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5. 15 ก.พ. 66\"/>
    </mc:Choice>
  </mc:AlternateContent>
  <xr:revisionPtr revIDLastSave="0" documentId="13_ncr:1_{12959BC4-6FB8-466A-96B1-1F00599F50B3}" xr6:coauthVersionLast="37" xr6:coauthVersionMax="37" xr10:uidLastSave="{00000000-0000-0000-0000-000000000000}"/>
  <bookViews>
    <workbookView xWindow="0" yWindow="0" windowWidth="24000" windowHeight="9525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พัฒนาผู้แทน" sheetId="8" r:id="rId8"/>
    <sheet name="เฝ้าระวังการเผา" sheetId="9" r:id="rId9"/>
    <sheet name="Smart" sheetId="10" r:id="rId10"/>
    <sheet name="แปลงรวม" sheetId="11" r:id="rId11"/>
    <sheet name="ศูนย์บริการ" sheetId="12" r:id="rId12"/>
    <sheet name="จัดที่ดิน" sheetId="13" r:id="rId13"/>
  </sheets>
  <definedNames>
    <definedName name="_xlnm.Print_Titles" localSheetId="4">GAP!$1:$6</definedName>
    <definedName name="_xlnm.Print_Titles" localSheetId="9">Smart!$1:$6</definedName>
    <definedName name="_xlnm.Print_Titles" localSheetId="12">จัดที่ดิน!$A:$B,จัดที่ดิน!$1:$6</definedName>
    <definedName name="_xlnm.Print_Titles" localSheetId="1">ทฤษฎีใหม่!$A:$B,ทฤษฎีใหม่!$1:$6</definedName>
    <definedName name="_xlnm.Print_Titles" localSheetId="2">ธุรกิจชุมชน!$1:$6</definedName>
    <definedName name="_xlnm.Print_Titles" localSheetId="10">แปลงรวม!$1:$6</definedName>
    <definedName name="_xlnm.Print_Titles" localSheetId="0">แปลงใหญ่!$1:$6</definedName>
    <definedName name="_xlnm.Print_Titles" localSheetId="8">เฝ้าระวังการเผา!$A:$B,เฝ้าระวังการเผา!$1:$6</definedName>
    <definedName name="_xlnm.Print_Titles" localSheetId="6">พระราชดำริ!$A:$B,พระราชดำริ!$1:$6</definedName>
    <definedName name="_xlnm.Print_Titles" localSheetId="7">พัฒนาผู้แทน!$1:$6</definedName>
    <definedName name="_xlnm.Print_Titles" localSheetId="11">ศูนย์บริการ!$1:$6</definedName>
    <definedName name="_xlnm.Print_Titles" localSheetId="3">สมุนไพร!$A:$B,สมุนไพร!$1:$6</definedName>
    <definedName name="_xlnm.Print_Titles" localSheetId="5">หัตถกรรม!$1:$6</definedName>
  </definedNames>
  <calcPr calcId="179021"/>
</workbook>
</file>

<file path=xl/calcChain.xml><?xml version="1.0" encoding="utf-8"?>
<calcChain xmlns="http://schemas.openxmlformats.org/spreadsheetml/2006/main">
  <c r="T67" i="10" l="1"/>
  <c r="V46" i="10"/>
  <c r="AA45" i="10"/>
  <c r="X46" i="10"/>
  <c r="X36" i="10"/>
  <c r="S16" i="9"/>
  <c r="AD21" i="9"/>
  <c r="AF21" i="9"/>
  <c r="AF15" i="9"/>
  <c r="AD15" i="9"/>
  <c r="E88" i="7"/>
  <c r="E87" i="7"/>
  <c r="E86" i="7"/>
  <c r="E84" i="7"/>
  <c r="E83" i="7"/>
  <c r="E82" i="7"/>
  <c r="E81" i="7"/>
  <c r="E76" i="7"/>
  <c r="E75" i="7"/>
  <c r="E73" i="7"/>
  <c r="E72" i="7"/>
  <c r="E71" i="7"/>
  <c r="E69" i="7"/>
  <c r="E68" i="7"/>
  <c r="E67" i="7"/>
  <c r="E65" i="7"/>
  <c r="E63" i="7"/>
  <c r="E58" i="7"/>
  <c r="E57" i="7"/>
  <c r="E56" i="7"/>
  <c r="E54" i="7"/>
  <c r="E50" i="7"/>
  <c r="E49" i="7"/>
  <c r="E47" i="7"/>
  <c r="E46" i="7"/>
  <c r="E44" i="7"/>
  <c r="E43" i="7"/>
  <c r="E42" i="7"/>
  <c r="E41" i="7"/>
  <c r="E40" i="7"/>
  <c r="E39" i="7"/>
  <c r="E38" i="7"/>
  <c r="E37" i="7"/>
  <c r="E35" i="7"/>
  <c r="E33" i="7"/>
  <c r="E32" i="7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AG51" i="2"/>
  <c r="AH51" i="2"/>
  <c r="AJ51" i="2"/>
  <c r="AK51" i="2"/>
  <c r="AT51" i="2"/>
  <c r="AS51" i="2"/>
  <c r="AY51" i="2"/>
  <c r="AV51" i="2"/>
  <c r="AN51" i="2"/>
  <c r="W57" i="2"/>
  <c r="S48" i="2"/>
  <c r="Z68" i="1"/>
  <c r="AA41" i="1"/>
  <c r="Z41" i="1"/>
  <c r="O116" i="13"/>
  <c r="L116" i="13"/>
  <c r="I116" i="13"/>
  <c r="Q116" i="13" s="1"/>
  <c r="H116" i="13"/>
  <c r="N116" i="13" s="1"/>
  <c r="G116" i="13"/>
  <c r="P116" i="13" s="1"/>
  <c r="F116" i="13"/>
  <c r="E116" i="13"/>
  <c r="O115" i="13"/>
  <c r="L115" i="13"/>
  <c r="I115" i="13"/>
  <c r="Q115" i="13" s="1"/>
  <c r="H115" i="13"/>
  <c r="N115" i="13" s="1"/>
  <c r="G115" i="13"/>
  <c r="P115" i="13" s="1"/>
  <c r="F115" i="13"/>
  <c r="E115" i="13"/>
  <c r="O114" i="13"/>
  <c r="L114" i="13"/>
  <c r="I114" i="13"/>
  <c r="Q114" i="13" s="1"/>
  <c r="H114" i="13"/>
  <c r="N114" i="13" s="1"/>
  <c r="G114" i="13"/>
  <c r="P114" i="13" s="1"/>
  <c r="F114" i="13"/>
  <c r="E114" i="13"/>
  <c r="O113" i="13"/>
  <c r="L113" i="13"/>
  <c r="I113" i="13"/>
  <c r="Q113" i="13" s="1"/>
  <c r="H113" i="13"/>
  <c r="N113" i="13" s="1"/>
  <c r="G113" i="13"/>
  <c r="P113" i="13" s="1"/>
  <c r="F113" i="13"/>
  <c r="E113" i="13"/>
  <c r="O112" i="13"/>
  <c r="L112" i="13"/>
  <c r="I112" i="13"/>
  <c r="Q112" i="13" s="1"/>
  <c r="H112" i="13"/>
  <c r="N112" i="13" s="1"/>
  <c r="G112" i="13"/>
  <c r="P112" i="13" s="1"/>
  <c r="F112" i="13"/>
  <c r="E112" i="13"/>
  <c r="O111" i="13"/>
  <c r="L111" i="13"/>
  <c r="I111" i="13"/>
  <c r="Q111" i="13" s="1"/>
  <c r="H111" i="13"/>
  <c r="G111" i="13"/>
  <c r="P111" i="13" s="1"/>
  <c r="F111" i="13"/>
  <c r="E111" i="13"/>
  <c r="O110" i="13"/>
  <c r="L110" i="13"/>
  <c r="I110" i="13"/>
  <c r="Q110" i="13" s="1"/>
  <c r="H110" i="13"/>
  <c r="G110" i="13"/>
  <c r="P110" i="13" s="1"/>
  <c r="F110" i="13"/>
  <c r="E110" i="13"/>
  <c r="O109" i="13"/>
  <c r="L109" i="13"/>
  <c r="I109" i="13"/>
  <c r="Q109" i="13" s="1"/>
  <c r="H109" i="13"/>
  <c r="N109" i="13" s="1"/>
  <c r="G109" i="13"/>
  <c r="P109" i="13" s="1"/>
  <c r="F109" i="13"/>
  <c r="E109" i="13"/>
  <c r="O108" i="13"/>
  <c r="L108" i="13"/>
  <c r="I108" i="13"/>
  <c r="Q108" i="13" s="1"/>
  <c r="H108" i="13"/>
  <c r="N108" i="13" s="1"/>
  <c r="G108" i="13"/>
  <c r="P108" i="13" s="1"/>
  <c r="F108" i="13"/>
  <c r="E108" i="13"/>
  <c r="O107" i="13"/>
  <c r="L107" i="13"/>
  <c r="I107" i="13"/>
  <c r="Q107" i="13" s="1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I105" i="13"/>
  <c r="Q105" i="13" s="1"/>
  <c r="H105" i="13"/>
  <c r="G105" i="13"/>
  <c r="P105" i="13" s="1"/>
  <c r="F105" i="13"/>
  <c r="E105" i="13"/>
  <c r="O104" i="13"/>
  <c r="O11" i="13" s="1"/>
  <c r="L104" i="13"/>
  <c r="L11" i="13" s="1"/>
  <c r="I104" i="13"/>
  <c r="I11" i="13" s="1"/>
  <c r="H104" i="13"/>
  <c r="H11" i="13" s="1"/>
  <c r="G104" i="13"/>
  <c r="P104" i="13" s="1"/>
  <c r="F104" i="13"/>
  <c r="F11" i="13" s="1"/>
  <c r="E104" i="13"/>
  <c r="E11" i="13" s="1"/>
  <c r="O103" i="13"/>
  <c r="L103" i="13"/>
  <c r="I103" i="13"/>
  <c r="Q103" i="13" s="1"/>
  <c r="H103" i="13"/>
  <c r="N103" i="13" s="1"/>
  <c r="G103" i="13"/>
  <c r="P103" i="13" s="1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G101" i="13"/>
  <c r="P101" i="13" s="1"/>
  <c r="F101" i="13"/>
  <c r="E101" i="13"/>
  <c r="O100" i="13"/>
  <c r="L100" i="13"/>
  <c r="I100" i="13"/>
  <c r="Q100" i="13" s="1"/>
  <c r="H100" i="13"/>
  <c r="G100" i="13"/>
  <c r="P100" i="13" s="1"/>
  <c r="F100" i="13"/>
  <c r="E100" i="13"/>
  <c r="O99" i="13"/>
  <c r="L99" i="13"/>
  <c r="I99" i="13"/>
  <c r="Q99" i="13" s="1"/>
  <c r="H99" i="13"/>
  <c r="G99" i="13"/>
  <c r="P99" i="13" s="1"/>
  <c r="F99" i="13"/>
  <c r="E99" i="13"/>
  <c r="O98" i="13"/>
  <c r="L98" i="13"/>
  <c r="I98" i="13"/>
  <c r="H98" i="13"/>
  <c r="G98" i="13"/>
  <c r="F98" i="13"/>
  <c r="E98" i="13"/>
  <c r="O97" i="13"/>
  <c r="L97" i="13"/>
  <c r="I97" i="13"/>
  <c r="Q97" i="13" s="1"/>
  <c r="H97" i="13"/>
  <c r="G97" i="13"/>
  <c r="P97" i="13" s="1"/>
  <c r="F97" i="13"/>
  <c r="E97" i="13"/>
  <c r="O96" i="13"/>
  <c r="L96" i="13"/>
  <c r="I96" i="13"/>
  <c r="Q96" i="13" s="1"/>
  <c r="H96" i="13"/>
  <c r="N96" i="13" s="1"/>
  <c r="G96" i="13"/>
  <c r="P96" i="13" s="1"/>
  <c r="F96" i="13"/>
  <c r="E96" i="13"/>
  <c r="O95" i="13"/>
  <c r="L95" i="13"/>
  <c r="I95" i="13"/>
  <c r="Q95" i="13" s="1"/>
  <c r="H95" i="13"/>
  <c r="G95" i="13"/>
  <c r="P95" i="13" s="1"/>
  <c r="F95" i="13"/>
  <c r="E95" i="13"/>
  <c r="O94" i="13"/>
  <c r="L94" i="13"/>
  <c r="I94" i="13"/>
  <c r="Q94" i="13" s="1"/>
  <c r="H94" i="13"/>
  <c r="G94" i="13"/>
  <c r="P94" i="13" s="1"/>
  <c r="F94" i="13"/>
  <c r="E94" i="13"/>
  <c r="A94" i="13"/>
  <c r="A95" i="13" s="1"/>
  <c r="A96" i="13" s="1"/>
  <c r="A97" i="13" s="1"/>
  <c r="A98" i="13" s="1"/>
  <c r="A99" i="13" s="1"/>
  <c r="A100" i="13" s="1"/>
  <c r="A101" i="13" s="1"/>
  <c r="A102" i="13" s="1"/>
  <c r="A103" i="13" s="1"/>
  <c r="O93" i="13"/>
  <c r="L93" i="13"/>
  <c r="I93" i="13"/>
  <c r="Q93" i="13" s="1"/>
  <c r="H93" i="13"/>
  <c r="G93" i="13"/>
  <c r="P93" i="13" s="1"/>
  <c r="F93" i="13"/>
  <c r="E93" i="13"/>
  <c r="A93" i="13"/>
  <c r="O92" i="13"/>
  <c r="L92" i="13"/>
  <c r="I92" i="13"/>
  <c r="Q92" i="13" s="1"/>
  <c r="H92" i="13"/>
  <c r="G92" i="13"/>
  <c r="P92" i="13" s="1"/>
  <c r="F92" i="13"/>
  <c r="E92" i="13"/>
  <c r="O91" i="13"/>
  <c r="L91" i="13"/>
  <c r="I91" i="13"/>
  <c r="Q91" i="13" s="1"/>
  <c r="H91" i="13"/>
  <c r="G91" i="13"/>
  <c r="P91" i="13" s="1"/>
  <c r="F91" i="13"/>
  <c r="E91" i="13"/>
  <c r="O90" i="13"/>
  <c r="L90" i="13"/>
  <c r="I90" i="13"/>
  <c r="Q90" i="13" s="1"/>
  <c r="H90" i="13"/>
  <c r="G90" i="13"/>
  <c r="P90" i="13" s="1"/>
  <c r="F90" i="13"/>
  <c r="E90" i="13"/>
  <c r="BC88" i="13"/>
  <c r="BB88" i="13"/>
  <c r="BA88" i="13"/>
  <c r="AY88" i="13"/>
  <c r="AX88" i="13"/>
  <c r="AW88" i="13"/>
  <c r="AU88" i="13"/>
  <c r="AT88" i="13"/>
  <c r="AS88" i="13"/>
  <c r="AQ88" i="13"/>
  <c r="AP88" i="13"/>
  <c r="AO88" i="13"/>
  <c r="AM88" i="13"/>
  <c r="AL88" i="13"/>
  <c r="AK88" i="13"/>
  <c r="AI88" i="13"/>
  <c r="AH88" i="13"/>
  <c r="AG88" i="13"/>
  <c r="AE88" i="13"/>
  <c r="AD88" i="13"/>
  <c r="AB88" i="13"/>
  <c r="AA88" i="13"/>
  <c r="Z88" i="13"/>
  <c r="X88" i="13"/>
  <c r="W88" i="13"/>
  <c r="V88" i="13"/>
  <c r="T88" i="13"/>
  <c r="S88" i="13"/>
  <c r="R88" i="13"/>
  <c r="O88" i="13"/>
  <c r="L88" i="13"/>
  <c r="I88" i="13"/>
  <c r="H88" i="13"/>
  <c r="G88" i="13"/>
  <c r="F88" i="13"/>
  <c r="E88" i="13"/>
  <c r="BC87" i="13"/>
  <c r="BB87" i="13"/>
  <c r="BA87" i="13"/>
  <c r="AY87" i="13"/>
  <c r="AX87" i="13"/>
  <c r="AW87" i="13"/>
  <c r="AU87" i="13"/>
  <c r="AT87" i="13"/>
  <c r="AS87" i="13"/>
  <c r="AQ87" i="13"/>
  <c r="AP87" i="13"/>
  <c r="AO87" i="13"/>
  <c r="AM87" i="13"/>
  <c r="AL87" i="13"/>
  <c r="AK87" i="13"/>
  <c r="AI87" i="13"/>
  <c r="AH87" i="13"/>
  <c r="AG87" i="13"/>
  <c r="AE87" i="13"/>
  <c r="AD87" i="13"/>
  <c r="AB87" i="13"/>
  <c r="AA87" i="13"/>
  <c r="Z87" i="13"/>
  <c r="X87" i="13"/>
  <c r="W87" i="13"/>
  <c r="V87" i="13"/>
  <c r="T87" i="13"/>
  <c r="S87" i="13"/>
  <c r="R87" i="13"/>
  <c r="O87" i="13"/>
  <c r="L87" i="13"/>
  <c r="I87" i="13"/>
  <c r="H87" i="13"/>
  <c r="G87" i="13"/>
  <c r="F87" i="13"/>
  <c r="E87" i="13"/>
  <c r="BC86" i="13"/>
  <c r="BB86" i="13"/>
  <c r="BA86" i="13"/>
  <c r="AY86" i="13"/>
  <c r="AX86" i="13"/>
  <c r="AW86" i="13"/>
  <c r="AU86" i="13"/>
  <c r="AT86" i="13"/>
  <c r="AS86" i="13"/>
  <c r="AQ86" i="13"/>
  <c r="AP86" i="13"/>
  <c r="AO86" i="13"/>
  <c r="AM86" i="13"/>
  <c r="AL86" i="13"/>
  <c r="AK86" i="13"/>
  <c r="AI86" i="13"/>
  <c r="AH86" i="13"/>
  <c r="AG86" i="13"/>
  <c r="AE86" i="13"/>
  <c r="AD86" i="13"/>
  <c r="AB86" i="13"/>
  <c r="AA86" i="13"/>
  <c r="Z86" i="13"/>
  <c r="X86" i="13"/>
  <c r="W86" i="13"/>
  <c r="V86" i="13"/>
  <c r="T86" i="13"/>
  <c r="S86" i="13"/>
  <c r="R86" i="13"/>
  <c r="O86" i="13"/>
  <c r="L86" i="13"/>
  <c r="I86" i="13"/>
  <c r="H86" i="13"/>
  <c r="G86" i="13"/>
  <c r="F86" i="13"/>
  <c r="E86" i="13"/>
  <c r="BC85" i="13"/>
  <c r="BB85" i="13"/>
  <c r="BA85" i="13"/>
  <c r="AY85" i="13"/>
  <c r="AX85" i="13"/>
  <c r="AW85" i="13"/>
  <c r="AU85" i="13"/>
  <c r="AT85" i="13"/>
  <c r="AS85" i="13"/>
  <c r="AQ85" i="13"/>
  <c r="AP85" i="13"/>
  <c r="AO85" i="13"/>
  <c r="AM85" i="13"/>
  <c r="AL85" i="13"/>
  <c r="AK85" i="13"/>
  <c r="AI85" i="13"/>
  <c r="AH85" i="13"/>
  <c r="AG85" i="13"/>
  <c r="AE85" i="13"/>
  <c r="AD85" i="13"/>
  <c r="AB85" i="13"/>
  <c r="AA85" i="13"/>
  <c r="Z85" i="13"/>
  <c r="X85" i="13"/>
  <c r="W85" i="13"/>
  <c r="V85" i="13"/>
  <c r="T85" i="13"/>
  <c r="S85" i="13"/>
  <c r="R85" i="13"/>
  <c r="O85" i="13"/>
  <c r="L85" i="13"/>
  <c r="I85" i="13"/>
  <c r="H85" i="13"/>
  <c r="G85" i="13"/>
  <c r="F85" i="13"/>
  <c r="E85" i="13"/>
  <c r="BC84" i="13"/>
  <c r="BB84" i="13"/>
  <c r="BA84" i="13"/>
  <c r="AY84" i="13"/>
  <c r="AX84" i="13"/>
  <c r="AW84" i="13"/>
  <c r="AU84" i="13"/>
  <c r="AT84" i="13"/>
  <c r="AS84" i="13"/>
  <c r="AQ84" i="13"/>
  <c r="AP84" i="13"/>
  <c r="AO84" i="13"/>
  <c r="AM84" i="13"/>
  <c r="AL84" i="13"/>
  <c r="AK84" i="13"/>
  <c r="AI84" i="13"/>
  <c r="AH84" i="13"/>
  <c r="AG84" i="13"/>
  <c r="AE84" i="13"/>
  <c r="AD84" i="13"/>
  <c r="AB84" i="13"/>
  <c r="AA84" i="13"/>
  <c r="Z84" i="13"/>
  <c r="X84" i="13"/>
  <c r="W84" i="13"/>
  <c r="V84" i="13"/>
  <c r="T84" i="13"/>
  <c r="S84" i="13"/>
  <c r="R84" i="13"/>
  <c r="O84" i="13"/>
  <c r="L84" i="13"/>
  <c r="I84" i="13"/>
  <c r="H84" i="13"/>
  <c r="G84" i="13"/>
  <c r="F84" i="13"/>
  <c r="E84" i="13"/>
  <c r="BC83" i="13"/>
  <c r="BB83" i="13"/>
  <c r="BA83" i="13"/>
  <c r="AY83" i="13"/>
  <c r="AX83" i="13"/>
  <c r="AW83" i="13"/>
  <c r="AU83" i="13"/>
  <c r="AT83" i="13"/>
  <c r="AS83" i="13"/>
  <c r="AQ83" i="13"/>
  <c r="AP83" i="13"/>
  <c r="AO83" i="13"/>
  <c r="AM83" i="13"/>
  <c r="AL83" i="13"/>
  <c r="AK83" i="13"/>
  <c r="AI83" i="13"/>
  <c r="AH83" i="13"/>
  <c r="AG83" i="13"/>
  <c r="AE83" i="13"/>
  <c r="AD83" i="13"/>
  <c r="AB83" i="13"/>
  <c r="AA83" i="13"/>
  <c r="Z83" i="13"/>
  <c r="X83" i="13"/>
  <c r="W83" i="13"/>
  <c r="V83" i="13"/>
  <c r="T83" i="13"/>
  <c r="S83" i="13"/>
  <c r="R83" i="13"/>
  <c r="O83" i="13"/>
  <c r="L83" i="13"/>
  <c r="I83" i="13"/>
  <c r="H83" i="13"/>
  <c r="G83" i="13"/>
  <c r="F83" i="13"/>
  <c r="E83" i="13"/>
  <c r="BC82" i="13"/>
  <c r="BB82" i="13"/>
  <c r="BA82" i="13"/>
  <c r="AY82" i="13"/>
  <c r="AX82" i="13"/>
  <c r="AW82" i="13"/>
  <c r="AU82" i="13"/>
  <c r="AT82" i="13"/>
  <c r="AS82" i="13"/>
  <c r="AQ82" i="13"/>
  <c r="AP82" i="13"/>
  <c r="AO82" i="13"/>
  <c r="AM82" i="13"/>
  <c r="AL82" i="13"/>
  <c r="AK82" i="13"/>
  <c r="AI82" i="13"/>
  <c r="AH82" i="13"/>
  <c r="AG82" i="13"/>
  <c r="AE82" i="13"/>
  <c r="AD82" i="13"/>
  <c r="AB82" i="13"/>
  <c r="AA82" i="13"/>
  <c r="Z82" i="13"/>
  <c r="X82" i="13"/>
  <c r="W82" i="13"/>
  <c r="V82" i="13"/>
  <c r="T82" i="13"/>
  <c r="S82" i="13"/>
  <c r="R82" i="13"/>
  <c r="O82" i="13"/>
  <c r="L82" i="13"/>
  <c r="I82" i="13"/>
  <c r="H82" i="13"/>
  <c r="G82" i="13"/>
  <c r="F82" i="13"/>
  <c r="E82" i="13"/>
  <c r="BC81" i="13"/>
  <c r="BB81" i="13"/>
  <c r="BA81" i="13"/>
  <c r="AY81" i="13"/>
  <c r="AX81" i="13"/>
  <c r="AW81" i="13"/>
  <c r="AU81" i="13"/>
  <c r="AT81" i="13"/>
  <c r="AS81" i="13"/>
  <c r="AQ81" i="13"/>
  <c r="AP81" i="13"/>
  <c r="AO81" i="13"/>
  <c r="AM81" i="13"/>
  <c r="AL81" i="13"/>
  <c r="AK81" i="13"/>
  <c r="AI81" i="13"/>
  <c r="AH81" i="13"/>
  <c r="AG81" i="13"/>
  <c r="AE81" i="13"/>
  <c r="AD81" i="13"/>
  <c r="AB81" i="13"/>
  <c r="AA81" i="13"/>
  <c r="Z81" i="13"/>
  <c r="X81" i="13"/>
  <c r="W81" i="13"/>
  <c r="V81" i="13"/>
  <c r="T81" i="13"/>
  <c r="S81" i="13"/>
  <c r="R81" i="13"/>
  <c r="O81" i="13"/>
  <c r="L81" i="13"/>
  <c r="I81" i="13"/>
  <c r="H81" i="13"/>
  <c r="G81" i="13"/>
  <c r="F81" i="13"/>
  <c r="E81" i="13"/>
  <c r="BC80" i="13"/>
  <c r="BB80" i="13"/>
  <c r="BA80" i="13"/>
  <c r="AY80" i="13"/>
  <c r="AX80" i="13"/>
  <c r="AW80" i="13"/>
  <c r="AU80" i="13"/>
  <c r="AT80" i="13"/>
  <c r="AS80" i="13"/>
  <c r="AQ80" i="13"/>
  <c r="AP80" i="13"/>
  <c r="AO80" i="13"/>
  <c r="AM80" i="13"/>
  <c r="AL80" i="13"/>
  <c r="AK80" i="13"/>
  <c r="AI80" i="13"/>
  <c r="AH80" i="13"/>
  <c r="AG80" i="13"/>
  <c r="AE80" i="13"/>
  <c r="AD80" i="13"/>
  <c r="AB80" i="13"/>
  <c r="AA80" i="13"/>
  <c r="Z80" i="13"/>
  <c r="X80" i="13"/>
  <c r="W80" i="13"/>
  <c r="V80" i="13"/>
  <c r="T80" i="13"/>
  <c r="S80" i="13"/>
  <c r="R80" i="13"/>
  <c r="O80" i="13"/>
  <c r="L80" i="13"/>
  <c r="I80" i="13"/>
  <c r="H80" i="13"/>
  <c r="G80" i="13"/>
  <c r="F80" i="13"/>
  <c r="E80" i="13"/>
  <c r="BC79" i="13"/>
  <c r="BB79" i="13"/>
  <c r="BA79" i="13"/>
  <c r="AY79" i="13"/>
  <c r="AX79" i="13"/>
  <c r="AW79" i="13"/>
  <c r="AU79" i="13"/>
  <c r="AT79" i="13"/>
  <c r="AS79" i="13"/>
  <c r="AQ79" i="13"/>
  <c r="AP79" i="13"/>
  <c r="AO79" i="13"/>
  <c r="AM79" i="13"/>
  <c r="AL79" i="13"/>
  <c r="AK79" i="13"/>
  <c r="AI79" i="13"/>
  <c r="AH79" i="13"/>
  <c r="AG79" i="13"/>
  <c r="AE79" i="13"/>
  <c r="AD79" i="13"/>
  <c r="AB79" i="13"/>
  <c r="AA79" i="13"/>
  <c r="Z79" i="13"/>
  <c r="X79" i="13"/>
  <c r="W79" i="13"/>
  <c r="V79" i="13"/>
  <c r="T79" i="13"/>
  <c r="S79" i="13"/>
  <c r="R79" i="13"/>
  <c r="O79" i="13"/>
  <c r="L79" i="13"/>
  <c r="I79" i="13"/>
  <c r="H79" i="13"/>
  <c r="G79" i="13"/>
  <c r="F79" i="13"/>
  <c r="E79" i="13"/>
  <c r="BC78" i="13"/>
  <c r="BB78" i="13"/>
  <c r="BA78" i="13"/>
  <c r="AY78" i="13"/>
  <c r="AX78" i="13"/>
  <c r="AW78" i="13"/>
  <c r="AU78" i="13"/>
  <c r="AT78" i="13"/>
  <c r="AS78" i="13"/>
  <c r="AQ78" i="13"/>
  <c r="AP78" i="13"/>
  <c r="AO78" i="13"/>
  <c r="AM78" i="13"/>
  <c r="AL78" i="13"/>
  <c r="AK78" i="13"/>
  <c r="AI78" i="13"/>
  <c r="AH78" i="13"/>
  <c r="AG78" i="13"/>
  <c r="AE78" i="13"/>
  <c r="AD78" i="13"/>
  <c r="AB78" i="13"/>
  <c r="AA78" i="13"/>
  <c r="Z78" i="13"/>
  <c r="X78" i="13"/>
  <c r="W78" i="13"/>
  <c r="V78" i="13"/>
  <c r="T78" i="13"/>
  <c r="S78" i="13"/>
  <c r="R78" i="13"/>
  <c r="O78" i="13"/>
  <c r="L78" i="13"/>
  <c r="I78" i="13"/>
  <c r="H78" i="13"/>
  <c r="G78" i="13"/>
  <c r="F78" i="13"/>
  <c r="E78" i="13"/>
  <c r="BC77" i="13"/>
  <c r="BB77" i="13"/>
  <c r="BA77" i="13"/>
  <c r="AY77" i="13"/>
  <c r="AX77" i="13"/>
  <c r="AW77" i="13"/>
  <c r="AU77" i="13"/>
  <c r="AT77" i="13"/>
  <c r="AS77" i="13"/>
  <c r="AQ77" i="13"/>
  <c r="AP77" i="13"/>
  <c r="AO77" i="13"/>
  <c r="AM77" i="13"/>
  <c r="AL77" i="13"/>
  <c r="AK77" i="13"/>
  <c r="AI77" i="13"/>
  <c r="AH77" i="13"/>
  <c r="AG77" i="13"/>
  <c r="AE77" i="13"/>
  <c r="AD77" i="13"/>
  <c r="AB77" i="13"/>
  <c r="AA77" i="13"/>
  <c r="Z77" i="13"/>
  <c r="X77" i="13"/>
  <c r="W77" i="13"/>
  <c r="V77" i="13"/>
  <c r="T77" i="13"/>
  <c r="S77" i="13"/>
  <c r="R77" i="13"/>
  <c r="O77" i="13"/>
  <c r="L77" i="13"/>
  <c r="I77" i="13"/>
  <c r="H77" i="13"/>
  <c r="G77" i="13"/>
  <c r="F77" i="13"/>
  <c r="E77" i="13"/>
  <c r="BC76" i="13"/>
  <c r="BB76" i="13"/>
  <c r="BA76" i="13"/>
  <c r="AY76" i="13"/>
  <c r="AX76" i="13"/>
  <c r="AW76" i="13"/>
  <c r="AU76" i="13"/>
  <c r="AT76" i="13"/>
  <c r="AS76" i="13"/>
  <c r="AQ76" i="13"/>
  <c r="AP76" i="13"/>
  <c r="AO76" i="13"/>
  <c r="AM76" i="13"/>
  <c r="AL76" i="13"/>
  <c r="AK76" i="13"/>
  <c r="AI76" i="13"/>
  <c r="AH76" i="13"/>
  <c r="AG76" i="13"/>
  <c r="AE76" i="13"/>
  <c r="AD76" i="13"/>
  <c r="AB76" i="13"/>
  <c r="AA76" i="13"/>
  <c r="Z76" i="13"/>
  <c r="X76" i="13"/>
  <c r="W76" i="13"/>
  <c r="V76" i="13"/>
  <c r="T76" i="13"/>
  <c r="S76" i="13"/>
  <c r="R76" i="13"/>
  <c r="O76" i="13"/>
  <c r="L76" i="13"/>
  <c r="I76" i="13"/>
  <c r="H76" i="13"/>
  <c r="G76" i="13"/>
  <c r="F76" i="13"/>
  <c r="E76" i="13"/>
  <c r="BC75" i="13"/>
  <c r="BB75" i="13"/>
  <c r="BA75" i="13"/>
  <c r="AY75" i="13"/>
  <c r="AX75" i="13"/>
  <c r="AW75" i="13"/>
  <c r="AU75" i="13"/>
  <c r="AT75" i="13"/>
  <c r="AS75" i="13"/>
  <c r="AQ75" i="13"/>
  <c r="AP75" i="13"/>
  <c r="AO75" i="13"/>
  <c r="AM75" i="13"/>
  <c r="AL75" i="13"/>
  <c r="AK75" i="13"/>
  <c r="AI75" i="13"/>
  <c r="AH75" i="13"/>
  <c r="AG75" i="13"/>
  <c r="AE75" i="13"/>
  <c r="AD75" i="13"/>
  <c r="AB75" i="13"/>
  <c r="AA75" i="13"/>
  <c r="Z75" i="13"/>
  <c r="X75" i="13"/>
  <c r="W75" i="13"/>
  <c r="V75" i="13"/>
  <c r="T75" i="13"/>
  <c r="S75" i="13"/>
  <c r="R75" i="13"/>
  <c r="O75" i="13"/>
  <c r="L75" i="13"/>
  <c r="I75" i="13"/>
  <c r="H75" i="13"/>
  <c r="G75" i="13"/>
  <c r="F75" i="13"/>
  <c r="E75" i="13"/>
  <c r="BC73" i="13"/>
  <c r="BB73" i="13"/>
  <c r="BA73" i="13"/>
  <c r="BD73" i="13" s="1"/>
  <c r="AY73" i="13"/>
  <c r="AX73" i="13"/>
  <c r="AW73" i="13"/>
  <c r="AZ73" i="13" s="1"/>
  <c r="AU73" i="13"/>
  <c r="AT73" i="13"/>
  <c r="AS73" i="13"/>
  <c r="AV73" i="13" s="1"/>
  <c r="AQ73" i="13"/>
  <c r="AP73" i="13"/>
  <c r="AO73" i="13"/>
  <c r="AR73" i="13" s="1"/>
  <c r="AM73" i="13"/>
  <c r="AL73" i="13"/>
  <c r="AK73" i="13"/>
  <c r="AN73" i="13" s="1"/>
  <c r="AI73" i="13"/>
  <c r="AH73" i="13"/>
  <c r="AG73" i="13"/>
  <c r="AJ73" i="13" s="1"/>
  <c r="AE73" i="13"/>
  <c r="AD73" i="13"/>
  <c r="AF73" i="13" s="1"/>
  <c r="AB73" i="13"/>
  <c r="AA73" i="13"/>
  <c r="Z73" i="13"/>
  <c r="AC73" i="13" s="1"/>
  <c r="X73" i="13"/>
  <c r="W73" i="13"/>
  <c r="V73" i="13"/>
  <c r="Y73" i="13" s="1"/>
  <c r="T73" i="13"/>
  <c r="S73" i="13"/>
  <c r="R73" i="13"/>
  <c r="U73" i="13" s="1"/>
  <c r="O73" i="13"/>
  <c r="L73" i="13"/>
  <c r="I73" i="13"/>
  <c r="H73" i="13"/>
  <c r="G73" i="13"/>
  <c r="F73" i="13"/>
  <c r="E73" i="13"/>
  <c r="BC72" i="13"/>
  <c r="BB72" i="13"/>
  <c r="BA72" i="13"/>
  <c r="AY72" i="13"/>
  <c r="AX72" i="13"/>
  <c r="AW72" i="13"/>
  <c r="AU72" i="13"/>
  <c r="AT72" i="13"/>
  <c r="AS72" i="13"/>
  <c r="AQ72" i="13"/>
  <c r="AP72" i="13"/>
  <c r="AO72" i="13"/>
  <c r="AM72" i="13"/>
  <c r="AL72" i="13"/>
  <c r="AK72" i="13"/>
  <c r="AI72" i="13"/>
  <c r="AH72" i="13"/>
  <c r="AG72" i="13"/>
  <c r="AE72" i="13"/>
  <c r="AD72" i="13"/>
  <c r="AB72" i="13"/>
  <c r="AA72" i="13"/>
  <c r="Z72" i="13"/>
  <c r="X72" i="13"/>
  <c r="W72" i="13"/>
  <c r="V72" i="13"/>
  <c r="T72" i="13"/>
  <c r="S72" i="13"/>
  <c r="R72" i="13"/>
  <c r="O72" i="13"/>
  <c r="L72" i="13"/>
  <c r="I72" i="13"/>
  <c r="H72" i="13"/>
  <c r="G72" i="13"/>
  <c r="F72" i="13"/>
  <c r="E72" i="13"/>
  <c r="BC71" i="13"/>
  <c r="BB71" i="13"/>
  <c r="BA71" i="13"/>
  <c r="BD71" i="13" s="1"/>
  <c r="AY71" i="13"/>
  <c r="AX71" i="13"/>
  <c r="AW71" i="13"/>
  <c r="AZ71" i="13" s="1"/>
  <c r="AU71" i="13"/>
  <c r="AT71" i="13"/>
  <c r="AS71" i="13"/>
  <c r="AV71" i="13" s="1"/>
  <c r="AQ71" i="13"/>
  <c r="AP71" i="13"/>
  <c r="AO71" i="13"/>
  <c r="AR71" i="13" s="1"/>
  <c r="AM71" i="13"/>
  <c r="AL71" i="13"/>
  <c r="AK71" i="13"/>
  <c r="AN71" i="13" s="1"/>
  <c r="AI71" i="13"/>
  <c r="AH71" i="13"/>
  <c r="AG71" i="13"/>
  <c r="AJ71" i="13" s="1"/>
  <c r="AE71" i="13"/>
  <c r="AD71" i="13"/>
  <c r="AF71" i="13" s="1"/>
  <c r="AB71" i="13"/>
  <c r="AA71" i="13"/>
  <c r="Z71" i="13"/>
  <c r="AC71" i="13" s="1"/>
  <c r="X71" i="13"/>
  <c r="W71" i="13"/>
  <c r="V71" i="13"/>
  <c r="Y71" i="13" s="1"/>
  <c r="T71" i="13"/>
  <c r="S71" i="13"/>
  <c r="R71" i="13"/>
  <c r="U71" i="13" s="1"/>
  <c r="O71" i="13"/>
  <c r="L71" i="13"/>
  <c r="I71" i="13"/>
  <c r="H71" i="13"/>
  <c r="G71" i="13"/>
  <c r="F71" i="13"/>
  <c r="E71" i="13"/>
  <c r="BC70" i="13"/>
  <c r="BB70" i="13"/>
  <c r="BA70" i="13"/>
  <c r="AY70" i="13"/>
  <c r="AX70" i="13"/>
  <c r="AW70" i="13"/>
  <c r="AU70" i="13"/>
  <c r="AT70" i="13"/>
  <c r="AS70" i="13"/>
  <c r="AQ70" i="13"/>
  <c r="AP70" i="13"/>
  <c r="AO70" i="13"/>
  <c r="AM70" i="13"/>
  <c r="AL70" i="13"/>
  <c r="AK70" i="13"/>
  <c r="AI70" i="13"/>
  <c r="AH70" i="13"/>
  <c r="AG70" i="13"/>
  <c r="AE70" i="13"/>
  <c r="AD70" i="13"/>
  <c r="AB70" i="13"/>
  <c r="AA70" i="13"/>
  <c r="Z70" i="13"/>
  <c r="X70" i="13"/>
  <c r="W70" i="13"/>
  <c r="V70" i="13"/>
  <c r="T70" i="13"/>
  <c r="S70" i="13"/>
  <c r="R70" i="13"/>
  <c r="O70" i="13"/>
  <c r="L70" i="13"/>
  <c r="I70" i="13"/>
  <c r="H70" i="13"/>
  <c r="G70" i="13"/>
  <c r="F70" i="13"/>
  <c r="E70" i="13"/>
  <c r="BC69" i="13"/>
  <c r="BB69" i="13"/>
  <c r="BA69" i="13"/>
  <c r="AY69" i="13"/>
  <c r="AX69" i="13"/>
  <c r="AW69" i="13"/>
  <c r="AU69" i="13"/>
  <c r="AT69" i="13"/>
  <c r="AS69" i="13"/>
  <c r="AQ69" i="13"/>
  <c r="AP69" i="13"/>
  <c r="AO69" i="13"/>
  <c r="AM69" i="13"/>
  <c r="AL69" i="13"/>
  <c r="AK69" i="13"/>
  <c r="AI69" i="13"/>
  <c r="AH69" i="13"/>
  <c r="AG69" i="13"/>
  <c r="AE69" i="13"/>
  <c r="AD69" i="13"/>
  <c r="AB69" i="13"/>
  <c r="AA69" i="13"/>
  <c r="Z69" i="13"/>
  <c r="X69" i="13"/>
  <c r="W69" i="13"/>
  <c r="V69" i="13"/>
  <c r="T69" i="13"/>
  <c r="S69" i="13"/>
  <c r="R69" i="13"/>
  <c r="O69" i="13"/>
  <c r="L69" i="13"/>
  <c r="I69" i="13"/>
  <c r="H69" i="13"/>
  <c r="G69" i="13"/>
  <c r="F69" i="13"/>
  <c r="E69" i="13"/>
  <c r="BC68" i="13"/>
  <c r="BB68" i="13"/>
  <c r="BA68" i="13"/>
  <c r="AY68" i="13"/>
  <c r="AX68" i="13"/>
  <c r="AW68" i="13"/>
  <c r="AU68" i="13"/>
  <c r="AT68" i="13"/>
  <c r="AS68" i="13"/>
  <c r="AQ68" i="13"/>
  <c r="AP68" i="13"/>
  <c r="AO68" i="13"/>
  <c r="AM68" i="13"/>
  <c r="AL68" i="13"/>
  <c r="AK68" i="13"/>
  <c r="AI68" i="13"/>
  <c r="AH68" i="13"/>
  <c r="AG68" i="13"/>
  <c r="AE68" i="13"/>
  <c r="AD68" i="13"/>
  <c r="AB68" i="13"/>
  <c r="AA68" i="13"/>
  <c r="Z68" i="13"/>
  <c r="X68" i="13"/>
  <c r="W68" i="13"/>
  <c r="V68" i="13"/>
  <c r="T68" i="13"/>
  <c r="S68" i="13"/>
  <c r="R68" i="13"/>
  <c r="O68" i="13"/>
  <c r="L68" i="13"/>
  <c r="I68" i="13"/>
  <c r="H68" i="13"/>
  <c r="G68" i="13"/>
  <c r="F68" i="13"/>
  <c r="E68" i="13"/>
  <c r="BC67" i="13"/>
  <c r="BB67" i="13"/>
  <c r="BA67" i="13"/>
  <c r="AY67" i="13"/>
  <c r="AX67" i="13"/>
  <c r="AW67" i="13"/>
  <c r="AU67" i="13"/>
  <c r="AT67" i="13"/>
  <c r="AS67" i="13"/>
  <c r="AQ67" i="13"/>
  <c r="AP67" i="13"/>
  <c r="AO67" i="13"/>
  <c r="AM67" i="13"/>
  <c r="AL67" i="13"/>
  <c r="AK67" i="13"/>
  <c r="AI67" i="13"/>
  <c r="AH67" i="13"/>
  <c r="AG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L67" i="13"/>
  <c r="I67" i="13"/>
  <c r="H67" i="13"/>
  <c r="G67" i="13"/>
  <c r="F67" i="13"/>
  <c r="E67" i="13"/>
  <c r="BC66" i="13"/>
  <c r="BB66" i="13"/>
  <c r="BA66" i="13"/>
  <c r="AY66" i="13"/>
  <c r="AX66" i="13"/>
  <c r="AW66" i="13"/>
  <c r="AU66" i="13"/>
  <c r="AT66" i="13"/>
  <c r="AS66" i="13"/>
  <c r="AQ66" i="13"/>
  <c r="AP66" i="13"/>
  <c r="AO66" i="13"/>
  <c r="AM66" i="13"/>
  <c r="AL66" i="13"/>
  <c r="AK66" i="13"/>
  <c r="AI66" i="13"/>
  <c r="AH66" i="13"/>
  <c r="AG66" i="13"/>
  <c r="AE66" i="13"/>
  <c r="AD66" i="13"/>
  <c r="AB66" i="13"/>
  <c r="AA66" i="13"/>
  <c r="Z66" i="13"/>
  <c r="X66" i="13"/>
  <c r="W66" i="13"/>
  <c r="V66" i="13"/>
  <c r="T66" i="13"/>
  <c r="S66" i="13"/>
  <c r="R66" i="13"/>
  <c r="O66" i="13"/>
  <c r="L66" i="13"/>
  <c r="I66" i="13"/>
  <c r="H66" i="13"/>
  <c r="G66" i="13"/>
  <c r="F66" i="13"/>
  <c r="E66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M65" i="13"/>
  <c r="AL65" i="13"/>
  <c r="AK65" i="13"/>
  <c r="AI65" i="13"/>
  <c r="AH65" i="13"/>
  <c r="AG65" i="13"/>
  <c r="AE65" i="13"/>
  <c r="AD65" i="13"/>
  <c r="AB65" i="13"/>
  <c r="AA65" i="13"/>
  <c r="Z65" i="13"/>
  <c r="X65" i="13"/>
  <c r="W65" i="13"/>
  <c r="V65" i="13"/>
  <c r="T65" i="13"/>
  <c r="S65" i="13"/>
  <c r="R65" i="13"/>
  <c r="O65" i="13"/>
  <c r="L65" i="13"/>
  <c r="I65" i="13"/>
  <c r="H65" i="13"/>
  <c r="G65" i="13"/>
  <c r="F65" i="13"/>
  <c r="E65" i="13"/>
  <c r="BC64" i="13"/>
  <c r="BB64" i="13"/>
  <c r="BA64" i="13"/>
  <c r="BD64" i="13" s="1"/>
  <c r="AY64" i="13"/>
  <c r="AX64" i="13"/>
  <c r="AW64" i="13"/>
  <c r="AZ64" i="13" s="1"/>
  <c r="AU64" i="13"/>
  <c r="AT64" i="13"/>
  <c r="AS64" i="13"/>
  <c r="AV64" i="13" s="1"/>
  <c r="AQ64" i="13"/>
  <c r="AP64" i="13"/>
  <c r="AO64" i="13"/>
  <c r="AR64" i="13" s="1"/>
  <c r="AM64" i="13"/>
  <c r="AL64" i="13"/>
  <c r="AK64" i="13"/>
  <c r="AN64" i="13" s="1"/>
  <c r="AI64" i="13"/>
  <c r="AH64" i="13"/>
  <c r="AG64" i="13"/>
  <c r="AJ64" i="13" s="1"/>
  <c r="AE64" i="13"/>
  <c r="AD64" i="13"/>
  <c r="AF64" i="13" s="1"/>
  <c r="AB64" i="13"/>
  <c r="AA64" i="13"/>
  <c r="Z64" i="13"/>
  <c r="AC64" i="13" s="1"/>
  <c r="X64" i="13"/>
  <c r="W64" i="13"/>
  <c r="V64" i="13"/>
  <c r="Y64" i="13" s="1"/>
  <c r="T64" i="13"/>
  <c r="S64" i="13"/>
  <c r="R64" i="13"/>
  <c r="U64" i="13" s="1"/>
  <c r="O64" i="13"/>
  <c r="L64" i="13"/>
  <c r="I64" i="13"/>
  <c r="H64" i="13"/>
  <c r="G64" i="13"/>
  <c r="F64" i="13"/>
  <c r="E64" i="13"/>
  <c r="BC63" i="13"/>
  <c r="BB63" i="13"/>
  <c r="BA63" i="13"/>
  <c r="AY63" i="13"/>
  <c r="AX63" i="13"/>
  <c r="AW63" i="13"/>
  <c r="AU63" i="13"/>
  <c r="AT63" i="13"/>
  <c r="AS63" i="13"/>
  <c r="AQ63" i="13"/>
  <c r="AP63" i="13"/>
  <c r="AO63" i="13"/>
  <c r="AM63" i="13"/>
  <c r="AL63" i="13"/>
  <c r="AK63" i="13"/>
  <c r="AI63" i="13"/>
  <c r="AH63" i="13"/>
  <c r="AG63" i="13"/>
  <c r="AE63" i="13"/>
  <c r="AD63" i="13"/>
  <c r="AB63" i="13"/>
  <c r="AA63" i="13"/>
  <c r="Z63" i="13"/>
  <c r="X63" i="13"/>
  <c r="W63" i="13"/>
  <c r="V63" i="13"/>
  <c r="T63" i="13"/>
  <c r="S63" i="13"/>
  <c r="R63" i="13"/>
  <c r="O63" i="13"/>
  <c r="L63" i="13"/>
  <c r="I63" i="13"/>
  <c r="H63" i="13"/>
  <c r="G63" i="13"/>
  <c r="F63" i="13"/>
  <c r="E63" i="13"/>
  <c r="BC62" i="13"/>
  <c r="BB62" i="13"/>
  <c r="BA62" i="13"/>
  <c r="AY62" i="13"/>
  <c r="AX62" i="13"/>
  <c r="AW62" i="13"/>
  <c r="AU62" i="13"/>
  <c r="AT62" i="13"/>
  <c r="AS62" i="13"/>
  <c r="AQ62" i="13"/>
  <c r="AP62" i="13"/>
  <c r="AO62" i="13"/>
  <c r="AM62" i="13"/>
  <c r="AL62" i="13"/>
  <c r="AK62" i="13"/>
  <c r="AI62" i="13"/>
  <c r="AH62" i="13"/>
  <c r="AG62" i="13"/>
  <c r="AE62" i="13"/>
  <c r="AD62" i="13"/>
  <c r="AB62" i="13"/>
  <c r="AA62" i="13"/>
  <c r="Z62" i="13"/>
  <c r="X62" i="13"/>
  <c r="W62" i="13"/>
  <c r="V62" i="13"/>
  <c r="T62" i="13"/>
  <c r="S62" i="13"/>
  <c r="R62" i="13"/>
  <c r="O62" i="13"/>
  <c r="L62" i="13"/>
  <c r="I62" i="13"/>
  <c r="H62" i="13"/>
  <c r="G62" i="13"/>
  <c r="F62" i="13"/>
  <c r="E62" i="13"/>
  <c r="BC61" i="13"/>
  <c r="BB61" i="13"/>
  <c r="BA61" i="13"/>
  <c r="BD61" i="13" s="1"/>
  <c r="AY61" i="13"/>
  <c r="AX61" i="13"/>
  <c r="AW61" i="13"/>
  <c r="AZ61" i="13" s="1"/>
  <c r="AU61" i="13"/>
  <c r="AT61" i="13"/>
  <c r="AS61" i="13"/>
  <c r="AV61" i="13" s="1"/>
  <c r="AQ61" i="13"/>
  <c r="AP61" i="13"/>
  <c r="AO61" i="13"/>
  <c r="AR61" i="13" s="1"/>
  <c r="AM61" i="13"/>
  <c r="AL61" i="13"/>
  <c r="AK61" i="13"/>
  <c r="AN61" i="13" s="1"/>
  <c r="AI61" i="13"/>
  <c r="AH61" i="13"/>
  <c r="AG61" i="13"/>
  <c r="AJ61" i="13" s="1"/>
  <c r="AE61" i="13"/>
  <c r="AD61" i="13"/>
  <c r="AF61" i="13" s="1"/>
  <c r="AB61" i="13"/>
  <c r="AA61" i="13"/>
  <c r="Z61" i="13"/>
  <c r="AC61" i="13" s="1"/>
  <c r="X61" i="13"/>
  <c r="W61" i="13"/>
  <c r="V61" i="13"/>
  <c r="Y61" i="13" s="1"/>
  <c r="T61" i="13"/>
  <c r="S61" i="13"/>
  <c r="R61" i="13"/>
  <c r="U61" i="13" s="1"/>
  <c r="O61" i="13"/>
  <c r="L61" i="13"/>
  <c r="I61" i="13"/>
  <c r="H61" i="13"/>
  <c r="G61" i="13"/>
  <c r="F61" i="13"/>
  <c r="E61" i="13"/>
  <c r="BC60" i="13"/>
  <c r="BB60" i="13"/>
  <c r="BA60" i="13"/>
  <c r="BD60" i="13" s="1"/>
  <c r="AY60" i="13"/>
  <c r="AX60" i="13"/>
  <c r="AW60" i="13"/>
  <c r="AZ60" i="13" s="1"/>
  <c r="AU60" i="13"/>
  <c r="AT60" i="13"/>
  <c r="AS60" i="13"/>
  <c r="AV60" i="13" s="1"/>
  <c r="AQ60" i="13"/>
  <c r="AP60" i="13"/>
  <c r="AO60" i="13"/>
  <c r="AR60" i="13" s="1"/>
  <c r="AM60" i="13"/>
  <c r="AL60" i="13"/>
  <c r="AK60" i="13"/>
  <c r="AN60" i="13" s="1"/>
  <c r="AI60" i="13"/>
  <c r="AH60" i="13"/>
  <c r="AG60" i="13"/>
  <c r="AJ60" i="13" s="1"/>
  <c r="AE60" i="13"/>
  <c r="AD60" i="13"/>
  <c r="AF60" i="13" s="1"/>
  <c r="AB60" i="13"/>
  <c r="AA60" i="13"/>
  <c r="Z60" i="13"/>
  <c r="AC60" i="13" s="1"/>
  <c r="X60" i="13"/>
  <c r="W60" i="13"/>
  <c r="V60" i="13"/>
  <c r="Y60" i="13" s="1"/>
  <c r="T60" i="13"/>
  <c r="S60" i="13"/>
  <c r="R60" i="13"/>
  <c r="U60" i="13" s="1"/>
  <c r="O60" i="13"/>
  <c r="L60" i="13"/>
  <c r="I60" i="13"/>
  <c r="H60" i="13"/>
  <c r="G60" i="13"/>
  <c r="F60" i="13"/>
  <c r="E60" i="13"/>
  <c r="BC59" i="13"/>
  <c r="BB59" i="13"/>
  <c r="BA59" i="13"/>
  <c r="AY59" i="13"/>
  <c r="AX59" i="13"/>
  <c r="AW59" i="13"/>
  <c r="AU59" i="13"/>
  <c r="AT59" i="13"/>
  <c r="AS59" i="13"/>
  <c r="AV59" i="13" s="1"/>
  <c r="AQ59" i="13"/>
  <c r="AP59" i="13"/>
  <c r="AO59" i="13"/>
  <c r="AR59" i="13" s="1"/>
  <c r="AM59" i="13"/>
  <c r="AL59" i="13"/>
  <c r="AK59" i="13"/>
  <c r="AN59" i="13" s="1"/>
  <c r="AI59" i="13"/>
  <c r="AH59" i="13"/>
  <c r="AG59" i="13"/>
  <c r="AJ59" i="13" s="1"/>
  <c r="AE59" i="13"/>
  <c r="AD59" i="13"/>
  <c r="AB59" i="13"/>
  <c r="AA59" i="13"/>
  <c r="Z59" i="13"/>
  <c r="AC59" i="13" s="1"/>
  <c r="X59" i="13"/>
  <c r="W59" i="13"/>
  <c r="V59" i="13"/>
  <c r="Y59" i="13" s="1"/>
  <c r="T59" i="13"/>
  <c r="S59" i="13"/>
  <c r="R59" i="13"/>
  <c r="U59" i="13" s="1"/>
  <c r="O59" i="13"/>
  <c r="L59" i="13"/>
  <c r="I59" i="13"/>
  <c r="H59" i="13"/>
  <c r="G59" i="13"/>
  <c r="F59" i="13"/>
  <c r="E59" i="13"/>
  <c r="BC58" i="13"/>
  <c r="BB58" i="13"/>
  <c r="BA58" i="13"/>
  <c r="AY58" i="13"/>
  <c r="AX58" i="13"/>
  <c r="AW58" i="13"/>
  <c r="AU58" i="13"/>
  <c r="AT58" i="13"/>
  <c r="AS58" i="13"/>
  <c r="AQ58" i="13"/>
  <c r="AP58" i="13"/>
  <c r="AO58" i="13"/>
  <c r="AM58" i="13"/>
  <c r="AL58" i="13"/>
  <c r="AK58" i="13"/>
  <c r="AI58" i="13"/>
  <c r="AH58" i="13"/>
  <c r="AG58" i="13"/>
  <c r="AE58" i="13"/>
  <c r="AD58" i="13"/>
  <c r="AB58" i="13"/>
  <c r="AA58" i="13"/>
  <c r="Z58" i="13"/>
  <c r="X58" i="13"/>
  <c r="W58" i="13"/>
  <c r="V58" i="13"/>
  <c r="T58" i="13"/>
  <c r="S58" i="13"/>
  <c r="R58" i="13"/>
  <c r="O58" i="13"/>
  <c r="L58" i="13"/>
  <c r="I58" i="13"/>
  <c r="H58" i="13"/>
  <c r="G58" i="13"/>
  <c r="F58" i="13"/>
  <c r="E58" i="13"/>
  <c r="BC57" i="13"/>
  <c r="BB57" i="13"/>
  <c r="BA57" i="13"/>
  <c r="AY57" i="13"/>
  <c r="AX57" i="13"/>
  <c r="AW57" i="13"/>
  <c r="AU57" i="13"/>
  <c r="AT57" i="13"/>
  <c r="AS57" i="13"/>
  <c r="AQ57" i="13"/>
  <c r="AP57" i="13"/>
  <c r="AO57" i="13"/>
  <c r="AM57" i="13"/>
  <c r="AL57" i="13"/>
  <c r="AK57" i="13"/>
  <c r="AI57" i="13"/>
  <c r="AH57" i="13"/>
  <c r="AG57" i="13"/>
  <c r="AE57" i="13"/>
  <c r="AD57" i="13"/>
  <c r="AB57" i="13"/>
  <c r="AA57" i="13"/>
  <c r="Z57" i="13"/>
  <c r="X57" i="13"/>
  <c r="W57" i="13"/>
  <c r="V57" i="13"/>
  <c r="T57" i="13"/>
  <c r="S57" i="13"/>
  <c r="R57" i="13"/>
  <c r="O57" i="13"/>
  <c r="L57" i="13"/>
  <c r="I57" i="13"/>
  <c r="H57" i="13"/>
  <c r="G57" i="13"/>
  <c r="F57" i="13"/>
  <c r="E57" i="13"/>
  <c r="BC56" i="13"/>
  <c r="BB56" i="13"/>
  <c r="BA56" i="13"/>
  <c r="AY56" i="13"/>
  <c r="AX56" i="13"/>
  <c r="AW56" i="13"/>
  <c r="AU56" i="13"/>
  <c r="AT56" i="13"/>
  <c r="AS56" i="13"/>
  <c r="AQ56" i="13"/>
  <c r="AP56" i="13"/>
  <c r="AO56" i="13"/>
  <c r="AM56" i="13"/>
  <c r="AL56" i="13"/>
  <c r="AK56" i="13"/>
  <c r="AI56" i="13"/>
  <c r="AH56" i="13"/>
  <c r="AG56" i="13"/>
  <c r="AE56" i="13"/>
  <c r="AD56" i="13"/>
  <c r="AB56" i="13"/>
  <c r="AA56" i="13"/>
  <c r="Z56" i="13"/>
  <c r="X56" i="13"/>
  <c r="W56" i="13"/>
  <c r="V56" i="13"/>
  <c r="T56" i="13"/>
  <c r="S56" i="13"/>
  <c r="R56" i="13"/>
  <c r="O56" i="13"/>
  <c r="L56" i="13"/>
  <c r="I56" i="13"/>
  <c r="H56" i="13"/>
  <c r="G56" i="13"/>
  <c r="F56" i="13"/>
  <c r="E56" i="13"/>
  <c r="BC55" i="13"/>
  <c r="BB55" i="13"/>
  <c r="BA55" i="13"/>
  <c r="AY55" i="13"/>
  <c r="AX55" i="13"/>
  <c r="AW55" i="13"/>
  <c r="AU55" i="13"/>
  <c r="AT55" i="13"/>
  <c r="AS55" i="13"/>
  <c r="AQ55" i="13"/>
  <c r="AP55" i="13"/>
  <c r="AO55" i="13"/>
  <c r="AM55" i="13"/>
  <c r="AL55" i="13"/>
  <c r="AK55" i="13"/>
  <c r="AI55" i="13"/>
  <c r="AH55" i="13"/>
  <c r="AG55" i="13"/>
  <c r="AE55" i="13"/>
  <c r="AD55" i="13"/>
  <c r="AB55" i="13"/>
  <c r="AA55" i="13"/>
  <c r="Z55" i="13"/>
  <c r="X55" i="13"/>
  <c r="W55" i="13"/>
  <c r="V55" i="13"/>
  <c r="T55" i="13"/>
  <c r="S55" i="13"/>
  <c r="R55" i="13"/>
  <c r="O55" i="13"/>
  <c r="L55" i="13"/>
  <c r="I55" i="13"/>
  <c r="H55" i="13"/>
  <c r="G55" i="13"/>
  <c r="F55" i="13"/>
  <c r="E55" i="13"/>
  <c r="BC54" i="13"/>
  <c r="BB54" i="13"/>
  <c r="BA54" i="13"/>
  <c r="AY54" i="13"/>
  <c r="AX54" i="13"/>
  <c r="AW54" i="13"/>
  <c r="AU54" i="13"/>
  <c r="AT54" i="13"/>
  <c r="AS54" i="13"/>
  <c r="AQ54" i="13"/>
  <c r="AP54" i="13"/>
  <c r="AO54" i="13"/>
  <c r="AM54" i="13"/>
  <c r="AL54" i="13"/>
  <c r="AK54" i="13"/>
  <c r="AI54" i="13"/>
  <c r="AH54" i="13"/>
  <c r="AG54" i="13"/>
  <c r="AE54" i="13"/>
  <c r="AD54" i="13"/>
  <c r="AB54" i="13"/>
  <c r="AA54" i="13"/>
  <c r="Z54" i="13"/>
  <c r="X54" i="13"/>
  <c r="W54" i="13"/>
  <c r="V54" i="13"/>
  <c r="T54" i="13"/>
  <c r="S54" i="13"/>
  <c r="R54" i="13"/>
  <c r="O54" i="13"/>
  <c r="L54" i="13"/>
  <c r="I54" i="13"/>
  <c r="H54" i="13"/>
  <c r="G54" i="13"/>
  <c r="F54" i="13"/>
  <c r="E54" i="13"/>
  <c r="BC53" i="13"/>
  <c r="BB53" i="13"/>
  <c r="BA53" i="13"/>
  <c r="AY53" i="13"/>
  <c r="AX53" i="13"/>
  <c r="AW53" i="13"/>
  <c r="AU53" i="13"/>
  <c r="AT53" i="13"/>
  <c r="AS53" i="13"/>
  <c r="AQ53" i="13"/>
  <c r="AP53" i="13"/>
  <c r="AO53" i="13"/>
  <c r="AM53" i="13"/>
  <c r="AL53" i="13"/>
  <c r="AK53" i="13"/>
  <c r="AI53" i="13"/>
  <c r="AH53" i="13"/>
  <c r="AG53" i="13"/>
  <c r="AE53" i="13"/>
  <c r="AD53" i="13"/>
  <c r="AB53" i="13"/>
  <c r="AA53" i="13"/>
  <c r="Z53" i="13"/>
  <c r="X53" i="13"/>
  <c r="W53" i="13"/>
  <c r="V53" i="13"/>
  <c r="T53" i="13"/>
  <c r="S53" i="13"/>
  <c r="R53" i="13"/>
  <c r="O53" i="13"/>
  <c r="L53" i="13"/>
  <c r="I53" i="13"/>
  <c r="H53" i="13"/>
  <c r="G53" i="13"/>
  <c r="F53" i="13"/>
  <c r="E53" i="13"/>
  <c r="BC51" i="13"/>
  <c r="BB51" i="13"/>
  <c r="BA51" i="13"/>
  <c r="AY51" i="13"/>
  <c r="AX51" i="13"/>
  <c r="AW51" i="13"/>
  <c r="AU51" i="13"/>
  <c r="AT51" i="13"/>
  <c r="AS51" i="13"/>
  <c r="AQ51" i="13"/>
  <c r="AP51" i="13"/>
  <c r="AO51" i="13"/>
  <c r="AM51" i="13"/>
  <c r="AL51" i="13"/>
  <c r="AK51" i="13"/>
  <c r="AI51" i="13"/>
  <c r="AH51" i="13"/>
  <c r="AG51" i="13"/>
  <c r="AE51" i="13"/>
  <c r="AD51" i="13"/>
  <c r="AB51" i="13"/>
  <c r="AA51" i="13"/>
  <c r="Z51" i="13"/>
  <c r="X51" i="13"/>
  <c r="W51" i="13"/>
  <c r="V51" i="13"/>
  <c r="T51" i="13"/>
  <c r="S51" i="13"/>
  <c r="R51" i="13"/>
  <c r="O51" i="13"/>
  <c r="L51" i="13"/>
  <c r="I51" i="13"/>
  <c r="H51" i="13"/>
  <c r="G51" i="13"/>
  <c r="F51" i="13"/>
  <c r="E51" i="13"/>
  <c r="BC50" i="13"/>
  <c r="BB50" i="13"/>
  <c r="BA50" i="13"/>
  <c r="AY50" i="13"/>
  <c r="AX50" i="13"/>
  <c r="AW50" i="13"/>
  <c r="AU50" i="13"/>
  <c r="AT50" i="13"/>
  <c r="AS50" i="13"/>
  <c r="AQ50" i="13"/>
  <c r="AP50" i="13"/>
  <c r="AO50" i="13"/>
  <c r="AM50" i="13"/>
  <c r="AL50" i="13"/>
  <c r="AK50" i="13"/>
  <c r="AI50" i="13"/>
  <c r="AH50" i="13"/>
  <c r="AG50" i="13"/>
  <c r="AE50" i="13"/>
  <c r="AD50" i="13"/>
  <c r="AB50" i="13"/>
  <c r="AA50" i="13"/>
  <c r="Z50" i="13"/>
  <c r="X50" i="13"/>
  <c r="W50" i="13"/>
  <c r="V50" i="13"/>
  <c r="T50" i="13"/>
  <c r="S50" i="13"/>
  <c r="R50" i="13"/>
  <c r="O50" i="13"/>
  <c r="L50" i="13"/>
  <c r="I50" i="13"/>
  <c r="H50" i="13"/>
  <c r="G50" i="13"/>
  <c r="F50" i="13"/>
  <c r="E50" i="13"/>
  <c r="BC49" i="13"/>
  <c r="BB49" i="13"/>
  <c r="BA49" i="13"/>
  <c r="AY49" i="13"/>
  <c r="AX49" i="13"/>
  <c r="AW49" i="13"/>
  <c r="AU49" i="13"/>
  <c r="AT49" i="13"/>
  <c r="AS49" i="13"/>
  <c r="AQ49" i="13"/>
  <c r="AP49" i="13"/>
  <c r="AO49" i="13"/>
  <c r="AM49" i="13"/>
  <c r="AL49" i="13"/>
  <c r="AK49" i="13"/>
  <c r="AI49" i="13"/>
  <c r="AH49" i="13"/>
  <c r="AG49" i="13"/>
  <c r="AE49" i="13"/>
  <c r="AD49" i="13"/>
  <c r="AB49" i="13"/>
  <c r="AA49" i="13"/>
  <c r="Z49" i="13"/>
  <c r="X49" i="13"/>
  <c r="W49" i="13"/>
  <c r="V49" i="13"/>
  <c r="T49" i="13"/>
  <c r="S49" i="13"/>
  <c r="R49" i="13"/>
  <c r="O49" i="13"/>
  <c r="L49" i="13"/>
  <c r="I49" i="13"/>
  <c r="H49" i="13"/>
  <c r="G49" i="13"/>
  <c r="F49" i="13"/>
  <c r="E49" i="13"/>
  <c r="BC48" i="13"/>
  <c r="BB48" i="13"/>
  <c r="BA48" i="13"/>
  <c r="AY48" i="13"/>
  <c r="AX48" i="13"/>
  <c r="AW48" i="13"/>
  <c r="AU48" i="13"/>
  <c r="AT48" i="13"/>
  <c r="AS48" i="13"/>
  <c r="AQ48" i="13"/>
  <c r="AP48" i="13"/>
  <c r="AO48" i="13"/>
  <c r="AM48" i="13"/>
  <c r="AL48" i="13"/>
  <c r="AK48" i="13"/>
  <c r="AI48" i="13"/>
  <c r="AH48" i="13"/>
  <c r="AG48" i="13"/>
  <c r="AE48" i="13"/>
  <c r="AD48" i="13"/>
  <c r="AB48" i="13"/>
  <c r="AA48" i="13"/>
  <c r="Z48" i="13"/>
  <c r="X48" i="13"/>
  <c r="W48" i="13"/>
  <c r="V48" i="13"/>
  <c r="T48" i="13"/>
  <c r="S48" i="13"/>
  <c r="R48" i="13"/>
  <c r="O48" i="13"/>
  <c r="L48" i="13"/>
  <c r="I48" i="13"/>
  <c r="H48" i="13"/>
  <c r="G48" i="13"/>
  <c r="F48" i="13"/>
  <c r="E48" i="13"/>
  <c r="BC47" i="13"/>
  <c r="BB47" i="13"/>
  <c r="BA47" i="13"/>
  <c r="AY47" i="13"/>
  <c r="AX47" i="13"/>
  <c r="AW47" i="13"/>
  <c r="AU47" i="13"/>
  <c r="AT47" i="13"/>
  <c r="AS47" i="13"/>
  <c r="AQ47" i="13"/>
  <c r="AP47" i="13"/>
  <c r="AO47" i="13"/>
  <c r="AM47" i="13"/>
  <c r="AL47" i="13"/>
  <c r="AK47" i="13"/>
  <c r="AI47" i="13"/>
  <c r="AH47" i="13"/>
  <c r="AG47" i="13"/>
  <c r="AE47" i="13"/>
  <c r="AD47" i="13"/>
  <c r="AB47" i="13"/>
  <c r="AA47" i="13"/>
  <c r="Z47" i="13"/>
  <c r="X47" i="13"/>
  <c r="W47" i="13"/>
  <c r="V47" i="13"/>
  <c r="T47" i="13"/>
  <c r="S47" i="13"/>
  <c r="R47" i="13"/>
  <c r="O47" i="13"/>
  <c r="L47" i="13"/>
  <c r="I47" i="13"/>
  <c r="H47" i="13"/>
  <c r="G47" i="13"/>
  <c r="F47" i="13"/>
  <c r="E47" i="13"/>
  <c r="BC46" i="13"/>
  <c r="BB46" i="13"/>
  <c r="BA46" i="13"/>
  <c r="AY46" i="13"/>
  <c r="AX46" i="13"/>
  <c r="AW46" i="13"/>
  <c r="AU46" i="13"/>
  <c r="AT46" i="13"/>
  <c r="AS46" i="13"/>
  <c r="AQ46" i="13"/>
  <c r="AP46" i="13"/>
  <c r="AO46" i="13"/>
  <c r="AM46" i="13"/>
  <c r="AL46" i="13"/>
  <c r="AK46" i="13"/>
  <c r="AI46" i="13"/>
  <c r="AH46" i="13"/>
  <c r="AG46" i="13"/>
  <c r="AE46" i="13"/>
  <c r="AD46" i="13"/>
  <c r="AB46" i="13"/>
  <c r="AA46" i="13"/>
  <c r="Z46" i="13"/>
  <c r="X46" i="13"/>
  <c r="W46" i="13"/>
  <c r="V46" i="13"/>
  <c r="T46" i="13"/>
  <c r="S46" i="13"/>
  <c r="R46" i="13"/>
  <c r="O46" i="13"/>
  <c r="L46" i="13"/>
  <c r="I46" i="13"/>
  <c r="H46" i="13"/>
  <c r="G46" i="13"/>
  <c r="F46" i="13"/>
  <c r="E46" i="13"/>
  <c r="BC45" i="13"/>
  <c r="BB45" i="13"/>
  <c r="BA45" i="13"/>
  <c r="AY45" i="13"/>
  <c r="AX45" i="13"/>
  <c r="AW45" i="13"/>
  <c r="AU45" i="13"/>
  <c r="AT45" i="13"/>
  <c r="AS45" i="13"/>
  <c r="AQ45" i="13"/>
  <c r="AP45" i="13"/>
  <c r="AO45" i="13"/>
  <c r="AM45" i="13"/>
  <c r="AL45" i="13"/>
  <c r="AK45" i="13"/>
  <c r="AI45" i="13"/>
  <c r="AH45" i="13"/>
  <c r="AG45" i="13"/>
  <c r="AE45" i="13"/>
  <c r="AD45" i="13"/>
  <c r="AB45" i="13"/>
  <c r="AA45" i="13"/>
  <c r="Z45" i="13"/>
  <c r="X45" i="13"/>
  <c r="W45" i="13"/>
  <c r="V45" i="13"/>
  <c r="T45" i="13"/>
  <c r="S45" i="13"/>
  <c r="R45" i="13"/>
  <c r="O45" i="13"/>
  <c r="L45" i="13"/>
  <c r="I45" i="13"/>
  <c r="H45" i="13"/>
  <c r="G45" i="13"/>
  <c r="F45" i="13"/>
  <c r="E45" i="13"/>
  <c r="BC44" i="13"/>
  <c r="BB44" i="13"/>
  <c r="BA44" i="13"/>
  <c r="AY44" i="13"/>
  <c r="AX44" i="13"/>
  <c r="AW44" i="13"/>
  <c r="AU44" i="13"/>
  <c r="AT44" i="13"/>
  <c r="AS44" i="13"/>
  <c r="AQ44" i="13"/>
  <c r="AP44" i="13"/>
  <c r="AO44" i="13"/>
  <c r="AM44" i="13"/>
  <c r="AL44" i="13"/>
  <c r="AK44" i="13"/>
  <c r="AI44" i="13"/>
  <c r="AH44" i="13"/>
  <c r="AG44" i="13"/>
  <c r="AE44" i="13"/>
  <c r="AD44" i="13"/>
  <c r="AB44" i="13"/>
  <c r="AA44" i="13"/>
  <c r="Z44" i="13"/>
  <c r="X44" i="13"/>
  <c r="W44" i="13"/>
  <c r="V44" i="13"/>
  <c r="T44" i="13"/>
  <c r="S44" i="13"/>
  <c r="R44" i="13"/>
  <c r="O44" i="13"/>
  <c r="L44" i="13"/>
  <c r="I44" i="13"/>
  <c r="H44" i="13"/>
  <c r="G44" i="13"/>
  <c r="F44" i="13"/>
  <c r="E44" i="13"/>
  <c r="BC43" i="13"/>
  <c r="BB43" i="13"/>
  <c r="BA43" i="13"/>
  <c r="AY43" i="13"/>
  <c r="AX43" i="13"/>
  <c r="AW43" i="13"/>
  <c r="AU43" i="13"/>
  <c r="AT43" i="13"/>
  <c r="AS43" i="13"/>
  <c r="AQ43" i="13"/>
  <c r="AP43" i="13"/>
  <c r="AO43" i="13"/>
  <c r="AM43" i="13"/>
  <c r="AL43" i="13"/>
  <c r="AK43" i="13"/>
  <c r="AI43" i="13"/>
  <c r="AH43" i="13"/>
  <c r="AG43" i="13"/>
  <c r="AE43" i="13"/>
  <c r="AD43" i="13"/>
  <c r="AB43" i="13"/>
  <c r="AA43" i="13"/>
  <c r="Z43" i="13"/>
  <c r="X43" i="13"/>
  <c r="W43" i="13"/>
  <c r="V43" i="13"/>
  <c r="T43" i="13"/>
  <c r="S43" i="13"/>
  <c r="R43" i="13"/>
  <c r="O43" i="13"/>
  <c r="L43" i="13"/>
  <c r="I43" i="13"/>
  <c r="H43" i="13"/>
  <c r="G43" i="13"/>
  <c r="F43" i="13"/>
  <c r="E43" i="13"/>
  <c r="BC42" i="13"/>
  <c r="BB42" i="13"/>
  <c r="BA42" i="13"/>
  <c r="AY42" i="13"/>
  <c r="AX42" i="13"/>
  <c r="AW42" i="13"/>
  <c r="AU42" i="13"/>
  <c r="AT42" i="13"/>
  <c r="AS42" i="13"/>
  <c r="AQ42" i="13"/>
  <c r="AP42" i="13"/>
  <c r="AO42" i="13"/>
  <c r="AM42" i="13"/>
  <c r="AL42" i="13"/>
  <c r="AK42" i="13"/>
  <c r="AI42" i="13"/>
  <c r="AH42" i="13"/>
  <c r="AG42" i="13"/>
  <c r="AE42" i="13"/>
  <c r="AD42" i="13"/>
  <c r="AB42" i="13"/>
  <c r="AA42" i="13"/>
  <c r="Z42" i="13"/>
  <c r="X42" i="13"/>
  <c r="W42" i="13"/>
  <c r="V42" i="13"/>
  <c r="T42" i="13"/>
  <c r="S42" i="13"/>
  <c r="R42" i="13"/>
  <c r="O42" i="13"/>
  <c r="L42" i="13"/>
  <c r="I42" i="13"/>
  <c r="H42" i="13"/>
  <c r="G42" i="13"/>
  <c r="F42" i="13"/>
  <c r="E42" i="13"/>
  <c r="BC41" i="13"/>
  <c r="BB41" i="13"/>
  <c r="BA41" i="13"/>
  <c r="AY41" i="13"/>
  <c r="AX41" i="13"/>
  <c r="AW41" i="13"/>
  <c r="AU41" i="13"/>
  <c r="AT41" i="13"/>
  <c r="AS41" i="13"/>
  <c r="AQ41" i="13"/>
  <c r="AP41" i="13"/>
  <c r="AO41" i="13"/>
  <c r="AM41" i="13"/>
  <c r="AL41" i="13"/>
  <c r="AK41" i="13"/>
  <c r="AI41" i="13"/>
  <c r="AH41" i="13"/>
  <c r="AG41" i="13"/>
  <c r="AE41" i="13"/>
  <c r="AD41" i="13"/>
  <c r="AB41" i="13"/>
  <c r="AA41" i="13"/>
  <c r="Z41" i="13"/>
  <c r="X41" i="13"/>
  <c r="W41" i="13"/>
  <c r="V41" i="13"/>
  <c r="T41" i="13"/>
  <c r="S41" i="13"/>
  <c r="R41" i="13"/>
  <c r="O41" i="13"/>
  <c r="L41" i="13"/>
  <c r="I41" i="13"/>
  <c r="H41" i="13"/>
  <c r="G41" i="13"/>
  <c r="F41" i="13"/>
  <c r="E41" i="13"/>
  <c r="BC40" i="13"/>
  <c r="BB40" i="13"/>
  <c r="BA40" i="13"/>
  <c r="AY40" i="13"/>
  <c r="AX40" i="13"/>
  <c r="AW40" i="13"/>
  <c r="AU40" i="13"/>
  <c r="AT40" i="13"/>
  <c r="AS40" i="13"/>
  <c r="AQ40" i="13"/>
  <c r="AP40" i="13"/>
  <c r="AO40" i="13"/>
  <c r="AM40" i="13"/>
  <c r="AL40" i="13"/>
  <c r="AK40" i="13"/>
  <c r="AI40" i="13"/>
  <c r="AH40" i="13"/>
  <c r="AG40" i="13"/>
  <c r="AE40" i="13"/>
  <c r="AD40" i="13"/>
  <c r="AB40" i="13"/>
  <c r="AA40" i="13"/>
  <c r="Z40" i="13"/>
  <c r="X40" i="13"/>
  <c r="W40" i="13"/>
  <c r="V40" i="13"/>
  <c r="T40" i="13"/>
  <c r="S40" i="13"/>
  <c r="R40" i="13"/>
  <c r="O40" i="13"/>
  <c r="L40" i="13"/>
  <c r="I40" i="13"/>
  <c r="H40" i="13"/>
  <c r="G40" i="13"/>
  <c r="F40" i="13"/>
  <c r="E40" i="13"/>
  <c r="BC39" i="13"/>
  <c r="BB39" i="13"/>
  <c r="BA39" i="13"/>
  <c r="AY39" i="13"/>
  <c r="AX39" i="13"/>
  <c r="AW39" i="13"/>
  <c r="AU39" i="13"/>
  <c r="AT39" i="13"/>
  <c r="AS39" i="13"/>
  <c r="AQ39" i="13"/>
  <c r="AP39" i="13"/>
  <c r="AO39" i="13"/>
  <c r="AM39" i="13"/>
  <c r="AL39" i="13"/>
  <c r="AK39" i="13"/>
  <c r="AI39" i="13"/>
  <c r="AH39" i="13"/>
  <c r="AG39" i="13"/>
  <c r="AE39" i="13"/>
  <c r="AD39" i="13"/>
  <c r="AB39" i="13"/>
  <c r="AA39" i="13"/>
  <c r="Z39" i="13"/>
  <c r="X39" i="13"/>
  <c r="W39" i="13"/>
  <c r="V39" i="13"/>
  <c r="T39" i="13"/>
  <c r="S39" i="13"/>
  <c r="R39" i="13"/>
  <c r="O39" i="13"/>
  <c r="L39" i="13"/>
  <c r="I39" i="13"/>
  <c r="H39" i="13"/>
  <c r="G39" i="13"/>
  <c r="F39" i="13"/>
  <c r="E39" i="13"/>
  <c r="BC38" i="13"/>
  <c r="BB38" i="13"/>
  <c r="BA38" i="13"/>
  <c r="AY38" i="13"/>
  <c r="AX38" i="13"/>
  <c r="AW38" i="13"/>
  <c r="AU38" i="13"/>
  <c r="AT38" i="13"/>
  <c r="AS38" i="13"/>
  <c r="AQ38" i="13"/>
  <c r="AP38" i="13"/>
  <c r="AO38" i="13"/>
  <c r="AM38" i="13"/>
  <c r="AL38" i="13"/>
  <c r="AK38" i="13"/>
  <c r="AI38" i="13"/>
  <c r="AH38" i="13"/>
  <c r="AG38" i="13"/>
  <c r="AE38" i="13"/>
  <c r="AD38" i="13"/>
  <c r="AB38" i="13"/>
  <c r="AA38" i="13"/>
  <c r="Z38" i="13"/>
  <c r="X38" i="13"/>
  <c r="W38" i="13"/>
  <c r="V38" i="13"/>
  <c r="T38" i="13"/>
  <c r="S38" i="13"/>
  <c r="R38" i="13"/>
  <c r="O38" i="13"/>
  <c r="L38" i="13"/>
  <c r="I38" i="13"/>
  <c r="H38" i="13"/>
  <c r="G38" i="13"/>
  <c r="F38" i="13"/>
  <c r="E38" i="13"/>
  <c r="BC37" i="13"/>
  <c r="BB37" i="13"/>
  <c r="BA37" i="13"/>
  <c r="AY37" i="13"/>
  <c r="AX37" i="13"/>
  <c r="AW37" i="13"/>
  <c r="AU37" i="13"/>
  <c r="AT37" i="13"/>
  <c r="AS37" i="13"/>
  <c r="AQ37" i="13"/>
  <c r="AP37" i="13"/>
  <c r="AO37" i="13"/>
  <c r="AM37" i="13"/>
  <c r="AL37" i="13"/>
  <c r="AK37" i="13"/>
  <c r="AI37" i="13"/>
  <c r="AH37" i="13"/>
  <c r="AG37" i="13"/>
  <c r="AE37" i="13"/>
  <c r="AD37" i="13"/>
  <c r="AB37" i="13"/>
  <c r="AA37" i="13"/>
  <c r="Z37" i="13"/>
  <c r="X37" i="13"/>
  <c r="W37" i="13"/>
  <c r="V37" i="13"/>
  <c r="T37" i="13"/>
  <c r="S37" i="13"/>
  <c r="R37" i="13"/>
  <c r="O37" i="13"/>
  <c r="L37" i="13"/>
  <c r="I37" i="13"/>
  <c r="H37" i="13"/>
  <c r="G37" i="13"/>
  <c r="F37" i="13"/>
  <c r="E37" i="13"/>
  <c r="BC36" i="13"/>
  <c r="BB36" i="13"/>
  <c r="BA36" i="13"/>
  <c r="AY36" i="13"/>
  <c r="AX36" i="13"/>
  <c r="AW36" i="13"/>
  <c r="AU36" i="13"/>
  <c r="AT36" i="13"/>
  <c r="AS36" i="13"/>
  <c r="AQ36" i="13"/>
  <c r="AP36" i="13"/>
  <c r="AO36" i="13"/>
  <c r="AM36" i="13"/>
  <c r="AL36" i="13"/>
  <c r="AK36" i="13"/>
  <c r="AI36" i="13"/>
  <c r="AH36" i="13"/>
  <c r="AG36" i="13"/>
  <c r="AE36" i="13"/>
  <c r="AD36" i="13"/>
  <c r="AB36" i="13"/>
  <c r="AA36" i="13"/>
  <c r="Z36" i="13"/>
  <c r="X36" i="13"/>
  <c r="W36" i="13"/>
  <c r="V36" i="13"/>
  <c r="T36" i="13"/>
  <c r="S36" i="13"/>
  <c r="R36" i="13"/>
  <c r="O36" i="13"/>
  <c r="L36" i="13"/>
  <c r="I36" i="13"/>
  <c r="H36" i="13"/>
  <c r="G36" i="13"/>
  <c r="F36" i="13"/>
  <c r="E36" i="13"/>
  <c r="BC35" i="13"/>
  <c r="BB35" i="13"/>
  <c r="BA35" i="13"/>
  <c r="AY35" i="13"/>
  <c r="AX35" i="13"/>
  <c r="AW35" i="13"/>
  <c r="AU35" i="13"/>
  <c r="AT35" i="13"/>
  <c r="AS35" i="13"/>
  <c r="AQ35" i="13"/>
  <c r="AP35" i="13"/>
  <c r="AO35" i="13"/>
  <c r="AM35" i="13"/>
  <c r="AL35" i="13"/>
  <c r="AK35" i="13"/>
  <c r="AI35" i="13"/>
  <c r="AH35" i="13"/>
  <c r="AG35" i="13"/>
  <c r="AE35" i="13"/>
  <c r="AD35" i="13"/>
  <c r="AB35" i="13"/>
  <c r="AA35" i="13"/>
  <c r="Z35" i="13"/>
  <c r="X35" i="13"/>
  <c r="W35" i="13"/>
  <c r="V35" i="13"/>
  <c r="T35" i="13"/>
  <c r="S35" i="13"/>
  <c r="R35" i="13"/>
  <c r="O35" i="13"/>
  <c r="L35" i="13"/>
  <c r="I35" i="13"/>
  <c r="H35" i="13"/>
  <c r="G35" i="13"/>
  <c r="F35" i="13"/>
  <c r="E35" i="13"/>
  <c r="BC34" i="13"/>
  <c r="BB34" i="13"/>
  <c r="BA34" i="13"/>
  <c r="AY34" i="13"/>
  <c r="AX34" i="13"/>
  <c r="AW34" i="13"/>
  <c r="AU34" i="13"/>
  <c r="AT34" i="13"/>
  <c r="AS34" i="13"/>
  <c r="AQ34" i="13"/>
  <c r="AP34" i="13"/>
  <c r="AO34" i="13"/>
  <c r="AM34" i="13"/>
  <c r="AL34" i="13"/>
  <c r="AK34" i="13"/>
  <c r="AI34" i="13"/>
  <c r="AH34" i="13"/>
  <c r="AG34" i="13"/>
  <c r="AE34" i="13"/>
  <c r="AD34" i="13"/>
  <c r="AB34" i="13"/>
  <c r="AA34" i="13"/>
  <c r="Z34" i="13"/>
  <c r="X34" i="13"/>
  <c r="W34" i="13"/>
  <c r="V34" i="13"/>
  <c r="T34" i="13"/>
  <c r="S34" i="13"/>
  <c r="R34" i="13"/>
  <c r="O34" i="13"/>
  <c r="L34" i="13"/>
  <c r="I34" i="13"/>
  <c r="H34" i="13"/>
  <c r="G34" i="13"/>
  <c r="F34" i="13"/>
  <c r="E34" i="13"/>
  <c r="BC33" i="13"/>
  <c r="BB33" i="13"/>
  <c r="BA33" i="13"/>
  <c r="AY33" i="13"/>
  <c r="AX33" i="13"/>
  <c r="AW33" i="13"/>
  <c r="AU33" i="13"/>
  <c r="AT33" i="13"/>
  <c r="AS33" i="13"/>
  <c r="AQ33" i="13"/>
  <c r="AP33" i="13"/>
  <c r="AO33" i="13"/>
  <c r="AM33" i="13"/>
  <c r="AL33" i="13"/>
  <c r="AK33" i="13"/>
  <c r="AI33" i="13"/>
  <c r="AH33" i="13"/>
  <c r="AG33" i="13"/>
  <c r="AE33" i="13"/>
  <c r="AD33" i="13"/>
  <c r="AB33" i="13"/>
  <c r="AA33" i="13"/>
  <c r="Z33" i="13"/>
  <c r="X33" i="13"/>
  <c r="W33" i="13"/>
  <c r="V33" i="13"/>
  <c r="T33" i="13"/>
  <c r="S33" i="13"/>
  <c r="R33" i="13"/>
  <c r="O33" i="13"/>
  <c r="L33" i="13"/>
  <c r="I33" i="13"/>
  <c r="H33" i="13"/>
  <c r="G33" i="13"/>
  <c r="F33" i="13"/>
  <c r="E33" i="13"/>
  <c r="BC32" i="13"/>
  <c r="BB32" i="13"/>
  <c r="BA32" i="13"/>
  <c r="AY32" i="13"/>
  <c r="AX32" i="13"/>
  <c r="AW32" i="13"/>
  <c r="AU32" i="13"/>
  <c r="AT32" i="13"/>
  <c r="AS32" i="13"/>
  <c r="AQ32" i="13"/>
  <c r="AP32" i="13"/>
  <c r="AO32" i="13"/>
  <c r="AM32" i="13"/>
  <c r="AL32" i="13"/>
  <c r="AK32" i="13"/>
  <c r="AI32" i="13"/>
  <c r="AH32" i="13"/>
  <c r="AG32" i="13"/>
  <c r="AE32" i="13"/>
  <c r="AD32" i="13"/>
  <c r="AB32" i="13"/>
  <c r="AA32" i="13"/>
  <c r="Z32" i="13"/>
  <c r="X32" i="13"/>
  <c r="W32" i="13"/>
  <c r="V32" i="13"/>
  <c r="T32" i="13"/>
  <c r="S32" i="13"/>
  <c r="R32" i="13"/>
  <c r="O32" i="13"/>
  <c r="L32" i="13"/>
  <c r="I32" i="13"/>
  <c r="H32" i="13"/>
  <c r="G32" i="13"/>
  <c r="F32" i="13"/>
  <c r="E32" i="13"/>
  <c r="BC30" i="13"/>
  <c r="BB30" i="13"/>
  <c r="BA30" i="13"/>
  <c r="AY30" i="13"/>
  <c r="AX30" i="13"/>
  <c r="AW30" i="13"/>
  <c r="AU30" i="13"/>
  <c r="AT30" i="13"/>
  <c r="AS30" i="13"/>
  <c r="AQ30" i="13"/>
  <c r="AP30" i="13"/>
  <c r="AO30" i="13"/>
  <c r="AM30" i="13"/>
  <c r="AL30" i="13"/>
  <c r="AK30" i="13"/>
  <c r="AI30" i="13"/>
  <c r="AH30" i="13"/>
  <c r="AG30" i="13"/>
  <c r="AE30" i="13"/>
  <c r="AD30" i="13"/>
  <c r="AB30" i="13"/>
  <c r="AA30" i="13"/>
  <c r="Z30" i="13"/>
  <c r="X30" i="13"/>
  <c r="W30" i="13"/>
  <c r="V30" i="13"/>
  <c r="T30" i="13"/>
  <c r="S30" i="13"/>
  <c r="R30" i="13"/>
  <c r="O30" i="13"/>
  <c r="L30" i="13"/>
  <c r="I30" i="13"/>
  <c r="H30" i="13"/>
  <c r="G30" i="13"/>
  <c r="F30" i="13"/>
  <c r="E30" i="13"/>
  <c r="BC29" i="13"/>
  <c r="BB29" i="13"/>
  <c r="BA29" i="13"/>
  <c r="AY29" i="13"/>
  <c r="AX29" i="13"/>
  <c r="AW29" i="13"/>
  <c r="AU29" i="13"/>
  <c r="AT29" i="13"/>
  <c r="AS29" i="13"/>
  <c r="AQ29" i="13"/>
  <c r="AP29" i="13"/>
  <c r="AO29" i="13"/>
  <c r="AM29" i="13"/>
  <c r="AL29" i="13"/>
  <c r="AK29" i="13"/>
  <c r="AI29" i="13"/>
  <c r="AH29" i="13"/>
  <c r="AG29" i="13"/>
  <c r="AE29" i="13"/>
  <c r="AD29" i="13"/>
  <c r="AB29" i="13"/>
  <c r="AA29" i="13"/>
  <c r="Z29" i="13"/>
  <c r="X29" i="13"/>
  <c r="W29" i="13"/>
  <c r="V29" i="13"/>
  <c r="T29" i="13"/>
  <c r="S29" i="13"/>
  <c r="R29" i="13"/>
  <c r="O29" i="13"/>
  <c r="L29" i="13"/>
  <c r="I29" i="13"/>
  <c r="H29" i="13"/>
  <c r="G29" i="13"/>
  <c r="F29" i="13"/>
  <c r="E29" i="13"/>
  <c r="BC28" i="13"/>
  <c r="BB28" i="13"/>
  <c r="BA28" i="13"/>
  <c r="AY28" i="13"/>
  <c r="AX28" i="13"/>
  <c r="AW28" i="13"/>
  <c r="AU28" i="13"/>
  <c r="AT28" i="13"/>
  <c r="AS28" i="13"/>
  <c r="AQ28" i="13"/>
  <c r="AP28" i="13"/>
  <c r="AO28" i="13"/>
  <c r="AM28" i="13"/>
  <c r="AL28" i="13"/>
  <c r="AK28" i="13"/>
  <c r="AI28" i="13"/>
  <c r="AH28" i="13"/>
  <c r="AG28" i="13"/>
  <c r="AE28" i="13"/>
  <c r="AD28" i="13"/>
  <c r="AB28" i="13"/>
  <c r="AA28" i="13"/>
  <c r="Z28" i="13"/>
  <c r="X28" i="13"/>
  <c r="W28" i="13"/>
  <c r="V28" i="13"/>
  <c r="T28" i="13"/>
  <c r="S28" i="13"/>
  <c r="R28" i="13"/>
  <c r="O28" i="13"/>
  <c r="L28" i="13"/>
  <c r="I28" i="13"/>
  <c r="H28" i="13"/>
  <c r="G28" i="13"/>
  <c r="F28" i="13"/>
  <c r="E28" i="13"/>
  <c r="BC27" i="13"/>
  <c r="BB27" i="13"/>
  <c r="BA27" i="13"/>
  <c r="AY27" i="13"/>
  <c r="AX27" i="13"/>
  <c r="AW27" i="13"/>
  <c r="AU27" i="13"/>
  <c r="AT27" i="13"/>
  <c r="AS27" i="13"/>
  <c r="AQ27" i="13"/>
  <c r="AP27" i="13"/>
  <c r="AO27" i="13"/>
  <c r="AM27" i="13"/>
  <c r="AL27" i="13"/>
  <c r="AK27" i="13"/>
  <c r="AI27" i="13"/>
  <c r="AH27" i="13"/>
  <c r="AG27" i="13"/>
  <c r="AE27" i="13"/>
  <c r="AD27" i="13"/>
  <c r="AB27" i="13"/>
  <c r="AA27" i="13"/>
  <c r="Z27" i="13"/>
  <c r="X27" i="13"/>
  <c r="W27" i="13"/>
  <c r="V27" i="13"/>
  <c r="T27" i="13"/>
  <c r="S27" i="13"/>
  <c r="R27" i="13"/>
  <c r="O27" i="13"/>
  <c r="L27" i="13"/>
  <c r="I27" i="13"/>
  <c r="Q27" i="13" s="1"/>
  <c r="H27" i="13"/>
  <c r="G27" i="13"/>
  <c r="F27" i="13"/>
  <c r="E27" i="13"/>
  <c r="BC26" i="13"/>
  <c r="BB26" i="13"/>
  <c r="BA26" i="13"/>
  <c r="AY26" i="13"/>
  <c r="AX26" i="13"/>
  <c r="AW26" i="13"/>
  <c r="AU26" i="13"/>
  <c r="AT26" i="13"/>
  <c r="AS26" i="13"/>
  <c r="AQ26" i="13"/>
  <c r="AP26" i="13"/>
  <c r="AO26" i="13"/>
  <c r="AM26" i="13"/>
  <c r="AL26" i="13"/>
  <c r="AK26" i="13"/>
  <c r="AI26" i="13"/>
  <c r="AH26" i="13"/>
  <c r="AG26" i="13"/>
  <c r="AE26" i="13"/>
  <c r="AD26" i="13"/>
  <c r="AB26" i="13"/>
  <c r="AA26" i="13"/>
  <c r="Z26" i="13"/>
  <c r="X26" i="13"/>
  <c r="W26" i="13"/>
  <c r="V26" i="13"/>
  <c r="T26" i="13"/>
  <c r="S26" i="13"/>
  <c r="R26" i="13"/>
  <c r="O26" i="13"/>
  <c r="L26" i="13"/>
  <c r="I26" i="13"/>
  <c r="H26" i="13"/>
  <c r="G26" i="13"/>
  <c r="F26" i="13"/>
  <c r="E26" i="13"/>
  <c r="BC25" i="13"/>
  <c r="BB25" i="13"/>
  <c r="BA25" i="13"/>
  <c r="AY25" i="13"/>
  <c r="AX25" i="13"/>
  <c r="AW25" i="13"/>
  <c r="AU25" i="13"/>
  <c r="AT25" i="13"/>
  <c r="AS25" i="13"/>
  <c r="AQ25" i="13"/>
  <c r="AP25" i="13"/>
  <c r="AO25" i="13"/>
  <c r="AM25" i="13"/>
  <c r="AL25" i="13"/>
  <c r="AK25" i="13"/>
  <c r="AI25" i="13"/>
  <c r="AH25" i="13"/>
  <c r="AG25" i="13"/>
  <c r="AE25" i="13"/>
  <c r="AD25" i="13"/>
  <c r="AB25" i="13"/>
  <c r="AA25" i="13"/>
  <c r="Z25" i="13"/>
  <c r="X25" i="13"/>
  <c r="W25" i="13"/>
  <c r="V25" i="13"/>
  <c r="T25" i="13"/>
  <c r="S25" i="13"/>
  <c r="R25" i="13"/>
  <c r="O25" i="13"/>
  <c r="L25" i="13"/>
  <c r="I25" i="13"/>
  <c r="H25" i="13"/>
  <c r="G25" i="13"/>
  <c r="F25" i="13"/>
  <c r="E25" i="13"/>
  <c r="BC24" i="13"/>
  <c r="BB24" i="13"/>
  <c r="BA24" i="13"/>
  <c r="AY24" i="13"/>
  <c r="AX24" i="13"/>
  <c r="AW24" i="13"/>
  <c r="AU24" i="13"/>
  <c r="AT24" i="13"/>
  <c r="AS24" i="13"/>
  <c r="AQ24" i="13"/>
  <c r="AP24" i="13"/>
  <c r="AO24" i="13"/>
  <c r="AM24" i="13"/>
  <c r="AL24" i="13"/>
  <c r="AK24" i="13"/>
  <c r="AI24" i="13"/>
  <c r="AH24" i="13"/>
  <c r="AG24" i="13"/>
  <c r="AE24" i="13"/>
  <c r="AD24" i="13"/>
  <c r="AB24" i="13"/>
  <c r="AA24" i="13"/>
  <c r="Z24" i="13"/>
  <c r="X24" i="13"/>
  <c r="W24" i="13"/>
  <c r="V24" i="13"/>
  <c r="T24" i="13"/>
  <c r="S24" i="13"/>
  <c r="R24" i="13"/>
  <c r="O24" i="13"/>
  <c r="L24" i="13"/>
  <c r="I24" i="13"/>
  <c r="H24" i="13"/>
  <c r="G24" i="13"/>
  <c r="F24" i="13"/>
  <c r="E24" i="13"/>
  <c r="BC23" i="13"/>
  <c r="BB23" i="13"/>
  <c r="BA23" i="13"/>
  <c r="AY23" i="13"/>
  <c r="AX23" i="13"/>
  <c r="AW23" i="13"/>
  <c r="AU23" i="13"/>
  <c r="AT23" i="13"/>
  <c r="AS23" i="13"/>
  <c r="AQ23" i="13"/>
  <c r="AP23" i="13"/>
  <c r="AO23" i="13"/>
  <c r="AM23" i="13"/>
  <c r="AL23" i="13"/>
  <c r="AK23" i="13"/>
  <c r="AI23" i="13"/>
  <c r="AH23" i="13"/>
  <c r="AG23" i="13"/>
  <c r="AE23" i="13"/>
  <c r="AD23" i="13"/>
  <c r="AB23" i="13"/>
  <c r="AA23" i="13"/>
  <c r="Z23" i="13"/>
  <c r="X23" i="13"/>
  <c r="W23" i="13"/>
  <c r="V23" i="13"/>
  <c r="T23" i="13"/>
  <c r="S23" i="13"/>
  <c r="R23" i="13"/>
  <c r="O23" i="13"/>
  <c r="L23" i="13"/>
  <c r="I23" i="13"/>
  <c r="H23" i="13"/>
  <c r="G23" i="13"/>
  <c r="F23" i="13"/>
  <c r="E23" i="13"/>
  <c r="BC22" i="13"/>
  <c r="BB22" i="13"/>
  <c r="BA22" i="13"/>
  <c r="AY22" i="13"/>
  <c r="AX22" i="13"/>
  <c r="AW22" i="13"/>
  <c r="AU22" i="13"/>
  <c r="AT22" i="13"/>
  <c r="AS22" i="13"/>
  <c r="AQ22" i="13"/>
  <c r="AP22" i="13"/>
  <c r="AO22" i="13"/>
  <c r="AM22" i="13"/>
  <c r="AL22" i="13"/>
  <c r="AK22" i="13"/>
  <c r="AI22" i="13"/>
  <c r="AH22" i="13"/>
  <c r="AG22" i="13"/>
  <c r="AE22" i="13"/>
  <c r="AD22" i="13"/>
  <c r="AB22" i="13"/>
  <c r="AA22" i="13"/>
  <c r="Z22" i="13"/>
  <c r="X22" i="13"/>
  <c r="W22" i="13"/>
  <c r="V22" i="13"/>
  <c r="T22" i="13"/>
  <c r="S22" i="13"/>
  <c r="R22" i="13"/>
  <c r="O22" i="13"/>
  <c r="L22" i="13"/>
  <c r="I22" i="13"/>
  <c r="H22" i="13"/>
  <c r="G22" i="13"/>
  <c r="F22" i="13"/>
  <c r="E22" i="13"/>
  <c r="BC21" i="13"/>
  <c r="BB21" i="13"/>
  <c r="BA21" i="13"/>
  <c r="AY21" i="13"/>
  <c r="AX21" i="13"/>
  <c r="AW21" i="13"/>
  <c r="AU21" i="13"/>
  <c r="AT21" i="13"/>
  <c r="AS21" i="13"/>
  <c r="AQ21" i="13"/>
  <c r="AP21" i="13"/>
  <c r="AO21" i="13"/>
  <c r="AM21" i="13"/>
  <c r="AL21" i="13"/>
  <c r="AK21" i="13"/>
  <c r="AI21" i="13"/>
  <c r="AH21" i="13"/>
  <c r="AG21" i="13"/>
  <c r="AE21" i="13"/>
  <c r="AD21" i="13"/>
  <c r="AB21" i="13"/>
  <c r="AA21" i="13"/>
  <c r="Z21" i="13"/>
  <c r="X21" i="13"/>
  <c r="W21" i="13"/>
  <c r="V21" i="13"/>
  <c r="T21" i="13"/>
  <c r="S21" i="13"/>
  <c r="R21" i="13"/>
  <c r="O21" i="13"/>
  <c r="L21" i="13"/>
  <c r="I21" i="13"/>
  <c r="H21" i="13"/>
  <c r="G21" i="13"/>
  <c r="F21" i="13"/>
  <c r="E21" i="13"/>
  <c r="BC20" i="13"/>
  <c r="BB20" i="13"/>
  <c r="BA20" i="13"/>
  <c r="AY20" i="13"/>
  <c r="AX20" i="13"/>
  <c r="AW20" i="13"/>
  <c r="AU20" i="13"/>
  <c r="AT20" i="13"/>
  <c r="AS20" i="13"/>
  <c r="AQ20" i="13"/>
  <c r="AP20" i="13"/>
  <c r="AO20" i="13"/>
  <c r="AM20" i="13"/>
  <c r="AL20" i="13"/>
  <c r="AK20" i="13"/>
  <c r="AI20" i="13"/>
  <c r="AH20" i="13"/>
  <c r="AG20" i="13"/>
  <c r="AE20" i="13"/>
  <c r="AD20" i="13"/>
  <c r="AB20" i="13"/>
  <c r="AA20" i="13"/>
  <c r="Z20" i="13"/>
  <c r="X20" i="13"/>
  <c r="W20" i="13"/>
  <c r="V20" i="13"/>
  <c r="T20" i="13"/>
  <c r="S20" i="13"/>
  <c r="R20" i="13"/>
  <c r="O20" i="13"/>
  <c r="L20" i="13"/>
  <c r="I20" i="13"/>
  <c r="H20" i="13"/>
  <c r="G20" i="13"/>
  <c r="F20" i="13"/>
  <c r="E20" i="13"/>
  <c r="BC19" i="13"/>
  <c r="BB19" i="13"/>
  <c r="BA19" i="13"/>
  <c r="AY19" i="13"/>
  <c r="AX19" i="13"/>
  <c r="AW19" i="13"/>
  <c r="AU19" i="13"/>
  <c r="AT19" i="13"/>
  <c r="AS19" i="13"/>
  <c r="AQ19" i="13"/>
  <c r="AP19" i="13"/>
  <c r="AO19" i="13"/>
  <c r="AM19" i="13"/>
  <c r="AL19" i="13"/>
  <c r="AK19" i="13"/>
  <c r="AI19" i="13"/>
  <c r="AH19" i="13"/>
  <c r="AG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L19" i="13"/>
  <c r="I19" i="13"/>
  <c r="H19" i="13"/>
  <c r="G19" i="13"/>
  <c r="F19" i="13"/>
  <c r="E19" i="13"/>
  <c r="BC18" i="13"/>
  <c r="BB18" i="13"/>
  <c r="BA18" i="13"/>
  <c r="AY18" i="13"/>
  <c r="AX18" i="13"/>
  <c r="AW18" i="13"/>
  <c r="AU18" i="13"/>
  <c r="AT18" i="13"/>
  <c r="AS18" i="13"/>
  <c r="AQ18" i="13"/>
  <c r="AP18" i="13"/>
  <c r="AO18" i="13"/>
  <c r="AM18" i="13"/>
  <c r="AL18" i="13"/>
  <c r="AK18" i="13"/>
  <c r="AI18" i="13"/>
  <c r="AH18" i="13"/>
  <c r="AG18" i="13"/>
  <c r="AE18" i="13"/>
  <c r="AD18" i="13"/>
  <c r="AB18" i="13"/>
  <c r="AA18" i="13"/>
  <c r="Z18" i="13"/>
  <c r="X18" i="13"/>
  <c r="W18" i="13"/>
  <c r="V18" i="13"/>
  <c r="T18" i="13"/>
  <c r="S18" i="13"/>
  <c r="R18" i="13"/>
  <c r="O18" i="13"/>
  <c r="L18" i="13"/>
  <c r="I18" i="13"/>
  <c r="H18" i="13"/>
  <c r="G18" i="13"/>
  <c r="F18" i="13"/>
  <c r="E18" i="13"/>
  <c r="BC17" i="13"/>
  <c r="BB17" i="13"/>
  <c r="BA17" i="13"/>
  <c r="AY17" i="13"/>
  <c r="AX17" i="13"/>
  <c r="AW17" i="13"/>
  <c r="AU17" i="13"/>
  <c r="AT17" i="13"/>
  <c r="AS17" i="13"/>
  <c r="AQ17" i="13"/>
  <c r="AP17" i="13"/>
  <c r="AO17" i="13"/>
  <c r="AM17" i="13"/>
  <c r="AL17" i="13"/>
  <c r="AK17" i="13"/>
  <c r="AI17" i="13"/>
  <c r="AH17" i="13"/>
  <c r="AG17" i="13"/>
  <c r="AE17" i="13"/>
  <c r="AD17" i="13"/>
  <c r="AB17" i="13"/>
  <c r="AA17" i="13"/>
  <c r="Z17" i="13"/>
  <c r="X17" i="13"/>
  <c r="W17" i="13"/>
  <c r="V17" i="13"/>
  <c r="T17" i="13"/>
  <c r="S17" i="13"/>
  <c r="R17" i="13"/>
  <c r="O17" i="13"/>
  <c r="L17" i="13"/>
  <c r="I17" i="13"/>
  <c r="H17" i="13"/>
  <c r="G17" i="13"/>
  <c r="F17" i="13"/>
  <c r="E17" i="13"/>
  <c r="BC16" i="13"/>
  <c r="BB16" i="13"/>
  <c r="BA16" i="13"/>
  <c r="AY16" i="13"/>
  <c r="AX16" i="13"/>
  <c r="AW16" i="13"/>
  <c r="AU16" i="13"/>
  <c r="AT16" i="13"/>
  <c r="AS16" i="13"/>
  <c r="AQ16" i="13"/>
  <c r="AP16" i="13"/>
  <c r="AO16" i="13"/>
  <c r="AM16" i="13"/>
  <c r="AL16" i="13"/>
  <c r="AK16" i="13"/>
  <c r="AI16" i="13"/>
  <c r="AH16" i="13"/>
  <c r="AG16" i="13"/>
  <c r="AE16" i="13"/>
  <c r="AD16" i="13"/>
  <c r="AB16" i="13"/>
  <c r="AA16" i="13"/>
  <c r="Z16" i="13"/>
  <c r="X16" i="13"/>
  <c r="W16" i="13"/>
  <c r="V16" i="13"/>
  <c r="T16" i="13"/>
  <c r="S16" i="13"/>
  <c r="R16" i="13"/>
  <c r="O16" i="13"/>
  <c r="L16" i="13"/>
  <c r="I16" i="13"/>
  <c r="H16" i="13"/>
  <c r="G16" i="13"/>
  <c r="F16" i="13"/>
  <c r="E16" i="13"/>
  <c r="BC15" i="13"/>
  <c r="BB15" i="13"/>
  <c r="BA15" i="13"/>
  <c r="AY15" i="13"/>
  <c r="AX15" i="13"/>
  <c r="AW15" i="13"/>
  <c r="AU15" i="13"/>
  <c r="AT15" i="13"/>
  <c r="AS15" i="13"/>
  <c r="AQ15" i="13"/>
  <c r="AP15" i="13"/>
  <c r="AO15" i="13"/>
  <c r="AM15" i="13"/>
  <c r="AL15" i="13"/>
  <c r="AK15" i="13"/>
  <c r="AI15" i="13"/>
  <c r="AH15" i="13"/>
  <c r="AG15" i="13"/>
  <c r="AE15" i="13"/>
  <c r="AD15" i="13"/>
  <c r="AB15" i="13"/>
  <c r="AA15" i="13"/>
  <c r="Z15" i="13"/>
  <c r="X15" i="13"/>
  <c r="W15" i="13"/>
  <c r="V15" i="13"/>
  <c r="T15" i="13"/>
  <c r="S15" i="13"/>
  <c r="R15" i="13"/>
  <c r="O15" i="13"/>
  <c r="L15" i="13"/>
  <c r="I15" i="13"/>
  <c r="H15" i="13"/>
  <c r="G15" i="13"/>
  <c r="F15" i="13"/>
  <c r="E15" i="13"/>
  <c r="BC14" i="13"/>
  <c r="BB14" i="13"/>
  <c r="BA14" i="13"/>
  <c r="AY14" i="13"/>
  <c r="AX14" i="13"/>
  <c r="AW14" i="13"/>
  <c r="AU14" i="13"/>
  <c r="AT14" i="13"/>
  <c r="AS14" i="13"/>
  <c r="AQ14" i="13"/>
  <c r="AP14" i="13"/>
  <c r="AO14" i="13"/>
  <c r="AM14" i="13"/>
  <c r="AL14" i="13"/>
  <c r="AK14" i="13"/>
  <c r="AI14" i="13"/>
  <c r="AH14" i="13"/>
  <c r="AG14" i="13"/>
  <c r="AE14" i="13"/>
  <c r="AD14" i="13"/>
  <c r="AB14" i="13"/>
  <c r="AA14" i="13"/>
  <c r="Z14" i="13"/>
  <c r="X14" i="13"/>
  <c r="W14" i="13"/>
  <c r="V14" i="13"/>
  <c r="T14" i="13"/>
  <c r="S14" i="13"/>
  <c r="R14" i="13"/>
  <c r="O14" i="13"/>
  <c r="L14" i="13"/>
  <c r="I14" i="13"/>
  <c r="H14" i="13"/>
  <c r="G14" i="13"/>
  <c r="F14" i="13"/>
  <c r="E14" i="13"/>
  <c r="BD12" i="13"/>
  <c r="AZ12" i="13"/>
  <c r="AV12" i="13"/>
  <c r="AR12" i="13"/>
  <c r="AN12" i="13"/>
  <c r="AJ12" i="13"/>
  <c r="AF12" i="13"/>
  <c r="AC12" i="13"/>
  <c r="Y12" i="13"/>
  <c r="U12" i="13"/>
  <c r="Q12" i="13"/>
  <c r="N12" i="13"/>
  <c r="M12" i="13"/>
  <c r="J12" i="13"/>
  <c r="C12" i="13"/>
  <c r="K12" i="13" s="1"/>
  <c r="AF11" i="13"/>
  <c r="AF10" i="13"/>
  <c r="AF9" i="13"/>
  <c r="O116" i="12"/>
  <c r="L116" i="12"/>
  <c r="I116" i="12"/>
  <c r="Q116" i="12" s="1"/>
  <c r="H116" i="12"/>
  <c r="N116" i="12" s="1"/>
  <c r="G116" i="12"/>
  <c r="P116" i="12" s="1"/>
  <c r="F116" i="12"/>
  <c r="E116" i="12"/>
  <c r="O115" i="12"/>
  <c r="L115" i="12"/>
  <c r="I115" i="12"/>
  <c r="Q115" i="12" s="1"/>
  <c r="H115" i="12"/>
  <c r="N115" i="12" s="1"/>
  <c r="G115" i="12"/>
  <c r="P115" i="12" s="1"/>
  <c r="F115" i="12"/>
  <c r="E115" i="12"/>
  <c r="O114" i="12"/>
  <c r="L114" i="12"/>
  <c r="I114" i="12"/>
  <c r="Q114" i="12" s="1"/>
  <c r="H114" i="12"/>
  <c r="N114" i="12" s="1"/>
  <c r="G114" i="12"/>
  <c r="P114" i="12" s="1"/>
  <c r="F114" i="12"/>
  <c r="E114" i="12"/>
  <c r="O113" i="12"/>
  <c r="L113" i="12"/>
  <c r="I113" i="12"/>
  <c r="Q113" i="12" s="1"/>
  <c r="H113" i="12"/>
  <c r="N113" i="12" s="1"/>
  <c r="G113" i="12"/>
  <c r="P113" i="12" s="1"/>
  <c r="F113" i="12"/>
  <c r="E113" i="12"/>
  <c r="O112" i="12"/>
  <c r="L112" i="12"/>
  <c r="I112" i="12"/>
  <c r="Q112" i="12" s="1"/>
  <c r="H112" i="12"/>
  <c r="N112" i="12" s="1"/>
  <c r="G112" i="12"/>
  <c r="P112" i="12" s="1"/>
  <c r="F112" i="12"/>
  <c r="E112" i="12"/>
  <c r="O111" i="12"/>
  <c r="L111" i="12"/>
  <c r="I111" i="12"/>
  <c r="Q111" i="12" s="1"/>
  <c r="H111" i="12"/>
  <c r="N111" i="12" s="1"/>
  <c r="G111" i="12"/>
  <c r="P111" i="12" s="1"/>
  <c r="F111" i="12"/>
  <c r="E111" i="12"/>
  <c r="O110" i="12"/>
  <c r="L110" i="12"/>
  <c r="I110" i="12"/>
  <c r="Q110" i="12" s="1"/>
  <c r="H110" i="12"/>
  <c r="N110" i="12" s="1"/>
  <c r="G110" i="12"/>
  <c r="P110" i="12" s="1"/>
  <c r="F110" i="12"/>
  <c r="E110" i="12"/>
  <c r="O109" i="12"/>
  <c r="L109" i="12"/>
  <c r="I109" i="12"/>
  <c r="Q109" i="12" s="1"/>
  <c r="H109" i="12"/>
  <c r="N109" i="12" s="1"/>
  <c r="G109" i="12"/>
  <c r="P109" i="12" s="1"/>
  <c r="F109" i="12"/>
  <c r="E109" i="12"/>
  <c r="O108" i="12"/>
  <c r="L108" i="12"/>
  <c r="I108" i="12"/>
  <c r="Q108" i="12" s="1"/>
  <c r="H108" i="12"/>
  <c r="N108" i="12" s="1"/>
  <c r="G108" i="12"/>
  <c r="P108" i="12" s="1"/>
  <c r="F108" i="12"/>
  <c r="E108" i="12"/>
  <c r="O107" i="12"/>
  <c r="L107" i="12"/>
  <c r="I107" i="12"/>
  <c r="Q107" i="12" s="1"/>
  <c r="H107" i="12"/>
  <c r="N107" i="12" s="1"/>
  <c r="G107" i="12"/>
  <c r="P107" i="12" s="1"/>
  <c r="F107" i="12"/>
  <c r="E107" i="12"/>
  <c r="O106" i="12"/>
  <c r="L106" i="12"/>
  <c r="I106" i="12"/>
  <c r="Q106" i="12" s="1"/>
  <c r="H106" i="12"/>
  <c r="N106" i="12" s="1"/>
  <c r="G106" i="12"/>
  <c r="P106" i="12" s="1"/>
  <c r="F106" i="12"/>
  <c r="E106" i="12"/>
  <c r="O105" i="12"/>
  <c r="L105" i="12"/>
  <c r="I105" i="12"/>
  <c r="Q105" i="12" s="1"/>
  <c r="H105" i="12"/>
  <c r="G105" i="12"/>
  <c r="P105" i="12" s="1"/>
  <c r="F105" i="12"/>
  <c r="E105" i="12"/>
  <c r="O104" i="12"/>
  <c r="O11" i="12" s="1"/>
  <c r="L104" i="12"/>
  <c r="I104" i="12"/>
  <c r="Q104" i="12" s="1"/>
  <c r="H104" i="12"/>
  <c r="H11" i="12" s="1"/>
  <c r="G104" i="12"/>
  <c r="P104" i="12" s="1"/>
  <c r="F104" i="12"/>
  <c r="F11" i="12" s="1"/>
  <c r="E104" i="12"/>
  <c r="E11" i="12" s="1"/>
  <c r="O103" i="12"/>
  <c r="L103" i="12"/>
  <c r="I103" i="12"/>
  <c r="Q103" i="12" s="1"/>
  <c r="H103" i="12"/>
  <c r="N103" i="12" s="1"/>
  <c r="G103" i="12"/>
  <c r="P103" i="12" s="1"/>
  <c r="F103" i="12"/>
  <c r="E103" i="12"/>
  <c r="O102" i="12"/>
  <c r="L102" i="12"/>
  <c r="I102" i="12"/>
  <c r="Q102" i="12" s="1"/>
  <c r="H102" i="12"/>
  <c r="N102" i="12" s="1"/>
  <c r="G102" i="12"/>
  <c r="P102" i="12" s="1"/>
  <c r="F102" i="12"/>
  <c r="E102" i="12"/>
  <c r="O101" i="12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N100" i="12" s="1"/>
  <c r="G100" i="12"/>
  <c r="P100" i="12" s="1"/>
  <c r="F100" i="12"/>
  <c r="E100" i="12"/>
  <c r="O99" i="12"/>
  <c r="L99" i="12"/>
  <c r="I99" i="12"/>
  <c r="Q99" i="12" s="1"/>
  <c r="H99" i="12"/>
  <c r="N99" i="12" s="1"/>
  <c r="G99" i="12"/>
  <c r="P99" i="12" s="1"/>
  <c r="F99" i="12"/>
  <c r="E99" i="12"/>
  <c r="O98" i="12"/>
  <c r="L98" i="12"/>
  <c r="I98" i="12"/>
  <c r="Q98" i="12" s="1"/>
  <c r="H98" i="12"/>
  <c r="N98" i="12" s="1"/>
  <c r="G98" i="12"/>
  <c r="P98" i="12" s="1"/>
  <c r="F98" i="12"/>
  <c r="E98" i="12"/>
  <c r="O97" i="12"/>
  <c r="L97" i="12"/>
  <c r="I97" i="12"/>
  <c r="Q97" i="12" s="1"/>
  <c r="H97" i="12"/>
  <c r="N97" i="12" s="1"/>
  <c r="G97" i="12"/>
  <c r="P97" i="12" s="1"/>
  <c r="F97" i="12"/>
  <c r="E97" i="12"/>
  <c r="O96" i="12"/>
  <c r="L96" i="12"/>
  <c r="I96" i="12"/>
  <c r="Q96" i="12" s="1"/>
  <c r="H96" i="12"/>
  <c r="N96" i="12" s="1"/>
  <c r="G96" i="12"/>
  <c r="P96" i="12" s="1"/>
  <c r="F96" i="12"/>
  <c r="E96" i="12"/>
  <c r="O95" i="12"/>
  <c r="L95" i="12"/>
  <c r="I95" i="12"/>
  <c r="Q95" i="12" s="1"/>
  <c r="H95" i="12"/>
  <c r="G95" i="12"/>
  <c r="P95" i="12" s="1"/>
  <c r="F95" i="12"/>
  <c r="E95" i="12"/>
  <c r="O94" i="12"/>
  <c r="L94" i="12"/>
  <c r="I94" i="12"/>
  <c r="Q94" i="12" s="1"/>
  <c r="H94" i="12"/>
  <c r="N94" i="12" s="1"/>
  <c r="G94" i="12"/>
  <c r="P94" i="12" s="1"/>
  <c r="F94" i="12"/>
  <c r="E94" i="12"/>
  <c r="O93" i="12"/>
  <c r="L93" i="12"/>
  <c r="I93" i="12"/>
  <c r="Q93" i="12" s="1"/>
  <c r="H93" i="12"/>
  <c r="N93" i="12" s="1"/>
  <c r="G93" i="12"/>
  <c r="P93" i="12" s="1"/>
  <c r="F93" i="12"/>
  <c r="E93" i="12"/>
  <c r="A93" i="12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O92" i="12"/>
  <c r="L92" i="12"/>
  <c r="I92" i="12"/>
  <c r="Q92" i="12" s="1"/>
  <c r="H92" i="12"/>
  <c r="N92" i="12" s="1"/>
  <c r="G92" i="12"/>
  <c r="P92" i="12" s="1"/>
  <c r="F92" i="12"/>
  <c r="E92" i="12"/>
  <c r="O91" i="12"/>
  <c r="L91" i="12"/>
  <c r="I91" i="12"/>
  <c r="Q91" i="12" s="1"/>
  <c r="H91" i="12"/>
  <c r="N91" i="12" s="1"/>
  <c r="G91" i="12"/>
  <c r="P91" i="12" s="1"/>
  <c r="F91" i="12"/>
  <c r="E91" i="12"/>
  <c r="O90" i="12"/>
  <c r="L90" i="12"/>
  <c r="I90" i="12"/>
  <c r="Q90" i="12" s="1"/>
  <c r="H90" i="12"/>
  <c r="N90" i="12" s="1"/>
  <c r="G90" i="12"/>
  <c r="P90" i="12" s="1"/>
  <c r="F90" i="12"/>
  <c r="E90" i="12"/>
  <c r="Z88" i="12"/>
  <c r="Y88" i="12"/>
  <c r="X88" i="12"/>
  <c r="V88" i="12"/>
  <c r="U88" i="12"/>
  <c r="S88" i="12"/>
  <c r="R88" i="12"/>
  <c r="O88" i="12"/>
  <c r="L88" i="12"/>
  <c r="I88" i="12"/>
  <c r="Q88" i="12" s="1"/>
  <c r="H88" i="12"/>
  <c r="G88" i="12"/>
  <c r="P88" i="12" s="1"/>
  <c r="F88" i="12"/>
  <c r="E88" i="12"/>
  <c r="Z87" i="12"/>
  <c r="Y87" i="12"/>
  <c r="X87" i="12"/>
  <c r="V87" i="12"/>
  <c r="U87" i="12"/>
  <c r="S87" i="12"/>
  <c r="R87" i="12"/>
  <c r="O87" i="12"/>
  <c r="L87" i="12"/>
  <c r="I87" i="12"/>
  <c r="Q87" i="12" s="1"/>
  <c r="H87" i="12"/>
  <c r="G87" i="12"/>
  <c r="P87" i="12" s="1"/>
  <c r="F87" i="12"/>
  <c r="E87" i="12"/>
  <c r="Z86" i="12"/>
  <c r="Y86" i="12"/>
  <c r="X86" i="12"/>
  <c r="V86" i="12"/>
  <c r="U86" i="12"/>
  <c r="S86" i="12"/>
  <c r="R86" i="12"/>
  <c r="O86" i="12"/>
  <c r="L86" i="12"/>
  <c r="I86" i="12"/>
  <c r="Q86" i="12" s="1"/>
  <c r="H86" i="12"/>
  <c r="G86" i="12"/>
  <c r="P86" i="12" s="1"/>
  <c r="F86" i="12"/>
  <c r="E86" i="12"/>
  <c r="Z85" i="12"/>
  <c r="Y85" i="12"/>
  <c r="X85" i="12"/>
  <c r="V85" i="12"/>
  <c r="U85" i="12"/>
  <c r="S85" i="12"/>
  <c r="R85" i="12"/>
  <c r="O85" i="12"/>
  <c r="L85" i="12"/>
  <c r="I85" i="12"/>
  <c r="Q85" i="12" s="1"/>
  <c r="H85" i="12"/>
  <c r="G85" i="12"/>
  <c r="P85" i="12" s="1"/>
  <c r="F85" i="12"/>
  <c r="E85" i="12"/>
  <c r="Z84" i="12"/>
  <c r="Y84" i="12"/>
  <c r="X84" i="12"/>
  <c r="V84" i="12"/>
  <c r="U84" i="12"/>
  <c r="S84" i="12"/>
  <c r="R84" i="12"/>
  <c r="O84" i="12"/>
  <c r="L84" i="12"/>
  <c r="I84" i="12"/>
  <c r="Q84" i="12" s="1"/>
  <c r="H84" i="12"/>
  <c r="G84" i="12"/>
  <c r="P84" i="12" s="1"/>
  <c r="F84" i="12"/>
  <c r="E84" i="12"/>
  <c r="Z83" i="12"/>
  <c r="Y83" i="12"/>
  <c r="X83" i="12"/>
  <c r="V83" i="12"/>
  <c r="U83" i="12"/>
  <c r="S83" i="12"/>
  <c r="R83" i="12"/>
  <c r="O83" i="12"/>
  <c r="L83" i="12"/>
  <c r="I83" i="12"/>
  <c r="Q83" i="12" s="1"/>
  <c r="H83" i="12"/>
  <c r="G83" i="12"/>
  <c r="P83" i="12" s="1"/>
  <c r="F83" i="12"/>
  <c r="E83" i="12"/>
  <c r="Z82" i="12"/>
  <c r="Y82" i="12"/>
  <c r="X82" i="12"/>
  <c r="V82" i="12"/>
  <c r="U82" i="12"/>
  <c r="S82" i="12"/>
  <c r="R82" i="12"/>
  <c r="O82" i="12"/>
  <c r="L82" i="12"/>
  <c r="I82" i="12"/>
  <c r="Q82" i="12" s="1"/>
  <c r="H82" i="12"/>
  <c r="G82" i="12"/>
  <c r="P82" i="12" s="1"/>
  <c r="F82" i="12"/>
  <c r="E82" i="12"/>
  <c r="Z81" i="12"/>
  <c r="Y81" i="12"/>
  <c r="X81" i="12"/>
  <c r="V81" i="12"/>
  <c r="U81" i="12"/>
  <c r="S81" i="12"/>
  <c r="R81" i="12"/>
  <c r="O81" i="12"/>
  <c r="L81" i="12"/>
  <c r="I81" i="12"/>
  <c r="Q81" i="12" s="1"/>
  <c r="H81" i="12"/>
  <c r="G81" i="12"/>
  <c r="P81" i="12" s="1"/>
  <c r="F81" i="12"/>
  <c r="E81" i="12"/>
  <c r="Z80" i="12"/>
  <c r="Y80" i="12"/>
  <c r="X80" i="12"/>
  <c r="V80" i="12"/>
  <c r="U80" i="12"/>
  <c r="S80" i="12"/>
  <c r="R80" i="12"/>
  <c r="O80" i="12"/>
  <c r="L80" i="12"/>
  <c r="I80" i="12"/>
  <c r="Q80" i="12" s="1"/>
  <c r="H80" i="12"/>
  <c r="G80" i="12"/>
  <c r="P80" i="12" s="1"/>
  <c r="F80" i="12"/>
  <c r="E80" i="12"/>
  <c r="Z79" i="12"/>
  <c r="Y79" i="12"/>
  <c r="X79" i="12"/>
  <c r="V79" i="12"/>
  <c r="U79" i="12"/>
  <c r="S79" i="12"/>
  <c r="R79" i="12"/>
  <c r="O79" i="12"/>
  <c r="L79" i="12"/>
  <c r="I79" i="12"/>
  <c r="Q79" i="12" s="1"/>
  <c r="H79" i="12"/>
  <c r="G79" i="12"/>
  <c r="P79" i="12" s="1"/>
  <c r="F79" i="12"/>
  <c r="E79" i="12"/>
  <c r="Z78" i="12"/>
  <c r="Y78" i="12"/>
  <c r="X78" i="12"/>
  <c r="V78" i="12"/>
  <c r="U78" i="12"/>
  <c r="S78" i="12"/>
  <c r="R78" i="12"/>
  <c r="O78" i="12"/>
  <c r="L78" i="12"/>
  <c r="I78" i="12"/>
  <c r="Q78" i="12" s="1"/>
  <c r="H78" i="12"/>
  <c r="G78" i="12"/>
  <c r="P78" i="12" s="1"/>
  <c r="F78" i="12"/>
  <c r="E78" i="12"/>
  <c r="Z77" i="12"/>
  <c r="Y77" i="12"/>
  <c r="X77" i="12"/>
  <c r="V77" i="12"/>
  <c r="U77" i="12"/>
  <c r="S77" i="12"/>
  <c r="R77" i="12"/>
  <c r="O77" i="12"/>
  <c r="L77" i="12"/>
  <c r="I77" i="12"/>
  <c r="Q77" i="12" s="1"/>
  <c r="H77" i="12"/>
  <c r="G77" i="12"/>
  <c r="P77" i="12" s="1"/>
  <c r="F77" i="12"/>
  <c r="E77" i="12"/>
  <c r="Z76" i="12"/>
  <c r="Y76" i="12"/>
  <c r="X76" i="12"/>
  <c r="V76" i="12"/>
  <c r="U76" i="12"/>
  <c r="S76" i="12"/>
  <c r="R76" i="12"/>
  <c r="O76" i="12"/>
  <c r="L76" i="12"/>
  <c r="I76" i="12"/>
  <c r="Q76" i="12" s="1"/>
  <c r="H76" i="12"/>
  <c r="G76" i="12"/>
  <c r="P76" i="12" s="1"/>
  <c r="F76" i="12"/>
  <c r="E76" i="12"/>
  <c r="Z75" i="12"/>
  <c r="Y75" i="12"/>
  <c r="X75" i="12"/>
  <c r="V75" i="12"/>
  <c r="U75" i="12"/>
  <c r="S75" i="12"/>
  <c r="R75" i="12"/>
  <c r="O75" i="12"/>
  <c r="L75" i="12"/>
  <c r="I75" i="12"/>
  <c r="Q75" i="12" s="1"/>
  <c r="H75" i="12"/>
  <c r="G75" i="12"/>
  <c r="P75" i="12" s="1"/>
  <c r="F75" i="12"/>
  <c r="E75" i="12"/>
  <c r="Z73" i="12"/>
  <c r="Y73" i="12"/>
  <c r="X73" i="12"/>
  <c r="V73" i="12"/>
  <c r="U73" i="12"/>
  <c r="S73" i="12"/>
  <c r="R73" i="12"/>
  <c r="O73" i="12"/>
  <c r="L73" i="12"/>
  <c r="I73" i="12"/>
  <c r="Q73" i="12" s="1"/>
  <c r="H73" i="12"/>
  <c r="G73" i="12"/>
  <c r="P73" i="12" s="1"/>
  <c r="F73" i="12"/>
  <c r="E73" i="12"/>
  <c r="Z72" i="12"/>
  <c r="Y72" i="12"/>
  <c r="X72" i="12"/>
  <c r="V72" i="12"/>
  <c r="U72" i="12"/>
  <c r="S72" i="12"/>
  <c r="R72" i="12"/>
  <c r="O72" i="12"/>
  <c r="L72" i="12"/>
  <c r="I72" i="12"/>
  <c r="Q72" i="12" s="1"/>
  <c r="H72" i="12"/>
  <c r="G72" i="12"/>
  <c r="P72" i="12" s="1"/>
  <c r="F72" i="12"/>
  <c r="E72" i="12"/>
  <c r="Z71" i="12"/>
  <c r="Y71" i="12"/>
  <c r="X71" i="12"/>
  <c r="V71" i="12"/>
  <c r="U71" i="12"/>
  <c r="S71" i="12"/>
  <c r="R71" i="12"/>
  <c r="O71" i="12"/>
  <c r="L71" i="12"/>
  <c r="I71" i="12"/>
  <c r="Q71" i="12" s="1"/>
  <c r="H71" i="12"/>
  <c r="G71" i="12"/>
  <c r="P71" i="12" s="1"/>
  <c r="F71" i="12"/>
  <c r="E71" i="12"/>
  <c r="Z70" i="12"/>
  <c r="Y70" i="12"/>
  <c r="X70" i="12"/>
  <c r="V70" i="12"/>
  <c r="U70" i="12"/>
  <c r="S70" i="12"/>
  <c r="R70" i="12"/>
  <c r="O70" i="12"/>
  <c r="L70" i="12"/>
  <c r="I70" i="12"/>
  <c r="Q70" i="12" s="1"/>
  <c r="H70" i="12"/>
  <c r="G70" i="12"/>
  <c r="P70" i="12" s="1"/>
  <c r="F70" i="12"/>
  <c r="E70" i="12"/>
  <c r="Z69" i="12"/>
  <c r="Y69" i="12"/>
  <c r="X69" i="12"/>
  <c r="V69" i="12"/>
  <c r="U69" i="12"/>
  <c r="S69" i="12"/>
  <c r="R69" i="12"/>
  <c r="O69" i="12"/>
  <c r="L69" i="12"/>
  <c r="I69" i="12"/>
  <c r="Q69" i="12" s="1"/>
  <c r="H69" i="12"/>
  <c r="G69" i="12"/>
  <c r="P69" i="12" s="1"/>
  <c r="F69" i="12"/>
  <c r="E69" i="12"/>
  <c r="Z68" i="12"/>
  <c r="Y68" i="12"/>
  <c r="X68" i="12"/>
  <c r="V68" i="12"/>
  <c r="U68" i="12"/>
  <c r="S68" i="12"/>
  <c r="R68" i="12"/>
  <c r="O68" i="12"/>
  <c r="L68" i="12"/>
  <c r="I68" i="12"/>
  <c r="Q68" i="12" s="1"/>
  <c r="H68" i="12"/>
  <c r="G68" i="12"/>
  <c r="P68" i="12" s="1"/>
  <c r="F68" i="12"/>
  <c r="E68" i="12"/>
  <c r="Z67" i="12"/>
  <c r="Y67" i="12"/>
  <c r="X67" i="12"/>
  <c r="V67" i="12"/>
  <c r="U67" i="12"/>
  <c r="S67" i="12"/>
  <c r="R67" i="12"/>
  <c r="O67" i="12"/>
  <c r="L67" i="12"/>
  <c r="I67" i="12"/>
  <c r="Q67" i="12" s="1"/>
  <c r="H67" i="12"/>
  <c r="G67" i="12"/>
  <c r="P67" i="12" s="1"/>
  <c r="F67" i="12"/>
  <c r="E67" i="12"/>
  <c r="Z66" i="12"/>
  <c r="Y66" i="12"/>
  <c r="X66" i="12"/>
  <c r="V66" i="12"/>
  <c r="U66" i="12"/>
  <c r="S66" i="12"/>
  <c r="R66" i="12"/>
  <c r="O66" i="12"/>
  <c r="L66" i="12"/>
  <c r="I66" i="12"/>
  <c r="Q66" i="12" s="1"/>
  <c r="H66" i="12"/>
  <c r="G66" i="12"/>
  <c r="P66" i="12" s="1"/>
  <c r="F66" i="12"/>
  <c r="E66" i="12"/>
  <c r="Z65" i="12"/>
  <c r="Y65" i="12"/>
  <c r="X65" i="12"/>
  <c r="V65" i="12"/>
  <c r="U65" i="12"/>
  <c r="S65" i="12"/>
  <c r="R65" i="12"/>
  <c r="O65" i="12"/>
  <c r="L65" i="12"/>
  <c r="I65" i="12"/>
  <c r="Q65" i="12" s="1"/>
  <c r="H65" i="12"/>
  <c r="G65" i="12"/>
  <c r="P65" i="12" s="1"/>
  <c r="F65" i="12"/>
  <c r="E65" i="12"/>
  <c r="Z64" i="12"/>
  <c r="Y64" i="12"/>
  <c r="X64" i="12"/>
  <c r="V64" i="12"/>
  <c r="U64" i="12"/>
  <c r="S64" i="12"/>
  <c r="R64" i="12"/>
  <c r="O64" i="12"/>
  <c r="L64" i="12"/>
  <c r="I64" i="12"/>
  <c r="Q64" i="12" s="1"/>
  <c r="H64" i="12"/>
  <c r="G64" i="12"/>
  <c r="P64" i="12" s="1"/>
  <c r="F64" i="12"/>
  <c r="E64" i="12"/>
  <c r="Z63" i="12"/>
  <c r="Y63" i="12"/>
  <c r="X63" i="12"/>
  <c r="V63" i="12"/>
  <c r="U63" i="12"/>
  <c r="S63" i="12"/>
  <c r="R63" i="12"/>
  <c r="O63" i="12"/>
  <c r="L63" i="12"/>
  <c r="I63" i="12"/>
  <c r="Q63" i="12" s="1"/>
  <c r="H63" i="12"/>
  <c r="G63" i="12"/>
  <c r="P63" i="12" s="1"/>
  <c r="F63" i="12"/>
  <c r="E63" i="12"/>
  <c r="Z62" i="12"/>
  <c r="Y62" i="12"/>
  <c r="X62" i="12"/>
  <c r="V62" i="12"/>
  <c r="U62" i="12"/>
  <c r="S62" i="12"/>
  <c r="R62" i="12"/>
  <c r="O62" i="12"/>
  <c r="L62" i="12"/>
  <c r="I62" i="12"/>
  <c r="Q62" i="12" s="1"/>
  <c r="H62" i="12"/>
  <c r="G62" i="12"/>
  <c r="P62" i="12" s="1"/>
  <c r="F62" i="12"/>
  <c r="E62" i="12"/>
  <c r="Z61" i="12"/>
  <c r="Y61" i="12"/>
  <c r="X61" i="12"/>
  <c r="V61" i="12"/>
  <c r="U61" i="12"/>
  <c r="S61" i="12"/>
  <c r="R61" i="12"/>
  <c r="O61" i="12"/>
  <c r="L61" i="12"/>
  <c r="I61" i="12"/>
  <c r="Q61" i="12" s="1"/>
  <c r="H61" i="12"/>
  <c r="G61" i="12"/>
  <c r="P61" i="12" s="1"/>
  <c r="F61" i="12"/>
  <c r="E61" i="12"/>
  <c r="Z60" i="12"/>
  <c r="Y60" i="12"/>
  <c r="X60" i="12"/>
  <c r="V60" i="12"/>
  <c r="U60" i="12"/>
  <c r="S60" i="12"/>
  <c r="R60" i="12"/>
  <c r="O60" i="12"/>
  <c r="L60" i="12"/>
  <c r="I60" i="12"/>
  <c r="Q60" i="12" s="1"/>
  <c r="H60" i="12"/>
  <c r="G60" i="12"/>
  <c r="P60" i="12" s="1"/>
  <c r="F60" i="12"/>
  <c r="E60" i="12"/>
  <c r="Z59" i="12"/>
  <c r="Y59" i="12"/>
  <c r="X59" i="12"/>
  <c r="V59" i="12"/>
  <c r="U59" i="12"/>
  <c r="S59" i="12"/>
  <c r="R59" i="12"/>
  <c r="O59" i="12"/>
  <c r="L59" i="12"/>
  <c r="I59" i="12"/>
  <c r="Q59" i="12" s="1"/>
  <c r="H59" i="12"/>
  <c r="G59" i="12"/>
  <c r="P59" i="12" s="1"/>
  <c r="F59" i="12"/>
  <c r="E59" i="12"/>
  <c r="Z58" i="12"/>
  <c r="Y58" i="12"/>
  <c r="X58" i="12"/>
  <c r="V58" i="12"/>
  <c r="U58" i="12"/>
  <c r="S58" i="12"/>
  <c r="R58" i="12"/>
  <c r="O58" i="12"/>
  <c r="L58" i="12"/>
  <c r="I58" i="12"/>
  <c r="Q58" i="12" s="1"/>
  <c r="H58" i="12"/>
  <c r="G58" i="12"/>
  <c r="P58" i="12" s="1"/>
  <c r="F58" i="12"/>
  <c r="E58" i="12"/>
  <c r="Z57" i="12"/>
  <c r="Y57" i="12"/>
  <c r="X57" i="12"/>
  <c r="V57" i="12"/>
  <c r="U57" i="12"/>
  <c r="S57" i="12"/>
  <c r="R57" i="12"/>
  <c r="O57" i="12"/>
  <c r="L57" i="12"/>
  <c r="I57" i="12"/>
  <c r="Q57" i="12" s="1"/>
  <c r="H57" i="12"/>
  <c r="G57" i="12"/>
  <c r="P57" i="12" s="1"/>
  <c r="F57" i="12"/>
  <c r="E57" i="12"/>
  <c r="Z56" i="12"/>
  <c r="Y56" i="12"/>
  <c r="X56" i="12"/>
  <c r="V56" i="12"/>
  <c r="U56" i="12"/>
  <c r="S56" i="12"/>
  <c r="R56" i="12"/>
  <c r="O56" i="12"/>
  <c r="L56" i="12"/>
  <c r="I56" i="12"/>
  <c r="H56" i="12"/>
  <c r="G56" i="12"/>
  <c r="F56" i="12"/>
  <c r="E56" i="12"/>
  <c r="Z55" i="12"/>
  <c r="Y55" i="12"/>
  <c r="X55" i="12"/>
  <c r="V55" i="12"/>
  <c r="U55" i="12"/>
  <c r="S55" i="12"/>
  <c r="R55" i="12"/>
  <c r="O55" i="12"/>
  <c r="L55" i="12"/>
  <c r="I55" i="12"/>
  <c r="H55" i="12"/>
  <c r="G55" i="12"/>
  <c r="F55" i="12"/>
  <c r="E55" i="12"/>
  <c r="Z54" i="12"/>
  <c r="Y54" i="12"/>
  <c r="X54" i="12"/>
  <c r="V54" i="12"/>
  <c r="U54" i="12"/>
  <c r="S54" i="12"/>
  <c r="R54" i="12"/>
  <c r="O54" i="12"/>
  <c r="L54" i="12"/>
  <c r="I54" i="12"/>
  <c r="Q54" i="12" s="1"/>
  <c r="H54" i="12"/>
  <c r="G54" i="12"/>
  <c r="P54" i="12" s="1"/>
  <c r="F54" i="12"/>
  <c r="E54" i="12"/>
  <c r="Z53" i="12"/>
  <c r="Y53" i="12"/>
  <c r="X53" i="12"/>
  <c r="V53" i="12"/>
  <c r="U53" i="12"/>
  <c r="S53" i="12"/>
  <c r="R53" i="12"/>
  <c r="O53" i="12"/>
  <c r="L53" i="12"/>
  <c r="I53" i="12"/>
  <c r="Q53" i="12" s="1"/>
  <c r="H53" i="12"/>
  <c r="G53" i="12"/>
  <c r="P53" i="12" s="1"/>
  <c r="F53" i="12"/>
  <c r="E53" i="12"/>
  <c r="Z51" i="12"/>
  <c r="Y51" i="12"/>
  <c r="X51" i="12"/>
  <c r="V51" i="12"/>
  <c r="U51" i="12"/>
  <c r="S51" i="12"/>
  <c r="R51" i="12"/>
  <c r="O51" i="12"/>
  <c r="L51" i="12"/>
  <c r="I51" i="12"/>
  <c r="Q51" i="12" s="1"/>
  <c r="H51" i="12"/>
  <c r="G51" i="12"/>
  <c r="P51" i="12" s="1"/>
  <c r="F51" i="12"/>
  <c r="E51" i="12"/>
  <c r="Z50" i="12"/>
  <c r="Y50" i="12"/>
  <c r="X50" i="12"/>
  <c r="V50" i="12"/>
  <c r="U50" i="12"/>
  <c r="S50" i="12"/>
  <c r="R50" i="12"/>
  <c r="O50" i="12"/>
  <c r="L50" i="12"/>
  <c r="I50" i="12"/>
  <c r="Q50" i="12" s="1"/>
  <c r="H50" i="12"/>
  <c r="G50" i="12"/>
  <c r="P50" i="12" s="1"/>
  <c r="F50" i="12"/>
  <c r="E50" i="12"/>
  <c r="Z49" i="12"/>
  <c r="Y49" i="12"/>
  <c r="X49" i="12"/>
  <c r="V49" i="12"/>
  <c r="U49" i="12"/>
  <c r="S49" i="12"/>
  <c r="R49" i="12"/>
  <c r="O49" i="12"/>
  <c r="L49" i="12"/>
  <c r="I49" i="12"/>
  <c r="Q49" i="12" s="1"/>
  <c r="H49" i="12"/>
  <c r="G49" i="12"/>
  <c r="P49" i="12" s="1"/>
  <c r="F49" i="12"/>
  <c r="E49" i="12"/>
  <c r="Z48" i="12"/>
  <c r="Y48" i="12"/>
  <c r="X48" i="12"/>
  <c r="V48" i="12"/>
  <c r="U48" i="12"/>
  <c r="S48" i="12"/>
  <c r="R48" i="12"/>
  <c r="O48" i="12"/>
  <c r="L48" i="12"/>
  <c r="I48" i="12"/>
  <c r="Q48" i="12" s="1"/>
  <c r="H48" i="12"/>
  <c r="G48" i="12"/>
  <c r="P48" i="12" s="1"/>
  <c r="F48" i="12"/>
  <c r="E48" i="12"/>
  <c r="Z47" i="12"/>
  <c r="Y47" i="12"/>
  <c r="X47" i="12"/>
  <c r="V47" i="12"/>
  <c r="U47" i="12"/>
  <c r="S47" i="12"/>
  <c r="R47" i="12"/>
  <c r="O47" i="12"/>
  <c r="L47" i="12"/>
  <c r="I47" i="12"/>
  <c r="Q47" i="12" s="1"/>
  <c r="H47" i="12"/>
  <c r="G47" i="12"/>
  <c r="P47" i="12" s="1"/>
  <c r="F47" i="12"/>
  <c r="E47" i="12"/>
  <c r="Z46" i="12"/>
  <c r="Y46" i="12"/>
  <c r="X46" i="12"/>
  <c r="V46" i="12"/>
  <c r="U46" i="12"/>
  <c r="S46" i="12"/>
  <c r="R46" i="12"/>
  <c r="O46" i="12"/>
  <c r="L46" i="12"/>
  <c r="I46" i="12"/>
  <c r="Q46" i="12" s="1"/>
  <c r="H46" i="12"/>
  <c r="G46" i="12"/>
  <c r="P46" i="12" s="1"/>
  <c r="F46" i="12"/>
  <c r="E46" i="12"/>
  <c r="Z45" i="12"/>
  <c r="Y45" i="12"/>
  <c r="X45" i="12"/>
  <c r="V45" i="12"/>
  <c r="U45" i="12"/>
  <c r="S45" i="12"/>
  <c r="R45" i="12"/>
  <c r="O45" i="12"/>
  <c r="L45" i="12"/>
  <c r="I45" i="12"/>
  <c r="Q45" i="12" s="1"/>
  <c r="H45" i="12"/>
  <c r="G45" i="12"/>
  <c r="P45" i="12" s="1"/>
  <c r="F45" i="12"/>
  <c r="E45" i="12"/>
  <c r="Z44" i="12"/>
  <c r="Y44" i="12"/>
  <c r="X44" i="12"/>
  <c r="V44" i="12"/>
  <c r="U44" i="12"/>
  <c r="S44" i="12"/>
  <c r="R44" i="12"/>
  <c r="O44" i="12"/>
  <c r="L44" i="12"/>
  <c r="I44" i="12"/>
  <c r="Q44" i="12" s="1"/>
  <c r="H44" i="12"/>
  <c r="G44" i="12"/>
  <c r="P44" i="12" s="1"/>
  <c r="F44" i="12"/>
  <c r="E44" i="12"/>
  <c r="Z43" i="12"/>
  <c r="Y43" i="12"/>
  <c r="X43" i="12"/>
  <c r="V43" i="12"/>
  <c r="U43" i="12"/>
  <c r="S43" i="12"/>
  <c r="R43" i="12"/>
  <c r="O43" i="12"/>
  <c r="L43" i="12"/>
  <c r="I43" i="12"/>
  <c r="Q43" i="12" s="1"/>
  <c r="H43" i="12"/>
  <c r="G43" i="12"/>
  <c r="P43" i="12" s="1"/>
  <c r="F43" i="12"/>
  <c r="E43" i="12"/>
  <c r="Z42" i="12"/>
  <c r="Y42" i="12"/>
  <c r="X42" i="12"/>
  <c r="V42" i="12"/>
  <c r="U42" i="12"/>
  <c r="S42" i="12"/>
  <c r="R42" i="12"/>
  <c r="O42" i="12"/>
  <c r="L42" i="12"/>
  <c r="I42" i="12"/>
  <c r="Q42" i="12" s="1"/>
  <c r="H42" i="12"/>
  <c r="G42" i="12"/>
  <c r="P42" i="12" s="1"/>
  <c r="F42" i="12"/>
  <c r="E42" i="12"/>
  <c r="Z41" i="12"/>
  <c r="Y41" i="12"/>
  <c r="X41" i="12"/>
  <c r="V41" i="12"/>
  <c r="U41" i="12"/>
  <c r="S41" i="12"/>
  <c r="R41" i="12"/>
  <c r="O41" i="12"/>
  <c r="L41" i="12"/>
  <c r="I41" i="12"/>
  <c r="Q41" i="12" s="1"/>
  <c r="H41" i="12"/>
  <c r="G41" i="12"/>
  <c r="P41" i="12" s="1"/>
  <c r="F41" i="12"/>
  <c r="E41" i="12"/>
  <c r="Z40" i="12"/>
  <c r="Y40" i="12"/>
  <c r="X40" i="12"/>
  <c r="V40" i="12"/>
  <c r="U40" i="12"/>
  <c r="S40" i="12"/>
  <c r="R40" i="12"/>
  <c r="O40" i="12"/>
  <c r="L40" i="12"/>
  <c r="I40" i="12"/>
  <c r="H40" i="12"/>
  <c r="G40" i="12"/>
  <c r="F40" i="12"/>
  <c r="E40" i="12"/>
  <c r="Z39" i="12"/>
  <c r="Y39" i="12"/>
  <c r="X39" i="12"/>
  <c r="V39" i="12"/>
  <c r="U39" i="12"/>
  <c r="S39" i="12"/>
  <c r="R39" i="12"/>
  <c r="O39" i="12"/>
  <c r="L39" i="12"/>
  <c r="I39" i="12"/>
  <c r="Q39" i="12" s="1"/>
  <c r="H39" i="12"/>
  <c r="G39" i="12"/>
  <c r="P39" i="12" s="1"/>
  <c r="F39" i="12"/>
  <c r="E39" i="12"/>
  <c r="Z38" i="12"/>
  <c r="Y38" i="12"/>
  <c r="X38" i="12"/>
  <c r="V38" i="12"/>
  <c r="U38" i="12"/>
  <c r="S38" i="12"/>
  <c r="R38" i="12"/>
  <c r="O38" i="12"/>
  <c r="L38" i="12"/>
  <c r="I38" i="12"/>
  <c r="Q38" i="12" s="1"/>
  <c r="H38" i="12"/>
  <c r="G38" i="12"/>
  <c r="P38" i="12" s="1"/>
  <c r="F38" i="12"/>
  <c r="E38" i="12"/>
  <c r="Z37" i="12"/>
  <c r="Y37" i="12"/>
  <c r="X37" i="12"/>
  <c r="V37" i="12"/>
  <c r="U37" i="12"/>
  <c r="S37" i="12"/>
  <c r="R37" i="12"/>
  <c r="O37" i="12"/>
  <c r="L37" i="12"/>
  <c r="I37" i="12"/>
  <c r="H37" i="12"/>
  <c r="G37" i="12"/>
  <c r="P37" i="12" s="1"/>
  <c r="F37" i="12"/>
  <c r="E37" i="12"/>
  <c r="Z36" i="12"/>
  <c r="Y36" i="12"/>
  <c r="X36" i="12"/>
  <c r="V36" i="12"/>
  <c r="U36" i="12"/>
  <c r="S36" i="12"/>
  <c r="R36" i="12"/>
  <c r="O36" i="12"/>
  <c r="L36" i="12"/>
  <c r="I36" i="12"/>
  <c r="Q36" i="12" s="1"/>
  <c r="H36" i="12"/>
  <c r="G36" i="12"/>
  <c r="P36" i="12" s="1"/>
  <c r="F36" i="12"/>
  <c r="E36" i="12"/>
  <c r="Z35" i="12"/>
  <c r="Y35" i="12"/>
  <c r="X35" i="12"/>
  <c r="V35" i="12"/>
  <c r="U35" i="12"/>
  <c r="S35" i="12"/>
  <c r="R35" i="12"/>
  <c r="O35" i="12"/>
  <c r="L35" i="12"/>
  <c r="I35" i="12"/>
  <c r="Q35" i="12" s="1"/>
  <c r="H35" i="12"/>
  <c r="G35" i="12"/>
  <c r="P35" i="12" s="1"/>
  <c r="F35" i="12"/>
  <c r="E35" i="12"/>
  <c r="Z34" i="12"/>
  <c r="Y34" i="12"/>
  <c r="X34" i="12"/>
  <c r="V34" i="12"/>
  <c r="U34" i="12"/>
  <c r="S34" i="12"/>
  <c r="R34" i="12"/>
  <c r="O34" i="12"/>
  <c r="L34" i="12"/>
  <c r="I34" i="12"/>
  <c r="Q34" i="12" s="1"/>
  <c r="H34" i="12"/>
  <c r="G34" i="12"/>
  <c r="P34" i="12" s="1"/>
  <c r="F34" i="12"/>
  <c r="E34" i="12"/>
  <c r="Z33" i="12"/>
  <c r="Y33" i="12"/>
  <c r="X33" i="12"/>
  <c r="V33" i="12"/>
  <c r="U33" i="12"/>
  <c r="S33" i="12"/>
  <c r="R33" i="12"/>
  <c r="O33" i="12"/>
  <c r="L33" i="12"/>
  <c r="I33" i="12"/>
  <c r="Q33" i="12" s="1"/>
  <c r="H33" i="12"/>
  <c r="G33" i="12"/>
  <c r="P33" i="12" s="1"/>
  <c r="F33" i="12"/>
  <c r="E33" i="12"/>
  <c r="Z32" i="12"/>
  <c r="Y32" i="12"/>
  <c r="X32" i="12"/>
  <c r="V32" i="12"/>
  <c r="U32" i="12"/>
  <c r="S32" i="12"/>
  <c r="R32" i="12"/>
  <c r="O32" i="12"/>
  <c r="L32" i="12"/>
  <c r="I32" i="12"/>
  <c r="Q32" i="12" s="1"/>
  <c r="H32" i="12"/>
  <c r="G32" i="12"/>
  <c r="P32" i="12" s="1"/>
  <c r="F32" i="12"/>
  <c r="E32" i="12"/>
  <c r="Z30" i="12"/>
  <c r="Y30" i="12"/>
  <c r="X30" i="12"/>
  <c r="V30" i="12"/>
  <c r="U30" i="12"/>
  <c r="S30" i="12"/>
  <c r="R30" i="12"/>
  <c r="O30" i="12"/>
  <c r="L30" i="12"/>
  <c r="I30" i="12"/>
  <c r="Q30" i="12" s="1"/>
  <c r="H30" i="12"/>
  <c r="G30" i="12"/>
  <c r="P30" i="12" s="1"/>
  <c r="F30" i="12"/>
  <c r="E30" i="12"/>
  <c r="Z29" i="12"/>
  <c r="Y29" i="12"/>
  <c r="X29" i="12"/>
  <c r="V29" i="12"/>
  <c r="U29" i="12"/>
  <c r="S29" i="12"/>
  <c r="R29" i="12"/>
  <c r="O29" i="12"/>
  <c r="L29" i="12"/>
  <c r="I29" i="12"/>
  <c r="Q29" i="12" s="1"/>
  <c r="H29" i="12"/>
  <c r="G29" i="12"/>
  <c r="P29" i="12" s="1"/>
  <c r="F29" i="12"/>
  <c r="E29" i="12"/>
  <c r="Z28" i="12"/>
  <c r="Y28" i="12"/>
  <c r="X28" i="12"/>
  <c r="V28" i="12"/>
  <c r="U28" i="12"/>
  <c r="S28" i="12"/>
  <c r="R28" i="12"/>
  <c r="O28" i="12"/>
  <c r="L28" i="12"/>
  <c r="I28" i="12"/>
  <c r="Q28" i="12" s="1"/>
  <c r="H28" i="12"/>
  <c r="G28" i="12"/>
  <c r="P28" i="12" s="1"/>
  <c r="F28" i="12"/>
  <c r="E28" i="12"/>
  <c r="Z27" i="12"/>
  <c r="Y27" i="12"/>
  <c r="X27" i="12"/>
  <c r="V27" i="12"/>
  <c r="U27" i="12"/>
  <c r="S27" i="12"/>
  <c r="R27" i="12"/>
  <c r="O27" i="12"/>
  <c r="L27" i="12"/>
  <c r="I27" i="12"/>
  <c r="Q27" i="12" s="1"/>
  <c r="H27" i="12"/>
  <c r="G27" i="12"/>
  <c r="P27" i="12" s="1"/>
  <c r="F27" i="12"/>
  <c r="E27" i="12"/>
  <c r="Z26" i="12"/>
  <c r="Y26" i="12"/>
  <c r="X26" i="12"/>
  <c r="V26" i="12"/>
  <c r="U26" i="12"/>
  <c r="S26" i="12"/>
  <c r="R26" i="12"/>
  <c r="O26" i="12"/>
  <c r="L26" i="12"/>
  <c r="I26" i="12"/>
  <c r="Q26" i="12" s="1"/>
  <c r="H26" i="12"/>
  <c r="G26" i="12"/>
  <c r="P26" i="12" s="1"/>
  <c r="F26" i="12"/>
  <c r="E26" i="12"/>
  <c r="Z25" i="12"/>
  <c r="Y25" i="12"/>
  <c r="X25" i="12"/>
  <c r="V25" i="12"/>
  <c r="U25" i="12"/>
  <c r="S25" i="12"/>
  <c r="R25" i="12"/>
  <c r="O25" i="12"/>
  <c r="L25" i="12"/>
  <c r="I25" i="12"/>
  <c r="Q25" i="12" s="1"/>
  <c r="H25" i="12"/>
  <c r="G25" i="12"/>
  <c r="P25" i="12" s="1"/>
  <c r="F25" i="12"/>
  <c r="E25" i="12"/>
  <c r="Z24" i="12"/>
  <c r="Y24" i="12"/>
  <c r="X24" i="12"/>
  <c r="V24" i="12"/>
  <c r="U24" i="12"/>
  <c r="S24" i="12"/>
  <c r="R24" i="12"/>
  <c r="O24" i="12"/>
  <c r="L24" i="12"/>
  <c r="I24" i="12"/>
  <c r="Q24" i="12" s="1"/>
  <c r="H24" i="12"/>
  <c r="G24" i="12"/>
  <c r="P24" i="12" s="1"/>
  <c r="F24" i="12"/>
  <c r="E24" i="12"/>
  <c r="Z23" i="12"/>
  <c r="Y23" i="12"/>
  <c r="X23" i="12"/>
  <c r="V23" i="12"/>
  <c r="U23" i="12"/>
  <c r="S23" i="12"/>
  <c r="R23" i="12"/>
  <c r="O23" i="12"/>
  <c r="L23" i="12"/>
  <c r="I23" i="12"/>
  <c r="Q23" i="12" s="1"/>
  <c r="H23" i="12"/>
  <c r="G23" i="12"/>
  <c r="P23" i="12" s="1"/>
  <c r="F23" i="12"/>
  <c r="E23" i="12"/>
  <c r="Z22" i="12"/>
  <c r="Y22" i="12"/>
  <c r="X22" i="12"/>
  <c r="V22" i="12"/>
  <c r="U22" i="12"/>
  <c r="S22" i="12"/>
  <c r="R22" i="12"/>
  <c r="O22" i="12"/>
  <c r="L22" i="12"/>
  <c r="I22" i="12"/>
  <c r="Q22" i="12" s="1"/>
  <c r="H22" i="12"/>
  <c r="G22" i="12"/>
  <c r="P22" i="12" s="1"/>
  <c r="F22" i="12"/>
  <c r="E22" i="12"/>
  <c r="Z21" i="12"/>
  <c r="Y21" i="12"/>
  <c r="X21" i="12"/>
  <c r="V21" i="12"/>
  <c r="U21" i="12"/>
  <c r="S21" i="12"/>
  <c r="R21" i="12"/>
  <c r="O21" i="12"/>
  <c r="L21" i="12"/>
  <c r="I21" i="12"/>
  <c r="Q21" i="12" s="1"/>
  <c r="H21" i="12"/>
  <c r="G21" i="12"/>
  <c r="P21" i="12" s="1"/>
  <c r="F21" i="12"/>
  <c r="E21" i="12"/>
  <c r="Z20" i="12"/>
  <c r="Y20" i="12"/>
  <c r="X20" i="12"/>
  <c r="V20" i="12"/>
  <c r="U20" i="12"/>
  <c r="S20" i="12"/>
  <c r="R20" i="12"/>
  <c r="O20" i="12"/>
  <c r="L20" i="12"/>
  <c r="I20" i="12"/>
  <c r="Q20" i="12" s="1"/>
  <c r="H20" i="12"/>
  <c r="G20" i="12"/>
  <c r="P20" i="12" s="1"/>
  <c r="F20" i="12"/>
  <c r="E20" i="12"/>
  <c r="Z19" i="12"/>
  <c r="Y19" i="12"/>
  <c r="X19" i="12"/>
  <c r="V19" i="12"/>
  <c r="U19" i="12"/>
  <c r="S19" i="12"/>
  <c r="R19" i="12"/>
  <c r="O19" i="12"/>
  <c r="L19" i="12"/>
  <c r="I19" i="12"/>
  <c r="Q19" i="12" s="1"/>
  <c r="H19" i="12"/>
  <c r="G19" i="12"/>
  <c r="P19" i="12" s="1"/>
  <c r="F19" i="12"/>
  <c r="E19" i="12"/>
  <c r="Z18" i="12"/>
  <c r="Y18" i="12"/>
  <c r="X18" i="12"/>
  <c r="V18" i="12"/>
  <c r="U18" i="12"/>
  <c r="S18" i="12"/>
  <c r="R18" i="12"/>
  <c r="O18" i="12"/>
  <c r="L18" i="12"/>
  <c r="I18" i="12"/>
  <c r="Q18" i="12" s="1"/>
  <c r="H18" i="12"/>
  <c r="G18" i="12"/>
  <c r="P18" i="12" s="1"/>
  <c r="F18" i="12"/>
  <c r="E18" i="12"/>
  <c r="Z17" i="12"/>
  <c r="Y17" i="12"/>
  <c r="X17" i="12"/>
  <c r="V17" i="12"/>
  <c r="U17" i="12"/>
  <c r="S17" i="12"/>
  <c r="R17" i="12"/>
  <c r="O17" i="12"/>
  <c r="L17" i="12"/>
  <c r="I17" i="12"/>
  <c r="Q17" i="12" s="1"/>
  <c r="H17" i="12"/>
  <c r="G17" i="12"/>
  <c r="P17" i="12" s="1"/>
  <c r="F17" i="12"/>
  <c r="E17" i="12"/>
  <c r="Z16" i="12"/>
  <c r="Y16" i="12"/>
  <c r="X16" i="12"/>
  <c r="V16" i="12"/>
  <c r="U16" i="12"/>
  <c r="S16" i="12"/>
  <c r="R16" i="12"/>
  <c r="O16" i="12"/>
  <c r="L16" i="12"/>
  <c r="I16" i="12"/>
  <c r="Q16" i="12" s="1"/>
  <c r="H16" i="12"/>
  <c r="G16" i="12"/>
  <c r="P16" i="12" s="1"/>
  <c r="F16" i="12"/>
  <c r="E16" i="12"/>
  <c r="Z15" i="12"/>
  <c r="Y15" i="12"/>
  <c r="X15" i="12"/>
  <c r="V15" i="12"/>
  <c r="U15" i="12"/>
  <c r="S15" i="12"/>
  <c r="R15" i="12"/>
  <c r="O15" i="12"/>
  <c r="L15" i="12"/>
  <c r="I15" i="12"/>
  <c r="Q15" i="12" s="1"/>
  <c r="H15" i="12"/>
  <c r="G15" i="12"/>
  <c r="P15" i="12" s="1"/>
  <c r="F15" i="12"/>
  <c r="E15" i="12"/>
  <c r="Z14" i="12"/>
  <c r="Y14" i="12"/>
  <c r="X14" i="12"/>
  <c r="V14" i="12"/>
  <c r="U14" i="12"/>
  <c r="S14" i="12"/>
  <c r="R14" i="12"/>
  <c r="O14" i="12"/>
  <c r="L14" i="12"/>
  <c r="I14" i="12"/>
  <c r="Q14" i="12" s="1"/>
  <c r="H14" i="12"/>
  <c r="G14" i="12"/>
  <c r="F14" i="12"/>
  <c r="E14" i="12"/>
  <c r="W12" i="12"/>
  <c r="T12" i="12"/>
  <c r="Q12" i="12"/>
  <c r="N12" i="12"/>
  <c r="M12" i="12"/>
  <c r="J12" i="12"/>
  <c r="C12" i="12"/>
  <c r="K12" i="12" s="1"/>
  <c r="O116" i="11"/>
  <c r="L116" i="11"/>
  <c r="I116" i="11"/>
  <c r="Q116" i="11" s="1"/>
  <c r="H116" i="11"/>
  <c r="N116" i="11" s="1"/>
  <c r="G116" i="11"/>
  <c r="P116" i="11" s="1"/>
  <c r="F116" i="11"/>
  <c r="E116" i="11"/>
  <c r="O115" i="11"/>
  <c r="L115" i="11"/>
  <c r="I115" i="11"/>
  <c r="Q115" i="11" s="1"/>
  <c r="H115" i="11"/>
  <c r="N115" i="11" s="1"/>
  <c r="G115" i="11"/>
  <c r="P115" i="11" s="1"/>
  <c r="F115" i="11"/>
  <c r="E115" i="11"/>
  <c r="O114" i="11"/>
  <c r="L114" i="11"/>
  <c r="I114" i="11"/>
  <c r="Q114" i="11" s="1"/>
  <c r="H114" i="11"/>
  <c r="N114" i="11" s="1"/>
  <c r="G114" i="11"/>
  <c r="P114" i="11" s="1"/>
  <c r="F114" i="11"/>
  <c r="E114" i="11"/>
  <c r="O113" i="11"/>
  <c r="L113" i="11"/>
  <c r="I113" i="11"/>
  <c r="Q113" i="11" s="1"/>
  <c r="H113" i="11"/>
  <c r="N113" i="11" s="1"/>
  <c r="G113" i="11"/>
  <c r="P113" i="11" s="1"/>
  <c r="F113" i="11"/>
  <c r="E113" i="11"/>
  <c r="O112" i="11"/>
  <c r="L112" i="11"/>
  <c r="I112" i="11"/>
  <c r="Q112" i="11" s="1"/>
  <c r="H112" i="11"/>
  <c r="N112" i="11" s="1"/>
  <c r="G112" i="11"/>
  <c r="P112" i="11" s="1"/>
  <c r="F112" i="11"/>
  <c r="E112" i="11"/>
  <c r="O111" i="11"/>
  <c r="L111" i="11"/>
  <c r="I111" i="11"/>
  <c r="Q111" i="11" s="1"/>
  <c r="H111" i="11"/>
  <c r="N111" i="11" s="1"/>
  <c r="G111" i="11"/>
  <c r="P111" i="11" s="1"/>
  <c r="F111" i="11"/>
  <c r="E111" i="11"/>
  <c r="O110" i="11"/>
  <c r="L110" i="11"/>
  <c r="I110" i="11"/>
  <c r="Q110" i="11" s="1"/>
  <c r="H110" i="11"/>
  <c r="N110" i="11" s="1"/>
  <c r="G110" i="11"/>
  <c r="P110" i="11" s="1"/>
  <c r="F110" i="11"/>
  <c r="E110" i="11"/>
  <c r="O109" i="11"/>
  <c r="L109" i="11"/>
  <c r="I109" i="11"/>
  <c r="Q109" i="11" s="1"/>
  <c r="H109" i="11"/>
  <c r="N109" i="11" s="1"/>
  <c r="G109" i="11"/>
  <c r="P109" i="11" s="1"/>
  <c r="F109" i="11"/>
  <c r="E109" i="11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G105" i="11"/>
  <c r="P105" i="11" s="1"/>
  <c r="F105" i="11"/>
  <c r="E105" i="11"/>
  <c r="O104" i="11"/>
  <c r="O11" i="11" s="1"/>
  <c r="L104" i="11"/>
  <c r="L11" i="11" s="1"/>
  <c r="I104" i="11"/>
  <c r="Q104" i="11" s="1"/>
  <c r="H104" i="11"/>
  <c r="H11" i="11" s="1"/>
  <c r="G104" i="11"/>
  <c r="F104" i="11"/>
  <c r="F11" i="11" s="1"/>
  <c r="E104" i="11"/>
  <c r="E11" i="11" s="1"/>
  <c r="O103" i="11"/>
  <c r="L103" i="11"/>
  <c r="I103" i="11"/>
  <c r="Q103" i="11" s="1"/>
  <c r="H103" i="11"/>
  <c r="N103" i="11" s="1"/>
  <c r="G103" i="11"/>
  <c r="P103" i="11" s="1"/>
  <c r="F103" i="11"/>
  <c r="E103" i="11"/>
  <c r="O102" i="11"/>
  <c r="L102" i="11"/>
  <c r="I102" i="11"/>
  <c r="Q102" i="11" s="1"/>
  <c r="H102" i="11"/>
  <c r="N102" i="11" s="1"/>
  <c r="G102" i="11"/>
  <c r="P102" i="11" s="1"/>
  <c r="F102" i="11"/>
  <c r="E102" i="11"/>
  <c r="O101" i="11"/>
  <c r="L101" i="11"/>
  <c r="I101" i="11"/>
  <c r="Q101" i="11" s="1"/>
  <c r="H101" i="11"/>
  <c r="N101" i="11" s="1"/>
  <c r="G101" i="11"/>
  <c r="P101" i="11" s="1"/>
  <c r="F101" i="11"/>
  <c r="E101" i="1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O98" i="11"/>
  <c r="L98" i="11"/>
  <c r="I98" i="11"/>
  <c r="Q98" i="11" s="1"/>
  <c r="H98" i="11"/>
  <c r="N98" i="11" s="1"/>
  <c r="G98" i="11"/>
  <c r="P98" i="11" s="1"/>
  <c r="F98" i="11"/>
  <c r="E98" i="11"/>
  <c r="O97" i="11"/>
  <c r="L97" i="11"/>
  <c r="I97" i="11"/>
  <c r="Q97" i="11" s="1"/>
  <c r="H97" i="11"/>
  <c r="G97" i="11"/>
  <c r="P97" i="11" s="1"/>
  <c r="F97" i="11"/>
  <c r="E97" i="11"/>
  <c r="O96" i="11"/>
  <c r="L96" i="11"/>
  <c r="I96" i="11"/>
  <c r="Q96" i="11" s="1"/>
  <c r="H96" i="11"/>
  <c r="N96" i="11" s="1"/>
  <c r="G96" i="11"/>
  <c r="P96" i="11" s="1"/>
  <c r="F96" i="11"/>
  <c r="E96" i="11"/>
  <c r="O95" i="11"/>
  <c r="L95" i="11"/>
  <c r="I95" i="11"/>
  <c r="Q95" i="11" s="1"/>
  <c r="H95" i="11"/>
  <c r="N95" i="11" s="1"/>
  <c r="G95" i="11"/>
  <c r="P95" i="11" s="1"/>
  <c r="F95" i="11"/>
  <c r="E95" i="11"/>
  <c r="O94" i="11"/>
  <c r="L94" i="11"/>
  <c r="I94" i="11"/>
  <c r="Q94" i="11" s="1"/>
  <c r="H94" i="11"/>
  <c r="N94" i="11" s="1"/>
  <c r="G94" i="11"/>
  <c r="P94" i="11" s="1"/>
  <c r="F94" i="11"/>
  <c r="E94" i="11"/>
  <c r="O93" i="11"/>
  <c r="L93" i="11"/>
  <c r="I93" i="11"/>
  <c r="Q93" i="11" s="1"/>
  <c r="H93" i="11"/>
  <c r="N93" i="11" s="1"/>
  <c r="G93" i="11"/>
  <c r="P93" i="11" s="1"/>
  <c r="F93" i="11"/>
  <c r="E93" i="11"/>
  <c r="A93" i="1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O92" i="11"/>
  <c r="L92" i="11"/>
  <c r="I92" i="11"/>
  <c r="Q92" i="11" s="1"/>
  <c r="H92" i="11"/>
  <c r="G92" i="11"/>
  <c r="P92" i="11" s="1"/>
  <c r="F92" i="11"/>
  <c r="E92" i="11"/>
  <c r="O91" i="11"/>
  <c r="L91" i="11"/>
  <c r="I91" i="11"/>
  <c r="Q91" i="11" s="1"/>
  <c r="H91" i="11"/>
  <c r="G91" i="11"/>
  <c r="P91" i="11" s="1"/>
  <c r="F91" i="11"/>
  <c r="E91" i="11"/>
  <c r="O90" i="11"/>
  <c r="L90" i="11"/>
  <c r="I90" i="11"/>
  <c r="Q90" i="11" s="1"/>
  <c r="H90" i="11"/>
  <c r="N90" i="11" s="1"/>
  <c r="G90" i="11"/>
  <c r="P90" i="11" s="1"/>
  <c r="F90" i="11"/>
  <c r="E90" i="11"/>
  <c r="S88" i="11"/>
  <c r="R88" i="11"/>
  <c r="O88" i="11"/>
  <c r="L88" i="11"/>
  <c r="I88" i="11"/>
  <c r="Q88" i="11" s="1"/>
  <c r="H88" i="11"/>
  <c r="G88" i="11"/>
  <c r="P88" i="11" s="1"/>
  <c r="F88" i="11"/>
  <c r="E88" i="11"/>
  <c r="S87" i="11"/>
  <c r="R87" i="11"/>
  <c r="T87" i="11" s="1"/>
  <c r="O87" i="11"/>
  <c r="L87" i="11"/>
  <c r="I87" i="11"/>
  <c r="Q87" i="11" s="1"/>
  <c r="H87" i="11"/>
  <c r="N87" i="11" s="1"/>
  <c r="G87" i="11"/>
  <c r="P87" i="11" s="1"/>
  <c r="F87" i="11"/>
  <c r="E87" i="11"/>
  <c r="S86" i="11"/>
  <c r="R86" i="11"/>
  <c r="O86" i="11"/>
  <c r="L86" i="11"/>
  <c r="I86" i="11"/>
  <c r="Q86" i="11" s="1"/>
  <c r="H86" i="1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S84" i="11"/>
  <c r="R84" i="11"/>
  <c r="T84" i="11" s="1"/>
  <c r="O84" i="11"/>
  <c r="L84" i="11"/>
  <c r="I84" i="11"/>
  <c r="Q84" i="11" s="1"/>
  <c r="H84" i="11"/>
  <c r="N84" i="11" s="1"/>
  <c r="G84" i="11"/>
  <c r="P84" i="11" s="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P81" i="11" s="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T79" i="11" s="1"/>
  <c r="O79" i="11"/>
  <c r="L79" i="11"/>
  <c r="I79" i="11"/>
  <c r="Q79" i="11" s="1"/>
  <c r="H79" i="11"/>
  <c r="N79" i="11" s="1"/>
  <c r="G79" i="11"/>
  <c r="P79" i="11" s="1"/>
  <c r="F79" i="11"/>
  <c r="E79" i="11"/>
  <c r="S78" i="11"/>
  <c r="R78" i="11"/>
  <c r="T78" i="11" s="1"/>
  <c r="O78" i="11"/>
  <c r="L78" i="11"/>
  <c r="I78" i="11"/>
  <c r="Q78" i="11" s="1"/>
  <c r="H78" i="11"/>
  <c r="N78" i="11" s="1"/>
  <c r="G78" i="11"/>
  <c r="F78" i="11"/>
  <c r="E78" i="11"/>
  <c r="S77" i="11"/>
  <c r="R77" i="11"/>
  <c r="T77" i="11" s="1"/>
  <c r="O77" i="11"/>
  <c r="L77" i="11"/>
  <c r="I77" i="11"/>
  <c r="Q77" i="11" s="1"/>
  <c r="H77" i="11"/>
  <c r="N77" i="11" s="1"/>
  <c r="G77" i="11"/>
  <c r="P77" i="11" s="1"/>
  <c r="F77" i="11"/>
  <c r="E77" i="11"/>
  <c r="S76" i="11"/>
  <c r="R76" i="11"/>
  <c r="O76" i="11"/>
  <c r="L76" i="11"/>
  <c r="I76" i="11"/>
  <c r="Q76" i="11" s="1"/>
  <c r="H76" i="11"/>
  <c r="G76" i="11"/>
  <c r="P76" i="11" s="1"/>
  <c r="F76" i="11"/>
  <c r="E76" i="11"/>
  <c r="S75" i="11"/>
  <c r="R75" i="11"/>
  <c r="O75" i="11"/>
  <c r="L75" i="11"/>
  <c r="I75" i="11"/>
  <c r="H75" i="11"/>
  <c r="G75" i="11"/>
  <c r="F75" i="11"/>
  <c r="E75" i="11"/>
  <c r="S73" i="11"/>
  <c r="R73" i="11"/>
  <c r="T73" i="11" s="1"/>
  <c r="O73" i="11"/>
  <c r="L73" i="1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Q70" i="11" s="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G69" i="11"/>
  <c r="P69" i="11" s="1"/>
  <c r="F69" i="11"/>
  <c r="E69" i="11"/>
  <c r="S68" i="11"/>
  <c r="R68" i="11"/>
  <c r="T68" i="11" s="1"/>
  <c r="O68" i="1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I65" i="11"/>
  <c r="Q65" i="11" s="1"/>
  <c r="H65" i="11"/>
  <c r="N65" i="11" s="1"/>
  <c r="G65" i="11"/>
  <c r="P65" i="11" s="1"/>
  <c r="F65" i="11"/>
  <c r="E65" i="11"/>
  <c r="S64" i="11"/>
  <c r="R64" i="11"/>
  <c r="T64" i="11" s="1"/>
  <c r="O64" i="11"/>
  <c r="L64" i="1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L63" i="11"/>
  <c r="I63" i="11"/>
  <c r="Q63" i="11" s="1"/>
  <c r="H63" i="11"/>
  <c r="N63" i="11" s="1"/>
  <c r="G63" i="11"/>
  <c r="P63" i="11" s="1"/>
  <c r="F63" i="11"/>
  <c r="E63" i="11"/>
  <c r="S62" i="11"/>
  <c r="R62" i="11"/>
  <c r="T62" i="11" s="1"/>
  <c r="O62" i="11"/>
  <c r="L62" i="11"/>
  <c r="I62" i="11"/>
  <c r="Q62" i="11" s="1"/>
  <c r="H62" i="11"/>
  <c r="N62" i="11" s="1"/>
  <c r="G62" i="11"/>
  <c r="P62" i="11" s="1"/>
  <c r="F62" i="11"/>
  <c r="E62" i="11"/>
  <c r="S61" i="11"/>
  <c r="R61" i="11"/>
  <c r="T61" i="11" s="1"/>
  <c r="O61" i="11"/>
  <c r="L61" i="1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I60" i="11"/>
  <c r="Q60" i="11" s="1"/>
  <c r="H60" i="11"/>
  <c r="N60" i="11" s="1"/>
  <c r="G60" i="11"/>
  <c r="P60" i="11" s="1"/>
  <c r="F60" i="11"/>
  <c r="E60" i="1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O58" i="11"/>
  <c r="L58" i="11"/>
  <c r="I58" i="11"/>
  <c r="Q58" i="11" s="1"/>
  <c r="H58" i="11"/>
  <c r="N58" i="11" s="1"/>
  <c r="G58" i="11"/>
  <c r="P58" i="11" s="1"/>
  <c r="F58" i="11"/>
  <c r="E58" i="1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O56" i="11"/>
  <c r="L56" i="11"/>
  <c r="I56" i="11"/>
  <c r="Q56" i="11" s="1"/>
  <c r="H56" i="11"/>
  <c r="G56" i="11"/>
  <c r="P56" i="11" s="1"/>
  <c r="F56" i="11"/>
  <c r="E56" i="11"/>
  <c r="S55" i="11"/>
  <c r="R55" i="11"/>
  <c r="T55" i="11" s="1"/>
  <c r="O55" i="11"/>
  <c r="L55" i="11"/>
  <c r="I55" i="11"/>
  <c r="Q55" i="11" s="1"/>
  <c r="H55" i="11"/>
  <c r="N55" i="11" s="1"/>
  <c r="G55" i="11"/>
  <c r="P55" i="11" s="1"/>
  <c r="F55" i="11"/>
  <c r="E55" i="11"/>
  <c r="S54" i="11"/>
  <c r="R54" i="11"/>
  <c r="T54" i="11" s="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I53" i="11"/>
  <c r="Q53" i="11" s="1"/>
  <c r="H53" i="11"/>
  <c r="G53" i="11"/>
  <c r="P53" i="11" s="1"/>
  <c r="F53" i="11"/>
  <c r="E53" i="11"/>
  <c r="S51" i="11"/>
  <c r="R51" i="11"/>
  <c r="T51" i="11" s="1"/>
  <c r="O51" i="11"/>
  <c r="L51" i="11"/>
  <c r="I51" i="11"/>
  <c r="Q51" i="11" s="1"/>
  <c r="H51" i="11"/>
  <c r="N51" i="11" s="1"/>
  <c r="G51" i="11"/>
  <c r="P51" i="11" s="1"/>
  <c r="F51" i="11"/>
  <c r="E51" i="11"/>
  <c r="S50" i="11"/>
  <c r="R50" i="11"/>
  <c r="T50" i="11" s="1"/>
  <c r="O50" i="11"/>
  <c r="L50" i="11"/>
  <c r="I50" i="11"/>
  <c r="Q50" i="11" s="1"/>
  <c r="H50" i="11"/>
  <c r="N50" i="11" s="1"/>
  <c r="G50" i="11"/>
  <c r="P50" i="11" s="1"/>
  <c r="F50" i="11"/>
  <c r="E50" i="1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T44" i="11" s="1"/>
  <c r="O44" i="11"/>
  <c r="L44" i="11"/>
  <c r="I44" i="11"/>
  <c r="Q44" i="11" s="1"/>
  <c r="H44" i="11"/>
  <c r="N44" i="11" s="1"/>
  <c r="G44" i="11"/>
  <c r="P44" i="11" s="1"/>
  <c r="F44" i="11"/>
  <c r="E44" i="1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N42" i="11" s="1"/>
  <c r="G42" i="11"/>
  <c r="P42" i="11" s="1"/>
  <c r="F42" i="11"/>
  <c r="E42" i="11"/>
  <c r="S41" i="11"/>
  <c r="R41" i="11"/>
  <c r="T41" i="11" s="1"/>
  <c r="O41" i="11"/>
  <c r="L41" i="11"/>
  <c r="I41" i="11"/>
  <c r="Q41" i="11" s="1"/>
  <c r="H41" i="11"/>
  <c r="N41" i="11" s="1"/>
  <c r="G41" i="11"/>
  <c r="P41" i="11" s="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I38" i="11"/>
  <c r="Q38" i="11" s="1"/>
  <c r="H38" i="11"/>
  <c r="N38" i="11" s="1"/>
  <c r="G38" i="11"/>
  <c r="P38" i="11" s="1"/>
  <c r="F38" i="11"/>
  <c r="E38" i="11"/>
  <c r="S37" i="11"/>
  <c r="R37" i="11"/>
  <c r="T37" i="11" s="1"/>
  <c r="O37" i="11"/>
  <c r="L37" i="11"/>
  <c r="I37" i="11"/>
  <c r="Q37" i="11" s="1"/>
  <c r="H37" i="11"/>
  <c r="N37" i="11" s="1"/>
  <c r="G37" i="11"/>
  <c r="P37" i="11" s="1"/>
  <c r="F37" i="11"/>
  <c r="E37" i="11"/>
  <c r="S36" i="11"/>
  <c r="R36" i="11"/>
  <c r="O36" i="11"/>
  <c r="L36" i="1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T34" i="11" s="1"/>
  <c r="O34" i="11"/>
  <c r="L34" i="11"/>
  <c r="I34" i="11"/>
  <c r="Q34" i="11" s="1"/>
  <c r="H34" i="11"/>
  <c r="N34" i="11" s="1"/>
  <c r="G34" i="11"/>
  <c r="P34" i="11" s="1"/>
  <c r="F34" i="11"/>
  <c r="E34" i="11"/>
  <c r="S33" i="11"/>
  <c r="R33" i="11"/>
  <c r="T33" i="11" s="1"/>
  <c r="O33" i="11"/>
  <c r="L33" i="11"/>
  <c r="I33" i="11"/>
  <c r="Q33" i="11" s="1"/>
  <c r="H33" i="11"/>
  <c r="N33" i="11" s="1"/>
  <c r="G33" i="11"/>
  <c r="P33" i="11" s="1"/>
  <c r="F33" i="11"/>
  <c r="E33" i="11"/>
  <c r="S32" i="11"/>
  <c r="R32" i="11"/>
  <c r="O32" i="11"/>
  <c r="L32" i="11"/>
  <c r="I32" i="11"/>
  <c r="Q32" i="11" s="1"/>
  <c r="H32" i="11"/>
  <c r="G32" i="11"/>
  <c r="P32" i="11" s="1"/>
  <c r="F32" i="11"/>
  <c r="E32" i="11"/>
  <c r="S30" i="11"/>
  <c r="R30" i="11"/>
  <c r="O30" i="11"/>
  <c r="L30" i="1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I27" i="11"/>
  <c r="Q27" i="11" s="1"/>
  <c r="H27" i="11"/>
  <c r="N27" i="11" s="1"/>
  <c r="G27" i="11"/>
  <c r="P27" i="11" s="1"/>
  <c r="F27" i="11"/>
  <c r="E27" i="11"/>
  <c r="S26" i="11"/>
  <c r="R26" i="11"/>
  <c r="T26" i="11" s="1"/>
  <c r="O26" i="11"/>
  <c r="L26" i="1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I23" i="11"/>
  <c r="Q23" i="11" s="1"/>
  <c r="H23" i="11"/>
  <c r="N23" i="11" s="1"/>
  <c r="G23" i="11"/>
  <c r="P23" i="11" s="1"/>
  <c r="F23" i="11"/>
  <c r="E23" i="11"/>
  <c r="S22" i="11"/>
  <c r="R22" i="11"/>
  <c r="T22" i="11" s="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T21" i="11" s="1"/>
  <c r="O21" i="11"/>
  <c r="L21" i="11"/>
  <c r="I21" i="11"/>
  <c r="Q21" i="11" s="1"/>
  <c r="H21" i="11"/>
  <c r="N21" i="11" s="1"/>
  <c r="G21" i="11"/>
  <c r="P21" i="11" s="1"/>
  <c r="F21" i="11"/>
  <c r="E21" i="11"/>
  <c r="S20" i="11"/>
  <c r="R20" i="11"/>
  <c r="T20" i="11" s="1"/>
  <c r="O20" i="11"/>
  <c r="L20" i="11"/>
  <c r="I20" i="11"/>
  <c r="Q20" i="11" s="1"/>
  <c r="H20" i="11"/>
  <c r="G20" i="11"/>
  <c r="P20" i="11" s="1"/>
  <c r="F20" i="11"/>
  <c r="E20" i="11"/>
  <c r="S19" i="11"/>
  <c r="R19" i="11"/>
  <c r="T19" i="11" s="1"/>
  <c r="O19" i="11"/>
  <c r="L19" i="11"/>
  <c r="I19" i="11"/>
  <c r="Q19" i="11" s="1"/>
  <c r="H19" i="11"/>
  <c r="N19" i="11" s="1"/>
  <c r="G19" i="11"/>
  <c r="F19" i="11"/>
  <c r="E19" i="11"/>
  <c r="S18" i="11"/>
  <c r="R18" i="11"/>
  <c r="T18" i="11" s="1"/>
  <c r="O18" i="11"/>
  <c r="L18" i="11"/>
  <c r="I18" i="11"/>
  <c r="Q18" i="11" s="1"/>
  <c r="H18" i="11"/>
  <c r="N18" i="11" s="1"/>
  <c r="G18" i="11"/>
  <c r="P18" i="11" s="1"/>
  <c r="F18" i="11"/>
  <c r="E18" i="11"/>
  <c r="S17" i="11"/>
  <c r="R17" i="11"/>
  <c r="T17" i="11" s="1"/>
  <c r="O17" i="11"/>
  <c r="L17" i="11"/>
  <c r="I17" i="11"/>
  <c r="Q17" i="11" s="1"/>
  <c r="H17" i="11"/>
  <c r="N17" i="11" s="1"/>
  <c r="G17" i="11"/>
  <c r="P17" i="11" s="1"/>
  <c r="F17" i="11"/>
  <c r="E17" i="11"/>
  <c r="S16" i="11"/>
  <c r="R16" i="11"/>
  <c r="O16" i="11"/>
  <c r="L16" i="11"/>
  <c r="I16" i="11"/>
  <c r="Q16" i="11" s="1"/>
  <c r="H16" i="11"/>
  <c r="G16" i="11"/>
  <c r="P16" i="11" s="1"/>
  <c r="F16" i="11"/>
  <c r="E16" i="11"/>
  <c r="S15" i="11"/>
  <c r="R15" i="11"/>
  <c r="T15" i="11" s="1"/>
  <c r="O15" i="11"/>
  <c r="L15" i="11"/>
  <c r="I15" i="11"/>
  <c r="Q15" i="11" s="1"/>
  <c r="H15" i="11"/>
  <c r="N15" i="11" s="1"/>
  <c r="G15" i="11"/>
  <c r="P15" i="11" s="1"/>
  <c r="F15" i="11"/>
  <c r="E15" i="11"/>
  <c r="S14" i="11"/>
  <c r="R14" i="11"/>
  <c r="O14" i="11"/>
  <c r="L14" i="11"/>
  <c r="I14" i="11"/>
  <c r="Q14" i="11" s="1"/>
  <c r="H14" i="11"/>
  <c r="G14" i="11"/>
  <c r="P14" i="11" s="1"/>
  <c r="F14" i="11"/>
  <c r="E14" i="11"/>
  <c r="T12" i="11"/>
  <c r="Q12" i="11"/>
  <c r="N12" i="11"/>
  <c r="M12" i="11"/>
  <c r="J12" i="11"/>
  <c r="C12" i="11"/>
  <c r="K12" i="11" s="1"/>
  <c r="O116" i="10"/>
  <c r="L116" i="10"/>
  <c r="I116" i="10"/>
  <c r="Q116" i="10" s="1"/>
  <c r="H116" i="10"/>
  <c r="G116" i="10"/>
  <c r="P116" i="10" s="1"/>
  <c r="F116" i="10"/>
  <c r="E116" i="10"/>
  <c r="O115" i="10"/>
  <c r="L115" i="10"/>
  <c r="I115" i="10"/>
  <c r="Q115" i="10" s="1"/>
  <c r="H115" i="10"/>
  <c r="N115" i="10" s="1"/>
  <c r="G115" i="10"/>
  <c r="P115" i="10" s="1"/>
  <c r="F115" i="10"/>
  <c r="E115" i="10"/>
  <c r="O114" i="10"/>
  <c r="L114" i="10"/>
  <c r="I114" i="10"/>
  <c r="Q114" i="10" s="1"/>
  <c r="H114" i="10"/>
  <c r="N114" i="10" s="1"/>
  <c r="G114" i="10"/>
  <c r="P114" i="10" s="1"/>
  <c r="F114" i="10"/>
  <c r="E114" i="10"/>
  <c r="O113" i="10"/>
  <c r="L113" i="10"/>
  <c r="I113" i="10"/>
  <c r="Q113" i="10" s="1"/>
  <c r="H113" i="10"/>
  <c r="N113" i="10" s="1"/>
  <c r="G113" i="10"/>
  <c r="P113" i="10" s="1"/>
  <c r="F113" i="10"/>
  <c r="E113" i="10"/>
  <c r="O112" i="10"/>
  <c r="L112" i="10"/>
  <c r="I112" i="10"/>
  <c r="Q112" i="10" s="1"/>
  <c r="H112" i="10"/>
  <c r="N112" i="10" s="1"/>
  <c r="G112" i="10"/>
  <c r="P112" i="10" s="1"/>
  <c r="F112" i="10"/>
  <c r="E112" i="10"/>
  <c r="O111" i="10"/>
  <c r="L111" i="10"/>
  <c r="I111" i="10"/>
  <c r="Q111" i="10" s="1"/>
  <c r="H111" i="10"/>
  <c r="N111" i="10" s="1"/>
  <c r="G111" i="10"/>
  <c r="P111" i="10" s="1"/>
  <c r="F111" i="10"/>
  <c r="E111" i="10"/>
  <c r="O110" i="10"/>
  <c r="L110" i="10"/>
  <c r="I110" i="10"/>
  <c r="Q110" i="10" s="1"/>
  <c r="H110" i="10"/>
  <c r="N110" i="10" s="1"/>
  <c r="G110" i="10"/>
  <c r="P110" i="10" s="1"/>
  <c r="F110" i="10"/>
  <c r="E110" i="10"/>
  <c r="O109" i="10"/>
  <c r="L109" i="10"/>
  <c r="I109" i="10"/>
  <c r="Q109" i="10" s="1"/>
  <c r="H109" i="10"/>
  <c r="N109" i="10" s="1"/>
  <c r="G109" i="10"/>
  <c r="P109" i="10" s="1"/>
  <c r="F109" i="10"/>
  <c r="E109" i="10"/>
  <c r="O108" i="10"/>
  <c r="L108" i="10"/>
  <c r="I108" i="10"/>
  <c r="Q108" i="10" s="1"/>
  <c r="H108" i="10"/>
  <c r="N108" i="10" s="1"/>
  <c r="G108" i="10"/>
  <c r="P108" i="10" s="1"/>
  <c r="F108" i="10"/>
  <c r="E108" i="10"/>
  <c r="O107" i="10"/>
  <c r="L107" i="10"/>
  <c r="I107" i="10"/>
  <c r="Q107" i="10" s="1"/>
  <c r="H107" i="10"/>
  <c r="N107" i="10" s="1"/>
  <c r="G107" i="10"/>
  <c r="P107" i="10" s="1"/>
  <c r="F107" i="10"/>
  <c r="E107" i="10"/>
  <c r="O106" i="10"/>
  <c r="L106" i="10"/>
  <c r="I106" i="10"/>
  <c r="Q106" i="10" s="1"/>
  <c r="H106" i="10"/>
  <c r="G106" i="10"/>
  <c r="P106" i="10" s="1"/>
  <c r="F106" i="10"/>
  <c r="E106" i="10"/>
  <c r="O105" i="10"/>
  <c r="L105" i="10"/>
  <c r="I105" i="10"/>
  <c r="Q105" i="10" s="1"/>
  <c r="H105" i="10"/>
  <c r="N105" i="10" s="1"/>
  <c r="G105" i="10"/>
  <c r="P105" i="10" s="1"/>
  <c r="F105" i="10"/>
  <c r="E105" i="10"/>
  <c r="O104" i="10"/>
  <c r="O11" i="10" s="1"/>
  <c r="L104" i="10"/>
  <c r="L11" i="10" s="1"/>
  <c r="I104" i="10"/>
  <c r="Q104" i="10" s="1"/>
  <c r="H104" i="10"/>
  <c r="H11" i="10" s="1"/>
  <c r="G104" i="10"/>
  <c r="P104" i="10" s="1"/>
  <c r="F104" i="10"/>
  <c r="F11" i="10" s="1"/>
  <c r="E104" i="10"/>
  <c r="E11" i="10" s="1"/>
  <c r="O103" i="10"/>
  <c r="L103" i="10"/>
  <c r="I103" i="10"/>
  <c r="Q103" i="10" s="1"/>
  <c r="H103" i="10"/>
  <c r="N103" i="10" s="1"/>
  <c r="G103" i="10"/>
  <c r="P103" i="10" s="1"/>
  <c r="F103" i="10"/>
  <c r="E103" i="10"/>
  <c r="O102" i="10"/>
  <c r="L102" i="10"/>
  <c r="I102" i="10"/>
  <c r="Q102" i="10" s="1"/>
  <c r="H102" i="10"/>
  <c r="N102" i="10" s="1"/>
  <c r="G102" i="10"/>
  <c r="P102" i="10" s="1"/>
  <c r="F102" i="10"/>
  <c r="E102" i="10"/>
  <c r="O101" i="10"/>
  <c r="L101" i="10"/>
  <c r="I101" i="10"/>
  <c r="Q101" i="10" s="1"/>
  <c r="H101" i="10"/>
  <c r="N101" i="10" s="1"/>
  <c r="G101" i="10"/>
  <c r="P101" i="10" s="1"/>
  <c r="F101" i="10"/>
  <c r="E101" i="10"/>
  <c r="O100" i="10"/>
  <c r="L100" i="10"/>
  <c r="I100" i="10"/>
  <c r="Q100" i="10" s="1"/>
  <c r="H100" i="10"/>
  <c r="N100" i="10" s="1"/>
  <c r="G100" i="10"/>
  <c r="P100" i="10" s="1"/>
  <c r="F100" i="10"/>
  <c r="E100" i="10"/>
  <c r="O99" i="10"/>
  <c r="L99" i="10"/>
  <c r="I99" i="10"/>
  <c r="Q99" i="10" s="1"/>
  <c r="H99" i="10"/>
  <c r="N99" i="10" s="1"/>
  <c r="G99" i="10"/>
  <c r="P99" i="10" s="1"/>
  <c r="F99" i="10"/>
  <c r="E99" i="10"/>
  <c r="O98" i="10"/>
  <c r="L98" i="10"/>
  <c r="I98" i="10"/>
  <c r="Q98" i="10" s="1"/>
  <c r="H98" i="10"/>
  <c r="N98" i="10" s="1"/>
  <c r="G98" i="10"/>
  <c r="P98" i="10" s="1"/>
  <c r="F98" i="10"/>
  <c r="E98" i="10"/>
  <c r="O97" i="10"/>
  <c r="L97" i="10"/>
  <c r="I97" i="10"/>
  <c r="Q97" i="10" s="1"/>
  <c r="H97" i="10"/>
  <c r="N97" i="10" s="1"/>
  <c r="G97" i="10"/>
  <c r="P97" i="10" s="1"/>
  <c r="F97" i="10"/>
  <c r="E97" i="10"/>
  <c r="O96" i="10"/>
  <c r="L96" i="10"/>
  <c r="I96" i="10"/>
  <c r="Q96" i="10" s="1"/>
  <c r="H96" i="10"/>
  <c r="G96" i="10"/>
  <c r="P96" i="10" s="1"/>
  <c r="F96" i="10"/>
  <c r="E96" i="10"/>
  <c r="O95" i="10"/>
  <c r="L95" i="10"/>
  <c r="I95" i="10"/>
  <c r="Q95" i="10" s="1"/>
  <c r="H95" i="10"/>
  <c r="N95" i="10" s="1"/>
  <c r="G95" i="10"/>
  <c r="P95" i="10" s="1"/>
  <c r="F95" i="10"/>
  <c r="E95" i="10"/>
  <c r="O94" i="10"/>
  <c r="L94" i="10"/>
  <c r="I94" i="10"/>
  <c r="Q94" i="10" s="1"/>
  <c r="H94" i="10"/>
  <c r="N94" i="10" s="1"/>
  <c r="G94" i="10"/>
  <c r="P94" i="10" s="1"/>
  <c r="F94" i="10"/>
  <c r="E94" i="10"/>
  <c r="O93" i="10"/>
  <c r="L93" i="10"/>
  <c r="I93" i="10"/>
  <c r="Q93" i="10" s="1"/>
  <c r="H93" i="10"/>
  <c r="N93" i="10" s="1"/>
  <c r="G93" i="10"/>
  <c r="P93" i="10" s="1"/>
  <c r="F93" i="10"/>
  <c r="E93" i="10"/>
  <c r="A93" i="10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O92" i="10"/>
  <c r="L92" i="10"/>
  <c r="I92" i="10"/>
  <c r="H92" i="10"/>
  <c r="G92" i="10"/>
  <c r="P92" i="10" s="1"/>
  <c r="F92" i="10"/>
  <c r="E92" i="10"/>
  <c r="O91" i="10"/>
  <c r="L91" i="10"/>
  <c r="I91" i="10"/>
  <c r="Q91" i="10" s="1"/>
  <c r="H91" i="10"/>
  <c r="N91" i="10" s="1"/>
  <c r="G91" i="10"/>
  <c r="P91" i="10" s="1"/>
  <c r="F91" i="10"/>
  <c r="E91" i="10"/>
  <c r="O90" i="10"/>
  <c r="L90" i="10"/>
  <c r="I90" i="10"/>
  <c r="Q90" i="10" s="1"/>
  <c r="H90" i="10"/>
  <c r="N90" i="10" s="1"/>
  <c r="G90" i="10"/>
  <c r="F90" i="10"/>
  <c r="E90" i="10"/>
  <c r="AA88" i="10"/>
  <c r="Z88" i="10"/>
  <c r="X88" i="10"/>
  <c r="V88" i="10"/>
  <c r="T88" i="10"/>
  <c r="S88" i="10"/>
  <c r="R88" i="10"/>
  <c r="O88" i="10"/>
  <c r="L88" i="10"/>
  <c r="I88" i="10"/>
  <c r="Q88" i="10" s="1"/>
  <c r="H88" i="10"/>
  <c r="G88" i="10"/>
  <c r="P88" i="10" s="1"/>
  <c r="F88" i="10"/>
  <c r="E88" i="10"/>
  <c r="AA87" i="10"/>
  <c r="Z87" i="10"/>
  <c r="X87" i="10"/>
  <c r="V87" i="10"/>
  <c r="T87" i="10"/>
  <c r="S87" i="10"/>
  <c r="Y87" i="10" s="1"/>
  <c r="R87" i="10"/>
  <c r="O87" i="10"/>
  <c r="L87" i="10"/>
  <c r="I87" i="10"/>
  <c r="Q87" i="10" s="1"/>
  <c r="H87" i="10"/>
  <c r="N87" i="10" s="1"/>
  <c r="G87" i="10"/>
  <c r="P87" i="10" s="1"/>
  <c r="F87" i="10"/>
  <c r="E87" i="10"/>
  <c r="AA86" i="10"/>
  <c r="Z86" i="10"/>
  <c r="X86" i="10"/>
  <c r="V86" i="10"/>
  <c r="T86" i="10"/>
  <c r="S86" i="10"/>
  <c r="R86" i="10"/>
  <c r="O86" i="10"/>
  <c r="L86" i="10"/>
  <c r="I86" i="10"/>
  <c r="Q86" i="10" s="1"/>
  <c r="H86" i="10"/>
  <c r="G86" i="10"/>
  <c r="P86" i="10" s="1"/>
  <c r="F86" i="10"/>
  <c r="E86" i="10"/>
  <c r="AA85" i="10"/>
  <c r="Z85" i="10"/>
  <c r="X85" i="10"/>
  <c r="V85" i="10"/>
  <c r="T85" i="10"/>
  <c r="S85" i="10"/>
  <c r="U85" i="10" s="1"/>
  <c r="R85" i="10"/>
  <c r="O85" i="10"/>
  <c r="L85" i="10"/>
  <c r="I85" i="10"/>
  <c r="Q85" i="10" s="1"/>
  <c r="H85" i="10"/>
  <c r="N85" i="10" s="1"/>
  <c r="G85" i="10"/>
  <c r="P85" i="10" s="1"/>
  <c r="F85" i="10"/>
  <c r="E85" i="10"/>
  <c r="AA84" i="10"/>
  <c r="Z84" i="10"/>
  <c r="X84" i="10"/>
  <c r="V84" i="10"/>
  <c r="T84" i="10"/>
  <c r="S84" i="10"/>
  <c r="U84" i="10" s="1"/>
  <c r="R84" i="10"/>
  <c r="O84" i="10"/>
  <c r="L84" i="10"/>
  <c r="I84" i="10"/>
  <c r="Q84" i="10" s="1"/>
  <c r="H84" i="10"/>
  <c r="N84" i="10" s="1"/>
  <c r="G84" i="10"/>
  <c r="P84" i="10" s="1"/>
  <c r="F84" i="10"/>
  <c r="E84" i="10"/>
  <c r="AA83" i="10"/>
  <c r="Z83" i="10"/>
  <c r="X83" i="10"/>
  <c r="V83" i="10"/>
  <c r="T83" i="10"/>
  <c r="S83" i="10"/>
  <c r="Y83" i="10" s="1"/>
  <c r="R83" i="10"/>
  <c r="O83" i="10"/>
  <c r="L83" i="10"/>
  <c r="I83" i="10"/>
  <c r="Q83" i="10" s="1"/>
  <c r="H83" i="10"/>
  <c r="N83" i="10" s="1"/>
  <c r="G83" i="10"/>
  <c r="P83" i="10" s="1"/>
  <c r="F83" i="10"/>
  <c r="E83" i="10"/>
  <c r="AA82" i="10"/>
  <c r="Z82" i="10"/>
  <c r="X82" i="10"/>
  <c r="V82" i="10"/>
  <c r="T82" i="10"/>
  <c r="S82" i="10"/>
  <c r="R82" i="10"/>
  <c r="O82" i="10"/>
  <c r="L82" i="10"/>
  <c r="I82" i="10"/>
  <c r="Q82" i="10" s="1"/>
  <c r="H82" i="10"/>
  <c r="G82" i="10"/>
  <c r="P82" i="10" s="1"/>
  <c r="F82" i="10"/>
  <c r="E82" i="10"/>
  <c r="AA81" i="10"/>
  <c r="Z81" i="10"/>
  <c r="X81" i="10"/>
  <c r="V81" i="10"/>
  <c r="T81" i="10"/>
  <c r="S81" i="10"/>
  <c r="U81" i="10" s="1"/>
  <c r="R81" i="10"/>
  <c r="O81" i="10"/>
  <c r="L81" i="10"/>
  <c r="I81" i="10"/>
  <c r="Q81" i="10" s="1"/>
  <c r="H81" i="10"/>
  <c r="N81" i="10" s="1"/>
  <c r="G81" i="10"/>
  <c r="P81" i="10" s="1"/>
  <c r="F81" i="10"/>
  <c r="E81" i="10"/>
  <c r="AA80" i="10"/>
  <c r="Z80" i="10"/>
  <c r="X80" i="10"/>
  <c r="V80" i="10"/>
  <c r="T80" i="10"/>
  <c r="S80" i="10"/>
  <c r="Y80" i="10" s="1"/>
  <c r="R80" i="10"/>
  <c r="O80" i="10"/>
  <c r="L80" i="10"/>
  <c r="I80" i="10"/>
  <c r="Q80" i="10" s="1"/>
  <c r="H80" i="10"/>
  <c r="N80" i="10" s="1"/>
  <c r="G80" i="10"/>
  <c r="P80" i="10" s="1"/>
  <c r="F80" i="10"/>
  <c r="E80" i="10"/>
  <c r="AA79" i="10"/>
  <c r="Z79" i="10"/>
  <c r="X79" i="10"/>
  <c r="V79" i="10"/>
  <c r="T79" i="10"/>
  <c r="S79" i="10"/>
  <c r="U79" i="10" s="1"/>
  <c r="R79" i="10"/>
  <c r="O79" i="10"/>
  <c r="L79" i="10"/>
  <c r="I79" i="10"/>
  <c r="Q79" i="10" s="1"/>
  <c r="H79" i="10"/>
  <c r="N79" i="10" s="1"/>
  <c r="G79" i="10"/>
  <c r="P79" i="10" s="1"/>
  <c r="F79" i="10"/>
  <c r="E79" i="10"/>
  <c r="AA78" i="10"/>
  <c r="Z78" i="10"/>
  <c r="X78" i="10"/>
  <c r="V78" i="10"/>
  <c r="T78" i="10"/>
  <c r="S78" i="10"/>
  <c r="R78" i="10"/>
  <c r="O78" i="10"/>
  <c r="L78" i="10"/>
  <c r="I78" i="10"/>
  <c r="Q78" i="10" s="1"/>
  <c r="H78" i="10"/>
  <c r="G78" i="10"/>
  <c r="P78" i="10" s="1"/>
  <c r="F78" i="10"/>
  <c r="E78" i="10"/>
  <c r="AA77" i="10"/>
  <c r="Z77" i="10"/>
  <c r="X77" i="10"/>
  <c r="V77" i="10"/>
  <c r="T77" i="10"/>
  <c r="S77" i="10"/>
  <c r="R77" i="10"/>
  <c r="O77" i="10"/>
  <c r="L77" i="10"/>
  <c r="I77" i="10"/>
  <c r="Q77" i="10" s="1"/>
  <c r="H77" i="10"/>
  <c r="N77" i="10" s="1"/>
  <c r="G77" i="10"/>
  <c r="P77" i="10" s="1"/>
  <c r="F77" i="10"/>
  <c r="E77" i="10"/>
  <c r="AA76" i="10"/>
  <c r="Z76" i="10"/>
  <c r="X76" i="10"/>
  <c r="V76" i="10"/>
  <c r="T76" i="10"/>
  <c r="S76" i="10"/>
  <c r="R76" i="10"/>
  <c r="O76" i="10"/>
  <c r="L76" i="10"/>
  <c r="I76" i="10"/>
  <c r="H76" i="10"/>
  <c r="G76" i="10"/>
  <c r="P76" i="10" s="1"/>
  <c r="F76" i="10"/>
  <c r="E76" i="10"/>
  <c r="AA75" i="10"/>
  <c r="Z75" i="10"/>
  <c r="X75" i="10"/>
  <c r="V75" i="10"/>
  <c r="T75" i="10"/>
  <c r="S75" i="10"/>
  <c r="AB75" i="10" s="1"/>
  <c r="R75" i="10"/>
  <c r="O75" i="10"/>
  <c r="L75" i="10"/>
  <c r="I75" i="10"/>
  <c r="Q75" i="10" s="1"/>
  <c r="H75" i="10"/>
  <c r="G75" i="10"/>
  <c r="P75" i="10" s="1"/>
  <c r="F75" i="10"/>
  <c r="E75" i="10"/>
  <c r="AA73" i="10"/>
  <c r="Z73" i="10"/>
  <c r="X73" i="10"/>
  <c r="V73" i="10"/>
  <c r="T73" i="10"/>
  <c r="S73" i="10"/>
  <c r="U73" i="10" s="1"/>
  <c r="R73" i="10"/>
  <c r="O73" i="10"/>
  <c r="L73" i="10"/>
  <c r="I73" i="10"/>
  <c r="Q73" i="10" s="1"/>
  <c r="H73" i="10"/>
  <c r="N73" i="10" s="1"/>
  <c r="G73" i="10"/>
  <c r="P73" i="10" s="1"/>
  <c r="F73" i="10"/>
  <c r="E73" i="10"/>
  <c r="AA72" i="10"/>
  <c r="Z72" i="10"/>
  <c r="X72" i="10"/>
  <c r="V72" i="10"/>
  <c r="T72" i="10"/>
  <c r="S72" i="10"/>
  <c r="R72" i="10"/>
  <c r="O72" i="10"/>
  <c r="L72" i="10"/>
  <c r="I72" i="10"/>
  <c r="Q72" i="10" s="1"/>
  <c r="H72" i="10"/>
  <c r="G72" i="10"/>
  <c r="P72" i="10" s="1"/>
  <c r="F72" i="10"/>
  <c r="E72" i="10"/>
  <c r="AA71" i="10"/>
  <c r="Z71" i="10"/>
  <c r="X71" i="10"/>
  <c r="V71" i="10"/>
  <c r="T71" i="10"/>
  <c r="S71" i="10"/>
  <c r="Y71" i="10" s="1"/>
  <c r="R71" i="10"/>
  <c r="O71" i="10"/>
  <c r="L71" i="10"/>
  <c r="I71" i="10"/>
  <c r="Q71" i="10" s="1"/>
  <c r="H71" i="10"/>
  <c r="N71" i="10" s="1"/>
  <c r="G71" i="10"/>
  <c r="P71" i="10" s="1"/>
  <c r="F71" i="10"/>
  <c r="E71" i="10"/>
  <c r="AA70" i="10"/>
  <c r="Z70" i="10"/>
  <c r="X70" i="10"/>
  <c r="V70" i="10"/>
  <c r="T70" i="10"/>
  <c r="S70" i="10"/>
  <c r="R70" i="10"/>
  <c r="O70" i="10"/>
  <c r="L70" i="10"/>
  <c r="I70" i="10"/>
  <c r="Q70" i="10" s="1"/>
  <c r="H70" i="10"/>
  <c r="G70" i="10"/>
  <c r="P70" i="10" s="1"/>
  <c r="F70" i="10"/>
  <c r="E70" i="10"/>
  <c r="AA69" i="10"/>
  <c r="Z69" i="10"/>
  <c r="X69" i="10"/>
  <c r="V69" i="10"/>
  <c r="T69" i="10"/>
  <c r="S69" i="10"/>
  <c r="W69" i="10" s="1"/>
  <c r="R69" i="10"/>
  <c r="O69" i="10"/>
  <c r="L69" i="10"/>
  <c r="I69" i="10"/>
  <c r="Q69" i="10" s="1"/>
  <c r="H69" i="10"/>
  <c r="N69" i="10" s="1"/>
  <c r="G69" i="10"/>
  <c r="P69" i="10" s="1"/>
  <c r="F69" i="10"/>
  <c r="E69" i="10"/>
  <c r="AA68" i="10"/>
  <c r="Z68" i="10"/>
  <c r="X68" i="10"/>
  <c r="V68" i="10"/>
  <c r="T68" i="10"/>
  <c r="S68" i="10"/>
  <c r="R68" i="10"/>
  <c r="O68" i="10"/>
  <c r="L68" i="10"/>
  <c r="I68" i="10"/>
  <c r="Q68" i="10" s="1"/>
  <c r="H68" i="10"/>
  <c r="G68" i="10"/>
  <c r="P68" i="10" s="1"/>
  <c r="F68" i="10"/>
  <c r="E68" i="10"/>
  <c r="AA67" i="10"/>
  <c r="Z67" i="10"/>
  <c r="X67" i="10"/>
  <c r="V67" i="10"/>
  <c r="S67" i="10"/>
  <c r="R67" i="10"/>
  <c r="O67" i="10"/>
  <c r="L67" i="10"/>
  <c r="I67" i="10"/>
  <c r="Q67" i="10" s="1"/>
  <c r="H67" i="10"/>
  <c r="G67" i="10"/>
  <c r="P67" i="10" s="1"/>
  <c r="F67" i="10"/>
  <c r="E67" i="10"/>
  <c r="AA66" i="10"/>
  <c r="Z66" i="10"/>
  <c r="X66" i="10"/>
  <c r="V66" i="10"/>
  <c r="T66" i="10"/>
  <c r="S66" i="10"/>
  <c r="R66" i="10"/>
  <c r="O66" i="10"/>
  <c r="L66" i="10"/>
  <c r="I66" i="10"/>
  <c r="Q66" i="10" s="1"/>
  <c r="H66" i="10"/>
  <c r="G66" i="10"/>
  <c r="P66" i="10" s="1"/>
  <c r="F66" i="10"/>
  <c r="E66" i="10"/>
  <c r="AA65" i="10"/>
  <c r="Z65" i="10"/>
  <c r="X65" i="10"/>
  <c r="V65" i="10"/>
  <c r="T65" i="10"/>
  <c r="S65" i="10"/>
  <c r="W65" i="10" s="1"/>
  <c r="R65" i="10"/>
  <c r="O65" i="10"/>
  <c r="L65" i="10"/>
  <c r="I65" i="10"/>
  <c r="Q65" i="10" s="1"/>
  <c r="H65" i="10"/>
  <c r="N65" i="10" s="1"/>
  <c r="G65" i="10"/>
  <c r="P65" i="10" s="1"/>
  <c r="F65" i="10"/>
  <c r="E65" i="10"/>
  <c r="AA64" i="10"/>
  <c r="Z64" i="10"/>
  <c r="X64" i="10"/>
  <c r="V64" i="10"/>
  <c r="T64" i="10"/>
  <c r="S64" i="10"/>
  <c r="R64" i="10"/>
  <c r="O64" i="10"/>
  <c r="L64" i="10"/>
  <c r="I64" i="10"/>
  <c r="Q64" i="10" s="1"/>
  <c r="H64" i="10"/>
  <c r="G64" i="10"/>
  <c r="P64" i="10" s="1"/>
  <c r="F64" i="10"/>
  <c r="E64" i="10"/>
  <c r="AA63" i="10"/>
  <c r="Z63" i="10"/>
  <c r="X63" i="10"/>
  <c r="V63" i="10"/>
  <c r="T63" i="10"/>
  <c r="S63" i="10"/>
  <c r="R63" i="10"/>
  <c r="O63" i="10"/>
  <c r="L63" i="10"/>
  <c r="I63" i="10"/>
  <c r="Q63" i="10" s="1"/>
  <c r="H63" i="10"/>
  <c r="G63" i="10"/>
  <c r="P63" i="10" s="1"/>
  <c r="F63" i="10"/>
  <c r="E63" i="10"/>
  <c r="AA62" i="10"/>
  <c r="Z62" i="10"/>
  <c r="X62" i="10"/>
  <c r="V62" i="10"/>
  <c r="T62" i="10"/>
  <c r="S62" i="10"/>
  <c r="W62" i="10" s="1"/>
  <c r="R62" i="10"/>
  <c r="O62" i="10"/>
  <c r="L62" i="10"/>
  <c r="I62" i="10"/>
  <c r="Q62" i="10" s="1"/>
  <c r="H62" i="10"/>
  <c r="N62" i="10" s="1"/>
  <c r="G62" i="10"/>
  <c r="P62" i="10" s="1"/>
  <c r="F62" i="10"/>
  <c r="E62" i="10"/>
  <c r="AA61" i="10"/>
  <c r="Z61" i="10"/>
  <c r="X61" i="10"/>
  <c r="V61" i="10"/>
  <c r="T61" i="10"/>
  <c r="S61" i="10"/>
  <c r="Y61" i="10" s="1"/>
  <c r="R61" i="10"/>
  <c r="O61" i="10"/>
  <c r="L61" i="10"/>
  <c r="I61" i="10"/>
  <c r="Q61" i="10" s="1"/>
  <c r="H61" i="10"/>
  <c r="N61" i="10" s="1"/>
  <c r="G61" i="10"/>
  <c r="P61" i="10" s="1"/>
  <c r="F61" i="10"/>
  <c r="E61" i="10"/>
  <c r="AA60" i="10"/>
  <c r="Z60" i="10"/>
  <c r="X60" i="10"/>
  <c r="V60" i="10"/>
  <c r="T60" i="10"/>
  <c r="S60" i="10"/>
  <c r="U60" i="10" s="1"/>
  <c r="R60" i="10"/>
  <c r="O60" i="10"/>
  <c r="L60" i="10"/>
  <c r="I60" i="10"/>
  <c r="Q60" i="10" s="1"/>
  <c r="H60" i="10"/>
  <c r="N60" i="10" s="1"/>
  <c r="G60" i="10"/>
  <c r="P60" i="10" s="1"/>
  <c r="F60" i="10"/>
  <c r="E60" i="10"/>
  <c r="AA59" i="10"/>
  <c r="Z59" i="10"/>
  <c r="X59" i="10"/>
  <c r="V59" i="10"/>
  <c r="T59" i="10"/>
  <c r="S59" i="10"/>
  <c r="R59" i="10"/>
  <c r="O59" i="10"/>
  <c r="L59" i="10"/>
  <c r="I59" i="10"/>
  <c r="Q59" i="10" s="1"/>
  <c r="H59" i="10"/>
  <c r="G59" i="10"/>
  <c r="P59" i="10" s="1"/>
  <c r="F59" i="10"/>
  <c r="E59" i="10"/>
  <c r="AA58" i="10"/>
  <c r="Z58" i="10"/>
  <c r="X58" i="10"/>
  <c r="V58" i="10"/>
  <c r="T58" i="10"/>
  <c r="S58" i="10"/>
  <c r="Y58" i="10" s="1"/>
  <c r="R58" i="10"/>
  <c r="O58" i="10"/>
  <c r="L58" i="10"/>
  <c r="I58" i="10"/>
  <c r="Q58" i="10" s="1"/>
  <c r="H58" i="10"/>
  <c r="N58" i="10" s="1"/>
  <c r="G58" i="10"/>
  <c r="P58" i="10" s="1"/>
  <c r="F58" i="10"/>
  <c r="E58" i="10"/>
  <c r="AA57" i="10"/>
  <c r="Z57" i="10"/>
  <c r="X57" i="10"/>
  <c r="V57" i="10"/>
  <c r="T57" i="10"/>
  <c r="S57" i="10"/>
  <c r="R57" i="10"/>
  <c r="O57" i="10"/>
  <c r="L57" i="10"/>
  <c r="I57" i="10"/>
  <c r="Q57" i="10" s="1"/>
  <c r="H57" i="10"/>
  <c r="G57" i="10"/>
  <c r="P57" i="10" s="1"/>
  <c r="F57" i="10"/>
  <c r="E57" i="10"/>
  <c r="AA56" i="10"/>
  <c r="Z56" i="10"/>
  <c r="X56" i="10"/>
  <c r="V56" i="10"/>
  <c r="T56" i="10"/>
  <c r="S56" i="10"/>
  <c r="R56" i="10"/>
  <c r="O56" i="10"/>
  <c r="L56" i="10"/>
  <c r="I56" i="10"/>
  <c r="Q56" i="10" s="1"/>
  <c r="H56" i="10"/>
  <c r="G56" i="10"/>
  <c r="P56" i="10" s="1"/>
  <c r="F56" i="10"/>
  <c r="E56" i="10"/>
  <c r="AA55" i="10"/>
  <c r="Z55" i="10"/>
  <c r="X55" i="10"/>
  <c r="V55" i="10"/>
  <c r="T55" i="10"/>
  <c r="S55" i="10"/>
  <c r="R55" i="10"/>
  <c r="O55" i="10"/>
  <c r="L55" i="10"/>
  <c r="I55" i="10"/>
  <c r="Q55" i="10" s="1"/>
  <c r="H55" i="10"/>
  <c r="G55" i="10"/>
  <c r="P55" i="10" s="1"/>
  <c r="F55" i="10"/>
  <c r="E55" i="10"/>
  <c r="AA54" i="10"/>
  <c r="Z54" i="10"/>
  <c r="X54" i="10"/>
  <c r="V54" i="10"/>
  <c r="T54" i="10"/>
  <c r="S54" i="10"/>
  <c r="U54" i="10" s="1"/>
  <c r="R54" i="10"/>
  <c r="O54" i="10"/>
  <c r="L54" i="10"/>
  <c r="I54" i="10"/>
  <c r="Q54" i="10" s="1"/>
  <c r="H54" i="10"/>
  <c r="N54" i="10" s="1"/>
  <c r="G54" i="10"/>
  <c r="P54" i="10" s="1"/>
  <c r="F54" i="10"/>
  <c r="E54" i="10"/>
  <c r="AA53" i="10"/>
  <c r="Z53" i="10"/>
  <c r="X53" i="10"/>
  <c r="V53" i="10"/>
  <c r="T53" i="10"/>
  <c r="S53" i="10"/>
  <c r="R53" i="10"/>
  <c r="O53" i="10"/>
  <c r="L53" i="10"/>
  <c r="I53" i="10"/>
  <c r="Q53" i="10" s="1"/>
  <c r="H53" i="10"/>
  <c r="G53" i="10"/>
  <c r="F53" i="10"/>
  <c r="E53" i="10"/>
  <c r="AA51" i="10"/>
  <c r="Z51" i="10"/>
  <c r="X51" i="10"/>
  <c r="V51" i="10"/>
  <c r="T51" i="10"/>
  <c r="S51" i="10"/>
  <c r="R51" i="10"/>
  <c r="O51" i="10"/>
  <c r="L51" i="10"/>
  <c r="I51" i="10"/>
  <c r="Q51" i="10" s="1"/>
  <c r="H51" i="10"/>
  <c r="G51" i="10"/>
  <c r="P51" i="10" s="1"/>
  <c r="F51" i="10"/>
  <c r="E51" i="10"/>
  <c r="AA50" i="10"/>
  <c r="Z50" i="10"/>
  <c r="X50" i="10"/>
  <c r="V50" i="10"/>
  <c r="T50" i="10"/>
  <c r="S50" i="10"/>
  <c r="R50" i="10"/>
  <c r="O50" i="10"/>
  <c r="L50" i="10"/>
  <c r="I50" i="10"/>
  <c r="Q50" i="10" s="1"/>
  <c r="H50" i="10"/>
  <c r="G50" i="10"/>
  <c r="P50" i="10" s="1"/>
  <c r="F50" i="10"/>
  <c r="E50" i="10"/>
  <c r="AA49" i="10"/>
  <c r="Z49" i="10"/>
  <c r="X49" i="10"/>
  <c r="V49" i="10"/>
  <c r="T49" i="10"/>
  <c r="S49" i="10"/>
  <c r="Y49" i="10" s="1"/>
  <c r="R49" i="10"/>
  <c r="O49" i="10"/>
  <c r="L49" i="10"/>
  <c r="I49" i="10"/>
  <c r="Q49" i="10" s="1"/>
  <c r="H49" i="10"/>
  <c r="N49" i="10" s="1"/>
  <c r="G49" i="10"/>
  <c r="P49" i="10" s="1"/>
  <c r="F49" i="10"/>
  <c r="E49" i="10"/>
  <c r="AA48" i="10"/>
  <c r="Z48" i="10"/>
  <c r="X48" i="10"/>
  <c r="V48" i="10"/>
  <c r="T48" i="10"/>
  <c r="S48" i="10"/>
  <c r="U48" i="10" s="1"/>
  <c r="R48" i="10"/>
  <c r="O48" i="10"/>
  <c r="L48" i="10"/>
  <c r="I48" i="10"/>
  <c r="Q48" i="10" s="1"/>
  <c r="H48" i="10"/>
  <c r="N48" i="10" s="1"/>
  <c r="G48" i="10"/>
  <c r="P48" i="10" s="1"/>
  <c r="F48" i="10"/>
  <c r="E48" i="10"/>
  <c r="AA47" i="10"/>
  <c r="Z47" i="10"/>
  <c r="X47" i="10"/>
  <c r="V47" i="10"/>
  <c r="T47" i="10"/>
  <c r="S47" i="10"/>
  <c r="W47" i="10" s="1"/>
  <c r="R47" i="10"/>
  <c r="O47" i="10"/>
  <c r="L47" i="10"/>
  <c r="I47" i="10"/>
  <c r="Q47" i="10" s="1"/>
  <c r="H47" i="10"/>
  <c r="N47" i="10" s="1"/>
  <c r="G47" i="10"/>
  <c r="P47" i="10" s="1"/>
  <c r="F47" i="10"/>
  <c r="E47" i="10"/>
  <c r="AA46" i="10"/>
  <c r="Z46" i="10"/>
  <c r="T46" i="10"/>
  <c r="S46" i="10"/>
  <c r="R46" i="10"/>
  <c r="O46" i="10"/>
  <c r="L46" i="10"/>
  <c r="I46" i="10"/>
  <c r="Q46" i="10" s="1"/>
  <c r="H46" i="10"/>
  <c r="G46" i="10"/>
  <c r="P46" i="10" s="1"/>
  <c r="F46" i="10"/>
  <c r="E46" i="10"/>
  <c r="Z45" i="10"/>
  <c r="X45" i="10"/>
  <c r="V45" i="10"/>
  <c r="T45" i="10"/>
  <c r="S45" i="10"/>
  <c r="R45" i="10"/>
  <c r="O45" i="10"/>
  <c r="L45" i="10"/>
  <c r="I45" i="10"/>
  <c r="Q45" i="10" s="1"/>
  <c r="H45" i="10"/>
  <c r="G45" i="10"/>
  <c r="P45" i="10" s="1"/>
  <c r="F45" i="10"/>
  <c r="E45" i="10"/>
  <c r="AA44" i="10"/>
  <c r="Z44" i="10"/>
  <c r="X44" i="10"/>
  <c r="V44" i="10"/>
  <c r="T44" i="10"/>
  <c r="S44" i="10"/>
  <c r="R44" i="10"/>
  <c r="O44" i="10"/>
  <c r="L44" i="10"/>
  <c r="I44" i="10"/>
  <c r="Q44" i="10" s="1"/>
  <c r="H44" i="10"/>
  <c r="G44" i="10"/>
  <c r="P44" i="10" s="1"/>
  <c r="F44" i="10"/>
  <c r="E44" i="10"/>
  <c r="AA43" i="10"/>
  <c r="Z43" i="10"/>
  <c r="X43" i="10"/>
  <c r="V43" i="10"/>
  <c r="T43" i="10"/>
  <c r="S43" i="10"/>
  <c r="Y43" i="10" s="1"/>
  <c r="R43" i="10"/>
  <c r="O43" i="10"/>
  <c r="L43" i="10"/>
  <c r="I43" i="10"/>
  <c r="Q43" i="10" s="1"/>
  <c r="H43" i="10"/>
  <c r="N43" i="10" s="1"/>
  <c r="G43" i="10"/>
  <c r="P43" i="10" s="1"/>
  <c r="F43" i="10"/>
  <c r="E43" i="10"/>
  <c r="AA42" i="10"/>
  <c r="Z42" i="10"/>
  <c r="X42" i="10"/>
  <c r="V42" i="10"/>
  <c r="T42" i="10"/>
  <c r="S42" i="10"/>
  <c r="Y42" i="10" s="1"/>
  <c r="R42" i="10"/>
  <c r="O42" i="10"/>
  <c r="L42" i="10"/>
  <c r="I42" i="10"/>
  <c r="Q42" i="10" s="1"/>
  <c r="H42" i="10"/>
  <c r="G42" i="10"/>
  <c r="P42" i="10" s="1"/>
  <c r="F42" i="10"/>
  <c r="E42" i="10"/>
  <c r="AA41" i="10"/>
  <c r="Z41" i="10"/>
  <c r="X41" i="10"/>
  <c r="V41" i="10"/>
  <c r="T41" i="10"/>
  <c r="S41" i="10"/>
  <c r="R41" i="10"/>
  <c r="O41" i="10"/>
  <c r="L41" i="10"/>
  <c r="I41" i="10"/>
  <c r="Q41" i="10" s="1"/>
  <c r="H41" i="10"/>
  <c r="G41" i="10"/>
  <c r="P41" i="10" s="1"/>
  <c r="F41" i="10"/>
  <c r="E41" i="10"/>
  <c r="AA40" i="10"/>
  <c r="Z40" i="10"/>
  <c r="X40" i="10"/>
  <c r="V40" i="10"/>
  <c r="T40" i="10"/>
  <c r="S40" i="10"/>
  <c r="R40" i="10"/>
  <c r="O40" i="10"/>
  <c r="L40" i="10"/>
  <c r="I40" i="10"/>
  <c r="Q40" i="10" s="1"/>
  <c r="H40" i="10"/>
  <c r="G40" i="10"/>
  <c r="P40" i="10" s="1"/>
  <c r="F40" i="10"/>
  <c r="E40" i="10"/>
  <c r="AA39" i="10"/>
  <c r="Z39" i="10"/>
  <c r="X39" i="10"/>
  <c r="V39" i="10"/>
  <c r="T39" i="10"/>
  <c r="S39" i="10"/>
  <c r="U39" i="10" s="1"/>
  <c r="R39" i="10"/>
  <c r="O39" i="10"/>
  <c r="L39" i="10"/>
  <c r="I39" i="10"/>
  <c r="Q39" i="10" s="1"/>
  <c r="H39" i="10"/>
  <c r="N39" i="10" s="1"/>
  <c r="G39" i="10"/>
  <c r="P39" i="10" s="1"/>
  <c r="F39" i="10"/>
  <c r="E39" i="10"/>
  <c r="AA38" i="10"/>
  <c r="Z38" i="10"/>
  <c r="X38" i="10"/>
  <c r="V38" i="10"/>
  <c r="T38" i="10"/>
  <c r="S38" i="10"/>
  <c r="R38" i="10"/>
  <c r="O38" i="10"/>
  <c r="L38" i="10"/>
  <c r="I38" i="10"/>
  <c r="Q38" i="10" s="1"/>
  <c r="H38" i="10"/>
  <c r="G38" i="10"/>
  <c r="P38" i="10" s="1"/>
  <c r="F38" i="10"/>
  <c r="E38" i="10"/>
  <c r="AA37" i="10"/>
  <c r="Z37" i="10"/>
  <c r="X37" i="10"/>
  <c r="V37" i="10"/>
  <c r="T37" i="10"/>
  <c r="S37" i="10"/>
  <c r="Y37" i="10" s="1"/>
  <c r="R37" i="10"/>
  <c r="O37" i="10"/>
  <c r="L37" i="10"/>
  <c r="I37" i="10"/>
  <c r="Q37" i="10" s="1"/>
  <c r="H37" i="10"/>
  <c r="N37" i="10" s="1"/>
  <c r="G37" i="10"/>
  <c r="P37" i="10" s="1"/>
  <c r="F37" i="10"/>
  <c r="E37" i="10"/>
  <c r="AA36" i="10"/>
  <c r="Z36" i="10"/>
  <c r="V36" i="10"/>
  <c r="T36" i="10"/>
  <c r="S36" i="10"/>
  <c r="R36" i="10"/>
  <c r="O36" i="10"/>
  <c r="L36" i="10"/>
  <c r="I36" i="10"/>
  <c r="Q36" i="10" s="1"/>
  <c r="H36" i="10"/>
  <c r="G36" i="10"/>
  <c r="P36" i="10" s="1"/>
  <c r="F36" i="10"/>
  <c r="E36" i="10"/>
  <c r="AA35" i="10"/>
  <c r="Z35" i="10"/>
  <c r="X35" i="10"/>
  <c r="V35" i="10"/>
  <c r="T35" i="10"/>
  <c r="S35" i="10"/>
  <c r="R35" i="10"/>
  <c r="O35" i="10"/>
  <c r="L35" i="10"/>
  <c r="I35" i="10"/>
  <c r="Q35" i="10" s="1"/>
  <c r="H35" i="10"/>
  <c r="G35" i="10"/>
  <c r="P35" i="10" s="1"/>
  <c r="F35" i="10"/>
  <c r="E35" i="10"/>
  <c r="AA34" i="10"/>
  <c r="Z34" i="10"/>
  <c r="X34" i="10"/>
  <c r="V34" i="10"/>
  <c r="T34" i="10"/>
  <c r="S34" i="10"/>
  <c r="Y34" i="10" s="1"/>
  <c r="R34" i="10"/>
  <c r="O34" i="10"/>
  <c r="L34" i="10"/>
  <c r="I34" i="10"/>
  <c r="Q34" i="10" s="1"/>
  <c r="H34" i="10"/>
  <c r="N34" i="10" s="1"/>
  <c r="G34" i="10"/>
  <c r="P34" i="10" s="1"/>
  <c r="F34" i="10"/>
  <c r="E34" i="10"/>
  <c r="AA33" i="10"/>
  <c r="Z33" i="10"/>
  <c r="X33" i="10"/>
  <c r="V33" i="10"/>
  <c r="T33" i="10"/>
  <c r="S33" i="10"/>
  <c r="R33" i="10"/>
  <c r="O33" i="10"/>
  <c r="L33" i="10"/>
  <c r="I33" i="10"/>
  <c r="Q33" i="10" s="1"/>
  <c r="H33" i="10"/>
  <c r="G33" i="10"/>
  <c r="P33" i="10" s="1"/>
  <c r="F33" i="10"/>
  <c r="E33" i="10"/>
  <c r="AA32" i="10"/>
  <c r="Z32" i="10"/>
  <c r="X32" i="10"/>
  <c r="V32" i="10"/>
  <c r="T32" i="10"/>
  <c r="S32" i="10"/>
  <c r="W32" i="10" s="1"/>
  <c r="R32" i="10"/>
  <c r="O32" i="10"/>
  <c r="L32" i="10"/>
  <c r="I32" i="10"/>
  <c r="Q32" i="10" s="1"/>
  <c r="H32" i="10"/>
  <c r="N32" i="10" s="1"/>
  <c r="G32" i="10"/>
  <c r="F32" i="10"/>
  <c r="E32" i="10"/>
  <c r="AA30" i="10"/>
  <c r="Z30" i="10"/>
  <c r="X30" i="10"/>
  <c r="V30" i="10"/>
  <c r="T30" i="10"/>
  <c r="S30" i="10"/>
  <c r="R30" i="10"/>
  <c r="O30" i="10"/>
  <c r="L30" i="10"/>
  <c r="I30" i="10"/>
  <c r="Q30" i="10" s="1"/>
  <c r="H30" i="10"/>
  <c r="G30" i="10"/>
  <c r="P30" i="10" s="1"/>
  <c r="F30" i="10"/>
  <c r="E30" i="10"/>
  <c r="AA29" i="10"/>
  <c r="Z29" i="10"/>
  <c r="X29" i="10"/>
  <c r="V29" i="10"/>
  <c r="T29" i="10"/>
  <c r="S29" i="10"/>
  <c r="R29" i="10"/>
  <c r="O29" i="10"/>
  <c r="L29" i="10"/>
  <c r="I29" i="10"/>
  <c r="Q29" i="10" s="1"/>
  <c r="H29" i="10"/>
  <c r="G29" i="10"/>
  <c r="P29" i="10" s="1"/>
  <c r="F29" i="10"/>
  <c r="E29" i="10"/>
  <c r="AA28" i="10"/>
  <c r="Z28" i="10"/>
  <c r="X28" i="10"/>
  <c r="V28" i="10"/>
  <c r="T28" i="10"/>
  <c r="S28" i="10"/>
  <c r="R28" i="10"/>
  <c r="O28" i="10"/>
  <c r="L28" i="10"/>
  <c r="I28" i="10"/>
  <c r="Q28" i="10" s="1"/>
  <c r="H28" i="10"/>
  <c r="G28" i="10"/>
  <c r="P28" i="10" s="1"/>
  <c r="F28" i="10"/>
  <c r="E28" i="10"/>
  <c r="AA27" i="10"/>
  <c r="Z27" i="10"/>
  <c r="X27" i="10"/>
  <c r="V27" i="10"/>
  <c r="T27" i="10"/>
  <c r="S27" i="10"/>
  <c r="U27" i="10" s="1"/>
  <c r="R27" i="10"/>
  <c r="O27" i="10"/>
  <c r="L27" i="10"/>
  <c r="I27" i="10"/>
  <c r="Q27" i="10" s="1"/>
  <c r="H27" i="10"/>
  <c r="N27" i="10" s="1"/>
  <c r="G27" i="10"/>
  <c r="P27" i="10" s="1"/>
  <c r="F27" i="10"/>
  <c r="E27" i="10"/>
  <c r="AA26" i="10"/>
  <c r="Z26" i="10"/>
  <c r="X26" i="10"/>
  <c r="V26" i="10"/>
  <c r="T26" i="10"/>
  <c r="S26" i="10"/>
  <c r="W26" i="10" s="1"/>
  <c r="R26" i="10"/>
  <c r="O26" i="10"/>
  <c r="L26" i="10"/>
  <c r="I26" i="10"/>
  <c r="Q26" i="10" s="1"/>
  <c r="H26" i="10"/>
  <c r="N26" i="10" s="1"/>
  <c r="G26" i="10"/>
  <c r="P26" i="10" s="1"/>
  <c r="F26" i="10"/>
  <c r="E26" i="10"/>
  <c r="AA25" i="10"/>
  <c r="Z25" i="10"/>
  <c r="X25" i="10"/>
  <c r="V25" i="10"/>
  <c r="T25" i="10"/>
  <c r="S25" i="10"/>
  <c r="Y25" i="10" s="1"/>
  <c r="R25" i="10"/>
  <c r="O25" i="10"/>
  <c r="L25" i="10"/>
  <c r="I25" i="10"/>
  <c r="Q25" i="10" s="1"/>
  <c r="H25" i="10"/>
  <c r="N25" i="10" s="1"/>
  <c r="G25" i="10"/>
  <c r="P25" i="10" s="1"/>
  <c r="F25" i="10"/>
  <c r="E25" i="10"/>
  <c r="AA24" i="10"/>
  <c r="Z24" i="10"/>
  <c r="X24" i="10"/>
  <c r="V24" i="10"/>
  <c r="T24" i="10"/>
  <c r="S24" i="10"/>
  <c r="R24" i="10"/>
  <c r="O24" i="10"/>
  <c r="L24" i="10"/>
  <c r="I24" i="10"/>
  <c r="Q24" i="10" s="1"/>
  <c r="H24" i="10"/>
  <c r="G24" i="10"/>
  <c r="P24" i="10" s="1"/>
  <c r="F24" i="10"/>
  <c r="E24" i="10"/>
  <c r="AA23" i="10"/>
  <c r="Z23" i="10"/>
  <c r="X23" i="10"/>
  <c r="V23" i="10"/>
  <c r="T23" i="10"/>
  <c r="S23" i="10"/>
  <c r="R23" i="10"/>
  <c r="O23" i="10"/>
  <c r="L23" i="10"/>
  <c r="I23" i="10"/>
  <c r="Q23" i="10" s="1"/>
  <c r="H23" i="10"/>
  <c r="G23" i="10"/>
  <c r="P23" i="10" s="1"/>
  <c r="F23" i="10"/>
  <c r="E23" i="10"/>
  <c r="AA22" i="10"/>
  <c r="Z22" i="10"/>
  <c r="X22" i="10"/>
  <c r="V22" i="10"/>
  <c r="T22" i="10"/>
  <c r="S22" i="10"/>
  <c r="Y22" i="10" s="1"/>
  <c r="R22" i="10"/>
  <c r="O22" i="10"/>
  <c r="L22" i="10"/>
  <c r="I22" i="10"/>
  <c r="Q22" i="10" s="1"/>
  <c r="H22" i="10"/>
  <c r="N22" i="10" s="1"/>
  <c r="G22" i="10"/>
  <c r="P22" i="10" s="1"/>
  <c r="F22" i="10"/>
  <c r="E22" i="10"/>
  <c r="AA21" i="10"/>
  <c r="Z21" i="10"/>
  <c r="X21" i="10"/>
  <c r="V21" i="10"/>
  <c r="T21" i="10"/>
  <c r="S21" i="10"/>
  <c r="U21" i="10" s="1"/>
  <c r="R21" i="10"/>
  <c r="O21" i="10"/>
  <c r="L21" i="10"/>
  <c r="I21" i="10"/>
  <c r="Q21" i="10" s="1"/>
  <c r="H21" i="10"/>
  <c r="N21" i="10" s="1"/>
  <c r="G21" i="10"/>
  <c r="P21" i="10" s="1"/>
  <c r="F21" i="10"/>
  <c r="E21" i="10"/>
  <c r="AA20" i="10"/>
  <c r="Z20" i="10"/>
  <c r="X20" i="10"/>
  <c r="V20" i="10"/>
  <c r="T20" i="10"/>
  <c r="S20" i="10"/>
  <c r="R20" i="10"/>
  <c r="O20" i="10"/>
  <c r="L20" i="10"/>
  <c r="I20" i="10"/>
  <c r="Q20" i="10" s="1"/>
  <c r="H20" i="10"/>
  <c r="G20" i="10"/>
  <c r="P20" i="10" s="1"/>
  <c r="F20" i="10"/>
  <c r="E20" i="10"/>
  <c r="AA19" i="10"/>
  <c r="Z19" i="10"/>
  <c r="X19" i="10"/>
  <c r="V19" i="10"/>
  <c r="T19" i="10"/>
  <c r="S19" i="10"/>
  <c r="Y19" i="10" s="1"/>
  <c r="R19" i="10"/>
  <c r="O19" i="10"/>
  <c r="L19" i="10"/>
  <c r="I19" i="10"/>
  <c r="Q19" i="10" s="1"/>
  <c r="H19" i="10"/>
  <c r="N19" i="10" s="1"/>
  <c r="G19" i="10"/>
  <c r="P19" i="10" s="1"/>
  <c r="F19" i="10"/>
  <c r="E19" i="10"/>
  <c r="AA18" i="10"/>
  <c r="Z18" i="10"/>
  <c r="X18" i="10"/>
  <c r="V18" i="10"/>
  <c r="T18" i="10"/>
  <c r="S18" i="10"/>
  <c r="R18" i="10"/>
  <c r="O18" i="10"/>
  <c r="L18" i="10"/>
  <c r="I18" i="10"/>
  <c r="Q18" i="10" s="1"/>
  <c r="H18" i="10"/>
  <c r="G18" i="10"/>
  <c r="P18" i="10" s="1"/>
  <c r="F18" i="10"/>
  <c r="E18" i="10"/>
  <c r="AA17" i="10"/>
  <c r="Z17" i="10"/>
  <c r="X17" i="10"/>
  <c r="V17" i="10"/>
  <c r="T17" i="10"/>
  <c r="S17" i="10"/>
  <c r="R17" i="10"/>
  <c r="O17" i="10"/>
  <c r="L17" i="10"/>
  <c r="I17" i="10"/>
  <c r="Q17" i="10" s="1"/>
  <c r="H17" i="10"/>
  <c r="G17" i="10"/>
  <c r="P17" i="10" s="1"/>
  <c r="F17" i="10"/>
  <c r="E17" i="10"/>
  <c r="AA16" i="10"/>
  <c r="Z16" i="10"/>
  <c r="X16" i="10"/>
  <c r="V16" i="10"/>
  <c r="T16" i="10"/>
  <c r="S16" i="10"/>
  <c r="R16" i="10"/>
  <c r="O16" i="10"/>
  <c r="L16" i="10"/>
  <c r="I16" i="10"/>
  <c r="Q16" i="10" s="1"/>
  <c r="H16" i="10"/>
  <c r="G16" i="10"/>
  <c r="P16" i="10" s="1"/>
  <c r="F16" i="10"/>
  <c r="E16" i="10"/>
  <c r="AA15" i="10"/>
  <c r="Z15" i="10"/>
  <c r="X15" i="10"/>
  <c r="V15" i="10"/>
  <c r="T15" i="10"/>
  <c r="S15" i="10"/>
  <c r="R15" i="10"/>
  <c r="O15" i="10"/>
  <c r="L15" i="10"/>
  <c r="I15" i="10"/>
  <c r="Q15" i="10" s="1"/>
  <c r="H15" i="10"/>
  <c r="G15" i="10"/>
  <c r="P15" i="10" s="1"/>
  <c r="F15" i="10"/>
  <c r="E15" i="10"/>
  <c r="AA14" i="10"/>
  <c r="Z14" i="10"/>
  <c r="X14" i="10"/>
  <c r="V14" i="10"/>
  <c r="T14" i="10"/>
  <c r="S14" i="10"/>
  <c r="R14" i="10"/>
  <c r="O14" i="10"/>
  <c r="L14" i="10"/>
  <c r="I14" i="10"/>
  <c r="H14" i="10"/>
  <c r="G14" i="10"/>
  <c r="P14" i="10" s="1"/>
  <c r="F14" i="10"/>
  <c r="E14" i="10"/>
  <c r="AB12" i="10"/>
  <c r="Y12" i="10"/>
  <c r="W12" i="10"/>
  <c r="U12" i="10"/>
  <c r="Q12" i="10"/>
  <c r="N12" i="10"/>
  <c r="M12" i="10"/>
  <c r="J12" i="10"/>
  <c r="C12" i="10"/>
  <c r="K12" i="10" s="1"/>
  <c r="AB11" i="10"/>
  <c r="Y11" i="10"/>
  <c r="W11" i="10"/>
  <c r="AB10" i="10"/>
  <c r="Y10" i="10"/>
  <c r="W10" i="10"/>
  <c r="AB9" i="10"/>
  <c r="Y9" i="10"/>
  <c r="W9" i="10"/>
  <c r="O116" i="9"/>
  <c r="L116" i="9"/>
  <c r="I116" i="9"/>
  <c r="Q116" i="9" s="1"/>
  <c r="H116" i="9"/>
  <c r="N116" i="9" s="1"/>
  <c r="G116" i="9"/>
  <c r="P116" i="9" s="1"/>
  <c r="F116" i="9"/>
  <c r="E116" i="9"/>
  <c r="O115" i="9"/>
  <c r="L115" i="9"/>
  <c r="I115" i="9"/>
  <c r="Q115" i="9" s="1"/>
  <c r="H115" i="9"/>
  <c r="N115" i="9" s="1"/>
  <c r="G115" i="9"/>
  <c r="P115" i="9" s="1"/>
  <c r="F115" i="9"/>
  <c r="E115" i="9"/>
  <c r="O114" i="9"/>
  <c r="L114" i="9"/>
  <c r="I114" i="9"/>
  <c r="Q114" i="9" s="1"/>
  <c r="H114" i="9"/>
  <c r="N114" i="9" s="1"/>
  <c r="G114" i="9"/>
  <c r="P114" i="9" s="1"/>
  <c r="F114" i="9"/>
  <c r="E114" i="9"/>
  <c r="O113" i="9"/>
  <c r="L113" i="9"/>
  <c r="I113" i="9"/>
  <c r="Q113" i="9" s="1"/>
  <c r="H113" i="9"/>
  <c r="N113" i="9" s="1"/>
  <c r="G113" i="9"/>
  <c r="P113" i="9" s="1"/>
  <c r="F113" i="9"/>
  <c r="E113" i="9"/>
  <c r="O112" i="9"/>
  <c r="L112" i="9"/>
  <c r="I112" i="9"/>
  <c r="Q112" i="9" s="1"/>
  <c r="H112" i="9"/>
  <c r="N112" i="9" s="1"/>
  <c r="G112" i="9"/>
  <c r="P112" i="9" s="1"/>
  <c r="F112" i="9"/>
  <c r="E112" i="9"/>
  <c r="O111" i="9"/>
  <c r="L111" i="9"/>
  <c r="I111" i="9"/>
  <c r="Q111" i="9" s="1"/>
  <c r="H111" i="9"/>
  <c r="N111" i="9" s="1"/>
  <c r="G111" i="9"/>
  <c r="P111" i="9" s="1"/>
  <c r="F111" i="9"/>
  <c r="E111" i="9"/>
  <c r="O110" i="9"/>
  <c r="L110" i="9"/>
  <c r="I110" i="9"/>
  <c r="Q110" i="9" s="1"/>
  <c r="H110" i="9"/>
  <c r="N110" i="9" s="1"/>
  <c r="G110" i="9"/>
  <c r="P110" i="9" s="1"/>
  <c r="F110" i="9"/>
  <c r="E110" i="9"/>
  <c r="O109" i="9"/>
  <c r="L109" i="9"/>
  <c r="I109" i="9"/>
  <c r="Q109" i="9" s="1"/>
  <c r="H109" i="9"/>
  <c r="N109" i="9" s="1"/>
  <c r="G109" i="9"/>
  <c r="P109" i="9" s="1"/>
  <c r="F109" i="9"/>
  <c r="E109" i="9"/>
  <c r="O108" i="9"/>
  <c r="L108" i="9"/>
  <c r="I108" i="9"/>
  <c r="Q108" i="9" s="1"/>
  <c r="H108" i="9"/>
  <c r="N108" i="9" s="1"/>
  <c r="G108" i="9"/>
  <c r="P108" i="9" s="1"/>
  <c r="F108" i="9"/>
  <c r="E108" i="9"/>
  <c r="O107" i="9"/>
  <c r="L107" i="9"/>
  <c r="I107" i="9"/>
  <c r="Q107" i="9" s="1"/>
  <c r="H107" i="9"/>
  <c r="N107" i="9" s="1"/>
  <c r="G107" i="9"/>
  <c r="P107" i="9" s="1"/>
  <c r="F107" i="9"/>
  <c r="E107" i="9"/>
  <c r="O106" i="9"/>
  <c r="L106" i="9"/>
  <c r="I106" i="9"/>
  <c r="Q106" i="9" s="1"/>
  <c r="H106" i="9"/>
  <c r="N106" i="9" s="1"/>
  <c r="G106" i="9"/>
  <c r="P106" i="9" s="1"/>
  <c r="F106" i="9"/>
  <c r="E106" i="9"/>
  <c r="O105" i="9"/>
  <c r="L105" i="9"/>
  <c r="I105" i="9"/>
  <c r="Q105" i="9" s="1"/>
  <c r="H105" i="9"/>
  <c r="G105" i="9"/>
  <c r="P105" i="9" s="1"/>
  <c r="F105" i="9"/>
  <c r="E105" i="9"/>
  <c r="O104" i="9"/>
  <c r="O11" i="9" s="1"/>
  <c r="L104" i="9"/>
  <c r="I104" i="9"/>
  <c r="Q104" i="9" s="1"/>
  <c r="H104" i="9"/>
  <c r="G104" i="9"/>
  <c r="P104" i="9" s="1"/>
  <c r="F104" i="9"/>
  <c r="F11" i="9" s="1"/>
  <c r="E104" i="9"/>
  <c r="E11" i="9" s="1"/>
  <c r="O103" i="9"/>
  <c r="L103" i="9"/>
  <c r="I103" i="9"/>
  <c r="Q103" i="9" s="1"/>
  <c r="H103" i="9"/>
  <c r="N103" i="9" s="1"/>
  <c r="G103" i="9"/>
  <c r="P103" i="9" s="1"/>
  <c r="F103" i="9"/>
  <c r="E103" i="9"/>
  <c r="O102" i="9"/>
  <c r="L102" i="9"/>
  <c r="I102" i="9"/>
  <c r="Q102" i="9" s="1"/>
  <c r="H102" i="9"/>
  <c r="N102" i="9" s="1"/>
  <c r="G102" i="9"/>
  <c r="P102" i="9" s="1"/>
  <c r="F102" i="9"/>
  <c r="E102" i="9"/>
  <c r="O101" i="9"/>
  <c r="L101" i="9"/>
  <c r="I101" i="9"/>
  <c r="Q101" i="9" s="1"/>
  <c r="H101" i="9"/>
  <c r="N101" i="9" s="1"/>
  <c r="G101" i="9"/>
  <c r="P101" i="9" s="1"/>
  <c r="F101" i="9"/>
  <c r="E101" i="9"/>
  <c r="O100" i="9"/>
  <c r="L100" i="9"/>
  <c r="I100" i="9"/>
  <c r="Q100" i="9" s="1"/>
  <c r="H100" i="9"/>
  <c r="N100" i="9" s="1"/>
  <c r="G100" i="9"/>
  <c r="P100" i="9" s="1"/>
  <c r="F100" i="9"/>
  <c r="E100" i="9"/>
  <c r="O99" i="9"/>
  <c r="L99" i="9"/>
  <c r="I99" i="9"/>
  <c r="Q99" i="9" s="1"/>
  <c r="H99" i="9"/>
  <c r="N99" i="9" s="1"/>
  <c r="G99" i="9"/>
  <c r="P99" i="9" s="1"/>
  <c r="F99" i="9"/>
  <c r="E99" i="9"/>
  <c r="O98" i="9"/>
  <c r="L98" i="9"/>
  <c r="I98" i="9"/>
  <c r="Q98" i="9" s="1"/>
  <c r="H98" i="9"/>
  <c r="N98" i="9" s="1"/>
  <c r="G98" i="9"/>
  <c r="P98" i="9" s="1"/>
  <c r="F98" i="9"/>
  <c r="E98" i="9"/>
  <c r="O97" i="9"/>
  <c r="L97" i="9"/>
  <c r="I97" i="9"/>
  <c r="Q97" i="9" s="1"/>
  <c r="H97" i="9"/>
  <c r="N97" i="9" s="1"/>
  <c r="G97" i="9"/>
  <c r="P97" i="9" s="1"/>
  <c r="F97" i="9"/>
  <c r="E97" i="9"/>
  <c r="O96" i="9"/>
  <c r="L96" i="9"/>
  <c r="I96" i="9"/>
  <c r="Q96" i="9" s="1"/>
  <c r="H96" i="9"/>
  <c r="G96" i="9"/>
  <c r="P96" i="9" s="1"/>
  <c r="F96" i="9"/>
  <c r="E96" i="9"/>
  <c r="O95" i="9"/>
  <c r="L95" i="9"/>
  <c r="I95" i="9"/>
  <c r="Q95" i="9" s="1"/>
  <c r="H95" i="9"/>
  <c r="N95" i="9" s="1"/>
  <c r="G95" i="9"/>
  <c r="P95" i="9" s="1"/>
  <c r="F95" i="9"/>
  <c r="E95" i="9"/>
  <c r="O94" i="9"/>
  <c r="L94" i="9"/>
  <c r="I94" i="9"/>
  <c r="Q94" i="9" s="1"/>
  <c r="H94" i="9"/>
  <c r="N94" i="9" s="1"/>
  <c r="G94" i="9"/>
  <c r="P94" i="9" s="1"/>
  <c r="F94" i="9"/>
  <c r="E94" i="9"/>
  <c r="O93" i="9"/>
  <c r="L93" i="9"/>
  <c r="I93" i="9"/>
  <c r="Q93" i="9" s="1"/>
  <c r="H93" i="9"/>
  <c r="G93" i="9"/>
  <c r="P93" i="9" s="1"/>
  <c r="F93" i="9"/>
  <c r="E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O92" i="9"/>
  <c r="L92" i="9"/>
  <c r="I92" i="9"/>
  <c r="Q92" i="9" s="1"/>
  <c r="H92" i="9"/>
  <c r="G92" i="9"/>
  <c r="P92" i="9" s="1"/>
  <c r="F92" i="9"/>
  <c r="E92" i="9"/>
  <c r="O91" i="9"/>
  <c r="L91" i="9"/>
  <c r="I91" i="9"/>
  <c r="Q91" i="9" s="1"/>
  <c r="H91" i="9"/>
  <c r="N91" i="9" s="1"/>
  <c r="G91" i="9"/>
  <c r="P91" i="9" s="1"/>
  <c r="F91" i="9"/>
  <c r="E91" i="9"/>
  <c r="O90" i="9"/>
  <c r="L90" i="9"/>
  <c r="I90" i="9"/>
  <c r="H90" i="9"/>
  <c r="G90" i="9"/>
  <c r="P90" i="9" s="1"/>
  <c r="F90" i="9"/>
  <c r="E90" i="9"/>
  <c r="AF88" i="9"/>
  <c r="AD88" i="9"/>
  <c r="AC88" i="9"/>
  <c r="AA88" i="9"/>
  <c r="Y88" i="9"/>
  <c r="X88" i="9"/>
  <c r="V88" i="9"/>
  <c r="U88" i="9"/>
  <c r="S88" i="9"/>
  <c r="R88" i="9"/>
  <c r="O88" i="9"/>
  <c r="L88" i="9"/>
  <c r="I88" i="9"/>
  <c r="Q88" i="9" s="1"/>
  <c r="H88" i="9"/>
  <c r="G88" i="9"/>
  <c r="P88" i="9" s="1"/>
  <c r="F88" i="9"/>
  <c r="E88" i="9"/>
  <c r="AF87" i="9"/>
  <c r="AD87" i="9"/>
  <c r="AC87" i="9"/>
  <c r="AG87" i="9" s="1"/>
  <c r="AA87" i="9"/>
  <c r="Y87" i="9"/>
  <c r="X87" i="9"/>
  <c r="V87" i="9"/>
  <c r="U87" i="9"/>
  <c r="W87" i="9" s="1"/>
  <c r="S87" i="9"/>
  <c r="R87" i="9"/>
  <c r="T87" i="9" s="1"/>
  <c r="O87" i="9"/>
  <c r="L87" i="9"/>
  <c r="I87" i="9"/>
  <c r="Q87" i="9" s="1"/>
  <c r="H87" i="9"/>
  <c r="N87" i="9" s="1"/>
  <c r="G87" i="9"/>
  <c r="P87" i="9" s="1"/>
  <c r="F87" i="9"/>
  <c r="E87" i="9"/>
  <c r="AF86" i="9"/>
  <c r="AD86" i="9"/>
  <c r="AC86" i="9"/>
  <c r="AA86" i="9"/>
  <c r="Y86" i="9"/>
  <c r="X86" i="9"/>
  <c r="V86" i="9"/>
  <c r="U86" i="9"/>
  <c r="W86" i="9" s="1"/>
  <c r="S86" i="9"/>
  <c r="R86" i="9"/>
  <c r="T86" i="9" s="1"/>
  <c r="O86" i="9"/>
  <c r="L86" i="9"/>
  <c r="I86" i="9"/>
  <c r="Q86" i="9" s="1"/>
  <c r="H86" i="9"/>
  <c r="N86" i="9" s="1"/>
  <c r="G86" i="9"/>
  <c r="P86" i="9" s="1"/>
  <c r="F86" i="9"/>
  <c r="E86" i="9"/>
  <c r="AF85" i="9"/>
  <c r="AD85" i="9"/>
  <c r="AC85" i="9"/>
  <c r="AE85" i="9" s="1"/>
  <c r="AA85" i="9"/>
  <c r="Y85" i="9"/>
  <c r="X85" i="9"/>
  <c r="V85" i="9"/>
  <c r="U85" i="9"/>
  <c r="W85" i="9" s="1"/>
  <c r="S85" i="9"/>
  <c r="R85" i="9"/>
  <c r="T85" i="9" s="1"/>
  <c r="O85" i="9"/>
  <c r="L85" i="9"/>
  <c r="I85" i="9"/>
  <c r="Q85" i="9" s="1"/>
  <c r="H85" i="9"/>
  <c r="N85" i="9" s="1"/>
  <c r="G85" i="9"/>
  <c r="P85" i="9" s="1"/>
  <c r="F85" i="9"/>
  <c r="E85" i="9"/>
  <c r="AF84" i="9"/>
  <c r="AD84" i="9"/>
  <c r="AC84" i="9"/>
  <c r="AE84" i="9" s="1"/>
  <c r="AA84" i="9"/>
  <c r="Y84" i="9"/>
  <c r="X84" i="9"/>
  <c r="Z84" i="9" s="1"/>
  <c r="V84" i="9"/>
  <c r="U84" i="9"/>
  <c r="W84" i="9" s="1"/>
  <c r="S84" i="9"/>
  <c r="R84" i="9"/>
  <c r="T84" i="9" s="1"/>
  <c r="O84" i="9"/>
  <c r="L84" i="9"/>
  <c r="I84" i="9"/>
  <c r="Q84" i="9" s="1"/>
  <c r="H84" i="9"/>
  <c r="G84" i="9"/>
  <c r="P84" i="9" s="1"/>
  <c r="F84" i="9"/>
  <c r="E84" i="9"/>
  <c r="AF83" i="9"/>
  <c r="AD83" i="9"/>
  <c r="AC83" i="9"/>
  <c r="AG83" i="9" s="1"/>
  <c r="AA83" i="9"/>
  <c r="Y83" i="9"/>
  <c r="X83" i="9"/>
  <c r="Z83" i="9" s="1"/>
  <c r="V83" i="9"/>
  <c r="U83" i="9"/>
  <c r="W83" i="9" s="1"/>
  <c r="S83" i="9"/>
  <c r="R83" i="9"/>
  <c r="T83" i="9" s="1"/>
  <c r="O83" i="9"/>
  <c r="L83" i="9"/>
  <c r="I83" i="9"/>
  <c r="Q83" i="9" s="1"/>
  <c r="H83" i="9"/>
  <c r="N83" i="9" s="1"/>
  <c r="G83" i="9"/>
  <c r="P83" i="9" s="1"/>
  <c r="F83" i="9"/>
  <c r="E83" i="9"/>
  <c r="AF82" i="9"/>
  <c r="AD82" i="9"/>
  <c r="AC82" i="9"/>
  <c r="AG82" i="9" s="1"/>
  <c r="AA82" i="9"/>
  <c r="Y82" i="9"/>
  <c r="X82" i="9"/>
  <c r="AB82" i="9" s="1"/>
  <c r="V82" i="9"/>
  <c r="U82" i="9"/>
  <c r="W82" i="9" s="1"/>
  <c r="S82" i="9"/>
  <c r="R82" i="9"/>
  <c r="T82" i="9" s="1"/>
  <c r="O82" i="9"/>
  <c r="L82" i="9"/>
  <c r="I82" i="9"/>
  <c r="Q82" i="9" s="1"/>
  <c r="H82" i="9"/>
  <c r="N82" i="9" s="1"/>
  <c r="G82" i="9"/>
  <c r="P82" i="9" s="1"/>
  <c r="F82" i="9"/>
  <c r="E82" i="9"/>
  <c r="AF81" i="9"/>
  <c r="AD81" i="9"/>
  <c r="AC81" i="9"/>
  <c r="AG81" i="9" s="1"/>
  <c r="AA81" i="9"/>
  <c r="Y81" i="9"/>
  <c r="X81" i="9"/>
  <c r="AB81" i="9" s="1"/>
  <c r="V81" i="9"/>
  <c r="U81" i="9"/>
  <c r="W81" i="9" s="1"/>
  <c r="S81" i="9"/>
  <c r="R81" i="9"/>
  <c r="T81" i="9" s="1"/>
  <c r="O81" i="9"/>
  <c r="L81" i="9"/>
  <c r="I81" i="9"/>
  <c r="Q81" i="9" s="1"/>
  <c r="H81" i="9"/>
  <c r="N81" i="9" s="1"/>
  <c r="G81" i="9"/>
  <c r="P81" i="9" s="1"/>
  <c r="F81" i="9"/>
  <c r="E81" i="9"/>
  <c r="AF80" i="9"/>
  <c r="AD80" i="9"/>
  <c r="AC80" i="9"/>
  <c r="AG80" i="9" s="1"/>
  <c r="AA80" i="9"/>
  <c r="Y80" i="9"/>
  <c r="X80" i="9"/>
  <c r="Z80" i="9" s="1"/>
  <c r="V80" i="9"/>
  <c r="U80" i="9"/>
  <c r="W80" i="9" s="1"/>
  <c r="S80" i="9"/>
  <c r="R80" i="9"/>
  <c r="T80" i="9" s="1"/>
  <c r="O80" i="9"/>
  <c r="L80" i="9"/>
  <c r="I80" i="9"/>
  <c r="Q80" i="9" s="1"/>
  <c r="H80" i="9"/>
  <c r="N80" i="9" s="1"/>
  <c r="G80" i="9"/>
  <c r="P80" i="9" s="1"/>
  <c r="F80" i="9"/>
  <c r="E80" i="9"/>
  <c r="AF79" i="9"/>
  <c r="AD79" i="9"/>
  <c r="AC79" i="9"/>
  <c r="AA79" i="9"/>
  <c r="Y79" i="9"/>
  <c r="X79" i="9"/>
  <c r="V79" i="9"/>
  <c r="U79" i="9"/>
  <c r="W79" i="9" s="1"/>
  <c r="S79" i="9"/>
  <c r="R79" i="9"/>
  <c r="T79" i="9" s="1"/>
  <c r="O79" i="9"/>
  <c r="L79" i="9"/>
  <c r="I79" i="9"/>
  <c r="Q79" i="9" s="1"/>
  <c r="H79" i="9"/>
  <c r="N79" i="9" s="1"/>
  <c r="G79" i="9"/>
  <c r="P79" i="9" s="1"/>
  <c r="F79" i="9"/>
  <c r="E79" i="9"/>
  <c r="AF78" i="9"/>
  <c r="AD78" i="9"/>
  <c r="AC78" i="9"/>
  <c r="AG78" i="9" s="1"/>
  <c r="AA78" i="9"/>
  <c r="Y78" i="9"/>
  <c r="X78" i="9"/>
  <c r="Z78" i="9" s="1"/>
  <c r="V78" i="9"/>
  <c r="U78" i="9"/>
  <c r="W78" i="9" s="1"/>
  <c r="S78" i="9"/>
  <c r="R78" i="9"/>
  <c r="T78" i="9" s="1"/>
  <c r="O78" i="9"/>
  <c r="L78" i="9"/>
  <c r="I78" i="9"/>
  <c r="Q78" i="9" s="1"/>
  <c r="H78" i="9"/>
  <c r="N78" i="9" s="1"/>
  <c r="G78" i="9"/>
  <c r="P78" i="9" s="1"/>
  <c r="F78" i="9"/>
  <c r="E78" i="9"/>
  <c r="AF77" i="9"/>
  <c r="AD77" i="9"/>
  <c r="AC77" i="9"/>
  <c r="AG77" i="9" s="1"/>
  <c r="AA77" i="9"/>
  <c r="Y77" i="9"/>
  <c r="X77" i="9"/>
  <c r="Z77" i="9" s="1"/>
  <c r="V77" i="9"/>
  <c r="U77" i="9"/>
  <c r="W77" i="9" s="1"/>
  <c r="S77" i="9"/>
  <c r="R77" i="9"/>
  <c r="T77" i="9" s="1"/>
  <c r="O77" i="9"/>
  <c r="L77" i="9"/>
  <c r="I77" i="9"/>
  <c r="Q77" i="9" s="1"/>
  <c r="H77" i="9"/>
  <c r="N77" i="9" s="1"/>
  <c r="G77" i="9"/>
  <c r="P77" i="9" s="1"/>
  <c r="F77" i="9"/>
  <c r="E77" i="9"/>
  <c r="AF76" i="9"/>
  <c r="AD76" i="9"/>
  <c r="AC76" i="9"/>
  <c r="AA76" i="9"/>
  <c r="Y76" i="9"/>
  <c r="X76" i="9"/>
  <c r="V76" i="9"/>
  <c r="U76" i="9"/>
  <c r="S76" i="9"/>
  <c r="R76" i="9"/>
  <c r="O76" i="9"/>
  <c r="L76" i="9"/>
  <c r="I76" i="9"/>
  <c r="Q76" i="9" s="1"/>
  <c r="H76" i="9"/>
  <c r="G76" i="9"/>
  <c r="P76" i="9" s="1"/>
  <c r="F76" i="9"/>
  <c r="E76" i="9"/>
  <c r="AF75" i="9"/>
  <c r="AD75" i="9"/>
  <c r="AC75" i="9"/>
  <c r="AA75" i="9"/>
  <c r="Y75" i="9"/>
  <c r="X75" i="9"/>
  <c r="V75" i="9"/>
  <c r="U75" i="9"/>
  <c r="S75" i="9"/>
  <c r="R75" i="9"/>
  <c r="O75" i="9"/>
  <c r="L75" i="9"/>
  <c r="I75" i="9"/>
  <c r="Q75" i="9" s="1"/>
  <c r="H75" i="9"/>
  <c r="G75" i="9"/>
  <c r="F75" i="9"/>
  <c r="E75" i="9"/>
  <c r="AF73" i="9"/>
  <c r="AD73" i="9"/>
  <c r="AC73" i="9"/>
  <c r="AE73" i="9" s="1"/>
  <c r="AA73" i="9"/>
  <c r="Y73" i="9"/>
  <c r="X73" i="9"/>
  <c r="Z73" i="9" s="1"/>
  <c r="V73" i="9"/>
  <c r="U73" i="9"/>
  <c r="W73" i="9" s="1"/>
  <c r="S73" i="9"/>
  <c r="R73" i="9"/>
  <c r="T73" i="9" s="1"/>
  <c r="O73" i="9"/>
  <c r="L73" i="9"/>
  <c r="I73" i="9"/>
  <c r="Q73" i="9" s="1"/>
  <c r="H73" i="9"/>
  <c r="N73" i="9" s="1"/>
  <c r="G73" i="9"/>
  <c r="P73" i="9" s="1"/>
  <c r="F73" i="9"/>
  <c r="E73" i="9"/>
  <c r="AF72" i="9"/>
  <c r="AD72" i="9"/>
  <c r="AC72" i="9"/>
  <c r="AA72" i="9"/>
  <c r="Y72" i="9"/>
  <c r="X72" i="9"/>
  <c r="V72" i="9"/>
  <c r="U72" i="9"/>
  <c r="S72" i="9"/>
  <c r="R72" i="9"/>
  <c r="O72" i="9"/>
  <c r="L72" i="9"/>
  <c r="I72" i="9"/>
  <c r="Q72" i="9" s="1"/>
  <c r="H72" i="9"/>
  <c r="G72" i="9"/>
  <c r="P72" i="9" s="1"/>
  <c r="F72" i="9"/>
  <c r="E72" i="9"/>
  <c r="AF71" i="9"/>
  <c r="AD71" i="9"/>
  <c r="AC71" i="9"/>
  <c r="AG71" i="9" s="1"/>
  <c r="AA71" i="9"/>
  <c r="Y71" i="9"/>
  <c r="X71" i="9"/>
  <c r="V71" i="9"/>
  <c r="U71" i="9"/>
  <c r="W71" i="9" s="1"/>
  <c r="S71" i="9"/>
  <c r="R71" i="9"/>
  <c r="T71" i="9" s="1"/>
  <c r="O71" i="9"/>
  <c r="L71" i="9"/>
  <c r="I71" i="9"/>
  <c r="Q71" i="9" s="1"/>
  <c r="H71" i="9"/>
  <c r="N71" i="9" s="1"/>
  <c r="G71" i="9"/>
  <c r="P71" i="9" s="1"/>
  <c r="F71" i="9"/>
  <c r="E71" i="9"/>
  <c r="AF70" i="9"/>
  <c r="AD70" i="9"/>
  <c r="AC70" i="9"/>
  <c r="AG70" i="9" s="1"/>
  <c r="AA70" i="9"/>
  <c r="Y70" i="9"/>
  <c r="X70" i="9"/>
  <c r="AB70" i="9" s="1"/>
  <c r="V70" i="9"/>
  <c r="U70" i="9"/>
  <c r="W70" i="9" s="1"/>
  <c r="S70" i="9"/>
  <c r="R70" i="9"/>
  <c r="T70" i="9" s="1"/>
  <c r="O70" i="9"/>
  <c r="L70" i="9"/>
  <c r="I70" i="9"/>
  <c r="Q70" i="9" s="1"/>
  <c r="H70" i="9"/>
  <c r="N70" i="9" s="1"/>
  <c r="G70" i="9"/>
  <c r="P70" i="9" s="1"/>
  <c r="F70" i="9"/>
  <c r="E70" i="9"/>
  <c r="AF69" i="9"/>
  <c r="AD69" i="9"/>
  <c r="AC69" i="9"/>
  <c r="AA69" i="9"/>
  <c r="Y69" i="9"/>
  <c r="X69" i="9"/>
  <c r="V69" i="9"/>
  <c r="U69" i="9"/>
  <c r="S69" i="9"/>
  <c r="R69" i="9"/>
  <c r="O69" i="9"/>
  <c r="L69" i="9"/>
  <c r="I69" i="9"/>
  <c r="Q69" i="9" s="1"/>
  <c r="H69" i="9"/>
  <c r="G69" i="9"/>
  <c r="P69" i="9" s="1"/>
  <c r="F69" i="9"/>
  <c r="E69" i="9"/>
  <c r="AF68" i="9"/>
  <c r="AD68" i="9"/>
  <c r="AC68" i="9"/>
  <c r="AA68" i="9"/>
  <c r="Y68" i="9"/>
  <c r="X68" i="9"/>
  <c r="V68" i="9"/>
  <c r="U68" i="9"/>
  <c r="S68" i="9"/>
  <c r="R68" i="9"/>
  <c r="O68" i="9"/>
  <c r="L68" i="9"/>
  <c r="I68" i="9"/>
  <c r="Q68" i="9" s="1"/>
  <c r="H68" i="9"/>
  <c r="G68" i="9"/>
  <c r="P68" i="9" s="1"/>
  <c r="F68" i="9"/>
  <c r="E68" i="9"/>
  <c r="AF67" i="9"/>
  <c r="AD67" i="9"/>
  <c r="AC67" i="9"/>
  <c r="AA67" i="9"/>
  <c r="Y67" i="9"/>
  <c r="X67" i="9"/>
  <c r="V67" i="9"/>
  <c r="U67" i="9"/>
  <c r="S67" i="9"/>
  <c r="R67" i="9"/>
  <c r="O67" i="9"/>
  <c r="L67" i="9"/>
  <c r="I67" i="9"/>
  <c r="Q67" i="9" s="1"/>
  <c r="H67" i="9"/>
  <c r="G67" i="9"/>
  <c r="P67" i="9" s="1"/>
  <c r="F67" i="9"/>
  <c r="E67" i="9"/>
  <c r="AF66" i="9"/>
  <c r="AD66" i="9"/>
  <c r="AC66" i="9"/>
  <c r="AG66" i="9" s="1"/>
  <c r="AA66" i="9"/>
  <c r="Y66" i="9"/>
  <c r="X66" i="9"/>
  <c r="Z66" i="9" s="1"/>
  <c r="V66" i="9"/>
  <c r="U66" i="9"/>
  <c r="W66" i="9" s="1"/>
  <c r="S66" i="9"/>
  <c r="R66" i="9"/>
  <c r="T66" i="9" s="1"/>
  <c r="O66" i="9"/>
  <c r="L66" i="9"/>
  <c r="I66" i="9"/>
  <c r="Q66" i="9" s="1"/>
  <c r="H66" i="9"/>
  <c r="N66" i="9" s="1"/>
  <c r="G66" i="9"/>
  <c r="P66" i="9" s="1"/>
  <c r="F66" i="9"/>
  <c r="E66" i="9"/>
  <c r="AF65" i="9"/>
  <c r="AD65" i="9"/>
  <c r="AC65" i="9"/>
  <c r="AG65" i="9" s="1"/>
  <c r="AA65" i="9"/>
  <c r="Y65" i="9"/>
  <c r="X65" i="9"/>
  <c r="V65" i="9"/>
  <c r="U65" i="9"/>
  <c r="W65" i="9" s="1"/>
  <c r="S65" i="9"/>
  <c r="R65" i="9"/>
  <c r="T65" i="9" s="1"/>
  <c r="O65" i="9"/>
  <c r="L65" i="9"/>
  <c r="I65" i="9"/>
  <c r="Q65" i="9" s="1"/>
  <c r="H65" i="9"/>
  <c r="N65" i="9" s="1"/>
  <c r="G65" i="9"/>
  <c r="P65" i="9" s="1"/>
  <c r="F65" i="9"/>
  <c r="E65" i="9"/>
  <c r="AF64" i="9"/>
  <c r="AD64" i="9"/>
  <c r="AC64" i="9"/>
  <c r="AA64" i="9"/>
  <c r="Y64" i="9"/>
  <c r="X64" i="9"/>
  <c r="AB64" i="9" s="1"/>
  <c r="V64" i="9"/>
  <c r="U64" i="9"/>
  <c r="W64" i="9" s="1"/>
  <c r="S64" i="9"/>
  <c r="R64" i="9"/>
  <c r="T64" i="9" s="1"/>
  <c r="O64" i="9"/>
  <c r="L64" i="9"/>
  <c r="I64" i="9"/>
  <c r="Q64" i="9" s="1"/>
  <c r="H64" i="9"/>
  <c r="N64" i="9" s="1"/>
  <c r="G64" i="9"/>
  <c r="P64" i="9" s="1"/>
  <c r="F64" i="9"/>
  <c r="E64" i="9"/>
  <c r="AF63" i="9"/>
  <c r="AD63" i="9"/>
  <c r="AC63" i="9"/>
  <c r="AE63" i="9" s="1"/>
  <c r="AA63" i="9"/>
  <c r="Y63" i="9"/>
  <c r="X63" i="9"/>
  <c r="V63" i="9"/>
  <c r="U63" i="9"/>
  <c r="W63" i="9" s="1"/>
  <c r="S63" i="9"/>
  <c r="R63" i="9"/>
  <c r="T63" i="9" s="1"/>
  <c r="O63" i="9"/>
  <c r="L63" i="9"/>
  <c r="I63" i="9"/>
  <c r="Q63" i="9" s="1"/>
  <c r="H63" i="9"/>
  <c r="N63" i="9" s="1"/>
  <c r="G63" i="9"/>
  <c r="P63" i="9" s="1"/>
  <c r="F63" i="9"/>
  <c r="E63" i="9"/>
  <c r="AF62" i="9"/>
  <c r="AD62" i="9"/>
  <c r="AC62" i="9"/>
  <c r="AG62" i="9" s="1"/>
  <c r="AA62" i="9"/>
  <c r="Y62" i="9"/>
  <c r="X62" i="9"/>
  <c r="AB62" i="9" s="1"/>
  <c r="V62" i="9"/>
  <c r="U62" i="9"/>
  <c r="W62" i="9" s="1"/>
  <c r="S62" i="9"/>
  <c r="R62" i="9"/>
  <c r="T62" i="9" s="1"/>
  <c r="O62" i="9"/>
  <c r="L62" i="9"/>
  <c r="I62" i="9"/>
  <c r="Q62" i="9" s="1"/>
  <c r="H62" i="9"/>
  <c r="N62" i="9" s="1"/>
  <c r="G62" i="9"/>
  <c r="P62" i="9" s="1"/>
  <c r="F62" i="9"/>
  <c r="E62" i="9"/>
  <c r="AF61" i="9"/>
  <c r="AD61" i="9"/>
  <c r="AC61" i="9"/>
  <c r="AE61" i="9" s="1"/>
  <c r="AA61" i="9"/>
  <c r="Y61" i="9"/>
  <c r="X61" i="9"/>
  <c r="AB61" i="9" s="1"/>
  <c r="V61" i="9"/>
  <c r="U61" i="9"/>
  <c r="W61" i="9" s="1"/>
  <c r="S61" i="9"/>
  <c r="R61" i="9"/>
  <c r="T61" i="9" s="1"/>
  <c r="O61" i="9"/>
  <c r="L61" i="9"/>
  <c r="I61" i="9"/>
  <c r="Q61" i="9" s="1"/>
  <c r="H61" i="9"/>
  <c r="N61" i="9" s="1"/>
  <c r="G61" i="9"/>
  <c r="P61" i="9" s="1"/>
  <c r="F61" i="9"/>
  <c r="E61" i="9"/>
  <c r="AF60" i="9"/>
  <c r="AD60" i="9"/>
  <c r="AC60" i="9"/>
  <c r="AG60" i="9" s="1"/>
  <c r="AA60" i="9"/>
  <c r="Y60" i="9"/>
  <c r="X60" i="9"/>
  <c r="Z60" i="9" s="1"/>
  <c r="V60" i="9"/>
  <c r="U60" i="9"/>
  <c r="W60" i="9" s="1"/>
  <c r="S60" i="9"/>
  <c r="R60" i="9"/>
  <c r="T60" i="9" s="1"/>
  <c r="O60" i="9"/>
  <c r="L60" i="9"/>
  <c r="I60" i="9"/>
  <c r="Q60" i="9" s="1"/>
  <c r="H60" i="9"/>
  <c r="N60" i="9" s="1"/>
  <c r="G60" i="9"/>
  <c r="P60" i="9" s="1"/>
  <c r="F60" i="9"/>
  <c r="E60" i="9"/>
  <c r="AF59" i="9"/>
  <c r="AD59" i="9"/>
  <c r="AC59" i="9"/>
  <c r="AA59" i="9"/>
  <c r="Y59" i="9"/>
  <c r="X59" i="9"/>
  <c r="V59" i="9"/>
  <c r="U59" i="9"/>
  <c r="S59" i="9"/>
  <c r="R59" i="9"/>
  <c r="O59" i="9"/>
  <c r="L59" i="9"/>
  <c r="I59" i="9"/>
  <c r="Q59" i="9" s="1"/>
  <c r="H59" i="9"/>
  <c r="G59" i="9"/>
  <c r="P59" i="9" s="1"/>
  <c r="F59" i="9"/>
  <c r="E59" i="9"/>
  <c r="AF58" i="9"/>
  <c r="AD58" i="9"/>
  <c r="AC58" i="9"/>
  <c r="AA58" i="9"/>
  <c r="Y58" i="9"/>
  <c r="X58" i="9"/>
  <c r="AB58" i="9" s="1"/>
  <c r="V58" i="9"/>
  <c r="U58" i="9"/>
  <c r="W58" i="9" s="1"/>
  <c r="S58" i="9"/>
  <c r="R58" i="9"/>
  <c r="T58" i="9" s="1"/>
  <c r="O58" i="9"/>
  <c r="L58" i="9"/>
  <c r="I58" i="9"/>
  <c r="Q58" i="9" s="1"/>
  <c r="H58" i="9"/>
  <c r="N58" i="9" s="1"/>
  <c r="G58" i="9"/>
  <c r="P58" i="9" s="1"/>
  <c r="F58" i="9"/>
  <c r="E58" i="9"/>
  <c r="AF57" i="9"/>
  <c r="AD57" i="9"/>
  <c r="AC57" i="9"/>
  <c r="AA57" i="9"/>
  <c r="Y57" i="9"/>
  <c r="X57" i="9"/>
  <c r="Z57" i="9" s="1"/>
  <c r="V57" i="9"/>
  <c r="U57" i="9"/>
  <c r="W57" i="9" s="1"/>
  <c r="S57" i="9"/>
  <c r="R57" i="9"/>
  <c r="T57" i="9" s="1"/>
  <c r="O57" i="9"/>
  <c r="L57" i="9"/>
  <c r="I57" i="9"/>
  <c r="Q57" i="9" s="1"/>
  <c r="H57" i="9"/>
  <c r="N57" i="9" s="1"/>
  <c r="G57" i="9"/>
  <c r="P57" i="9" s="1"/>
  <c r="F57" i="9"/>
  <c r="E57" i="9"/>
  <c r="AF56" i="9"/>
  <c r="AD56" i="9"/>
  <c r="AC56" i="9"/>
  <c r="AA56" i="9"/>
  <c r="Y56" i="9"/>
  <c r="X56" i="9"/>
  <c r="V56" i="9"/>
  <c r="U56" i="9"/>
  <c r="S56" i="9"/>
  <c r="R56" i="9"/>
  <c r="O56" i="9"/>
  <c r="L56" i="9"/>
  <c r="I56" i="9"/>
  <c r="Q56" i="9" s="1"/>
  <c r="H56" i="9"/>
  <c r="G56" i="9"/>
  <c r="P56" i="9" s="1"/>
  <c r="F56" i="9"/>
  <c r="E56" i="9"/>
  <c r="AF55" i="9"/>
  <c r="AD55" i="9"/>
  <c r="AC55" i="9"/>
  <c r="AA55" i="9"/>
  <c r="Y55" i="9"/>
  <c r="X55" i="9"/>
  <c r="V55" i="9"/>
  <c r="U55" i="9"/>
  <c r="S55" i="9"/>
  <c r="R55" i="9"/>
  <c r="O55" i="9"/>
  <c r="L55" i="9"/>
  <c r="I55" i="9"/>
  <c r="Q55" i="9" s="1"/>
  <c r="H55" i="9"/>
  <c r="G55" i="9"/>
  <c r="P55" i="9" s="1"/>
  <c r="F55" i="9"/>
  <c r="E55" i="9"/>
  <c r="AF54" i="9"/>
  <c r="AD54" i="9"/>
  <c r="AC54" i="9"/>
  <c r="AG54" i="9" s="1"/>
  <c r="AA54" i="9"/>
  <c r="Y54" i="9"/>
  <c r="X54" i="9"/>
  <c r="Z54" i="9" s="1"/>
  <c r="V54" i="9"/>
  <c r="U54" i="9"/>
  <c r="W54" i="9" s="1"/>
  <c r="S54" i="9"/>
  <c r="R54" i="9"/>
  <c r="T54" i="9" s="1"/>
  <c r="O54" i="9"/>
  <c r="L54" i="9"/>
  <c r="I54" i="9"/>
  <c r="Q54" i="9" s="1"/>
  <c r="H54" i="9"/>
  <c r="G54" i="9"/>
  <c r="P54" i="9" s="1"/>
  <c r="F54" i="9"/>
  <c r="E54" i="9"/>
  <c r="AF53" i="9"/>
  <c r="AD53" i="9"/>
  <c r="AC53" i="9"/>
  <c r="AA53" i="9"/>
  <c r="Y53" i="9"/>
  <c r="X53" i="9"/>
  <c r="V53" i="9"/>
  <c r="U53" i="9"/>
  <c r="S53" i="9"/>
  <c r="R53" i="9"/>
  <c r="O53" i="9"/>
  <c r="L53" i="9"/>
  <c r="I53" i="9"/>
  <c r="Q53" i="9" s="1"/>
  <c r="H53" i="9"/>
  <c r="G53" i="9"/>
  <c r="F53" i="9"/>
  <c r="E53" i="9"/>
  <c r="AF51" i="9"/>
  <c r="AD51" i="9"/>
  <c r="AC51" i="9"/>
  <c r="AA51" i="9"/>
  <c r="Y51" i="9"/>
  <c r="X51" i="9"/>
  <c r="V51" i="9"/>
  <c r="U51" i="9"/>
  <c r="S51" i="9"/>
  <c r="R51" i="9"/>
  <c r="O51" i="9"/>
  <c r="L51" i="9"/>
  <c r="I51" i="9"/>
  <c r="Q51" i="9" s="1"/>
  <c r="H51" i="9"/>
  <c r="G51" i="9"/>
  <c r="P51" i="9" s="1"/>
  <c r="F51" i="9"/>
  <c r="E51" i="9"/>
  <c r="AF50" i="9"/>
  <c r="AD50" i="9"/>
  <c r="AC50" i="9"/>
  <c r="AA50" i="9"/>
  <c r="Y50" i="9"/>
  <c r="X50" i="9"/>
  <c r="V50" i="9"/>
  <c r="U50" i="9"/>
  <c r="S50" i="9"/>
  <c r="R50" i="9"/>
  <c r="O50" i="9"/>
  <c r="L50" i="9"/>
  <c r="I50" i="9"/>
  <c r="Q50" i="9" s="1"/>
  <c r="H50" i="9"/>
  <c r="G50" i="9"/>
  <c r="P50" i="9" s="1"/>
  <c r="F50" i="9"/>
  <c r="E50" i="9"/>
  <c r="AF49" i="9"/>
  <c r="AD49" i="9"/>
  <c r="AC49" i="9"/>
  <c r="AE49" i="9" s="1"/>
  <c r="AA49" i="9"/>
  <c r="Y49" i="9"/>
  <c r="X49" i="9"/>
  <c r="AB49" i="9" s="1"/>
  <c r="V49" i="9"/>
  <c r="U49" i="9"/>
  <c r="W49" i="9" s="1"/>
  <c r="S49" i="9"/>
  <c r="R49" i="9"/>
  <c r="T49" i="9" s="1"/>
  <c r="O49" i="9"/>
  <c r="L49" i="9"/>
  <c r="I49" i="9"/>
  <c r="Q49" i="9" s="1"/>
  <c r="H49" i="9"/>
  <c r="N49" i="9" s="1"/>
  <c r="G49" i="9"/>
  <c r="P49" i="9" s="1"/>
  <c r="F49" i="9"/>
  <c r="E49" i="9"/>
  <c r="AF48" i="9"/>
  <c r="AD48" i="9"/>
  <c r="AC48" i="9"/>
  <c r="AA48" i="9"/>
  <c r="Y48" i="9"/>
  <c r="X48" i="9"/>
  <c r="V48" i="9"/>
  <c r="U48" i="9"/>
  <c r="S48" i="9"/>
  <c r="R48" i="9"/>
  <c r="O48" i="9"/>
  <c r="L48" i="9"/>
  <c r="I48" i="9"/>
  <c r="Q48" i="9" s="1"/>
  <c r="H48" i="9"/>
  <c r="G48" i="9"/>
  <c r="P48" i="9" s="1"/>
  <c r="F48" i="9"/>
  <c r="E48" i="9"/>
  <c r="AF47" i="9"/>
  <c r="AD47" i="9"/>
  <c r="AC47" i="9"/>
  <c r="AA47" i="9"/>
  <c r="Y47" i="9"/>
  <c r="X47" i="9"/>
  <c r="V47" i="9"/>
  <c r="U47" i="9"/>
  <c r="S47" i="9"/>
  <c r="R47" i="9"/>
  <c r="O47" i="9"/>
  <c r="L47" i="9"/>
  <c r="I47" i="9"/>
  <c r="Q47" i="9" s="1"/>
  <c r="H47" i="9"/>
  <c r="G47" i="9"/>
  <c r="P47" i="9" s="1"/>
  <c r="F47" i="9"/>
  <c r="E47" i="9"/>
  <c r="AF46" i="9"/>
  <c r="AD46" i="9"/>
  <c r="AC46" i="9"/>
  <c r="AA46" i="9"/>
  <c r="Y46" i="9"/>
  <c r="X46" i="9"/>
  <c r="V46" i="9"/>
  <c r="U46" i="9"/>
  <c r="S46" i="9"/>
  <c r="R46" i="9"/>
  <c r="O46" i="9"/>
  <c r="L46" i="9"/>
  <c r="I46" i="9"/>
  <c r="Q46" i="9" s="1"/>
  <c r="H46" i="9"/>
  <c r="G46" i="9"/>
  <c r="P46" i="9" s="1"/>
  <c r="F46" i="9"/>
  <c r="E46" i="9"/>
  <c r="AF45" i="9"/>
  <c r="AD45" i="9"/>
  <c r="AC45" i="9"/>
  <c r="AA45" i="9"/>
  <c r="Y45" i="9"/>
  <c r="X45" i="9"/>
  <c r="V45" i="9"/>
  <c r="U45" i="9"/>
  <c r="S45" i="9"/>
  <c r="R45" i="9"/>
  <c r="O45" i="9"/>
  <c r="L45" i="9"/>
  <c r="I45" i="9"/>
  <c r="Q45" i="9" s="1"/>
  <c r="H45" i="9"/>
  <c r="G45" i="9"/>
  <c r="P45" i="9" s="1"/>
  <c r="F45" i="9"/>
  <c r="E45" i="9"/>
  <c r="AF44" i="9"/>
  <c r="AD44" i="9"/>
  <c r="AC44" i="9"/>
  <c r="AA44" i="9"/>
  <c r="Y44" i="9"/>
  <c r="X44" i="9"/>
  <c r="V44" i="9"/>
  <c r="U44" i="9"/>
  <c r="S44" i="9"/>
  <c r="R44" i="9"/>
  <c r="O44" i="9"/>
  <c r="L44" i="9"/>
  <c r="I44" i="9"/>
  <c r="Q44" i="9" s="1"/>
  <c r="H44" i="9"/>
  <c r="G44" i="9"/>
  <c r="P44" i="9" s="1"/>
  <c r="F44" i="9"/>
  <c r="E44" i="9"/>
  <c r="AF43" i="9"/>
  <c r="AD43" i="9"/>
  <c r="AC43" i="9"/>
  <c r="AA43" i="9"/>
  <c r="Y43" i="9"/>
  <c r="X43" i="9"/>
  <c r="V43" i="9"/>
  <c r="U43" i="9"/>
  <c r="S43" i="9"/>
  <c r="R43" i="9"/>
  <c r="O43" i="9"/>
  <c r="L43" i="9"/>
  <c r="I43" i="9"/>
  <c r="Q43" i="9" s="1"/>
  <c r="H43" i="9"/>
  <c r="G43" i="9"/>
  <c r="P43" i="9" s="1"/>
  <c r="F43" i="9"/>
  <c r="E43" i="9"/>
  <c r="AF42" i="9"/>
  <c r="AD42" i="9"/>
  <c r="AC42" i="9"/>
  <c r="AA42" i="9"/>
  <c r="Y42" i="9"/>
  <c r="X42" i="9"/>
  <c r="V42" i="9"/>
  <c r="U42" i="9"/>
  <c r="S42" i="9"/>
  <c r="R42" i="9"/>
  <c r="O42" i="9"/>
  <c r="L42" i="9"/>
  <c r="I42" i="9"/>
  <c r="Q42" i="9" s="1"/>
  <c r="H42" i="9"/>
  <c r="G42" i="9"/>
  <c r="P42" i="9" s="1"/>
  <c r="F42" i="9"/>
  <c r="E42" i="9"/>
  <c r="AF41" i="9"/>
  <c r="AD41" i="9"/>
  <c r="AC41" i="9"/>
  <c r="AA41" i="9"/>
  <c r="Y41" i="9"/>
  <c r="X41" i="9"/>
  <c r="V41" i="9"/>
  <c r="U41" i="9"/>
  <c r="S41" i="9"/>
  <c r="R41" i="9"/>
  <c r="O41" i="9"/>
  <c r="L41" i="9"/>
  <c r="I41" i="9"/>
  <c r="Q41" i="9" s="1"/>
  <c r="H41" i="9"/>
  <c r="G41" i="9"/>
  <c r="P41" i="9" s="1"/>
  <c r="F41" i="9"/>
  <c r="E41" i="9"/>
  <c r="AF40" i="9"/>
  <c r="AD40" i="9"/>
  <c r="AC40" i="9"/>
  <c r="AA40" i="9"/>
  <c r="Y40" i="9"/>
  <c r="X40" i="9"/>
  <c r="V40" i="9"/>
  <c r="U40" i="9"/>
  <c r="S40" i="9"/>
  <c r="R40" i="9"/>
  <c r="O40" i="9"/>
  <c r="L40" i="9"/>
  <c r="I40" i="9"/>
  <c r="Q40" i="9" s="1"/>
  <c r="H40" i="9"/>
  <c r="G40" i="9"/>
  <c r="P40" i="9" s="1"/>
  <c r="F40" i="9"/>
  <c r="E40" i="9"/>
  <c r="AF39" i="9"/>
  <c r="AD39" i="9"/>
  <c r="AC39" i="9"/>
  <c r="AA39" i="9"/>
  <c r="Y39" i="9"/>
  <c r="X39" i="9"/>
  <c r="AB39" i="9" s="1"/>
  <c r="V39" i="9"/>
  <c r="U39" i="9"/>
  <c r="W39" i="9" s="1"/>
  <c r="S39" i="9"/>
  <c r="R39" i="9"/>
  <c r="T39" i="9" s="1"/>
  <c r="O39" i="9"/>
  <c r="L39" i="9"/>
  <c r="I39" i="9"/>
  <c r="Q39" i="9" s="1"/>
  <c r="H39" i="9"/>
  <c r="N39" i="9" s="1"/>
  <c r="G39" i="9"/>
  <c r="P39" i="9" s="1"/>
  <c r="F39" i="9"/>
  <c r="E39" i="9"/>
  <c r="AF38" i="9"/>
  <c r="AD38" i="9"/>
  <c r="AC38" i="9"/>
  <c r="AA38" i="9"/>
  <c r="Y38" i="9"/>
  <c r="X38" i="9"/>
  <c r="V38" i="9"/>
  <c r="U38" i="9"/>
  <c r="S38" i="9"/>
  <c r="R38" i="9"/>
  <c r="O38" i="9"/>
  <c r="L38" i="9"/>
  <c r="I38" i="9"/>
  <c r="Q38" i="9" s="1"/>
  <c r="H38" i="9"/>
  <c r="G38" i="9"/>
  <c r="P38" i="9" s="1"/>
  <c r="F38" i="9"/>
  <c r="E38" i="9"/>
  <c r="AF37" i="9"/>
  <c r="AD37" i="9"/>
  <c r="AC37" i="9"/>
  <c r="AA37" i="9"/>
  <c r="Y37" i="9"/>
  <c r="X37" i="9"/>
  <c r="V37" i="9"/>
  <c r="U37" i="9"/>
  <c r="S37" i="9"/>
  <c r="R37" i="9"/>
  <c r="O37" i="9"/>
  <c r="L37" i="9"/>
  <c r="I37" i="9"/>
  <c r="Q37" i="9" s="1"/>
  <c r="H37" i="9"/>
  <c r="G37" i="9"/>
  <c r="P37" i="9" s="1"/>
  <c r="F37" i="9"/>
  <c r="E37" i="9"/>
  <c r="AF36" i="9"/>
  <c r="AD36" i="9"/>
  <c r="AC36" i="9"/>
  <c r="AA36" i="9"/>
  <c r="Y36" i="9"/>
  <c r="X36" i="9"/>
  <c r="V36" i="9"/>
  <c r="U36" i="9"/>
  <c r="S36" i="9"/>
  <c r="R36" i="9"/>
  <c r="O36" i="9"/>
  <c r="L36" i="9"/>
  <c r="I36" i="9"/>
  <c r="Q36" i="9" s="1"/>
  <c r="H36" i="9"/>
  <c r="G36" i="9"/>
  <c r="P36" i="9" s="1"/>
  <c r="F36" i="9"/>
  <c r="E36" i="9"/>
  <c r="AF35" i="9"/>
  <c r="AD35" i="9"/>
  <c r="AC35" i="9"/>
  <c r="AA35" i="9"/>
  <c r="Y35" i="9"/>
  <c r="X35" i="9"/>
  <c r="V35" i="9"/>
  <c r="U35" i="9"/>
  <c r="S35" i="9"/>
  <c r="R35" i="9"/>
  <c r="O35" i="9"/>
  <c r="L35" i="9"/>
  <c r="I35" i="9"/>
  <c r="Q35" i="9" s="1"/>
  <c r="H35" i="9"/>
  <c r="G35" i="9"/>
  <c r="P35" i="9" s="1"/>
  <c r="F35" i="9"/>
  <c r="E35" i="9"/>
  <c r="AF34" i="9"/>
  <c r="AD34" i="9"/>
  <c r="AC34" i="9"/>
  <c r="AA34" i="9"/>
  <c r="Y34" i="9"/>
  <c r="X34" i="9"/>
  <c r="V34" i="9"/>
  <c r="U34" i="9"/>
  <c r="S34" i="9"/>
  <c r="R34" i="9"/>
  <c r="O34" i="9"/>
  <c r="L34" i="9"/>
  <c r="I34" i="9"/>
  <c r="Q34" i="9" s="1"/>
  <c r="H34" i="9"/>
  <c r="G34" i="9"/>
  <c r="P34" i="9" s="1"/>
  <c r="F34" i="9"/>
  <c r="E34" i="9"/>
  <c r="AF33" i="9"/>
  <c r="AD33" i="9"/>
  <c r="AC33" i="9"/>
  <c r="AA33" i="9"/>
  <c r="Y33" i="9"/>
  <c r="X33" i="9"/>
  <c r="V33" i="9"/>
  <c r="U33" i="9"/>
  <c r="S33" i="9"/>
  <c r="R33" i="9"/>
  <c r="O33" i="9"/>
  <c r="L33" i="9"/>
  <c r="I33" i="9"/>
  <c r="Q33" i="9" s="1"/>
  <c r="H33" i="9"/>
  <c r="G33" i="9"/>
  <c r="F33" i="9"/>
  <c r="E33" i="9"/>
  <c r="AF32" i="9"/>
  <c r="AD32" i="9"/>
  <c r="AC32" i="9"/>
  <c r="AA32" i="9"/>
  <c r="Y32" i="9"/>
  <c r="X32" i="9"/>
  <c r="V32" i="9"/>
  <c r="U32" i="9"/>
  <c r="S32" i="9"/>
  <c r="R32" i="9"/>
  <c r="O32" i="9"/>
  <c r="L32" i="9"/>
  <c r="I32" i="9"/>
  <c r="Q32" i="9" s="1"/>
  <c r="H32" i="9"/>
  <c r="G32" i="9"/>
  <c r="P32" i="9" s="1"/>
  <c r="F32" i="9"/>
  <c r="E32" i="9"/>
  <c r="AF30" i="9"/>
  <c r="AD30" i="9"/>
  <c r="AC30" i="9"/>
  <c r="AA30" i="9"/>
  <c r="Y30" i="9"/>
  <c r="X30" i="9"/>
  <c r="V30" i="9"/>
  <c r="U30" i="9"/>
  <c r="S30" i="9"/>
  <c r="R30" i="9"/>
  <c r="O30" i="9"/>
  <c r="L30" i="9"/>
  <c r="I30" i="9"/>
  <c r="Q30" i="9" s="1"/>
  <c r="H30" i="9"/>
  <c r="G30" i="9"/>
  <c r="P30" i="9" s="1"/>
  <c r="F30" i="9"/>
  <c r="E30" i="9"/>
  <c r="AF29" i="9"/>
  <c r="AD29" i="9"/>
  <c r="AC29" i="9"/>
  <c r="AA29" i="9"/>
  <c r="Y29" i="9"/>
  <c r="X29" i="9"/>
  <c r="V29" i="9"/>
  <c r="U29" i="9"/>
  <c r="S29" i="9"/>
  <c r="R29" i="9"/>
  <c r="O29" i="9"/>
  <c r="L29" i="9"/>
  <c r="I29" i="9"/>
  <c r="Q29" i="9" s="1"/>
  <c r="H29" i="9"/>
  <c r="G29" i="9"/>
  <c r="P29" i="9" s="1"/>
  <c r="F29" i="9"/>
  <c r="E29" i="9"/>
  <c r="AF28" i="9"/>
  <c r="AD28" i="9"/>
  <c r="AC28" i="9"/>
  <c r="AA28" i="9"/>
  <c r="Y28" i="9"/>
  <c r="X28" i="9"/>
  <c r="V28" i="9"/>
  <c r="U28" i="9"/>
  <c r="S28" i="9"/>
  <c r="R28" i="9"/>
  <c r="O28" i="9"/>
  <c r="L28" i="9"/>
  <c r="I28" i="9"/>
  <c r="Q28" i="9" s="1"/>
  <c r="H28" i="9"/>
  <c r="G28" i="9"/>
  <c r="P28" i="9" s="1"/>
  <c r="F28" i="9"/>
  <c r="E28" i="9"/>
  <c r="AF27" i="9"/>
  <c r="AD27" i="9"/>
  <c r="AC27" i="9"/>
  <c r="AG27" i="9" s="1"/>
  <c r="AA27" i="9"/>
  <c r="Y27" i="9"/>
  <c r="X27" i="9"/>
  <c r="AB27" i="9" s="1"/>
  <c r="V27" i="9"/>
  <c r="U27" i="9"/>
  <c r="W27" i="9" s="1"/>
  <c r="S27" i="9"/>
  <c r="R27" i="9"/>
  <c r="T27" i="9" s="1"/>
  <c r="O27" i="9"/>
  <c r="L27" i="9"/>
  <c r="I27" i="9"/>
  <c r="Q27" i="9" s="1"/>
  <c r="H27" i="9"/>
  <c r="N27" i="9" s="1"/>
  <c r="G27" i="9"/>
  <c r="P27" i="9" s="1"/>
  <c r="F27" i="9"/>
  <c r="E27" i="9"/>
  <c r="AF26" i="9"/>
  <c r="AD26" i="9"/>
  <c r="AC26" i="9"/>
  <c r="AA26" i="9"/>
  <c r="Y26" i="9"/>
  <c r="X26" i="9"/>
  <c r="V26" i="9"/>
  <c r="U26" i="9"/>
  <c r="S26" i="9"/>
  <c r="R26" i="9"/>
  <c r="O26" i="9"/>
  <c r="L26" i="9"/>
  <c r="I26" i="9"/>
  <c r="Q26" i="9" s="1"/>
  <c r="H26" i="9"/>
  <c r="G26" i="9"/>
  <c r="P26" i="9" s="1"/>
  <c r="F26" i="9"/>
  <c r="E26" i="9"/>
  <c r="AF25" i="9"/>
  <c r="AD25" i="9"/>
  <c r="AC25" i="9"/>
  <c r="AE25" i="9" s="1"/>
  <c r="AA25" i="9"/>
  <c r="Y25" i="9"/>
  <c r="X25" i="9"/>
  <c r="AB25" i="9" s="1"/>
  <c r="V25" i="9"/>
  <c r="U25" i="9"/>
  <c r="W25" i="9" s="1"/>
  <c r="S25" i="9"/>
  <c r="R25" i="9"/>
  <c r="T25" i="9" s="1"/>
  <c r="O25" i="9"/>
  <c r="L25" i="9"/>
  <c r="I25" i="9"/>
  <c r="Q25" i="9" s="1"/>
  <c r="H25" i="9"/>
  <c r="N25" i="9" s="1"/>
  <c r="G25" i="9"/>
  <c r="P25" i="9" s="1"/>
  <c r="F25" i="9"/>
  <c r="E25" i="9"/>
  <c r="AF24" i="9"/>
  <c r="AD24" i="9"/>
  <c r="AC24" i="9"/>
  <c r="AA24" i="9"/>
  <c r="Y24" i="9"/>
  <c r="X24" i="9"/>
  <c r="V24" i="9"/>
  <c r="U24" i="9"/>
  <c r="S24" i="9"/>
  <c r="R24" i="9"/>
  <c r="O24" i="9"/>
  <c r="L24" i="9"/>
  <c r="I24" i="9"/>
  <c r="Q24" i="9" s="1"/>
  <c r="H24" i="9"/>
  <c r="G24" i="9"/>
  <c r="P24" i="9" s="1"/>
  <c r="F24" i="9"/>
  <c r="E24" i="9"/>
  <c r="AF23" i="9"/>
  <c r="AD23" i="9"/>
  <c r="AC23" i="9"/>
  <c r="AA23" i="9"/>
  <c r="Y23" i="9"/>
  <c r="X23" i="9"/>
  <c r="V23" i="9"/>
  <c r="U23" i="9"/>
  <c r="S23" i="9"/>
  <c r="R23" i="9"/>
  <c r="O23" i="9"/>
  <c r="L23" i="9"/>
  <c r="I23" i="9"/>
  <c r="Q23" i="9" s="1"/>
  <c r="H23" i="9"/>
  <c r="G23" i="9"/>
  <c r="P23" i="9" s="1"/>
  <c r="F23" i="9"/>
  <c r="E23" i="9"/>
  <c r="AF22" i="9"/>
  <c r="AD22" i="9"/>
  <c r="AC22" i="9"/>
  <c r="AA22" i="9"/>
  <c r="Y22" i="9"/>
  <c r="X22" i="9"/>
  <c r="V22" i="9"/>
  <c r="U22" i="9"/>
  <c r="S22" i="9"/>
  <c r="R22" i="9"/>
  <c r="O22" i="9"/>
  <c r="L22" i="9"/>
  <c r="I22" i="9"/>
  <c r="Q22" i="9" s="1"/>
  <c r="H22" i="9"/>
  <c r="G22" i="9"/>
  <c r="P22" i="9" s="1"/>
  <c r="F22" i="9"/>
  <c r="E22" i="9"/>
  <c r="AC21" i="9"/>
  <c r="AA21" i="9"/>
  <c r="Y21" i="9"/>
  <c r="X21" i="9"/>
  <c r="V21" i="9"/>
  <c r="U21" i="9"/>
  <c r="S21" i="9"/>
  <c r="R21" i="9"/>
  <c r="O21" i="9"/>
  <c r="L21" i="9"/>
  <c r="I21" i="9"/>
  <c r="Q21" i="9" s="1"/>
  <c r="H21" i="9"/>
  <c r="G21" i="9"/>
  <c r="P21" i="9" s="1"/>
  <c r="F21" i="9"/>
  <c r="E21" i="9"/>
  <c r="AF20" i="9"/>
  <c r="AD20" i="9"/>
  <c r="AC20" i="9"/>
  <c r="AA20" i="9"/>
  <c r="Y20" i="9"/>
  <c r="X20" i="9"/>
  <c r="V20" i="9"/>
  <c r="U20" i="9"/>
  <c r="S20" i="9"/>
  <c r="R20" i="9"/>
  <c r="O20" i="9"/>
  <c r="L20" i="9"/>
  <c r="I20" i="9"/>
  <c r="Q20" i="9" s="1"/>
  <c r="H20" i="9"/>
  <c r="G20" i="9"/>
  <c r="P20" i="9" s="1"/>
  <c r="F20" i="9"/>
  <c r="E20" i="9"/>
  <c r="AF19" i="9"/>
  <c r="AD19" i="9"/>
  <c r="AC19" i="9"/>
  <c r="AA19" i="9"/>
  <c r="Y19" i="9"/>
  <c r="X19" i="9"/>
  <c r="V19" i="9"/>
  <c r="U19" i="9"/>
  <c r="S19" i="9"/>
  <c r="R19" i="9"/>
  <c r="O19" i="9"/>
  <c r="L19" i="9"/>
  <c r="I19" i="9"/>
  <c r="Q19" i="9" s="1"/>
  <c r="H19" i="9"/>
  <c r="G19" i="9"/>
  <c r="P19" i="9" s="1"/>
  <c r="F19" i="9"/>
  <c r="E19" i="9"/>
  <c r="AF18" i="9"/>
  <c r="AD18" i="9"/>
  <c r="AC18" i="9"/>
  <c r="AA18" i="9"/>
  <c r="Y18" i="9"/>
  <c r="X18" i="9"/>
  <c r="V18" i="9"/>
  <c r="U18" i="9"/>
  <c r="S18" i="9"/>
  <c r="R18" i="9"/>
  <c r="O18" i="9"/>
  <c r="L18" i="9"/>
  <c r="I18" i="9"/>
  <c r="Q18" i="9" s="1"/>
  <c r="H18" i="9"/>
  <c r="G18" i="9"/>
  <c r="P18" i="9" s="1"/>
  <c r="F18" i="9"/>
  <c r="E18" i="9"/>
  <c r="AF17" i="9"/>
  <c r="AD17" i="9"/>
  <c r="AC17" i="9"/>
  <c r="AA17" i="9"/>
  <c r="Y17" i="9"/>
  <c r="X17" i="9"/>
  <c r="V17" i="9"/>
  <c r="U17" i="9"/>
  <c r="S17" i="9"/>
  <c r="R17" i="9"/>
  <c r="O17" i="9"/>
  <c r="L17" i="9"/>
  <c r="I17" i="9"/>
  <c r="Q17" i="9" s="1"/>
  <c r="H17" i="9"/>
  <c r="G17" i="9"/>
  <c r="P17" i="9" s="1"/>
  <c r="F17" i="9"/>
  <c r="E17" i="9"/>
  <c r="AF16" i="9"/>
  <c r="AD16" i="9"/>
  <c r="AC16" i="9"/>
  <c r="AA16" i="9"/>
  <c r="Y16" i="9"/>
  <c r="X16" i="9"/>
  <c r="V16" i="9"/>
  <c r="U16" i="9"/>
  <c r="R16" i="9"/>
  <c r="O16" i="9"/>
  <c r="L16" i="9"/>
  <c r="I16" i="9"/>
  <c r="Q16" i="9" s="1"/>
  <c r="H16" i="9"/>
  <c r="G16" i="9"/>
  <c r="P16" i="9" s="1"/>
  <c r="F16" i="9"/>
  <c r="E16" i="9"/>
  <c r="AC15" i="9"/>
  <c r="AA15" i="9"/>
  <c r="Y15" i="9"/>
  <c r="X15" i="9"/>
  <c r="V15" i="9"/>
  <c r="U15" i="9"/>
  <c r="S15" i="9"/>
  <c r="R15" i="9"/>
  <c r="O15" i="9"/>
  <c r="L15" i="9"/>
  <c r="I15" i="9"/>
  <c r="H15" i="9"/>
  <c r="G15" i="9"/>
  <c r="F15" i="9"/>
  <c r="E15" i="9"/>
  <c r="AF14" i="9"/>
  <c r="AD14" i="9"/>
  <c r="AC14" i="9"/>
  <c r="AA14" i="9"/>
  <c r="Y14" i="9"/>
  <c r="X14" i="9"/>
  <c r="V14" i="9"/>
  <c r="U14" i="9"/>
  <c r="S14" i="9"/>
  <c r="R14" i="9"/>
  <c r="O14" i="9"/>
  <c r="L14" i="9"/>
  <c r="I14" i="9"/>
  <c r="Q14" i="9" s="1"/>
  <c r="H14" i="9"/>
  <c r="G14" i="9"/>
  <c r="P14" i="9" s="1"/>
  <c r="F14" i="9"/>
  <c r="E14" i="9"/>
  <c r="AG12" i="9"/>
  <c r="AE12" i="9"/>
  <c r="AB12" i="9"/>
  <c r="Z12" i="9"/>
  <c r="W12" i="9"/>
  <c r="T12" i="9"/>
  <c r="Q12" i="9"/>
  <c r="N12" i="9"/>
  <c r="M12" i="9"/>
  <c r="K12" i="9"/>
  <c r="J12" i="9"/>
  <c r="C12" i="9"/>
  <c r="AG11" i="9"/>
  <c r="AB11" i="9"/>
  <c r="AG10" i="9"/>
  <c r="AB10" i="9"/>
  <c r="AG9" i="9"/>
  <c r="AB9" i="9"/>
  <c r="O116" i="8"/>
  <c r="L116" i="8"/>
  <c r="I116" i="8"/>
  <c r="Q116" i="8" s="1"/>
  <c r="H116" i="8"/>
  <c r="N116" i="8" s="1"/>
  <c r="G116" i="8"/>
  <c r="P116" i="8" s="1"/>
  <c r="F116" i="8"/>
  <c r="E116" i="8"/>
  <c r="O115" i="8"/>
  <c r="L115" i="8"/>
  <c r="I115" i="8"/>
  <c r="Q115" i="8" s="1"/>
  <c r="H115" i="8"/>
  <c r="N115" i="8" s="1"/>
  <c r="G115" i="8"/>
  <c r="P115" i="8" s="1"/>
  <c r="F115" i="8"/>
  <c r="E115" i="8"/>
  <c r="O114" i="8"/>
  <c r="L114" i="8"/>
  <c r="I114" i="8"/>
  <c r="Q114" i="8" s="1"/>
  <c r="H114" i="8"/>
  <c r="N114" i="8" s="1"/>
  <c r="G114" i="8"/>
  <c r="P114" i="8" s="1"/>
  <c r="F114" i="8"/>
  <c r="E114" i="8"/>
  <c r="O113" i="8"/>
  <c r="L113" i="8"/>
  <c r="I113" i="8"/>
  <c r="Q113" i="8" s="1"/>
  <c r="H113" i="8"/>
  <c r="N113" i="8" s="1"/>
  <c r="G113" i="8"/>
  <c r="P113" i="8" s="1"/>
  <c r="F113" i="8"/>
  <c r="E113" i="8"/>
  <c r="O112" i="8"/>
  <c r="L112" i="8"/>
  <c r="I112" i="8"/>
  <c r="Q112" i="8" s="1"/>
  <c r="H112" i="8"/>
  <c r="N112" i="8" s="1"/>
  <c r="G112" i="8"/>
  <c r="P112" i="8" s="1"/>
  <c r="F112" i="8"/>
  <c r="E112" i="8"/>
  <c r="O111" i="8"/>
  <c r="L111" i="8"/>
  <c r="I111" i="8"/>
  <c r="Q111" i="8" s="1"/>
  <c r="H111" i="8"/>
  <c r="N111" i="8" s="1"/>
  <c r="G111" i="8"/>
  <c r="P111" i="8" s="1"/>
  <c r="F111" i="8"/>
  <c r="E111" i="8"/>
  <c r="O110" i="8"/>
  <c r="L110" i="8"/>
  <c r="I110" i="8"/>
  <c r="Q110" i="8" s="1"/>
  <c r="H110" i="8"/>
  <c r="N110" i="8" s="1"/>
  <c r="G110" i="8"/>
  <c r="P110" i="8" s="1"/>
  <c r="F110" i="8"/>
  <c r="E110" i="8"/>
  <c r="O109" i="8"/>
  <c r="L109" i="8"/>
  <c r="I109" i="8"/>
  <c r="Q109" i="8" s="1"/>
  <c r="H109" i="8"/>
  <c r="N109" i="8" s="1"/>
  <c r="G109" i="8"/>
  <c r="P109" i="8" s="1"/>
  <c r="F109" i="8"/>
  <c r="E109" i="8"/>
  <c r="O108" i="8"/>
  <c r="L108" i="8"/>
  <c r="I108" i="8"/>
  <c r="Q108" i="8" s="1"/>
  <c r="H108" i="8"/>
  <c r="N108" i="8" s="1"/>
  <c r="G108" i="8"/>
  <c r="P108" i="8" s="1"/>
  <c r="F108" i="8"/>
  <c r="E108" i="8"/>
  <c r="O107" i="8"/>
  <c r="L107" i="8"/>
  <c r="I107" i="8"/>
  <c r="Q107" i="8" s="1"/>
  <c r="H107" i="8"/>
  <c r="N107" i="8" s="1"/>
  <c r="G107" i="8"/>
  <c r="P107" i="8" s="1"/>
  <c r="F107" i="8"/>
  <c r="E107" i="8"/>
  <c r="O106" i="8"/>
  <c r="L106" i="8"/>
  <c r="I106" i="8"/>
  <c r="Q106" i="8" s="1"/>
  <c r="H106" i="8"/>
  <c r="N106" i="8" s="1"/>
  <c r="G106" i="8"/>
  <c r="P106" i="8" s="1"/>
  <c r="F106" i="8"/>
  <c r="E106" i="8"/>
  <c r="O105" i="8"/>
  <c r="L105" i="8"/>
  <c r="I105" i="8"/>
  <c r="Q105" i="8" s="1"/>
  <c r="H105" i="8"/>
  <c r="G105" i="8"/>
  <c r="P105" i="8" s="1"/>
  <c r="F105" i="8"/>
  <c r="E105" i="8"/>
  <c r="O104" i="8"/>
  <c r="O11" i="8" s="1"/>
  <c r="L104" i="8"/>
  <c r="I104" i="8"/>
  <c r="Q104" i="8" s="1"/>
  <c r="H104" i="8"/>
  <c r="H11" i="8" s="1"/>
  <c r="G104" i="8"/>
  <c r="P104" i="8" s="1"/>
  <c r="F104" i="8"/>
  <c r="F11" i="8" s="1"/>
  <c r="E104" i="8"/>
  <c r="E11" i="8" s="1"/>
  <c r="O103" i="8"/>
  <c r="L103" i="8"/>
  <c r="I103" i="8"/>
  <c r="Q103" i="8" s="1"/>
  <c r="H103" i="8"/>
  <c r="N103" i="8" s="1"/>
  <c r="G103" i="8"/>
  <c r="P103" i="8" s="1"/>
  <c r="F103" i="8"/>
  <c r="E103" i="8"/>
  <c r="O102" i="8"/>
  <c r="L102" i="8"/>
  <c r="I102" i="8"/>
  <c r="Q102" i="8" s="1"/>
  <c r="H102" i="8"/>
  <c r="N102" i="8" s="1"/>
  <c r="G102" i="8"/>
  <c r="P102" i="8" s="1"/>
  <c r="F102" i="8"/>
  <c r="E102" i="8"/>
  <c r="O101" i="8"/>
  <c r="L101" i="8"/>
  <c r="I101" i="8"/>
  <c r="Q101" i="8" s="1"/>
  <c r="H101" i="8"/>
  <c r="N101" i="8" s="1"/>
  <c r="G101" i="8"/>
  <c r="P101" i="8" s="1"/>
  <c r="F101" i="8"/>
  <c r="E101" i="8"/>
  <c r="O100" i="8"/>
  <c r="L100" i="8"/>
  <c r="I100" i="8"/>
  <c r="Q100" i="8" s="1"/>
  <c r="H100" i="8"/>
  <c r="N100" i="8" s="1"/>
  <c r="G100" i="8"/>
  <c r="P100" i="8" s="1"/>
  <c r="F100" i="8"/>
  <c r="E100" i="8"/>
  <c r="O99" i="8"/>
  <c r="L99" i="8"/>
  <c r="I99" i="8"/>
  <c r="Q99" i="8" s="1"/>
  <c r="H99" i="8"/>
  <c r="N99" i="8" s="1"/>
  <c r="G99" i="8"/>
  <c r="P99" i="8" s="1"/>
  <c r="F99" i="8"/>
  <c r="E99" i="8"/>
  <c r="O98" i="8"/>
  <c r="L98" i="8"/>
  <c r="I98" i="8"/>
  <c r="Q98" i="8" s="1"/>
  <c r="H98" i="8"/>
  <c r="N98" i="8" s="1"/>
  <c r="G98" i="8"/>
  <c r="P98" i="8" s="1"/>
  <c r="F98" i="8"/>
  <c r="E98" i="8"/>
  <c r="O97" i="8"/>
  <c r="L97" i="8"/>
  <c r="I97" i="8"/>
  <c r="Q97" i="8" s="1"/>
  <c r="H97" i="8"/>
  <c r="N97" i="8" s="1"/>
  <c r="G97" i="8"/>
  <c r="P97" i="8" s="1"/>
  <c r="F97" i="8"/>
  <c r="E97" i="8"/>
  <c r="O96" i="8"/>
  <c r="L96" i="8"/>
  <c r="I96" i="8"/>
  <c r="Q96" i="8" s="1"/>
  <c r="H96" i="8"/>
  <c r="G96" i="8"/>
  <c r="P96" i="8" s="1"/>
  <c r="F96" i="8"/>
  <c r="E96" i="8"/>
  <c r="O95" i="8"/>
  <c r="L95" i="8"/>
  <c r="I95" i="8"/>
  <c r="Q95" i="8" s="1"/>
  <c r="H95" i="8"/>
  <c r="N95" i="8" s="1"/>
  <c r="G95" i="8"/>
  <c r="P95" i="8" s="1"/>
  <c r="F95" i="8"/>
  <c r="E95" i="8"/>
  <c r="O94" i="8"/>
  <c r="L94" i="8"/>
  <c r="I94" i="8"/>
  <c r="H94" i="8"/>
  <c r="N94" i="8" s="1"/>
  <c r="G94" i="8"/>
  <c r="P94" i="8" s="1"/>
  <c r="F94" i="8"/>
  <c r="E94" i="8"/>
  <c r="O93" i="8"/>
  <c r="L93" i="8"/>
  <c r="I93" i="8"/>
  <c r="Q93" i="8" s="1"/>
  <c r="H93" i="8"/>
  <c r="N93" i="8" s="1"/>
  <c r="G93" i="8"/>
  <c r="P93" i="8" s="1"/>
  <c r="F93" i="8"/>
  <c r="E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O92" i="8"/>
  <c r="L92" i="8"/>
  <c r="I92" i="8"/>
  <c r="Q92" i="8" s="1"/>
  <c r="H92" i="8"/>
  <c r="G92" i="8"/>
  <c r="P92" i="8" s="1"/>
  <c r="F92" i="8"/>
  <c r="E92" i="8"/>
  <c r="O91" i="8"/>
  <c r="L91" i="8"/>
  <c r="I91" i="8"/>
  <c r="Q91" i="8" s="1"/>
  <c r="H91" i="8"/>
  <c r="N91" i="8" s="1"/>
  <c r="G91" i="8"/>
  <c r="P91" i="8" s="1"/>
  <c r="F91" i="8"/>
  <c r="E91" i="8"/>
  <c r="O90" i="8"/>
  <c r="L90" i="8"/>
  <c r="I90" i="8"/>
  <c r="Q90" i="8" s="1"/>
  <c r="H90" i="8"/>
  <c r="N90" i="8" s="1"/>
  <c r="G90" i="8"/>
  <c r="P90" i="8" s="1"/>
  <c r="F90" i="8"/>
  <c r="E90" i="8"/>
  <c r="S88" i="8"/>
  <c r="R88" i="8"/>
  <c r="O88" i="8"/>
  <c r="L88" i="8"/>
  <c r="I88" i="8"/>
  <c r="Q88" i="8" s="1"/>
  <c r="H88" i="8"/>
  <c r="N88" i="8" s="1"/>
  <c r="G88" i="8"/>
  <c r="P88" i="8" s="1"/>
  <c r="F88" i="8"/>
  <c r="E88" i="8"/>
  <c r="S87" i="8"/>
  <c r="R87" i="8"/>
  <c r="O87" i="8"/>
  <c r="L87" i="8"/>
  <c r="I87" i="8"/>
  <c r="Q87" i="8" s="1"/>
  <c r="H87" i="8"/>
  <c r="N87" i="8" s="1"/>
  <c r="G87" i="8"/>
  <c r="P87" i="8" s="1"/>
  <c r="F87" i="8"/>
  <c r="E87" i="8"/>
  <c r="S86" i="8"/>
  <c r="R86" i="8"/>
  <c r="O86" i="8"/>
  <c r="L86" i="8"/>
  <c r="I86" i="8"/>
  <c r="Q86" i="8" s="1"/>
  <c r="H86" i="8"/>
  <c r="N86" i="8" s="1"/>
  <c r="G86" i="8"/>
  <c r="P86" i="8" s="1"/>
  <c r="F86" i="8"/>
  <c r="E86" i="8"/>
  <c r="S85" i="8"/>
  <c r="R85" i="8"/>
  <c r="O85" i="8"/>
  <c r="L85" i="8"/>
  <c r="I85" i="8"/>
  <c r="Q85" i="8" s="1"/>
  <c r="H85" i="8"/>
  <c r="N85" i="8" s="1"/>
  <c r="G85" i="8"/>
  <c r="P85" i="8" s="1"/>
  <c r="F85" i="8"/>
  <c r="E85" i="8"/>
  <c r="S84" i="8"/>
  <c r="R84" i="8"/>
  <c r="O84" i="8"/>
  <c r="L84" i="8"/>
  <c r="I84" i="8"/>
  <c r="Q84" i="8" s="1"/>
  <c r="H84" i="8"/>
  <c r="G84" i="8"/>
  <c r="P84" i="8" s="1"/>
  <c r="F84" i="8"/>
  <c r="E84" i="8"/>
  <c r="S83" i="8"/>
  <c r="R83" i="8"/>
  <c r="O83" i="8"/>
  <c r="L83" i="8"/>
  <c r="I83" i="8"/>
  <c r="Q83" i="8" s="1"/>
  <c r="H83" i="8"/>
  <c r="N83" i="8" s="1"/>
  <c r="G83" i="8"/>
  <c r="P83" i="8" s="1"/>
  <c r="F83" i="8"/>
  <c r="E83" i="8"/>
  <c r="S82" i="8"/>
  <c r="R82" i="8"/>
  <c r="O82" i="8"/>
  <c r="L82" i="8"/>
  <c r="I82" i="8"/>
  <c r="Q82" i="8" s="1"/>
  <c r="H82" i="8"/>
  <c r="N82" i="8" s="1"/>
  <c r="G82" i="8"/>
  <c r="P82" i="8" s="1"/>
  <c r="F82" i="8"/>
  <c r="E82" i="8"/>
  <c r="S81" i="8"/>
  <c r="R81" i="8"/>
  <c r="O81" i="8"/>
  <c r="L81" i="8"/>
  <c r="I81" i="8"/>
  <c r="Q81" i="8" s="1"/>
  <c r="H81" i="8"/>
  <c r="N81" i="8" s="1"/>
  <c r="G81" i="8"/>
  <c r="P81" i="8" s="1"/>
  <c r="F81" i="8"/>
  <c r="E81" i="8"/>
  <c r="S80" i="8"/>
  <c r="R80" i="8"/>
  <c r="O80" i="8"/>
  <c r="L80" i="8"/>
  <c r="I80" i="8"/>
  <c r="Q80" i="8" s="1"/>
  <c r="H80" i="8"/>
  <c r="N80" i="8" s="1"/>
  <c r="G80" i="8"/>
  <c r="P80" i="8" s="1"/>
  <c r="F80" i="8"/>
  <c r="E80" i="8"/>
  <c r="S79" i="8"/>
  <c r="R79" i="8"/>
  <c r="O79" i="8"/>
  <c r="L79" i="8"/>
  <c r="I79" i="8"/>
  <c r="Q79" i="8" s="1"/>
  <c r="H79" i="8"/>
  <c r="N79" i="8" s="1"/>
  <c r="G79" i="8"/>
  <c r="P79" i="8" s="1"/>
  <c r="F79" i="8"/>
  <c r="E79" i="8"/>
  <c r="S78" i="8"/>
  <c r="R78" i="8"/>
  <c r="O78" i="8"/>
  <c r="L78" i="8"/>
  <c r="I78" i="8"/>
  <c r="Q78" i="8" s="1"/>
  <c r="H78" i="8"/>
  <c r="G78" i="8"/>
  <c r="P78" i="8" s="1"/>
  <c r="F78" i="8"/>
  <c r="E78" i="8"/>
  <c r="S77" i="8"/>
  <c r="R77" i="8"/>
  <c r="O77" i="8"/>
  <c r="L77" i="8"/>
  <c r="I77" i="8"/>
  <c r="Q77" i="8" s="1"/>
  <c r="H77" i="8"/>
  <c r="G77" i="8"/>
  <c r="P77" i="8" s="1"/>
  <c r="F77" i="8"/>
  <c r="E77" i="8"/>
  <c r="S76" i="8"/>
  <c r="R76" i="8"/>
  <c r="O76" i="8"/>
  <c r="L76" i="8"/>
  <c r="I76" i="8"/>
  <c r="Q76" i="8" s="1"/>
  <c r="H76" i="8"/>
  <c r="N76" i="8" s="1"/>
  <c r="G76" i="8"/>
  <c r="P76" i="8" s="1"/>
  <c r="F76" i="8"/>
  <c r="E76" i="8"/>
  <c r="S75" i="8"/>
  <c r="R75" i="8"/>
  <c r="O75" i="8"/>
  <c r="L75" i="8"/>
  <c r="I75" i="8"/>
  <c r="Q75" i="8" s="1"/>
  <c r="H75" i="8"/>
  <c r="N75" i="8" s="1"/>
  <c r="G75" i="8"/>
  <c r="P75" i="8" s="1"/>
  <c r="F75" i="8"/>
  <c r="E75" i="8"/>
  <c r="S73" i="8"/>
  <c r="R73" i="8"/>
  <c r="O73" i="8"/>
  <c r="L73" i="8"/>
  <c r="I73" i="8"/>
  <c r="Q73" i="8" s="1"/>
  <c r="H73" i="8"/>
  <c r="G73" i="8"/>
  <c r="P73" i="8" s="1"/>
  <c r="F73" i="8"/>
  <c r="E73" i="8"/>
  <c r="S72" i="8"/>
  <c r="R72" i="8"/>
  <c r="O72" i="8"/>
  <c r="L72" i="8"/>
  <c r="I72" i="8"/>
  <c r="Q72" i="8" s="1"/>
  <c r="H72" i="8"/>
  <c r="N72" i="8" s="1"/>
  <c r="G72" i="8"/>
  <c r="P72" i="8" s="1"/>
  <c r="F72" i="8"/>
  <c r="E72" i="8"/>
  <c r="S71" i="8"/>
  <c r="R71" i="8"/>
  <c r="O71" i="8"/>
  <c r="L71" i="8"/>
  <c r="I71" i="8"/>
  <c r="Q71" i="8" s="1"/>
  <c r="H71" i="8"/>
  <c r="G71" i="8"/>
  <c r="P71" i="8" s="1"/>
  <c r="F71" i="8"/>
  <c r="E71" i="8"/>
  <c r="S70" i="8"/>
  <c r="R70" i="8"/>
  <c r="O70" i="8"/>
  <c r="L70" i="8"/>
  <c r="I70" i="8"/>
  <c r="Q70" i="8" s="1"/>
  <c r="H70" i="8"/>
  <c r="N70" i="8" s="1"/>
  <c r="G70" i="8"/>
  <c r="P70" i="8" s="1"/>
  <c r="F70" i="8"/>
  <c r="E70" i="8"/>
  <c r="S69" i="8"/>
  <c r="R69" i="8"/>
  <c r="O69" i="8"/>
  <c r="L69" i="8"/>
  <c r="I69" i="8"/>
  <c r="Q69" i="8" s="1"/>
  <c r="H69" i="8"/>
  <c r="N69" i="8" s="1"/>
  <c r="G69" i="8"/>
  <c r="P69" i="8" s="1"/>
  <c r="F69" i="8"/>
  <c r="E69" i="8"/>
  <c r="S68" i="8"/>
  <c r="R68" i="8"/>
  <c r="O68" i="8"/>
  <c r="L68" i="8"/>
  <c r="I68" i="8"/>
  <c r="Q68" i="8" s="1"/>
  <c r="H68" i="8"/>
  <c r="N68" i="8" s="1"/>
  <c r="G68" i="8"/>
  <c r="P68" i="8" s="1"/>
  <c r="F68" i="8"/>
  <c r="E68" i="8"/>
  <c r="S67" i="8"/>
  <c r="R67" i="8"/>
  <c r="O67" i="8"/>
  <c r="L67" i="8"/>
  <c r="I67" i="8"/>
  <c r="Q67" i="8" s="1"/>
  <c r="H67" i="8"/>
  <c r="N67" i="8" s="1"/>
  <c r="G67" i="8"/>
  <c r="P67" i="8" s="1"/>
  <c r="F67" i="8"/>
  <c r="E67" i="8"/>
  <c r="S66" i="8"/>
  <c r="R66" i="8"/>
  <c r="O66" i="8"/>
  <c r="L66" i="8"/>
  <c r="I66" i="8"/>
  <c r="Q66" i="8" s="1"/>
  <c r="H66" i="8"/>
  <c r="N66" i="8" s="1"/>
  <c r="G66" i="8"/>
  <c r="P66" i="8" s="1"/>
  <c r="F66" i="8"/>
  <c r="E66" i="8"/>
  <c r="S65" i="8"/>
  <c r="R65" i="8"/>
  <c r="O65" i="8"/>
  <c r="L65" i="8"/>
  <c r="I65" i="8"/>
  <c r="Q65" i="8" s="1"/>
  <c r="H65" i="8"/>
  <c r="N65" i="8" s="1"/>
  <c r="G65" i="8"/>
  <c r="P65" i="8" s="1"/>
  <c r="F65" i="8"/>
  <c r="E65" i="8"/>
  <c r="S64" i="8"/>
  <c r="R64" i="8"/>
  <c r="O64" i="8"/>
  <c r="L64" i="8"/>
  <c r="I64" i="8"/>
  <c r="Q64" i="8" s="1"/>
  <c r="H64" i="8"/>
  <c r="N64" i="8" s="1"/>
  <c r="G64" i="8"/>
  <c r="P64" i="8" s="1"/>
  <c r="F64" i="8"/>
  <c r="E64" i="8"/>
  <c r="S63" i="8"/>
  <c r="R63" i="8"/>
  <c r="O63" i="8"/>
  <c r="L63" i="8"/>
  <c r="I63" i="8"/>
  <c r="Q63" i="8" s="1"/>
  <c r="H63" i="8"/>
  <c r="N63" i="8" s="1"/>
  <c r="G63" i="8"/>
  <c r="P63" i="8" s="1"/>
  <c r="F63" i="8"/>
  <c r="E63" i="8"/>
  <c r="S62" i="8"/>
  <c r="R62" i="8"/>
  <c r="O62" i="8"/>
  <c r="L62" i="8"/>
  <c r="I62" i="8"/>
  <c r="Q62" i="8" s="1"/>
  <c r="H62" i="8"/>
  <c r="N62" i="8" s="1"/>
  <c r="G62" i="8"/>
  <c r="P62" i="8" s="1"/>
  <c r="F62" i="8"/>
  <c r="E62" i="8"/>
  <c r="S61" i="8"/>
  <c r="R61" i="8"/>
  <c r="O61" i="8"/>
  <c r="L61" i="8"/>
  <c r="I61" i="8"/>
  <c r="Q61" i="8" s="1"/>
  <c r="H61" i="8"/>
  <c r="N61" i="8" s="1"/>
  <c r="G61" i="8"/>
  <c r="P61" i="8" s="1"/>
  <c r="F61" i="8"/>
  <c r="E61" i="8"/>
  <c r="S60" i="8"/>
  <c r="R60" i="8"/>
  <c r="O60" i="8"/>
  <c r="L60" i="8"/>
  <c r="I60" i="8"/>
  <c r="Q60" i="8" s="1"/>
  <c r="H60" i="8"/>
  <c r="N60" i="8" s="1"/>
  <c r="G60" i="8"/>
  <c r="P60" i="8" s="1"/>
  <c r="F60" i="8"/>
  <c r="E60" i="8"/>
  <c r="S59" i="8"/>
  <c r="R59" i="8"/>
  <c r="O59" i="8"/>
  <c r="L59" i="8"/>
  <c r="I59" i="8"/>
  <c r="Q59" i="8" s="1"/>
  <c r="H59" i="8"/>
  <c r="N59" i="8" s="1"/>
  <c r="G59" i="8"/>
  <c r="P59" i="8" s="1"/>
  <c r="F59" i="8"/>
  <c r="E59" i="8"/>
  <c r="S58" i="8"/>
  <c r="R58" i="8"/>
  <c r="O58" i="8"/>
  <c r="L58" i="8"/>
  <c r="I58" i="8"/>
  <c r="Q58" i="8" s="1"/>
  <c r="H58" i="8"/>
  <c r="N58" i="8" s="1"/>
  <c r="G58" i="8"/>
  <c r="P58" i="8" s="1"/>
  <c r="F58" i="8"/>
  <c r="E58" i="8"/>
  <c r="S57" i="8"/>
  <c r="R57" i="8"/>
  <c r="O57" i="8"/>
  <c r="L57" i="8"/>
  <c r="I57" i="8"/>
  <c r="Q57" i="8" s="1"/>
  <c r="H57" i="8"/>
  <c r="N57" i="8" s="1"/>
  <c r="G57" i="8"/>
  <c r="P57" i="8" s="1"/>
  <c r="F57" i="8"/>
  <c r="E57" i="8"/>
  <c r="S56" i="8"/>
  <c r="R56" i="8"/>
  <c r="O56" i="8"/>
  <c r="L56" i="8"/>
  <c r="I56" i="8"/>
  <c r="Q56" i="8" s="1"/>
  <c r="H56" i="8"/>
  <c r="N56" i="8" s="1"/>
  <c r="G56" i="8"/>
  <c r="P56" i="8" s="1"/>
  <c r="F56" i="8"/>
  <c r="E56" i="8"/>
  <c r="S55" i="8"/>
  <c r="R55" i="8"/>
  <c r="O55" i="8"/>
  <c r="L55" i="8"/>
  <c r="I55" i="8"/>
  <c r="Q55" i="8" s="1"/>
  <c r="H55" i="8"/>
  <c r="N55" i="8" s="1"/>
  <c r="G55" i="8"/>
  <c r="P55" i="8" s="1"/>
  <c r="F55" i="8"/>
  <c r="E55" i="8"/>
  <c r="S54" i="8"/>
  <c r="R54" i="8"/>
  <c r="O54" i="8"/>
  <c r="L54" i="8"/>
  <c r="I54" i="8"/>
  <c r="Q54" i="8" s="1"/>
  <c r="H54" i="8"/>
  <c r="N54" i="8" s="1"/>
  <c r="G54" i="8"/>
  <c r="P54" i="8" s="1"/>
  <c r="F54" i="8"/>
  <c r="E54" i="8"/>
  <c r="S53" i="8"/>
  <c r="R53" i="8"/>
  <c r="O53" i="8"/>
  <c r="L53" i="8"/>
  <c r="I53" i="8"/>
  <c r="Q53" i="8" s="1"/>
  <c r="H53" i="8"/>
  <c r="N53" i="8" s="1"/>
  <c r="G53" i="8"/>
  <c r="F53" i="8"/>
  <c r="E53" i="8"/>
  <c r="S51" i="8"/>
  <c r="R51" i="8"/>
  <c r="O51" i="8"/>
  <c r="L51" i="8"/>
  <c r="I51" i="8"/>
  <c r="Q51" i="8" s="1"/>
  <c r="H51" i="8"/>
  <c r="G51" i="8"/>
  <c r="P51" i="8" s="1"/>
  <c r="F51" i="8"/>
  <c r="E51" i="8"/>
  <c r="S50" i="8"/>
  <c r="R50" i="8"/>
  <c r="O50" i="8"/>
  <c r="L50" i="8"/>
  <c r="I50" i="8"/>
  <c r="Q50" i="8" s="1"/>
  <c r="H50" i="8"/>
  <c r="G50" i="8"/>
  <c r="P50" i="8" s="1"/>
  <c r="F50" i="8"/>
  <c r="E50" i="8"/>
  <c r="S49" i="8"/>
  <c r="R49" i="8"/>
  <c r="O49" i="8"/>
  <c r="L49" i="8"/>
  <c r="I49" i="8"/>
  <c r="Q49" i="8" s="1"/>
  <c r="H49" i="8"/>
  <c r="G49" i="8"/>
  <c r="P49" i="8" s="1"/>
  <c r="F49" i="8"/>
  <c r="E49" i="8"/>
  <c r="S48" i="8"/>
  <c r="R48" i="8"/>
  <c r="O48" i="8"/>
  <c r="L48" i="8"/>
  <c r="I48" i="8"/>
  <c r="Q48" i="8" s="1"/>
  <c r="H48" i="8"/>
  <c r="G48" i="8"/>
  <c r="P48" i="8" s="1"/>
  <c r="F48" i="8"/>
  <c r="E48" i="8"/>
  <c r="S47" i="8"/>
  <c r="R47" i="8"/>
  <c r="O47" i="8"/>
  <c r="L47" i="8"/>
  <c r="I47" i="8"/>
  <c r="Q47" i="8" s="1"/>
  <c r="H47" i="8"/>
  <c r="G47" i="8"/>
  <c r="P47" i="8" s="1"/>
  <c r="F47" i="8"/>
  <c r="E47" i="8"/>
  <c r="S46" i="8"/>
  <c r="R46" i="8"/>
  <c r="O46" i="8"/>
  <c r="L46" i="8"/>
  <c r="I46" i="8"/>
  <c r="Q46" i="8" s="1"/>
  <c r="H46" i="8"/>
  <c r="G46" i="8"/>
  <c r="P46" i="8" s="1"/>
  <c r="F46" i="8"/>
  <c r="E46" i="8"/>
  <c r="S45" i="8"/>
  <c r="R45" i="8"/>
  <c r="O45" i="8"/>
  <c r="L45" i="8"/>
  <c r="I45" i="8"/>
  <c r="Q45" i="8" s="1"/>
  <c r="H45" i="8"/>
  <c r="G45" i="8"/>
  <c r="P45" i="8" s="1"/>
  <c r="F45" i="8"/>
  <c r="E45" i="8"/>
  <c r="S44" i="8"/>
  <c r="R44" i="8"/>
  <c r="O44" i="8"/>
  <c r="L44" i="8"/>
  <c r="I44" i="8"/>
  <c r="Q44" i="8" s="1"/>
  <c r="H44" i="8"/>
  <c r="G44" i="8"/>
  <c r="P44" i="8" s="1"/>
  <c r="F44" i="8"/>
  <c r="E44" i="8"/>
  <c r="S43" i="8"/>
  <c r="R43" i="8"/>
  <c r="O43" i="8"/>
  <c r="L43" i="8"/>
  <c r="I43" i="8"/>
  <c r="Q43" i="8" s="1"/>
  <c r="H43" i="8"/>
  <c r="G43" i="8"/>
  <c r="P43" i="8" s="1"/>
  <c r="F43" i="8"/>
  <c r="E43" i="8"/>
  <c r="S42" i="8"/>
  <c r="R42" i="8"/>
  <c r="O42" i="8"/>
  <c r="L42" i="8"/>
  <c r="I42" i="8"/>
  <c r="Q42" i="8" s="1"/>
  <c r="H42" i="8"/>
  <c r="G42" i="8"/>
  <c r="P42" i="8" s="1"/>
  <c r="F42" i="8"/>
  <c r="E42" i="8"/>
  <c r="S41" i="8"/>
  <c r="R41" i="8"/>
  <c r="O41" i="8"/>
  <c r="L41" i="8"/>
  <c r="I41" i="8"/>
  <c r="Q41" i="8" s="1"/>
  <c r="H41" i="8"/>
  <c r="G41" i="8"/>
  <c r="P41" i="8" s="1"/>
  <c r="F41" i="8"/>
  <c r="E41" i="8"/>
  <c r="S40" i="8"/>
  <c r="R40" i="8"/>
  <c r="O40" i="8"/>
  <c r="L40" i="8"/>
  <c r="I40" i="8"/>
  <c r="Q40" i="8" s="1"/>
  <c r="H40" i="8"/>
  <c r="G40" i="8"/>
  <c r="P40" i="8" s="1"/>
  <c r="F40" i="8"/>
  <c r="E40" i="8"/>
  <c r="S39" i="8"/>
  <c r="R39" i="8"/>
  <c r="O39" i="8"/>
  <c r="L39" i="8"/>
  <c r="I39" i="8"/>
  <c r="Q39" i="8" s="1"/>
  <c r="H39" i="8"/>
  <c r="G39" i="8"/>
  <c r="P39" i="8" s="1"/>
  <c r="F39" i="8"/>
  <c r="E39" i="8"/>
  <c r="S38" i="8"/>
  <c r="R38" i="8"/>
  <c r="O38" i="8"/>
  <c r="L38" i="8"/>
  <c r="I38" i="8"/>
  <c r="Q38" i="8" s="1"/>
  <c r="H38" i="8"/>
  <c r="G38" i="8"/>
  <c r="P38" i="8" s="1"/>
  <c r="F38" i="8"/>
  <c r="E38" i="8"/>
  <c r="S37" i="8"/>
  <c r="R37" i="8"/>
  <c r="O37" i="8"/>
  <c r="L37" i="8"/>
  <c r="I37" i="8"/>
  <c r="Q37" i="8" s="1"/>
  <c r="H37" i="8"/>
  <c r="G37" i="8"/>
  <c r="P37" i="8" s="1"/>
  <c r="F37" i="8"/>
  <c r="E37" i="8"/>
  <c r="S36" i="8"/>
  <c r="R36" i="8"/>
  <c r="O36" i="8"/>
  <c r="L36" i="8"/>
  <c r="I36" i="8"/>
  <c r="Q36" i="8" s="1"/>
  <c r="H36" i="8"/>
  <c r="G36" i="8"/>
  <c r="P36" i="8" s="1"/>
  <c r="F36" i="8"/>
  <c r="E36" i="8"/>
  <c r="S35" i="8"/>
  <c r="R35" i="8"/>
  <c r="O35" i="8"/>
  <c r="L35" i="8"/>
  <c r="I35" i="8"/>
  <c r="Q35" i="8" s="1"/>
  <c r="H35" i="8"/>
  <c r="G35" i="8"/>
  <c r="P35" i="8" s="1"/>
  <c r="F35" i="8"/>
  <c r="E35" i="8"/>
  <c r="S34" i="8"/>
  <c r="R34" i="8"/>
  <c r="O34" i="8"/>
  <c r="L34" i="8"/>
  <c r="I34" i="8"/>
  <c r="Q34" i="8" s="1"/>
  <c r="H34" i="8"/>
  <c r="G34" i="8"/>
  <c r="P34" i="8" s="1"/>
  <c r="F34" i="8"/>
  <c r="E34" i="8"/>
  <c r="S33" i="8"/>
  <c r="R33" i="8"/>
  <c r="O33" i="8"/>
  <c r="L33" i="8"/>
  <c r="I33" i="8"/>
  <c r="Q33" i="8" s="1"/>
  <c r="H33" i="8"/>
  <c r="G33" i="8"/>
  <c r="P33" i="8" s="1"/>
  <c r="F33" i="8"/>
  <c r="E33" i="8"/>
  <c r="S32" i="8"/>
  <c r="R32" i="8"/>
  <c r="O32" i="8"/>
  <c r="L32" i="8"/>
  <c r="I32" i="8"/>
  <c r="Q32" i="8" s="1"/>
  <c r="H32" i="8"/>
  <c r="G32" i="8"/>
  <c r="F32" i="8"/>
  <c r="E32" i="8"/>
  <c r="S30" i="8"/>
  <c r="R30" i="8"/>
  <c r="O30" i="8"/>
  <c r="L30" i="8"/>
  <c r="I30" i="8"/>
  <c r="Q30" i="8" s="1"/>
  <c r="H30" i="8"/>
  <c r="G30" i="8"/>
  <c r="P30" i="8" s="1"/>
  <c r="F30" i="8"/>
  <c r="E30" i="8"/>
  <c r="S29" i="8"/>
  <c r="R29" i="8"/>
  <c r="O29" i="8"/>
  <c r="L29" i="8"/>
  <c r="I29" i="8"/>
  <c r="Q29" i="8" s="1"/>
  <c r="H29" i="8"/>
  <c r="G29" i="8"/>
  <c r="P29" i="8" s="1"/>
  <c r="F29" i="8"/>
  <c r="E29" i="8"/>
  <c r="S28" i="8"/>
  <c r="R28" i="8"/>
  <c r="O28" i="8"/>
  <c r="L28" i="8"/>
  <c r="I28" i="8"/>
  <c r="Q28" i="8" s="1"/>
  <c r="H28" i="8"/>
  <c r="G28" i="8"/>
  <c r="P28" i="8" s="1"/>
  <c r="F28" i="8"/>
  <c r="E28" i="8"/>
  <c r="S27" i="8"/>
  <c r="R27" i="8"/>
  <c r="O27" i="8"/>
  <c r="L27" i="8"/>
  <c r="I27" i="8"/>
  <c r="Q27" i="8" s="1"/>
  <c r="H27" i="8"/>
  <c r="G27" i="8"/>
  <c r="P27" i="8" s="1"/>
  <c r="F27" i="8"/>
  <c r="E27" i="8"/>
  <c r="S26" i="8"/>
  <c r="R26" i="8"/>
  <c r="O26" i="8"/>
  <c r="L26" i="8"/>
  <c r="I26" i="8"/>
  <c r="Q26" i="8" s="1"/>
  <c r="H26" i="8"/>
  <c r="G26" i="8"/>
  <c r="P26" i="8" s="1"/>
  <c r="F26" i="8"/>
  <c r="E26" i="8"/>
  <c r="S25" i="8"/>
  <c r="R25" i="8"/>
  <c r="O25" i="8"/>
  <c r="L25" i="8"/>
  <c r="I25" i="8"/>
  <c r="Q25" i="8" s="1"/>
  <c r="H25" i="8"/>
  <c r="G25" i="8"/>
  <c r="P25" i="8" s="1"/>
  <c r="F25" i="8"/>
  <c r="E25" i="8"/>
  <c r="S24" i="8"/>
  <c r="R24" i="8"/>
  <c r="O24" i="8"/>
  <c r="L24" i="8"/>
  <c r="I24" i="8"/>
  <c r="Q24" i="8" s="1"/>
  <c r="H24" i="8"/>
  <c r="G24" i="8"/>
  <c r="P24" i="8" s="1"/>
  <c r="F24" i="8"/>
  <c r="E24" i="8"/>
  <c r="S23" i="8"/>
  <c r="R23" i="8"/>
  <c r="O23" i="8"/>
  <c r="L23" i="8"/>
  <c r="I23" i="8"/>
  <c r="Q23" i="8" s="1"/>
  <c r="H23" i="8"/>
  <c r="G23" i="8"/>
  <c r="P23" i="8" s="1"/>
  <c r="F23" i="8"/>
  <c r="E23" i="8"/>
  <c r="S22" i="8"/>
  <c r="R22" i="8"/>
  <c r="O22" i="8"/>
  <c r="L22" i="8"/>
  <c r="I22" i="8"/>
  <c r="Q22" i="8" s="1"/>
  <c r="H22" i="8"/>
  <c r="G22" i="8"/>
  <c r="P22" i="8" s="1"/>
  <c r="F22" i="8"/>
  <c r="E22" i="8"/>
  <c r="S21" i="8"/>
  <c r="R21" i="8"/>
  <c r="O21" i="8"/>
  <c r="L21" i="8"/>
  <c r="I21" i="8"/>
  <c r="Q21" i="8" s="1"/>
  <c r="H21" i="8"/>
  <c r="G21" i="8"/>
  <c r="P21" i="8" s="1"/>
  <c r="F21" i="8"/>
  <c r="E21" i="8"/>
  <c r="S20" i="8"/>
  <c r="R20" i="8"/>
  <c r="O20" i="8"/>
  <c r="L20" i="8"/>
  <c r="I20" i="8"/>
  <c r="Q20" i="8" s="1"/>
  <c r="H20" i="8"/>
  <c r="G20" i="8"/>
  <c r="P20" i="8" s="1"/>
  <c r="F20" i="8"/>
  <c r="E20" i="8"/>
  <c r="S19" i="8"/>
  <c r="R19" i="8"/>
  <c r="O19" i="8"/>
  <c r="L19" i="8"/>
  <c r="I19" i="8"/>
  <c r="Q19" i="8" s="1"/>
  <c r="H19" i="8"/>
  <c r="G19" i="8"/>
  <c r="P19" i="8" s="1"/>
  <c r="F19" i="8"/>
  <c r="E19" i="8"/>
  <c r="S18" i="8"/>
  <c r="R18" i="8"/>
  <c r="O18" i="8"/>
  <c r="L18" i="8"/>
  <c r="I18" i="8"/>
  <c r="Q18" i="8" s="1"/>
  <c r="H18" i="8"/>
  <c r="G18" i="8"/>
  <c r="P18" i="8" s="1"/>
  <c r="F18" i="8"/>
  <c r="E18" i="8"/>
  <c r="S17" i="8"/>
  <c r="R17" i="8"/>
  <c r="O17" i="8"/>
  <c r="L17" i="8"/>
  <c r="I17" i="8"/>
  <c r="Q17" i="8" s="1"/>
  <c r="H17" i="8"/>
  <c r="G17" i="8"/>
  <c r="P17" i="8" s="1"/>
  <c r="F17" i="8"/>
  <c r="E17" i="8"/>
  <c r="S16" i="8"/>
  <c r="R16" i="8"/>
  <c r="O16" i="8"/>
  <c r="L16" i="8"/>
  <c r="I16" i="8"/>
  <c r="Q16" i="8" s="1"/>
  <c r="H16" i="8"/>
  <c r="G16" i="8"/>
  <c r="P16" i="8" s="1"/>
  <c r="F16" i="8"/>
  <c r="E16" i="8"/>
  <c r="S15" i="8"/>
  <c r="R15" i="8"/>
  <c r="O15" i="8"/>
  <c r="L15" i="8"/>
  <c r="I15" i="8"/>
  <c r="Q15" i="8" s="1"/>
  <c r="H15" i="8"/>
  <c r="G15" i="8"/>
  <c r="P15" i="8" s="1"/>
  <c r="F15" i="8"/>
  <c r="E15" i="8"/>
  <c r="S14" i="8"/>
  <c r="R14" i="8"/>
  <c r="O14" i="8"/>
  <c r="L14" i="8"/>
  <c r="I14" i="8"/>
  <c r="Q14" i="8" s="1"/>
  <c r="H14" i="8"/>
  <c r="G14" i="8"/>
  <c r="F14" i="8"/>
  <c r="E14" i="8"/>
  <c r="T12" i="8"/>
  <c r="Q12" i="8"/>
  <c r="N12" i="8"/>
  <c r="M12" i="8"/>
  <c r="J12" i="8"/>
  <c r="C12" i="8"/>
  <c r="K12" i="8" s="1"/>
  <c r="O116" i="7"/>
  <c r="L116" i="7"/>
  <c r="I116" i="7"/>
  <c r="Q116" i="7" s="1"/>
  <c r="H116" i="7"/>
  <c r="N116" i="7" s="1"/>
  <c r="G116" i="7"/>
  <c r="P116" i="7" s="1"/>
  <c r="F116" i="7"/>
  <c r="E116" i="7"/>
  <c r="O115" i="7"/>
  <c r="L115" i="7"/>
  <c r="I115" i="7"/>
  <c r="Q115" i="7" s="1"/>
  <c r="H115" i="7"/>
  <c r="N115" i="7" s="1"/>
  <c r="G115" i="7"/>
  <c r="P115" i="7" s="1"/>
  <c r="F115" i="7"/>
  <c r="E115" i="7"/>
  <c r="O114" i="7"/>
  <c r="L114" i="7"/>
  <c r="I114" i="7"/>
  <c r="Q114" i="7" s="1"/>
  <c r="H114" i="7"/>
  <c r="N114" i="7" s="1"/>
  <c r="G114" i="7"/>
  <c r="P114" i="7" s="1"/>
  <c r="F114" i="7"/>
  <c r="E114" i="7"/>
  <c r="O113" i="7"/>
  <c r="L113" i="7"/>
  <c r="I113" i="7"/>
  <c r="Q113" i="7" s="1"/>
  <c r="H113" i="7"/>
  <c r="N113" i="7" s="1"/>
  <c r="G113" i="7"/>
  <c r="P113" i="7" s="1"/>
  <c r="F113" i="7"/>
  <c r="E113" i="7"/>
  <c r="O112" i="7"/>
  <c r="L112" i="7"/>
  <c r="I112" i="7"/>
  <c r="Q112" i="7" s="1"/>
  <c r="H112" i="7"/>
  <c r="N112" i="7" s="1"/>
  <c r="G112" i="7"/>
  <c r="P112" i="7" s="1"/>
  <c r="F112" i="7"/>
  <c r="E112" i="7"/>
  <c r="O111" i="7"/>
  <c r="L111" i="7"/>
  <c r="I111" i="7"/>
  <c r="Q111" i="7" s="1"/>
  <c r="H111" i="7"/>
  <c r="N111" i="7" s="1"/>
  <c r="G111" i="7"/>
  <c r="P111" i="7" s="1"/>
  <c r="F111" i="7"/>
  <c r="E111" i="7"/>
  <c r="O110" i="7"/>
  <c r="L110" i="7"/>
  <c r="I110" i="7"/>
  <c r="Q110" i="7" s="1"/>
  <c r="H110" i="7"/>
  <c r="N110" i="7" s="1"/>
  <c r="G110" i="7"/>
  <c r="P110" i="7" s="1"/>
  <c r="F110" i="7"/>
  <c r="E110" i="7"/>
  <c r="O109" i="7"/>
  <c r="L109" i="7"/>
  <c r="I109" i="7"/>
  <c r="Q109" i="7" s="1"/>
  <c r="H109" i="7"/>
  <c r="G109" i="7"/>
  <c r="P109" i="7" s="1"/>
  <c r="F109" i="7"/>
  <c r="E109" i="7"/>
  <c r="O108" i="7"/>
  <c r="L108" i="7"/>
  <c r="I108" i="7"/>
  <c r="Q108" i="7" s="1"/>
  <c r="H108" i="7"/>
  <c r="G108" i="7"/>
  <c r="P108" i="7" s="1"/>
  <c r="F108" i="7"/>
  <c r="E108" i="7"/>
  <c r="O107" i="7"/>
  <c r="L107" i="7"/>
  <c r="I107" i="7"/>
  <c r="Q107" i="7" s="1"/>
  <c r="H107" i="7"/>
  <c r="G107" i="7"/>
  <c r="P107" i="7" s="1"/>
  <c r="F107" i="7"/>
  <c r="E107" i="7"/>
  <c r="O106" i="7"/>
  <c r="L106" i="7"/>
  <c r="I106" i="7"/>
  <c r="Q106" i="7" s="1"/>
  <c r="H106" i="7"/>
  <c r="G106" i="7"/>
  <c r="P106" i="7" s="1"/>
  <c r="F106" i="7"/>
  <c r="E106" i="7"/>
  <c r="O105" i="7"/>
  <c r="L105" i="7"/>
  <c r="I105" i="7"/>
  <c r="Q105" i="7" s="1"/>
  <c r="H105" i="7"/>
  <c r="G105" i="7"/>
  <c r="P105" i="7" s="1"/>
  <c r="F105" i="7"/>
  <c r="E105" i="7"/>
  <c r="O104" i="7"/>
  <c r="L104" i="7"/>
  <c r="L11" i="7" s="1"/>
  <c r="I104" i="7"/>
  <c r="Q104" i="7" s="1"/>
  <c r="H104" i="7"/>
  <c r="H11" i="7" s="1"/>
  <c r="G104" i="7"/>
  <c r="P104" i="7" s="1"/>
  <c r="F104" i="7"/>
  <c r="F11" i="7" s="1"/>
  <c r="E104" i="7"/>
  <c r="E11" i="7" s="1"/>
  <c r="O103" i="7"/>
  <c r="L103" i="7"/>
  <c r="I103" i="7"/>
  <c r="Q103" i="7" s="1"/>
  <c r="H103" i="7"/>
  <c r="N103" i="7" s="1"/>
  <c r="G103" i="7"/>
  <c r="P103" i="7" s="1"/>
  <c r="F103" i="7"/>
  <c r="E103" i="7"/>
  <c r="O102" i="7"/>
  <c r="L102" i="7"/>
  <c r="I102" i="7"/>
  <c r="Q102" i="7" s="1"/>
  <c r="H102" i="7"/>
  <c r="G102" i="7"/>
  <c r="P102" i="7" s="1"/>
  <c r="F102" i="7"/>
  <c r="E102" i="7"/>
  <c r="O101" i="7"/>
  <c r="L101" i="7"/>
  <c r="I101" i="7"/>
  <c r="Q101" i="7" s="1"/>
  <c r="H101" i="7"/>
  <c r="N101" i="7" s="1"/>
  <c r="G101" i="7"/>
  <c r="P101" i="7" s="1"/>
  <c r="F101" i="7"/>
  <c r="E101" i="7"/>
  <c r="O100" i="7"/>
  <c r="L100" i="7"/>
  <c r="I100" i="7"/>
  <c r="Q100" i="7" s="1"/>
  <c r="H100" i="7"/>
  <c r="N100" i="7" s="1"/>
  <c r="G100" i="7"/>
  <c r="P100" i="7" s="1"/>
  <c r="F100" i="7"/>
  <c r="E100" i="7"/>
  <c r="O99" i="7"/>
  <c r="L99" i="7"/>
  <c r="I99" i="7"/>
  <c r="Q99" i="7" s="1"/>
  <c r="H99" i="7"/>
  <c r="N99" i="7" s="1"/>
  <c r="G99" i="7"/>
  <c r="P99" i="7" s="1"/>
  <c r="F99" i="7"/>
  <c r="E99" i="7"/>
  <c r="O98" i="7"/>
  <c r="L98" i="7"/>
  <c r="I98" i="7"/>
  <c r="Q98" i="7" s="1"/>
  <c r="H98" i="7"/>
  <c r="N98" i="7" s="1"/>
  <c r="G98" i="7"/>
  <c r="P98" i="7" s="1"/>
  <c r="F98" i="7"/>
  <c r="E98" i="7"/>
  <c r="O97" i="7"/>
  <c r="L97" i="7"/>
  <c r="I97" i="7"/>
  <c r="Q97" i="7" s="1"/>
  <c r="H97" i="7"/>
  <c r="N97" i="7" s="1"/>
  <c r="G97" i="7"/>
  <c r="P97" i="7" s="1"/>
  <c r="F97" i="7"/>
  <c r="E97" i="7"/>
  <c r="O96" i="7"/>
  <c r="L96" i="7"/>
  <c r="I96" i="7"/>
  <c r="Q96" i="7" s="1"/>
  <c r="H96" i="7"/>
  <c r="N96" i="7" s="1"/>
  <c r="G96" i="7"/>
  <c r="P96" i="7" s="1"/>
  <c r="F96" i="7"/>
  <c r="E96" i="7"/>
  <c r="O95" i="7"/>
  <c r="L95" i="7"/>
  <c r="I95" i="7"/>
  <c r="Q95" i="7" s="1"/>
  <c r="H95" i="7"/>
  <c r="N95" i="7" s="1"/>
  <c r="G95" i="7"/>
  <c r="P95" i="7" s="1"/>
  <c r="F95" i="7"/>
  <c r="E95" i="7"/>
  <c r="O94" i="7"/>
  <c r="L94" i="7"/>
  <c r="I94" i="7"/>
  <c r="Q94" i="7" s="1"/>
  <c r="H94" i="7"/>
  <c r="N94" i="7" s="1"/>
  <c r="G94" i="7"/>
  <c r="P94" i="7" s="1"/>
  <c r="F94" i="7"/>
  <c r="E94" i="7"/>
  <c r="O93" i="7"/>
  <c r="L93" i="7"/>
  <c r="I93" i="7"/>
  <c r="Q93" i="7" s="1"/>
  <c r="H93" i="7"/>
  <c r="N93" i="7" s="1"/>
  <c r="G93" i="7"/>
  <c r="P93" i="7" s="1"/>
  <c r="F93" i="7"/>
  <c r="E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O92" i="7"/>
  <c r="L92" i="7"/>
  <c r="I92" i="7"/>
  <c r="Q92" i="7" s="1"/>
  <c r="H92" i="7"/>
  <c r="G92" i="7"/>
  <c r="P92" i="7" s="1"/>
  <c r="F92" i="7"/>
  <c r="E92" i="7"/>
  <c r="O91" i="7"/>
  <c r="L91" i="7"/>
  <c r="I91" i="7"/>
  <c r="Q91" i="7" s="1"/>
  <c r="H91" i="7"/>
  <c r="N91" i="7" s="1"/>
  <c r="G91" i="7"/>
  <c r="P91" i="7" s="1"/>
  <c r="F91" i="7"/>
  <c r="E91" i="7"/>
  <c r="O90" i="7"/>
  <c r="L90" i="7"/>
  <c r="I90" i="7"/>
  <c r="H90" i="7"/>
  <c r="N90" i="7" s="1"/>
  <c r="G90" i="7"/>
  <c r="F90" i="7"/>
  <c r="E90" i="7"/>
  <c r="CO88" i="7"/>
  <c r="CN88" i="7"/>
  <c r="CL88" i="7"/>
  <c r="CK88" i="7"/>
  <c r="CM88" i="7" s="1"/>
  <c r="CI88" i="7"/>
  <c r="CH88" i="7"/>
  <c r="CJ88" i="7" s="1"/>
  <c r="CF88" i="7"/>
  <c r="CE88" i="7"/>
  <c r="CG88" i="7" s="1"/>
  <c r="CC88" i="7"/>
  <c r="CB88" i="7"/>
  <c r="CD88" i="7" s="1"/>
  <c r="BZ88" i="7"/>
  <c r="BY88" i="7"/>
  <c r="CA88" i="7" s="1"/>
  <c r="BW88" i="7"/>
  <c r="BV88" i="7"/>
  <c r="BX88" i="7" s="1"/>
  <c r="BT88" i="7"/>
  <c r="BS88" i="7"/>
  <c r="BQ88" i="7"/>
  <c r="BP88" i="7"/>
  <c r="BN88" i="7"/>
  <c r="BM88" i="7"/>
  <c r="BO88" i="7" s="1"/>
  <c r="BK88" i="7"/>
  <c r="BJ88" i="7"/>
  <c r="BH88" i="7"/>
  <c r="BG88" i="7"/>
  <c r="BE88" i="7"/>
  <c r="BD88" i="7"/>
  <c r="BF88" i="7" s="1"/>
  <c r="BB88" i="7"/>
  <c r="BA88" i="7"/>
  <c r="BC88" i="7" s="1"/>
  <c r="AY88" i="7"/>
  <c r="AX88" i="7"/>
  <c r="AZ88" i="7" s="1"/>
  <c r="AV88" i="7"/>
  <c r="AU88" i="7"/>
  <c r="AW88" i="7" s="1"/>
  <c r="AS88" i="7"/>
  <c r="AR88" i="7"/>
  <c r="AT88" i="7" s="1"/>
  <c r="AQ88" i="7"/>
  <c r="AP88" i="7"/>
  <c r="AN88" i="7"/>
  <c r="AM88" i="7"/>
  <c r="AK88" i="7"/>
  <c r="AJ88" i="7"/>
  <c r="AL88" i="7" s="1"/>
  <c r="AH88" i="7"/>
  <c r="AG88" i="7"/>
  <c r="AE88" i="7"/>
  <c r="AD88" i="7"/>
  <c r="AB88" i="7"/>
  <c r="AA88" i="7"/>
  <c r="Z88" i="7"/>
  <c r="Y88" i="7"/>
  <c r="V88" i="7"/>
  <c r="U88" i="7"/>
  <c r="S88" i="7"/>
  <c r="R88" i="7"/>
  <c r="O88" i="7"/>
  <c r="L88" i="7"/>
  <c r="I88" i="7"/>
  <c r="Q88" i="7" s="1"/>
  <c r="H88" i="7"/>
  <c r="G88" i="7"/>
  <c r="P88" i="7" s="1"/>
  <c r="F88" i="7"/>
  <c r="CO87" i="7"/>
  <c r="CN87" i="7"/>
  <c r="CL87" i="7"/>
  <c r="CK87" i="7"/>
  <c r="CM87" i="7" s="1"/>
  <c r="CI87" i="7"/>
  <c r="CH87" i="7"/>
  <c r="CJ87" i="7" s="1"/>
  <c r="CF87" i="7"/>
  <c r="CE87" i="7"/>
  <c r="CG87" i="7" s="1"/>
  <c r="CC87" i="7"/>
  <c r="CB87" i="7"/>
  <c r="CD87" i="7" s="1"/>
  <c r="BZ87" i="7"/>
  <c r="BY87" i="7"/>
  <c r="CA87" i="7" s="1"/>
  <c r="BW87" i="7"/>
  <c r="BV87" i="7"/>
  <c r="BX87" i="7" s="1"/>
  <c r="BT87" i="7"/>
  <c r="BS87" i="7"/>
  <c r="BQ87" i="7"/>
  <c r="BP87" i="7"/>
  <c r="BN87" i="7"/>
  <c r="BM87" i="7"/>
  <c r="BO87" i="7" s="1"/>
  <c r="BK87" i="7"/>
  <c r="BJ87" i="7"/>
  <c r="BH87" i="7"/>
  <c r="BG87" i="7"/>
  <c r="BE87" i="7"/>
  <c r="BD87" i="7"/>
  <c r="BF87" i="7" s="1"/>
  <c r="BB87" i="7"/>
  <c r="BA87" i="7"/>
  <c r="BC87" i="7" s="1"/>
  <c r="AY87" i="7"/>
  <c r="AX87" i="7"/>
  <c r="AZ87" i="7" s="1"/>
  <c r="AV87" i="7"/>
  <c r="AU87" i="7"/>
  <c r="AW87" i="7" s="1"/>
  <c r="AS87" i="7"/>
  <c r="AR87" i="7"/>
  <c r="AT87" i="7" s="1"/>
  <c r="AQ87" i="7"/>
  <c r="AP87" i="7"/>
  <c r="AN87" i="7"/>
  <c r="AM87" i="7"/>
  <c r="AK87" i="7"/>
  <c r="AJ87" i="7"/>
  <c r="AL87" i="7" s="1"/>
  <c r="AH87" i="7"/>
  <c r="AG87" i="7"/>
  <c r="AE87" i="7"/>
  <c r="AD87" i="7"/>
  <c r="AB87" i="7"/>
  <c r="AA87" i="7"/>
  <c r="Z87" i="7"/>
  <c r="Y87" i="7"/>
  <c r="V87" i="7"/>
  <c r="U87" i="7"/>
  <c r="S87" i="7"/>
  <c r="R87" i="7"/>
  <c r="O87" i="7"/>
  <c r="L87" i="7"/>
  <c r="I87" i="7"/>
  <c r="Q87" i="7" s="1"/>
  <c r="H87" i="7"/>
  <c r="G87" i="7"/>
  <c r="P87" i="7" s="1"/>
  <c r="F87" i="7"/>
  <c r="CO86" i="7"/>
  <c r="CN86" i="7"/>
  <c r="CL86" i="7"/>
  <c r="CK86" i="7"/>
  <c r="CM86" i="7" s="1"/>
  <c r="CI86" i="7"/>
  <c r="CH86" i="7"/>
  <c r="CJ86" i="7" s="1"/>
  <c r="CF86" i="7"/>
  <c r="CE86" i="7"/>
  <c r="CG86" i="7" s="1"/>
  <c r="CC86" i="7"/>
  <c r="CB86" i="7"/>
  <c r="CD86" i="7" s="1"/>
  <c r="BZ86" i="7"/>
  <c r="BY86" i="7"/>
  <c r="CA86" i="7" s="1"/>
  <c r="BW86" i="7"/>
  <c r="BV86" i="7"/>
  <c r="BX86" i="7" s="1"/>
  <c r="BT86" i="7"/>
  <c r="BS86" i="7"/>
  <c r="BQ86" i="7"/>
  <c r="BP86" i="7"/>
  <c r="BN86" i="7"/>
  <c r="BM86" i="7"/>
  <c r="BO86" i="7" s="1"/>
  <c r="BK86" i="7"/>
  <c r="BJ86" i="7"/>
  <c r="BH86" i="7"/>
  <c r="BG86" i="7"/>
  <c r="BE86" i="7"/>
  <c r="BD86" i="7"/>
  <c r="BB86" i="7"/>
  <c r="BA86" i="7"/>
  <c r="AY86" i="7"/>
  <c r="AX86" i="7"/>
  <c r="AV86" i="7"/>
  <c r="AU86" i="7"/>
  <c r="AS86" i="7"/>
  <c r="AR86" i="7"/>
  <c r="AQ86" i="7"/>
  <c r="AP86" i="7"/>
  <c r="AN86" i="7"/>
  <c r="AM86" i="7"/>
  <c r="AK86" i="7"/>
  <c r="AJ86" i="7"/>
  <c r="AL86" i="7" s="1"/>
  <c r="AH86" i="7"/>
  <c r="AG86" i="7"/>
  <c r="AE86" i="7"/>
  <c r="AD86" i="7"/>
  <c r="AB86" i="7"/>
  <c r="AA86" i="7"/>
  <c r="Z86" i="7"/>
  <c r="Y86" i="7"/>
  <c r="V86" i="7"/>
  <c r="U86" i="7"/>
  <c r="S86" i="7"/>
  <c r="R86" i="7"/>
  <c r="O86" i="7"/>
  <c r="L86" i="7"/>
  <c r="I86" i="7"/>
  <c r="Q86" i="7" s="1"/>
  <c r="H86" i="7"/>
  <c r="G86" i="7"/>
  <c r="P86" i="7" s="1"/>
  <c r="F86" i="7"/>
  <c r="CO85" i="7"/>
  <c r="CN85" i="7"/>
  <c r="CL85" i="7"/>
  <c r="CK85" i="7"/>
  <c r="CM85" i="7" s="1"/>
  <c r="CI85" i="7"/>
  <c r="CH85" i="7"/>
  <c r="CJ85" i="7" s="1"/>
  <c r="CF85" i="7"/>
  <c r="CE85" i="7"/>
  <c r="CG85" i="7" s="1"/>
  <c r="CC85" i="7"/>
  <c r="CB85" i="7"/>
  <c r="CD85" i="7" s="1"/>
  <c r="BZ85" i="7"/>
  <c r="BY85" i="7"/>
  <c r="CA85" i="7" s="1"/>
  <c r="BW85" i="7"/>
  <c r="BV85" i="7"/>
  <c r="BX85" i="7" s="1"/>
  <c r="BT85" i="7"/>
  <c r="BS85" i="7"/>
  <c r="BQ85" i="7"/>
  <c r="BP85" i="7"/>
  <c r="BN85" i="7"/>
  <c r="BM85" i="7"/>
  <c r="BO85" i="7" s="1"/>
  <c r="BK85" i="7"/>
  <c r="BJ85" i="7"/>
  <c r="BH85" i="7"/>
  <c r="BG85" i="7"/>
  <c r="BE85" i="7"/>
  <c r="BD85" i="7"/>
  <c r="BF85" i="7" s="1"/>
  <c r="BB85" i="7"/>
  <c r="BA85" i="7"/>
  <c r="BC85" i="7" s="1"/>
  <c r="AY85" i="7"/>
  <c r="AX85" i="7"/>
  <c r="AZ85" i="7" s="1"/>
  <c r="AV85" i="7"/>
  <c r="AU85" i="7"/>
  <c r="AW85" i="7" s="1"/>
  <c r="AS85" i="7"/>
  <c r="AR85" i="7"/>
  <c r="AT85" i="7" s="1"/>
  <c r="AQ85" i="7"/>
  <c r="AP85" i="7"/>
  <c r="AN85" i="7"/>
  <c r="AM85" i="7"/>
  <c r="AK85" i="7"/>
  <c r="AJ85" i="7"/>
  <c r="AL85" i="7" s="1"/>
  <c r="AH85" i="7"/>
  <c r="AG85" i="7"/>
  <c r="AE85" i="7"/>
  <c r="AD85" i="7"/>
  <c r="AB85" i="7"/>
  <c r="AA85" i="7"/>
  <c r="Z85" i="7"/>
  <c r="Y85" i="7"/>
  <c r="V85" i="7"/>
  <c r="U85" i="7"/>
  <c r="S85" i="7"/>
  <c r="R85" i="7"/>
  <c r="O85" i="7"/>
  <c r="L85" i="7"/>
  <c r="I85" i="7"/>
  <c r="Q85" i="7" s="1"/>
  <c r="H85" i="7"/>
  <c r="G85" i="7"/>
  <c r="P85" i="7" s="1"/>
  <c r="F85" i="7"/>
  <c r="E85" i="7"/>
  <c r="CO84" i="7"/>
  <c r="CN84" i="7"/>
  <c r="CL84" i="7"/>
  <c r="CK84" i="7"/>
  <c r="CM84" i="7" s="1"/>
  <c r="CI84" i="7"/>
  <c r="CH84" i="7"/>
  <c r="CJ84" i="7" s="1"/>
  <c r="CF84" i="7"/>
  <c r="CE84" i="7"/>
  <c r="CG84" i="7" s="1"/>
  <c r="CC84" i="7"/>
  <c r="CB84" i="7"/>
  <c r="CD84" i="7" s="1"/>
  <c r="BZ84" i="7"/>
  <c r="BY84" i="7"/>
  <c r="CA84" i="7" s="1"/>
  <c r="BW84" i="7"/>
  <c r="BV84" i="7"/>
  <c r="BX84" i="7" s="1"/>
  <c r="BT84" i="7"/>
  <c r="BS84" i="7"/>
  <c r="BQ84" i="7"/>
  <c r="BP84" i="7"/>
  <c r="BN84" i="7"/>
  <c r="BM84" i="7"/>
  <c r="BO84" i="7" s="1"/>
  <c r="BK84" i="7"/>
  <c r="BJ84" i="7"/>
  <c r="BH84" i="7"/>
  <c r="BG84" i="7"/>
  <c r="BE84" i="7"/>
  <c r="BD84" i="7"/>
  <c r="BF84" i="7" s="1"/>
  <c r="BB84" i="7"/>
  <c r="BA84" i="7"/>
  <c r="BC84" i="7" s="1"/>
  <c r="AY84" i="7"/>
  <c r="AX84" i="7"/>
  <c r="AZ84" i="7" s="1"/>
  <c r="AV84" i="7"/>
  <c r="AU84" i="7"/>
  <c r="AW84" i="7" s="1"/>
  <c r="AS84" i="7"/>
  <c r="AR84" i="7"/>
  <c r="AT84" i="7" s="1"/>
  <c r="AQ84" i="7"/>
  <c r="AP84" i="7"/>
  <c r="AN84" i="7"/>
  <c r="AM84" i="7"/>
  <c r="AK84" i="7"/>
  <c r="AJ84" i="7"/>
  <c r="AL84" i="7" s="1"/>
  <c r="AH84" i="7"/>
  <c r="AG84" i="7"/>
  <c r="AE84" i="7"/>
  <c r="AD84" i="7"/>
  <c r="AB84" i="7"/>
  <c r="AA84" i="7"/>
  <c r="Z84" i="7"/>
  <c r="Y84" i="7"/>
  <c r="V84" i="7"/>
  <c r="U84" i="7"/>
  <c r="S84" i="7"/>
  <c r="R84" i="7"/>
  <c r="O84" i="7"/>
  <c r="L84" i="7"/>
  <c r="I84" i="7"/>
  <c r="Q84" i="7" s="1"/>
  <c r="H84" i="7"/>
  <c r="G84" i="7"/>
  <c r="P84" i="7" s="1"/>
  <c r="F84" i="7"/>
  <c r="CO83" i="7"/>
  <c r="CN83" i="7"/>
  <c r="CL83" i="7"/>
  <c r="CK83" i="7"/>
  <c r="CM83" i="7" s="1"/>
  <c r="CI83" i="7"/>
  <c r="CH83" i="7"/>
  <c r="CJ83" i="7" s="1"/>
  <c r="CF83" i="7"/>
  <c r="CE83" i="7"/>
  <c r="CG83" i="7" s="1"/>
  <c r="CC83" i="7"/>
  <c r="CB83" i="7"/>
  <c r="CD83" i="7" s="1"/>
  <c r="BZ83" i="7"/>
  <c r="BY83" i="7"/>
  <c r="CA83" i="7" s="1"/>
  <c r="BW83" i="7"/>
  <c r="BV83" i="7"/>
  <c r="BX83" i="7" s="1"/>
  <c r="BT83" i="7"/>
  <c r="BS83" i="7"/>
  <c r="BU83" i="7" s="1"/>
  <c r="BQ83" i="7"/>
  <c r="BP83" i="7"/>
  <c r="BR83" i="7" s="1"/>
  <c r="BN83" i="7"/>
  <c r="BM83" i="7"/>
  <c r="BO83" i="7" s="1"/>
  <c r="BK83" i="7"/>
  <c r="BJ83" i="7"/>
  <c r="BL83" i="7" s="1"/>
  <c r="BH83" i="7"/>
  <c r="BG83" i="7"/>
  <c r="BI83" i="7" s="1"/>
  <c r="BE83" i="7"/>
  <c r="BD83" i="7"/>
  <c r="BF83" i="7" s="1"/>
  <c r="BB83" i="7"/>
  <c r="BA83" i="7"/>
  <c r="BC83" i="7" s="1"/>
  <c r="AY83" i="7"/>
  <c r="AX83" i="7"/>
  <c r="AZ83" i="7" s="1"/>
  <c r="AV83" i="7"/>
  <c r="AU83" i="7"/>
  <c r="AW83" i="7" s="1"/>
  <c r="AS83" i="7"/>
  <c r="AR83" i="7"/>
  <c r="AT83" i="7" s="1"/>
  <c r="AQ83" i="7"/>
  <c r="AP83" i="7"/>
  <c r="AN83" i="7"/>
  <c r="AM83" i="7"/>
  <c r="AO83" i="7" s="1"/>
  <c r="AK83" i="7"/>
  <c r="AJ83" i="7"/>
  <c r="AL83" i="7" s="1"/>
  <c r="AH83" i="7"/>
  <c r="AG83" i="7"/>
  <c r="AI83" i="7" s="1"/>
  <c r="AE83" i="7"/>
  <c r="AD83" i="7"/>
  <c r="AF83" i="7" s="1"/>
  <c r="AB83" i="7"/>
  <c r="AA83" i="7"/>
  <c r="AC83" i="7" s="1"/>
  <c r="Z83" i="7"/>
  <c r="Y83" i="7"/>
  <c r="V83" i="7"/>
  <c r="U83" i="7"/>
  <c r="S83" i="7"/>
  <c r="R83" i="7"/>
  <c r="O83" i="7"/>
  <c r="L83" i="7"/>
  <c r="I83" i="7"/>
  <c r="Q83" i="7" s="1"/>
  <c r="H83" i="7"/>
  <c r="G83" i="7"/>
  <c r="P83" i="7" s="1"/>
  <c r="F83" i="7"/>
  <c r="CO82" i="7"/>
  <c r="CN82" i="7"/>
  <c r="CL82" i="7"/>
  <c r="CK82" i="7"/>
  <c r="CM82" i="7" s="1"/>
  <c r="CI82" i="7"/>
  <c r="CH82" i="7"/>
  <c r="CJ82" i="7" s="1"/>
  <c r="CF82" i="7"/>
  <c r="CE82" i="7"/>
  <c r="CG82" i="7" s="1"/>
  <c r="CC82" i="7"/>
  <c r="CB82" i="7"/>
  <c r="CD82" i="7" s="1"/>
  <c r="BZ82" i="7"/>
  <c r="BY82" i="7"/>
  <c r="CA82" i="7" s="1"/>
  <c r="BW82" i="7"/>
  <c r="BV82" i="7"/>
  <c r="BX82" i="7" s="1"/>
  <c r="BT82" i="7"/>
  <c r="BS82" i="7"/>
  <c r="BQ82" i="7"/>
  <c r="BP82" i="7"/>
  <c r="BN82" i="7"/>
  <c r="BM82" i="7"/>
  <c r="BO82" i="7" s="1"/>
  <c r="BK82" i="7"/>
  <c r="BJ82" i="7"/>
  <c r="BH82" i="7"/>
  <c r="BG82" i="7"/>
  <c r="BE82" i="7"/>
  <c r="BD82" i="7"/>
  <c r="BF82" i="7" s="1"/>
  <c r="BB82" i="7"/>
  <c r="BA82" i="7"/>
  <c r="BC82" i="7" s="1"/>
  <c r="AY82" i="7"/>
  <c r="AX82" i="7"/>
  <c r="AZ82" i="7" s="1"/>
  <c r="AV82" i="7"/>
  <c r="AU82" i="7"/>
  <c r="AW82" i="7" s="1"/>
  <c r="AS82" i="7"/>
  <c r="AR82" i="7"/>
  <c r="AT82" i="7" s="1"/>
  <c r="AQ82" i="7"/>
  <c r="AP82" i="7"/>
  <c r="AN82" i="7"/>
  <c r="AM82" i="7"/>
  <c r="AK82" i="7"/>
  <c r="AJ82" i="7"/>
  <c r="AL82" i="7" s="1"/>
  <c r="AH82" i="7"/>
  <c r="AG82" i="7"/>
  <c r="AE82" i="7"/>
  <c r="AD82" i="7"/>
  <c r="AB82" i="7"/>
  <c r="AA82" i="7"/>
  <c r="Z82" i="7"/>
  <c r="Y82" i="7"/>
  <c r="V82" i="7"/>
  <c r="U82" i="7"/>
  <c r="S82" i="7"/>
  <c r="R82" i="7"/>
  <c r="O82" i="7"/>
  <c r="L82" i="7"/>
  <c r="I82" i="7"/>
  <c r="Q82" i="7" s="1"/>
  <c r="H82" i="7"/>
  <c r="G82" i="7"/>
  <c r="P82" i="7" s="1"/>
  <c r="F82" i="7"/>
  <c r="CO81" i="7"/>
  <c r="CN81" i="7"/>
  <c r="CL81" i="7"/>
  <c r="CK81" i="7"/>
  <c r="CM81" i="7" s="1"/>
  <c r="CI81" i="7"/>
  <c r="CH81" i="7"/>
  <c r="CJ81" i="7" s="1"/>
  <c r="CF81" i="7"/>
  <c r="CE81" i="7"/>
  <c r="CG81" i="7" s="1"/>
  <c r="CC81" i="7"/>
  <c r="CB81" i="7"/>
  <c r="CD81" i="7" s="1"/>
  <c r="BZ81" i="7"/>
  <c r="BY81" i="7"/>
  <c r="CA81" i="7" s="1"/>
  <c r="BW81" i="7"/>
  <c r="BV81" i="7"/>
  <c r="BX81" i="7" s="1"/>
  <c r="BT81" i="7"/>
  <c r="BS81" i="7"/>
  <c r="BQ81" i="7"/>
  <c r="BP81" i="7"/>
  <c r="BN81" i="7"/>
  <c r="BM81" i="7"/>
  <c r="BO81" i="7" s="1"/>
  <c r="BK81" i="7"/>
  <c r="BJ81" i="7"/>
  <c r="BH81" i="7"/>
  <c r="BG81" i="7"/>
  <c r="BE81" i="7"/>
  <c r="BD81" i="7"/>
  <c r="BF81" i="7" s="1"/>
  <c r="BB81" i="7"/>
  <c r="BA81" i="7"/>
  <c r="BC81" i="7" s="1"/>
  <c r="AY81" i="7"/>
  <c r="AX81" i="7"/>
  <c r="AZ81" i="7" s="1"/>
  <c r="AV81" i="7"/>
  <c r="AU81" i="7"/>
  <c r="AW81" i="7" s="1"/>
  <c r="AS81" i="7"/>
  <c r="AR81" i="7"/>
  <c r="AT81" i="7" s="1"/>
  <c r="AQ81" i="7"/>
  <c r="AP81" i="7"/>
  <c r="AN81" i="7"/>
  <c r="AM81" i="7"/>
  <c r="AK81" i="7"/>
  <c r="AJ81" i="7"/>
  <c r="AH81" i="7"/>
  <c r="AG81" i="7"/>
  <c r="AE81" i="7"/>
  <c r="AD81" i="7"/>
  <c r="AB81" i="7"/>
  <c r="AA81" i="7"/>
  <c r="Z81" i="7"/>
  <c r="Y81" i="7"/>
  <c r="V81" i="7"/>
  <c r="U81" i="7"/>
  <c r="S81" i="7"/>
  <c r="R81" i="7"/>
  <c r="O81" i="7"/>
  <c r="L81" i="7"/>
  <c r="I81" i="7"/>
  <c r="Q81" i="7" s="1"/>
  <c r="H81" i="7"/>
  <c r="G81" i="7"/>
  <c r="P81" i="7" s="1"/>
  <c r="F81" i="7"/>
  <c r="CO80" i="7"/>
  <c r="CN80" i="7"/>
  <c r="CL80" i="7"/>
  <c r="CK80" i="7"/>
  <c r="CM80" i="7" s="1"/>
  <c r="CI80" i="7"/>
  <c r="CH80" i="7"/>
  <c r="CJ80" i="7" s="1"/>
  <c r="CF80" i="7"/>
  <c r="CE80" i="7"/>
  <c r="CG80" i="7" s="1"/>
  <c r="CC80" i="7"/>
  <c r="CB80" i="7"/>
  <c r="CD80" i="7" s="1"/>
  <c r="BZ80" i="7"/>
  <c r="BY80" i="7"/>
  <c r="CA80" i="7" s="1"/>
  <c r="BW80" i="7"/>
  <c r="BV80" i="7"/>
  <c r="BT80" i="7"/>
  <c r="BS80" i="7"/>
  <c r="BQ80" i="7"/>
  <c r="BP80" i="7"/>
  <c r="BN80" i="7"/>
  <c r="BM80" i="7"/>
  <c r="BK80" i="7"/>
  <c r="BJ80" i="7"/>
  <c r="BH80" i="7"/>
  <c r="BG80" i="7"/>
  <c r="BE80" i="7"/>
  <c r="BD80" i="7"/>
  <c r="BF80" i="7" s="1"/>
  <c r="BB80" i="7"/>
  <c r="BA80" i="7"/>
  <c r="BC80" i="7" s="1"/>
  <c r="AY80" i="7"/>
  <c r="AX80" i="7"/>
  <c r="AZ80" i="7" s="1"/>
  <c r="AV80" i="7"/>
  <c r="AU80" i="7"/>
  <c r="AW80" i="7" s="1"/>
  <c r="AS80" i="7"/>
  <c r="AR80" i="7"/>
  <c r="AT80" i="7" s="1"/>
  <c r="AQ80" i="7"/>
  <c r="AP80" i="7"/>
  <c r="AN80" i="7"/>
  <c r="AM80" i="7"/>
  <c r="AK80" i="7"/>
  <c r="AJ80" i="7"/>
  <c r="AL80" i="7" s="1"/>
  <c r="AH80" i="7"/>
  <c r="AG80" i="7"/>
  <c r="AE80" i="7"/>
  <c r="AD80" i="7"/>
  <c r="AB80" i="7"/>
  <c r="AA80" i="7"/>
  <c r="Z80" i="7"/>
  <c r="Y80" i="7"/>
  <c r="V80" i="7"/>
  <c r="U80" i="7"/>
  <c r="S80" i="7"/>
  <c r="R80" i="7"/>
  <c r="O80" i="7"/>
  <c r="L80" i="7"/>
  <c r="I80" i="7"/>
  <c r="Q80" i="7" s="1"/>
  <c r="H80" i="7"/>
  <c r="G80" i="7"/>
  <c r="P80" i="7" s="1"/>
  <c r="F80" i="7"/>
  <c r="E80" i="7"/>
  <c r="CO79" i="7"/>
  <c r="CN79" i="7"/>
  <c r="CL79" i="7"/>
  <c r="CK79" i="7"/>
  <c r="CM79" i="7" s="1"/>
  <c r="CI79" i="7"/>
  <c r="CH79" i="7"/>
  <c r="CJ79" i="7" s="1"/>
  <c r="CF79" i="7"/>
  <c r="CE79" i="7"/>
  <c r="CG79" i="7" s="1"/>
  <c r="CC79" i="7"/>
  <c r="CB79" i="7"/>
  <c r="CD79" i="7" s="1"/>
  <c r="BZ79" i="7"/>
  <c r="BY79" i="7"/>
  <c r="CA79" i="7" s="1"/>
  <c r="BW79" i="7"/>
  <c r="BV79" i="7"/>
  <c r="BX79" i="7" s="1"/>
  <c r="BT79" i="7"/>
  <c r="BS79" i="7"/>
  <c r="BQ79" i="7"/>
  <c r="BP79" i="7"/>
  <c r="BN79" i="7"/>
  <c r="BM79" i="7"/>
  <c r="BO79" i="7" s="1"/>
  <c r="BK79" i="7"/>
  <c r="BJ79" i="7"/>
  <c r="BH79" i="7"/>
  <c r="BG79" i="7"/>
  <c r="BE79" i="7"/>
  <c r="BD79" i="7"/>
  <c r="BF79" i="7" s="1"/>
  <c r="BB79" i="7"/>
  <c r="BA79" i="7"/>
  <c r="BC79" i="7" s="1"/>
  <c r="AY79" i="7"/>
  <c r="AX79" i="7"/>
  <c r="AZ79" i="7" s="1"/>
  <c r="AV79" i="7"/>
  <c r="AU79" i="7"/>
  <c r="AW79" i="7" s="1"/>
  <c r="AS79" i="7"/>
  <c r="AR79" i="7"/>
  <c r="AT79" i="7" s="1"/>
  <c r="AQ79" i="7"/>
  <c r="AP79" i="7"/>
  <c r="AN79" i="7"/>
  <c r="AM79" i="7"/>
  <c r="AO79" i="7" s="1"/>
  <c r="AK79" i="7"/>
  <c r="AJ79" i="7"/>
  <c r="AL79" i="7" s="1"/>
  <c r="AH79" i="7"/>
  <c r="AG79" i="7"/>
  <c r="AI79" i="7" s="1"/>
  <c r="AE79" i="7"/>
  <c r="AD79" i="7"/>
  <c r="AF79" i="7" s="1"/>
  <c r="AB79" i="7"/>
  <c r="AA79" i="7"/>
  <c r="AC79" i="7" s="1"/>
  <c r="Z79" i="7"/>
  <c r="Y79" i="7"/>
  <c r="V79" i="7"/>
  <c r="U79" i="7"/>
  <c r="S79" i="7"/>
  <c r="R79" i="7"/>
  <c r="O79" i="7"/>
  <c r="L79" i="7"/>
  <c r="I79" i="7"/>
  <c r="Q79" i="7" s="1"/>
  <c r="H79" i="7"/>
  <c r="G79" i="7"/>
  <c r="P79" i="7" s="1"/>
  <c r="F79" i="7"/>
  <c r="E79" i="7"/>
  <c r="CO78" i="7"/>
  <c r="CN78" i="7"/>
  <c r="CL78" i="7"/>
  <c r="CK78" i="7"/>
  <c r="CI78" i="7"/>
  <c r="CH78" i="7"/>
  <c r="CF78" i="7"/>
  <c r="CE78" i="7"/>
  <c r="CG78" i="7" s="1"/>
  <c r="CC78" i="7"/>
  <c r="CB78" i="7"/>
  <c r="BZ78" i="7"/>
  <c r="BY78" i="7"/>
  <c r="BW78" i="7"/>
  <c r="BV78" i="7"/>
  <c r="BX78" i="7" s="1"/>
  <c r="BT78" i="7"/>
  <c r="BS78" i="7"/>
  <c r="BQ78" i="7"/>
  <c r="BP78" i="7"/>
  <c r="BN78" i="7"/>
  <c r="BM78" i="7"/>
  <c r="BO78" i="7" s="1"/>
  <c r="BK78" i="7"/>
  <c r="BJ78" i="7"/>
  <c r="BH78" i="7"/>
  <c r="BG78" i="7"/>
  <c r="BE78" i="7"/>
  <c r="BD78" i="7"/>
  <c r="BB78" i="7"/>
  <c r="BA78" i="7"/>
  <c r="AY78" i="7"/>
  <c r="AX78" i="7"/>
  <c r="AV78" i="7"/>
  <c r="AU78" i="7"/>
  <c r="AS78" i="7"/>
  <c r="AR78" i="7"/>
  <c r="AQ78" i="7"/>
  <c r="AP78" i="7"/>
  <c r="AN78" i="7"/>
  <c r="AM78" i="7"/>
  <c r="AK78" i="7"/>
  <c r="AJ78" i="7"/>
  <c r="AH78" i="7"/>
  <c r="AG78" i="7"/>
  <c r="AE78" i="7"/>
  <c r="AD78" i="7"/>
  <c r="AB78" i="7"/>
  <c r="AA78" i="7"/>
  <c r="Z78" i="7"/>
  <c r="Y78" i="7"/>
  <c r="V78" i="7"/>
  <c r="U78" i="7"/>
  <c r="S78" i="7"/>
  <c r="R78" i="7"/>
  <c r="O78" i="7"/>
  <c r="L78" i="7"/>
  <c r="I78" i="7"/>
  <c r="Q78" i="7" s="1"/>
  <c r="H78" i="7"/>
  <c r="G78" i="7"/>
  <c r="P78" i="7" s="1"/>
  <c r="F78" i="7"/>
  <c r="E78" i="7"/>
  <c r="CO77" i="7"/>
  <c r="CN77" i="7"/>
  <c r="CL77" i="7"/>
  <c r="CK77" i="7"/>
  <c r="CM77" i="7" s="1"/>
  <c r="CI77" i="7"/>
  <c r="CH77" i="7"/>
  <c r="CJ77" i="7" s="1"/>
  <c r="CF77" i="7"/>
  <c r="CE77" i="7"/>
  <c r="CG77" i="7" s="1"/>
  <c r="CC77" i="7"/>
  <c r="CB77" i="7"/>
  <c r="CD77" i="7" s="1"/>
  <c r="BZ77" i="7"/>
  <c r="BY77" i="7"/>
  <c r="CA77" i="7" s="1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F77" i="7" s="1"/>
  <c r="BB77" i="7"/>
  <c r="BA77" i="7"/>
  <c r="BC77" i="7" s="1"/>
  <c r="AY77" i="7"/>
  <c r="AX77" i="7"/>
  <c r="AZ77" i="7" s="1"/>
  <c r="AV77" i="7"/>
  <c r="AU77" i="7"/>
  <c r="AW77" i="7" s="1"/>
  <c r="AS77" i="7"/>
  <c r="AR77" i="7"/>
  <c r="AT77" i="7" s="1"/>
  <c r="AQ77" i="7"/>
  <c r="AP77" i="7"/>
  <c r="AN77" i="7"/>
  <c r="AM77" i="7"/>
  <c r="AK77" i="7"/>
  <c r="AJ77" i="7"/>
  <c r="AL77" i="7" s="1"/>
  <c r="AH77" i="7"/>
  <c r="AG77" i="7"/>
  <c r="AE77" i="7"/>
  <c r="AD77" i="7"/>
  <c r="AB77" i="7"/>
  <c r="AA77" i="7"/>
  <c r="Z77" i="7"/>
  <c r="Y77" i="7"/>
  <c r="V77" i="7"/>
  <c r="U77" i="7"/>
  <c r="S77" i="7"/>
  <c r="R77" i="7"/>
  <c r="O77" i="7"/>
  <c r="L77" i="7"/>
  <c r="I77" i="7"/>
  <c r="Q77" i="7" s="1"/>
  <c r="H77" i="7"/>
  <c r="G77" i="7"/>
  <c r="P77" i="7" s="1"/>
  <c r="F77" i="7"/>
  <c r="E77" i="7"/>
  <c r="CO76" i="7"/>
  <c r="CN76" i="7"/>
  <c r="CL76" i="7"/>
  <c r="CK76" i="7"/>
  <c r="CM76" i="7" s="1"/>
  <c r="CI76" i="7"/>
  <c r="CH76" i="7"/>
  <c r="CJ76" i="7" s="1"/>
  <c r="CF76" i="7"/>
  <c r="CE76" i="7"/>
  <c r="CG76" i="7" s="1"/>
  <c r="CC76" i="7"/>
  <c r="CB76" i="7"/>
  <c r="CD76" i="7" s="1"/>
  <c r="BZ76" i="7"/>
  <c r="BY76" i="7"/>
  <c r="CA76" i="7" s="1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B76" i="7"/>
  <c r="BA76" i="7"/>
  <c r="AY76" i="7"/>
  <c r="AX76" i="7"/>
  <c r="AV76" i="7"/>
  <c r="AU76" i="7"/>
  <c r="AS76" i="7"/>
  <c r="AR76" i="7"/>
  <c r="AQ76" i="7"/>
  <c r="AP76" i="7"/>
  <c r="AN76" i="7"/>
  <c r="AM76" i="7"/>
  <c r="AK76" i="7"/>
  <c r="AJ76" i="7"/>
  <c r="AL76" i="7" s="1"/>
  <c r="AH76" i="7"/>
  <c r="AG76" i="7"/>
  <c r="AE76" i="7"/>
  <c r="AD76" i="7"/>
  <c r="AB76" i="7"/>
  <c r="AA76" i="7"/>
  <c r="Z76" i="7"/>
  <c r="Y76" i="7"/>
  <c r="V76" i="7"/>
  <c r="U76" i="7"/>
  <c r="S76" i="7"/>
  <c r="R76" i="7"/>
  <c r="O76" i="7"/>
  <c r="L76" i="7"/>
  <c r="I76" i="7"/>
  <c r="Q76" i="7" s="1"/>
  <c r="H76" i="7"/>
  <c r="G76" i="7"/>
  <c r="F76" i="7"/>
  <c r="CO75" i="7"/>
  <c r="CN75" i="7"/>
  <c r="CL75" i="7"/>
  <c r="CK75" i="7"/>
  <c r="CI75" i="7"/>
  <c r="CH75" i="7"/>
  <c r="CF75" i="7"/>
  <c r="CE75" i="7"/>
  <c r="CC75" i="7"/>
  <c r="CB75" i="7"/>
  <c r="BZ75" i="7"/>
  <c r="BY75" i="7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B75" i="7"/>
  <c r="BA75" i="7"/>
  <c r="AY75" i="7"/>
  <c r="AX75" i="7"/>
  <c r="AV75" i="7"/>
  <c r="AU75" i="7"/>
  <c r="AS75" i="7"/>
  <c r="AR75" i="7"/>
  <c r="AQ75" i="7"/>
  <c r="AP75" i="7"/>
  <c r="AN75" i="7"/>
  <c r="AM75" i="7"/>
  <c r="AK75" i="7"/>
  <c r="AJ75" i="7"/>
  <c r="AH75" i="7"/>
  <c r="AG75" i="7"/>
  <c r="AE75" i="7"/>
  <c r="AD75" i="7"/>
  <c r="AB75" i="7"/>
  <c r="AA75" i="7"/>
  <c r="Z75" i="7"/>
  <c r="Y75" i="7"/>
  <c r="V75" i="7"/>
  <c r="U75" i="7"/>
  <c r="S75" i="7"/>
  <c r="R75" i="7"/>
  <c r="O75" i="7"/>
  <c r="L75" i="7"/>
  <c r="I75" i="7"/>
  <c r="Q75" i="7" s="1"/>
  <c r="H75" i="7"/>
  <c r="G75" i="7"/>
  <c r="P75" i="7" s="1"/>
  <c r="F75" i="7"/>
  <c r="CO73" i="7"/>
  <c r="CN73" i="7"/>
  <c r="CL73" i="7"/>
  <c r="CK73" i="7"/>
  <c r="CM73" i="7" s="1"/>
  <c r="CI73" i="7"/>
  <c r="CH73" i="7"/>
  <c r="CJ73" i="7" s="1"/>
  <c r="CF73" i="7"/>
  <c r="CE73" i="7"/>
  <c r="CG73" i="7" s="1"/>
  <c r="CC73" i="7"/>
  <c r="CB73" i="7"/>
  <c r="CD73" i="7" s="1"/>
  <c r="BZ73" i="7"/>
  <c r="BY73" i="7"/>
  <c r="CA73" i="7" s="1"/>
  <c r="BW73" i="7"/>
  <c r="BV73" i="7"/>
  <c r="BX73" i="7" s="1"/>
  <c r="BT73" i="7"/>
  <c r="BS73" i="7"/>
  <c r="BQ73" i="7"/>
  <c r="BP73" i="7"/>
  <c r="BN73" i="7"/>
  <c r="BM73" i="7"/>
  <c r="BO73" i="7" s="1"/>
  <c r="BK73" i="7"/>
  <c r="BJ73" i="7"/>
  <c r="BH73" i="7"/>
  <c r="BG73" i="7"/>
  <c r="BE73" i="7"/>
  <c r="BD73" i="7"/>
  <c r="BF73" i="7" s="1"/>
  <c r="BB73" i="7"/>
  <c r="BA73" i="7"/>
  <c r="BC73" i="7" s="1"/>
  <c r="AY73" i="7"/>
  <c r="AX73" i="7"/>
  <c r="AZ73" i="7" s="1"/>
  <c r="AV73" i="7"/>
  <c r="AU73" i="7"/>
  <c r="AW73" i="7" s="1"/>
  <c r="AS73" i="7"/>
  <c r="AR73" i="7"/>
  <c r="AT73" i="7" s="1"/>
  <c r="AQ73" i="7"/>
  <c r="AP73" i="7"/>
  <c r="AN73" i="7"/>
  <c r="AM73" i="7"/>
  <c r="AO73" i="7" s="1"/>
  <c r="AK73" i="7"/>
  <c r="AJ73" i="7"/>
  <c r="AL73" i="7" s="1"/>
  <c r="AH73" i="7"/>
  <c r="AG73" i="7"/>
  <c r="AI73" i="7" s="1"/>
  <c r="AE73" i="7"/>
  <c r="AD73" i="7"/>
  <c r="AF73" i="7" s="1"/>
  <c r="AB73" i="7"/>
  <c r="AA73" i="7"/>
  <c r="AC73" i="7" s="1"/>
  <c r="Z73" i="7"/>
  <c r="Y73" i="7"/>
  <c r="V73" i="7"/>
  <c r="U73" i="7"/>
  <c r="S73" i="7"/>
  <c r="R73" i="7"/>
  <c r="O73" i="7"/>
  <c r="L73" i="7"/>
  <c r="I73" i="7"/>
  <c r="Q73" i="7" s="1"/>
  <c r="H73" i="7"/>
  <c r="G73" i="7"/>
  <c r="P73" i="7" s="1"/>
  <c r="F73" i="7"/>
  <c r="CO72" i="7"/>
  <c r="CN72" i="7"/>
  <c r="CL72" i="7"/>
  <c r="CK72" i="7"/>
  <c r="CM72" i="7" s="1"/>
  <c r="CI72" i="7"/>
  <c r="CH72" i="7"/>
  <c r="CJ72" i="7" s="1"/>
  <c r="CF72" i="7"/>
  <c r="CE72" i="7"/>
  <c r="CG72" i="7" s="1"/>
  <c r="CC72" i="7"/>
  <c r="CB72" i="7"/>
  <c r="CD72" i="7" s="1"/>
  <c r="BZ72" i="7"/>
  <c r="BY72" i="7"/>
  <c r="CA72" i="7" s="1"/>
  <c r="BW72" i="7"/>
  <c r="BV72" i="7"/>
  <c r="BX72" i="7" s="1"/>
  <c r="BT72" i="7"/>
  <c r="BS72" i="7"/>
  <c r="BQ72" i="7"/>
  <c r="BP72" i="7"/>
  <c r="BN72" i="7"/>
  <c r="BM72" i="7"/>
  <c r="BO72" i="7" s="1"/>
  <c r="BK72" i="7"/>
  <c r="BJ72" i="7"/>
  <c r="BH72" i="7"/>
  <c r="BG72" i="7"/>
  <c r="BE72" i="7"/>
  <c r="BD72" i="7"/>
  <c r="BF72" i="7" s="1"/>
  <c r="BB72" i="7"/>
  <c r="BA72" i="7"/>
  <c r="BC72" i="7" s="1"/>
  <c r="AY72" i="7"/>
  <c r="AX72" i="7"/>
  <c r="AZ72" i="7" s="1"/>
  <c r="AV72" i="7"/>
  <c r="AU72" i="7"/>
  <c r="AW72" i="7" s="1"/>
  <c r="AS72" i="7"/>
  <c r="AR72" i="7"/>
  <c r="AT72" i="7" s="1"/>
  <c r="AQ72" i="7"/>
  <c r="AP72" i="7"/>
  <c r="AN72" i="7"/>
  <c r="AM72" i="7"/>
  <c r="AK72" i="7"/>
  <c r="AJ72" i="7"/>
  <c r="AL72" i="7" s="1"/>
  <c r="AH72" i="7"/>
  <c r="AG72" i="7"/>
  <c r="AE72" i="7"/>
  <c r="AD72" i="7"/>
  <c r="AB72" i="7"/>
  <c r="AA72" i="7"/>
  <c r="Z72" i="7"/>
  <c r="Y72" i="7"/>
  <c r="V72" i="7"/>
  <c r="U72" i="7"/>
  <c r="S72" i="7"/>
  <c r="R72" i="7"/>
  <c r="O72" i="7"/>
  <c r="L72" i="7"/>
  <c r="I72" i="7"/>
  <c r="Q72" i="7" s="1"/>
  <c r="H72" i="7"/>
  <c r="G72" i="7"/>
  <c r="P72" i="7" s="1"/>
  <c r="F72" i="7"/>
  <c r="CO71" i="7"/>
  <c r="CN71" i="7"/>
  <c r="CL71" i="7"/>
  <c r="CK71" i="7"/>
  <c r="CM71" i="7" s="1"/>
  <c r="CI71" i="7"/>
  <c r="CH71" i="7"/>
  <c r="CJ71" i="7" s="1"/>
  <c r="CF71" i="7"/>
  <c r="CE71" i="7"/>
  <c r="CG71" i="7" s="1"/>
  <c r="CC71" i="7"/>
  <c r="CB71" i="7"/>
  <c r="CD71" i="7" s="1"/>
  <c r="BZ71" i="7"/>
  <c r="BY71" i="7"/>
  <c r="CA71" i="7" s="1"/>
  <c r="BW71" i="7"/>
  <c r="BV71" i="7"/>
  <c r="BX71" i="7" s="1"/>
  <c r="BT71" i="7"/>
  <c r="BS71" i="7"/>
  <c r="BQ71" i="7"/>
  <c r="BP71" i="7"/>
  <c r="BN71" i="7"/>
  <c r="BM71" i="7"/>
  <c r="BO71" i="7" s="1"/>
  <c r="BK71" i="7"/>
  <c r="BJ71" i="7"/>
  <c r="BH71" i="7"/>
  <c r="BG71" i="7"/>
  <c r="BE71" i="7"/>
  <c r="BD71" i="7"/>
  <c r="BF71" i="7" s="1"/>
  <c r="BB71" i="7"/>
  <c r="BA71" i="7"/>
  <c r="BC71" i="7" s="1"/>
  <c r="AY71" i="7"/>
  <c r="AX71" i="7"/>
  <c r="AZ71" i="7" s="1"/>
  <c r="AV71" i="7"/>
  <c r="AU71" i="7"/>
  <c r="AW71" i="7" s="1"/>
  <c r="AS71" i="7"/>
  <c r="AR71" i="7"/>
  <c r="AT71" i="7" s="1"/>
  <c r="AQ71" i="7"/>
  <c r="AP71" i="7"/>
  <c r="AN71" i="7"/>
  <c r="AM71" i="7"/>
  <c r="AO71" i="7" s="1"/>
  <c r="AK71" i="7"/>
  <c r="AJ71" i="7"/>
  <c r="AL71" i="7" s="1"/>
  <c r="AH71" i="7"/>
  <c r="AG71" i="7"/>
  <c r="AI71" i="7" s="1"/>
  <c r="AE71" i="7"/>
  <c r="AD71" i="7"/>
  <c r="AF71" i="7" s="1"/>
  <c r="AB71" i="7"/>
  <c r="AA71" i="7"/>
  <c r="AC71" i="7" s="1"/>
  <c r="Z71" i="7"/>
  <c r="Y71" i="7"/>
  <c r="V71" i="7"/>
  <c r="U71" i="7"/>
  <c r="S71" i="7"/>
  <c r="R71" i="7"/>
  <c r="O71" i="7"/>
  <c r="L71" i="7"/>
  <c r="I71" i="7"/>
  <c r="Q71" i="7" s="1"/>
  <c r="H71" i="7"/>
  <c r="G71" i="7"/>
  <c r="P71" i="7" s="1"/>
  <c r="F71" i="7"/>
  <c r="CO70" i="7"/>
  <c r="CN70" i="7"/>
  <c r="CL70" i="7"/>
  <c r="CK70" i="7"/>
  <c r="CM70" i="7" s="1"/>
  <c r="CI70" i="7"/>
  <c r="CH70" i="7"/>
  <c r="CJ70" i="7" s="1"/>
  <c r="CF70" i="7"/>
  <c r="CE70" i="7"/>
  <c r="CG70" i="7" s="1"/>
  <c r="CC70" i="7"/>
  <c r="CB70" i="7"/>
  <c r="CD70" i="7" s="1"/>
  <c r="BZ70" i="7"/>
  <c r="BY70" i="7"/>
  <c r="CA70" i="7" s="1"/>
  <c r="BW70" i="7"/>
  <c r="BV70" i="7"/>
  <c r="BT70" i="7"/>
  <c r="BS70" i="7"/>
  <c r="BQ70" i="7"/>
  <c r="BP70" i="7"/>
  <c r="BN70" i="7"/>
  <c r="BM70" i="7"/>
  <c r="BK70" i="7"/>
  <c r="BJ70" i="7"/>
  <c r="BH70" i="7"/>
  <c r="BG70" i="7"/>
  <c r="BE70" i="7"/>
  <c r="BD70" i="7"/>
  <c r="BF70" i="7" s="1"/>
  <c r="BB70" i="7"/>
  <c r="BA70" i="7"/>
  <c r="BC70" i="7" s="1"/>
  <c r="AY70" i="7"/>
  <c r="AX70" i="7"/>
  <c r="AZ70" i="7" s="1"/>
  <c r="AV70" i="7"/>
  <c r="AU70" i="7"/>
  <c r="AW70" i="7" s="1"/>
  <c r="AS70" i="7"/>
  <c r="AR70" i="7"/>
  <c r="AT70" i="7" s="1"/>
  <c r="AQ70" i="7"/>
  <c r="AP70" i="7"/>
  <c r="AN70" i="7"/>
  <c r="AM70" i="7"/>
  <c r="AK70" i="7"/>
  <c r="AJ70" i="7"/>
  <c r="AL70" i="7" s="1"/>
  <c r="AH70" i="7"/>
  <c r="AG70" i="7"/>
  <c r="AE70" i="7"/>
  <c r="AD70" i="7"/>
  <c r="AB70" i="7"/>
  <c r="AA70" i="7"/>
  <c r="Z70" i="7"/>
  <c r="Y70" i="7"/>
  <c r="V70" i="7"/>
  <c r="U70" i="7"/>
  <c r="S70" i="7"/>
  <c r="R70" i="7"/>
  <c r="O70" i="7"/>
  <c r="L70" i="7"/>
  <c r="I70" i="7"/>
  <c r="Q70" i="7" s="1"/>
  <c r="H70" i="7"/>
  <c r="G70" i="7"/>
  <c r="P70" i="7" s="1"/>
  <c r="F70" i="7"/>
  <c r="E70" i="7"/>
  <c r="CO69" i="7"/>
  <c r="CN69" i="7"/>
  <c r="CL69" i="7"/>
  <c r="CK69" i="7"/>
  <c r="CI69" i="7"/>
  <c r="CH69" i="7"/>
  <c r="CF69" i="7"/>
  <c r="CE69" i="7"/>
  <c r="CC69" i="7"/>
  <c r="CB69" i="7"/>
  <c r="BZ69" i="7"/>
  <c r="BY69" i="7"/>
  <c r="BW69" i="7"/>
  <c r="BV69" i="7"/>
  <c r="BX69" i="7" s="1"/>
  <c r="BT69" i="7"/>
  <c r="BS69" i="7"/>
  <c r="BQ69" i="7"/>
  <c r="BP69" i="7"/>
  <c r="BN69" i="7"/>
  <c r="BM69" i="7"/>
  <c r="BO69" i="7" s="1"/>
  <c r="BK69" i="7"/>
  <c r="BJ69" i="7"/>
  <c r="BH69" i="7"/>
  <c r="BG69" i="7"/>
  <c r="BE69" i="7"/>
  <c r="BD69" i="7"/>
  <c r="BB69" i="7"/>
  <c r="BA69" i="7"/>
  <c r="AY69" i="7"/>
  <c r="AX69" i="7"/>
  <c r="AV69" i="7"/>
  <c r="AU69" i="7"/>
  <c r="AS69" i="7"/>
  <c r="AR69" i="7"/>
  <c r="AQ69" i="7"/>
  <c r="AP69" i="7"/>
  <c r="AN69" i="7"/>
  <c r="AM69" i="7"/>
  <c r="AK69" i="7"/>
  <c r="AJ69" i="7"/>
  <c r="AL69" i="7" s="1"/>
  <c r="AH69" i="7"/>
  <c r="AG69" i="7"/>
  <c r="AE69" i="7"/>
  <c r="AD69" i="7"/>
  <c r="AB69" i="7"/>
  <c r="AA69" i="7"/>
  <c r="Z69" i="7"/>
  <c r="Y69" i="7"/>
  <c r="V69" i="7"/>
  <c r="U69" i="7"/>
  <c r="S69" i="7"/>
  <c r="R69" i="7"/>
  <c r="O69" i="7"/>
  <c r="L69" i="7"/>
  <c r="I69" i="7"/>
  <c r="Q69" i="7" s="1"/>
  <c r="H69" i="7"/>
  <c r="G69" i="7"/>
  <c r="P69" i="7" s="1"/>
  <c r="F69" i="7"/>
  <c r="CO68" i="7"/>
  <c r="CN68" i="7"/>
  <c r="CL68" i="7"/>
  <c r="CK68" i="7"/>
  <c r="CM68" i="7" s="1"/>
  <c r="CI68" i="7"/>
  <c r="CH68" i="7"/>
  <c r="CJ68" i="7" s="1"/>
  <c r="CF68" i="7"/>
  <c r="CE68" i="7"/>
  <c r="CG68" i="7" s="1"/>
  <c r="CC68" i="7"/>
  <c r="CB68" i="7"/>
  <c r="CD68" i="7" s="1"/>
  <c r="BZ68" i="7"/>
  <c r="BY68" i="7"/>
  <c r="CA68" i="7" s="1"/>
  <c r="BW68" i="7"/>
  <c r="BV68" i="7"/>
  <c r="BX68" i="7" s="1"/>
  <c r="BT68" i="7"/>
  <c r="BS68" i="7"/>
  <c r="BQ68" i="7"/>
  <c r="BP68" i="7"/>
  <c r="BN68" i="7"/>
  <c r="BM68" i="7"/>
  <c r="BO68" i="7" s="1"/>
  <c r="BK68" i="7"/>
  <c r="BJ68" i="7"/>
  <c r="BH68" i="7"/>
  <c r="BG68" i="7"/>
  <c r="BE68" i="7"/>
  <c r="BD68" i="7"/>
  <c r="BF68" i="7" s="1"/>
  <c r="BB68" i="7"/>
  <c r="BA68" i="7"/>
  <c r="BC68" i="7" s="1"/>
  <c r="AY68" i="7"/>
  <c r="AX68" i="7"/>
  <c r="AZ68" i="7" s="1"/>
  <c r="AV68" i="7"/>
  <c r="AU68" i="7"/>
  <c r="AW68" i="7" s="1"/>
  <c r="AS68" i="7"/>
  <c r="AR68" i="7"/>
  <c r="AT68" i="7" s="1"/>
  <c r="AQ68" i="7"/>
  <c r="AP68" i="7"/>
  <c r="AN68" i="7"/>
  <c r="AM68" i="7"/>
  <c r="AK68" i="7"/>
  <c r="AJ68" i="7"/>
  <c r="AL68" i="7" s="1"/>
  <c r="AH68" i="7"/>
  <c r="AG68" i="7"/>
  <c r="AE68" i="7"/>
  <c r="AD68" i="7"/>
  <c r="AB68" i="7"/>
  <c r="AA68" i="7"/>
  <c r="Z68" i="7"/>
  <c r="Y68" i="7"/>
  <c r="V68" i="7"/>
  <c r="U68" i="7"/>
  <c r="S68" i="7"/>
  <c r="R68" i="7"/>
  <c r="O68" i="7"/>
  <c r="L68" i="7"/>
  <c r="I68" i="7"/>
  <c r="Q68" i="7" s="1"/>
  <c r="H68" i="7"/>
  <c r="G68" i="7"/>
  <c r="P68" i="7" s="1"/>
  <c r="F68" i="7"/>
  <c r="CO67" i="7"/>
  <c r="CN67" i="7"/>
  <c r="CL67" i="7"/>
  <c r="CK67" i="7"/>
  <c r="CM67" i="7" s="1"/>
  <c r="CI67" i="7"/>
  <c r="CH67" i="7"/>
  <c r="CJ67" i="7" s="1"/>
  <c r="CF67" i="7"/>
  <c r="CE67" i="7"/>
  <c r="CG67" i="7" s="1"/>
  <c r="CC67" i="7"/>
  <c r="CB67" i="7"/>
  <c r="CD67" i="7" s="1"/>
  <c r="BZ67" i="7"/>
  <c r="BY67" i="7"/>
  <c r="CA67" i="7" s="1"/>
  <c r="BW67" i="7"/>
  <c r="BV67" i="7"/>
  <c r="BX67" i="7" s="1"/>
  <c r="BT67" i="7"/>
  <c r="BS67" i="7"/>
  <c r="BQ67" i="7"/>
  <c r="BP67" i="7"/>
  <c r="BN67" i="7"/>
  <c r="BM67" i="7"/>
  <c r="BO67" i="7" s="1"/>
  <c r="BK67" i="7"/>
  <c r="BJ67" i="7"/>
  <c r="BH67" i="7"/>
  <c r="BG67" i="7"/>
  <c r="BE67" i="7"/>
  <c r="BD67" i="7"/>
  <c r="BF67" i="7" s="1"/>
  <c r="BB67" i="7"/>
  <c r="BA67" i="7"/>
  <c r="BC67" i="7" s="1"/>
  <c r="AY67" i="7"/>
  <c r="AX67" i="7"/>
  <c r="AZ67" i="7" s="1"/>
  <c r="AV67" i="7"/>
  <c r="AU67" i="7"/>
  <c r="AW67" i="7" s="1"/>
  <c r="AS67" i="7"/>
  <c r="AR67" i="7"/>
  <c r="AT67" i="7" s="1"/>
  <c r="AQ67" i="7"/>
  <c r="AP67" i="7"/>
  <c r="AN67" i="7"/>
  <c r="AM67" i="7"/>
  <c r="AK67" i="7"/>
  <c r="AJ67" i="7"/>
  <c r="AL67" i="7" s="1"/>
  <c r="AH67" i="7"/>
  <c r="AG67" i="7"/>
  <c r="AE67" i="7"/>
  <c r="AD67" i="7"/>
  <c r="AB67" i="7"/>
  <c r="AA67" i="7"/>
  <c r="Z67" i="7"/>
  <c r="Y67" i="7"/>
  <c r="V67" i="7"/>
  <c r="U67" i="7"/>
  <c r="S67" i="7"/>
  <c r="R67" i="7"/>
  <c r="O67" i="7"/>
  <c r="L67" i="7"/>
  <c r="I67" i="7"/>
  <c r="Q67" i="7" s="1"/>
  <c r="H67" i="7"/>
  <c r="G67" i="7"/>
  <c r="P67" i="7" s="1"/>
  <c r="F67" i="7"/>
  <c r="CO66" i="7"/>
  <c r="CN66" i="7"/>
  <c r="CL66" i="7"/>
  <c r="CK66" i="7"/>
  <c r="CI66" i="7"/>
  <c r="CH66" i="7"/>
  <c r="CF66" i="7"/>
  <c r="CE66" i="7"/>
  <c r="CC66" i="7"/>
  <c r="CB66" i="7"/>
  <c r="BZ66" i="7"/>
  <c r="BY66" i="7"/>
  <c r="BW66" i="7"/>
  <c r="BV66" i="7"/>
  <c r="BX66" i="7" s="1"/>
  <c r="BT66" i="7"/>
  <c r="BS66" i="7"/>
  <c r="BQ66" i="7"/>
  <c r="BP66" i="7"/>
  <c r="BN66" i="7"/>
  <c r="BM66" i="7"/>
  <c r="BO66" i="7" s="1"/>
  <c r="BK66" i="7"/>
  <c r="BJ66" i="7"/>
  <c r="BH66" i="7"/>
  <c r="BG66" i="7"/>
  <c r="BE66" i="7"/>
  <c r="BD66" i="7"/>
  <c r="BF66" i="7" s="1"/>
  <c r="BB66" i="7"/>
  <c r="BA66" i="7"/>
  <c r="BC66" i="7" s="1"/>
  <c r="AY66" i="7"/>
  <c r="AX66" i="7"/>
  <c r="AZ66" i="7" s="1"/>
  <c r="AV66" i="7"/>
  <c r="AU66" i="7"/>
  <c r="AW66" i="7" s="1"/>
  <c r="AS66" i="7"/>
  <c r="AR66" i="7"/>
  <c r="AT66" i="7" s="1"/>
  <c r="AQ66" i="7"/>
  <c r="AP66" i="7"/>
  <c r="AN66" i="7"/>
  <c r="AM66" i="7"/>
  <c r="AK66" i="7"/>
  <c r="AJ66" i="7"/>
  <c r="AL66" i="7" s="1"/>
  <c r="AH66" i="7"/>
  <c r="AG66" i="7"/>
  <c r="AE66" i="7"/>
  <c r="AD66" i="7"/>
  <c r="AB66" i="7"/>
  <c r="AA66" i="7"/>
  <c r="Z66" i="7"/>
  <c r="Y66" i="7"/>
  <c r="V66" i="7"/>
  <c r="U66" i="7"/>
  <c r="S66" i="7"/>
  <c r="R66" i="7"/>
  <c r="O66" i="7"/>
  <c r="L66" i="7"/>
  <c r="I66" i="7"/>
  <c r="Q66" i="7" s="1"/>
  <c r="H66" i="7"/>
  <c r="G66" i="7"/>
  <c r="P66" i="7" s="1"/>
  <c r="F66" i="7"/>
  <c r="E66" i="7"/>
  <c r="CO65" i="7"/>
  <c r="CN65" i="7"/>
  <c r="CL65" i="7"/>
  <c r="CK65" i="7"/>
  <c r="CM65" i="7" s="1"/>
  <c r="CI65" i="7"/>
  <c r="CH65" i="7"/>
  <c r="CJ65" i="7" s="1"/>
  <c r="CF65" i="7"/>
  <c r="CE65" i="7"/>
  <c r="CG65" i="7" s="1"/>
  <c r="CC65" i="7"/>
  <c r="CB65" i="7"/>
  <c r="CD65" i="7" s="1"/>
  <c r="BZ65" i="7"/>
  <c r="BY65" i="7"/>
  <c r="CA65" i="7" s="1"/>
  <c r="BW65" i="7"/>
  <c r="BV65" i="7"/>
  <c r="BX65" i="7" s="1"/>
  <c r="BT65" i="7"/>
  <c r="BS65" i="7"/>
  <c r="BQ65" i="7"/>
  <c r="BP65" i="7"/>
  <c r="BN65" i="7"/>
  <c r="BM65" i="7"/>
  <c r="BO65" i="7" s="1"/>
  <c r="BK65" i="7"/>
  <c r="BJ65" i="7"/>
  <c r="BH65" i="7"/>
  <c r="BG65" i="7"/>
  <c r="BE65" i="7"/>
  <c r="BD65" i="7"/>
  <c r="BF65" i="7" s="1"/>
  <c r="BB65" i="7"/>
  <c r="BA65" i="7"/>
  <c r="BC65" i="7" s="1"/>
  <c r="AY65" i="7"/>
  <c r="AX65" i="7"/>
  <c r="AZ65" i="7" s="1"/>
  <c r="AV65" i="7"/>
  <c r="AU65" i="7"/>
  <c r="AW65" i="7" s="1"/>
  <c r="AS65" i="7"/>
  <c r="AR65" i="7"/>
  <c r="AT65" i="7" s="1"/>
  <c r="AQ65" i="7"/>
  <c r="AP65" i="7"/>
  <c r="AN65" i="7"/>
  <c r="AM65" i="7"/>
  <c r="AK65" i="7"/>
  <c r="AJ65" i="7"/>
  <c r="AL65" i="7" s="1"/>
  <c r="AH65" i="7"/>
  <c r="AG65" i="7"/>
  <c r="AE65" i="7"/>
  <c r="AD65" i="7"/>
  <c r="AB65" i="7"/>
  <c r="AA65" i="7"/>
  <c r="Z65" i="7"/>
  <c r="Y65" i="7"/>
  <c r="V65" i="7"/>
  <c r="U65" i="7"/>
  <c r="S65" i="7"/>
  <c r="R65" i="7"/>
  <c r="O65" i="7"/>
  <c r="L65" i="7"/>
  <c r="I65" i="7"/>
  <c r="Q65" i="7" s="1"/>
  <c r="H65" i="7"/>
  <c r="G65" i="7"/>
  <c r="F65" i="7"/>
  <c r="CO64" i="7"/>
  <c r="CN64" i="7"/>
  <c r="CL64" i="7"/>
  <c r="CK64" i="7"/>
  <c r="CI64" i="7"/>
  <c r="CH64" i="7"/>
  <c r="CF64" i="7"/>
  <c r="CE64" i="7"/>
  <c r="CC64" i="7"/>
  <c r="CB64" i="7"/>
  <c r="BZ64" i="7"/>
  <c r="BY64" i="7"/>
  <c r="BW64" i="7"/>
  <c r="BV64" i="7"/>
  <c r="BX64" i="7" s="1"/>
  <c r="BT64" i="7"/>
  <c r="BS64" i="7"/>
  <c r="BQ64" i="7"/>
  <c r="BP64" i="7"/>
  <c r="BN64" i="7"/>
  <c r="BM64" i="7"/>
  <c r="BO64" i="7" s="1"/>
  <c r="BK64" i="7"/>
  <c r="BJ64" i="7"/>
  <c r="BH64" i="7"/>
  <c r="BG64" i="7"/>
  <c r="BE64" i="7"/>
  <c r="BD64" i="7"/>
  <c r="BF64" i="7" s="1"/>
  <c r="BB64" i="7"/>
  <c r="BA64" i="7"/>
  <c r="BC64" i="7" s="1"/>
  <c r="AY64" i="7"/>
  <c r="AX64" i="7"/>
  <c r="AZ64" i="7" s="1"/>
  <c r="AV64" i="7"/>
  <c r="AU64" i="7"/>
  <c r="AW64" i="7" s="1"/>
  <c r="AS64" i="7"/>
  <c r="AR64" i="7"/>
  <c r="AT64" i="7" s="1"/>
  <c r="AQ64" i="7"/>
  <c r="AP64" i="7"/>
  <c r="AN64" i="7"/>
  <c r="AM64" i="7"/>
  <c r="AO64" i="7" s="1"/>
  <c r="AK64" i="7"/>
  <c r="AJ64" i="7"/>
  <c r="AL64" i="7" s="1"/>
  <c r="AH64" i="7"/>
  <c r="AG64" i="7"/>
  <c r="AI64" i="7" s="1"/>
  <c r="AE64" i="7"/>
  <c r="AD64" i="7"/>
  <c r="AF64" i="7" s="1"/>
  <c r="AB64" i="7"/>
  <c r="AA64" i="7"/>
  <c r="AC64" i="7" s="1"/>
  <c r="Z64" i="7"/>
  <c r="Y64" i="7"/>
  <c r="V64" i="7"/>
  <c r="U64" i="7"/>
  <c r="S64" i="7"/>
  <c r="R64" i="7"/>
  <c r="O64" i="7"/>
  <c r="L64" i="7"/>
  <c r="I64" i="7"/>
  <c r="Q64" i="7" s="1"/>
  <c r="H64" i="7"/>
  <c r="G64" i="7"/>
  <c r="P64" i="7" s="1"/>
  <c r="F64" i="7"/>
  <c r="E64" i="7"/>
  <c r="CO63" i="7"/>
  <c r="CN63" i="7"/>
  <c r="CL63" i="7"/>
  <c r="CK63" i="7"/>
  <c r="CI63" i="7"/>
  <c r="CH63" i="7"/>
  <c r="CF63" i="7"/>
  <c r="CE63" i="7"/>
  <c r="CG63" i="7" s="1"/>
  <c r="CC63" i="7"/>
  <c r="CB63" i="7"/>
  <c r="BZ63" i="7"/>
  <c r="BY63" i="7"/>
  <c r="BW63" i="7"/>
  <c r="BV63" i="7"/>
  <c r="BX63" i="7" s="1"/>
  <c r="BT63" i="7"/>
  <c r="BS63" i="7"/>
  <c r="BQ63" i="7"/>
  <c r="BP63" i="7"/>
  <c r="BN63" i="7"/>
  <c r="BM63" i="7"/>
  <c r="BO63" i="7" s="1"/>
  <c r="BK63" i="7"/>
  <c r="BJ63" i="7"/>
  <c r="BH63" i="7"/>
  <c r="BG63" i="7"/>
  <c r="BE63" i="7"/>
  <c r="BD63" i="7"/>
  <c r="BF63" i="7" s="1"/>
  <c r="BB63" i="7"/>
  <c r="BA63" i="7"/>
  <c r="BC63" i="7" s="1"/>
  <c r="AY63" i="7"/>
  <c r="AX63" i="7"/>
  <c r="AZ63" i="7" s="1"/>
  <c r="AV63" i="7"/>
  <c r="AU63" i="7"/>
  <c r="AS63" i="7"/>
  <c r="AR63" i="7"/>
  <c r="AT63" i="7" s="1"/>
  <c r="AQ63" i="7"/>
  <c r="AP63" i="7"/>
  <c r="AN63" i="7"/>
  <c r="AM63" i="7"/>
  <c r="AK63" i="7"/>
  <c r="AJ63" i="7"/>
  <c r="AL63" i="7" s="1"/>
  <c r="AH63" i="7"/>
  <c r="AG63" i="7"/>
  <c r="AE63" i="7"/>
  <c r="AD63" i="7"/>
  <c r="AB63" i="7"/>
  <c r="AA63" i="7"/>
  <c r="Z63" i="7"/>
  <c r="Y63" i="7"/>
  <c r="V63" i="7"/>
  <c r="U63" i="7"/>
  <c r="S63" i="7"/>
  <c r="R63" i="7"/>
  <c r="O63" i="7"/>
  <c r="L63" i="7"/>
  <c r="I63" i="7"/>
  <c r="Q63" i="7" s="1"/>
  <c r="H63" i="7"/>
  <c r="G63" i="7"/>
  <c r="P63" i="7" s="1"/>
  <c r="F63" i="7"/>
  <c r="CO62" i="7"/>
  <c r="CN62" i="7"/>
  <c r="CL62" i="7"/>
  <c r="CK62" i="7"/>
  <c r="CM62" i="7" s="1"/>
  <c r="CI62" i="7"/>
  <c r="CH62" i="7"/>
  <c r="CJ62" i="7" s="1"/>
  <c r="CF62" i="7"/>
  <c r="CE62" i="7"/>
  <c r="CG62" i="7" s="1"/>
  <c r="CC62" i="7"/>
  <c r="CB62" i="7"/>
  <c r="CD62" i="7" s="1"/>
  <c r="BZ62" i="7"/>
  <c r="BY62" i="7"/>
  <c r="CA62" i="7" s="1"/>
  <c r="BW62" i="7"/>
  <c r="BV62" i="7"/>
  <c r="BX62" i="7" s="1"/>
  <c r="BT62" i="7"/>
  <c r="BS62" i="7"/>
  <c r="BQ62" i="7"/>
  <c r="BP62" i="7"/>
  <c r="BN62" i="7"/>
  <c r="BM62" i="7"/>
  <c r="BK62" i="7"/>
  <c r="BJ62" i="7"/>
  <c r="BH62" i="7"/>
  <c r="BG62" i="7"/>
  <c r="BE62" i="7"/>
  <c r="BD62" i="7"/>
  <c r="BF62" i="7" s="1"/>
  <c r="BB62" i="7"/>
  <c r="BA62" i="7"/>
  <c r="BC62" i="7" s="1"/>
  <c r="AY62" i="7"/>
  <c r="AX62" i="7"/>
  <c r="AZ62" i="7" s="1"/>
  <c r="AV62" i="7"/>
  <c r="AU62" i="7"/>
  <c r="AW62" i="7" s="1"/>
  <c r="AS62" i="7"/>
  <c r="AR62" i="7"/>
  <c r="AT62" i="7" s="1"/>
  <c r="AQ62" i="7"/>
  <c r="AP62" i="7"/>
  <c r="AN62" i="7"/>
  <c r="AM62" i="7"/>
  <c r="AK62" i="7"/>
  <c r="AJ62" i="7"/>
  <c r="AL62" i="7" s="1"/>
  <c r="AH62" i="7"/>
  <c r="AG62" i="7"/>
  <c r="AE62" i="7"/>
  <c r="AD62" i="7"/>
  <c r="AB62" i="7"/>
  <c r="AA62" i="7"/>
  <c r="Z62" i="7"/>
  <c r="Y62" i="7"/>
  <c r="V62" i="7"/>
  <c r="U62" i="7"/>
  <c r="S62" i="7"/>
  <c r="R62" i="7"/>
  <c r="O62" i="7"/>
  <c r="L62" i="7"/>
  <c r="I62" i="7"/>
  <c r="Q62" i="7" s="1"/>
  <c r="H62" i="7"/>
  <c r="G62" i="7"/>
  <c r="P62" i="7" s="1"/>
  <c r="F62" i="7"/>
  <c r="E62" i="7"/>
  <c r="CO61" i="7"/>
  <c r="CN61" i="7"/>
  <c r="CL61" i="7"/>
  <c r="CK61" i="7"/>
  <c r="CI61" i="7"/>
  <c r="CH61" i="7"/>
  <c r="CF61" i="7"/>
  <c r="CE61" i="7"/>
  <c r="CC61" i="7"/>
  <c r="CB61" i="7"/>
  <c r="BZ61" i="7"/>
  <c r="BY61" i="7"/>
  <c r="BW61" i="7"/>
  <c r="BV61" i="7"/>
  <c r="BX61" i="7" s="1"/>
  <c r="BT61" i="7"/>
  <c r="BS61" i="7"/>
  <c r="BQ61" i="7"/>
  <c r="BP61" i="7"/>
  <c r="BN61" i="7"/>
  <c r="BM61" i="7"/>
  <c r="BO61" i="7" s="1"/>
  <c r="BK61" i="7"/>
  <c r="BJ61" i="7"/>
  <c r="BH61" i="7"/>
  <c r="BG61" i="7"/>
  <c r="BE61" i="7"/>
  <c r="BD61" i="7"/>
  <c r="BF61" i="7" s="1"/>
  <c r="BB61" i="7"/>
  <c r="BA61" i="7"/>
  <c r="BC61" i="7" s="1"/>
  <c r="AY61" i="7"/>
  <c r="AX61" i="7"/>
  <c r="AZ61" i="7" s="1"/>
  <c r="AV61" i="7"/>
  <c r="AU61" i="7"/>
  <c r="AW61" i="7" s="1"/>
  <c r="AS61" i="7"/>
  <c r="AR61" i="7"/>
  <c r="AT61" i="7" s="1"/>
  <c r="AQ61" i="7"/>
  <c r="AP61" i="7"/>
  <c r="AN61" i="7"/>
  <c r="AM61" i="7"/>
  <c r="AK61" i="7"/>
  <c r="AJ61" i="7"/>
  <c r="AL61" i="7" s="1"/>
  <c r="AH61" i="7"/>
  <c r="AG61" i="7"/>
  <c r="AE61" i="7"/>
  <c r="AD61" i="7"/>
  <c r="AB61" i="7"/>
  <c r="AA61" i="7"/>
  <c r="Z61" i="7"/>
  <c r="Y61" i="7"/>
  <c r="V61" i="7"/>
  <c r="U61" i="7"/>
  <c r="S61" i="7"/>
  <c r="R61" i="7"/>
  <c r="O61" i="7"/>
  <c r="L61" i="7"/>
  <c r="I61" i="7"/>
  <c r="Q61" i="7" s="1"/>
  <c r="H61" i="7"/>
  <c r="G61" i="7"/>
  <c r="P61" i="7" s="1"/>
  <c r="F61" i="7"/>
  <c r="E61" i="7"/>
  <c r="CO60" i="7"/>
  <c r="CN60" i="7"/>
  <c r="CL60" i="7"/>
  <c r="CK60" i="7"/>
  <c r="CI60" i="7"/>
  <c r="CH60" i="7"/>
  <c r="CF60" i="7"/>
  <c r="CE60" i="7"/>
  <c r="CC60" i="7"/>
  <c r="CB60" i="7"/>
  <c r="BZ60" i="7"/>
  <c r="BY60" i="7"/>
  <c r="BW60" i="7"/>
  <c r="BV60" i="7"/>
  <c r="BX60" i="7" s="1"/>
  <c r="BT60" i="7"/>
  <c r="BS60" i="7"/>
  <c r="BQ60" i="7"/>
  <c r="BP60" i="7"/>
  <c r="BN60" i="7"/>
  <c r="BM60" i="7"/>
  <c r="BO60" i="7" s="1"/>
  <c r="BK60" i="7"/>
  <c r="BJ60" i="7"/>
  <c r="BH60" i="7"/>
  <c r="BG60" i="7"/>
  <c r="BE60" i="7"/>
  <c r="BD60" i="7"/>
  <c r="BF60" i="7" s="1"/>
  <c r="BB60" i="7"/>
  <c r="BA60" i="7"/>
  <c r="BC60" i="7" s="1"/>
  <c r="AY60" i="7"/>
  <c r="AX60" i="7"/>
  <c r="AZ60" i="7" s="1"/>
  <c r="AV60" i="7"/>
  <c r="AU60" i="7"/>
  <c r="AW60" i="7" s="1"/>
  <c r="AS60" i="7"/>
  <c r="AR60" i="7"/>
  <c r="AT60" i="7" s="1"/>
  <c r="AQ60" i="7"/>
  <c r="AP60" i="7"/>
  <c r="AN60" i="7"/>
  <c r="AM60" i="7"/>
  <c r="AO60" i="7" s="1"/>
  <c r="AK60" i="7"/>
  <c r="AJ60" i="7"/>
  <c r="AL60" i="7" s="1"/>
  <c r="AH60" i="7"/>
  <c r="AG60" i="7"/>
  <c r="AI60" i="7" s="1"/>
  <c r="AE60" i="7"/>
  <c r="AD60" i="7"/>
  <c r="AF60" i="7" s="1"/>
  <c r="AB60" i="7"/>
  <c r="AA60" i="7"/>
  <c r="AC60" i="7" s="1"/>
  <c r="Z60" i="7"/>
  <c r="Y60" i="7"/>
  <c r="V60" i="7"/>
  <c r="U60" i="7"/>
  <c r="S60" i="7"/>
  <c r="R60" i="7"/>
  <c r="O60" i="7"/>
  <c r="L60" i="7"/>
  <c r="I60" i="7"/>
  <c r="Q60" i="7" s="1"/>
  <c r="H60" i="7"/>
  <c r="G60" i="7"/>
  <c r="P60" i="7" s="1"/>
  <c r="F60" i="7"/>
  <c r="E60" i="7"/>
  <c r="CO59" i="7"/>
  <c r="CN59" i="7"/>
  <c r="CL59" i="7"/>
  <c r="CK59" i="7"/>
  <c r="CI59" i="7"/>
  <c r="CH59" i="7"/>
  <c r="CF59" i="7"/>
  <c r="CE59" i="7"/>
  <c r="CC59" i="7"/>
  <c r="CB59" i="7"/>
  <c r="BZ59" i="7"/>
  <c r="BY59" i="7"/>
  <c r="BW59" i="7"/>
  <c r="BV59" i="7"/>
  <c r="BX59" i="7" s="1"/>
  <c r="BT59" i="7"/>
  <c r="BS59" i="7"/>
  <c r="BQ59" i="7"/>
  <c r="BP59" i="7"/>
  <c r="BN59" i="7"/>
  <c r="BM59" i="7"/>
  <c r="BO59" i="7" s="1"/>
  <c r="BK59" i="7"/>
  <c r="BJ59" i="7"/>
  <c r="BH59" i="7"/>
  <c r="BG59" i="7"/>
  <c r="BE59" i="7"/>
  <c r="BD59" i="7"/>
  <c r="BF59" i="7" s="1"/>
  <c r="BB59" i="7"/>
  <c r="BA59" i="7"/>
  <c r="BC59" i="7" s="1"/>
  <c r="AY59" i="7"/>
  <c r="AX59" i="7"/>
  <c r="AZ59" i="7" s="1"/>
  <c r="AV59" i="7"/>
  <c r="AU59" i="7"/>
  <c r="AW59" i="7" s="1"/>
  <c r="AS59" i="7"/>
  <c r="AR59" i="7"/>
  <c r="AT59" i="7" s="1"/>
  <c r="AQ59" i="7"/>
  <c r="AP59" i="7"/>
  <c r="AN59" i="7"/>
  <c r="AM59" i="7"/>
  <c r="AK59" i="7"/>
  <c r="AJ59" i="7"/>
  <c r="AL59" i="7" s="1"/>
  <c r="AH59" i="7"/>
  <c r="AG59" i="7"/>
  <c r="AE59" i="7"/>
  <c r="AD59" i="7"/>
  <c r="AB59" i="7"/>
  <c r="AA59" i="7"/>
  <c r="Z59" i="7"/>
  <c r="Y59" i="7"/>
  <c r="V59" i="7"/>
  <c r="U59" i="7"/>
  <c r="S59" i="7"/>
  <c r="R59" i="7"/>
  <c r="O59" i="7"/>
  <c r="L59" i="7"/>
  <c r="I59" i="7"/>
  <c r="Q59" i="7" s="1"/>
  <c r="H59" i="7"/>
  <c r="G59" i="7"/>
  <c r="P59" i="7" s="1"/>
  <c r="F59" i="7"/>
  <c r="E59" i="7"/>
  <c r="CO58" i="7"/>
  <c r="CN58" i="7"/>
  <c r="CL58" i="7"/>
  <c r="CK58" i="7"/>
  <c r="CM58" i="7" s="1"/>
  <c r="CI58" i="7"/>
  <c r="CH58" i="7"/>
  <c r="CJ58" i="7" s="1"/>
  <c r="CF58" i="7"/>
  <c r="CE58" i="7"/>
  <c r="CG58" i="7" s="1"/>
  <c r="CC58" i="7"/>
  <c r="CB58" i="7"/>
  <c r="CD58" i="7" s="1"/>
  <c r="BZ58" i="7"/>
  <c r="BY58" i="7"/>
  <c r="CA58" i="7" s="1"/>
  <c r="BW58" i="7"/>
  <c r="BV58" i="7"/>
  <c r="BX58" i="7" s="1"/>
  <c r="BT58" i="7"/>
  <c r="BS58" i="7"/>
  <c r="BQ58" i="7"/>
  <c r="BP58" i="7"/>
  <c r="BN58" i="7"/>
  <c r="BM58" i="7"/>
  <c r="BO58" i="7" s="1"/>
  <c r="BK58" i="7"/>
  <c r="BJ58" i="7"/>
  <c r="BH58" i="7"/>
  <c r="BG58" i="7"/>
  <c r="BE58" i="7"/>
  <c r="BD58" i="7"/>
  <c r="BB58" i="7"/>
  <c r="BA58" i="7"/>
  <c r="AY58" i="7"/>
  <c r="AX58" i="7"/>
  <c r="AV58" i="7"/>
  <c r="AU58" i="7"/>
  <c r="AS58" i="7"/>
  <c r="AR58" i="7"/>
  <c r="AQ58" i="7"/>
  <c r="AP58" i="7"/>
  <c r="AN58" i="7"/>
  <c r="AM58" i="7"/>
  <c r="AK58" i="7"/>
  <c r="AJ58" i="7"/>
  <c r="AL58" i="7" s="1"/>
  <c r="AH58" i="7"/>
  <c r="AG58" i="7"/>
  <c r="AE58" i="7"/>
  <c r="AD58" i="7"/>
  <c r="AB58" i="7"/>
  <c r="AA58" i="7"/>
  <c r="Z58" i="7"/>
  <c r="Y58" i="7"/>
  <c r="V58" i="7"/>
  <c r="U58" i="7"/>
  <c r="S58" i="7"/>
  <c r="R58" i="7"/>
  <c r="O58" i="7"/>
  <c r="L58" i="7"/>
  <c r="I58" i="7"/>
  <c r="Q58" i="7" s="1"/>
  <c r="H58" i="7"/>
  <c r="G58" i="7"/>
  <c r="P58" i="7" s="1"/>
  <c r="F58" i="7"/>
  <c r="CO57" i="7"/>
  <c r="CN57" i="7"/>
  <c r="CL57" i="7"/>
  <c r="CK57" i="7"/>
  <c r="CM57" i="7" s="1"/>
  <c r="CI57" i="7"/>
  <c r="CH57" i="7"/>
  <c r="CF57" i="7"/>
  <c r="CE57" i="7"/>
  <c r="CG57" i="7" s="1"/>
  <c r="CC57" i="7"/>
  <c r="CB57" i="7"/>
  <c r="CD57" i="7" s="1"/>
  <c r="BZ57" i="7"/>
  <c r="BY57" i="7"/>
  <c r="CA57" i="7" s="1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F57" i="7" s="1"/>
  <c r="BB57" i="7"/>
  <c r="BA57" i="7"/>
  <c r="BC57" i="7" s="1"/>
  <c r="AY57" i="7"/>
  <c r="AX57" i="7"/>
  <c r="AV57" i="7"/>
  <c r="AU57" i="7"/>
  <c r="AW57" i="7" s="1"/>
  <c r="AS57" i="7"/>
  <c r="AR57" i="7"/>
  <c r="AT57" i="7" s="1"/>
  <c r="AQ57" i="7"/>
  <c r="AP57" i="7"/>
  <c r="AN57" i="7"/>
  <c r="AM57" i="7"/>
  <c r="AK57" i="7"/>
  <c r="AJ57" i="7"/>
  <c r="AL57" i="7" s="1"/>
  <c r="AH57" i="7"/>
  <c r="AG57" i="7"/>
  <c r="AE57" i="7"/>
  <c r="AD57" i="7"/>
  <c r="AB57" i="7"/>
  <c r="AA57" i="7"/>
  <c r="Z57" i="7"/>
  <c r="Y57" i="7"/>
  <c r="V57" i="7"/>
  <c r="U57" i="7"/>
  <c r="S57" i="7"/>
  <c r="R57" i="7"/>
  <c r="O57" i="7"/>
  <c r="L57" i="7"/>
  <c r="I57" i="7"/>
  <c r="Q57" i="7" s="1"/>
  <c r="H57" i="7"/>
  <c r="G57" i="7"/>
  <c r="P57" i="7" s="1"/>
  <c r="F57" i="7"/>
  <c r="CO56" i="7"/>
  <c r="CN56" i="7"/>
  <c r="CL56" i="7"/>
  <c r="CK56" i="7"/>
  <c r="CI56" i="7"/>
  <c r="CH56" i="7"/>
  <c r="CF56" i="7"/>
  <c r="CE56" i="7"/>
  <c r="CC56" i="7"/>
  <c r="CB56" i="7"/>
  <c r="BZ56" i="7"/>
  <c r="BY56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F56" i="7" s="1"/>
  <c r="BB56" i="7"/>
  <c r="BA56" i="7"/>
  <c r="BC56" i="7" s="1"/>
  <c r="AY56" i="7"/>
  <c r="AX56" i="7"/>
  <c r="AZ56" i="7" s="1"/>
  <c r="AV56" i="7"/>
  <c r="AU56" i="7"/>
  <c r="AW56" i="7" s="1"/>
  <c r="AS56" i="7"/>
  <c r="AR56" i="7"/>
  <c r="AT56" i="7" s="1"/>
  <c r="AQ56" i="7"/>
  <c r="AP56" i="7"/>
  <c r="AN56" i="7"/>
  <c r="AM56" i="7"/>
  <c r="AK56" i="7"/>
  <c r="AJ56" i="7"/>
  <c r="AH56" i="7"/>
  <c r="AG56" i="7"/>
  <c r="AE56" i="7"/>
  <c r="AD56" i="7"/>
  <c r="AB56" i="7"/>
  <c r="AA56" i="7"/>
  <c r="Z56" i="7"/>
  <c r="Y56" i="7"/>
  <c r="V56" i="7"/>
  <c r="U56" i="7"/>
  <c r="S56" i="7"/>
  <c r="R56" i="7"/>
  <c r="O56" i="7"/>
  <c r="L56" i="7"/>
  <c r="I56" i="7"/>
  <c r="Q56" i="7" s="1"/>
  <c r="H56" i="7"/>
  <c r="G56" i="7"/>
  <c r="P56" i="7" s="1"/>
  <c r="F56" i="7"/>
  <c r="CO55" i="7"/>
  <c r="CN55" i="7"/>
  <c r="CL55" i="7"/>
  <c r="CK55" i="7"/>
  <c r="CI55" i="7"/>
  <c r="CH55" i="7"/>
  <c r="CF55" i="7"/>
  <c r="CE55" i="7"/>
  <c r="CC55" i="7"/>
  <c r="CB55" i="7"/>
  <c r="BZ55" i="7"/>
  <c r="BY55" i="7"/>
  <c r="BW55" i="7"/>
  <c r="BV55" i="7"/>
  <c r="BT55" i="7"/>
  <c r="BS55" i="7"/>
  <c r="BQ55" i="7"/>
  <c r="BP55" i="7"/>
  <c r="BN55" i="7"/>
  <c r="BM55" i="7"/>
  <c r="BK55" i="7"/>
  <c r="BJ55" i="7"/>
  <c r="BH55" i="7"/>
  <c r="BG55" i="7"/>
  <c r="BE55" i="7"/>
  <c r="BD55" i="7"/>
  <c r="BB55" i="7"/>
  <c r="BA55" i="7"/>
  <c r="AY55" i="7"/>
  <c r="AX55" i="7"/>
  <c r="AV55" i="7"/>
  <c r="AU55" i="7"/>
  <c r="AS55" i="7"/>
  <c r="AR55" i="7"/>
  <c r="AQ55" i="7"/>
  <c r="AP55" i="7"/>
  <c r="AN55" i="7"/>
  <c r="AM55" i="7"/>
  <c r="AK55" i="7"/>
  <c r="AJ55" i="7"/>
  <c r="AL55" i="7" s="1"/>
  <c r="AH55" i="7"/>
  <c r="AG55" i="7"/>
  <c r="AE55" i="7"/>
  <c r="AD55" i="7"/>
  <c r="AB55" i="7"/>
  <c r="AA55" i="7"/>
  <c r="Z55" i="7"/>
  <c r="Y55" i="7"/>
  <c r="V55" i="7"/>
  <c r="U55" i="7"/>
  <c r="S55" i="7"/>
  <c r="R55" i="7"/>
  <c r="O55" i="7"/>
  <c r="L55" i="7"/>
  <c r="I55" i="7"/>
  <c r="Q55" i="7" s="1"/>
  <c r="H55" i="7"/>
  <c r="G55" i="7"/>
  <c r="P55" i="7" s="1"/>
  <c r="F55" i="7"/>
  <c r="E55" i="7"/>
  <c r="CO54" i="7"/>
  <c r="CN54" i="7"/>
  <c r="CL54" i="7"/>
  <c r="CK54" i="7"/>
  <c r="CI54" i="7"/>
  <c r="CH54" i="7"/>
  <c r="CF54" i="7"/>
  <c r="CE54" i="7"/>
  <c r="CC54" i="7"/>
  <c r="CB54" i="7"/>
  <c r="BZ54" i="7"/>
  <c r="BY54" i="7"/>
  <c r="BW54" i="7"/>
  <c r="BV54" i="7"/>
  <c r="BX54" i="7" s="1"/>
  <c r="BT54" i="7"/>
  <c r="BS54" i="7"/>
  <c r="BQ54" i="7"/>
  <c r="BP54" i="7"/>
  <c r="BN54" i="7"/>
  <c r="BM54" i="7"/>
  <c r="BO54" i="7" s="1"/>
  <c r="BK54" i="7"/>
  <c r="BJ54" i="7"/>
  <c r="BH54" i="7"/>
  <c r="BG54" i="7"/>
  <c r="BE54" i="7"/>
  <c r="BD54" i="7"/>
  <c r="BB54" i="7"/>
  <c r="BA54" i="7"/>
  <c r="AY54" i="7"/>
  <c r="AX54" i="7"/>
  <c r="AV54" i="7"/>
  <c r="AU54" i="7"/>
  <c r="AS54" i="7"/>
  <c r="AR54" i="7"/>
  <c r="AQ54" i="7"/>
  <c r="AP54" i="7"/>
  <c r="AN54" i="7"/>
  <c r="AM54" i="7"/>
  <c r="AK54" i="7"/>
  <c r="AJ54" i="7"/>
  <c r="AL54" i="7" s="1"/>
  <c r="AH54" i="7"/>
  <c r="AG54" i="7"/>
  <c r="AE54" i="7"/>
  <c r="AD54" i="7"/>
  <c r="AB54" i="7"/>
  <c r="AA54" i="7"/>
  <c r="Z54" i="7"/>
  <c r="Y54" i="7"/>
  <c r="V54" i="7"/>
  <c r="U54" i="7"/>
  <c r="S54" i="7"/>
  <c r="R54" i="7"/>
  <c r="O54" i="7"/>
  <c r="L54" i="7"/>
  <c r="I54" i="7"/>
  <c r="Q54" i="7" s="1"/>
  <c r="H54" i="7"/>
  <c r="G54" i="7"/>
  <c r="P54" i="7" s="1"/>
  <c r="F54" i="7"/>
  <c r="CO53" i="7"/>
  <c r="CN53" i="7"/>
  <c r="CL53" i="7"/>
  <c r="CK53" i="7"/>
  <c r="CI53" i="7"/>
  <c r="CH53" i="7"/>
  <c r="CF53" i="7"/>
  <c r="CE53" i="7"/>
  <c r="CC53" i="7"/>
  <c r="CB53" i="7"/>
  <c r="BZ53" i="7"/>
  <c r="BY53" i="7"/>
  <c r="BW53" i="7"/>
  <c r="BV53" i="7"/>
  <c r="BX53" i="7" s="1"/>
  <c r="BT53" i="7"/>
  <c r="BS53" i="7"/>
  <c r="BQ53" i="7"/>
  <c r="BP53" i="7"/>
  <c r="BN53" i="7"/>
  <c r="BM53" i="7"/>
  <c r="BO53" i="7" s="1"/>
  <c r="BK53" i="7"/>
  <c r="BJ53" i="7"/>
  <c r="BH53" i="7"/>
  <c r="BG53" i="7"/>
  <c r="BE53" i="7"/>
  <c r="BD53" i="7"/>
  <c r="BB53" i="7"/>
  <c r="BA53" i="7"/>
  <c r="AY53" i="7"/>
  <c r="AX53" i="7"/>
  <c r="AV53" i="7"/>
  <c r="AU53" i="7"/>
  <c r="AS53" i="7"/>
  <c r="AR53" i="7"/>
  <c r="AQ53" i="7"/>
  <c r="AP53" i="7"/>
  <c r="AN53" i="7"/>
  <c r="AM53" i="7"/>
  <c r="AK53" i="7"/>
  <c r="AJ53" i="7"/>
  <c r="AH53" i="7"/>
  <c r="AG53" i="7"/>
  <c r="AE53" i="7"/>
  <c r="AD53" i="7"/>
  <c r="AB53" i="7"/>
  <c r="AA53" i="7"/>
  <c r="Z53" i="7"/>
  <c r="Y53" i="7"/>
  <c r="V53" i="7"/>
  <c r="U53" i="7"/>
  <c r="S53" i="7"/>
  <c r="R53" i="7"/>
  <c r="O53" i="7"/>
  <c r="L53" i="7"/>
  <c r="I53" i="7"/>
  <c r="Q53" i="7" s="1"/>
  <c r="H53" i="7"/>
  <c r="G53" i="7"/>
  <c r="P53" i="7" s="1"/>
  <c r="F53" i="7"/>
  <c r="E53" i="7"/>
  <c r="CO51" i="7"/>
  <c r="CN51" i="7"/>
  <c r="CL51" i="7"/>
  <c r="CK51" i="7"/>
  <c r="CI51" i="7"/>
  <c r="CH51" i="7"/>
  <c r="CF51" i="7"/>
  <c r="CE51" i="7"/>
  <c r="CG51" i="7" s="1"/>
  <c r="CC51" i="7"/>
  <c r="CB51" i="7"/>
  <c r="BZ51" i="7"/>
  <c r="BY51" i="7"/>
  <c r="BW51" i="7"/>
  <c r="BV51" i="7"/>
  <c r="BX51" i="7" s="1"/>
  <c r="BT51" i="7"/>
  <c r="BS51" i="7"/>
  <c r="BQ51" i="7"/>
  <c r="BP51" i="7"/>
  <c r="BN51" i="7"/>
  <c r="BM51" i="7"/>
  <c r="BO51" i="7" s="1"/>
  <c r="BK51" i="7"/>
  <c r="BJ51" i="7"/>
  <c r="BH51" i="7"/>
  <c r="BG51" i="7"/>
  <c r="BE51" i="7"/>
  <c r="BD51" i="7"/>
  <c r="BB51" i="7"/>
  <c r="BA51" i="7"/>
  <c r="AY51" i="7"/>
  <c r="AX51" i="7"/>
  <c r="AV51" i="7"/>
  <c r="AU51" i="7"/>
  <c r="AS51" i="7"/>
  <c r="AR51" i="7"/>
  <c r="AQ51" i="7"/>
  <c r="AP51" i="7"/>
  <c r="AN51" i="7"/>
  <c r="AM51" i="7"/>
  <c r="AK51" i="7"/>
  <c r="AJ51" i="7"/>
  <c r="AL51" i="7" s="1"/>
  <c r="AH51" i="7"/>
  <c r="AG51" i="7"/>
  <c r="AE51" i="7"/>
  <c r="AD51" i="7"/>
  <c r="AB51" i="7"/>
  <c r="AA51" i="7"/>
  <c r="Z51" i="7"/>
  <c r="Y51" i="7"/>
  <c r="V51" i="7"/>
  <c r="U51" i="7"/>
  <c r="S51" i="7"/>
  <c r="R51" i="7"/>
  <c r="O51" i="7"/>
  <c r="L51" i="7"/>
  <c r="I51" i="7"/>
  <c r="Q51" i="7" s="1"/>
  <c r="H51" i="7"/>
  <c r="G51" i="7"/>
  <c r="P51" i="7" s="1"/>
  <c r="F51" i="7"/>
  <c r="E51" i="7"/>
  <c r="CO50" i="7"/>
  <c r="CN50" i="7"/>
  <c r="CL50" i="7"/>
  <c r="CK50" i="7"/>
  <c r="CM50" i="7" s="1"/>
  <c r="CI50" i="7"/>
  <c r="CH50" i="7"/>
  <c r="CJ50" i="7" s="1"/>
  <c r="CF50" i="7"/>
  <c r="CE50" i="7"/>
  <c r="CG50" i="7" s="1"/>
  <c r="CC50" i="7"/>
  <c r="CB50" i="7"/>
  <c r="CD50" i="7" s="1"/>
  <c r="BZ50" i="7"/>
  <c r="BY50" i="7"/>
  <c r="CA50" i="7" s="1"/>
  <c r="BW50" i="7"/>
  <c r="BV50" i="7"/>
  <c r="BX50" i="7" s="1"/>
  <c r="BT50" i="7"/>
  <c r="BS50" i="7"/>
  <c r="BQ50" i="7"/>
  <c r="BP50" i="7"/>
  <c r="BN50" i="7"/>
  <c r="BM50" i="7"/>
  <c r="BO50" i="7" s="1"/>
  <c r="BK50" i="7"/>
  <c r="BJ50" i="7"/>
  <c r="BH50" i="7"/>
  <c r="BG50" i="7"/>
  <c r="BE50" i="7"/>
  <c r="BD50" i="7"/>
  <c r="BB50" i="7"/>
  <c r="BA50" i="7"/>
  <c r="AY50" i="7"/>
  <c r="AX50" i="7"/>
  <c r="AV50" i="7"/>
  <c r="AU50" i="7"/>
  <c r="AS50" i="7"/>
  <c r="AR50" i="7"/>
  <c r="AQ50" i="7"/>
  <c r="AP50" i="7"/>
  <c r="AN50" i="7"/>
  <c r="AM50" i="7"/>
  <c r="AK50" i="7"/>
  <c r="AJ50" i="7"/>
  <c r="AL50" i="7" s="1"/>
  <c r="AH50" i="7"/>
  <c r="AG50" i="7"/>
  <c r="AE50" i="7"/>
  <c r="AD50" i="7"/>
  <c r="AB50" i="7"/>
  <c r="AA50" i="7"/>
  <c r="Z50" i="7"/>
  <c r="Y50" i="7"/>
  <c r="V50" i="7"/>
  <c r="U50" i="7"/>
  <c r="S50" i="7"/>
  <c r="R50" i="7"/>
  <c r="O50" i="7"/>
  <c r="L50" i="7"/>
  <c r="I50" i="7"/>
  <c r="Q50" i="7" s="1"/>
  <c r="H50" i="7"/>
  <c r="G50" i="7"/>
  <c r="P50" i="7" s="1"/>
  <c r="F50" i="7"/>
  <c r="CO49" i="7"/>
  <c r="CN49" i="7"/>
  <c r="CL49" i="7"/>
  <c r="CK49" i="7"/>
  <c r="CM49" i="7" s="1"/>
  <c r="CI49" i="7"/>
  <c r="CH49" i="7"/>
  <c r="CJ49" i="7" s="1"/>
  <c r="CF49" i="7"/>
  <c r="CE49" i="7"/>
  <c r="CG49" i="7" s="1"/>
  <c r="CC49" i="7"/>
  <c r="CB49" i="7"/>
  <c r="CD49" i="7" s="1"/>
  <c r="BZ49" i="7"/>
  <c r="BY49" i="7"/>
  <c r="CA49" i="7" s="1"/>
  <c r="BW49" i="7"/>
  <c r="BV49" i="7"/>
  <c r="BX49" i="7" s="1"/>
  <c r="BT49" i="7"/>
  <c r="BS49" i="7"/>
  <c r="BQ49" i="7"/>
  <c r="BP49" i="7"/>
  <c r="BN49" i="7"/>
  <c r="BM49" i="7"/>
  <c r="BO49" i="7" s="1"/>
  <c r="BK49" i="7"/>
  <c r="BJ49" i="7"/>
  <c r="BH49" i="7"/>
  <c r="BG49" i="7"/>
  <c r="BE49" i="7"/>
  <c r="BD49" i="7"/>
  <c r="BB49" i="7"/>
  <c r="BA49" i="7"/>
  <c r="AY49" i="7"/>
  <c r="AX49" i="7"/>
  <c r="AV49" i="7"/>
  <c r="AU49" i="7"/>
  <c r="AS49" i="7"/>
  <c r="AR49" i="7"/>
  <c r="AQ49" i="7"/>
  <c r="AP49" i="7"/>
  <c r="AN49" i="7"/>
  <c r="AM49" i="7"/>
  <c r="AK49" i="7"/>
  <c r="AJ49" i="7"/>
  <c r="AH49" i="7"/>
  <c r="AG49" i="7"/>
  <c r="AE49" i="7"/>
  <c r="AD49" i="7"/>
  <c r="AB49" i="7"/>
  <c r="AA49" i="7"/>
  <c r="Z49" i="7"/>
  <c r="Y49" i="7"/>
  <c r="V49" i="7"/>
  <c r="U49" i="7"/>
  <c r="S49" i="7"/>
  <c r="R49" i="7"/>
  <c r="O49" i="7"/>
  <c r="L49" i="7"/>
  <c r="I49" i="7"/>
  <c r="Q49" i="7" s="1"/>
  <c r="H49" i="7"/>
  <c r="G49" i="7"/>
  <c r="P49" i="7" s="1"/>
  <c r="F49" i="7"/>
  <c r="CO48" i="7"/>
  <c r="CN48" i="7"/>
  <c r="CL48" i="7"/>
  <c r="CK48" i="7"/>
  <c r="CM48" i="7" s="1"/>
  <c r="CI48" i="7"/>
  <c r="CH48" i="7"/>
  <c r="CJ48" i="7" s="1"/>
  <c r="CF48" i="7"/>
  <c r="CE48" i="7"/>
  <c r="CG48" i="7" s="1"/>
  <c r="CC48" i="7"/>
  <c r="CB48" i="7"/>
  <c r="CD48" i="7" s="1"/>
  <c r="BZ48" i="7"/>
  <c r="BY48" i="7"/>
  <c r="CA48" i="7" s="1"/>
  <c r="BW48" i="7"/>
  <c r="BV48" i="7"/>
  <c r="BT48" i="7"/>
  <c r="BS48" i="7"/>
  <c r="BQ48" i="7"/>
  <c r="BP48" i="7"/>
  <c r="BN48" i="7"/>
  <c r="BM48" i="7"/>
  <c r="BK48" i="7"/>
  <c r="BJ48" i="7"/>
  <c r="BH48" i="7"/>
  <c r="BG48" i="7"/>
  <c r="BE48" i="7"/>
  <c r="BD48" i="7"/>
  <c r="BB48" i="7"/>
  <c r="BA48" i="7"/>
  <c r="AY48" i="7"/>
  <c r="AX48" i="7"/>
  <c r="AV48" i="7"/>
  <c r="AU48" i="7"/>
  <c r="AS48" i="7"/>
  <c r="AR48" i="7"/>
  <c r="AQ48" i="7"/>
  <c r="AP48" i="7"/>
  <c r="AN48" i="7"/>
  <c r="AM48" i="7"/>
  <c r="AK48" i="7"/>
  <c r="AJ48" i="7"/>
  <c r="AL48" i="7" s="1"/>
  <c r="AH48" i="7"/>
  <c r="AG48" i="7"/>
  <c r="AE48" i="7"/>
  <c r="AD48" i="7"/>
  <c r="AB48" i="7"/>
  <c r="AA48" i="7"/>
  <c r="Z48" i="7"/>
  <c r="Y48" i="7"/>
  <c r="V48" i="7"/>
  <c r="U48" i="7"/>
  <c r="S48" i="7"/>
  <c r="R48" i="7"/>
  <c r="O48" i="7"/>
  <c r="L48" i="7"/>
  <c r="I48" i="7"/>
  <c r="Q48" i="7" s="1"/>
  <c r="H48" i="7"/>
  <c r="G48" i="7"/>
  <c r="P48" i="7" s="1"/>
  <c r="F48" i="7"/>
  <c r="E48" i="7"/>
  <c r="CO47" i="7"/>
  <c r="CN47" i="7"/>
  <c r="CL47" i="7"/>
  <c r="CK47" i="7"/>
  <c r="CM47" i="7" s="1"/>
  <c r="CI47" i="7"/>
  <c r="CH47" i="7"/>
  <c r="CJ47" i="7" s="1"/>
  <c r="CF47" i="7"/>
  <c r="CE47" i="7"/>
  <c r="CG47" i="7" s="1"/>
  <c r="CC47" i="7"/>
  <c r="CB47" i="7"/>
  <c r="CD47" i="7" s="1"/>
  <c r="BZ47" i="7"/>
  <c r="BY47" i="7"/>
  <c r="CA47" i="7" s="1"/>
  <c r="BW47" i="7"/>
  <c r="BV47" i="7"/>
  <c r="BX47" i="7" s="1"/>
  <c r="BT47" i="7"/>
  <c r="BS47" i="7"/>
  <c r="BQ47" i="7"/>
  <c r="BP47" i="7"/>
  <c r="BN47" i="7"/>
  <c r="BM47" i="7"/>
  <c r="BO47" i="7" s="1"/>
  <c r="BK47" i="7"/>
  <c r="BJ47" i="7"/>
  <c r="BH47" i="7"/>
  <c r="BG47" i="7"/>
  <c r="BE47" i="7"/>
  <c r="BD47" i="7"/>
  <c r="BB47" i="7"/>
  <c r="BA47" i="7"/>
  <c r="AY47" i="7"/>
  <c r="AX47" i="7"/>
  <c r="AV47" i="7"/>
  <c r="AU47" i="7"/>
  <c r="AS47" i="7"/>
  <c r="AR47" i="7"/>
  <c r="AQ47" i="7"/>
  <c r="AP47" i="7"/>
  <c r="AN47" i="7"/>
  <c r="AM47" i="7"/>
  <c r="AK47" i="7"/>
  <c r="AJ47" i="7"/>
  <c r="AH47" i="7"/>
  <c r="AG47" i="7"/>
  <c r="AE47" i="7"/>
  <c r="AD47" i="7"/>
  <c r="AB47" i="7"/>
  <c r="AA47" i="7"/>
  <c r="Z47" i="7"/>
  <c r="Y47" i="7"/>
  <c r="V47" i="7"/>
  <c r="U47" i="7"/>
  <c r="S47" i="7"/>
  <c r="R47" i="7"/>
  <c r="O47" i="7"/>
  <c r="L47" i="7"/>
  <c r="I47" i="7"/>
  <c r="Q47" i="7" s="1"/>
  <c r="H47" i="7"/>
  <c r="G47" i="7"/>
  <c r="P47" i="7" s="1"/>
  <c r="F47" i="7"/>
  <c r="CO46" i="7"/>
  <c r="CN46" i="7"/>
  <c r="CL46" i="7"/>
  <c r="CK46" i="7"/>
  <c r="CM46" i="7" s="1"/>
  <c r="CI46" i="7"/>
  <c r="CH46" i="7"/>
  <c r="CJ46" i="7" s="1"/>
  <c r="CF46" i="7"/>
  <c r="CE46" i="7"/>
  <c r="CG46" i="7" s="1"/>
  <c r="CC46" i="7"/>
  <c r="CB46" i="7"/>
  <c r="CD46" i="7" s="1"/>
  <c r="BZ46" i="7"/>
  <c r="BY46" i="7"/>
  <c r="CA46" i="7" s="1"/>
  <c r="BW46" i="7"/>
  <c r="BV46" i="7"/>
  <c r="BX46" i="7" s="1"/>
  <c r="BT46" i="7"/>
  <c r="BS46" i="7"/>
  <c r="BQ46" i="7"/>
  <c r="BP46" i="7"/>
  <c r="BN46" i="7"/>
  <c r="BM46" i="7"/>
  <c r="BO46" i="7" s="1"/>
  <c r="BK46" i="7"/>
  <c r="BJ46" i="7"/>
  <c r="BH46" i="7"/>
  <c r="BG46" i="7"/>
  <c r="BE46" i="7"/>
  <c r="BD46" i="7"/>
  <c r="BB46" i="7"/>
  <c r="BA46" i="7"/>
  <c r="AY46" i="7"/>
  <c r="AX46" i="7"/>
  <c r="AV46" i="7"/>
  <c r="AU46" i="7"/>
  <c r="AS46" i="7"/>
  <c r="AR46" i="7"/>
  <c r="AQ46" i="7"/>
  <c r="AP46" i="7"/>
  <c r="AN46" i="7"/>
  <c r="AM46" i="7"/>
  <c r="AK46" i="7"/>
  <c r="AJ46" i="7"/>
  <c r="AL46" i="7" s="1"/>
  <c r="AH46" i="7"/>
  <c r="AG46" i="7"/>
  <c r="AE46" i="7"/>
  <c r="AD46" i="7"/>
  <c r="AB46" i="7"/>
  <c r="AA46" i="7"/>
  <c r="Z46" i="7"/>
  <c r="Y46" i="7"/>
  <c r="V46" i="7"/>
  <c r="U46" i="7"/>
  <c r="S46" i="7"/>
  <c r="R46" i="7"/>
  <c r="O46" i="7"/>
  <c r="L46" i="7"/>
  <c r="I46" i="7"/>
  <c r="Q46" i="7" s="1"/>
  <c r="H46" i="7"/>
  <c r="G46" i="7"/>
  <c r="P46" i="7" s="1"/>
  <c r="F46" i="7"/>
  <c r="CO45" i="7"/>
  <c r="CN45" i="7"/>
  <c r="CL45" i="7"/>
  <c r="CK45" i="7"/>
  <c r="CI45" i="7"/>
  <c r="CH45" i="7"/>
  <c r="CF45" i="7"/>
  <c r="CE45" i="7"/>
  <c r="CC45" i="7"/>
  <c r="CB45" i="7"/>
  <c r="BZ45" i="7"/>
  <c r="BY45" i="7"/>
  <c r="BW45" i="7"/>
  <c r="BV45" i="7"/>
  <c r="BX45" i="7" s="1"/>
  <c r="BT45" i="7"/>
  <c r="BS45" i="7"/>
  <c r="BQ45" i="7"/>
  <c r="BP45" i="7"/>
  <c r="BN45" i="7"/>
  <c r="BM45" i="7"/>
  <c r="BO45" i="7" s="1"/>
  <c r="BK45" i="7"/>
  <c r="BJ45" i="7"/>
  <c r="BH45" i="7"/>
  <c r="BG45" i="7"/>
  <c r="BE45" i="7"/>
  <c r="BD45" i="7"/>
  <c r="BF45" i="7" s="1"/>
  <c r="BB45" i="7"/>
  <c r="BA45" i="7"/>
  <c r="BC45" i="7" s="1"/>
  <c r="AY45" i="7"/>
  <c r="AX45" i="7"/>
  <c r="AZ45" i="7" s="1"/>
  <c r="AV45" i="7"/>
  <c r="AU45" i="7"/>
  <c r="AW45" i="7" s="1"/>
  <c r="AS45" i="7"/>
  <c r="AR45" i="7"/>
  <c r="AT45" i="7" s="1"/>
  <c r="AQ45" i="7"/>
  <c r="AP45" i="7"/>
  <c r="AN45" i="7"/>
  <c r="AM45" i="7"/>
  <c r="AK45" i="7"/>
  <c r="AJ45" i="7"/>
  <c r="AH45" i="7"/>
  <c r="AG45" i="7"/>
  <c r="AE45" i="7"/>
  <c r="AD45" i="7"/>
  <c r="AB45" i="7"/>
  <c r="AA45" i="7"/>
  <c r="Z45" i="7"/>
  <c r="Y45" i="7"/>
  <c r="V45" i="7"/>
  <c r="U45" i="7"/>
  <c r="S45" i="7"/>
  <c r="R45" i="7"/>
  <c r="O45" i="7"/>
  <c r="L45" i="7"/>
  <c r="I45" i="7"/>
  <c r="Q45" i="7" s="1"/>
  <c r="H45" i="7"/>
  <c r="G45" i="7"/>
  <c r="P45" i="7" s="1"/>
  <c r="F45" i="7"/>
  <c r="E45" i="7"/>
  <c r="CO44" i="7"/>
  <c r="CN44" i="7"/>
  <c r="CL44" i="7"/>
  <c r="CK44" i="7"/>
  <c r="CM44" i="7" s="1"/>
  <c r="CI44" i="7"/>
  <c r="CH44" i="7"/>
  <c r="CJ44" i="7" s="1"/>
  <c r="CF44" i="7"/>
  <c r="CE44" i="7"/>
  <c r="CG44" i="7" s="1"/>
  <c r="CC44" i="7"/>
  <c r="CB44" i="7"/>
  <c r="CD44" i="7" s="1"/>
  <c r="BZ44" i="7"/>
  <c r="BY44" i="7"/>
  <c r="CA44" i="7" s="1"/>
  <c r="BW44" i="7"/>
  <c r="BV44" i="7"/>
  <c r="BX44" i="7" s="1"/>
  <c r="BT44" i="7"/>
  <c r="BS44" i="7"/>
  <c r="BQ44" i="7"/>
  <c r="BP44" i="7"/>
  <c r="BN44" i="7"/>
  <c r="BM44" i="7"/>
  <c r="BO44" i="7" s="1"/>
  <c r="BK44" i="7"/>
  <c r="BJ44" i="7"/>
  <c r="BH44" i="7"/>
  <c r="BG44" i="7"/>
  <c r="BE44" i="7"/>
  <c r="BD44" i="7"/>
  <c r="BB44" i="7"/>
  <c r="BA44" i="7"/>
  <c r="AY44" i="7"/>
  <c r="AX44" i="7"/>
  <c r="AV44" i="7"/>
  <c r="AU44" i="7"/>
  <c r="AS44" i="7"/>
  <c r="AR44" i="7"/>
  <c r="AQ44" i="7"/>
  <c r="AP44" i="7"/>
  <c r="AN44" i="7"/>
  <c r="AM44" i="7"/>
  <c r="AK44" i="7"/>
  <c r="AJ44" i="7"/>
  <c r="AL44" i="7" s="1"/>
  <c r="AH44" i="7"/>
  <c r="AG44" i="7"/>
  <c r="AE44" i="7"/>
  <c r="AD44" i="7"/>
  <c r="AB44" i="7"/>
  <c r="AA44" i="7"/>
  <c r="Z44" i="7"/>
  <c r="Y44" i="7"/>
  <c r="V44" i="7"/>
  <c r="U44" i="7"/>
  <c r="S44" i="7"/>
  <c r="R44" i="7"/>
  <c r="O44" i="7"/>
  <c r="L44" i="7"/>
  <c r="I44" i="7"/>
  <c r="Q44" i="7" s="1"/>
  <c r="H44" i="7"/>
  <c r="G44" i="7"/>
  <c r="P44" i="7" s="1"/>
  <c r="F44" i="7"/>
  <c r="CO43" i="7"/>
  <c r="CN43" i="7"/>
  <c r="CL43" i="7"/>
  <c r="CK43" i="7"/>
  <c r="CM43" i="7" s="1"/>
  <c r="CI43" i="7"/>
  <c r="CH43" i="7"/>
  <c r="CJ43" i="7" s="1"/>
  <c r="CF43" i="7"/>
  <c r="CE43" i="7"/>
  <c r="CG43" i="7" s="1"/>
  <c r="CC43" i="7"/>
  <c r="CB43" i="7"/>
  <c r="CD43" i="7" s="1"/>
  <c r="BZ43" i="7"/>
  <c r="BY43" i="7"/>
  <c r="CA43" i="7" s="1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B43" i="7"/>
  <c r="BA43" i="7"/>
  <c r="AY43" i="7"/>
  <c r="AX43" i="7"/>
  <c r="AV43" i="7"/>
  <c r="AU43" i="7"/>
  <c r="AS43" i="7"/>
  <c r="AR43" i="7"/>
  <c r="AQ43" i="7"/>
  <c r="AP43" i="7"/>
  <c r="AN43" i="7"/>
  <c r="AM43" i="7"/>
  <c r="AK43" i="7"/>
  <c r="AJ43" i="7"/>
  <c r="AH43" i="7"/>
  <c r="AG43" i="7"/>
  <c r="AE43" i="7"/>
  <c r="AD43" i="7"/>
  <c r="AB43" i="7"/>
  <c r="AA43" i="7"/>
  <c r="Z43" i="7"/>
  <c r="Y43" i="7"/>
  <c r="V43" i="7"/>
  <c r="U43" i="7"/>
  <c r="S43" i="7"/>
  <c r="R43" i="7"/>
  <c r="O43" i="7"/>
  <c r="L43" i="7"/>
  <c r="I43" i="7"/>
  <c r="Q43" i="7" s="1"/>
  <c r="H43" i="7"/>
  <c r="G43" i="7"/>
  <c r="P43" i="7" s="1"/>
  <c r="F43" i="7"/>
  <c r="CO42" i="7"/>
  <c r="CN42" i="7"/>
  <c r="CL42" i="7"/>
  <c r="CK42" i="7"/>
  <c r="CM42" i="7" s="1"/>
  <c r="CI42" i="7"/>
  <c r="CH42" i="7"/>
  <c r="CJ42" i="7" s="1"/>
  <c r="CF42" i="7"/>
  <c r="CE42" i="7"/>
  <c r="CG42" i="7" s="1"/>
  <c r="CC42" i="7"/>
  <c r="CB42" i="7"/>
  <c r="CD42" i="7" s="1"/>
  <c r="BZ42" i="7"/>
  <c r="BY42" i="7"/>
  <c r="CA42" i="7" s="1"/>
  <c r="BW42" i="7"/>
  <c r="BV42" i="7"/>
  <c r="BX42" i="7" s="1"/>
  <c r="BT42" i="7"/>
  <c r="BS42" i="7"/>
  <c r="BQ42" i="7"/>
  <c r="BP42" i="7"/>
  <c r="BN42" i="7"/>
  <c r="BM42" i="7"/>
  <c r="BO42" i="7" s="1"/>
  <c r="BK42" i="7"/>
  <c r="BJ42" i="7"/>
  <c r="BH42" i="7"/>
  <c r="BG42" i="7"/>
  <c r="BE42" i="7"/>
  <c r="BD42" i="7"/>
  <c r="BF42" i="7" s="1"/>
  <c r="BB42" i="7"/>
  <c r="BA42" i="7"/>
  <c r="BC42" i="7" s="1"/>
  <c r="AY42" i="7"/>
  <c r="AX42" i="7"/>
  <c r="AZ42" i="7" s="1"/>
  <c r="AV42" i="7"/>
  <c r="AU42" i="7"/>
  <c r="AW42" i="7" s="1"/>
  <c r="AS42" i="7"/>
  <c r="AR42" i="7"/>
  <c r="AT42" i="7" s="1"/>
  <c r="AQ42" i="7"/>
  <c r="AP42" i="7"/>
  <c r="AN42" i="7"/>
  <c r="AM42" i="7"/>
  <c r="AK42" i="7"/>
  <c r="AJ42" i="7"/>
  <c r="AL42" i="7" s="1"/>
  <c r="AH42" i="7"/>
  <c r="AG42" i="7"/>
  <c r="AE42" i="7"/>
  <c r="AD42" i="7"/>
  <c r="AB42" i="7"/>
  <c r="AA42" i="7"/>
  <c r="Z42" i="7"/>
  <c r="Y42" i="7"/>
  <c r="V42" i="7"/>
  <c r="U42" i="7"/>
  <c r="S42" i="7"/>
  <c r="R42" i="7"/>
  <c r="O42" i="7"/>
  <c r="L42" i="7"/>
  <c r="I42" i="7"/>
  <c r="Q42" i="7" s="1"/>
  <c r="H42" i="7"/>
  <c r="G42" i="7"/>
  <c r="P42" i="7" s="1"/>
  <c r="F42" i="7"/>
  <c r="CO41" i="7"/>
  <c r="CN41" i="7"/>
  <c r="CL41" i="7"/>
  <c r="CK41" i="7"/>
  <c r="CM41" i="7" s="1"/>
  <c r="CI41" i="7"/>
  <c r="CH41" i="7"/>
  <c r="CJ41" i="7" s="1"/>
  <c r="CF41" i="7"/>
  <c r="CE41" i="7"/>
  <c r="CG41" i="7" s="1"/>
  <c r="CC41" i="7"/>
  <c r="CB41" i="7"/>
  <c r="CD41" i="7" s="1"/>
  <c r="BZ41" i="7"/>
  <c r="BY41" i="7"/>
  <c r="CA41" i="7" s="1"/>
  <c r="BW41" i="7"/>
  <c r="BV41" i="7"/>
  <c r="BX41" i="7" s="1"/>
  <c r="BT41" i="7"/>
  <c r="BS41" i="7"/>
  <c r="BQ41" i="7"/>
  <c r="BP41" i="7"/>
  <c r="BN41" i="7"/>
  <c r="BM41" i="7"/>
  <c r="BO41" i="7" s="1"/>
  <c r="BK41" i="7"/>
  <c r="BJ41" i="7"/>
  <c r="BH41" i="7"/>
  <c r="BG41" i="7"/>
  <c r="BE41" i="7"/>
  <c r="BD41" i="7"/>
  <c r="BB41" i="7"/>
  <c r="BA41" i="7"/>
  <c r="AY41" i="7"/>
  <c r="AX41" i="7"/>
  <c r="AV41" i="7"/>
  <c r="AU41" i="7"/>
  <c r="AS41" i="7"/>
  <c r="AR41" i="7"/>
  <c r="AQ41" i="7"/>
  <c r="AP41" i="7"/>
  <c r="AN41" i="7"/>
  <c r="AM41" i="7"/>
  <c r="AK41" i="7"/>
  <c r="AJ41" i="7"/>
  <c r="AL41" i="7" s="1"/>
  <c r="AH41" i="7"/>
  <c r="AG41" i="7"/>
  <c r="AE41" i="7"/>
  <c r="AD41" i="7"/>
  <c r="AB41" i="7"/>
  <c r="AA41" i="7"/>
  <c r="Z41" i="7"/>
  <c r="Y41" i="7"/>
  <c r="V41" i="7"/>
  <c r="U41" i="7"/>
  <c r="S41" i="7"/>
  <c r="R41" i="7"/>
  <c r="O41" i="7"/>
  <c r="L41" i="7"/>
  <c r="I41" i="7"/>
  <c r="Q41" i="7" s="1"/>
  <c r="H41" i="7"/>
  <c r="G41" i="7"/>
  <c r="P41" i="7" s="1"/>
  <c r="F41" i="7"/>
  <c r="CO40" i="7"/>
  <c r="CN40" i="7"/>
  <c r="CL40" i="7"/>
  <c r="CK40" i="7"/>
  <c r="CM40" i="7" s="1"/>
  <c r="CI40" i="7"/>
  <c r="CH40" i="7"/>
  <c r="CJ40" i="7" s="1"/>
  <c r="CF40" i="7"/>
  <c r="CE40" i="7"/>
  <c r="CG40" i="7" s="1"/>
  <c r="CC40" i="7"/>
  <c r="CB40" i="7"/>
  <c r="CD40" i="7" s="1"/>
  <c r="BZ40" i="7"/>
  <c r="BY40" i="7"/>
  <c r="CA40" i="7" s="1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B40" i="7"/>
  <c r="BA40" i="7"/>
  <c r="AY40" i="7"/>
  <c r="AX40" i="7"/>
  <c r="AV40" i="7"/>
  <c r="AU40" i="7"/>
  <c r="AS40" i="7"/>
  <c r="AR40" i="7"/>
  <c r="AQ40" i="7"/>
  <c r="AP40" i="7"/>
  <c r="AN40" i="7"/>
  <c r="AM40" i="7"/>
  <c r="AK40" i="7"/>
  <c r="AJ40" i="7"/>
  <c r="AL40" i="7" s="1"/>
  <c r="AH40" i="7"/>
  <c r="AG40" i="7"/>
  <c r="AE40" i="7"/>
  <c r="AD40" i="7"/>
  <c r="AB40" i="7"/>
  <c r="AA40" i="7"/>
  <c r="Z40" i="7"/>
  <c r="Y40" i="7"/>
  <c r="V40" i="7"/>
  <c r="U40" i="7"/>
  <c r="S40" i="7"/>
  <c r="R40" i="7"/>
  <c r="O40" i="7"/>
  <c r="L40" i="7"/>
  <c r="I40" i="7"/>
  <c r="Q40" i="7" s="1"/>
  <c r="H40" i="7"/>
  <c r="G40" i="7"/>
  <c r="P40" i="7" s="1"/>
  <c r="F40" i="7"/>
  <c r="CO39" i="7"/>
  <c r="CN39" i="7"/>
  <c r="CL39" i="7"/>
  <c r="CK39" i="7"/>
  <c r="CM39" i="7" s="1"/>
  <c r="CI39" i="7"/>
  <c r="CH39" i="7"/>
  <c r="CJ39" i="7" s="1"/>
  <c r="CF39" i="7"/>
  <c r="CE39" i="7"/>
  <c r="CG39" i="7" s="1"/>
  <c r="CC39" i="7"/>
  <c r="CB39" i="7"/>
  <c r="CD39" i="7" s="1"/>
  <c r="BZ39" i="7"/>
  <c r="BY39" i="7"/>
  <c r="CA39" i="7" s="1"/>
  <c r="BW39" i="7"/>
  <c r="BV39" i="7"/>
  <c r="BX39" i="7" s="1"/>
  <c r="BT39" i="7"/>
  <c r="BS39" i="7"/>
  <c r="BQ39" i="7"/>
  <c r="BP39" i="7"/>
  <c r="BN39" i="7"/>
  <c r="BM39" i="7"/>
  <c r="BO39" i="7" s="1"/>
  <c r="BK39" i="7"/>
  <c r="BJ39" i="7"/>
  <c r="BH39" i="7"/>
  <c r="BG39" i="7"/>
  <c r="BE39" i="7"/>
  <c r="BD39" i="7"/>
  <c r="BF39" i="7" s="1"/>
  <c r="BB39" i="7"/>
  <c r="BA39" i="7"/>
  <c r="BC39" i="7" s="1"/>
  <c r="AY39" i="7"/>
  <c r="AX39" i="7"/>
  <c r="AZ39" i="7" s="1"/>
  <c r="AV39" i="7"/>
  <c r="AU39" i="7"/>
  <c r="AW39" i="7" s="1"/>
  <c r="AS39" i="7"/>
  <c r="AR39" i="7"/>
  <c r="AT39" i="7" s="1"/>
  <c r="AQ39" i="7"/>
  <c r="AP39" i="7"/>
  <c r="AN39" i="7"/>
  <c r="AM39" i="7"/>
  <c r="AK39" i="7"/>
  <c r="AJ39" i="7"/>
  <c r="AH39" i="7"/>
  <c r="AG39" i="7"/>
  <c r="AE39" i="7"/>
  <c r="AD39" i="7"/>
  <c r="AB39" i="7"/>
  <c r="AA39" i="7"/>
  <c r="Z39" i="7"/>
  <c r="Y39" i="7"/>
  <c r="V39" i="7"/>
  <c r="U39" i="7"/>
  <c r="S39" i="7"/>
  <c r="R39" i="7"/>
  <c r="O39" i="7"/>
  <c r="L39" i="7"/>
  <c r="I39" i="7"/>
  <c r="Q39" i="7" s="1"/>
  <c r="H39" i="7"/>
  <c r="G39" i="7"/>
  <c r="P39" i="7" s="1"/>
  <c r="F39" i="7"/>
  <c r="CO38" i="7"/>
  <c r="CN38" i="7"/>
  <c r="CL38" i="7"/>
  <c r="CK38" i="7"/>
  <c r="CM38" i="7" s="1"/>
  <c r="CI38" i="7"/>
  <c r="CH38" i="7"/>
  <c r="CJ38" i="7" s="1"/>
  <c r="CF38" i="7"/>
  <c r="CE38" i="7"/>
  <c r="CG38" i="7" s="1"/>
  <c r="CC38" i="7"/>
  <c r="CB38" i="7"/>
  <c r="CD38" i="7" s="1"/>
  <c r="BZ38" i="7"/>
  <c r="BY38" i="7"/>
  <c r="CA38" i="7" s="1"/>
  <c r="BW38" i="7"/>
  <c r="BV38" i="7"/>
  <c r="BX38" i="7" s="1"/>
  <c r="BT38" i="7"/>
  <c r="BS38" i="7"/>
  <c r="BQ38" i="7"/>
  <c r="BP38" i="7"/>
  <c r="BN38" i="7"/>
  <c r="BM38" i="7"/>
  <c r="BO38" i="7" s="1"/>
  <c r="BK38" i="7"/>
  <c r="BJ38" i="7"/>
  <c r="BH38" i="7"/>
  <c r="BG38" i="7"/>
  <c r="BE38" i="7"/>
  <c r="BD38" i="7"/>
  <c r="BB38" i="7"/>
  <c r="BA38" i="7"/>
  <c r="AY38" i="7"/>
  <c r="AX38" i="7"/>
  <c r="AV38" i="7"/>
  <c r="AU38" i="7"/>
  <c r="AS38" i="7"/>
  <c r="AR38" i="7"/>
  <c r="AQ38" i="7"/>
  <c r="AP38" i="7"/>
  <c r="AN38" i="7"/>
  <c r="AM38" i="7"/>
  <c r="AK38" i="7"/>
  <c r="AJ38" i="7"/>
  <c r="AL38" i="7" s="1"/>
  <c r="AH38" i="7"/>
  <c r="AG38" i="7"/>
  <c r="AE38" i="7"/>
  <c r="AD38" i="7"/>
  <c r="AB38" i="7"/>
  <c r="AA38" i="7"/>
  <c r="Z38" i="7"/>
  <c r="Y38" i="7"/>
  <c r="V38" i="7"/>
  <c r="U38" i="7"/>
  <c r="S38" i="7"/>
  <c r="R38" i="7"/>
  <c r="O38" i="7"/>
  <c r="L38" i="7"/>
  <c r="I38" i="7"/>
  <c r="Q38" i="7" s="1"/>
  <c r="H38" i="7"/>
  <c r="G38" i="7"/>
  <c r="F38" i="7"/>
  <c r="CO37" i="7"/>
  <c r="CN37" i="7"/>
  <c r="CL37" i="7"/>
  <c r="CK37" i="7"/>
  <c r="CM37" i="7" s="1"/>
  <c r="CI37" i="7"/>
  <c r="CH37" i="7"/>
  <c r="CJ37" i="7" s="1"/>
  <c r="CF37" i="7"/>
  <c r="CE37" i="7"/>
  <c r="CG37" i="7" s="1"/>
  <c r="CC37" i="7"/>
  <c r="CB37" i="7"/>
  <c r="CD37" i="7" s="1"/>
  <c r="BZ37" i="7"/>
  <c r="BY37" i="7"/>
  <c r="CA37" i="7" s="1"/>
  <c r="BW37" i="7"/>
  <c r="BV37" i="7"/>
  <c r="BX37" i="7" s="1"/>
  <c r="BT37" i="7"/>
  <c r="BS37" i="7"/>
  <c r="BQ37" i="7"/>
  <c r="BP37" i="7"/>
  <c r="BN37" i="7"/>
  <c r="BM37" i="7"/>
  <c r="BO37" i="7" s="1"/>
  <c r="BK37" i="7"/>
  <c r="BJ37" i="7"/>
  <c r="BH37" i="7"/>
  <c r="BG37" i="7"/>
  <c r="BE37" i="7"/>
  <c r="BD37" i="7"/>
  <c r="BB37" i="7"/>
  <c r="BA37" i="7"/>
  <c r="AY37" i="7"/>
  <c r="AX37" i="7"/>
  <c r="AV37" i="7"/>
  <c r="AU37" i="7"/>
  <c r="AS37" i="7"/>
  <c r="AR37" i="7"/>
  <c r="AQ37" i="7"/>
  <c r="AP37" i="7"/>
  <c r="AN37" i="7"/>
  <c r="AM37" i="7"/>
  <c r="AK37" i="7"/>
  <c r="AJ37" i="7"/>
  <c r="AH37" i="7"/>
  <c r="AG37" i="7"/>
  <c r="AE37" i="7"/>
  <c r="AD37" i="7"/>
  <c r="AB37" i="7"/>
  <c r="AA37" i="7"/>
  <c r="Z37" i="7"/>
  <c r="Y37" i="7"/>
  <c r="V37" i="7"/>
  <c r="U37" i="7"/>
  <c r="S37" i="7"/>
  <c r="R37" i="7"/>
  <c r="O37" i="7"/>
  <c r="L37" i="7"/>
  <c r="I37" i="7"/>
  <c r="Q37" i="7" s="1"/>
  <c r="H37" i="7"/>
  <c r="G37" i="7"/>
  <c r="P37" i="7" s="1"/>
  <c r="F37" i="7"/>
  <c r="CO36" i="7"/>
  <c r="CN36" i="7"/>
  <c r="CL36" i="7"/>
  <c r="CK36" i="7"/>
  <c r="CM36" i="7" s="1"/>
  <c r="CI36" i="7"/>
  <c r="CH36" i="7"/>
  <c r="CJ36" i="7" s="1"/>
  <c r="CF36" i="7"/>
  <c r="CE36" i="7"/>
  <c r="CG36" i="7" s="1"/>
  <c r="CC36" i="7"/>
  <c r="CB36" i="7"/>
  <c r="CD36" i="7" s="1"/>
  <c r="BZ36" i="7"/>
  <c r="BY36" i="7"/>
  <c r="CA36" i="7" s="1"/>
  <c r="BW36" i="7"/>
  <c r="BV36" i="7"/>
  <c r="BT36" i="7"/>
  <c r="BS36" i="7"/>
  <c r="BQ36" i="7"/>
  <c r="BP36" i="7"/>
  <c r="BN36" i="7"/>
  <c r="BM36" i="7"/>
  <c r="BK36" i="7"/>
  <c r="BJ36" i="7"/>
  <c r="BH36" i="7"/>
  <c r="BG36" i="7"/>
  <c r="BE36" i="7"/>
  <c r="BD36" i="7"/>
  <c r="BF36" i="7" s="1"/>
  <c r="BB36" i="7"/>
  <c r="BA36" i="7"/>
  <c r="BC36" i="7" s="1"/>
  <c r="AY36" i="7"/>
  <c r="AX36" i="7"/>
  <c r="AZ36" i="7" s="1"/>
  <c r="AV36" i="7"/>
  <c r="AU36" i="7"/>
  <c r="AW36" i="7" s="1"/>
  <c r="AS36" i="7"/>
  <c r="AR36" i="7"/>
  <c r="AT36" i="7" s="1"/>
  <c r="AQ36" i="7"/>
  <c r="AP36" i="7"/>
  <c r="AN36" i="7"/>
  <c r="AM36" i="7"/>
  <c r="AK36" i="7"/>
  <c r="AJ36" i="7"/>
  <c r="AL36" i="7" s="1"/>
  <c r="AH36" i="7"/>
  <c r="AG36" i="7"/>
  <c r="AE36" i="7"/>
  <c r="AD36" i="7"/>
  <c r="AB36" i="7"/>
  <c r="AA36" i="7"/>
  <c r="Z36" i="7"/>
  <c r="Y36" i="7"/>
  <c r="V36" i="7"/>
  <c r="U36" i="7"/>
  <c r="S36" i="7"/>
  <c r="R36" i="7"/>
  <c r="O36" i="7"/>
  <c r="L36" i="7"/>
  <c r="I36" i="7"/>
  <c r="Q36" i="7" s="1"/>
  <c r="H36" i="7"/>
  <c r="G36" i="7"/>
  <c r="P36" i="7" s="1"/>
  <c r="F36" i="7"/>
  <c r="E36" i="7"/>
  <c r="CO35" i="7"/>
  <c r="CN35" i="7"/>
  <c r="CL35" i="7"/>
  <c r="CK35" i="7"/>
  <c r="CI35" i="7"/>
  <c r="CH35" i="7"/>
  <c r="CJ35" i="7" s="1"/>
  <c r="CF35" i="7"/>
  <c r="CE35" i="7"/>
  <c r="CC35" i="7"/>
  <c r="CB35" i="7"/>
  <c r="CD35" i="7" s="1"/>
  <c r="BZ35" i="7"/>
  <c r="BY35" i="7"/>
  <c r="BW35" i="7"/>
  <c r="BV35" i="7"/>
  <c r="BX35" i="7" s="1"/>
  <c r="BT35" i="7"/>
  <c r="BS35" i="7"/>
  <c r="BQ35" i="7"/>
  <c r="BP35" i="7"/>
  <c r="BN35" i="7"/>
  <c r="BM35" i="7"/>
  <c r="BK35" i="7"/>
  <c r="BJ35" i="7"/>
  <c r="BH35" i="7"/>
  <c r="BG35" i="7"/>
  <c r="BE35" i="7"/>
  <c r="BD35" i="7"/>
  <c r="BB35" i="7"/>
  <c r="BA35" i="7"/>
  <c r="AY35" i="7"/>
  <c r="AX35" i="7"/>
  <c r="AV35" i="7"/>
  <c r="AU35" i="7"/>
  <c r="AS35" i="7"/>
  <c r="AR35" i="7"/>
  <c r="AQ35" i="7"/>
  <c r="AP35" i="7"/>
  <c r="AN35" i="7"/>
  <c r="AM35" i="7"/>
  <c r="AK35" i="7"/>
  <c r="AJ35" i="7"/>
  <c r="AL35" i="7" s="1"/>
  <c r="AH35" i="7"/>
  <c r="AG35" i="7"/>
  <c r="AE35" i="7"/>
  <c r="AD35" i="7"/>
  <c r="AB35" i="7"/>
  <c r="AA35" i="7"/>
  <c r="Z35" i="7"/>
  <c r="Y35" i="7"/>
  <c r="V35" i="7"/>
  <c r="U35" i="7"/>
  <c r="S35" i="7"/>
  <c r="R35" i="7"/>
  <c r="O35" i="7"/>
  <c r="L35" i="7"/>
  <c r="I35" i="7"/>
  <c r="Q35" i="7" s="1"/>
  <c r="H35" i="7"/>
  <c r="G35" i="7"/>
  <c r="P35" i="7" s="1"/>
  <c r="F35" i="7"/>
  <c r="CO34" i="7"/>
  <c r="CN34" i="7"/>
  <c r="CL34" i="7"/>
  <c r="CK34" i="7"/>
  <c r="CM34" i="7" s="1"/>
  <c r="CI34" i="7"/>
  <c r="CH34" i="7"/>
  <c r="CJ34" i="7" s="1"/>
  <c r="CF34" i="7"/>
  <c r="CE34" i="7"/>
  <c r="CG34" i="7" s="1"/>
  <c r="CC34" i="7"/>
  <c r="CB34" i="7"/>
  <c r="CD34" i="7" s="1"/>
  <c r="BZ34" i="7"/>
  <c r="BY34" i="7"/>
  <c r="CA34" i="7" s="1"/>
  <c r="BW34" i="7"/>
  <c r="BV34" i="7"/>
  <c r="BX34" i="7" s="1"/>
  <c r="BT34" i="7"/>
  <c r="BS34" i="7"/>
  <c r="BQ34" i="7"/>
  <c r="BP34" i="7"/>
  <c r="BN34" i="7"/>
  <c r="BM34" i="7"/>
  <c r="BO34" i="7" s="1"/>
  <c r="BK34" i="7"/>
  <c r="BJ34" i="7"/>
  <c r="BH34" i="7"/>
  <c r="BG34" i="7"/>
  <c r="BE34" i="7"/>
  <c r="BD34" i="7"/>
  <c r="BF34" i="7" s="1"/>
  <c r="BB34" i="7"/>
  <c r="BA34" i="7"/>
  <c r="BC34" i="7" s="1"/>
  <c r="AY34" i="7"/>
  <c r="AX34" i="7"/>
  <c r="AZ34" i="7" s="1"/>
  <c r="AV34" i="7"/>
  <c r="AU34" i="7"/>
  <c r="AW34" i="7" s="1"/>
  <c r="AS34" i="7"/>
  <c r="AR34" i="7"/>
  <c r="AT34" i="7" s="1"/>
  <c r="AQ34" i="7"/>
  <c r="AP34" i="7"/>
  <c r="AN34" i="7"/>
  <c r="AM34" i="7"/>
  <c r="AK34" i="7"/>
  <c r="AJ34" i="7"/>
  <c r="AH34" i="7"/>
  <c r="AG34" i="7"/>
  <c r="AE34" i="7"/>
  <c r="AD34" i="7"/>
  <c r="AB34" i="7"/>
  <c r="AA34" i="7"/>
  <c r="Z34" i="7"/>
  <c r="Y34" i="7"/>
  <c r="V34" i="7"/>
  <c r="U34" i="7"/>
  <c r="S34" i="7"/>
  <c r="R34" i="7"/>
  <c r="O34" i="7"/>
  <c r="L34" i="7"/>
  <c r="I34" i="7"/>
  <c r="Q34" i="7" s="1"/>
  <c r="H34" i="7"/>
  <c r="G34" i="7"/>
  <c r="P34" i="7" s="1"/>
  <c r="F34" i="7"/>
  <c r="E34" i="7"/>
  <c r="CO33" i="7"/>
  <c r="CN33" i="7"/>
  <c r="CL33" i="7"/>
  <c r="CK33" i="7"/>
  <c r="CM33" i="7" s="1"/>
  <c r="CI33" i="7"/>
  <c r="CH33" i="7"/>
  <c r="CJ33" i="7" s="1"/>
  <c r="CF33" i="7"/>
  <c r="CE33" i="7"/>
  <c r="CG33" i="7" s="1"/>
  <c r="CC33" i="7"/>
  <c r="CB33" i="7"/>
  <c r="CD33" i="7" s="1"/>
  <c r="BZ33" i="7"/>
  <c r="BY33" i="7"/>
  <c r="CA33" i="7" s="1"/>
  <c r="BW33" i="7"/>
  <c r="BV33" i="7"/>
  <c r="BX33" i="7" s="1"/>
  <c r="BT33" i="7"/>
  <c r="BS33" i="7"/>
  <c r="BQ33" i="7"/>
  <c r="BP33" i="7"/>
  <c r="BN33" i="7"/>
  <c r="BM33" i="7"/>
  <c r="BO33" i="7" s="1"/>
  <c r="BK33" i="7"/>
  <c r="BJ33" i="7"/>
  <c r="BH33" i="7"/>
  <c r="BG33" i="7"/>
  <c r="BE33" i="7"/>
  <c r="BD33" i="7"/>
  <c r="BF33" i="7" s="1"/>
  <c r="BB33" i="7"/>
  <c r="BA33" i="7"/>
  <c r="BC33" i="7" s="1"/>
  <c r="AY33" i="7"/>
  <c r="AX33" i="7"/>
  <c r="AZ33" i="7" s="1"/>
  <c r="AV33" i="7"/>
  <c r="AU33" i="7"/>
  <c r="AW33" i="7" s="1"/>
  <c r="AS33" i="7"/>
  <c r="AR33" i="7"/>
  <c r="AT33" i="7" s="1"/>
  <c r="AQ33" i="7"/>
  <c r="AP33" i="7"/>
  <c r="AN33" i="7"/>
  <c r="AM33" i="7"/>
  <c r="AK33" i="7"/>
  <c r="AJ33" i="7"/>
  <c r="AL33" i="7" s="1"/>
  <c r="AH33" i="7"/>
  <c r="AG33" i="7"/>
  <c r="AE33" i="7"/>
  <c r="AD33" i="7"/>
  <c r="AB33" i="7"/>
  <c r="AA33" i="7"/>
  <c r="Z33" i="7"/>
  <c r="Y33" i="7"/>
  <c r="V33" i="7"/>
  <c r="U33" i="7"/>
  <c r="S33" i="7"/>
  <c r="R33" i="7"/>
  <c r="O33" i="7"/>
  <c r="L33" i="7"/>
  <c r="I33" i="7"/>
  <c r="Q33" i="7" s="1"/>
  <c r="H33" i="7"/>
  <c r="G33" i="7"/>
  <c r="F33" i="7"/>
  <c r="CO32" i="7"/>
  <c r="CN32" i="7"/>
  <c r="CL32" i="7"/>
  <c r="CK32" i="7"/>
  <c r="CM32" i="7" s="1"/>
  <c r="CI32" i="7"/>
  <c r="CH32" i="7"/>
  <c r="CF32" i="7"/>
  <c r="CE32" i="7"/>
  <c r="CG32" i="7" s="1"/>
  <c r="CC32" i="7"/>
  <c r="CB32" i="7"/>
  <c r="BZ32" i="7"/>
  <c r="BY32" i="7"/>
  <c r="CA32" i="7" s="1"/>
  <c r="BW32" i="7"/>
  <c r="BV32" i="7"/>
  <c r="BT32" i="7"/>
  <c r="BS32" i="7"/>
  <c r="BQ32" i="7"/>
  <c r="BP32" i="7"/>
  <c r="BN32" i="7"/>
  <c r="BM32" i="7"/>
  <c r="BO32" i="7" s="1"/>
  <c r="BK32" i="7"/>
  <c r="BJ32" i="7"/>
  <c r="BH32" i="7"/>
  <c r="BG32" i="7"/>
  <c r="BE32" i="7"/>
  <c r="BD32" i="7"/>
  <c r="BB32" i="7"/>
  <c r="BA32" i="7"/>
  <c r="BC32" i="7" s="1"/>
  <c r="AY32" i="7"/>
  <c r="AX32" i="7"/>
  <c r="AV32" i="7"/>
  <c r="AU32" i="7"/>
  <c r="AW32" i="7" s="1"/>
  <c r="AS32" i="7"/>
  <c r="AR32" i="7"/>
  <c r="AQ32" i="7"/>
  <c r="AP32" i="7"/>
  <c r="AN32" i="7"/>
  <c r="AM32" i="7"/>
  <c r="AK32" i="7"/>
  <c r="AJ32" i="7"/>
  <c r="AL32" i="7" s="1"/>
  <c r="AH32" i="7"/>
  <c r="AG32" i="7"/>
  <c r="AE32" i="7"/>
  <c r="AD32" i="7"/>
  <c r="AB32" i="7"/>
  <c r="AA32" i="7"/>
  <c r="Z32" i="7"/>
  <c r="Y32" i="7"/>
  <c r="V32" i="7"/>
  <c r="U32" i="7"/>
  <c r="S32" i="7"/>
  <c r="R32" i="7"/>
  <c r="O32" i="7"/>
  <c r="L32" i="7"/>
  <c r="I32" i="7"/>
  <c r="Q32" i="7" s="1"/>
  <c r="H32" i="7"/>
  <c r="G32" i="7"/>
  <c r="F32" i="7"/>
  <c r="CO30" i="7"/>
  <c r="CN30" i="7"/>
  <c r="CL30" i="7"/>
  <c r="CK30" i="7"/>
  <c r="CM30" i="7" s="1"/>
  <c r="CI30" i="7"/>
  <c r="CH30" i="7"/>
  <c r="CJ30" i="7" s="1"/>
  <c r="CF30" i="7"/>
  <c r="CE30" i="7"/>
  <c r="CG30" i="7" s="1"/>
  <c r="CC30" i="7"/>
  <c r="CB30" i="7"/>
  <c r="CD30" i="7" s="1"/>
  <c r="BZ30" i="7"/>
  <c r="BY30" i="7"/>
  <c r="CA30" i="7" s="1"/>
  <c r="BW30" i="7"/>
  <c r="BV30" i="7"/>
  <c r="BX30" i="7" s="1"/>
  <c r="BT30" i="7"/>
  <c r="BS30" i="7"/>
  <c r="BQ30" i="7"/>
  <c r="BP30" i="7"/>
  <c r="BN30" i="7"/>
  <c r="BM30" i="7"/>
  <c r="BO30" i="7" s="1"/>
  <c r="BK30" i="7"/>
  <c r="BJ30" i="7"/>
  <c r="BH30" i="7"/>
  <c r="BG30" i="7"/>
  <c r="BE30" i="7"/>
  <c r="BD30" i="7"/>
  <c r="BF30" i="7" s="1"/>
  <c r="BB30" i="7"/>
  <c r="BA30" i="7"/>
  <c r="BC30" i="7" s="1"/>
  <c r="AY30" i="7"/>
  <c r="AX30" i="7"/>
  <c r="AZ30" i="7" s="1"/>
  <c r="AV30" i="7"/>
  <c r="AU30" i="7"/>
  <c r="AW30" i="7" s="1"/>
  <c r="AS30" i="7"/>
  <c r="AR30" i="7"/>
  <c r="AT30" i="7" s="1"/>
  <c r="AQ30" i="7"/>
  <c r="AP30" i="7"/>
  <c r="AN30" i="7"/>
  <c r="AM30" i="7"/>
  <c r="AK30" i="7"/>
  <c r="AJ30" i="7"/>
  <c r="AL30" i="7" s="1"/>
  <c r="AH30" i="7"/>
  <c r="AG30" i="7"/>
  <c r="AE30" i="7"/>
  <c r="AD30" i="7"/>
  <c r="AB30" i="7"/>
  <c r="AA30" i="7"/>
  <c r="Z30" i="7"/>
  <c r="Y30" i="7"/>
  <c r="V30" i="7"/>
  <c r="U30" i="7"/>
  <c r="S30" i="7"/>
  <c r="R30" i="7"/>
  <c r="O30" i="7"/>
  <c r="L30" i="7"/>
  <c r="I30" i="7"/>
  <c r="Q30" i="7" s="1"/>
  <c r="H30" i="7"/>
  <c r="G30" i="7"/>
  <c r="P30" i="7" s="1"/>
  <c r="F30" i="7"/>
  <c r="E30" i="7"/>
  <c r="CO29" i="7"/>
  <c r="CN29" i="7"/>
  <c r="CL29" i="7"/>
  <c r="CK29" i="7"/>
  <c r="CM29" i="7" s="1"/>
  <c r="CI29" i="7"/>
  <c r="CH29" i="7"/>
  <c r="CJ29" i="7" s="1"/>
  <c r="CF29" i="7"/>
  <c r="CE29" i="7"/>
  <c r="CG29" i="7" s="1"/>
  <c r="CC29" i="7"/>
  <c r="CB29" i="7"/>
  <c r="CD29" i="7" s="1"/>
  <c r="BZ29" i="7"/>
  <c r="BY29" i="7"/>
  <c r="CA29" i="7" s="1"/>
  <c r="BW29" i="7"/>
  <c r="BV29" i="7"/>
  <c r="BX29" i="7" s="1"/>
  <c r="BT29" i="7"/>
  <c r="BS29" i="7"/>
  <c r="BQ29" i="7"/>
  <c r="BP29" i="7"/>
  <c r="BN29" i="7"/>
  <c r="BM29" i="7"/>
  <c r="BO29" i="7" s="1"/>
  <c r="BK29" i="7"/>
  <c r="BJ29" i="7"/>
  <c r="BH29" i="7"/>
  <c r="BG29" i="7"/>
  <c r="BE29" i="7"/>
  <c r="BD29" i="7"/>
  <c r="BB29" i="7"/>
  <c r="BA29" i="7"/>
  <c r="AY29" i="7"/>
  <c r="AX29" i="7"/>
  <c r="AV29" i="7"/>
  <c r="AU29" i="7"/>
  <c r="AS29" i="7"/>
  <c r="AR29" i="7"/>
  <c r="AQ29" i="7"/>
  <c r="AP29" i="7"/>
  <c r="AN29" i="7"/>
  <c r="AM29" i="7"/>
  <c r="AK29" i="7"/>
  <c r="AJ29" i="7"/>
  <c r="AL29" i="7" s="1"/>
  <c r="AH29" i="7"/>
  <c r="AG29" i="7"/>
  <c r="AE29" i="7"/>
  <c r="AD29" i="7"/>
  <c r="AB29" i="7"/>
  <c r="AA29" i="7"/>
  <c r="Z29" i="7"/>
  <c r="Y29" i="7"/>
  <c r="V29" i="7"/>
  <c r="U29" i="7"/>
  <c r="S29" i="7"/>
  <c r="R29" i="7"/>
  <c r="O29" i="7"/>
  <c r="L29" i="7"/>
  <c r="I29" i="7"/>
  <c r="Q29" i="7" s="1"/>
  <c r="H29" i="7"/>
  <c r="G29" i="7"/>
  <c r="P29" i="7" s="1"/>
  <c r="F29" i="7"/>
  <c r="E29" i="7"/>
  <c r="CO28" i="7"/>
  <c r="CN28" i="7"/>
  <c r="CL28" i="7"/>
  <c r="CK28" i="7"/>
  <c r="CM28" i="7" s="1"/>
  <c r="CI28" i="7"/>
  <c r="CH28" i="7"/>
  <c r="CJ28" i="7" s="1"/>
  <c r="CF28" i="7"/>
  <c r="CE28" i="7"/>
  <c r="CG28" i="7" s="1"/>
  <c r="CC28" i="7"/>
  <c r="CB28" i="7"/>
  <c r="CD28" i="7" s="1"/>
  <c r="BZ28" i="7"/>
  <c r="BY28" i="7"/>
  <c r="CA28" i="7" s="1"/>
  <c r="BW28" i="7"/>
  <c r="BV28" i="7"/>
  <c r="BX28" i="7" s="1"/>
  <c r="BT28" i="7"/>
  <c r="BS28" i="7"/>
  <c r="BQ28" i="7"/>
  <c r="BP28" i="7"/>
  <c r="BN28" i="7"/>
  <c r="BM28" i="7"/>
  <c r="BO28" i="7" s="1"/>
  <c r="BK28" i="7"/>
  <c r="BJ28" i="7"/>
  <c r="BH28" i="7"/>
  <c r="BG28" i="7"/>
  <c r="BE28" i="7"/>
  <c r="BD28" i="7"/>
  <c r="BF28" i="7" s="1"/>
  <c r="BB28" i="7"/>
  <c r="BA28" i="7"/>
  <c r="BC28" i="7" s="1"/>
  <c r="AY28" i="7"/>
  <c r="AX28" i="7"/>
  <c r="AZ28" i="7" s="1"/>
  <c r="AV28" i="7"/>
  <c r="AU28" i="7"/>
  <c r="AW28" i="7" s="1"/>
  <c r="AS28" i="7"/>
  <c r="AR28" i="7"/>
  <c r="AT28" i="7" s="1"/>
  <c r="AQ28" i="7"/>
  <c r="AP28" i="7"/>
  <c r="AN28" i="7"/>
  <c r="AM28" i="7"/>
  <c r="AK28" i="7"/>
  <c r="AJ28" i="7"/>
  <c r="AL28" i="7" s="1"/>
  <c r="AH28" i="7"/>
  <c r="AG28" i="7"/>
  <c r="AE28" i="7"/>
  <c r="AD28" i="7"/>
  <c r="AB28" i="7"/>
  <c r="AA28" i="7"/>
  <c r="Z28" i="7"/>
  <c r="Y28" i="7"/>
  <c r="V28" i="7"/>
  <c r="U28" i="7"/>
  <c r="S28" i="7"/>
  <c r="R28" i="7"/>
  <c r="O28" i="7"/>
  <c r="L28" i="7"/>
  <c r="I28" i="7"/>
  <c r="Q28" i="7" s="1"/>
  <c r="H28" i="7"/>
  <c r="G28" i="7"/>
  <c r="P28" i="7" s="1"/>
  <c r="F28" i="7"/>
  <c r="E28" i="7"/>
  <c r="CO27" i="7"/>
  <c r="CN27" i="7"/>
  <c r="CL27" i="7"/>
  <c r="CK27" i="7"/>
  <c r="CI27" i="7"/>
  <c r="CH27" i="7"/>
  <c r="CF27" i="7"/>
  <c r="CE27" i="7"/>
  <c r="CG27" i="7" s="1"/>
  <c r="CC27" i="7"/>
  <c r="CB27" i="7"/>
  <c r="BZ27" i="7"/>
  <c r="BY27" i="7"/>
  <c r="BW27" i="7"/>
  <c r="BV27" i="7"/>
  <c r="BX27" i="7" s="1"/>
  <c r="BT27" i="7"/>
  <c r="BS27" i="7"/>
  <c r="BQ27" i="7"/>
  <c r="BP27" i="7"/>
  <c r="BN27" i="7"/>
  <c r="BM27" i="7"/>
  <c r="BO27" i="7" s="1"/>
  <c r="BK27" i="7"/>
  <c r="BJ27" i="7"/>
  <c r="BH27" i="7"/>
  <c r="BG27" i="7"/>
  <c r="BE27" i="7"/>
  <c r="BD27" i="7"/>
  <c r="BF27" i="7" s="1"/>
  <c r="BB27" i="7"/>
  <c r="BA27" i="7"/>
  <c r="BC27" i="7" s="1"/>
  <c r="AY27" i="7"/>
  <c r="AX27" i="7"/>
  <c r="AZ27" i="7" s="1"/>
  <c r="AV27" i="7"/>
  <c r="AU27" i="7"/>
  <c r="AW27" i="7" s="1"/>
  <c r="AS27" i="7"/>
  <c r="AR27" i="7"/>
  <c r="AT27" i="7" s="1"/>
  <c r="AQ27" i="7"/>
  <c r="AP27" i="7"/>
  <c r="AN27" i="7"/>
  <c r="AM27" i="7"/>
  <c r="AK27" i="7"/>
  <c r="AJ27" i="7"/>
  <c r="AL27" i="7" s="1"/>
  <c r="AH27" i="7"/>
  <c r="AG27" i="7"/>
  <c r="AE27" i="7"/>
  <c r="AD27" i="7"/>
  <c r="AB27" i="7"/>
  <c r="AA27" i="7"/>
  <c r="Z27" i="7"/>
  <c r="Y27" i="7"/>
  <c r="V27" i="7"/>
  <c r="U27" i="7"/>
  <c r="S27" i="7"/>
  <c r="R27" i="7"/>
  <c r="O27" i="7"/>
  <c r="L27" i="7"/>
  <c r="I27" i="7"/>
  <c r="Q27" i="7" s="1"/>
  <c r="H27" i="7"/>
  <c r="G27" i="7"/>
  <c r="F27" i="7"/>
  <c r="E27" i="7"/>
  <c r="CO26" i="7"/>
  <c r="CN26" i="7"/>
  <c r="CL26" i="7"/>
  <c r="CK26" i="7"/>
  <c r="CM26" i="7" s="1"/>
  <c r="CI26" i="7"/>
  <c r="CH26" i="7"/>
  <c r="CJ26" i="7" s="1"/>
  <c r="CF26" i="7"/>
  <c r="CE26" i="7"/>
  <c r="CG26" i="7" s="1"/>
  <c r="CC26" i="7"/>
  <c r="CB26" i="7"/>
  <c r="CD26" i="7" s="1"/>
  <c r="BZ26" i="7"/>
  <c r="BY26" i="7"/>
  <c r="CA26" i="7" s="1"/>
  <c r="BW26" i="7"/>
  <c r="BV26" i="7"/>
  <c r="BX26" i="7" s="1"/>
  <c r="BT26" i="7"/>
  <c r="BS26" i="7"/>
  <c r="BQ26" i="7"/>
  <c r="BP26" i="7"/>
  <c r="BN26" i="7"/>
  <c r="BM26" i="7"/>
  <c r="BO26" i="7" s="1"/>
  <c r="BK26" i="7"/>
  <c r="BJ26" i="7"/>
  <c r="BH26" i="7"/>
  <c r="BG26" i="7"/>
  <c r="BE26" i="7"/>
  <c r="BD26" i="7"/>
  <c r="BF26" i="7" s="1"/>
  <c r="BB26" i="7"/>
  <c r="BA26" i="7"/>
  <c r="BC26" i="7" s="1"/>
  <c r="AY26" i="7"/>
  <c r="AX26" i="7"/>
  <c r="AZ26" i="7" s="1"/>
  <c r="AV26" i="7"/>
  <c r="AU26" i="7"/>
  <c r="AW26" i="7" s="1"/>
  <c r="AS26" i="7"/>
  <c r="AR26" i="7"/>
  <c r="AT26" i="7" s="1"/>
  <c r="AQ26" i="7"/>
  <c r="AP26" i="7"/>
  <c r="AN26" i="7"/>
  <c r="AM26" i="7"/>
  <c r="AK26" i="7"/>
  <c r="AJ26" i="7"/>
  <c r="AH26" i="7"/>
  <c r="AG26" i="7"/>
  <c r="AE26" i="7"/>
  <c r="AD26" i="7"/>
  <c r="AB26" i="7"/>
  <c r="AA26" i="7"/>
  <c r="Z26" i="7"/>
  <c r="Y26" i="7"/>
  <c r="V26" i="7"/>
  <c r="U26" i="7"/>
  <c r="S26" i="7"/>
  <c r="R26" i="7"/>
  <c r="O26" i="7"/>
  <c r="L26" i="7"/>
  <c r="I26" i="7"/>
  <c r="Q26" i="7" s="1"/>
  <c r="H26" i="7"/>
  <c r="G26" i="7"/>
  <c r="P26" i="7" s="1"/>
  <c r="F26" i="7"/>
  <c r="E26" i="7"/>
  <c r="CO25" i="7"/>
  <c r="CN25" i="7"/>
  <c r="CL25" i="7"/>
  <c r="CK25" i="7"/>
  <c r="CM25" i="7" s="1"/>
  <c r="CI25" i="7"/>
  <c r="CH25" i="7"/>
  <c r="CJ25" i="7" s="1"/>
  <c r="CF25" i="7"/>
  <c r="CE25" i="7"/>
  <c r="CG25" i="7" s="1"/>
  <c r="CC25" i="7"/>
  <c r="CB25" i="7"/>
  <c r="CD25" i="7" s="1"/>
  <c r="BZ25" i="7"/>
  <c r="BY25" i="7"/>
  <c r="CA25" i="7" s="1"/>
  <c r="BW25" i="7"/>
  <c r="BV25" i="7"/>
  <c r="BX25" i="7" s="1"/>
  <c r="BT25" i="7"/>
  <c r="BS25" i="7"/>
  <c r="BQ25" i="7"/>
  <c r="BP25" i="7"/>
  <c r="BN25" i="7"/>
  <c r="BM25" i="7"/>
  <c r="BO25" i="7" s="1"/>
  <c r="BK25" i="7"/>
  <c r="BJ25" i="7"/>
  <c r="BH25" i="7"/>
  <c r="BG25" i="7"/>
  <c r="BE25" i="7"/>
  <c r="BD25" i="7"/>
  <c r="BF25" i="7" s="1"/>
  <c r="BB25" i="7"/>
  <c r="BA25" i="7"/>
  <c r="BC25" i="7" s="1"/>
  <c r="AY25" i="7"/>
  <c r="AX25" i="7"/>
  <c r="AZ25" i="7" s="1"/>
  <c r="AV25" i="7"/>
  <c r="AU25" i="7"/>
  <c r="AW25" i="7" s="1"/>
  <c r="AS25" i="7"/>
  <c r="AR25" i="7"/>
  <c r="AT25" i="7" s="1"/>
  <c r="AQ25" i="7"/>
  <c r="AP25" i="7"/>
  <c r="AN25" i="7"/>
  <c r="AM25" i="7"/>
  <c r="AK25" i="7"/>
  <c r="AJ25" i="7"/>
  <c r="AL25" i="7" s="1"/>
  <c r="AH25" i="7"/>
  <c r="AG25" i="7"/>
  <c r="AE25" i="7"/>
  <c r="AD25" i="7"/>
  <c r="AB25" i="7"/>
  <c r="AA25" i="7"/>
  <c r="Z25" i="7"/>
  <c r="Y25" i="7"/>
  <c r="V25" i="7"/>
  <c r="U25" i="7"/>
  <c r="S25" i="7"/>
  <c r="R25" i="7"/>
  <c r="O25" i="7"/>
  <c r="L25" i="7"/>
  <c r="I25" i="7"/>
  <c r="Q25" i="7" s="1"/>
  <c r="H25" i="7"/>
  <c r="G25" i="7"/>
  <c r="P25" i="7" s="1"/>
  <c r="F25" i="7"/>
  <c r="E25" i="7"/>
  <c r="CO24" i="7"/>
  <c r="CN24" i="7"/>
  <c r="CL24" i="7"/>
  <c r="CK24" i="7"/>
  <c r="CM24" i="7" s="1"/>
  <c r="CI24" i="7"/>
  <c r="CH24" i="7"/>
  <c r="CJ24" i="7" s="1"/>
  <c r="CF24" i="7"/>
  <c r="CE24" i="7"/>
  <c r="CG24" i="7" s="1"/>
  <c r="CC24" i="7"/>
  <c r="CB24" i="7"/>
  <c r="CD24" i="7" s="1"/>
  <c r="BZ24" i="7"/>
  <c r="BY24" i="7"/>
  <c r="CA24" i="7" s="1"/>
  <c r="BW24" i="7"/>
  <c r="BV24" i="7"/>
  <c r="BX24" i="7" s="1"/>
  <c r="BT24" i="7"/>
  <c r="BS24" i="7"/>
  <c r="BQ24" i="7"/>
  <c r="BP24" i="7"/>
  <c r="BN24" i="7"/>
  <c r="BM24" i="7"/>
  <c r="BO24" i="7" s="1"/>
  <c r="BK24" i="7"/>
  <c r="BJ24" i="7"/>
  <c r="BH24" i="7"/>
  <c r="BG24" i="7"/>
  <c r="BE24" i="7"/>
  <c r="BD24" i="7"/>
  <c r="BF24" i="7" s="1"/>
  <c r="BB24" i="7"/>
  <c r="BA24" i="7"/>
  <c r="BC24" i="7" s="1"/>
  <c r="AY24" i="7"/>
  <c r="AX24" i="7"/>
  <c r="AZ24" i="7" s="1"/>
  <c r="AV24" i="7"/>
  <c r="AU24" i="7"/>
  <c r="AW24" i="7" s="1"/>
  <c r="AS24" i="7"/>
  <c r="AR24" i="7"/>
  <c r="AT24" i="7" s="1"/>
  <c r="AQ24" i="7"/>
  <c r="AP24" i="7"/>
  <c r="AN24" i="7"/>
  <c r="AM24" i="7"/>
  <c r="AK24" i="7"/>
  <c r="AJ24" i="7"/>
  <c r="AL24" i="7" s="1"/>
  <c r="AH24" i="7"/>
  <c r="AG24" i="7"/>
  <c r="AE24" i="7"/>
  <c r="AD24" i="7"/>
  <c r="AB24" i="7"/>
  <c r="AA24" i="7"/>
  <c r="Z24" i="7"/>
  <c r="Y24" i="7"/>
  <c r="V24" i="7"/>
  <c r="U24" i="7"/>
  <c r="S24" i="7"/>
  <c r="R24" i="7"/>
  <c r="O24" i="7"/>
  <c r="L24" i="7"/>
  <c r="I24" i="7"/>
  <c r="Q24" i="7" s="1"/>
  <c r="H24" i="7"/>
  <c r="G24" i="7"/>
  <c r="P24" i="7" s="1"/>
  <c r="F24" i="7"/>
  <c r="E24" i="7"/>
  <c r="CO23" i="7"/>
  <c r="CN23" i="7"/>
  <c r="CL23" i="7"/>
  <c r="CK23" i="7"/>
  <c r="CM23" i="7" s="1"/>
  <c r="CI23" i="7"/>
  <c r="CH23" i="7"/>
  <c r="CJ23" i="7" s="1"/>
  <c r="CF23" i="7"/>
  <c r="CE23" i="7"/>
  <c r="CG23" i="7" s="1"/>
  <c r="CC23" i="7"/>
  <c r="CB23" i="7"/>
  <c r="CD23" i="7" s="1"/>
  <c r="BZ23" i="7"/>
  <c r="BY23" i="7"/>
  <c r="CA23" i="7" s="1"/>
  <c r="BW23" i="7"/>
  <c r="BV23" i="7"/>
  <c r="BT23" i="7"/>
  <c r="BS23" i="7"/>
  <c r="BQ23" i="7"/>
  <c r="BP23" i="7"/>
  <c r="BN23" i="7"/>
  <c r="BM23" i="7"/>
  <c r="BK23" i="7"/>
  <c r="BJ23" i="7"/>
  <c r="BH23" i="7"/>
  <c r="BG23" i="7"/>
  <c r="BE23" i="7"/>
  <c r="BD23" i="7"/>
  <c r="BB23" i="7"/>
  <c r="BA23" i="7"/>
  <c r="AY23" i="7"/>
  <c r="AX23" i="7"/>
  <c r="AV23" i="7"/>
  <c r="AU23" i="7"/>
  <c r="AS23" i="7"/>
  <c r="AR23" i="7"/>
  <c r="AQ23" i="7"/>
  <c r="AP23" i="7"/>
  <c r="AN23" i="7"/>
  <c r="AM23" i="7"/>
  <c r="AK23" i="7"/>
  <c r="AJ23" i="7"/>
  <c r="AL23" i="7" s="1"/>
  <c r="AH23" i="7"/>
  <c r="AG23" i="7"/>
  <c r="AE23" i="7"/>
  <c r="AD23" i="7"/>
  <c r="AB23" i="7"/>
  <c r="AA23" i="7"/>
  <c r="Z23" i="7"/>
  <c r="Y23" i="7"/>
  <c r="V23" i="7"/>
  <c r="U23" i="7"/>
  <c r="S23" i="7"/>
  <c r="R23" i="7"/>
  <c r="O23" i="7"/>
  <c r="L23" i="7"/>
  <c r="I23" i="7"/>
  <c r="Q23" i="7" s="1"/>
  <c r="H23" i="7"/>
  <c r="G23" i="7"/>
  <c r="P23" i="7" s="1"/>
  <c r="F23" i="7"/>
  <c r="E23" i="7"/>
  <c r="CO22" i="7"/>
  <c r="CN22" i="7"/>
  <c r="CL22" i="7"/>
  <c r="CK22" i="7"/>
  <c r="CM22" i="7" s="1"/>
  <c r="CI22" i="7"/>
  <c r="CH22" i="7"/>
  <c r="CJ22" i="7" s="1"/>
  <c r="CF22" i="7"/>
  <c r="CE22" i="7"/>
  <c r="CG22" i="7" s="1"/>
  <c r="CC22" i="7"/>
  <c r="CB22" i="7"/>
  <c r="CD22" i="7" s="1"/>
  <c r="BZ22" i="7"/>
  <c r="BY22" i="7"/>
  <c r="CA22" i="7" s="1"/>
  <c r="BW22" i="7"/>
  <c r="BV22" i="7"/>
  <c r="BT22" i="7"/>
  <c r="BS22" i="7"/>
  <c r="BQ22" i="7"/>
  <c r="BP22" i="7"/>
  <c r="BN22" i="7"/>
  <c r="BM22" i="7"/>
  <c r="BK22" i="7"/>
  <c r="BJ22" i="7"/>
  <c r="BH22" i="7"/>
  <c r="BG22" i="7"/>
  <c r="BE22" i="7"/>
  <c r="BD22" i="7"/>
  <c r="BF22" i="7" s="1"/>
  <c r="BB22" i="7"/>
  <c r="BA22" i="7"/>
  <c r="BC22" i="7" s="1"/>
  <c r="AY22" i="7"/>
  <c r="AX22" i="7"/>
  <c r="AZ22" i="7" s="1"/>
  <c r="AV22" i="7"/>
  <c r="AU22" i="7"/>
  <c r="AW22" i="7" s="1"/>
  <c r="AS22" i="7"/>
  <c r="AR22" i="7"/>
  <c r="AT22" i="7" s="1"/>
  <c r="AQ22" i="7"/>
  <c r="AP22" i="7"/>
  <c r="AN22" i="7"/>
  <c r="AM22" i="7"/>
  <c r="AK22" i="7"/>
  <c r="AJ22" i="7"/>
  <c r="AL22" i="7" s="1"/>
  <c r="AH22" i="7"/>
  <c r="AG22" i="7"/>
  <c r="AE22" i="7"/>
  <c r="AD22" i="7"/>
  <c r="AB22" i="7"/>
  <c r="AA22" i="7"/>
  <c r="Z22" i="7"/>
  <c r="Y22" i="7"/>
  <c r="V22" i="7"/>
  <c r="U22" i="7"/>
  <c r="S22" i="7"/>
  <c r="R22" i="7"/>
  <c r="O22" i="7"/>
  <c r="L22" i="7"/>
  <c r="I22" i="7"/>
  <c r="Q22" i="7" s="1"/>
  <c r="H22" i="7"/>
  <c r="G22" i="7"/>
  <c r="P22" i="7" s="1"/>
  <c r="F22" i="7"/>
  <c r="E22" i="7"/>
  <c r="CO21" i="7"/>
  <c r="CN21" i="7"/>
  <c r="CL21" i="7"/>
  <c r="CK21" i="7"/>
  <c r="CM21" i="7" s="1"/>
  <c r="CI21" i="7"/>
  <c r="CH21" i="7"/>
  <c r="CJ21" i="7" s="1"/>
  <c r="CF21" i="7"/>
  <c r="CE21" i="7"/>
  <c r="CG21" i="7" s="1"/>
  <c r="CC21" i="7"/>
  <c r="CB21" i="7"/>
  <c r="CD21" i="7" s="1"/>
  <c r="BZ21" i="7"/>
  <c r="BY21" i="7"/>
  <c r="CA21" i="7" s="1"/>
  <c r="BW21" i="7"/>
  <c r="BV21" i="7"/>
  <c r="BX21" i="7" s="1"/>
  <c r="BT21" i="7"/>
  <c r="BS21" i="7"/>
  <c r="BQ21" i="7"/>
  <c r="BP21" i="7"/>
  <c r="BN21" i="7"/>
  <c r="BM21" i="7"/>
  <c r="BO21" i="7" s="1"/>
  <c r="BK21" i="7"/>
  <c r="BJ21" i="7"/>
  <c r="BH21" i="7"/>
  <c r="BG21" i="7"/>
  <c r="BE21" i="7"/>
  <c r="BD21" i="7"/>
  <c r="BF21" i="7" s="1"/>
  <c r="BB21" i="7"/>
  <c r="BA21" i="7"/>
  <c r="BC21" i="7" s="1"/>
  <c r="AY21" i="7"/>
  <c r="AX21" i="7"/>
  <c r="AZ21" i="7" s="1"/>
  <c r="AV21" i="7"/>
  <c r="AU21" i="7"/>
  <c r="AW21" i="7" s="1"/>
  <c r="AS21" i="7"/>
  <c r="AR21" i="7"/>
  <c r="AT21" i="7" s="1"/>
  <c r="AQ21" i="7"/>
  <c r="AP21" i="7"/>
  <c r="AN21" i="7"/>
  <c r="AM21" i="7"/>
  <c r="AK21" i="7"/>
  <c r="AJ21" i="7"/>
  <c r="AL21" i="7" s="1"/>
  <c r="AH21" i="7"/>
  <c r="AG21" i="7"/>
  <c r="AE21" i="7"/>
  <c r="AD21" i="7"/>
  <c r="AB21" i="7"/>
  <c r="AA21" i="7"/>
  <c r="Z21" i="7"/>
  <c r="Y21" i="7"/>
  <c r="V21" i="7"/>
  <c r="U21" i="7"/>
  <c r="S21" i="7"/>
  <c r="R21" i="7"/>
  <c r="O21" i="7"/>
  <c r="L21" i="7"/>
  <c r="I21" i="7"/>
  <c r="Q21" i="7" s="1"/>
  <c r="H21" i="7"/>
  <c r="G21" i="7"/>
  <c r="P21" i="7" s="1"/>
  <c r="F21" i="7"/>
  <c r="E21" i="7"/>
  <c r="CO20" i="7"/>
  <c r="CN20" i="7"/>
  <c r="CL20" i="7"/>
  <c r="CK20" i="7"/>
  <c r="CI20" i="7"/>
  <c r="CH20" i="7"/>
  <c r="CF20" i="7"/>
  <c r="CE20" i="7"/>
  <c r="CC20" i="7"/>
  <c r="CB20" i="7"/>
  <c r="BZ20" i="7"/>
  <c r="BY20" i="7"/>
  <c r="BW20" i="7"/>
  <c r="BV20" i="7"/>
  <c r="BT20" i="7"/>
  <c r="BS20" i="7"/>
  <c r="BQ20" i="7"/>
  <c r="BP20" i="7"/>
  <c r="BN20" i="7"/>
  <c r="BM20" i="7"/>
  <c r="BK20" i="7"/>
  <c r="BJ20" i="7"/>
  <c r="BH20" i="7"/>
  <c r="BG20" i="7"/>
  <c r="BE20" i="7"/>
  <c r="BD20" i="7"/>
  <c r="BF20" i="7" s="1"/>
  <c r="BB20" i="7"/>
  <c r="BA20" i="7"/>
  <c r="BC20" i="7" s="1"/>
  <c r="AY20" i="7"/>
  <c r="AX20" i="7"/>
  <c r="AV20" i="7"/>
  <c r="AU20" i="7"/>
  <c r="AW20" i="7" s="1"/>
  <c r="AS20" i="7"/>
  <c r="AR20" i="7"/>
  <c r="AT20" i="7" s="1"/>
  <c r="AQ20" i="7"/>
  <c r="AP20" i="7"/>
  <c r="AN20" i="7"/>
  <c r="AM20" i="7"/>
  <c r="AK20" i="7"/>
  <c r="AJ20" i="7"/>
  <c r="AL20" i="7" s="1"/>
  <c r="AH20" i="7"/>
  <c r="AG20" i="7"/>
  <c r="AE20" i="7"/>
  <c r="AD20" i="7"/>
  <c r="AB20" i="7"/>
  <c r="AA20" i="7"/>
  <c r="Z20" i="7"/>
  <c r="Y20" i="7"/>
  <c r="V20" i="7"/>
  <c r="U20" i="7"/>
  <c r="S20" i="7"/>
  <c r="R20" i="7"/>
  <c r="O20" i="7"/>
  <c r="L20" i="7"/>
  <c r="I20" i="7"/>
  <c r="Q20" i="7" s="1"/>
  <c r="H20" i="7"/>
  <c r="G20" i="7"/>
  <c r="P20" i="7" s="1"/>
  <c r="F20" i="7"/>
  <c r="E20" i="7"/>
  <c r="CO19" i="7"/>
  <c r="CN19" i="7"/>
  <c r="CL19" i="7"/>
  <c r="CK19" i="7"/>
  <c r="CI19" i="7"/>
  <c r="CH19" i="7"/>
  <c r="CF19" i="7"/>
  <c r="CE19" i="7"/>
  <c r="CC19" i="7"/>
  <c r="CB19" i="7"/>
  <c r="BZ19" i="7"/>
  <c r="BY19" i="7"/>
  <c r="BW19" i="7"/>
  <c r="BV19" i="7"/>
  <c r="BX19" i="7" s="1"/>
  <c r="BT19" i="7"/>
  <c r="BS19" i="7"/>
  <c r="BQ19" i="7"/>
  <c r="BP19" i="7"/>
  <c r="BN19" i="7"/>
  <c r="BM19" i="7"/>
  <c r="BO19" i="7" s="1"/>
  <c r="BK19" i="7"/>
  <c r="BJ19" i="7"/>
  <c r="BH19" i="7"/>
  <c r="BG19" i="7"/>
  <c r="BE19" i="7"/>
  <c r="BD19" i="7"/>
  <c r="BF19" i="7" s="1"/>
  <c r="BB19" i="7"/>
  <c r="BA19" i="7"/>
  <c r="BC19" i="7" s="1"/>
  <c r="AY19" i="7"/>
  <c r="AX19" i="7"/>
  <c r="AZ19" i="7" s="1"/>
  <c r="AV19" i="7"/>
  <c r="AU19" i="7"/>
  <c r="AW19" i="7" s="1"/>
  <c r="AS19" i="7"/>
  <c r="AR19" i="7"/>
  <c r="AT19" i="7" s="1"/>
  <c r="AQ19" i="7"/>
  <c r="AP19" i="7"/>
  <c r="AN19" i="7"/>
  <c r="AM19" i="7"/>
  <c r="AK19" i="7"/>
  <c r="AJ19" i="7"/>
  <c r="AH19" i="7"/>
  <c r="AG19" i="7"/>
  <c r="AE19" i="7"/>
  <c r="AD19" i="7"/>
  <c r="AB19" i="7"/>
  <c r="AA19" i="7"/>
  <c r="Z19" i="7"/>
  <c r="Y19" i="7"/>
  <c r="V19" i="7"/>
  <c r="U19" i="7"/>
  <c r="S19" i="7"/>
  <c r="R19" i="7"/>
  <c r="O19" i="7"/>
  <c r="L19" i="7"/>
  <c r="I19" i="7"/>
  <c r="Q19" i="7" s="1"/>
  <c r="H19" i="7"/>
  <c r="G19" i="7"/>
  <c r="P19" i="7" s="1"/>
  <c r="F19" i="7"/>
  <c r="E19" i="7"/>
  <c r="CO18" i="7"/>
  <c r="CN18" i="7"/>
  <c r="CL18" i="7"/>
  <c r="CK18" i="7"/>
  <c r="CM18" i="7" s="1"/>
  <c r="CI18" i="7"/>
  <c r="CH18" i="7"/>
  <c r="CJ18" i="7" s="1"/>
  <c r="CF18" i="7"/>
  <c r="CE18" i="7"/>
  <c r="CG18" i="7" s="1"/>
  <c r="CC18" i="7"/>
  <c r="CB18" i="7"/>
  <c r="CD18" i="7" s="1"/>
  <c r="BZ18" i="7"/>
  <c r="BY18" i="7"/>
  <c r="CA18" i="7" s="1"/>
  <c r="BW18" i="7"/>
  <c r="BV18" i="7"/>
  <c r="BX18" i="7" s="1"/>
  <c r="BT18" i="7"/>
  <c r="BS18" i="7"/>
  <c r="BQ18" i="7"/>
  <c r="BP18" i="7"/>
  <c r="BN18" i="7"/>
  <c r="BM18" i="7"/>
  <c r="BO18" i="7" s="1"/>
  <c r="BK18" i="7"/>
  <c r="BJ18" i="7"/>
  <c r="BH18" i="7"/>
  <c r="BG18" i="7"/>
  <c r="BE18" i="7"/>
  <c r="BD18" i="7"/>
  <c r="BF18" i="7" s="1"/>
  <c r="BB18" i="7"/>
  <c r="BA18" i="7"/>
  <c r="BC18" i="7" s="1"/>
  <c r="AY18" i="7"/>
  <c r="AX18" i="7"/>
  <c r="AZ18" i="7" s="1"/>
  <c r="AV18" i="7"/>
  <c r="AU18" i="7"/>
  <c r="AW18" i="7" s="1"/>
  <c r="AS18" i="7"/>
  <c r="AR18" i="7"/>
  <c r="AT18" i="7" s="1"/>
  <c r="AQ18" i="7"/>
  <c r="AP18" i="7"/>
  <c r="AN18" i="7"/>
  <c r="AM18" i="7"/>
  <c r="AK18" i="7"/>
  <c r="AJ18" i="7"/>
  <c r="AH18" i="7"/>
  <c r="AG18" i="7"/>
  <c r="AE18" i="7"/>
  <c r="AD18" i="7"/>
  <c r="AB18" i="7"/>
  <c r="AA18" i="7"/>
  <c r="Z18" i="7"/>
  <c r="Y18" i="7"/>
  <c r="V18" i="7"/>
  <c r="U18" i="7"/>
  <c r="S18" i="7"/>
  <c r="R18" i="7"/>
  <c r="O18" i="7"/>
  <c r="L18" i="7"/>
  <c r="I18" i="7"/>
  <c r="Q18" i="7" s="1"/>
  <c r="H18" i="7"/>
  <c r="G18" i="7"/>
  <c r="P18" i="7" s="1"/>
  <c r="F18" i="7"/>
  <c r="E18" i="7"/>
  <c r="CO17" i="7"/>
  <c r="CN17" i="7"/>
  <c r="CL17" i="7"/>
  <c r="CK17" i="7"/>
  <c r="CM17" i="7" s="1"/>
  <c r="CI17" i="7"/>
  <c r="CH17" i="7"/>
  <c r="CJ17" i="7" s="1"/>
  <c r="CF17" i="7"/>
  <c r="CE17" i="7"/>
  <c r="CG17" i="7" s="1"/>
  <c r="CC17" i="7"/>
  <c r="CB17" i="7"/>
  <c r="CD17" i="7" s="1"/>
  <c r="BZ17" i="7"/>
  <c r="BY17" i="7"/>
  <c r="CA17" i="7" s="1"/>
  <c r="BW17" i="7"/>
  <c r="BV17" i="7"/>
  <c r="BX17" i="7" s="1"/>
  <c r="BT17" i="7"/>
  <c r="BS17" i="7"/>
  <c r="BQ17" i="7"/>
  <c r="BP17" i="7"/>
  <c r="BN17" i="7"/>
  <c r="BM17" i="7"/>
  <c r="BO17" i="7" s="1"/>
  <c r="BK17" i="7"/>
  <c r="BJ17" i="7"/>
  <c r="BH17" i="7"/>
  <c r="BG17" i="7"/>
  <c r="BE17" i="7"/>
  <c r="BD17" i="7"/>
  <c r="BF17" i="7" s="1"/>
  <c r="BB17" i="7"/>
  <c r="BA17" i="7"/>
  <c r="BC17" i="7" s="1"/>
  <c r="AY17" i="7"/>
  <c r="AX17" i="7"/>
  <c r="AZ17" i="7" s="1"/>
  <c r="AV17" i="7"/>
  <c r="AU17" i="7"/>
  <c r="AW17" i="7" s="1"/>
  <c r="AS17" i="7"/>
  <c r="AR17" i="7"/>
  <c r="AT17" i="7" s="1"/>
  <c r="AQ17" i="7"/>
  <c r="AP17" i="7"/>
  <c r="AN17" i="7"/>
  <c r="AM17" i="7"/>
  <c r="AK17" i="7"/>
  <c r="AJ17" i="7"/>
  <c r="AL17" i="7" s="1"/>
  <c r="AH17" i="7"/>
  <c r="AG17" i="7"/>
  <c r="AE17" i="7"/>
  <c r="AD17" i="7"/>
  <c r="AB17" i="7"/>
  <c r="AA17" i="7"/>
  <c r="Z17" i="7"/>
  <c r="Y17" i="7"/>
  <c r="V17" i="7"/>
  <c r="U17" i="7"/>
  <c r="S17" i="7"/>
  <c r="R17" i="7"/>
  <c r="O17" i="7"/>
  <c r="L17" i="7"/>
  <c r="I17" i="7"/>
  <c r="Q17" i="7" s="1"/>
  <c r="H17" i="7"/>
  <c r="G17" i="7"/>
  <c r="P17" i="7" s="1"/>
  <c r="F17" i="7"/>
  <c r="E17" i="7"/>
  <c r="CO16" i="7"/>
  <c r="CN16" i="7"/>
  <c r="CL16" i="7"/>
  <c r="CK16" i="7"/>
  <c r="CI16" i="7"/>
  <c r="CH16" i="7"/>
  <c r="CF16" i="7"/>
  <c r="CE16" i="7"/>
  <c r="CG16" i="7" s="1"/>
  <c r="CC16" i="7"/>
  <c r="CB16" i="7"/>
  <c r="BZ16" i="7"/>
  <c r="BY16" i="7"/>
  <c r="BW16" i="7"/>
  <c r="BV16" i="7"/>
  <c r="BX16" i="7" s="1"/>
  <c r="BT16" i="7"/>
  <c r="BS16" i="7"/>
  <c r="BQ16" i="7"/>
  <c r="BP16" i="7"/>
  <c r="BN16" i="7"/>
  <c r="BM16" i="7"/>
  <c r="BO16" i="7" s="1"/>
  <c r="BK16" i="7"/>
  <c r="BJ16" i="7"/>
  <c r="BH16" i="7"/>
  <c r="BG16" i="7"/>
  <c r="BE16" i="7"/>
  <c r="BD16" i="7"/>
  <c r="BB16" i="7"/>
  <c r="BA16" i="7"/>
  <c r="AY16" i="7"/>
  <c r="AX16" i="7"/>
  <c r="AV16" i="7"/>
  <c r="AU16" i="7"/>
  <c r="AS16" i="7"/>
  <c r="AR16" i="7"/>
  <c r="AQ16" i="7"/>
  <c r="AP16" i="7"/>
  <c r="AN16" i="7"/>
  <c r="AM16" i="7"/>
  <c r="AK16" i="7"/>
  <c r="AJ16" i="7"/>
  <c r="AH16" i="7"/>
  <c r="AG16" i="7"/>
  <c r="AE16" i="7"/>
  <c r="AD16" i="7"/>
  <c r="AB16" i="7"/>
  <c r="AA16" i="7"/>
  <c r="Z16" i="7"/>
  <c r="Y16" i="7"/>
  <c r="V16" i="7"/>
  <c r="U16" i="7"/>
  <c r="S16" i="7"/>
  <c r="R16" i="7"/>
  <c r="O16" i="7"/>
  <c r="L16" i="7"/>
  <c r="I16" i="7"/>
  <c r="H16" i="7"/>
  <c r="G16" i="7"/>
  <c r="P16" i="7" s="1"/>
  <c r="F16" i="7"/>
  <c r="E16" i="7"/>
  <c r="CO15" i="7"/>
  <c r="CN15" i="7"/>
  <c r="CL15" i="7"/>
  <c r="CK15" i="7"/>
  <c r="CM15" i="7" s="1"/>
  <c r="CI15" i="7"/>
  <c r="CH15" i="7"/>
  <c r="CJ15" i="7" s="1"/>
  <c r="CF15" i="7"/>
  <c r="CE15" i="7"/>
  <c r="CC15" i="7"/>
  <c r="CB15" i="7"/>
  <c r="CD15" i="7" s="1"/>
  <c r="BZ15" i="7"/>
  <c r="BY15" i="7"/>
  <c r="CA15" i="7" s="1"/>
  <c r="BW15" i="7"/>
  <c r="BV15" i="7"/>
  <c r="BT15" i="7"/>
  <c r="BS15" i="7"/>
  <c r="BQ15" i="7"/>
  <c r="BP15" i="7"/>
  <c r="BN15" i="7"/>
  <c r="BM15" i="7"/>
  <c r="BK15" i="7"/>
  <c r="BJ15" i="7"/>
  <c r="BH15" i="7"/>
  <c r="BG15" i="7"/>
  <c r="BE15" i="7"/>
  <c r="BD15" i="7"/>
  <c r="BF15" i="7" s="1"/>
  <c r="BB15" i="7"/>
  <c r="BA15" i="7"/>
  <c r="BC15" i="7" s="1"/>
  <c r="AY15" i="7"/>
  <c r="AX15" i="7"/>
  <c r="AZ15" i="7" s="1"/>
  <c r="AV15" i="7"/>
  <c r="AU15" i="7"/>
  <c r="AW15" i="7" s="1"/>
  <c r="AS15" i="7"/>
  <c r="AR15" i="7"/>
  <c r="AT15" i="7" s="1"/>
  <c r="AQ15" i="7"/>
  <c r="AP15" i="7"/>
  <c r="AN15" i="7"/>
  <c r="AM15" i="7"/>
  <c r="AK15" i="7"/>
  <c r="AJ15" i="7"/>
  <c r="AL15" i="7" s="1"/>
  <c r="AH15" i="7"/>
  <c r="AG15" i="7"/>
  <c r="AE15" i="7"/>
  <c r="AD15" i="7"/>
  <c r="AB15" i="7"/>
  <c r="AA15" i="7"/>
  <c r="Z15" i="7"/>
  <c r="Y15" i="7"/>
  <c r="V15" i="7"/>
  <c r="U15" i="7"/>
  <c r="S15" i="7"/>
  <c r="R15" i="7"/>
  <c r="O15" i="7"/>
  <c r="L15" i="7"/>
  <c r="I15" i="7"/>
  <c r="Q15" i="7" s="1"/>
  <c r="H15" i="7"/>
  <c r="G15" i="7"/>
  <c r="P15" i="7" s="1"/>
  <c r="F15" i="7"/>
  <c r="E15" i="7"/>
  <c r="CO14" i="7"/>
  <c r="CN14" i="7"/>
  <c r="CL14" i="7"/>
  <c r="CK14" i="7"/>
  <c r="CM14" i="7" s="1"/>
  <c r="CI14" i="7"/>
  <c r="CH14" i="7"/>
  <c r="CJ14" i="7" s="1"/>
  <c r="CF14" i="7"/>
  <c r="CE14" i="7"/>
  <c r="CG14" i="7" s="1"/>
  <c r="CC14" i="7"/>
  <c r="CB14" i="7"/>
  <c r="CD14" i="7" s="1"/>
  <c r="BZ14" i="7"/>
  <c r="BY14" i="7"/>
  <c r="CA14" i="7" s="1"/>
  <c r="BW14" i="7"/>
  <c r="BV14" i="7"/>
  <c r="BX14" i="7" s="1"/>
  <c r="BT14" i="7"/>
  <c r="BS14" i="7"/>
  <c r="BQ14" i="7"/>
  <c r="BP14" i="7"/>
  <c r="BN14" i="7"/>
  <c r="BM14" i="7"/>
  <c r="BO14" i="7" s="1"/>
  <c r="BK14" i="7"/>
  <c r="BJ14" i="7"/>
  <c r="BH14" i="7"/>
  <c r="BG14" i="7"/>
  <c r="BE14" i="7"/>
  <c r="BD14" i="7"/>
  <c r="BF14" i="7" s="1"/>
  <c r="BB14" i="7"/>
  <c r="BA14" i="7"/>
  <c r="BC14" i="7" s="1"/>
  <c r="AY14" i="7"/>
  <c r="AX14" i="7"/>
  <c r="AZ14" i="7" s="1"/>
  <c r="AV14" i="7"/>
  <c r="AU14" i="7"/>
  <c r="AW14" i="7" s="1"/>
  <c r="AS14" i="7"/>
  <c r="AR14" i="7"/>
  <c r="AT14" i="7" s="1"/>
  <c r="AQ14" i="7"/>
  <c r="AP14" i="7"/>
  <c r="AN14" i="7"/>
  <c r="AM14" i="7"/>
  <c r="AK14" i="7"/>
  <c r="AJ14" i="7"/>
  <c r="AL14" i="7" s="1"/>
  <c r="AH14" i="7"/>
  <c r="AG14" i="7"/>
  <c r="AE14" i="7"/>
  <c r="AD14" i="7"/>
  <c r="AB14" i="7"/>
  <c r="AA14" i="7"/>
  <c r="Z14" i="7"/>
  <c r="Y14" i="7"/>
  <c r="V14" i="7"/>
  <c r="U14" i="7"/>
  <c r="S14" i="7"/>
  <c r="R14" i="7"/>
  <c r="O14" i="7"/>
  <c r="L14" i="7"/>
  <c r="I14" i="7"/>
  <c r="Q14" i="7" s="1"/>
  <c r="H14" i="7"/>
  <c r="G14" i="7"/>
  <c r="F14" i="7"/>
  <c r="E14" i="7"/>
  <c r="CM12" i="7"/>
  <c r="CJ12" i="7"/>
  <c r="CG12" i="7"/>
  <c r="CD12" i="7"/>
  <c r="CA12" i="7"/>
  <c r="BX12" i="7"/>
  <c r="BU12" i="7"/>
  <c r="BR12" i="7"/>
  <c r="BO12" i="7"/>
  <c r="BL12" i="7"/>
  <c r="BI12" i="7"/>
  <c r="BF12" i="7"/>
  <c r="BC12" i="7"/>
  <c r="AZ12" i="7"/>
  <c r="AW12" i="7"/>
  <c r="AT12" i="7"/>
  <c r="AO12" i="7"/>
  <c r="AL12" i="7"/>
  <c r="AI12" i="7"/>
  <c r="AF12" i="7"/>
  <c r="AC12" i="7"/>
  <c r="W12" i="7"/>
  <c r="T12" i="7"/>
  <c r="Q12" i="7"/>
  <c r="N12" i="7"/>
  <c r="M12" i="7"/>
  <c r="K12" i="7"/>
  <c r="J12" i="7"/>
  <c r="C12" i="7"/>
  <c r="O116" i="6"/>
  <c r="L116" i="6"/>
  <c r="I116" i="6"/>
  <c r="Q116" i="6" s="1"/>
  <c r="H116" i="6"/>
  <c r="G116" i="6"/>
  <c r="P116" i="6" s="1"/>
  <c r="F116" i="6"/>
  <c r="E116" i="6"/>
  <c r="O115" i="6"/>
  <c r="L115" i="6"/>
  <c r="I115" i="6"/>
  <c r="Q115" i="6" s="1"/>
  <c r="H115" i="6"/>
  <c r="N115" i="6" s="1"/>
  <c r="G115" i="6"/>
  <c r="P115" i="6" s="1"/>
  <c r="F115" i="6"/>
  <c r="E115" i="6"/>
  <c r="O114" i="6"/>
  <c r="L114" i="6"/>
  <c r="I114" i="6"/>
  <c r="Q114" i="6" s="1"/>
  <c r="H114" i="6"/>
  <c r="N114" i="6" s="1"/>
  <c r="G114" i="6"/>
  <c r="P114" i="6" s="1"/>
  <c r="F114" i="6"/>
  <c r="E114" i="6"/>
  <c r="O113" i="6"/>
  <c r="L113" i="6"/>
  <c r="I113" i="6"/>
  <c r="Q113" i="6" s="1"/>
  <c r="H113" i="6"/>
  <c r="N113" i="6" s="1"/>
  <c r="G113" i="6"/>
  <c r="F113" i="6"/>
  <c r="E113" i="6"/>
  <c r="O112" i="6"/>
  <c r="L112" i="6"/>
  <c r="I112" i="6"/>
  <c r="Q112" i="6" s="1"/>
  <c r="H112" i="6"/>
  <c r="N112" i="6" s="1"/>
  <c r="G112" i="6"/>
  <c r="P112" i="6" s="1"/>
  <c r="F112" i="6"/>
  <c r="E112" i="6"/>
  <c r="O111" i="6"/>
  <c r="L111" i="6"/>
  <c r="I111" i="6"/>
  <c r="Q111" i="6" s="1"/>
  <c r="H111" i="6"/>
  <c r="N111" i="6" s="1"/>
  <c r="G111" i="6"/>
  <c r="F111" i="6"/>
  <c r="E111" i="6"/>
  <c r="O110" i="6"/>
  <c r="L110" i="6"/>
  <c r="I110" i="6"/>
  <c r="Q110" i="6" s="1"/>
  <c r="H110" i="6"/>
  <c r="N110" i="6" s="1"/>
  <c r="G110" i="6"/>
  <c r="P110" i="6" s="1"/>
  <c r="F110" i="6"/>
  <c r="E110" i="6"/>
  <c r="O109" i="6"/>
  <c r="L109" i="6"/>
  <c r="I109" i="6"/>
  <c r="Q109" i="6" s="1"/>
  <c r="H109" i="6"/>
  <c r="G109" i="6"/>
  <c r="F109" i="6"/>
  <c r="E109" i="6"/>
  <c r="O108" i="6"/>
  <c r="L108" i="6"/>
  <c r="I108" i="6"/>
  <c r="Q108" i="6" s="1"/>
  <c r="H108" i="6"/>
  <c r="G108" i="6"/>
  <c r="P108" i="6" s="1"/>
  <c r="F108" i="6"/>
  <c r="E108" i="6"/>
  <c r="O107" i="6"/>
  <c r="L107" i="6"/>
  <c r="I107" i="6"/>
  <c r="Q107" i="6" s="1"/>
  <c r="H107" i="6"/>
  <c r="N107" i="6" s="1"/>
  <c r="G107" i="6"/>
  <c r="F107" i="6"/>
  <c r="E107" i="6"/>
  <c r="O106" i="6"/>
  <c r="L106" i="6"/>
  <c r="I106" i="6"/>
  <c r="Q106" i="6" s="1"/>
  <c r="H106" i="6"/>
  <c r="G106" i="6"/>
  <c r="P106" i="6" s="1"/>
  <c r="F106" i="6"/>
  <c r="E106" i="6"/>
  <c r="O105" i="6"/>
  <c r="L105" i="6"/>
  <c r="I105" i="6"/>
  <c r="Q105" i="6" s="1"/>
  <c r="H105" i="6"/>
  <c r="N105" i="6" s="1"/>
  <c r="G105" i="6"/>
  <c r="P105" i="6" s="1"/>
  <c r="F105" i="6"/>
  <c r="E105" i="6"/>
  <c r="O104" i="6"/>
  <c r="O11" i="6" s="1"/>
  <c r="L104" i="6"/>
  <c r="L11" i="6" s="1"/>
  <c r="I104" i="6"/>
  <c r="H104" i="6"/>
  <c r="G104" i="6"/>
  <c r="F104" i="6"/>
  <c r="F11" i="6" s="1"/>
  <c r="E104" i="6"/>
  <c r="E11" i="6" s="1"/>
  <c r="O103" i="6"/>
  <c r="L103" i="6"/>
  <c r="I103" i="6"/>
  <c r="Q103" i="6" s="1"/>
  <c r="H103" i="6"/>
  <c r="G103" i="6"/>
  <c r="P103" i="6" s="1"/>
  <c r="F103" i="6"/>
  <c r="E103" i="6"/>
  <c r="O102" i="6"/>
  <c r="L102" i="6"/>
  <c r="I102" i="6"/>
  <c r="Q102" i="6" s="1"/>
  <c r="H102" i="6"/>
  <c r="N102" i="6" s="1"/>
  <c r="G102" i="6"/>
  <c r="P102" i="6" s="1"/>
  <c r="F102" i="6"/>
  <c r="E102" i="6"/>
  <c r="O101" i="6"/>
  <c r="L101" i="6"/>
  <c r="I101" i="6"/>
  <c r="Q101" i="6" s="1"/>
  <c r="H101" i="6"/>
  <c r="N101" i="6" s="1"/>
  <c r="G101" i="6"/>
  <c r="P101" i="6" s="1"/>
  <c r="F101" i="6"/>
  <c r="E101" i="6"/>
  <c r="O100" i="6"/>
  <c r="L100" i="6"/>
  <c r="I100" i="6"/>
  <c r="Q100" i="6" s="1"/>
  <c r="H100" i="6"/>
  <c r="N100" i="6" s="1"/>
  <c r="G100" i="6"/>
  <c r="P100" i="6" s="1"/>
  <c r="F100" i="6"/>
  <c r="E100" i="6"/>
  <c r="O99" i="6"/>
  <c r="L99" i="6"/>
  <c r="I99" i="6"/>
  <c r="Q99" i="6" s="1"/>
  <c r="H99" i="6"/>
  <c r="N99" i="6" s="1"/>
  <c r="G99" i="6"/>
  <c r="P99" i="6" s="1"/>
  <c r="F99" i="6"/>
  <c r="E99" i="6"/>
  <c r="O98" i="6"/>
  <c r="L98" i="6"/>
  <c r="I98" i="6"/>
  <c r="Q98" i="6" s="1"/>
  <c r="H98" i="6"/>
  <c r="N98" i="6" s="1"/>
  <c r="G98" i="6"/>
  <c r="P98" i="6" s="1"/>
  <c r="F98" i="6"/>
  <c r="E98" i="6"/>
  <c r="O97" i="6"/>
  <c r="L97" i="6"/>
  <c r="I97" i="6"/>
  <c r="Q97" i="6" s="1"/>
  <c r="H97" i="6"/>
  <c r="N97" i="6" s="1"/>
  <c r="G97" i="6"/>
  <c r="P97" i="6" s="1"/>
  <c r="F97" i="6"/>
  <c r="E97" i="6"/>
  <c r="O96" i="6"/>
  <c r="L96" i="6"/>
  <c r="I96" i="6"/>
  <c r="Q96" i="6" s="1"/>
  <c r="H96" i="6"/>
  <c r="N96" i="6" s="1"/>
  <c r="G96" i="6"/>
  <c r="P96" i="6" s="1"/>
  <c r="F96" i="6"/>
  <c r="E96" i="6"/>
  <c r="O95" i="6"/>
  <c r="L95" i="6"/>
  <c r="I95" i="6"/>
  <c r="Q95" i="6" s="1"/>
  <c r="H95" i="6"/>
  <c r="N95" i="6" s="1"/>
  <c r="G95" i="6"/>
  <c r="P95" i="6" s="1"/>
  <c r="F95" i="6"/>
  <c r="E95" i="6"/>
  <c r="O94" i="6"/>
  <c r="L94" i="6"/>
  <c r="I94" i="6"/>
  <c r="Q94" i="6" s="1"/>
  <c r="H94" i="6"/>
  <c r="N94" i="6" s="1"/>
  <c r="G94" i="6"/>
  <c r="P94" i="6" s="1"/>
  <c r="F94" i="6"/>
  <c r="E94" i="6"/>
  <c r="O93" i="6"/>
  <c r="L93" i="6"/>
  <c r="I93" i="6"/>
  <c r="Q93" i="6" s="1"/>
  <c r="H93" i="6"/>
  <c r="N93" i="6" s="1"/>
  <c r="G93" i="6"/>
  <c r="P93" i="6" s="1"/>
  <c r="F93" i="6"/>
  <c r="E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O92" i="6"/>
  <c r="L92" i="6"/>
  <c r="I92" i="6"/>
  <c r="Q92" i="6" s="1"/>
  <c r="H92" i="6"/>
  <c r="G92" i="6"/>
  <c r="P92" i="6" s="1"/>
  <c r="F92" i="6"/>
  <c r="E92" i="6"/>
  <c r="O91" i="6"/>
  <c r="L91" i="6"/>
  <c r="I91" i="6"/>
  <c r="Q91" i="6" s="1"/>
  <c r="H91" i="6"/>
  <c r="N91" i="6" s="1"/>
  <c r="G91" i="6"/>
  <c r="P91" i="6" s="1"/>
  <c r="F91" i="6"/>
  <c r="E91" i="6"/>
  <c r="O90" i="6"/>
  <c r="L90" i="6"/>
  <c r="I90" i="6"/>
  <c r="H90" i="6"/>
  <c r="N90" i="6" s="1"/>
  <c r="G90" i="6"/>
  <c r="P90" i="6" s="1"/>
  <c r="F90" i="6"/>
  <c r="E90" i="6"/>
  <c r="V88" i="6"/>
  <c r="S88" i="6"/>
  <c r="R88" i="6"/>
  <c r="O88" i="6"/>
  <c r="L88" i="6"/>
  <c r="I88" i="6"/>
  <c r="Q88" i="6" s="1"/>
  <c r="H88" i="6"/>
  <c r="G88" i="6"/>
  <c r="P88" i="6" s="1"/>
  <c r="F88" i="6"/>
  <c r="E88" i="6"/>
  <c r="V87" i="6"/>
  <c r="S87" i="6"/>
  <c r="R87" i="6"/>
  <c r="O87" i="6"/>
  <c r="L87" i="6"/>
  <c r="I87" i="6"/>
  <c r="Q87" i="6" s="1"/>
  <c r="H87" i="6"/>
  <c r="G87" i="6"/>
  <c r="P87" i="6" s="1"/>
  <c r="F87" i="6"/>
  <c r="E87" i="6"/>
  <c r="V86" i="6"/>
  <c r="S86" i="6"/>
  <c r="R86" i="6"/>
  <c r="O86" i="6"/>
  <c r="L86" i="6"/>
  <c r="I86" i="6"/>
  <c r="Q86" i="6" s="1"/>
  <c r="H86" i="6"/>
  <c r="G86" i="6"/>
  <c r="P86" i="6" s="1"/>
  <c r="F86" i="6"/>
  <c r="E86" i="6"/>
  <c r="V85" i="6"/>
  <c r="S85" i="6"/>
  <c r="R85" i="6"/>
  <c r="O85" i="6"/>
  <c r="L85" i="6"/>
  <c r="I85" i="6"/>
  <c r="Q85" i="6" s="1"/>
  <c r="H85" i="6"/>
  <c r="G85" i="6"/>
  <c r="P85" i="6" s="1"/>
  <c r="F85" i="6"/>
  <c r="E85" i="6"/>
  <c r="V84" i="6"/>
  <c r="S84" i="6"/>
  <c r="R84" i="6"/>
  <c r="O84" i="6"/>
  <c r="L84" i="6"/>
  <c r="I84" i="6"/>
  <c r="Q84" i="6" s="1"/>
  <c r="H84" i="6"/>
  <c r="G84" i="6"/>
  <c r="P84" i="6" s="1"/>
  <c r="F84" i="6"/>
  <c r="E84" i="6"/>
  <c r="V83" i="6"/>
  <c r="S83" i="6"/>
  <c r="R83" i="6"/>
  <c r="O83" i="6"/>
  <c r="L83" i="6"/>
  <c r="I83" i="6"/>
  <c r="Q83" i="6" s="1"/>
  <c r="H83" i="6"/>
  <c r="G83" i="6"/>
  <c r="P83" i="6" s="1"/>
  <c r="F83" i="6"/>
  <c r="E83" i="6"/>
  <c r="V82" i="6"/>
  <c r="S82" i="6"/>
  <c r="R82" i="6"/>
  <c r="O82" i="6"/>
  <c r="L82" i="6"/>
  <c r="I82" i="6"/>
  <c r="Q82" i="6" s="1"/>
  <c r="H82" i="6"/>
  <c r="G82" i="6"/>
  <c r="P82" i="6" s="1"/>
  <c r="F82" i="6"/>
  <c r="E82" i="6"/>
  <c r="V81" i="6"/>
  <c r="S81" i="6"/>
  <c r="R81" i="6"/>
  <c r="O81" i="6"/>
  <c r="L81" i="6"/>
  <c r="I81" i="6"/>
  <c r="Q81" i="6" s="1"/>
  <c r="H81" i="6"/>
  <c r="G81" i="6"/>
  <c r="P81" i="6" s="1"/>
  <c r="F81" i="6"/>
  <c r="E81" i="6"/>
  <c r="V80" i="6"/>
  <c r="S80" i="6"/>
  <c r="R80" i="6"/>
  <c r="O80" i="6"/>
  <c r="L80" i="6"/>
  <c r="I80" i="6"/>
  <c r="Q80" i="6" s="1"/>
  <c r="H80" i="6"/>
  <c r="G80" i="6"/>
  <c r="P80" i="6" s="1"/>
  <c r="F80" i="6"/>
  <c r="E80" i="6"/>
  <c r="V79" i="6"/>
  <c r="S79" i="6"/>
  <c r="R79" i="6"/>
  <c r="O79" i="6"/>
  <c r="L79" i="6"/>
  <c r="I79" i="6"/>
  <c r="Q79" i="6" s="1"/>
  <c r="H79" i="6"/>
  <c r="G79" i="6"/>
  <c r="P79" i="6" s="1"/>
  <c r="F79" i="6"/>
  <c r="E79" i="6"/>
  <c r="V78" i="6"/>
  <c r="S78" i="6"/>
  <c r="R78" i="6"/>
  <c r="O78" i="6"/>
  <c r="L78" i="6"/>
  <c r="I78" i="6"/>
  <c r="Q78" i="6" s="1"/>
  <c r="H78" i="6"/>
  <c r="G78" i="6"/>
  <c r="P78" i="6" s="1"/>
  <c r="F78" i="6"/>
  <c r="E78" i="6"/>
  <c r="V77" i="6"/>
  <c r="S77" i="6"/>
  <c r="R77" i="6"/>
  <c r="O77" i="6"/>
  <c r="L77" i="6"/>
  <c r="I77" i="6"/>
  <c r="Q77" i="6" s="1"/>
  <c r="H77" i="6"/>
  <c r="G77" i="6"/>
  <c r="P77" i="6" s="1"/>
  <c r="F77" i="6"/>
  <c r="E77" i="6"/>
  <c r="V76" i="6"/>
  <c r="S76" i="6"/>
  <c r="R76" i="6"/>
  <c r="T76" i="6" s="1"/>
  <c r="O76" i="6"/>
  <c r="L76" i="6"/>
  <c r="I76" i="6"/>
  <c r="Q76" i="6" s="1"/>
  <c r="H76" i="6"/>
  <c r="N76" i="6" s="1"/>
  <c r="G76" i="6"/>
  <c r="P76" i="6" s="1"/>
  <c r="F76" i="6"/>
  <c r="E76" i="6"/>
  <c r="V75" i="6"/>
  <c r="S75" i="6"/>
  <c r="R75" i="6"/>
  <c r="O75" i="6"/>
  <c r="L75" i="6"/>
  <c r="I75" i="6"/>
  <c r="Q75" i="6" s="1"/>
  <c r="H75" i="6"/>
  <c r="G75" i="6"/>
  <c r="P75" i="6" s="1"/>
  <c r="F75" i="6"/>
  <c r="E75" i="6"/>
  <c r="V73" i="6"/>
  <c r="S73" i="6"/>
  <c r="R73" i="6"/>
  <c r="T73" i="6" s="1"/>
  <c r="O73" i="6"/>
  <c r="L73" i="6"/>
  <c r="I73" i="6"/>
  <c r="Q73" i="6" s="1"/>
  <c r="H73" i="6"/>
  <c r="N73" i="6" s="1"/>
  <c r="G73" i="6"/>
  <c r="P73" i="6" s="1"/>
  <c r="F73" i="6"/>
  <c r="E73" i="6"/>
  <c r="V72" i="6"/>
  <c r="S72" i="6"/>
  <c r="R72" i="6"/>
  <c r="O72" i="6"/>
  <c r="L72" i="6"/>
  <c r="I72" i="6"/>
  <c r="Q72" i="6" s="1"/>
  <c r="H72" i="6"/>
  <c r="G72" i="6"/>
  <c r="P72" i="6" s="1"/>
  <c r="F72" i="6"/>
  <c r="E72" i="6"/>
  <c r="V71" i="6"/>
  <c r="S71" i="6"/>
  <c r="R71" i="6"/>
  <c r="O71" i="6"/>
  <c r="L71" i="6"/>
  <c r="I71" i="6"/>
  <c r="Q71" i="6" s="1"/>
  <c r="H71" i="6"/>
  <c r="G71" i="6"/>
  <c r="P71" i="6" s="1"/>
  <c r="F71" i="6"/>
  <c r="E71" i="6"/>
  <c r="V70" i="6"/>
  <c r="S70" i="6"/>
  <c r="R70" i="6"/>
  <c r="O70" i="6"/>
  <c r="L70" i="6"/>
  <c r="I70" i="6"/>
  <c r="Q70" i="6" s="1"/>
  <c r="H70" i="6"/>
  <c r="G70" i="6"/>
  <c r="P70" i="6" s="1"/>
  <c r="F70" i="6"/>
  <c r="E70" i="6"/>
  <c r="V69" i="6"/>
  <c r="S69" i="6"/>
  <c r="R69" i="6"/>
  <c r="O69" i="6"/>
  <c r="L69" i="6"/>
  <c r="I69" i="6"/>
  <c r="Q69" i="6" s="1"/>
  <c r="H69" i="6"/>
  <c r="G69" i="6"/>
  <c r="P69" i="6" s="1"/>
  <c r="F69" i="6"/>
  <c r="E69" i="6"/>
  <c r="V68" i="6"/>
  <c r="S68" i="6"/>
  <c r="R68" i="6"/>
  <c r="O68" i="6"/>
  <c r="L68" i="6"/>
  <c r="I68" i="6"/>
  <c r="Q68" i="6" s="1"/>
  <c r="H68" i="6"/>
  <c r="G68" i="6"/>
  <c r="P68" i="6" s="1"/>
  <c r="F68" i="6"/>
  <c r="E68" i="6"/>
  <c r="V67" i="6"/>
  <c r="S67" i="6"/>
  <c r="R67" i="6"/>
  <c r="O67" i="6"/>
  <c r="L67" i="6"/>
  <c r="I67" i="6"/>
  <c r="Q67" i="6" s="1"/>
  <c r="H67" i="6"/>
  <c r="G67" i="6"/>
  <c r="P67" i="6" s="1"/>
  <c r="F67" i="6"/>
  <c r="E67" i="6"/>
  <c r="V66" i="6"/>
  <c r="S66" i="6"/>
  <c r="R66" i="6"/>
  <c r="O66" i="6"/>
  <c r="L66" i="6"/>
  <c r="I66" i="6"/>
  <c r="Q66" i="6" s="1"/>
  <c r="H66" i="6"/>
  <c r="G66" i="6"/>
  <c r="P66" i="6" s="1"/>
  <c r="F66" i="6"/>
  <c r="E66" i="6"/>
  <c r="V65" i="6"/>
  <c r="S65" i="6"/>
  <c r="R65" i="6"/>
  <c r="O65" i="6"/>
  <c r="L65" i="6"/>
  <c r="I65" i="6"/>
  <c r="Q65" i="6" s="1"/>
  <c r="H65" i="6"/>
  <c r="G65" i="6"/>
  <c r="P65" i="6" s="1"/>
  <c r="F65" i="6"/>
  <c r="E65" i="6"/>
  <c r="V64" i="6"/>
  <c r="S64" i="6"/>
  <c r="R64" i="6"/>
  <c r="O64" i="6"/>
  <c r="L64" i="6"/>
  <c r="I64" i="6"/>
  <c r="Q64" i="6" s="1"/>
  <c r="H64" i="6"/>
  <c r="G64" i="6"/>
  <c r="P64" i="6" s="1"/>
  <c r="F64" i="6"/>
  <c r="E64" i="6"/>
  <c r="V63" i="6"/>
  <c r="S63" i="6"/>
  <c r="R63" i="6"/>
  <c r="O63" i="6"/>
  <c r="L63" i="6"/>
  <c r="I63" i="6"/>
  <c r="Q63" i="6" s="1"/>
  <c r="H63" i="6"/>
  <c r="G63" i="6"/>
  <c r="P63" i="6" s="1"/>
  <c r="F63" i="6"/>
  <c r="E63" i="6"/>
  <c r="V62" i="6"/>
  <c r="S62" i="6"/>
  <c r="R62" i="6"/>
  <c r="O62" i="6"/>
  <c r="L62" i="6"/>
  <c r="I62" i="6"/>
  <c r="Q62" i="6" s="1"/>
  <c r="H62" i="6"/>
  <c r="G62" i="6"/>
  <c r="P62" i="6" s="1"/>
  <c r="F62" i="6"/>
  <c r="E62" i="6"/>
  <c r="V61" i="6"/>
  <c r="S61" i="6"/>
  <c r="R61" i="6"/>
  <c r="O61" i="6"/>
  <c r="L61" i="6"/>
  <c r="I61" i="6"/>
  <c r="Q61" i="6" s="1"/>
  <c r="H61" i="6"/>
  <c r="G61" i="6"/>
  <c r="P61" i="6" s="1"/>
  <c r="F61" i="6"/>
  <c r="E61" i="6"/>
  <c r="V60" i="6"/>
  <c r="S60" i="6"/>
  <c r="R60" i="6"/>
  <c r="O60" i="6"/>
  <c r="L60" i="6"/>
  <c r="I60" i="6"/>
  <c r="Q60" i="6" s="1"/>
  <c r="H60" i="6"/>
  <c r="G60" i="6"/>
  <c r="P60" i="6" s="1"/>
  <c r="F60" i="6"/>
  <c r="E60" i="6"/>
  <c r="V59" i="6"/>
  <c r="S59" i="6"/>
  <c r="R59" i="6"/>
  <c r="T59" i="6" s="1"/>
  <c r="O59" i="6"/>
  <c r="L59" i="6"/>
  <c r="I59" i="6"/>
  <c r="Q59" i="6" s="1"/>
  <c r="H59" i="6"/>
  <c r="N59" i="6" s="1"/>
  <c r="G59" i="6"/>
  <c r="P59" i="6" s="1"/>
  <c r="F59" i="6"/>
  <c r="E59" i="6"/>
  <c r="V58" i="6"/>
  <c r="S58" i="6"/>
  <c r="R58" i="6"/>
  <c r="O58" i="6"/>
  <c r="L58" i="6"/>
  <c r="I58" i="6"/>
  <c r="Q58" i="6" s="1"/>
  <c r="H58" i="6"/>
  <c r="G58" i="6"/>
  <c r="P58" i="6" s="1"/>
  <c r="F58" i="6"/>
  <c r="E58" i="6"/>
  <c r="V57" i="6"/>
  <c r="S57" i="6"/>
  <c r="R57" i="6"/>
  <c r="O57" i="6"/>
  <c r="L57" i="6"/>
  <c r="I57" i="6"/>
  <c r="Q57" i="6" s="1"/>
  <c r="H57" i="6"/>
  <c r="G57" i="6"/>
  <c r="P57" i="6" s="1"/>
  <c r="F57" i="6"/>
  <c r="E57" i="6"/>
  <c r="V56" i="6"/>
  <c r="S56" i="6"/>
  <c r="R56" i="6"/>
  <c r="T56" i="6" s="1"/>
  <c r="O56" i="6"/>
  <c r="L56" i="6"/>
  <c r="I56" i="6"/>
  <c r="Q56" i="6" s="1"/>
  <c r="H56" i="6"/>
  <c r="N56" i="6" s="1"/>
  <c r="G56" i="6"/>
  <c r="P56" i="6" s="1"/>
  <c r="F56" i="6"/>
  <c r="E56" i="6"/>
  <c r="V55" i="6"/>
  <c r="S55" i="6"/>
  <c r="R55" i="6"/>
  <c r="O55" i="6"/>
  <c r="L55" i="6"/>
  <c r="I55" i="6"/>
  <c r="Q55" i="6" s="1"/>
  <c r="H55" i="6"/>
  <c r="G55" i="6"/>
  <c r="P55" i="6" s="1"/>
  <c r="F55" i="6"/>
  <c r="E55" i="6"/>
  <c r="V54" i="6"/>
  <c r="S54" i="6"/>
  <c r="R54" i="6"/>
  <c r="O54" i="6"/>
  <c r="L54" i="6"/>
  <c r="I54" i="6"/>
  <c r="Q54" i="6" s="1"/>
  <c r="H54" i="6"/>
  <c r="G54" i="6"/>
  <c r="P54" i="6" s="1"/>
  <c r="F54" i="6"/>
  <c r="E54" i="6"/>
  <c r="V53" i="6"/>
  <c r="S53" i="6"/>
  <c r="R53" i="6"/>
  <c r="O53" i="6"/>
  <c r="L53" i="6"/>
  <c r="I53" i="6"/>
  <c r="Q53" i="6" s="1"/>
  <c r="H53" i="6"/>
  <c r="G53" i="6"/>
  <c r="F53" i="6"/>
  <c r="E53" i="6"/>
  <c r="V51" i="6"/>
  <c r="S51" i="6"/>
  <c r="R51" i="6"/>
  <c r="O51" i="6"/>
  <c r="L51" i="6"/>
  <c r="I51" i="6"/>
  <c r="Q51" i="6" s="1"/>
  <c r="H51" i="6"/>
  <c r="G51" i="6"/>
  <c r="P51" i="6" s="1"/>
  <c r="F51" i="6"/>
  <c r="E51" i="6"/>
  <c r="V50" i="6"/>
  <c r="S50" i="6"/>
  <c r="R50" i="6"/>
  <c r="O50" i="6"/>
  <c r="L50" i="6"/>
  <c r="I50" i="6"/>
  <c r="Q50" i="6" s="1"/>
  <c r="H50" i="6"/>
  <c r="G50" i="6"/>
  <c r="P50" i="6" s="1"/>
  <c r="F50" i="6"/>
  <c r="E50" i="6"/>
  <c r="V49" i="6"/>
  <c r="S49" i="6"/>
  <c r="R49" i="6"/>
  <c r="O49" i="6"/>
  <c r="L49" i="6"/>
  <c r="I49" i="6"/>
  <c r="Q49" i="6" s="1"/>
  <c r="H49" i="6"/>
  <c r="G49" i="6"/>
  <c r="P49" i="6" s="1"/>
  <c r="F49" i="6"/>
  <c r="E49" i="6"/>
  <c r="V48" i="6"/>
  <c r="S48" i="6"/>
  <c r="R48" i="6"/>
  <c r="O48" i="6"/>
  <c r="L48" i="6"/>
  <c r="I48" i="6"/>
  <c r="Q48" i="6" s="1"/>
  <c r="H48" i="6"/>
  <c r="G48" i="6"/>
  <c r="P48" i="6" s="1"/>
  <c r="F48" i="6"/>
  <c r="E48" i="6"/>
  <c r="V47" i="6"/>
  <c r="S47" i="6"/>
  <c r="R47" i="6"/>
  <c r="T47" i="6" s="1"/>
  <c r="O47" i="6"/>
  <c r="L47" i="6"/>
  <c r="I47" i="6"/>
  <c r="Q47" i="6" s="1"/>
  <c r="H47" i="6"/>
  <c r="N47" i="6" s="1"/>
  <c r="G47" i="6"/>
  <c r="P47" i="6" s="1"/>
  <c r="F47" i="6"/>
  <c r="E47" i="6"/>
  <c r="V46" i="6"/>
  <c r="S46" i="6"/>
  <c r="R46" i="6"/>
  <c r="O46" i="6"/>
  <c r="L46" i="6"/>
  <c r="I46" i="6"/>
  <c r="Q46" i="6" s="1"/>
  <c r="H46" i="6"/>
  <c r="G46" i="6"/>
  <c r="P46" i="6" s="1"/>
  <c r="F46" i="6"/>
  <c r="E46" i="6"/>
  <c r="V45" i="6"/>
  <c r="S45" i="6"/>
  <c r="R45" i="6"/>
  <c r="O45" i="6"/>
  <c r="L45" i="6"/>
  <c r="I45" i="6"/>
  <c r="Q45" i="6" s="1"/>
  <c r="H45" i="6"/>
  <c r="G45" i="6"/>
  <c r="P45" i="6" s="1"/>
  <c r="F45" i="6"/>
  <c r="E45" i="6"/>
  <c r="V44" i="6"/>
  <c r="S44" i="6"/>
  <c r="R44" i="6"/>
  <c r="O44" i="6"/>
  <c r="L44" i="6"/>
  <c r="I44" i="6"/>
  <c r="Q44" i="6" s="1"/>
  <c r="H44" i="6"/>
  <c r="G44" i="6"/>
  <c r="P44" i="6" s="1"/>
  <c r="F44" i="6"/>
  <c r="E44" i="6"/>
  <c r="V43" i="6"/>
  <c r="S43" i="6"/>
  <c r="R43" i="6"/>
  <c r="O43" i="6"/>
  <c r="L43" i="6"/>
  <c r="I43" i="6"/>
  <c r="Q43" i="6" s="1"/>
  <c r="H43" i="6"/>
  <c r="G43" i="6"/>
  <c r="P43" i="6" s="1"/>
  <c r="F43" i="6"/>
  <c r="E43" i="6"/>
  <c r="V42" i="6"/>
  <c r="S42" i="6"/>
  <c r="R42" i="6"/>
  <c r="O42" i="6"/>
  <c r="L42" i="6"/>
  <c r="I42" i="6"/>
  <c r="Q42" i="6" s="1"/>
  <c r="H42" i="6"/>
  <c r="G42" i="6"/>
  <c r="P42" i="6" s="1"/>
  <c r="F42" i="6"/>
  <c r="E42" i="6"/>
  <c r="V41" i="6"/>
  <c r="S41" i="6"/>
  <c r="R41" i="6"/>
  <c r="O41" i="6"/>
  <c r="L41" i="6"/>
  <c r="I41" i="6"/>
  <c r="Q41" i="6" s="1"/>
  <c r="H41" i="6"/>
  <c r="G41" i="6"/>
  <c r="P41" i="6" s="1"/>
  <c r="F41" i="6"/>
  <c r="E41" i="6"/>
  <c r="V40" i="6"/>
  <c r="S40" i="6"/>
  <c r="R40" i="6"/>
  <c r="O40" i="6"/>
  <c r="L40" i="6"/>
  <c r="I40" i="6"/>
  <c r="Q40" i="6" s="1"/>
  <c r="H40" i="6"/>
  <c r="G40" i="6"/>
  <c r="P40" i="6" s="1"/>
  <c r="F40" i="6"/>
  <c r="E40" i="6"/>
  <c r="V39" i="6"/>
  <c r="S39" i="6"/>
  <c r="R39" i="6"/>
  <c r="O39" i="6"/>
  <c r="L39" i="6"/>
  <c r="I39" i="6"/>
  <c r="Q39" i="6" s="1"/>
  <c r="H39" i="6"/>
  <c r="G39" i="6"/>
  <c r="P39" i="6" s="1"/>
  <c r="F39" i="6"/>
  <c r="E39" i="6"/>
  <c r="V38" i="6"/>
  <c r="S38" i="6"/>
  <c r="R38" i="6"/>
  <c r="O38" i="6"/>
  <c r="L38" i="6"/>
  <c r="I38" i="6"/>
  <c r="Q38" i="6" s="1"/>
  <c r="H38" i="6"/>
  <c r="G38" i="6"/>
  <c r="P38" i="6" s="1"/>
  <c r="F38" i="6"/>
  <c r="E38" i="6"/>
  <c r="V37" i="6"/>
  <c r="S37" i="6"/>
  <c r="R37" i="6"/>
  <c r="O37" i="6"/>
  <c r="L37" i="6"/>
  <c r="I37" i="6"/>
  <c r="Q37" i="6" s="1"/>
  <c r="H37" i="6"/>
  <c r="G37" i="6"/>
  <c r="P37" i="6" s="1"/>
  <c r="F37" i="6"/>
  <c r="E37" i="6"/>
  <c r="V36" i="6"/>
  <c r="S36" i="6"/>
  <c r="R36" i="6"/>
  <c r="O36" i="6"/>
  <c r="L36" i="6"/>
  <c r="I36" i="6"/>
  <c r="Q36" i="6" s="1"/>
  <c r="H36" i="6"/>
  <c r="G36" i="6"/>
  <c r="P36" i="6" s="1"/>
  <c r="F36" i="6"/>
  <c r="E36" i="6"/>
  <c r="V35" i="6"/>
  <c r="S35" i="6"/>
  <c r="R35" i="6"/>
  <c r="O35" i="6"/>
  <c r="L35" i="6"/>
  <c r="I35" i="6"/>
  <c r="Q35" i="6" s="1"/>
  <c r="H35" i="6"/>
  <c r="G35" i="6"/>
  <c r="P35" i="6" s="1"/>
  <c r="F35" i="6"/>
  <c r="E35" i="6"/>
  <c r="V34" i="6"/>
  <c r="S34" i="6"/>
  <c r="R34" i="6"/>
  <c r="O34" i="6"/>
  <c r="L34" i="6"/>
  <c r="I34" i="6"/>
  <c r="Q34" i="6" s="1"/>
  <c r="H34" i="6"/>
  <c r="G34" i="6"/>
  <c r="P34" i="6" s="1"/>
  <c r="F34" i="6"/>
  <c r="E34" i="6"/>
  <c r="V33" i="6"/>
  <c r="S33" i="6"/>
  <c r="R33" i="6"/>
  <c r="O33" i="6"/>
  <c r="L33" i="6"/>
  <c r="I33" i="6"/>
  <c r="Q33" i="6" s="1"/>
  <c r="H33" i="6"/>
  <c r="G33" i="6"/>
  <c r="P33" i="6" s="1"/>
  <c r="F33" i="6"/>
  <c r="E33" i="6"/>
  <c r="V32" i="6"/>
  <c r="S32" i="6"/>
  <c r="R32" i="6"/>
  <c r="O32" i="6"/>
  <c r="L32" i="6"/>
  <c r="I32" i="6"/>
  <c r="Q32" i="6" s="1"/>
  <c r="H32" i="6"/>
  <c r="G32" i="6"/>
  <c r="F32" i="6"/>
  <c r="E32" i="6"/>
  <c r="V30" i="6"/>
  <c r="S30" i="6"/>
  <c r="R30" i="6"/>
  <c r="O30" i="6"/>
  <c r="L30" i="6"/>
  <c r="I30" i="6"/>
  <c r="Q30" i="6" s="1"/>
  <c r="H30" i="6"/>
  <c r="G30" i="6"/>
  <c r="P30" i="6" s="1"/>
  <c r="F30" i="6"/>
  <c r="E30" i="6"/>
  <c r="V29" i="6"/>
  <c r="S29" i="6"/>
  <c r="R29" i="6"/>
  <c r="O29" i="6"/>
  <c r="L29" i="6"/>
  <c r="I29" i="6"/>
  <c r="Q29" i="6" s="1"/>
  <c r="H29" i="6"/>
  <c r="G29" i="6"/>
  <c r="P29" i="6" s="1"/>
  <c r="F29" i="6"/>
  <c r="E29" i="6"/>
  <c r="V28" i="6"/>
  <c r="S28" i="6"/>
  <c r="R28" i="6"/>
  <c r="O28" i="6"/>
  <c r="L28" i="6"/>
  <c r="I28" i="6"/>
  <c r="Q28" i="6" s="1"/>
  <c r="H28" i="6"/>
  <c r="G28" i="6"/>
  <c r="P28" i="6" s="1"/>
  <c r="F28" i="6"/>
  <c r="E28" i="6"/>
  <c r="V27" i="6"/>
  <c r="S27" i="6"/>
  <c r="R27" i="6"/>
  <c r="O27" i="6"/>
  <c r="L27" i="6"/>
  <c r="I27" i="6"/>
  <c r="Q27" i="6" s="1"/>
  <c r="H27" i="6"/>
  <c r="G27" i="6"/>
  <c r="P27" i="6" s="1"/>
  <c r="F27" i="6"/>
  <c r="E27" i="6"/>
  <c r="V26" i="6"/>
  <c r="S26" i="6"/>
  <c r="R26" i="6"/>
  <c r="O26" i="6"/>
  <c r="L26" i="6"/>
  <c r="I26" i="6"/>
  <c r="Q26" i="6" s="1"/>
  <c r="H26" i="6"/>
  <c r="G26" i="6"/>
  <c r="P26" i="6" s="1"/>
  <c r="F26" i="6"/>
  <c r="E26" i="6"/>
  <c r="V25" i="6"/>
  <c r="S25" i="6"/>
  <c r="R25" i="6"/>
  <c r="O25" i="6"/>
  <c r="L25" i="6"/>
  <c r="I25" i="6"/>
  <c r="Q25" i="6" s="1"/>
  <c r="H25" i="6"/>
  <c r="G25" i="6"/>
  <c r="P25" i="6" s="1"/>
  <c r="F25" i="6"/>
  <c r="E25" i="6"/>
  <c r="V24" i="6"/>
  <c r="S24" i="6"/>
  <c r="R24" i="6"/>
  <c r="O24" i="6"/>
  <c r="L24" i="6"/>
  <c r="I24" i="6"/>
  <c r="Q24" i="6" s="1"/>
  <c r="H24" i="6"/>
  <c r="G24" i="6"/>
  <c r="P24" i="6" s="1"/>
  <c r="F24" i="6"/>
  <c r="E24" i="6"/>
  <c r="V23" i="6"/>
  <c r="S23" i="6"/>
  <c r="R23" i="6"/>
  <c r="O23" i="6"/>
  <c r="L23" i="6"/>
  <c r="I23" i="6"/>
  <c r="Q23" i="6" s="1"/>
  <c r="H23" i="6"/>
  <c r="G23" i="6"/>
  <c r="P23" i="6" s="1"/>
  <c r="F23" i="6"/>
  <c r="E23" i="6"/>
  <c r="V22" i="6"/>
  <c r="S22" i="6"/>
  <c r="R22" i="6"/>
  <c r="O22" i="6"/>
  <c r="L22" i="6"/>
  <c r="I22" i="6"/>
  <c r="Q22" i="6" s="1"/>
  <c r="H22" i="6"/>
  <c r="G22" i="6"/>
  <c r="P22" i="6" s="1"/>
  <c r="F22" i="6"/>
  <c r="E22" i="6"/>
  <c r="V21" i="6"/>
  <c r="S21" i="6"/>
  <c r="R21" i="6"/>
  <c r="O21" i="6"/>
  <c r="L21" i="6"/>
  <c r="I21" i="6"/>
  <c r="Q21" i="6" s="1"/>
  <c r="H21" i="6"/>
  <c r="G21" i="6"/>
  <c r="P21" i="6" s="1"/>
  <c r="F21" i="6"/>
  <c r="E21" i="6"/>
  <c r="V20" i="6"/>
  <c r="S20" i="6"/>
  <c r="R20" i="6"/>
  <c r="O20" i="6"/>
  <c r="L20" i="6"/>
  <c r="I20" i="6"/>
  <c r="Q20" i="6" s="1"/>
  <c r="H20" i="6"/>
  <c r="G20" i="6"/>
  <c r="P20" i="6" s="1"/>
  <c r="F20" i="6"/>
  <c r="E20" i="6"/>
  <c r="V19" i="6"/>
  <c r="S19" i="6"/>
  <c r="R19" i="6"/>
  <c r="O19" i="6"/>
  <c r="L19" i="6"/>
  <c r="I19" i="6"/>
  <c r="Q19" i="6" s="1"/>
  <c r="H19" i="6"/>
  <c r="G19" i="6"/>
  <c r="P19" i="6" s="1"/>
  <c r="F19" i="6"/>
  <c r="E19" i="6"/>
  <c r="V18" i="6"/>
  <c r="S18" i="6"/>
  <c r="R18" i="6"/>
  <c r="O18" i="6"/>
  <c r="L18" i="6"/>
  <c r="I18" i="6"/>
  <c r="Q18" i="6" s="1"/>
  <c r="H18" i="6"/>
  <c r="G18" i="6"/>
  <c r="P18" i="6" s="1"/>
  <c r="F18" i="6"/>
  <c r="E18" i="6"/>
  <c r="V17" i="6"/>
  <c r="S17" i="6"/>
  <c r="R17" i="6"/>
  <c r="O17" i="6"/>
  <c r="L17" i="6"/>
  <c r="I17" i="6"/>
  <c r="Q17" i="6" s="1"/>
  <c r="H17" i="6"/>
  <c r="G17" i="6"/>
  <c r="P17" i="6" s="1"/>
  <c r="F17" i="6"/>
  <c r="E17" i="6"/>
  <c r="V16" i="6"/>
  <c r="S16" i="6"/>
  <c r="R16" i="6"/>
  <c r="O16" i="6"/>
  <c r="L16" i="6"/>
  <c r="I16" i="6"/>
  <c r="Q16" i="6" s="1"/>
  <c r="H16" i="6"/>
  <c r="G16" i="6"/>
  <c r="P16" i="6" s="1"/>
  <c r="F16" i="6"/>
  <c r="E16" i="6"/>
  <c r="V15" i="6"/>
  <c r="S15" i="6"/>
  <c r="R15" i="6"/>
  <c r="O15" i="6"/>
  <c r="L15" i="6"/>
  <c r="I15" i="6"/>
  <c r="Q15" i="6" s="1"/>
  <c r="H15" i="6"/>
  <c r="G15" i="6"/>
  <c r="P15" i="6" s="1"/>
  <c r="F15" i="6"/>
  <c r="E15" i="6"/>
  <c r="V14" i="6"/>
  <c r="S14" i="6"/>
  <c r="R14" i="6"/>
  <c r="O14" i="6"/>
  <c r="L14" i="6"/>
  <c r="I14" i="6"/>
  <c r="Q14" i="6" s="1"/>
  <c r="H14" i="6"/>
  <c r="G14" i="6"/>
  <c r="F14" i="6"/>
  <c r="E14" i="6"/>
  <c r="W12" i="6"/>
  <c r="T12" i="6"/>
  <c r="Q12" i="6"/>
  <c r="N12" i="6"/>
  <c r="M12" i="6"/>
  <c r="K12" i="6"/>
  <c r="J12" i="6"/>
  <c r="C12" i="6"/>
  <c r="V9" i="6"/>
  <c r="W9" i="6" s="1"/>
  <c r="O116" i="5"/>
  <c r="L116" i="5"/>
  <c r="I116" i="5"/>
  <c r="Q116" i="5" s="1"/>
  <c r="H116" i="5"/>
  <c r="N116" i="5" s="1"/>
  <c r="G116" i="5"/>
  <c r="P116" i="5" s="1"/>
  <c r="F116" i="5"/>
  <c r="E116" i="5"/>
  <c r="O115" i="5"/>
  <c r="L115" i="5"/>
  <c r="I115" i="5"/>
  <c r="Q115" i="5" s="1"/>
  <c r="H115" i="5"/>
  <c r="N115" i="5" s="1"/>
  <c r="G115" i="5"/>
  <c r="P115" i="5" s="1"/>
  <c r="F115" i="5"/>
  <c r="E115" i="5"/>
  <c r="O114" i="5"/>
  <c r="L114" i="5"/>
  <c r="I114" i="5"/>
  <c r="Q114" i="5" s="1"/>
  <c r="H114" i="5"/>
  <c r="N114" i="5" s="1"/>
  <c r="G114" i="5"/>
  <c r="P114" i="5" s="1"/>
  <c r="F114" i="5"/>
  <c r="E114" i="5"/>
  <c r="O113" i="5"/>
  <c r="L113" i="5"/>
  <c r="I113" i="5"/>
  <c r="Q113" i="5" s="1"/>
  <c r="H113" i="5"/>
  <c r="N113" i="5" s="1"/>
  <c r="G113" i="5"/>
  <c r="P113" i="5" s="1"/>
  <c r="F113" i="5"/>
  <c r="E113" i="5"/>
  <c r="O112" i="5"/>
  <c r="L112" i="5"/>
  <c r="I112" i="5"/>
  <c r="Q112" i="5" s="1"/>
  <c r="H112" i="5"/>
  <c r="N112" i="5" s="1"/>
  <c r="G112" i="5"/>
  <c r="P112" i="5" s="1"/>
  <c r="F112" i="5"/>
  <c r="E112" i="5"/>
  <c r="O111" i="5"/>
  <c r="L111" i="5"/>
  <c r="I111" i="5"/>
  <c r="Q111" i="5" s="1"/>
  <c r="H111" i="5"/>
  <c r="N111" i="5" s="1"/>
  <c r="G111" i="5"/>
  <c r="P111" i="5" s="1"/>
  <c r="F111" i="5"/>
  <c r="E111" i="5"/>
  <c r="O110" i="5"/>
  <c r="L110" i="5"/>
  <c r="I110" i="5"/>
  <c r="Q110" i="5" s="1"/>
  <c r="H110" i="5"/>
  <c r="N110" i="5" s="1"/>
  <c r="G110" i="5"/>
  <c r="P110" i="5" s="1"/>
  <c r="F110" i="5"/>
  <c r="E110" i="5"/>
  <c r="O109" i="5"/>
  <c r="L109" i="5"/>
  <c r="I109" i="5"/>
  <c r="Q109" i="5" s="1"/>
  <c r="H109" i="5"/>
  <c r="N109" i="5" s="1"/>
  <c r="G109" i="5"/>
  <c r="P109" i="5" s="1"/>
  <c r="F109" i="5"/>
  <c r="E109" i="5"/>
  <c r="O108" i="5"/>
  <c r="L108" i="5"/>
  <c r="I108" i="5"/>
  <c r="Q108" i="5" s="1"/>
  <c r="H108" i="5"/>
  <c r="N108" i="5" s="1"/>
  <c r="G108" i="5"/>
  <c r="P108" i="5" s="1"/>
  <c r="F108" i="5"/>
  <c r="E108" i="5"/>
  <c r="O107" i="5"/>
  <c r="L107" i="5"/>
  <c r="I107" i="5"/>
  <c r="Q107" i="5" s="1"/>
  <c r="H107" i="5"/>
  <c r="N107" i="5" s="1"/>
  <c r="G107" i="5"/>
  <c r="P107" i="5" s="1"/>
  <c r="F107" i="5"/>
  <c r="E107" i="5"/>
  <c r="O106" i="5"/>
  <c r="L106" i="5"/>
  <c r="I106" i="5"/>
  <c r="Q106" i="5" s="1"/>
  <c r="H106" i="5"/>
  <c r="G106" i="5"/>
  <c r="P106" i="5" s="1"/>
  <c r="F106" i="5"/>
  <c r="E106" i="5"/>
  <c r="O105" i="5"/>
  <c r="L105" i="5"/>
  <c r="I105" i="5"/>
  <c r="Q105" i="5" s="1"/>
  <c r="H105" i="5"/>
  <c r="G105" i="5"/>
  <c r="P105" i="5" s="1"/>
  <c r="F105" i="5"/>
  <c r="E105" i="5"/>
  <c r="O104" i="5"/>
  <c r="O11" i="5" s="1"/>
  <c r="L104" i="5"/>
  <c r="L11" i="5" s="1"/>
  <c r="I104" i="5"/>
  <c r="Q104" i="5" s="1"/>
  <c r="H104" i="5"/>
  <c r="H11" i="5" s="1"/>
  <c r="G104" i="5"/>
  <c r="P104" i="5" s="1"/>
  <c r="F104" i="5"/>
  <c r="F11" i="5" s="1"/>
  <c r="E104" i="5"/>
  <c r="E11" i="5" s="1"/>
  <c r="O103" i="5"/>
  <c r="L103" i="5"/>
  <c r="I103" i="5"/>
  <c r="Q103" i="5" s="1"/>
  <c r="H103" i="5"/>
  <c r="N103" i="5" s="1"/>
  <c r="G103" i="5"/>
  <c r="P103" i="5" s="1"/>
  <c r="F103" i="5"/>
  <c r="E103" i="5"/>
  <c r="O102" i="5"/>
  <c r="L102" i="5"/>
  <c r="I102" i="5"/>
  <c r="Q102" i="5" s="1"/>
  <c r="H102" i="5"/>
  <c r="N102" i="5" s="1"/>
  <c r="G102" i="5"/>
  <c r="P102" i="5" s="1"/>
  <c r="F102" i="5"/>
  <c r="E102" i="5"/>
  <c r="O101" i="5"/>
  <c r="L101" i="5"/>
  <c r="I101" i="5"/>
  <c r="Q101" i="5" s="1"/>
  <c r="H101" i="5"/>
  <c r="N101" i="5" s="1"/>
  <c r="G101" i="5"/>
  <c r="P101" i="5" s="1"/>
  <c r="F101" i="5"/>
  <c r="E101" i="5"/>
  <c r="O100" i="5"/>
  <c r="L100" i="5"/>
  <c r="I100" i="5"/>
  <c r="Q100" i="5" s="1"/>
  <c r="H100" i="5"/>
  <c r="N100" i="5" s="1"/>
  <c r="G100" i="5"/>
  <c r="P100" i="5" s="1"/>
  <c r="F100" i="5"/>
  <c r="E100" i="5"/>
  <c r="O99" i="5"/>
  <c r="L99" i="5"/>
  <c r="I99" i="5"/>
  <c r="Q99" i="5" s="1"/>
  <c r="H99" i="5"/>
  <c r="N99" i="5" s="1"/>
  <c r="G99" i="5"/>
  <c r="P99" i="5" s="1"/>
  <c r="F99" i="5"/>
  <c r="E99" i="5"/>
  <c r="O98" i="5"/>
  <c r="L98" i="5"/>
  <c r="I98" i="5"/>
  <c r="Q98" i="5" s="1"/>
  <c r="H98" i="5"/>
  <c r="N98" i="5" s="1"/>
  <c r="G98" i="5"/>
  <c r="P98" i="5" s="1"/>
  <c r="F98" i="5"/>
  <c r="E98" i="5"/>
  <c r="O97" i="5"/>
  <c r="L97" i="5"/>
  <c r="I97" i="5"/>
  <c r="Q97" i="5" s="1"/>
  <c r="H97" i="5"/>
  <c r="N97" i="5" s="1"/>
  <c r="G97" i="5"/>
  <c r="P97" i="5" s="1"/>
  <c r="F97" i="5"/>
  <c r="E97" i="5"/>
  <c r="O96" i="5"/>
  <c r="L96" i="5"/>
  <c r="I96" i="5"/>
  <c r="Q96" i="5" s="1"/>
  <c r="H96" i="5"/>
  <c r="G96" i="5"/>
  <c r="P96" i="5" s="1"/>
  <c r="F96" i="5"/>
  <c r="E96" i="5"/>
  <c r="O95" i="5"/>
  <c r="L95" i="5"/>
  <c r="I95" i="5"/>
  <c r="Q95" i="5" s="1"/>
  <c r="H95" i="5"/>
  <c r="N95" i="5" s="1"/>
  <c r="G95" i="5"/>
  <c r="P95" i="5" s="1"/>
  <c r="F95" i="5"/>
  <c r="E95" i="5"/>
  <c r="O94" i="5"/>
  <c r="L94" i="5"/>
  <c r="I94" i="5"/>
  <c r="Q94" i="5" s="1"/>
  <c r="H94" i="5"/>
  <c r="N94" i="5" s="1"/>
  <c r="G94" i="5"/>
  <c r="P94" i="5" s="1"/>
  <c r="F94" i="5"/>
  <c r="E94" i="5"/>
  <c r="O93" i="5"/>
  <c r="L93" i="5"/>
  <c r="I93" i="5"/>
  <c r="Q93" i="5" s="1"/>
  <c r="H93" i="5"/>
  <c r="N93" i="5" s="1"/>
  <c r="G93" i="5"/>
  <c r="P93" i="5" s="1"/>
  <c r="F93" i="5"/>
  <c r="E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O92" i="5"/>
  <c r="L92" i="5"/>
  <c r="I92" i="5"/>
  <c r="Q92" i="5" s="1"/>
  <c r="H92" i="5"/>
  <c r="G92" i="5"/>
  <c r="P92" i="5" s="1"/>
  <c r="F92" i="5"/>
  <c r="E92" i="5"/>
  <c r="O91" i="5"/>
  <c r="L91" i="5"/>
  <c r="I91" i="5"/>
  <c r="Q91" i="5" s="1"/>
  <c r="H91" i="5"/>
  <c r="N91" i="5" s="1"/>
  <c r="G91" i="5"/>
  <c r="P91" i="5" s="1"/>
  <c r="F91" i="5"/>
  <c r="E91" i="5"/>
  <c r="O90" i="5"/>
  <c r="L90" i="5"/>
  <c r="I90" i="5"/>
  <c r="Q90" i="5" s="1"/>
  <c r="H90" i="5"/>
  <c r="N90" i="5" s="1"/>
  <c r="G90" i="5"/>
  <c r="P90" i="5" s="1"/>
  <c r="F90" i="5"/>
  <c r="E90" i="5"/>
  <c r="S88" i="5"/>
  <c r="R88" i="5"/>
  <c r="O88" i="5"/>
  <c r="L88" i="5"/>
  <c r="I88" i="5"/>
  <c r="Q88" i="5" s="1"/>
  <c r="H88" i="5"/>
  <c r="G88" i="5"/>
  <c r="P88" i="5" s="1"/>
  <c r="F88" i="5"/>
  <c r="E88" i="5"/>
  <c r="S87" i="5"/>
  <c r="R87" i="5"/>
  <c r="T87" i="5" s="1"/>
  <c r="O87" i="5"/>
  <c r="L87" i="5"/>
  <c r="I87" i="5"/>
  <c r="Q87" i="5" s="1"/>
  <c r="H87" i="5"/>
  <c r="G87" i="5"/>
  <c r="P87" i="5" s="1"/>
  <c r="F87" i="5"/>
  <c r="E87" i="5"/>
  <c r="S86" i="5"/>
  <c r="R86" i="5"/>
  <c r="T86" i="5" s="1"/>
  <c r="O86" i="5"/>
  <c r="L86" i="5"/>
  <c r="I86" i="5"/>
  <c r="Q86" i="5" s="1"/>
  <c r="H86" i="5"/>
  <c r="N86" i="5" s="1"/>
  <c r="G86" i="5"/>
  <c r="P86" i="5" s="1"/>
  <c r="F86" i="5"/>
  <c r="E86" i="5"/>
  <c r="S85" i="5"/>
  <c r="R85" i="5"/>
  <c r="T85" i="5" s="1"/>
  <c r="O85" i="5"/>
  <c r="L85" i="5"/>
  <c r="I85" i="5"/>
  <c r="Q85" i="5" s="1"/>
  <c r="H85" i="5"/>
  <c r="N85" i="5" s="1"/>
  <c r="G85" i="5"/>
  <c r="P85" i="5" s="1"/>
  <c r="F85" i="5"/>
  <c r="E85" i="5"/>
  <c r="S84" i="5"/>
  <c r="R84" i="5"/>
  <c r="T84" i="5" s="1"/>
  <c r="O84" i="5"/>
  <c r="L84" i="5"/>
  <c r="I84" i="5"/>
  <c r="Q84" i="5" s="1"/>
  <c r="H84" i="5"/>
  <c r="N84" i="5" s="1"/>
  <c r="G84" i="5"/>
  <c r="P84" i="5" s="1"/>
  <c r="F84" i="5"/>
  <c r="E84" i="5"/>
  <c r="S83" i="5"/>
  <c r="R83" i="5"/>
  <c r="T83" i="5" s="1"/>
  <c r="O83" i="5"/>
  <c r="L83" i="5"/>
  <c r="I83" i="5"/>
  <c r="Q83" i="5" s="1"/>
  <c r="H83" i="5"/>
  <c r="N83" i="5" s="1"/>
  <c r="G83" i="5"/>
  <c r="P83" i="5" s="1"/>
  <c r="F83" i="5"/>
  <c r="E83" i="5"/>
  <c r="S82" i="5"/>
  <c r="R82" i="5"/>
  <c r="T82" i="5" s="1"/>
  <c r="O82" i="5"/>
  <c r="L82" i="5"/>
  <c r="I82" i="5"/>
  <c r="Q82" i="5" s="1"/>
  <c r="H82" i="5"/>
  <c r="N82" i="5" s="1"/>
  <c r="G82" i="5"/>
  <c r="P82" i="5" s="1"/>
  <c r="F82" i="5"/>
  <c r="E82" i="5"/>
  <c r="S81" i="5"/>
  <c r="R81" i="5"/>
  <c r="T81" i="5" s="1"/>
  <c r="O81" i="5"/>
  <c r="L81" i="5"/>
  <c r="I81" i="5"/>
  <c r="Q81" i="5" s="1"/>
  <c r="H81" i="5"/>
  <c r="N81" i="5" s="1"/>
  <c r="G81" i="5"/>
  <c r="P81" i="5" s="1"/>
  <c r="F81" i="5"/>
  <c r="E81" i="5"/>
  <c r="S80" i="5"/>
  <c r="R80" i="5"/>
  <c r="T80" i="5" s="1"/>
  <c r="O80" i="5"/>
  <c r="L80" i="5"/>
  <c r="I80" i="5"/>
  <c r="Q80" i="5" s="1"/>
  <c r="H80" i="5"/>
  <c r="N80" i="5" s="1"/>
  <c r="G80" i="5"/>
  <c r="P80" i="5" s="1"/>
  <c r="F80" i="5"/>
  <c r="E80" i="5"/>
  <c r="S79" i="5"/>
  <c r="R79" i="5"/>
  <c r="T79" i="5" s="1"/>
  <c r="O79" i="5"/>
  <c r="L79" i="5"/>
  <c r="I79" i="5"/>
  <c r="Q79" i="5" s="1"/>
  <c r="H79" i="5"/>
  <c r="N79" i="5" s="1"/>
  <c r="G79" i="5"/>
  <c r="P79" i="5" s="1"/>
  <c r="F79" i="5"/>
  <c r="E79" i="5"/>
  <c r="S78" i="5"/>
  <c r="R78" i="5"/>
  <c r="T78" i="5" s="1"/>
  <c r="O78" i="5"/>
  <c r="L78" i="5"/>
  <c r="I78" i="5"/>
  <c r="Q78" i="5" s="1"/>
  <c r="H78" i="5"/>
  <c r="N78" i="5" s="1"/>
  <c r="G78" i="5"/>
  <c r="P78" i="5" s="1"/>
  <c r="F78" i="5"/>
  <c r="E78" i="5"/>
  <c r="S77" i="5"/>
  <c r="R77" i="5"/>
  <c r="T77" i="5" s="1"/>
  <c r="O77" i="5"/>
  <c r="L77" i="5"/>
  <c r="I77" i="5"/>
  <c r="Q77" i="5" s="1"/>
  <c r="H77" i="5"/>
  <c r="N77" i="5" s="1"/>
  <c r="G77" i="5"/>
  <c r="P77" i="5" s="1"/>
  <c r="F77" i="5"/>
  <c r="E77" i="5"/>
  <c r="S76" i="5"/>
  <c r="R76" i="5"/>
  <c r="O76" i="5"/>
  <c r="L76" i="5"/>
  <c r="I76" i="5"/>
  <c r="Q76" i="5" s="1"/>
  <c r="H76" i="5"/>
  <c r="G76" i="5"/>
  <c r="P76" i="5" s="1"/>
  <c r="F76" i="5"/>
  <c r="E76" i="5"/>
  <c r="S75" i="5"/>
  <c r="R75" i="5"/>
  <c r="T75" i="5" s="1"/>
  <c r="O75" i="5"/>
  <c r="L75" i="5"/>
  <c r="I75" i="5"/>
  <c r="Q75" i="5" s="1"/>
  <c r="H75" i="5"/>
  <c r="G75" i="5"/>
  <c r="P75" i="5" s="1"/>
  <c r="F75" i="5"/>
  <c r="E75" i="5"/>
  <c r="S73" i="5"/>
  <c r="R73" i="5"/>
  <c r="T73" i="5" s="1"/>
  <c r="O73" i="5"/>
  <c r="L73" i="5"/>
  <c r="I73" i="5"/>
  <c r="Q73" i="5" s="1"/>
  <c r="H73" i="5"/>
  <c r="N73" i="5" s="1"/>
  <c r="G73" i="5"/>
  <c r="P73" i="5" s="1"/>
  <c r="F73" i="5"/>
  <c r="E73" i="5"/>
  <c r="S72" i="5"/>
  <c r="R72" i="5"/>
  <c r="O72" i="5"/>
  <c r="L72" i="5"/>
  <c r="I72" i="5"/>
  <c r="Q72" i="5" s="1"/>
  <c r="H72" i="5"/>
  <c r="G72" i="5"/>
  <c r="P72" i="5" s="1"/>
  <c r="F72" i="5"/>
  <c r="E72" i="5"/>
  <c r="S71" i="5"/>
  <c r="R71" i="5"/>
  <c r="T71" i="5" s="1"/>
  <c r="O71" i="5"/>
  <c r="L71" i="5"/>
  <c r="I71" i="5"/>
  <c r="Q71" i="5" s="1"/>
  <c r="H71" i="5"/>
  <c r="N71" i="5" s="1"/>
  <c r="G71" i="5"/>
  <c r="P71" i="5" s="1"/>
  <c r="F71" i="5"/>
  <c r="E71" i="5"/>
  <c r="S70" i="5"/>
  <c r="R70" i="5"/>
  <c r="O70" i="5"/>
  <c r="L70" i="5"/>
  <c r="I70" i="5"/>
  <c r="Q70" i="5" s="1"/>
  <c r="H70" i="5"/>
  <c r="G70" i="5"/>
  <c r="P70" i="5" s="1"/>
  <c r="F70" i="5"/>
  <c r="E70" i="5"/>
  <c r="S69" i="5"/>
  <c r="R69" i="5"/>
  <c r="T69" i="5" s="1"/>
  <c r="O69" i="5"/>
  <c r="L69" i="5"/>
  <c r="I69" i="5"/>
  <c r="Q69" i="5" s="1"/>
  <c r="H69" i="5"/>
  <c r="N69" i="5" s="1"/>
  <c r="G69" i="5"/>
  <c r="P69" i="5" s="1"/>
  <c r="F69" i="5"/>
  <c r="E69" i="5"/>
  <c r="S68" i="5"/>
  <c r="R68" i="5"/>
  <c r="O68" i="5"/>
  <c r="L68" i="5"/>
  <c r="I68" i="5"/>
  <c r="Q68" i="5" s="1"/>
  <c r="H68" i="5"/>
  <c r="G68" i="5"/>
  <c r="P68" i="5" s="1"/>
  <c r="F68" i="5"/>
  <c r="E68" i="5"/>
  <c r="S67" i="5"/>
  <c r="R67" i="5"/>
  <c r="O67" i="5"/>
  <c r="L67" i="5"/>
  <c r="I67" i="5"/>
  <c r="Q67" i="5" s="1"/>
  <c r="H67" i="5"/>
  <c r="G67" i="5"/>
  <c r="P67" i="5" s="1"/>
  <c r="F67" i="5"/>
  <c r="E67" i="5"/>
  <c r="S66" i="5"/>
  <c r="R66" i="5"/>
  <c r="T66" i="5" s="1"/>
  <c r="O66" i="5"/>
  <c r="L66" i="5"/>
  <c r="I66" i="5"/>
  <c r="Q66" i="5" s="1"/>
  <c r="H66" i="5"/>
  <c r="N66" i="5" s="1"/>
  <c r="G66" i="5"/>
  <c r="P66" i="5" s="1"/>
  <c r="F66" i="5"/>
  <c r="E66" i="5"/>
  <c r="S65" i="5"/>
  <c r="R65" i="5"/>
  <c r="O65" i="5"/>
  <c r="L65" i="5"/>
  <c r="I65" i="5"/>
  <c r="Q65" i="5" s="1"/>
  <c r="H65" i="5"/>
  <c r="G65" i="5"/>
  <c r="P65" i="5" s="1"/>
  <c r="F65" i="5"/>
  <c r="E65" i="5"/>
  <c r="S64" i="5"/>
  <c r="R64" i="5"/>
  <c r="O64" i="5"/>
  <c r="L64" i="5"/>
  <c r="I64" i="5"/>
  <c r="Q64" i="5" s="1"/>
  <c r="H64" i="5"/>
  <c r="G64" i="5"/>
  <c r="P64" i="5" s="1"/>
  <c r="F64" i="5"/>
  <c r="E64" i="5"/>
  <c r="S63" i="5"/>
  <c r="R63" i="5"/>
  <c r="T63" i="5" s="1"/>
  <c r="O63" i="5"/>
  <c r="L63" i="5"/>
  <c r="I63" i="5"/>
  <c r="Q63" i="5" s="1"/>
  <c r="H63" i="5"/>
  <c r="G63" i="5"/>
  <c r="P63" i="5" s="1"/>
  <c r="F63" i="5"/>
  <c r="E63" i="5"/>
  <c r="S62" i="5"/>
  <c r="R62" i="5"/>
  <c r="O62" i="5"/>
  <c r="L62" i="5"/>
  <c r="I62" i="5"/>
  <c r="Q62" i="5" s="1"/>
  <c r="H62" i="5"/>
  <c r="G62" i="5"/>
  <c r="P62" i="5" s="1"/>
  <c r="F62" i="5"/>
  <c r="E62" i="5"/>
  <c r="S61" i="5"/>
  <c r="R61" i="5"/>
  <c r="T61" i="5" s="1"/>
  <c r="O61" i="5"/>
  <c r="L61" i="5"/>
  <c r="I61" i="5"/>
  <c r="Q61" i="5" s="1"/>
  <c r="H61" i="5"/>
  <c r="N61" i="5" s="1"/>
  <c r="G61" i="5"/>
  <c r="P61" i="5" s="1"/>
  <c r="F61" i="5"/>
  <c r="E61" i="5"/>
  <c r="S60" i="5"/>
  <c r="R60" i="5"/>
  <c r="T60" i="5" s="1"/>
  <c r="O60" i="5"/>
  <c r="L60" i="5"/>
  <c r="I60" i="5"/>
  <c r="Q60" i="5" s="1"/>
  <c r="H60" i="5"/>
  <c r="N60" i="5" s="1"/>
  <c r="G60" i="5"/>
  <c r="P60" i="5" s="1"/>
  <c r="F60" i="5"/>
  <c r="E60" i="5"/>
  <c r="S59" i="5"/>
  <c r="R59" i="5"/>
  <c r="T59" i="5" s="1"/>
  <c r="O59" i="5"/>
  <c r="L59" i="5"/>
  <c r="I59" i="5"/>
  <c r="Q59" i="5" s="1"/>
  <c r="H59" i="5"/>
  <c r="N59" i="5" s="1"/>
  <c r="G59" i="5"/>
  <c r="P59" i="5" s="1"/>
  <c r="F59" i="5"/>
  <c r="E59" i="5"/>
  <c r="S58" i="5"/>
  <c r="R58" i="5"/>
  <c r="T58" i="5" s="1"/>
  <c r="O58" i="5"/>
  <c r="L58" i="5"/>
  <c r="I58" i="5"/>
  <c r="Q58" i="5" s="1"/>
  <c r="H58" i="5"/>
  <c r="N58" i="5" s="1"/>
  <c r="G58" i="5"/>
  <c r="P58" i="5" s="1"/>
  <c r="F58" i="5"/>
  <c r="E58" i="5"/>
  <c r="S57" i="5"/>
  <c r="R57" i="5"/>
  <c r="O57" i="5"/>
  <c r="L57" i="5"/>
  <c r="I57" i="5"/>
  <c r="Q57" i="5" s="1"/>
  <c r="H57" i="5"/>
  <c r="G57" i="5"/>
  <c r="P57" i="5" s="1"/>
  <c r="F57" i="5"/>
  <c r="E57" i="5"/>
  <c r="S56" i="5"/>
  <c r="R56" i="5"/>
  <c r="T56" i="5" s="1"/>
  <c r="O56" i="5"/>
  <c r="L56" i="5"/>
  <c r="I56" i="5"/>
  <c r="Q56" i="5" s="1"/>
  <c r="H56" i="5"/>
  <c r="N56" i="5" s="1"/>
  <c r="G56" i="5"/>
  <c r="P56" i="5" s="1"/>
  <c r="F56" i="5"/>
  <c r="E56" i="5"/>
  <c r="S55" i="5"/>
  <c r="R55" i="5"/>
  <c r="O55" i="5"/>
  <c r="L55" i="5"/>
  <c r="I55" i="5"/>
  <c r="Q55" i="5" s="1"/>
  <c r="H55" i="5"/>
  <c r="G55" i="5"/>
  <c r="P55" i="5" s="1"/>
  <c r="F55" i="5"/>
  <c r="E55" i="5"/>
  <c r="S54" i="5"/>
  <c r="R54" i="5"/>
  <c r="T54" i="5" s="1"/>
  <c r="O54" i="5"/>
  <c r="L54" i="5"/>
  <c r="I54" i="5"/>
  <c r="Q54" i="5" s="1"/>
  <c r="H54" i="5"/>
  <c r="G54" i="5"/>
  <c r="P54" i="5" s="1"/>
  <c r="F54" i="5"/>
  <c r="E54" i="5"/>
  <c r="S53" i="5"/>
  <c r="R53" i="5"/>
  <c r="O53" i="5"/>
  <c r="L53" i="5"/>
  <c r="I53" i="5"/>
  <c r="Q53" i="5" s="1"/>
  <c r="H53" i="5"/>
  <c r="G53" i="5"/>
  <c r="P53" i="5" s="1"/>
  <c r="F53" i="5"/>
  <c r="E53" i="5"/>
  <c r="S51" i="5"/>
  <c r="R51" i="5"/>
  <c r="T51" i="5" s="1"/>
  <c r="O51" i="5"/>
  <c r="L51" i="5"/>
  <c r="I51" i="5"/>
  <c r="Q51" i="5" s="1"/>
  <c r="H51" i="5"/>
  <c r="N51" i="5" s="1"/>
  <c r="G51" i="5"/>
  <c r="P51" i="5" s="1"/>
  <c r="F51" i="5"/>
  <c r="E51" i="5"/>
  <c r="S50" i="5"/>
  <c r="R50" i="5"/>
  <c r="O50" i="5"/>
  <c r="L50" i="5"/>
  <c r="I50" i="5"/>
  <c r="Q50" i="5" s="1"/>
  <c r="H50" i="5"/>
  <c r="G50" i="5"/>
  <c r="P50" i="5" s="1"/>
  <c r="F50" i="5"/>
  <c r="E50" i="5"/>
  <c r="S49" i="5"/>
  <c r="R49" i="5"/>
  <c r="T49" i="5" s="1"/>
  <c r="O49" i="5"/>
  <c r="L49" i="5"/>
  <c r="I49" i="5"/>
  <c r="Q49" i="5" s="1"/>
  <c r="H49" i="5"/>
  <c r="N49" i="5" s="1"/>
  <c r="G49" i="5"/>
  <c r="P49" i="5" s="1"/>
  <c r="F49" i="5"/>
  <c r="E49" i="5"/>
  <c r="S48" i="5"/>
  <c r="R48" i="5"/>
  <c r="T48" i="5" s="1"/>
  <c r="O48" i="5"/>
  <c r="L48" i="5"/>
  <c r="I48" i="5"/>
  <c r="Q48" i="5" s="1"/>
  <c r="H48" i="5"/>
  <c r="N48" i="5" s="1"/>
  <c r="G48" i="5"/>
  <c r="P48" i="5" s="1"/>
  <c r="F48" i="5"/>
  <c r="E48" i="5"/>
  <c r="S47" i="5"/>
  <c r="R47" i="5"/>
  <c r="T47" i="5" s="1"/>
  <c r="O47" i="5"/>
  <c r="L47" i="5"/>
  <c r="I47" i="5"/>
  <c r="Q47" i="5" s="1"/>
  <c r="H47" i="5"/>
  <c r="N47" i="5" s="1"/>
  <c r="G47" i="5"/>
  <c r="P47" i="5" s="1"/>
  <c r="F47" i="5"/>
  <c r="E47" i="5"/>
  <c r="S46" i="5"/>
  <c r="R46" i="5"/>
  <c r="T46" i="5" s="1"/>
  <c r="O46" i="5"/>
  <c r="L46" i="5"/>
  <c r="I46" i="5"/>
  <c r="Q46" i="5" s="1"/>
  <c r="H46" i="5"/>
  <c r="N46" i="5" s="1"/>
  <c r="G46" i="5"/>
  <c r="P46" i="5" s="1"/>
  <c r="F46" i="5"/>
  <c r="E46" i="5"/>
  <c r="S45" i="5"/>
  <c r="R45" i="5"/>
  <c r="O45" i="5"/>
  <c r="L45" i="5"/>
  <c r="I45" i="5"/>
  <c r="Q45" i="5" s="1"/>
  <c r="H45" i="5"/>
  <c r="G45" i="5"/>
  <c r="P45" i="5" s="1"/>
  <c r="F45" i="5"/>
  <c r="E45" i="5"/>
  <c r="S44" i="5"/>
  <c r="R44" i="5"/>
  <c r="T44" i="5" s="1"/>
  <c r="O44" i="5"/>
  <c r="L44" i="5"/>
  <c r="I44" i="5"/>
  <c r="Q44" i="5" s="1"/>
  <c r="H44" i="5"/>
  <c r="G44" i="5"/>
  <c r="P44" i="5" s="1"/>
  <c r="F44" i="5"/>
  <c r="E44" i="5"/>
  <c r="S43" i="5"/>
  <c r="R43" i="5"/>
  <c r="T43" i="5" s="1"/>
  <c r="O43" i="5"/>
  <c r="L43" i="5"/>
  <c r="I43" i="5"/>
  <c r="Q43" i="5" s="1"/>
  <c r="H43" i="5"/>
  <c r="G43" i="5"/>
  <c r="P43" i="5" s="1"/>
  <c r="F43" i="5"/>
  <c r="E43" i="5"/>
  <c r="S42" i="5"/>
  <c r="R42" i="5"/>
  <c r="O42" i="5"/>
  <c r="L42" i="5"/>
  <c r="I42" i="5"/>
  <c r="Q42" i="5" s="1"/>
  <c r="H42" i="5"/>
  <c r="G42" i="5"/>
  <c r="P42" i="5" s="1"/>
  <c r="F42" i="5"/>
  <c r="E42" i="5"/>
  <c r="S41" i="5"/>
  <c r="R41" i="5"/>
  <c r="T41" i="5" s="1"/>
  <c r="O41" i="5"/>
  <c r="L41" i="5"/>
  <c r="I41" i="5"/>
  <c r="Q41" i="5" s="1"/>
  <c r="H41" i="5"/>
  <c r="G41" i="5"/>
  <c r="P41" i="5" s="1"/>
  <c r="F41" i="5"/>
  <c r="E41" i="5"/>
  <c r="S40" i="5"/>
  <c r="R40" i="5"/>
  <c r="T40" i="5" s="1"/>
  <c r="O40" i="5"/>
  <c r="L40" i="5"/>
  <c r="I40" i="5"/>
  <c r="Q40" i="5" s="1"/>
  <c r="H40" i="5"/>
  <c r="N40" i="5" s="1"/>
  <c r="G40" i="5"/>
  <c r="P40" i="5" s="1"/>
  <c r="F40" i="5"/>
  <c r="E40" i="5"/>
  <c r="S39" i="5"/>
  <c r="R39" i="5"/>
  <c r="T39" i="5" s="1"/>
  <c r="O39" i="5"/>
  <c r="L39" i="5"/>
  <c r="I39" i="5"/>
  <c r="Q39" i="5" s="1"/>
  <c r="H39" i="5"/>
  <c r="N39" i="5" s="1"/>
  <c r="G39" i="5"/>
  <c r="P39" i="5" s="1"/>
  <c r="F39" i="5"/>
  <c r="E39" i="5"/>
  <c r="S38" i="5"/>
  <c r="R38" i="5"/>
  <c r="O38" i="5"/>
  <c r="L38" i="5"/>
  <c r="I38" i="5"/>
  <c r="Q38" i="5" s="1"/>
  <c r="H38" i="5"/>
  <c r="G38" i="5"/>
  <c r="P38" i="5" s="1"/>
  <c r="F38" i="5"/>
  <c r="E38" i="5"/>
  <c r="S37" i="5"/>
  <c r="R37" i="5"/>
  <c r="O37" i="5"/>
  <c r="L37" i="5"/>
  <c r="I37" i="5"/>
  <c r="Q37" i="5" s="1"/>
  <c r="H37" i="5"/>
  <c r="G37" i="5"/>
  <c r="P37" i="5" s="1"/>
  <c r="F37" i="5"/>
  <c r="E37" i="5"/>
  <c r="S36" i="5"/>
  <c r="R36" i="5"/>
  <c r="O36" i="5"/>
  <c r="L36" i="5"/>
  <c r="I36" i="5"/>
  <c r="Q36" i="5" s="1"/>
  <c r="H36" i="5"/>
  <c r="G36" i="5"/>
  <c r="P36" i="5" s="1"/>
  <c r="F36" i="5"/>
  <c r="E36" i="5"/>
  <c r="S35" i="5"/>
  <c r="R35" i="5"/>
  <c r="T35" i="5" s="1"/>
  <c r="O35" i="5"/>
  <c r="L35" i="5"/>
  <c r="I35" i="5"/>
  <c r="Q35" i="5" s="1"/>
  <c r="H35" i="5"/>
  <c r="N35" i="5" s="1"/>
  <c r="G35" i="5"/>
  <c r="P35" i="5" s="1"/>
  <c r="F35" i="5"/>
  <c r="E35" i="5"/>
  <c r="S34" i="5"/>
  <c r="R34" i="5"/>
  <c r="T34" i="5" s="1"/>
  <c r="O34" i="5"/>
  <c r="L34" i="5"/>
  <c r="I34" i="5"/>
  <c r="Q34" i="5" s="1"/>
  <c r="H34" i="5"/>
  <c r="G34" i="5"/>
  <c r="P34" i="5" s="1"/>
  <c r="F34" i="5"/>
  <c r="E34" i="5"/>
  <c r="S33" i="5"/>
  <c r="R33" i="5"/>
  <c r="O33" i="5"/>
  <c r="L33" i="5"/>
  <c r="I33" i="5"/>
  <c r="Q33" i="5" s="1"/>
  <c r="H33" i="5"/>
  <c r="G33" i="5"/>
  <c r="P33" i="5" s="1"/>
  <c r="F33" i="5"/>
  <c r="E33" i="5"/>
  <c r="S32" i="5"/>
  <c r="R32" i="5"/>
  <c r="O32" i="5"/>
  <c r="L32" i="5"/>
  <c r="I32" i="5"/>
  <c r="Q32" i="5" s="1"/>
  <c r="H32" i="5"/>
  <c r="G32" i="5"/>
  <c r="P32" i="5" s="1"/>
  <c r="F32" i="5"/>
  <c r="E32" i="5"/>
  <c r="S30" i="5"/>
  <c r="R30" i="5"/>
  <c r="O30" i="5"/>
  <c r="L30" i="5"/>
  <c r="I30" i="5"/>
  <c r="Q30" i="5" s="1"/>
  <c r="H30" i="5"/>
  <c r="G30" i="5"/>
  <c r="P30" i="5" s="1"/>
  <c r="F30" i="5"/>
  <c r="E30" i="5"/>
  <c r="S29" i="5"/>
  <c r="R29" i="5"/>
  <c r="T29" i="5" s="1"/>
  <c r="O29" i="5"/>
  <c r="L29" i="5"/>
  <c r="I29" i="5"/>
  <c r="Q29" i="5" s="1"/>
  <c r="H29" i="5"/>
  <c r="N29" i="5" s="1"/>
  <c r="G29" i="5"/>
  <c r="P29" i="5" s="1"/>
  <c r="F29" i="5"/>
  <c r="E29" i="5"/>
  <c r="S28" i="5"/>
  <c r="R28" i="5"/>
  <c r="O28" i="5"/>
  <c r="L28" i="5"/>
  <c r="I28" i="5"/>
  <c r="Q28" i="5" s="1"/>
  <c r="H28" i="5"/>
  <c r="G28" i="5"/>
  <c r="P28" i="5" s="1"/>
  <c r="F28" i="5"/>
  <c r="E28" i="5"/>
  <c r="S27" i="5"/>
  <c r="R27" i="5"/>
  <c r="O27" i="5"/>
  <c r="L27" i="5"/>
  <c r="I27" i="5"/>
  <c r="Q27" i="5" s="1"/>
  <c r="H27" i="5"/>
  <c r="G27" i="5"/>
  <c r="P27" i="5" s="1"/>
  <c r="F27" i="5"/>
  <c r="E27" i="5"/>
  <c r="S26" i="5"/>
  <c r="R26" i="5"/>
  <c r="T26" i="5" s="1"/>
  <c r="O26" i="5"/>
  <c r="L26" i="5"/>
  <c r="I26" i="5"/>
  <c r="Q26" i="5" s="1"/>
  <c r="H26" i="5"/>
  <c r="G26" i="5"/>
  <c r="P26" i="5" s="1"/>
  <c r="F26" i="5"/>
  <c r="E26" i="5"/>
  <c r="S25" i="5"/>
  <c r="R25" i="5"/>
  <c r="O25" i="5"/>
  <c r="L25" i="5"/>
  <c r="I25" i="5"/>
  <c r="Q25" i="5" s="1"/>
  <c r="H25" i="5"/>
  <c r="G25" i="5"/>
  <c r="P25" i="5" s="1"/>
  <c r="F25" i="5"/>
  <c r="E25" i="5"/>
  <c r="S24" i="5"/>
  <c r="R24" i="5"/>
  <c r="T24" i="5" s="1"/>
  <c r="O24" i="5"/>
  <c r="L24" i="5"/>
  <c r="I24" i="5"/>
  <c r="Q24" i="5" s="1"/>
  <c r="H24" i="5"/>
  <c r="G24" i="5"/>
  <c r="P24" i="5" s="1"/>
  <c r="F24" i="5"/>
  <c r="E24" i="5"/>
  <c r="S23" i="5"/>
  <c r="R23" i="5"/>
  <c r="O23" i="5"/>
  <c r="L23" i="5"/>
  <c r="I23" i="5"/>
  <c r="Q23" i="5" s="1"/>
  <c r="H23" i="5"/>
  <c r="G23" i="5"/>
  <c r="P23" i="5" s="1"/>
  <c r="F23" i="5"/>
  <c r="E23" i="5"/>
  <c r="S22" i="5"/>
  <c r="R22" i="5"/>
  <c r="T22" i="5" s="1"/>
  <c r="O22" i="5"/>
  <c r="L22" i="5"/>
  <c r="I22" i="5"/>
  <c r="Q22" i="5" s="1"/>
  <c r="H22" i="5"/>
  <c r="G22" i="5"/>
  <c r="P22" i="5" s="1"/>
  <c r="F22" i="5"/>
  <c r="E22" i="5"/>
  <c r="S21" i="5"/>
  <c r="R21" i="5"/>
  <c r="T21" i="5" s="1"/>
  <c r="O21" i="5"/>
  <c r="L21" i="5"/>
  <c r="I21" i="5"/>
  <c r="Q21" i="5" s="1"/>
  <c r="H21" i="5"/>
  <c r="G21" i="5"/>
  <c r="P21" i="5" s="1"/>
  <c r="F21" i="5"/>
  <c r="E21" i="5"/>
  <c r="S20" i="5"/>
  <c r="R20" i="5"/>
  <c r="O20" i="5"/>
  <c r="L20" i="5"/>
  <c r="I20" i="5"/>
  <c r="Q20" i="5" s="1"/>
  <c r="H20" i="5"/>
  <c r="G20" i="5"/>
  <c r="P20" i="5" s="1"/>
  <c r="F20" i="5"/>
  <c r="E20" i="5"/>
  <c r="S19" i="5"/>
  <c r="R19" i="5"/>
  <c r="T19" i="5" s="1"/>
  <c r="O19" i="5"/>
  <c r="L19" i="5"/>
  <c r="I19" i="5"/>
  <c r="Q19" i="5" s="1"/>
  <c r="H19" i="5"/>
  <c r="N19" i="5" s="1"/>
  <c r="G19" i="5"/>
  <c r="P19" i="5" s="1"/>
  <c r="F19" i="5"/>
  <c r="E19" i="5"/>
  <c r="S18" i="5"/>
  <c r="R18" i="5"/>
  <c r="O18" i="5"/>
  <c r="L18" i="5"/>
  <c r="I18" i="5"/>
  <c r="Q18" i="5" s="1"/>
  <c r="H18" i="5"/>
  <c r="G18" i="5"/>
  <c r="P18" i="5" s="1"/>
  <c r="F18" i="5"/>
  <c r="E18" i="5"/>
  <c r="S17" i="5"/>
  <c r="R17" i="5"/>
  <c r="O17" i="5"/>
  <c r="L17" i="5"/>
  <c r="I17" i="5"/>
  <c r="Q17" i="5" s="1"/>
  <c r="H17" i="5"/>
  <c r="G17" i="5"/>
  <c r="P17" i="5" s="1"/>
  <c r="F17" i="5"/>
  <c r="E17" i="5"/>
  <c r="S16" i="5"/>
  <c r="R16" i="5"/>
  <c r="T16" i="5" s="1"/>
  <c r="O16" i="5"/>
  <c r="L16" i="5"/>
  <c r="I16" i="5"/>
  <c r="Q16" i="5" s="1"/>
  <c r="H16" i="5"/>
  <c r="G16" i="5"/>
  <c r="P16" i="5" s="1"/>
  <c r="F16" i="5"/>
  <c r="E16" i="5"/>
  <c r="S15" i="5"/>
  <c r="R15" i="5"/>
  <c r="O15" i="5"/>
  <c r="L15" i="5"/>
  <c r="I15" i="5"/>
  <c r="Q15" i="5" s="1"/>
  <c r="H15" i="5"/>
  <c r="G15" i="5"/>
  <c r="P15" i="5" s="1"/>
  <c r="F15" i="5"/>
  <c r="E15" i="5"/>
  <c r="S14" i="5"/>
  <c r="R14" i="5"/>
  <c r="O14" i="5"/>
  <c r="L14" i="5"/>
  <c r="I14" i="5"/>
  <c r="H14" i="5"/>
  <c r="N14" i="5" s="1"/>
  <c r="G14" i="5"/>
  <c r="P14" i="5" s="1"/>
  <c r="F14" i="5"/>
  <c r="E14" i="5"/>
  <c r="T12" i="5"/>
  <c r="Q12" i="5"/>
  <c r="N12" i="5"/>
  <c r="M12" i="5"/>
  <c r="J12" i="5"/>
  <c r="C12" i="5"/>
  <c r="K12" i="5" s="1"/>
  <c r="G11" i="5"/>
  <c r="P11" i="5" s="1"/>
  <c r="O116" i="4"/>
  <c r="L116" i="4"/>
  <c r="I116" i="4"/>
  <c r="Q116" i="4" s="1"/>
  <c r="H116" i="4"/>
  <c r="N116" i="4" s="1"/>
  <c r="G116" i="4"/>
  <c r="P116" i="4" s="1"/>
  <c r="F116" i="4"/>
  <c r="E116" i="4"/>
  <c r="O115" i="4"/>
  <c r="L115" i="4"/>
  <c r="I115" i="4"/>
  <c r="Q115" i="4" s="1"/>
  <c r="H115" i="4"/>
  <c r="N115" i="4" s="1"/>
  <c r="G115" i="4"/>
  <c r="P115" i="4" s="1"/>
  <c r="F115" i="4"/>
  <c r="E115" i="4"/>
  <c r="O114" i="4"/>
  <c r="L114" i="4"/>
  <c r="I114" i="4"/>
  <c r="Q114" i="4" s="1"/>
  <c r="H114" i="4"/>
  <c r="N114" i="4" s="1"/>
  <c r="G114" i="4"/>
  <c r="P114" i="4" s="1"/>
  <c r="F114" i="4"/>
  <c r="E114" i="4"/>
  <c r="O113" i="4"/>
  <c r="L113" i="4"/>
  <c r="I113" i="4"/>
  <c r="Q113" i="4" s="1"/>
  <c r="H113" i="4"/>
  <c r="N113" i="4" s="1"/>
  <c r="G113" i="4"/>
  <c r="P113" i="4" s="1"/>
  <c r="F113" i="4"/>
  <c r="E113" i="4"/>
  <c r="O112" i="4"/>
  <c r="L112" i="4"/>
  <c r="I112" i="4"/>
  <c r="Q112" i="4" s="1"/>
  <c r="H112" i="4"/>
  <c r="N112" i="4" s="1"/>
  <c r="G112" i="4"/>
  <c r="P112" i="4" s="1"/>
  <c r="F112" i="4"/>
  <c r="E112" i="4"/>
  <c r="O111" i="4"/>
  <c r="L111" i="4"/>
  <c r="I111" i="4"/>
  <c r="Q111" i="4" s="1"/>
  <c r="H111" i="4"/>
  <c r="N111" i="4" s="1"/>
  <c r="G111" i="4"/>
  <c r="P111" i="4" s="1"/>
  <c r="F111" i="4"/>
  <c r="E111" i="4"/>
  <c r="O110" i="4"/>
  <c r="L110" i="4"/>
  <c r="I110" i="4"/>
  <c r="Q110" i="4" s="1"/>
  <c r="H110" i="4"/>
  <c r="N110" i="4" s="1"/>
  <c r="G110" i="4"/>
  <c r="P110" i="4" s="1"/>
  <c r="F110" i="4"/>
  <c r="E110" i="4"/>
  <c r="O109" i="4"/>
  <c r="L109" i="4"/>
  <c r="I109" i="4"/>
  <c r="Q109" i="4" s="1"/>
  <c r="H109" i="4"/>
  <c r="N109" i="4" s="1"/>
  <c r="G109" i="4"/>
  <c r="P109" i="4" s="1"/>
  <c r="F109" i="4"/>
  <c r="E109" i="4"/>
  <c r="O108" i="4"/>
  <c r="L108" i="4"/>
  <c r="I108" i="4"/>
  <c r="Q108" i="4" s="1"/>
  <c r="H108" i="4"/>
  <c r="N108" i="4" s="1"/>
  <c r="G108" i="4"/>
  <c r="P108" i="4" s="1"/>
  <c r="F108" i="4"/>
  <c r="E108" i="4"/>
  <c r="O107" i="4"/>
  <c r="L107" i="4"/>
  <c r="I107" i="4"/>
  <c r="Q107" i="4" s="1"/>
  <c r="H107" i="4"/>
  <c r="N107" i="4" s="1"/>
  <c r="G107" i="4"/>
  <c r="P107" i="4" s="1"/>
  <c r="F107" i="4"/>
  <c r="E107" i="4"/>
  <c r="O106" i="4"/>
  <c r="L106" i="4"/>
  <c r="I106" i="4"/>
  <c r="Q106" i="4" s="1"/>
  <c r="H106" i="4"/>
  <c r="N106" i="4" s="1"/>
  <c r="G106" i="4"/>
  <c r="P106" i="4" s="1"/>
  <c r="F106" i="4"/>
  <c r="E106" i="4"/>
  <c r="O105" i="4"/>
  <c r="L105" i="4"/>
  <c r="I105" i="4"/>
  <c r="Q105" i="4" s="1"/>
  <c r="H105" i="4"/>
  <c r="G105" i="4"/>
  <c r="P105" i="4" s="1"/>
  <c r="F105" i="4"/>
  <c r="E105" i="4"/>
  <c r="O104" i="4"/>
  <c r="O11" i="4" s="1"/>
  <c r="L104" i="4"/>
  <c r="I104" i="4"/>
  <c r="I11" i="4" s="1"/>
  <c r="H104" i="4"/>
  <c r="H11" i="4" s="1"/>
  <c r="G104" i="4"/>
  <c r="P104" i="4" s="1"/>
  <c r="F104" i="4"/>
  <c r="F11" i="4" s="1"/>
  <c r="E104" i="4"/>
  <c r="E11" i="4" s="1"/>
  <c r="O103" i="4"/>
  <c r="L103" i="4"/>
  <c r="I103" i="4"/>
  <c r="Q103" i="4" s="1"/>
  <c r="H103" i="4"/>
  <c r="N103" i="4" s="1"/>
  <c r="G103" i="4"/>
  <c r="P103" i="4" s="1"/>
  <c r="F103" i="4"/>
  <c r="E103" i="4"/>
  <c r="O102" i="4"/>
  <c r="L102" i="4"/>
  <c r="I102" i="4"/>
  <c r="Q102" i="4" s="1"/>
  <c r="H102" i="4"/>
  <c r="N102" i="4" s="1"/>
  <c r="G102" i="4"/>
  <c r="P102" i="4" s="1"/>
  <c r="F102" i="4"/>
  <c r="E102" i="4"/>
  <c r="O101" i="4"/>
  <c r="L101" i="4"/>
  <c r="I101" i="4"/>
  <c r="Q101" i="4" s="1"/>
  <c r="H101" i="4"/>
  <c r="N101" i="4" s="1"/>
  <c r="G101" i="4"/>
  <c r="P101" i="4" s="1"/>
  <c r="F101" i="4"/>
  <c r="E101" i="4"/>
  <c r="O100" i="4"/>
  <c r="L100" i="4"/>
  <c r="I100" i="4"/>
  <c r="Q100" i="4" s="1"/>
  <c r="H100" i="4"/>
  <c r="N100" i="4" s="1"/>
  <c r="G100" i="4"/>
  <c r="P100" i="4" s="1"/>
  <c r="F100" i="4"/>
  <c r="E100" i="4"/>
  <c r="O99" i="4"/>
  <c r="L99" i="4"/>
  <c r="I99" i="4"/>
  <c r="Q99" i="4" s="1"/>
  <c r="H99" i="4"/>
  <c r="N99" i="4" s="1"/>
  <c r="G99" i="4"/>
  <c r="P99" i="4" s="1"/>
  <c r="F99" i="4"/>
  <c r="E99" i="4"/>
  <c r="O98" i="4"/>
  <c r="L98" i="4"/>
  <c r="I98" i="4"/>
  <c r="Q98" i="4" s="1"/>
  <c r="H98" i="4"/>
  <c r="N98" i="4" s="1"/>
  <c r="G98" i="4"/>
  <c r="P98" i="4" s="1"/>
  <c r="F98" i="4"/>
  <c r="E98" i="4"/>
  <c r="O97" i="4"/>
  <c r="L97" i="4"/>
  <c r="I97" i="4"/>
  <c r="Q97" i="4" s="1"/>
  <c r="H97" i="4"/>
  <c r="N97" i="4" s="1"/>
  <c r="G97" i="4"/>
  <c r="P97" i="4" s="1"/>
  <c r="F97" i="4"/>
  <c r="E97" i="4"/>
  <c r="O96" i="4"/>
  <c r="L96" i="4"/>
  <c r="I96" i="4"/>
  <c r="Q96" i="4" s="1"/>
  <c r="H96" i="4"/>
  <c r="G96" i="4"/>
  <c r="P96" i="4" s="1"/>
  <c r="F96" i="4"/>
  <c r="E96" i="4"/>
  <c r="O95" i="4"/>
  <c r="L95" i="4"/>
  <c r="I95" i="4"/>
  <c r="Q95" i="4" s="1"/>
  <c r="H95" i="4"/>
  <c r="N95" i="4" s="1"/>
  <c r="G95" i="4"/>
  <c r="P95" i="4" s="1"/>
  <c r="F95" i="4"/>
  <c r="E95" i="4"/>
  <c r="O94" i="4"/>
  <c r="L94" i="4"/>
  <c r="I94" i="4"/>
  <c r="Q94" i="4" s="1"/>
  <c r="H94" i="4"/>
  <c r="N94" i="4" s="1"/>
  <c r="G94" i="4"/>
  <c r="P94" i="4" s="1"/>
  <c r="F94" i="4"/>
  <c r="E94" i="4"/>
  <c r="O93" i="4"/>
  <c r="L93" i="4"/>
  <c r="I93" i="4"/>
  <c r="H93" i="4"/>
  <c r="G93" i="4"/>
  <c r="P93" i="4" s="1"/>
  <c r="F93" i="4"/>
  <c r="E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O92" i="4"/>
  <c r="L92" i="4"/>
  <c r="I92" i="4"/>
  <c r="Q92" i="4" s="1"/>
  <c r="H92" i="4"/>
  <c r="G92" i="4"/>
  <c r="P92" i="4" s="1"/>
  <c r="F92" i="4"/>
  <c r="E92" i="4"/>
  <c r="O91" i="4"/>
  <c r="L91" i="4"/>
  <c r="I91" i="4"/>
  <c r="Q91" i="4" s="1"/>
  <c r="H91" i="4"/>
  <c r="N91" i="4" s="1"/>
  <c r="G91" i="4"/>
  <c r="P91" i="4" s="1"/>
  <c r="F91" i="4"/>
  <c r="E91" i="4"/>
  <c r="O90" i="4"/>
  <c r="L90" i="4"/>
  <c r="I90" i="4"/>
  <c r="Q90" i="4" s="1"/>
  <c r="H90" i="4"/>
  <c r="G90" i="4"/>
  <c r="P90" i="4" s="1"/>
  <c r="F90" i="4"/>
  <c r="E90" i="4"/>
  <c r="AC88" i="4"/>
  <c r="AB88" i="4"/>
  <c r="Z88" i="4"/>
  <c r="Y88" i="4"/>
  <c r="W88" i="4"/>
  <c r="V88" i="4"/>
  <c r="T88" i="4"/>
  <c r="S88" i="4"/>
  <c r="R88" i="4"/>
  <c r="O88" i="4"/>
  <c r="L88" i="4"/>
  <c r="I88" i="4"/>
  <c r="H88" i="4"/>
  <c r="G88" i="4"/>
  <c r="F88" i="4"/>
  <c r="E88" i="4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R87" i="4"/>
  <c r="O87" i="4"/>
  <c r="L87" i="4"/>
  <c r="I87" i="4"/>
  <c r="Q87" i="4" s="1"/>
  <c r="H87" i="4"/>
  <c r="N87" i="4" s="1"/>
  <c r="G87" i="4"/>
  <c r="P87" i="4" s="1"/>
  <c r="F87" i="4"/>
  <c r="E87" i="4"/>
  <c r="AC86" i="4"/>
  <c r="AB86" i="4"/>
  <c r="Z86" i="4"/>
  <c r="Y86" i="4"/>
  <c r="W86" i="4"/>
  <c r="V86" i="4"/>
  <c r="T86" i="4"/>
  <c r="S86" i="4"/>
  <c r="R86" i="4"/>
  <c r="O86" i="4"/>
  <c r="L86" i="4"/>
  <c r="I86" i="4"/>
  <c r="H86" i="4"/>
  <c r="G86" i="4"/>
  <c r="F86" i="4"/>
  <c r="E86" i="4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R85" i="4"/>
  <c r="O85" i="4"/>
  <c r="L85" i="4"/>
  <c r="I85" i="4"/>
  <c r="Q85" i="4" s="1"/>
  <c r="H85" i="4"/>
  <c r="N85" i="4" s="1"/>
  <c r="G85" i="4"/>
  <c r="P85" i="4" s="1"/>
  <c r="F85" i="4"/>
  <c r="E85" i="4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R84" i="4"/>
  <c r="O84" i="4"/>
  <c r="L84" i="4"/>
  <c r="I84" i="4"/>
  <c r="Q84" i="4" s="1"/>
  <c r="H84" i="4"/>
  <c r="N84" i="4" s="1"/>
  <c r="G84" i="4"/>
  <c r="P84" i="4" s="1"/>
  <c r="F84" i="4"/>
  <c r="E84" i="4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R83" i="4"/>
  <c r="O83" i="4"/>
  <c r="L83" i="4"/>
  <c r="I83" i="4"/>
  <c r="Q83" i="4" s="1"/>
  <c r="H83" i="4"/>
  <c r="N83" i="4" s="1"/>
  <c r="G83" i="4"/>
  <c r="P83" i="4" s="1"/>
  <c r="F83" i="4"/>
  <c r="E83" i="4"/>
  <c r="AC82" i="4"/>
  <c r="AB82" i="4"/>
  <c r="Z82" i="4"/>
  <c r="Y82" i="4"/>
  <c r="W82" i="4"/>
  <c r="V82" i="4"/>
  <c r="T82" i="4"/>
  <c r="S82" i="4"/>
  <c r="R82" i="4"/>
  <c r="O82" i="4"/>
  <c r="L82" i="4"/>
  <c r="I82" i="4"/>
  <c r="H82" i="4"/>
  <c r="G82" i="4"/>
  <c r="F82" i="4"/>
  <c r="E82" i="4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R81" i="4"/>
  <c r="O81" i="4"/>
  <c r="L81" i="4"/>
  <c r="I81" i="4"/>
  <c r="Q81" i="4" s="1"/>
  <c r="H81" i="4"/>
  <c r="N81" i="4" s="1"/>
  <c r="G81" i="4"/>
  <c r="P81" i="4" s="1"/>
  <c r="F81" i="4"/>
  <c r="E81" i="4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R80" i="4"/>
  <c r="O80" i="4"/>
  <c r="L80" i="4"/>
  <c r="I80" i="4"/>
  <c r="Q80" i="4" s="1"/>
  <c r="H80" i="4"/>
  <c r="N80" i="4" s="1"/>
  <c r="G80" i="4"/>
  <c r="P80" i="4" s="1"/>
  <c r="F80" i="4"/>
  <c r="E80" i="4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R79" i="4"/>
  <c r="O79" i="4"/>
  <c r="L79" i="4"/>
  <c r="I79" i="4"/>
  <c r="Q79" i="4" s="1"/>
  <c r="H79" i="4"/>
  <c r="N79" i="4" s="1"/>
  <c r="G79" i="4"/>
  <c r="P79" i="4" s="1"/>
  <c r="F79" i="4"/>
  <c r="E79" i="4"/>
  <c r="AC78" i="4"/>
  <c r="AB78" i="4"/>
  <c r="Z78" i="4"/>
  <c r="Y78" i="4"/>
  <c r="W78" i="4"/>
  <c r="V78" i="4"/>
  <c r="T78" i="4"/>
  <c r="S78" i="4"/>
  <c r="R78" i="4"/>
  <c r="O78" i="4"/>
  <c r="L78" i="4"/>
  <c r="I78" i="4"/>
  <c r="H78" i="4"/>
  <c r="G78" i="4"/>
  <c r="F78" i="4"/>
  <c r="E78" i="4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R77" i="4"/>
  <c r="O77" i="4"/>
  <c r="L77" i="4"/>
  <c r="I77" i="4"/>
  <c r="Q77" i="4" s="1"/>
  <c r="H77" i="4"/>
  <c r="N77" i="4" s="1"/>
  <c r="G77" i="4"/>
  <c r="P77" i="4" s="1"/>
  <c r="F77" i="4"/>
  <c r="E77" i="4"/>
  <c r="AC76" i="4"/>
  <c r="AB76" i="4"/>
  <c r="Z76" i="4"/>
  <c r="Y76" i="4"/>
  <c r="W76" i="4"/>
  <c r="V76" i="4"/>
  <c r="T76" i="4"/>
  <c r="S76" i="4"/>
  <c r="R76" i="4"/>
  <c r="O76" i="4"/>
  <c r="L76" i="4"/>
  <c r="I76" i="4"/>
  <c r="H76" i="4"/>
  <c r="G76" i="4"/>
  <c r="F76" i="4"/>
  <c r="E76" i="4"/>
  <c r="AC75" i="4"/>
  <c r="AB75" i="4"/>
  <c r="AD75" i="4" s="1"/>
  <c r="Z75" i="4"/>
  <c r="Y75" i="4"/>
  <c r="AA75" i="4" s="1"/>
  <c r="W75" i="4"/>
  <c r="V75" i="4"/>
  <c r="T75" i="4"/>
  <c r="S75" i="4"/>
  <c r="U75" i="4" s="1"/>
  <c r="R75" i="4"/>
  <c r="O75" i="4"/>
  <c r="L75" i="4"/>
  <c r="I75" i="4"/>
  <c r="Q75" i="4" s="1"/>
  <c r="H75" i="4"/>
  <c r="N75" i="4" s="1"/>
  <c r="G75" i="4"/>
  <c r="P75" i="4" s="1"/>
  <c r="F75" i="4"/>
  <c r="E75" i="4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R73" i="4"/>
  <c r="O73" i="4"/>
  <c r="L73" i="4"/>
  <c r="I73" i="4"/>
  <c r="Q73" i="4" s="1"/>
  <c r="H73" i="4"/>
  <c r="N73" i="4" s="1"/>
  <c r="G73" i="4"/>
  <c r="P73" i="4" s="1"/>
  <c r="F73" i="4"/>
  <c r="E73" i="4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R72" i="4"/>
  <c r="O72" i="4"/>
  <c r="L72" i="4"/>
  <c r="I72" i="4"/>
  <c r="Q72" i="4" s="1"/>
  <c r="H72" i="4"/>
  <c r="N72" i="4" s="1"/>
  <c r="G72" i="4"/>
  <c r="P72" i="4" s="1"/>
  <c r="F72" i="4"/>
  <c r="E72" i="4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R71" i="4"/>
  <c r="O71" i="4"/>
  <c r="L71" i="4"/>
  <c r="I71" i="4"/>
  <c r="Q71" i="4" s="1"/>
  <c r="H71" i="4"/>
  <c r="N71" i="4" s="1"/>
  <c r="G71" i="4"/>
  <c r="P71" i="4" s="1"/>
  <c r="F71" i="4"/>
  <c r="E71" i="4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R70" i="4"/>
  <c r="O70" i="4"/>
  <c r="L70" i="4"/>
  <c r="I70" i="4"/>
  <c r="Q70" i="4" s="1"/>
  <c r="H70" i="4"/>
  <c r="N70" i="4" s="1"/>
  <c r="G70" i="4"/>
  <c r="P70" i="4" s="1"/>
  <c r="F70" i="4"/>
  <c r="E70" i="4"/>
  <c r="AC69" i="4"/>
  <c r="AB69" i="4"/>
  <c r="AD69" i="4" s="1"/>
  <c r="Z69" i="4"/>
  <c r="Y69" i="4"/>
  <c r="AA69" i="4" s="1"/>
  <c r="W69" i="4"/>
  <c r="V69" i="4"/>
  <c r="X69" i="4" s="1"/>
  <c r="T69" i="4"/>
  <c r="S69" i="4"/>
  <c r="U69" i="4" s="1"/>
  <c r="R69" i="4"/>
  <c r="O69" i="4"/>
  <c r="L69" i="4"/>
  <c r="I69" i="4"/>
  <c r="Q69" i="4" s="1"/>
  <c r="H69" i="4"/>
  <c r="N69" i="4" s="1"/>
  <c r="G69" i="4"/>
  <c r="P69" i="4" s="1"/>
  <c r="F69" i="4"/>
  <c r="E69" i="4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R68" i="4"/>
  <c r="O68" i="4"/>
  <c r="L68" i="4"/>
  <c r="I68" i="4"/>
  <c r="Q68" i="4" s="1"/>
  <c r="H68" i="4"/>
  <c r="N68" i="4" s="1"/>
  <c r="G68" i="4"/>
  <c r="P68" i="4" s="1"/>
  <c r="F68" i="4"/>
  <c r="E68" i="4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R67" i="4"/>
  <c r="O67" i="4"/>
  <c r="L67" i="4"/>
  <c r="I67" i="4"/>
  <c r="Q67" i="4" s="1"/>
  <c r="H67" i="4"/>
  <c r="N67" i="4" s="1"/>
  <c r="G67" i="4"/>
  <c r="P67" i="4" s="1"/>
  <c r="F67" i="4"/>
  <c r="E67" i="4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R66" i="4"/>
  <c r="O66" i="4"/>
  <c r="L66" i="4"/>
  <c r="I66" i="4"/>
  <c r="Q66" i="4" s="1"/>
  <c r="H66" i="4"/>
  <c r="N66" i="4" s="1"/>
  <c r="G66" i="4"/>
  <c r="P66" i="4" s="1"/>
  <c r="F66" i="4"/>
  <c r="E66" i="4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R65" i="4"/>
  <c r="O65" i="4"/>
  <c r="L65" i="4"/>
  <c r="I65" i="4"/>
  <c r="Q65" i="4" s="1"/>
  <c r="H65" i="4"/>
  <c r="N65" i="4" s="1"/>
  <c r="G65" i="4"/>
  <c r="P65" i="4" s="1"/>
  <c r="F65" i="4"/>
  <c r="E65" i="4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R64" i="4"/>
  <c r="O64" i="4"/>
  <c r="L64" i="4"/>
  <c r="I64" i="4"/>
  <c r="Q64" i="4" s="1"/>
  <c r="H64" i="4"/>
  <c r="N64" i="4" s="1"/>
  <c r="G64" i="4"/>
  <c r="P64" i="4" s="1"/>
  <c r="F64" i="4"/>
  <c r="E64" i="4"/>
  <c r="AC63" i="4"/>
  <c r="AB63" i="4"/>
  <c r="Z63" i="4"/>
  <c r="Y63" i="4"/>
  <c r="W63" i="4"/>
  <c r="V63" i="4"/>
  <c r="T63" i="4"/>
  <c r="S63" i="4"/>
  <c r="R63" i="4"/>
  <c r="O63" i="4"/>
  <c r="L63" i="4"/>
  <c r="I63" i="4"/>
  <c r="H63" i="4"/>
  <c r="G63" i="4"/>
  <c r="F63" i="4"/>
  <c r="E63" i="4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R62" i="4"/>
  <c r="O62" i="4"/>
  <c r="L62" i="4"/>
  <c r="I62" i="4"/>
  <c r="Q62" i="4" s="1"/>
  <c r="H62" i="4"/>
  <c r="N62" i="4" s="1"/>
  <c r="G62" i="4"/>
  <c r="P62" i="4" s="1"/>
  <c r="F62" i="4"/>
  <c r="E62" i="4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R61" i="4"/>
  <c r="O61" i="4"/>
  <c r="L61" i="4"/>
  <c r="I61" i="4"/>
  <c r="Q61" i="4" s="1"/>
  <c r="H61" i="4"/>
  <c r="N61" i="4" s="1"/>
  <c r="G61" i="4"/>
  <c r="P61" i="4" s="1"/>
  <c r="F61" i="4"/>
  <c r="E61" i="4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R60" i="4"/>
  <c r="O60" i="4"/>
  <c r="L60" i="4"/>
  <c r="I60" i="4"/>
  <c r="Q60" i="4" s="1"/>
  <c r="H60" i="4"/>
  <c r="N60" i="4" s="1"/>
  <c r="G60" i="4"/>
  <c r="P60" i="4" s="1"/>
  <c r="F60" i="4"/>
  <c r="E60" i="4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R59" i="4"/>
  <c r="O59" i="4"/>
  <c r="L59" i="4"/>
  <c r="I59" i="4"/>
  <c r="Q59" i="4" s="1"/>
  <c r="H59" i="4"/>
  <c r="N59" i="4" s="1"/>
  <c r="G59" i="4"/>
  <c r="P59" i="4" s="1"/>
  <c r="F59" i="4"/>
  <c r="E59" i="4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R58" i="4"/>
  <c r="O58" i="4"/>
  <c r="L58" i="4"/>
  <c r="I58" i="4"/>
  <c r="Q58" i="4" s="1"/>
  <c r="H58" i="4"/>
  <c r="N58" i="4" s="1"/>
  <c r="G58" i="4"/>
  <c r="P58" i="4" s="1"/>
  <c r="F58" i="4"/>
  <c r="E58" i="4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R57" i="4"/>
  <c r="O57" i="4"/>
  <c r="L57" i="4"/>
  <c r="I57" i="4"/>
  <c r="Q57" i="4" s="1"/>
  <c r="H57" i="4"/>
  <c r="N57" i="4" s="1"/>
  <c r="G57" i="4"/>
  <c r="P57" i="4" s="1"/>
  <c r="F57" i="4"/>
  <c r="E57" i="4"/>
  <c r="AC56" i="4"/>
  <c r="AB56" i="4"/>
  <c r="AD56" i="4" s="1"/>
  <c r="Z56" i="4"/>
  <c r="Y56" i="4"/>
  <c r="AA56" i="4" s="1"/>
  <c r="W56" i="4"/>
  <c r="V56" i="4"/>
  <c r="X56" i="4" s="1"/>
  <c r="T56" i="4"/>
  <c r="S56" i="4"/>
  <c r="U56" i="4" s="1"/>
  <c r="R56" i="4"/>
  <c r="O56" i="4"/>
  <c r="L56" i="4"/>
  <c r="I56" i="4"/>
  <c r="Q56" i="4" s="1"/>
  <c r="H56" i="4"/>
  <c r="N56" i="4" s="1"/>
  <c r="G56" i="4"/>
  <c r="P56" i="4" s="1"/>
  <c r="F56" i="4"/>
  <c r="E56" i="4"/>
  <c r="AC55" i="4"/>
  <c r="AB55" i="4"/>
  <c r="Z55" i="4"/>
  <c r="Y55" i="4"/>
  <c r="W55" i="4"/>
  <c r="V55" i="4"/>
  <c r="T55" i="4"/>
  <c r="S55" i="4"/>
  <c r="R55" i="4"/>
  <c r="O55" i="4"/>
  <c r="L55" i="4"/>
  <c r="I55" i="4"/>
  <c r="H55" i="4"/>
  <c r="G55" i="4"/>
  <c r="F55" i="4"/>
  <c r="E55" i="4"/>
  <c r="AC54" i="4"/>
  <c r="AB54" i="4"/>
  <c r="AD54" i="4" s="1"/>
  <c r="Z54" i="4"/>
  <c r="Y54" i="4"/>
  <c r="AA54" i="4" s="1"/>
  <c r="W54" i="4"/>
  <c r="V54" i="4"/>
  <c r="X54" i="4" s="1"/>
  <c r="T54" i="4"/>
  <c r="S54" i="4"/>
  <c r="U54" i="4" s="1"/>
  <c r="R54" i="4"/>
  <c r="O54" i="4"/>
  <c r="L54" i="4"/>
  <c r="I54" i="4"/>
  <c r="Q54" i="4" s="1"/>
  <c r="H54" i="4"/>
  <c r="N54" i="4" s="1"/>
  <c r="G54" i="4"/>
  <c r="P54" i="4" s="1"/>
  <c r="F54" i="4"/>
  <c r="E54" i="4"/>
  <c r="AC53" i="4"/>
  <c r="AB53" i="4"/>
  <c r="AD53" i="4" s="1"/>
  <c r="Z53" i="4"/>
  <c r="Y53" i="4"/>
  <c r="AA53" i="4" s="1"/>
  <c r="W53" i="4"/>
  <c r="V53" i="4"/>
  <c r="X53" i="4" s="1"/>
  <c r="T53" i="4"/>
  <c r="S53" i="4"/>
  <c r="U53" i="4" s="1"/>
  <c r="R53" i="4"/>
  <c r="O53" i="4"/>
  <c r="L53" i="4"/>
  <c r="I53" i="4"/>
  <c r="H53" i="4"/>
  <c r="N53" i="4" s="1"/>
  <c r="G53" i="4"/>
  <c r="F53" i="4"/>
  <c r="E53" i="4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R51" i="4"/>
  <c r="O51" i="4"/>
  <c r="L51" i="4"/>
  <c r="I51" i="4"/>
  <c r="Q51" i="4" s="1"/>
  <c r="H51" i="4"/>
  <c r="N51" i="4" s="1"/>
  <c r="G51" i="4"/>
  <c r="P51" i="4" s="1"/>
  <c r="F51" i="4"/>
  <c r="E51" i="4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R50" i="4"/>
  <c r="O50" i="4"/>
  <c r="L50" i="4"/>
  <c r="I50" i="4"/>
  <c r="Q50" i="4" s="1"/>
  <c r="H50" i="4"/>
  <c r="N50" i="4" s="1"/>
  <c r="G50" i="4"/>
  <c r="P50" i="4" s="1"/>
  <c r="F50" i="4"/>
  <c r="E50" i="4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R49" i="4"/>
  <c r="O49" i="4"/>
  <c r="L49" i="4"/>
  <c r="I49" i="4"/>
  <c r="Q49" i="4" s="1"/>
  <c r="H49" i="4"/>
  <c r="N49" i="4" s="1"/>
  <c r="G49" i="4"/>
  <c r="P49" i="4" s="1"/>
  <c r="F49" i="4"/>
  <c r="E49" i="4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R48" i="4"/>
  <c r="O48" i="4"/>
  <c r="L48" i="4"/>
  <c r="I48" i="4"/>
  <c r="Q48" i="4" s="1"/>
  <c r="H48" i="4"/>
  <c r="N48" i="4" s="1"/>
  <c r="G48" i="4"/>
  <c r="P48" i="4" s="1"/>
  <c r="F48" i="4"/>
  <c r="E48" i="4"/>
  <c r="AC47" i="4"/>
  <c r="AB47" i="4"/>
  <c r="Z47" i="4"/>
  <c r="Y47" i="4"/>
  <c r="W47" i="4"/>
  <c r="V47" i="4"/>
  <c r="T47" i="4"/>
  <c r="S47" i="4"/>
  <c r="R47" i="4"/>
  <c r="O47" i="4"/>
  <c r="L47" i="4"/>
  <c r="I47" i="4"/>
  <c r="H47" i="4"/>
  <c r="G47" i="4"/>
  <c r="F47" i="4"/>
  <c r="E47" i="4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R46" i="4"/>
  <c r="O46" i="4"/>
  <c r="L46" i="4"/>
  <c r="I46" i="4"/>
  <c r="Q46" i="4" s="1"/>
  <c r="H46" i="4"/>
  <c r="N46" i="4" s="1"/>
  <c r="G46" i="4"/>
  <c r="P46" i="4" s="1"/>
  <c r="F46" i="4"/>
  <c r="E46" i="4"/>
  <c r="AC45" i="4"/>
  <c r="AB45" i="4"/>
  <c r="Z45" i="4"/>
  <c r="Y45" i="4"/>
  <c r="W45" i="4"/>
  <c r="V45" i="4"/>
  <c r="T45" i="4"/>
  <c r="S45" i="4"/>
  <c r="R45" i="4"/>
  <c r="O45" i="4"/>
  <c r="L45" i="4"/>
  <c r="I45" i="4"/>
  <c r="H45" i="4"/>
  <c r="G45" i="4"/>
  <c r="F45" i="4"/>
  <c r="E45" i="4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R44" i="4"/>
  <c r="O44" i="4"/>
  <c r="L44" i="4"/>
  <c r="I44" i="4"/>
  <c r="Q44" i="4" s="1"/>
  <c r="H44" i="4"/>
  <c r="N44" i="4" s="1"/>
  <c r="G44" i="4"/>
  <c r="P44" i="4" s="1"/>
  <c r="F44" i="4"/>
  <c r="E44" i="4"/>
  <c r="AC43" i="4"/>
  <c r="AB43" i="4"/>
  <c r="Z43" i="4"/>
  <c r="Y43" i="4"/>
  <c r="W43" i="4"/>
  <c r="V43" i="4"/>
  <c r="T43" i="4"/>
  <c r="S43" i="4"/>
  <c r="R43" i="4"/>
  <c r="O43" i="4"/>
  <c r="L43" i="4"/>
  <c r="I43" i="4"/>
  <c r="H43" i="4"/>
  <c r="G43" i="4"/>
  <c r="F43" i="4"/>
  <c r="E43" i="4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R42" i="4"/>
  <c r="O42" i="4"/>
  <c r="L42" i="4"/>
  <c r="I42" i="4"/>
  <c r="Q42" i="4" s="1"/>
  <c r="H42" i="4"/>
  <c r="N42" i="4" s="1"/>
  <c r="G42" i="4"/>
  <c r="P42" i="4" s="1"/>
  <c r="F42" i="4"/>
  <c r="E42" i="4"/>
  <c r="AC41" i="4"/>
  <c r="AB41" i="4"/>
  <c r="Z41" i="4"/>
  <c r="Y41" i="4"/>
  <c r="W41" i="4"/>
  <c r="V41" i="4"/>
  <c r="T41" i="4"/>
  <c r="S41" i="4"/>
  <c r="R41" i="4"/>
  <c r="O41" i="4"/>
  <c r="L41" i="4"/>
  <c r="I41" i="4"/>
  <c r="H41" i="4"/>
  <c r="G41" i="4"/>
  <c r="F41" i="4"/>
  <c r="E41" i="4"/>
  <c r="AC40" i="4"/>
  <c r="AB40" i="4"/>
  <c r="Z40" i="4"/>
  <c r="Y40" i="4"/>
  <c r="W40" i="4"/>
  <c r="V40" i="4"/>
  <c r="T40" i="4"/>
  <c r="S40" i="4"/>
  <c r="R40" i="4"/>
  <c r="O40" i="4"/>
  <c r="L40" i="4"/>
  <c r="I40" i="4"/>
  <c r="H40" i="4"/>
  <c r="G40" i="4"/>
  <c r="F40" i="4"/>
  <c r="E40" i="4"/>
  <c r="AC39" i="4"/>
  <c r="AB39" i="4"/>
  <c r="Z39" i="4"/>
  <c r="Y39" i="4"/>
  <c r="W39" i="4"/>
  <c r="V39" i="4"/>
  <c r="T39" i="4"/>
  <c r="S39" i="4"/>
  <c r="R39" i="4"/>
  <c r="O39" i="4"/>
  <c r="L39" i="4"/>
  <c r="I39" i="4"/>
  <c r="H39" i="4"/>
  <c r="G39" i="4"/>
  <c r="F39" i="4"/>
  <c r="E39" i="4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R38" i="4"/>
  <c r="O38" i="4"/>
  <c r="L38" i="4"/>
  <c r="I38" i="4"/>
  <c r="Q38" i="4" s="1"/>
  <c r="H38" i="4"/>
  <c r="N38" i="4" s="1"/>
  <c r="G38" i="4"/>
  <c r="P38" i="4" s="1"/>
  <c r="F38" i="4"/>
  <c r="E38" i="4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R37" i="4"/>
  <c r="O37" i="4"/>
  <c r="L37" i="4"/>
  <c r="I37" i="4"/>
  <c r="Q37" i="4" s="1"/>
  <c r="H37" i="4"/>
  <c r="N37" i="4" s="1"/>
  <c r="G37" i="4"/>
  <c r="P37" i="4" s="1"/>
  <c r="F37" i="4"/>
  <c r="E37" i="4"/>
  <c r="AC36" i="4"/>
  <c r="AB36" i="4"/>
  <c r="Z36" i="4"/>
  <c r="Y36" i="4"/>
  <c r="W36" i="4"/>
  <c r="V36" i="4"/>
  <c r="T36" i="4"/>
  <c r="S36" i="4"/>
  <c r="R36" i="4"/>
  <c r="O36" i="4"/>
  <c r="L36" i="4"/>
  <c r="I36" i="4"/>
  <c r="H36" i="4"/>
  <c r="G36" i="4"/>
  <c r="F36" i="4"/>
  <c r="E36" i="4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R35" i="4"/>
  <c r="O35" i="4"/>
  <c r="L35" i="4"/>
  <c r="I35" i="4"/>
  <c r="Q35" i="4" s="1"/>
  <c r="H35" i="4"/>
  <c r="N35" i="4" s="1"/>
  <c r="G35" i="4"/>
  <c r="P35" i="4" s="1"/>
  <c r="F35" i="4"/>
  <c r="E35" i="4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R34" i="4"/>
  <c r="O34" i="4"/>
  <c r="L34" i="4"/>
  <c r="I34" i="4"/>
  <c r="Q34" i="4" s="1"/>
  <c r="H34" i="4"/>
  <c r="G34" i="4"/>
  <c r="P34" i="4" s="1"/>
  <c r="F34" i="4"/>
  <c r="E34" i="4"/>
  <c r="AC33" i="4"/>
  <c r="AB33" i="4"/>
  <c r="AD33" i="4" s="1"/>
  <c r="Z33" i="4"/>
  <c r="Y33" i="4"/>
  <c r="AA33" i="4" s="1"/>
  <c r="W33" i="4"/>
  <c r="V33" i="4"/>
  <c r="X33" i="4" s="1"/>
  <c r="T33" i="4"/>
  <c r="S33" i="4"/>
  <c r="U33" i="4" s="1"/>
  <c r="R33" i="4"/>
  <c r="O33" i="4"/>
  <c r="L33" i="4"/>
  <c r="I33" i="4"/>
  <c r="Q33" i="4" s="1"/>
  <c r="H33" i="4"/>
  <c r="N33" i="4" s="1"/>
  <c r="G33" i="4"/>
  <c r="P33" i="4" s="1"/>
  <c r="F33" i="4"/>
  <c r="E33" i="4"/>
  <c r="AC32" i="4"/>
  <c r="AB32" i="4"/>
  <c r="Z32" i="4"/>
  <c r="Y32" i="4"/>
  <c r="AA32" i="4" s="1"/>
  <c r="W32" i="4"/>
  <c r="V32" i="4"/>
  <c r="T32" i="4"/>
  <c r="S32" i="4"/>
  <c r="U32" i="4" s="1"/>
  <c r="R32" i="4"/>
  <c r="O32" i="4"/>
  <c r="L32" i="4"/>
  <c r="I32" i="4"/>
  <c r="H32" i="4"/>
  <c r="N32" i="4" s="1"/>
  <c r="G32" i="4"/>
  <c r="P32" i="4" s="1"/>
  <c r="F32" i="4"/>
  <c r="E32" i="4"/>
  <c r="AC30" i="4"/>
  <c r="AB30" i="4"/>
  <c r="Z30" i="4"/>
  <c r="Y30" i="4"/>
  <c r="W30" i="4"/>
  <c r="V30" i="4"/>
  <c r="T30" i="4"/>
  <c r="S30" i="4"/>
  <c r="R30" i="4"/>
  <c r="O30" i="4"/>
  <c r="L30" i="4"/>
  <c r="I30" i="4"/>
  <c r="H30" i="4"/>
  <c r="G30" i="4"/>
  <c r="F30" i="4"/>
  <c r="E30" i="4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R29" i="4"/>
  <c r="O29" i="4"/>
  <c r="L29" i="4"/>
  <c r="I29" i="4"/>
  <c r="Q29" i="4" s="1"/>
  <c r="H29" i="4"/>
  <c r="N29" i="4" s="1"/>
  <c r="G29" i="4"/>
  <c r="P29" i="4" s="1"/>
  <c r="F29" i="4"/>
  <c r="E29" i="4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R28" i="4"/>
  <c r="O28" i="4"/>
  <c r="L28" i="4"/>
  <c r="I28" i="4"/>
  <c r="Q28" i="4" s="1"/>
  <c r="H28" i="4"/>
  <c r="N28" i="4" s="1"/>
  <c r="G28" i="4"/>
  <c r="P28" i="4" s="1"/>
  <c r="F28" i="4"/>
  <c r="E28" i="4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R27" i="4"/>
  <c r="O27" i="4"/>
  <c r="L27" i="4"/>
  <c r="I27" i="4"/>
  <c r="Q27" i="4" s="1"/>
  <c r="H27" i="4"/>
  <c r="N27" i="4" s="1"/>
  <c r="G27" i="4"/>
  <c r="P27" i="4" s="1"/>
  <c r="F27" i="4"/>
  <c r="E27" i="4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R26" i="4"/>
  <c r="O26" i="4"/>
  <c r="L26" i="4"/>
  <c r="I26" i="4"/>
  <c r="Q26" i="4" s="1"/>
  <c r="H26" i="4"/>
  <c r="N26" i="4" s="1"/>
  <c r="G26" i="4"/>
  <c r="P26" i="4" s="1"/>
  <c r="F26" i="4"/>
  <c r="E26" i="4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R25" i="4"/>
  <c r="O25" i="4"/>
  <c r="L25" i="4"/>
  <c r="I25" i="4"/>
  <c r="Q25" i="4" s="1"/>
  <c r="H25" i="4"/>
  <c r="N25" i="4" s="1"/>
  <c r="G25" i="4"/>
  <c r="P25" i="4" s="1"/>
  <c r="F25" i="4"/>
  <c r="E25" i="4"/>
  <c r="AC24" i="4"/>
  <c r="AB24" i="4"/>
  <c r="Z24" i="4"/>
  <c r="Y24" i="4"/>
  <c r="W24" i="4"/>
  <c r="V24" i="4"/>
  <c r="T24" i="4"/>
  <c r="S24" i="4"/>
  <c r="R24" i="4"/>
  <c r="O24" i="4"/>
  <c r="L24" i="4"/>
  <c r="I24" i="4"/>
  <c r="H24" i="4"/>
  <c r="G24" i="4"/>
  <c r="F24" i="4"/>
  <c r="E24" i="4"/>
  <c r="AC23" i="4"/>
  <c r="AB23" i="4"/>
  <c r="Z23" i="4"/>
  <c r="Y23" i="4"/>
  <c r="W23" i="4"/>
  <c r="V23" i="4"/>
  <c r="T23" i="4"/>
  <c r="S23" i="4"/>
  <c r="R23" i="4"/>
  <c r="O23" i="4"/>
  <c r="L23" i="4"/>
  <c r="I23" i="4"/>
  <c r="H23" i="4"/>
  <c r="G23" i="4"/>
  <c r="F23" i="4"/>
  <c r="E23" i="4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R22" i="4"/>
  <c r="O22" i="4"/>
  <c r="L22" i="4"/>
  <c r="I22" i="4"/>
  <c r="Q22" i="4" s="1"/>
  <c r="H22" i="4"/>
  <c r="N22" i="4" s="1"/>
  <c r="G22" i="4"/>
  <c r="P22" i="4" s="1"/>
  <c r="F22" i="4"/>
  <c r="E22" i="4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R21" i="4"/>
  <c r="O21" i="4"/>
  <c r="L21" i="4"/>
  <c r="I21" i="4"/>
  <c r="Q21" i="4" s="1"/>
  <c r="H21" i="4"/>
  <c r="N21" i="4" s="1"/>
  <c r="G21" i="4"/>
  <c r="P21" i="4" s="1"/>
  <c r="F21" i="4"/>
  <c r="E21" i="4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R20" i="4"/>
  <c r="O20" i="4"/>
  <c r="L20" i="4"/>
  <c r="I20" i="4"/>
  <c r="Q20" i="4" s="1"/>
  <c r="H20" i="4"/>
  <c r="N20" i="4" s="1"/>
  <c r="G20" i="4"/>
  <c r="P20" i="4" s="1"/>
  <c r="F20" i="4"/>
  <c r="E20" i="4"/>
  <c r="AC19" i="4"/>
  <c r="AB19" i="4"/>
  <c r="Z19" i="4"/>
  <c r="Y19" i="4"/>
  <c r="W19" i="4"/>
  <c r="V19" i="4"/>
  <c r="T19" i="4"/>
  <c r="S19" i="4"/>
  <c r="R19" i="4"/>
  <c r="O19" i="4"/>
  <c r="L19" i="4"/>
  <c r="I19" i="4"/>
  <c r="H19" i="4"/>
  <c r="G19" i="4"/>
  <c r="F19" i="4"/>
  <c r="E19" i="4"/>
  <c r="AC18" i="4"/>
  <c r="AB18" i="4"/>
  <c r="Z18" i="4"/>
  <c r="Y18" i="4"/>
  <c r="W18" i="4"/>
  <c r="V18" i="4"/>
  <c r="T18" i="4"/>
  <c r="S18" i="4"/>
  <c r="R18" i="4"/>
  <c r="O18" i="4"/>
  <c r="L18" i="4"/>
  <c r="I18" i="4"/>
  <c r="H18" i="4"/>
  <c r="G18" i="4"/>
  <c r="F18" i="4"/>
  <c r="E18" i="4"/>
  <c r="AC17" i="4"/>
  <c r="AB17" i="4"/>
  <c r="Z17" i="4"/>
  <c r="Y17" i="4"/>
  <c r="W17" i="4"/>
  <c r="V17" i="4"/>
  <c r="T17" i="4"/>
  <c r="S17" i="4"/>
  <c r="R17" i="4"/>
  <c r="O17" i="4"/>
  <c r="L17" i="4"/>
  <c r="I17" i="4"/>
  <c r="H17" i="4"/>
  <c r="G17" i="4"/>
  <c r="F17" i="4"/>
  <c r="E17" i="4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R16" i="4"/>
  <c r="O16" i="4"/>
  <c r="L16" i="4"/>
  <c r="I16" i="4"/>
  <c r="Q16" i="4" s="1"/>
  <c r="H16" i="4"/>
  <c r="N16" i="4" s="1"/>
  <c r="G16" i="4"/>
  <c r="P16" i="4" s="1"/>
  <c r="F16" i="4"/>
  <c r="E16" i="4"/>
  <c r="AC15" i="4"/>
  <c r="AB15" i="4"/>
  <c r="Z15" i="4"/>
  <c r="Y15" i="4"/>
  <c r="W15" i="4"/>
  <c r="V15" i="4"/>
  <c r="T15" i="4"/>
  <c r="S15" i="4"/>
  <c r="R15" i="4"/>
  <c r="O15" i="4"/>
  <c r="L15" i="4"/>
  <c r="I15" i="4"/>
  <c r="H15" i="4"/>
  <c r="G15" i="4"/>
  <c r="F15" i="4"/>
  <c r="E15" i="4"/>
  <c r="AC14" i="4"/>
  <c r="AB14" i="4"/>
  <c r="Z14" i="4"/>
  <c r="Y14" i="4"/>
  <c r="W14" i="4"/>
  <c r="V14" i="4"/>
  <c r="T14" i="4"/>
  <c r="S14" i="4"/>
  <c r="R14" i="4"/>
  <c r="O14" i="4"/>
  <c r="L14" i="4"/>
  <c r="I14" i="4"/>
  <c r="Q14" i="4" s="1"/>
  <c r="H14" i="4"/>
  <c r="N14" i="4" s="1"/>
  <c r="G14" i="4"/>
  <c r="F14" i="4"/>
  <c r="E14" i="4"/>
  <c r="AD12" i="4"/>
  <c r="AA12" i="4"/>
  <c r="X12" i="4"/>
  <c r="U12" i="4"/>
  <c r="Q12" i="4"/>
  <c r="N12" i="4"/>
  <c r="M12" i="4"/>
  <c r="J12" i="4"/>
  <c r="C12" i="4"/>
  <c r="K12" i="4" s="1"/>
  <c r="L11" i="4"/>
  <c r="O116" i="3"/>
  <c r="L116" i="3"/>
  <c r="I116" i="3"/>
  <c r="Q116" i="3" s="1"/>
  <c r="H116" i="3"/>
  <c r="N116" i="3" s="1"/>
  <c r="G116" i="3"/>
  <c r="P116" i="3" s="1"/>
  <c r="F116" i="3"/>
  <c r="E116" i="3"/>
  <c r="O115" i="3"/>
  <c r="L115" i="3"/>
  <c r="I115" i="3"/>
  <c r="Q115" i="3" s="1"/>
  <c r="H115" i="3"/>
  <c r="N115" i="3" s="1"/>
  <c r="G115" i="3"/>
  <c r="P115" i="3" s="1"/>
  <c r="F115" i="3"/>
  <c r="E115" i="3"/>
  <c r="O114" i="3"/>
  <c r="L114" i="3"/>
  <c r="I114" i="3"/>
  <c r="Q114" i="3" s="1"/>
  <c r="H114" i="3"/>
  <c r="N114" i="3" s="1"/>
  <c r="G114" i="3"/>
  <c r="P114" i="3" s="1"/>
  <c r="F114" i="3"/>
  <c r="E114" i="3"/>
  <c r="O113" i="3"/>
  <c r="L113" i="3"/>
  <c r="I113" i="3"/>
  <c r="Q113" i="3" s="1"/>
  <c r="H113" i="3"/>
  <c r="N113" i="3" s="1"/>
  <c r="G113" i="3"/>
  <c r="P113" i="3" s="1"/>
  <c r="F113" i="3"/>
  <c r="E113" i="3"/>
  <c r="O112" i="3"/>
  <c r="L112" i="3"/>
  <c r="I112" i="3"/>
  <c r="Q112" i="3" s="1"/>
  <c r="H112" i="3"/>
  <c r="N112" i="3" s="1"/>
  <c r="G112" i="3"/>
  <c r="P112" i="3" s="1"/>
  <c r="F112" i="3"/>
  <c r="E112" i="3"/>
  <c r="O111" i="3"/>
  <c r="L111" i="3"/>
  <c r="I111" i="3"/>
  <c r="Q111" i="3" s="1"/>
  <c r="H111" i="3"/>
  <c r="N111" i="3" s="1"/>
  <c r="G111" i="3"/>
  <c r="P111" i="3" s="1"/>
  <c r="F111" i="3"/>
  <c r="E111" i="3"/>
  <c r="O110" i="3"/>
  <c r="L110" i="3"/>
  <c r="I110" i="3"/>
  <c r="Q110" i="3" s="1"/>
  <c r="H110" i="3"/>
  <c r="N110" i="3" s="1"/>
  <c r="G110" i="3"/>
  <c r="P110" i="3" s="1"/>
  <c r="F110" i="3"/>
  <c r="E110" i="3"/>
  <c r="O109" i="3"/>
  <c r="L109" i="3"/>
  <c r="I109" i="3"/>
  <c r="Q109" i="3" s="1"/>
  <c r="H109" i="3"/>
  <c r="N109" i="3" s="1"/>
  <c r="G109" i="3"/>
  <c r="P109" i="3" s="1"/>
  <c r="F109" i="3"/>
  <c r="E109" i="3"/>
  <c r="O108" i="3"/>
  <c r="L108" i="3"/>
  <c r="I108" i="3"/>
  <c r="Q108" i="3" s="1"/>
  <c r="H108" i="3"/>
  <c r="N108" i="3" s="1"/>
  <c r="G108" i="3"/>
  <c r="P108" i="3" s="1"/>
  <c r="F108" i="3"/>
  <c r="E108" i="3"/>
  <c r="O107" i="3"/>
  <c r="L107" i="3"/>
  <c r="I107" i="3"/>
  <c r="Q107" i="3" s="1"/>
  <c r="H107" i="3"/>
  <c r="N107" i="3" s="1"/>
  <c r="G107" i="3"/>
  <c r="P107" i="3" s="1"/>
  <c r="F107" i="3"/>
  <c r="E107" i="3"/>
  <c r="O106" i="3"/>
  <c r="L106" i="3"/>
  <c r="I106" i="3"/>
  <c r="Q106" i="3" s="1"/>
  <c r="H106" i="3"/>
  <c r="N106" i="3" s="1"/>
  <c r="G106" i="3"/>
  <c r="P106" i="3" s="1"/>
  <c r="F106" i="3"/>
  <c r="E106" i="3"/>
  <c r="O105" i="3"/>
  <c r="L105" i="3"/>
  <c r="I105" i="3"/>
  <c r="Q105" i="3" s="1"/>
  <c r="H105" i="3"/>
  <c r="N105" i="3" s="1"/>
  <c r="G105" i="3"/>
  <c r="P105" i="3" s="1"/>
  <c r="F105" i="3"/>
  <c r="E105" i="3"/>
  <c r="O104" i="3"/>
  <c r="O11" i="3" s="1"/>
  <c r="L104" i="3"/>
  <c r="L11" i="3" s="1"/>
  <c r="I104" i="3"/>
  <c r="I11" i="3" s="1"/>
  <c r="H104" i="3"/>
  <c r="G104" i="3"/>
  <c r="P104" i="3" s="1"/>
  <c r="F104" i="3"/>
  <c r="F11" i="3" s="1"/>
  <c r="E104" i="3"/>
  <c r="E11" i="3" s="1"/>
  <c r="O103" i="3"/>
  <c r="L103" i="3"/>
  <c r="I103" i="3"/>
  <c r="Q103" i="3" s="1"/>
  <c r="H103" i="3"/>
  <c r="N103" i="3" s="1"/>
  <c r="G103" i="3"/>
  <c r="P103" i="3" s="1"/>
  <c r="F103" i="3"/>
  <c r="E103" i="3"/>
  <c r="O102" i="3"/>
  <c r="L102" i="3"/>
  <c r="I102" i="3"/>
  <c r="Q102" i="3" s="1"/>
  <c r="H102" i="3"/>
  <c r="N102" i="3" s="1"/>
  <c r="G102" i="3"/>
  <c r="P102" i="3" s="1"/>
  <c r="F102" i="3"/>
  <c r="E102" i="3"/>
  <c r="O101" i="3"/>
  <c r="L101" i="3"/>
  <c r="I101" i="3"/>
  <c r="Q101" i="3" s="1"/>
  <c r="H101" i="3"/>
  <c r="N101" i="3" s="1"/>
  <c r="G101" i="3"/>
  <c r="P101" i="3" s="1"/>
  <c r="F101" i="3"/>
  <c r="E101" i="3"/>
  <c r="O100" i="3"/>
  <c r="L100" i="3"/>
  <c r="I100" i="3"/>
  <c r="Q100" i="3" s="1"/>
  <c r="H100" i="3"/>
  <c r="N100" i="3" s="1"/>
  <c r="G100" i="3"/>
  <c r="P100" i="3" s="1"/>
  <c r="F100" i="3"/>
  <c r="E100" i="3"/>
  <c r="O99" i="3"/>
  <c r="L99" i="3"/>
  <c r="I99" i="3"/>
  <c r="Q99" i="3" s="1"/>
  <c r="H99" i="3"/>
  <c r="N99" i="3" s="1"/>
  <c r="G99" i="3"/>
  <c r="P99" i="3" s="1"/>
  <c r="F99" i="3"/>
  <c r="E99" i="3"/>
  <c r="O98" i="3"/>
  <c r="L98" i="3"/>
  <c r="I98" i="3"/>
  <c r="Q98" i="3" s="1"/>
  <c r="H98" i="3"/>
  <c r="N98" i="3" s="1"/>
  <c r="G98" i="3"/>
  <c r="P98" i="3" s="1"/>
  <c r="F98" i="3"/>
  <c r="E98" i="3"/>
  <c r="O97" i="3"/>
  <c r="L97" i="3"/>
  <c r="I97" i="3"/>
  <c r="Q97" i="3" s="1"/>
  <c r="H97" i="3"/>
  <c r="N97" i="3" s="1"/>
  <c r="G97" i="3"/>
  <c r="P97" i="3" s="1"/>
  <c r="F97" i="3"/>
  <c r="E97" i="3"/>
  <c r="O96" i="3"/>
  <c r="L96" i="3"/>
  <c r="I96" i="3"/>
  <c r="Q96" i="3" s="1"/>
  <c r="H96" i="3"/>
  <c r="N96" i="3" s="1"/>
  <c r="G96" i="3"/>
  <c r="P96" i="3" s="1"/>
  <c r="F96" i="3"/>
  <c r="E96" i="3"/>
  <c r="O95" i="3"/>
  <c r="L95" i="3"/>
  <c r="I95" i="3"/>
  <c r="Q95" i="3" s="1"/>
  <c r="H95" i="3"/>
  <c r="N95" i="3" s="1"/>
  <c r="G95" i="3"/>
  <c r="F95" i="3"/>
  <c r="E95" i="3"/>
  <c r="O94" i="3"/>
  <c r="L94" i="3"/>
  <c r="I94" i="3"/>
  <c r="Q94" i="3" s="1"/>
  <c r="H94" i="3"/>
  <c r="N94" i="3" s="1"/>
  <c r="G94" i="3"/>
  <c r="P94" i="3" s="1"/>
  <c r="F94" i="3"/>
  <c r="E94" i="3"/>
  <c r="O93" i="3"/>
  <c r="L93" i="3"/>
  <c r="I93" i="3"/>
  <c r="Q93" i="3" s="1"/>
  <c r="H93" i="3"/>
  <c r="N93" i="3" s="1"/>
  <c r="G93" i="3"/>
  <c r="P93" i="3" s="1"/>
  <c r="F93" i="3"/>
  <c r="E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O92" i="3"/>
  <c r="L92" i="3"/>
  <c r="I92" i="3"/>
  <c r="Q92" i="3" s="1"/>
  <c r="H92" i="3"/>
  <c r="N92" i="3" s="1"/>
  <c r="G92" i="3"/>
  <c r="P92" i="3" s="1"/>
  <c r="F92" i="3"/>
  <c r="E92" i="3"/>
  <c r="O91" i="3"/>
  <c r="L91" i="3"/>
  <c r="I91" i="3"/>
  <c r="Q91" i="3" s="1"/>
  <c r="H91" i="3"/>
  <c r="N91" i="3" s="1"/>
  <c r="G91" i="3"/>
  <c r="P91" i="3" s="1"/>
  <c r="F91" i="3"/>
  <c r="E91" i="3"/>
  <c r="O90" i="3"/>
  <c r="L90" i="3"/>
  <c r="I90" i="3"/>
  <c r="H90" i="3"/>
  <c r="N90" i="3" s="1"/>
  <c r="G90" i="3"/>
  <c r="P90" i="3" s="1"/>
  <c r="F90" i="3"/>
  <c r="E90" i="3"/>
  <c r="O88" i="3"/>
  <c r="L88" i="3"/>
  <c r="I88" i="3"/>
  <c r="Q88" i="3" s="1"/>
  <c r="H88" i="3"/>
  <c r="N88" i="3" s="1"/>
  <c r="G88" i="3"/>
  <c r="P88" i="3" s="1"/>
  <c r="F88" i="3"/>
  <c r="E88" i="3"/>
  <c r="O87" i="3"/>
  <c r="L87" i="3"/>
  <c r="I87" i="3"/>
  <c r="Q87" i="3" s="1"/>
  <c r="H87" i="3"/>
  <c r="N87" i="3" s="1"/>
  <c r="G87" i="3"/>
  <c r="P87" i="3" s="1"/>
  <c r="F87" i="3"/>
  <c r="E87" i="3"/>
  <c r="O86" i="3"/>
  <c r="L86" i="3"/>
  <c r="I86" i="3"/>
  <c r="Q86" i="3" s="1"/>
  <c r="H86" i="3"/>
  <c r="N86" i="3" s="1"/>
  <c r="G86" i="3"/>
  <c r="P86" i="3" s="1"/>
  <c r="F86" i="3"/>
  <c r="E86" i="3"/>
  <c r="O85" i="3"/>
  <c r="L85" i="3"/>
  <c r="I85" i="3"/>
  <c r="Q85" i="3" s="1"/>
  <c r="H85" i="3"/>
  <c r="N85" i="3" s="1"/>
  <c r="G85" i="3"/>
  <c r="P85" i="3" s="1"/>
  <c r="F85" i="3"/>
  <c r="E85" i="3"/>
  <c r="O84" i="3"/>
  <c r="L84" i="3"/>
  <c r="I84" i="3"/>
  <c r="Q84" i="3" s="1"/>
  <c r="H84" i="3"/>
  <c r="N84" i="3" s="1"/>
  <c r="G84" i="3"/>
  <c r="P84" i="3" s="1"/>
  <c r="F84" i="3"/>
  <c r="E84" i="3"/>
  <c r="O83" i="3"/>
  <c r="L83" i="3"/>
  <c r="I83" i="3"/>
  <c r="Q83" i="3" s="1"/>
  <c r="H83" i="3"/>
  <c r="N83" i="3" s="1"/>
  <c r="G83" i="3"/>
  <c r="P83" i="3" s="1"/>
  <c r="F83" i="3"/>
  <c r="E83" i="3"/>
  <c r="O82" i="3"/>
  <c r="L82" i="3"/>
  <c r="I82" i="3"/>
  <c r="Q82" i="3" s="1"/>
  <c r="H82" i="3"/>
  <c r="N82" i="3" s="1"/>
  <c r="G82" i="3"/>
  <c r="P82" i="3" s="1"/>
  <c r="F82" i="3"/>
  <c r="E82" i="3"/>
  <c r="O81" i="3"/>
  <c r="L81" i="3"/>
  <c r="I81" i="3"/>
  <c r="Q81" i="3" s="1"/>
  <c r="H81" i="3"/>
  <c r="N81" i="3" s="1"/>
  <c r="G81" i="3"/>
  <c r="P81" i="3" s="1"/>
  <c r="F81" i="3"/>
  <c r="E81" i="3"/>
  <c r="O80" i="3"/>
  <c r="L80" i="3"/>
  <c r="I80" i="3"/>
  <c r="Q80" i="3" s="1"/>
  <c r="H80" i="3"/>
  <c r="N80" i="3" s="1"/>
  <c r="G80" i="3"/>
  <c r="P80" i="3" s="1"/>
  <c r="F80" i="3"/>
  <c r="E80" i="3"/>
  <c r="O79" i="3"/>
  <c r="L79" i="3"/>
  <c r="I79" i="3"/>
  <c r="Q79" i="3" s="1"/>
  <c r="H79" i="3"/>
  <c r="N79" i="3" s="1"/>
  <c r="G79" i="3"/>
  <c r="P79" i="3" s="1"/>
  <c r="F79" i="3"/>
  <c r="E79" i="3"/>
  <c r="O78" i="3"/>
  <c r="L78" i="3"/>
  <c r="I78" i="3"/>
  <c r="H78" i="3"/>
  <c r="N78" i="3" s="1"/>
  <c r="G78" i="3"/>
  <c r="F78" i="3"/>
  <c r="E78" i="3"/>
  <c r="O77" i="3"/>
  <c r="L77" i="3"/>
  <c r="I77" i="3"/>
  <c r="Q77" i="3" s="1"/>
  <c r="H77" i="3"/>
  <c r="N77" i="3" s="1"/>
  <c r="G77" i="3"/>
  <c r="P77" i="3" s="1"/>
  <c r="F77" i="3"/>
  <c r="E77" i="3"/>
  <c r="O76" i="3"/>
  <c r="L76" i="3"/>
  <c r="I76" i="3"/>
  <c r="Q76" i="3" s="1"/>
  <c r="H76" i="3"/>
  <c r="N76" i="3" s="1"/>
  <c r="G76" i="3"/>
  <c r="P76" i="3" s="1"/>
  <c r="F76" i="3"/>
  <c r="E76" i="3"/>
  <c r="O75" i="3"/>
  <c r="L75" i="3"/>
  <c r="I75" i="3"/>
  <c r="H75" i="3"/>
  <c r="G75" i="3"/>
  <c r="F75" i="3"/>
  <c r="E75" i="3"/>
  <c r="O73" i="3"/>
  <c r="L73" i="3"/>
  <c r="I73" i="3"/>
  <c r="Q73" i="3" s="1"/>
  <c r="H73" i="3"/>
  <c r="N73" i="3" s="1"/>
  <c r="G73" i="3"/>
  <c r="P73" i="3" s="1"/>
  <c r="F73" i="3"/>
  <c r="E73" i="3"/>
  <c r="O72" i="3"/>
  <c r="L72" i="3"/>
  <c r="I72" i="3"/>
  <c r="Q72" i="3" s="1"/>
  <c r="H72" i="3"/>
  <c r="N72" i="3" s="1"/>
  <c r="G72" i="3"/>
  <c r="P72" i="3" s="1"/>
  <c r="F72" i="3"/>
  <c r="E72" i="3"/>
  <c r="O71" i="3"/>
  <c r="L71" i="3"/>
  <c r="I71" i="3"/>
  <c r="Q71" i="3" s="1"/>
  <c r="H71" i="3"/>
  <c r="N71" i="3" s="1"/>
  <c r="G71" i="3"/>
  <c r="P71" i="3" s="1"/>
  <c r="F71" i="3"/>
  <c r="E71" i="3"/>
  <c r="O70" i="3"/>
  <c r="L70" i="3"/>
  <c r="I70" i="3"/>
  <c r="Q70" i="3" s="1"/>
  <c r="H70" i="3"/>
  <c r="N70" i="3" s="1"/>
  <c r="G70" i="3"/>
  <c r="P70" i="3" s="1"/>
  <c r="F70" i="3"/>
  <c r="E70" i="3"/>
  <c r="O69" i="3"/>
  <c r="L69" i="3"/>
  <c r="I69" i="3"/>
  <c r="H69" i="3"/>
  <c r="N69" i="3" s="1"/>
  <c r="G69" i="3"/>
  <c r="F69" i="3"/>
  <c r="E69" i="3"/>
  <c r="O68" i="3"/>
  <c r="L68" i="3"/>
  <c r="I68" i="3"/>
  <c r="Q68" i="3" s="1"/>
  <c r="H68" i="3"/>
  <c r="N68" i="3" s="1"/>
  <c r="G68" i="3"/>
  <c r="P68" i="3" s="1"/>
  <c r="F68" i="3"/>
  <c r="E68" i="3"/>
  <c r="O67" i="3"/>
  <c r="L67" i="3"/>
  <c r="I67" i="3"/>
  <c r="Q67" i="3" s="1"/>
  <c r="H67" i="3"/>
  <c r="N67" i="3" s="1"/>
  <c r="G67" i="3"/>
  <c r="P67" i="3" s="1"/>
  <c r="F67" i="3"/>
  <c r="E67" i="3"/>
  <c r="O66" i="3"/>
  <c r="L66" i="3"/>
  <c r="I66" i="3"/>
  <c r="Q66" i="3" s="1"/>
  <c r="H66" i="3"/>
  <c r="N66" i="3" s="1"/>
  <c r="G66" i="3"/>
  <c r="P66" i="3" s="1"/>
  <c r="F66" i="3"/>
  <c r="E66" i="3"/>
  <c r="O65" i="3"/>
  <c r="L65" i="3"/>
  <c r="I65" i="3"/>
  <c r="Q65" i="3" s="1"/>
  <c r="H65" i="3"/>
  <c r="N65" i="3" s="1"/>
  <c r="G65" i="3"/>
  <c r="P65" i="3" s="1"/>
  <c r="F65" i="3"/>
  <c r="E65" i="3"/>
  <c r="O64" i="3"/>
  <c r="L64" i="3"/>
  <c r="I64" i="3"/>
  <c r="Q64" i="3" s="1"/>
  <c r="H64" i="3"/>
  <c r="N64" i="3" s="1"/>
  <c r="G64" i="3"/>
  <c r="P64" i="3" s="1"/>
  <c r="F64" i="3"/>
  <c r="E64" i="3"/>
  <c r="O63" i="3"/>
  <c r="L63" i="3"/>
  <c r="I63" i="3"/>
  <c r="Q63" i="3" s="1"/>
  <c r="H63" i="3"/>
  <c r="N63" i="3" s="1"/>
  <c r="G63" i="3"/>
  <c r="P63" i="3" s="1"/>
  <c r="F63" i="3"/>
  <c r="E63" i="3"/>
  <c r="O62" i="3"/>
  <c r="L62" i="3"/>
  <c r="I62" i="3"/>
  <c r="Q62" i="3" s="1"/>
  <c r="H62" i="3"/>
  <c r="N62" i="3" s="1"/>
  <c r="G62" i="3"/>
  <c r="P62" i="3" s="1"/>
  <c r="F62" i="3"/>
  <c r="E62" i="3"/>
  <c r="O61" i="3"/>
  <c r="L61" i="3"/>
  <c r="I61" i="3"/>
  <c r="Q61" i="3" s="1"/>
  <c r="H61" i="3"/>
  <c r="N61" i="3" s="1"/>
  <c r="G61" i="3"/>
  <c r="P61" i="3" s="1"/>
  <c r="F61" i="3"/>
  <c r="E61" i="3"/>
  <c r="O60" i="3"/>
  <c r="L60" i="3"/>
  <c r="I60" i="3"/>
  <c r="Q60" i="3" s="1"/>
  <c r="H60" i="3"/>
  <c r="N60" i="3" s="1"/>
  <c r="G60" i="3"/>
  <c r="P60" i="3" s="1"/>
  <c r="F60" i="3"/>
  <c r="E60" i="3"/>
  <c r="O59" i="3"/>
  <c r="L59" i="3"/>
  <c r="I59" i="3"/>
  <c r="Q59" i="3" s="1"/>
  <c r="H59" i="3"/>
  <c r="N59" i="3" s="1"/>
  <c r="G59" i="3"/>
  <c r="P59" i="3" s="1"/>
  <c r="F59" i="3"/>
  <c r="E59" i="3"/>
  <c r="O58" i="3"/>
  <c r="L58" i="3"/>
  <c r="I58" i="3"/>
  <c r="Q58" i="3" s="1"/>
  <c r="H58" i="3"/>
  <c r="N58" i="3" s="1"/>
  <c r="G58" i="3"/>
  <c r="P58" i="3" s="1"/>
  <c r="F58" i="3"/>
  <c r="E58" i="3"/>
  <c r="O57" i="3"/>
  <c r="L57" i="3"/>
  <c r="I57" i="3"/>
  <c r="Q57" i="3" s="1"/>
  <c r="H57" i="3"/>
  <c r="N57" i="3" s="1"/>
  <c r="G57" i="3"/>
  <c r="P57" i="3" s="1"/>
  <c r="F57" i="3"/>
  <c r="E57" i="3"/>
  <c r="O56" i="3"/>
  <c r="L56" i="3"/>
  <c r="I56" i="3"/>
  <c r="Q56" i="3" s="1"/>
  <c r="H56" i="3"/>
  <c r="N56" i="3" s="1"/>
  <c r="G56" i="3"/>
  <c r="P56" i="3" s="1"/>
  <c r="F56" i="3"/>
  <c r="E56" i="3"/>
  <c r="O55" i="3"/>
  <c r="L55" i="3"/>
  <c r="I55" i="3"/>
  <c r="Q55" i="3" s="1"/>
  <c r="H55" i="3"/>
  <c r="N55" i="3" s="1"/>
  <c r="G55" i="3"/>
  <c r="P55" i="3" s="1"/>
  <c r="F55" i="3"/>
  <c r="E55" i="3"/>
  <c r="O54" i="3"/>
  <c r="L54" i="3"/>
  <c r="I54" i="3"/>
  <c r="Q54" i="3" s="1"/>
  <c r="H54" i="3"/>
  <c r="N54" i="3" s="1"/>
  <c r="G54" i="3"/>
  <c r="P54" i="3" s="1"/>
  <c r="F54" i="3"/>
  <c r="E54" i="3"/>
  <c r="O53" i="3"/>
  <c r="L53" i="3"/>
  <c r="I53" i="3"/>
  <c r="Q53" i="3" s="1"/>
  <c r="H53" i="3"/>
  <c r="N53" i="3" s="1"/>
  <c r="G53" i="3"/>
  <c r="F53" i="3"/>
  <c r="E53" i="3"/>
  <c r="O51" i="3"/>
  <c r="L51" i="3"/>
  <c r="I51" i="3"/>
  <c r="Q51" i="3" s="1"/>
  <c r="H51" i="3"/>
  <c r="N51" i="3" s="1"/>
  <c r="G51" i="3"/>
  <c r="P51" i="3" s="1"/>
  <c r="F51" i="3"/>
  <c r="E51" i="3"/>
  <c r="O50" i="3"/>
  <c r="L50" i="3"/>
  <c r="I50" i="3"/>
  <c r="Q50" i="3" s="1"/>
  <c r="H50" i="3"/>
  <c r="N50" i="3" s="1"/>
  <c r="G50" i="3"/>
  <c r="P50" i="3" s="1"/>
  <c r="F50" i="3"/>
  <c r="E50" i="3"/>
  <c r="O49" i="3"/>
  <c r="L49" i="3"/>
  <c r="I49" i="3"/>
  <c r="Q49" i="3" s="1"/>
  <c r="H49" i="3"/>
  <c r="N49" i="3" s="1"/>
  <c r="G49" i="3"/>
  <c r="P49" i="3" s="1"/>
  <c r="F49" i="3"/>
  <c r="E49" i="3"/>
  <c r="O48" i="3"/>
  <c r="L48" i="3"/>
  <c r="I48" i="3"/>
  <c r="H48" i="3"/>
  <c r="N48" i="3" s="1"/>
  <c r="G48" i="3"/>
  <c r="F48" i="3"/>
  <c r="E48" i="3"/>
  <c r="O47" i="3"/>
  <c r="L47" i="3"/>
  <c r="I47" i="3"/>
  <c r="Q47" i="3" s="1"/>
  <c r="H47" i="3"/>
  <c r="N47" i="3" s="1"/>
  <c r="G47" i="3"/>
  <c r="P47" i="3" s="1"/>
  <c r="F47" i="3"/>
  <c r="E47" i="3"/>
  <c r="O46" i="3"/>
  <c r="L46" i="3"/>
  <c r="I46" i="3"/>
  <c r="Q46" i="3" s="1"/>
  <c r="H46" i="3"/>
  <c r="N46" i="3" s="1"/>
  <c r="G46" i="3"/>
  <c r="P46" i="3" s="1"/>
  <c r="F46" i="3"/>
  <c r="E46" i="3"/>
  <c r="O45" i="3"/>
  <c r="L45" i="3"/>
  <c r="I45" i="3"/>
  <c r="Q45" i="3" s="1"/>
  <c r="H45" i="3"/>
  <c r="N45" i="3" s="1"/>
  <c r="G45" i="3"/>
  <c r="P45" i="3" s="1"/>
  <c r="F45" i="3"/>
  <c r="E45" i="3"/>
  <c r="O44" i="3"/>
  <c r="L44" i="3"/>
  <c r="I44" i="3"/>
  <c r="Q44" i="3" s="1"/>
  <c r="H44" i="3"/>
  <c r="N44" i="3" s="1"/>
  <c r="G44" i="3"/>
  <c r="P44" i="3" s="1"/>
  <c r="F44" i="3"/>
  <c r="E44" i="3"/>
  <c r="O43" i="3"/>
  <c r="L43" i="3"/>
  <c r="I43" i="3"/>
  <c r="Q43" i="3" s="1"/>
  <c r="H43" i="3"/>
  <c r="N43" i="3" s="1"/>
  <c r="G43" i="3"/>
  <c r="P43" i="3" s="1"/>
  <c r="F43" i="3"/>
  <c r="E43" i="3"/>
  <c r="O42" i="3"/>
  <c r="L42" i="3"/>
  <c r="I42" i="3"/>
  <c r="Q42" i="3" s="1"/>
  <c r="H42" i="3"/>
  <c r="N42" i="3" s="1"/>
  <c r="G42" i="3"/>
  <c r="P42" i="3" s="1"/>
  <c r="F42" i="3"/>
  <c r="E42" i="3"/>
  <c r="O41" i="3"/>
  <c r="L41" i="3"/>
  <c r="I41" i="3"/>
  <c r="H41" i="3"/>
  <c r="N41" i="3" s="1"/>
  <c r="G41" i="3"/>
  <c r="F41" i="3"/>
  <c r="E41" i="3"/>
  <c r="O40" i="3"/>
  <c r="L40" i="3"/>
  <c r="I40" i="3"/>
  <c r="Q40" i="3" s="1"/>
  <c r="H40" i="3"/>
  <c r="N40" i="3" s="1"/>
  <c r="G40" i="3"/>
  <c r="P40" i="3" s="1"/>
  <c r="F40" i="3"/>
  <c r="E40" i="3"/>
  <c r="O39" i="3"/>
  <c r="L39" i="3"/>
  <c r="I39" i="3"/>
  <c r="H39" i="3"/>
  <c r="N39" i="3" s="1"/>
  <c r="G39" i="3"/>
  <c r="F39" i="3"/>
  <c r="E39" i="3"/>
  <c r="O38" i="3"/>
  <c r="L38" i="3"/>
  <c r="I38" i="3"/>
  <c r="Q38" i="3" s="1"/>
  <c r="H38" i="3"/>
  <c r="N38" i="3" s="1"/>
  <c r="G38" i="3"/>
  <c r="P38" i="3" s="1"/>
  <c r="F38" i="3"/>
  <c r="E38" i="3"/>
  <c r="O37" i="3"/>
  <c r="L37" i="3"/>
  <c r="I37" i="3"/>
  <c r="Q37" i="3" s="1"/>
  <c r="H37" i="3"/>
  <c r="N37" i="3" s="1"/>
  <c r="G37" i="3"/>
  <c r="P37" i="3" s="1"/>
  <c r="F37" i="3"/>
  <c r="E37" i="3"/>
  <c r="O36" i="3"/>
  <c r="L36" i="3"/>
  <c r="I36" i="3"/>
  <c r="H36" i="3"/>
  <c r="N36" i="3" s="1"/>
  <c r="G36" i="3"/>
  <c r="F36" i="3"/>
  <c r="E36" i="3"/>
  <c r="O35" i="3"/>
  <c r="L35" i="3"/>
  <c r="I35" i="3"/>
  <c r="Q35" i="3" s="1"/>
  <c r="H35" i="3"/>
  <c r="N35" i="3" s="1"/>
  <c r="G35" i="3"/>
  <c r="P35" i="3" s="1"/>
  <c r="F35" i="3"/>
  <c r="E35" i="3"/>
  <c r="O34" i="3"/>
  <c r="L34" i="3"/>
  <c r="I34" i="3"/>
  <c r="Q34" i="3" s="1"/>
  <c r="H34" i="3"/>
  <c r="N34" i="3" s="1"/>
  <c r="G34" i="3"/>
  <c r="P34" i="3" s="1"/>
  <c r="F34" i="3"/>
  <c r="E34" i="3"/>
  <c r="O33" i="3"/>
  <c r="L33" i="3"/>
  <c r="I33" i="3"/>
  <c r="Q33" i="3" s="1"/>
  <c r="H33" i="3"/>
  <c r="G33" i="3"/>
  <c r="P33" i="3" s="1"/>
  <c r="F33" i="3"/>
  <c r="E33" i="3"/>
  <c r="O32" i="3"/>
  <c r="L32" i="3"/>
  <c r="I32" i="3"/>
  <c r="Q32" i="3" s="1"/>
  <c r="H32" i="3"/>
  <c r="N32" i="3" s="1"/>
  <c r="G32" i="3"/>
  <c r="P32" i="3" s="1"/>
  <c r="F32" i="3"/>
  <c r="E32" i="3"/>
  <c r="O30" i="3"/>
  <c r="L30" i="3"/>
  <c r="I30" i="3"/>
  <c r="Q30" i="3" s="1"/>
  <c r="H30" i="3"/>
  <c r="N30" i="3" s="1"/>
  <c r="G30" i="3"/>
  <c r="P30" i="3" s="1"/>
  <c r="F30" i="3"/>
  <c r="E30" i="3"/>
  <c r="O29" i="3"/>
  <c r="L29" i="3"/>
  <c r="I29" i="3"/>
  <c r="Q29" i="3" s="1"/>
  <c r="H29" i="3"/>
  <c r="N29" i="3" s="1"/>
  <c r="G29" i="3"/>
  <c r="P29" i="3" s="1"/>
  <c r="F29" i="3"/>
  <c r="E29" i="3"/>
  <c r="O28" i="3"/>
  <c r="L28" i="3"/>
  <c r="I28" i="3"/>
  <c r="H28" i="3"/>
  <c r="N28" i="3" s="1"/>
  <c r="G28" i="3"/>
  <c r="F28" i="3"/>
  <c r="E28" i="3"/>
  <c r="O27" i="3"/>
  <c r="L27" i="3"/>
  <c r="I27" i="3"/>
  <c r="Q27" i="3" s="1"/>
  <c r="H27" i="3"/>
  <c r="N27" i="3" s="1"/>
  <c r="G27" i="3"/>
  <c r="P27" i="3" s="1"/>
  <c r="F27" i="3"/>
  <c r="E27" i="3"/>
  <c r="O26" i="3"/>
  <c r="L26" i="3"/>
  <c r="I26" i="3"/>
  <c r="Q26" i="3" s="1"/>
  <c r="H26" i="3"/>
  <c r="N26" i="3" s="1"/>
  <c r="G26" i="3"/>
  <c r="P26" i="3" s="1"/>
  <c r="F26" i="3"/>
  <c r="E26" i="3"/>
  <c r="O25" i="3"/>
  <c r="L25" i="3"/>
  <c r="I25" i="3"/>
  <c r="Q25" i="3" s="1"/>
  <c r="H25" i="3"/>
  <c r="N25" i="3" s="1"/>
  <c r="G25" i="3"/>
  <c r="P25" i="3" s="1"/>
  <c r="F25" i="3"/>
  <c r="E25" i="3"/>
  <c r="O24" i="3"/>
  <c r="L24" i="3"/>
  <c r="I24" i="3"/>
  <c r="Q24" i="3" s="1"/>
  <c r="H24" i="3"/>
  <c r="N24" i="3" s="1"/>
  <c r="G24" i="3"/>
  <c r="P24" i="3" s="1"/>
  <c r="F24" i="3"/>
  <c r="E24" i="3"/>
  <c r="O23" i="3"/>
  <c r="L23" i="3"/>
  <c r="I23" i="3"/>
  <c r="Q23" i="3" s="1"/>
  <c r="H23" i="3"/>
  <c r="N23" i="3" s="1"/>
  <c r="G23" i="3"/>
  <c r="P23" i="3" s="1"/>
  <c r="F23" i="3"/>
  <c r="E23" i="3"/>
  <c r="O22" i="3"/>
  <c r="L22" i="3"/>
  <c r="I22" i="3"/>
  <c r="Q22" i="3" s="1"/>
  <c r="H22" i="3"/>
  <c r="N22" i="3" s="1"/>
  <c r="G22" i="3"/>
  <c r="P22" i="3" s="1"/>
  <c r="F22" i="3"/>
  <c r="E22" i="3"/>
  <c r="O21" i="3"/>
  <c r="L21" i="3"/>
  <c r="I21" i="3"/>
  <c r="Q21" i="3" s="1"/>
  <c r="H21" i="3"/>
  <c r="N21" i="3" s="1"/>
  <c r="G21" i="3"/>
  <c r="P21" i="3" s="1"/>
  <c r="F21" i="3"/>
  <c r="E21" i="3"/>
  <c r="O20" i="3"/>
  <c r="L20" i="3"/>
  <c r="I20" i="3"/>
  <c r="Q20" i="3" s="1"/>
  <c r="H20" i="3"/>
  <c r="N20" i="3" s="1"/>
  <c r="G20" i="3"/>
  <c r="P20" i="3" s="1"/>
  <c r="F20" i="3"/>
  <c r="E20" i="3"/>
  <c r="O19" i="3"/>
  <c r="L19" i="3"/>
  <c r="I19" i="3"/>
  <c r="H19" i="3"/>
  <c r="N19" i="3" s="1"/>
  <c r="G19" i="3"/>
  <c r="F19" i="3"/>
  <c r="E19" i="3"/>
  <c r="O18" i="3"/>
  <c r="L18" i="3"/>
  <c r="I18" i="3"/>
  <c r="Q18" i="3" s="1"/>
  <c r="H18" i="3"/>
  <c r="N18" i="3" s="1"/>
  <c r="G18" i="3"/>
  <c r="P18" i="3" s="1"/>
  <c r="F18" i="3"/>
  <c r="E18" i="3"/>
  <c r="O17" i="3"/>
  <c r="L17" i="3"/>
  <c r="I17" i="3"/>
  <c r="Q17" i="3" s="1"/>
  <c r="H17" i="3"/>
  <c r="N17" i="3" s="1"/>
  <c r="G17" i="3"/>
  <c r="P17" i="3" s="1"/>
  <c r="F17" i="3"/>
  <c r="E17" i="3"/>
  <c r="O16" i="3"/>
  <c r="L16" i="3"/>
  <c r="I16" i="3"/>
  <c r="Q16" i="3" s="1"/>
  <c r="H16" i="3"/>
  <c r="N16" i="3" s="1"/>
  <c r="G16" i="3"/>
  <c r="P16" i="3" s="1"/>
  <c r="F16" i="3"/>
  <c r="E16" i="3"/>
  <c r="O15" i="3"/>
  <c r="L15" i="3"/>
  <c r="I15" i="3"/>
  <c r="Q15" i="3" s="1"/>
  <c r="H15" i="3"/>
  <c r="N15" i="3" s="1"/>
  <c r="G15" i="3"/>
  <c r="P15" i="3" s="1"/>
  <c r="F15" i="3"/>
  <c r="E15" i="3"/>
  <c r="O14" i="3"/>
  <c r="L14" i="3"/>
  <c r="I14" i="3"/>
  <c r="Q14" i="3" s="1"/>
  <c r="H14" i="3"/>
  <c r="N14" i="3" s="1"/>
  <c r="G14" i="3"/>
  <c r="P14" i="3" s="1"/>
  <c r="F14" i="3"/>
  <c r="E14" i="3"/>
  <c r="Q12" i="3"/>
  <c r="N12" i="3"/>
  <c r="M12" i="3"/>
  <c r="K12" i="3"/>
  <c r="J12" i="3"/>
  <c r="C12" i="3"/>
  <c r="O116" i="2"/>
  <c r="L116" i="2"/>
  <c r="I116" i="2"/>
  <c r="Q116" i="2" s="1"/>
  <c r="H116" i="2"/>
  <c r="N116" i="2" s="1"/>
  <c r="G116" i="2"/>
  <c r="P116" i="2" s="1"/>
  <c r="F116" i="2"/>
  <c r="E116" i="2"/>
  <c r="O115" i="2"/>
  <c r="L115" i="2"/>
  <c r="I115" i="2"/>
  <c r="Q115" i="2" s="1"/>
  <c r="H115" i="2"/>
  <c r="N115" i="2" s="1"/>
  <c r="G115" i="2"/>
  <c r="P115" i="2" s="1"/>
  <c r="F115" i="2"/>
  <c r="E115" i="2"/>
  <c r="O114" i="2"/>
  <c r="L114" i="2"/>
  <c r="I114" i="2"/>
  <c r="Q114" i="2" s="1"/>
  <c r="H114" i="2"/>
  <c r="N114" i="2" s="1"/>
  <c r="G114" i="2"/>
  <c r="P114" i="2" s="1"/>
  <c r="F114" i="2"/>
  <c r="E114" i="2"/>
  <c r="O113" i="2"/>
  <c r="L113" i="2"/>
  <c r="I113" i="2"/>
  <c r="Q113" i="2" s="1"/>
  <c r="H113" i="2"/>
  <c r="N113" i="2" s="1"/>
  <c r="G113" i="2"/>
  <c r="P113" i="2" s="1"/>
  <c r="F113" i="2"/>
  <c r="E113" i="2"/>
  <c r="O112" i="2"/>
  <c r="L112" i="2"/>
  <c r="I112" i="2"/>
  <c r="Q112" i="2" s="1"/>
  <c r="H112" i="2"/>
  <c r="N112" i="2" s="1"/>
  <c r="G112" i="2"/>
  <c r="P112" i="2" s="1"/>
  <c r="F112" i="2"/>
  <c r="E112" i="2"/>
  <c r="O111" i="2"/>
  <c r="L111" i="2"/>
  <c r="I111" i="2"/>
  <c r="Q111" i="2" s="1"/>
  <c r="H111" i="2"/>
  <c r="N111" i="2" s="1"/>
  <c r="G111" i="2"/>
  <c r="P111" i="2" s="1"/>
  <c r="F111" i="2"/>
  <c r="E111" i="2"/>
  <c r="O110" i="2"/>
  <c r="L110" i="2"/>
  <c r="I110" i="2"/>
  <c r="Q110" i="2" s="1"/>
  <c r="H110" i="2"/>
  <c r="N110" i="2" s="1"/>
  <c r="G110" i="2"/>
  <c r="P110" i="2" s="1"/>
  <c r="F110" i="2"/>
  <c r="E110" i="2"/>
  <c r="O109" i="2"/>
  <c r="L109" i="2"/>
  <c r="I109" i="2"/>
  <c r="Q109" i="2" s="1"/>
  <c r="H109" i="2"/>
  <c r="N109" i="2" s="1"/>
  <c r="G109" i="2"/>
  <c r="P109" i="2" s="1"/>
  <c r="F109" i="2"/>
  <c r="E109" i="2"/>
  <c r="O108" i="2"/>
  <c r="L108" i="2"/>
  <c r="I108" i="2"/>
  <c r="Q108" i="2" s="1"/>
  <c r="H108" i="2"/>
  <c r="N108" i="2" s="1"/>
  <c r="G108" i="2"/>
  <c r="P108" i="2" s="1"/>
  <c r="F108" i="2"/>
  <c r="E108" i="2"/>
  <c r="O107" i="2"/>
  <c r="L107" i="2"/>
  <c r="I107" i="2"/>
  <c r="Q107" i="2" s="1"/>
  <c r="H107" i="2"/>
  <c r="N107" i="2" s="1"/>
  <c r="G107" i="2"/>
  <c r="P107" i="2" s="1"/>
  <c r="F107" i="2"/>
  <c r="E107" i="2"/>
  <c r="O106" i="2"/>
  <c r="L106" i="2"/>
  <c r="I106" i="2"/>
  <c r="Q106" i="2" s="1"/>
  <c r="H106" i="2"/>
  <c r="N106" i="2" s="1"/>
  <c r="G106" i="2"/>
  <c r="P106" i="2" s="1"/>
  <c r="F106" i="2"/>
  <c r="E106" i="2"/>
  <c r="O105" i="2"/>
  <c r="L105" i="2"/>
  <c r="I105" i="2"/>
  <c r="Q105" i="2" s="1"/>
  <c r="H105" i="2"/>
  <c r="G105" i="2"/>
  <c r="P105" i="2" s="1"/>
  <c r="F105" i="2"/>
  <c r="E105" i="2"/>
  <c r="O104" i="2"/>
  <c r="O11" i="2" s="1"/>
  <c r="L104" i="2"/>
  <c r="L11" i="2" s="1"/>
  <c r="I104" i="2"/>
  <c r="Q104" i="2" s="1"/>
  <c r="H104" i="2"/>
  <c r="H11" i="2" s="1"/>
  <c r="G104" i="2"/>
  <c r="P104" i="2" s="1"/>
  <c r="F104" i="2"/>
  <c r="F11" i="2" s="1"/>
  <c r="E104" i="2"/>
  <c r="E11" i="2" s="1"/>
  <c r="O103" i="2"/>
  <c r="L103" i="2"/>
  <c r="I103" i="2"/>
  <c r="Q103" i="2" s="1"/>
  <c r="H103" i="2"/>
  <c r="N103" i="2" s="1"/>
  <c r="G103" i="2"/>
  <c r="P103" i="2" s="1"/>
  <c r="F103" i="2"/>
  <c r="E103" i="2"/>
  <c r="O102" i="2"/>
  <c r="L102" i="2"/>
  <c r="I102" i="2"/>
  <c r="Q102" i="2" s="1"/>
  <c r="H102" i="2"/>
  <c r="N102" i="2" s="1"/>
  <c r="G102" i="2"/>
  <c r="P102" i="2" s="1"/>
  <c r="F102" i="2"/>
  <c r="E102" i="2"/>
  <c r="O101" i="2"/>
  <c r="L101" i="2"/>
  <c r="I101" i="2"/>
  <c r="Q101" i="2" s="1"/>
  <c r="H101" i="2"/>
  <c r="N101" i="2" s="1"/>
  <c r="G101" i="2"/>
  <c r="P101" i="2" s="1"/>
  <c r="F101" i="2"/>
  <c r="E101" i="2"/>
  <c r="O100" i="2"/>
  <c r="L100" i="2"/>
  <c r="I100" i="2"/>
  <c r="Q100" i="2" s="1"/>
  <c r="H100" i="2"/>
  <c r="N100" i="2" s="1"/>
  <c r="G100" i="2"/>
  <c r="P100" i="2" s="1"/>
  <c r="F100" i="2"/>
  <c r="E100" i="2"/>
  <c r="O99" i="2"/>
  <c r="L99" i="2"/>
  <c r="I99" i="2"/>
  <c r="Q99" i="2" s="1"/>
  <c r="H99" i="2"/>
  <c r="N99" i="2" s="1"/>
  <c r="G99" i="2"/>
  <c r="P99" i="2" s="1"/>
  <c r="F99" i="2"/>
  <c r="E99" i="2"/>
  <c r="O98" i="2"/>
  <c r="L98" i="2"/>
  <c r="I98" i="2"/>
  <c r="Q98" i="2" s="1"/>
  <c r="H98" i="2"/>
  <c r="N98" i="2" s="1"/>
  <c r="G98" i="2"/>
  <c r="P98" i="2" s="1"/>
  <c r="F98" i="2"/>
  <c r="E98" i="2"/>
  <c r="O97" i="2"/>
  <c r="L97" i="2"/>
  <c r="I97" i="2"/>
  <c r="Q97" i="2" s="1"/>
  <c r="H97" i="2"/>
  <c r="N97" i="2" s="1"/>
  <c r="G97" i="2"/>
  <c r="P97" i="2" s="1"/>
  <c r="F97" i="2"/>
  <c r="E97" i="2"/>
  <c r="O96" i="2"/>
  <c r="L96" i="2"/>
  <c r="I96" i="2"/>
  <c r="Q96" i="2" s="1"/>
  <c r="H96" i="2"/>
  <c r="G96" i="2"/>
  <c r="P96" i="2" s="1"/>
  <c r="F96" i="2"/>
  <c r="E96" i="2"/>
  <c r="O95" i="2"/>
  <c r="L95" i="2"/>
  <c r="I95" i="2"/>
  <c r="Q95" i="2" s="1"/>
  <c r="H95" i="2"/>
  <c r="N95" i="2" s="1"/>
  <c r="G95" i="2"/>
  <c r="P95" i="2" s="1"/>
  <c r="F95" i="2"/>
  <c r="E95" i="2"/>
  <c r="O94" i="2"/>
  <c r="L94" i="2"/>
  <c r="I94" i="2"/>
  <c r="Q94" i="2" s="1"/>
  <c r="H94" i="2"/>
  <c r="N94" i="2" s="1"/>
  <c r="G94" i="2"/>
  <c r="P94" i="2" s="1"/>
  <c r="F94" i="2"/>
  <c r="E94" i="2"/>
  <c r="O93" i="2"/>
  <c r="L93" i="2"/>
  <c r="I93" i="2"/>
  <c r="Q93" i="2" s="1"/>
  <c r="H93" i="2"/>
  <c r="G93" i="2"/>
  <c r="P93" i="2" s="1"/>
  <c r="F93" i="2"/>
  <c r="E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O92" i="2"/>
  <c r="L92" i="2"/>
  <c r="I92" i="2"/>
  <c r="Q92" i="2" s="1"/>
  <c r="H92" i="2"/>
  <c r="G92" i="2"/>
  <c r="P92" i="2" s="1"/>
  <c r="F92" i="2"/>
  <c r="E92" i="2"/>
  <c r="O91" i="2"/>
  <c r="L91" i="2"/>
  <c r="I91" i="2"/>
  <c r="Q91" i="2" s="1"/>
  <c r="H91" i="2"/>
  <c r="N91" i="2" s="1"/>
  <c r="G91" i="2"/>
  <c r="P91" i="2" s="1"/>
  <c r="F91" i="2"/>
  <c r="E91" i="2"/>
  <c r="O90" i="2"/>
  <c r="L90" i="2"/>
  <c r="I90" i="2"/>
  <c r="Q90" i="2" s="1"/>
  <c r="H90" i="2"/>
  <c r="G90" i="2"/>
  <c r="F90" i="2"/>
  <c r="E90" i="2"/>
  <c r="AY88" i="2"/>
  <c r="AX88" i="2"/>
  <c r="AZ88" i="2" s="1"/>
  <c r="AV88" i="2"/>
  <c r="AU88" i="2"/>
  <c r="AT88" i="2"/>
  <c r="AS88" i="2"/>
  <c r="AR88" i="2"/>
  <c r="AP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Y88" i="2"/>
  <c r="W88" i="2"/>
  <c r="V88" i="2"/>
  <c r="U88" i="2"/>
  <c r="S88" i="2"/>
  <c r="R88" i="2"/>
  <c r="O88" i="2"/>
  <c r="L88" i="2"/>
  <c r="I88" i="2"/>
  <c r="Q88" i="2" s="1"/>
  <c r="H88" i="2"/>
  <c r="G88" i="2"/>
  <c r="P88" i="2" s="1"/>
  <c r="F88" i="2"/>
  <c r="E88" i="2"/>
  <c r="AY87" i="2"/>
  <c r="AX87" i="2"/>
  <c r="AZ87" i="2" s="1"/>
  <c r="AV87" i="2"/>
  <c r="AU87" i="2"/>
  <c r="AT87" i="2"/>
  <c r="AS87" i="2"/>
  <c r="AR87" i="2"/>
  <c r="AP87" i="2"/>
  <c r="AN87" i="2"/>
  <c r="AM87" i="2"/>
  <c r="AL87" i="2"/>
  <c r="AO87" i="2" s="1"/>
  <c r="AK87" i="2"/>
  <c r="AJ87" i="2"/>
  <c r="AI87" i="2"/>
  <c r="AH87" i="2"/>
  <c r="AG87" i="2"/>
  <c r="AF87" i="2"/>
  <c r="AE87" i="2"/>
  <c r="AD87" i="2"/>
  <c r="AC87" i="2"/>
  <c r="AB87" i="2"/>
  <c r="AA87" i="2"/>
  <c r="Y87" i="2"/>
  <c r="W87" i="2"/>
  <c r="V87" i="2"/>
  <c r="U87" i="2"/>
  <c r="X87" i="2" s="1"/>
  <c r="S87" i="2"/>
  <c r="R87" i="2"/>
  <c r="T87" i="2" s="1"/>
  <c r="O87" i="2"/>
  <c r="L87" i="2"/>
  <c r="I87" i="2"/>
  <c r="Q87" i="2" s="1"/>
  <c r="H87" i="2"/>
  <c r="G87" i="2"/>
  <c r="P87" i="2" s="1"/>
  <c r="F87" i="2"/>
  <c r="E87" i="2"/>
  <c r="AY86" i="2"/>
  <c r="AX86" i="2"/>
  <c r="AV86" i="2"/>
  <c r="AU86" i="2"/>
  <c r="AW86" i="2" s="1"/>
  <c r="AT86" i="2"/>
  <c r="AS86" i="2"/>
  <c r="AR86" i="2"/>
  <c r="AP86" i="2"/>
  <c r="AN86" i="2"/>
  <c r="AM86" i="2"/>
  <c r="AL86" i="2"/>
  <c r="AO86" i="2" s="1"/>
  <c r="AK86" i="2"/>
  <c r="AJ86" i="2"/>
  <c r="AI86" i="2"/>
  <c r="AH86" i="2"/>
  <c r="AG86" i="2"/>
  <c r="AF86" i="2"/>
  <c r="AE86" i="2"/>
  <c r="AD86" i="2"/>
  <c r="AC86" i="2"/>
  <c r="AB86" i="2"/>
  <c r="AA86" i="2"/>
  <c r="Y86" i="2"/>
  <c r="W86" i="2"/>
  <c r="V86" i="2"/>
  <c r="U86" i="2"/>
  <c r="X86" i="2" s="1"/>
  <c r="S86" i="2"/>
  <c r="R86" i="2"/>
  <c r="T86" i="2" s="1"/>
  <c r="O86" i="2"/>
  <c r="L86" i="2"/>
  <c r="I86" i="2"/>
  <c r="Q86" i="2" s="1"/>
  <c r="H86" i="2"/>
  <c r="G86" i="2"/>
  <c r="P86" i="2" s="1"/>
  <c r="F86" i="2"/>
  <c r="E86" i="2"/>
  <c r="AY85" i="2"/>
  <c r="AX85" i="2"/>
  <c r="AV85" i="2"/>
  <c r="AU85" i="2"/>
  <c r="AT85" i="2"/>
  <c r="AS85" i="2"/>
  <c r="AR85" i="2"/>
  <c r="AP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Y85" i="2"/>
  <c r="W85" i="2"/>
  <c r="V85" i="2"/>
  <c r="U85" i="2"/>
  <c r="S85" i="2"/>
  <c r="R85" i="2"/>
  <c r="O85" i="2"/>
  <c r="L85" i="2"/>
  <c r="I85" i="2"/>
  <c r="Q85" i="2" s="1"/>
  <c r="H85" i="2"/>
  <c r="G85" i="2"/>
  <c r="P85" i="2" s="1"/>
  <c r="F85" i="2"/>
  <c r="E85" i="2"/>
  <c r="AY84" i="2"/>
  <c r="AX84" i="2"/>
  <c r="AV84" i="2"/>
  <c r="AU84" i="2"/>
  <c r="AT84" i="2"/>
  <c r="AS84" i="2"/>
  <c r="AR84" i="2"/>
  <c r="AP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Y84" i="2"/>
  <c r="W84" i="2"/>
  <c r="V84" i="2"/>
  <c r="U84" i="2"/>
  <c r="S84" i="2"/>
  <c r="R84" i="2"/>
  <c r="O84" i="2"/>
  <c r="L84" i="2"/>
  <c r="I84" i="2"/>
  <c r="Q84" i="2" s="1"/>
  <c r="H84" i="2"/>
  <c r="G84" i="2"/>
  <c r="P84" i="2" s="1"/>
  <c r="F84" i="2"/>
  <c r="E84" i="2"/>
  <c r="AY83" i="2"/>
  <c r="AX83" i="2"/>
  <c r="AV83" i="2"/>
  <c r="AU83" i="2"/>
  <c r="AW83" i="2" s="1"/>
  <c r="AT83" i="2"/>
  <c r="AS83" i="2"/>
  <c r="AR83" i="2"/>
  <c r="AP83" i="2"/>
  <c r="AN83" i="2"/>
  <c r="AM83" i="2"/>
  <c r="AL83" i="2"/>
  <c r="AO83" i="2" s="1"/>
  <c r="AK83" i="2"/>
  <c r="AJ83" i="2"/>
  <c r="AI83" i="2"/>
  <c r="AH83" i="2"/>
  <c r="AG83" i="2"/>
  <c r="AF83" i="2"/>
  <c r="AE83" i="2"/>
  <c r="AD83" i="2"/>
  <c r="AC83" i="2"/>
  <c r="AB83" i="2"/>
  <c r="AA83" i="2"/>
  <c r="Y83" i="2"/>
  <c r="W83" i="2"/>
  <c r="V83" i="2"/>
  <c r="U83" i="2"/>
  <c r="X83" i="2" s="1"/>
  <c r="S83" i="2"/>
  <c r="R83" i="2"/>
  <c r="T83" i="2" s="1"/>
  <c r="O83" i="2"/>
  <c r="L83" i="2"/>
  <c r="I83" i="2"/>
  <c r="Q83" i="2" s="1"/>
  <c r="H83" i="2"/>
  <c r="G83" i="2"/>
  <c r="P83" i="2" s="1"/>
  <c r="F83" i="2"/>
  <c r="E83" i="2"/>
  <c r="AY82" i="2"/>
  <c r="AX82" i="2"/>
  <c r="AV82" i="2"/>
  <c r="AU82" i="2"/>
  <c r="AT82" i="2"/>
  <c r="AS82" i="2"/>
  <c r="AR82" i="2"/>
  <c r="AP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Y82" i="2"/>
  <c r="W82" i="2"/>
  <c r="V82" i="2"/>
  <c r="U82" i="2"/>
  <c r="S82" i="2"/>
  <c r="R82" i="2"/>
  <c r="O82" i="2"/>
  <c r="L82" i="2"/>
  <c r="I82" i="2"/>
  <c r="Q82" i="2" s="1"/>
  <c r="H82" i="2"/>
  <c r="G82" i="2"/>
  <c r="P82" i="2" s="1"/>
  <c r="F82" i="2"/>
  <c r="E82" i="2"/>
  <c r="AY81" i="2"/>
  <c r="AX81" i="2"/>
  <c r="AZ81" i="2" s="1"/>
  <c r="AV81" i="2"/>
  <c r="AU81" i="2"/>
  <c r="AT81" i="2"/>
  <c r="AS81" i="2"/>
  <c r="AR81" i="2"/>
  <c r="AP81" i="2"/>
  <c r="AN81" i="2"/>
  <c r="AM81" i="2"/>
  <c r="AL81" i="2"/>
  <c r="AO81" i="2" s="1"/>
  <c r="AK81" i="2"/>
  <c r="AJ81" i="2"/>
  <c r="AI81" i="2"/>
  <c r="AH81" i="2"/>
  <c r="AG81" i="2"/>
  <c r="AF81" i="2"/>
  <c r="AE81" i="2"/>
  <c r="AD81" i="2"/>
  <c r="AC81" i="2"/>
  <c r="AB81" i="2"/>
  <c r="AA81" i="2"/>
  <c r="Y81" i="2"/>
  <c r="W81" i="2"/>
  <c r="V81" i="2"/>
  <c r="U81" i="2"/>
  <c r="X81" i="2" s="1"/>
  <c r="S81" i="2"/>
  <c r="R81" i="2"/>
  <c r="T81" i="2" s="1"/>
  <c r="O81" i="2"/>
  <c r="L81" i="2"/>
  <c r="I81" i="2"/>
  <c r="Q81" i="2" s="1"/>
  <c r="H81" i="2"/>
  <c r="G81" i="2"/>
  <c r="P81" i="2" s="1"/>
  <c r="F81" i="2"/>
  <c r="E81" i="2"/>
  <c r="AY80" i="2"/>
  <c r="AX80" i="2"/>
  <c r="AV80" i="2"/>
  <c r="AU80" i="2"/>
  <c r="AT80" i="2"/>
  <c r="AS80" i="2"/>
  <c r="AR80" i="2"/>
  <c r="AP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Y80" i="2"/>
  <c r="W80" i="2"/>
  <c r="V80" i="2"/>
  <c r="U80" i="2"/>
  <c r="S80" i="2"/>
  <c r="R80" i="2"/>
  <c r="O80" i="2"/>
  <c r="L80" i="2"/>
  <c r="I80" i="2"/>
  <c r="Q80" i="2" s="1"/>
  <c r="H80" i="2"/>
  <c r="G80" i="2"/>
  <c r="P80" i="2" s="1"/>
  <c r="F80" i="2"/>
  <c r="E80" i="2"/>
  <c r="AY79" i="2"/>
  <c r="AX79" i="2"/>
  <c r="AZ79" i="2" s="1"/>
  <c r="AV79" i="2"/>
  <c r="AU79" i="2"/>
  <c r="AT79" i="2"/>
  <c r="AS79" i="2"/>
  <c r="AR79" i="2"/>
  <c r="AP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Y79" i="2"/>
  <c r="W79" i="2"/>
  <c r="V79" i="2"/>
  <c r="U79" i="2"/>
  <c r="S79" i="2"/>
  <c r="R79" i="2"/>
  <c r="O79" i="2"/>
  <c r="L79" i="2"/>
  <c r="I79" i="2"/>
  <c r="Q79" i="2" s="1"/>
  <c r="H79" i="2"/>
  <c r="G79" i="2"/>
  <c r="P79" i="2" s="1"/>
  <c r="F79" i="2"/>
  <c r="E79" i="2"/>
  <c r="AY78" i="2"/>
  <c r="AX78" i="2"/>
  <c r="AZ78" i="2" s="1"/>
  <c r="AV78" i="2"/>
  <c r="AU78" i="2"/>
  <c r="AW78" i="2" s="1"/>
  <c r="AT78" i="2"/>
  <c r="AS78" i="2"/>
  <c r="AR78" i="2"/>
  <c r="AP78" i="2"/>
  <c r="AN78" i="2"/>
  <c r="AM78" i="2"/>
  <c r="AQ78" i="2" s="1"/>
  <c r="AL78" i="2"/>
  <c r="AK78" i="2"/>
  <c r="AJ78" i="2"/>
  <c r="AI78" i="2"/>
  <c r="AH78" i="2"/>
  <c r="AG78" i="2"/>
  <c r="AF78" i="2"/>
  <c r="AE78" i="2"/>
  <c r="AD78" i="2"/>
  <c r="AC78" i="2"/>
  <c r="AB78" i="2"/>
  <c r="AA78" i="2"/>
  <c r="Y78" i="2"/>
  <c r="W78" i="2"/>
  <c r="V78" i="2"/>
  <c r="Z78" i="2" s="1"/>
  <c r="U78" i="2"/>
  <c r="S78" i="2"/>
  <c r="R78" i="2"/>
  <c r="O78" i="2"/>
  <c r="L78" i="2"/>
  <c r="I78" i="2"/>
  <c r="Q78" i="2" s="1"/>
  <c r="H78" i="2"/>
  <c r="G78" i="2"/>
  <c r="P78" i="2" s="1"/>
  <c r="F78" i="2"/>
  <c r="E78" i="2"/>
  <c r="AY77" i="2"/>
  <c r="AX77" i="2"/>
  <c r="AV77" i="2"/>
  <c r="AU77" i="2"/>
  <c r="AT77" i="2"/>
  <c r="AS77" i="2"/>
  <c r="AR77" i="2"/>
  <c r="AP77" i="2"/>
  <c r="AN77" i="2"/>
  <c r="AM77" i="2"/>
  <c r="AL77" i="2"/>
  <c r="AO77" i="2" s="1"/>
  <c r="AK77" i="2"/>
  <c r="AJ77" i="2"/>
  <c r="AI77" i="2"/>
  <c r="AH77" i="2"/>
  <c r="AG77" i="2"/>
  <c r="AF77" i="2"/>
  <c r="AE77" i="2"/>
  <c r="AD77" i="2"/>
  <c r="AC77" i="2"/>
  <c r="AB77" i="2"/>
  <c r="AA77" i="2"/>
  <c r="Y77" i="2"/>
  <c r="W77" i="2"/>
  <c r="V77" i="2"/>
  <c r="U77" i="2"/>
  <c r="X77" i="2" s="1"/>
  <c r="S77" i="2"/>
  <c r="R77" i="2"/>
  <c r="T77" i="2" s="1"/>
  <c r="O77" i="2"/>
  <c r="L77" i="2"/>
  <c r="I77" i="2"/>
  <c r="Q77" i="2" s="1"/>
  <c r="H77" i="2"/>
  <c r="G77" i="2"/>
  <c r="P77" i="2" s="1"/>
  <c r="F77" i="2"/>
  <c r="E77" i="2"/>
  <c r="AY76" i="2"/>
  <c r="AX76" i="2"/>
  <c r="AZ76" i="2" s="1"/>
  <c r="AV76" i="2"/>
  <c r="AU76" i="2"/>
  <c r="AT76" i="2"/>
  <c r="AS76" i="2"/>
  <c r="AR76" i="2"/>
  <c r="AP76" i="2"/>
  <c r="AN76" i="2"/>
  <c r="AM76" i="2"/>
  <c r="AL76" i="2"/>
  <c r="AO76" i="2" s="1"/>
  <c r="AK76" i="2"/>
  <c r="AJ76" i="2"/>
  <c r="AI76" i="2"/>
  <c r="AH76" i="2"/>
  <c r="AG76" i="2"/>
  <c r="AF76" i="2"/>
  <c r="AE76" i="2"/>
  <c r="AD76" i="2"/>
  <c r="AC76" i="2"/>
  <c r="AB76" i="2"/>
  <c r="AA76" i="2"/>
  <c r="Y76" i="2"/>
  <c r="W76" i="2"/>
  <c r="V76" i="2"/>
  <c r="U76" i="2"/>
  <c r="X76" i="2" s="1"/>
  <c r="S76" i="2"/>
  <c r="R76" i="2"/>
  <c r="O76" i="2"/>
  <c r="L76" i="2"/>
  <c r="I76" i="2"/>
  <c r="Q76" i="2" s="1"/>
  <c r="H76" i="2"/>
  <c r="G76" i="2"/>
  <c r="P76" i="2" s="1"/>
  <c r="F76" i="2"/>
  <c r="E76" i="2"/>
  <c r="AY75" i="2"/>
  <c r="AX75" i="2"/>
  <c r="AV75" i="2"/>
  <c r="AU75" i="2"/>
  <c r="AT75" i="2"/>
  <c r="AS75" i="2"/>
  <c r="AR75" i="2"/>
  <c r="AP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Y75" i="2"/>
  <c r="W75" i="2"/>
  <c r="V75" i="2"/>
  <c r="U75" i="2"/>
  <c r="S75" i="2"/>
  <c r="R75" i="2"/>
  <c r="O75" i="2"/>
  <c r="L75" i="2"/>
  <c r="I75" i="2"/>
  <c r="Q75" i="2" s="1"/>
  <c r="H75" i="2"/>
  <c r="G75" i="2"/>
  <c r="P75" i="2" s="1"/>
  <c r="F75" i="2"/>
  <c r="E75" i="2"/>
  <c r="AY73" i="2"/>
  <c r="AX73" i="2"/>
  <c r="AV73" i="2"/>
  <c r="AU73" i="2"/>
  <c r="AW73" i="2" s="1"/>
  <c r="AT73" i="2"/>
  <c r="AS73" i="2"/>
  <c r="AR73" i="2"/>
  <c r="AP73" i="2"/>
  <c r="AN73" i="2"/>
  <c r="AM73" i="2"/>
  <c r="AL73" i="2"/>
  <c r="AO73" i="2" s="1"/>
  <c r="AK73" i="2"/>
  <c r="AJ73" i="2"/>
  <c r="AI73" i="2"/>
  <c r="AH73" i="2"/>
  <c r="AG73" i="2"/>
  <c r="AF73" i="2"/>
  <c r="AE73" i="2"/>
  <c r="AD73" i="2"/>
  <c r="AC73" i="2"/>
  <c r="AB73" i="2"/>
  <c r="AA73" i="2"/>
  <c r="Y73" i="2"/>
  <c r="W73" i="2"/>
  <c r="V73" i="2"/>
  <c r="U73" i="2"/>
  <c r="X73" i="2" s="1"/>
  <c r="S73" i="2"/>
  <c r="R73" i="2"/>
  <c r="T73" i="2" s="1"/>
  <c r="O73" i="2"/>
  <c r="L73" i="2"/>
  <c r="I73" i="2"/>
  <c r="Q73" i="2" s="1"/>
  <c r="H73" i="2"/>
  <c r="G73" i="2"/>
  <c r="P73" i="2" s="1"/>
  <c r="F73" i="2"/>
  <c r="E73" i="2"/>
  <c r="AY72" i="2"/>
  <c r="AX72" i="2"/>
  <c r="AV72" i="2"/>
  <c r="AU72" i="2"/>
  <c r="AT72" i="2"/>
  <c r="AS72" i="2"/>
  <c r="AR72" i="2"/>
  <c r="AP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Y72" i="2"/>
  <c r="W72" i="2"/>
  <c r="V72" i="2"/>
  <c r="U72" i="2"/>
  <c r="S72" i="2"/>
  <c r="R72" i="2"/>
  <c r="O72" i="2"/>
  <c r="L72" i="2"/>
  <c r="I72" i="2"/>
  <c r="Q72" i="2" s="1"/>
  <c r="H72" i="2"/>
  <c r="G72" i="2"/>
  <c r="P72" i="2" s="1"/>
  <c r="F72" i="2"/>
  <c r="E72" i="2"/>
  <c r="AY71" i="2"/>
  <c r="AX71" i="2"/>
  <c r="AV71" i="2"/>
  <c r="AU71" i="2"/>
  <c r="AW71" i="2" s="1"/>
  <c r="AT71" i="2"/>
  <c r="AS71" i="2"/>
  <c r="AR71" i="2"/>
  <c r="AP71" i="2"/>
  <c r="AN71" i="2"/>
  <c r="AM71" i="2"/>
  <c r="AL71" i="2"/>
  <c r="AO71" i="2" s="1"/>
  <c r="AK71" i="2"/>
  <c r="AJ71" i="2"/>
  <c r="AI71" i="2"/>
  <c r="AH71" i="2"/>
  <c r="AG71" i="2"/>
  <c r="AF71" i="2"/>
  <c r="AE71" i="2"/>
  <c r="AD71" i="2"/>
  <c r="AC71" i="2"/>
  <c r="AB71" i="2"/>
  <c r="AA71" i="2"/>
  <c r="Y71" i="2"/>
  <c r="W71" i="2"/>
  <c r="V71" i="2"/>
  <c r="U71" i="2"/>
  <c r="X71" i="2" s="1"/>
  <c r="S71" i="2"/>
  <c r="R71" i="2"/>
  <c r="T71" i="2" s="1"/>
  <c r="O71" i="2"/>
  <c r="L71" i="2"/>
  <c r="I71" i="2"/>
  <c r="Q71" i="2" s="1"/>
  <c r="H71" i="2"/>
  <c r="G71" i="2"/>
  <c r="P71" i="2" s="1"/>
  <c r="F71" i="2"/>
  <c r="E71" i="2"/>
  <c r="AY70" i="2"/>
  <c r="AX70" i="2"/>
  <c r="AV70" i="2"/>
  <c r="AU70" i="2"/>
  <c r="AW70" i="2" s="1"/>
  <c r="AT70" i="2"/>
  <c r="AS70" i="2"/>
  <c r="AR70" i="2"/>
  <c r="AP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Y70" i="2"/>
  <c r="W70" i="2"/>
  <c r="V70" i="2"/>
  <c r="U70" i="2"/>
  <c r="S70" i="2"/>
  <c r="R70" i="2"/>
  <c r="O70" i="2"/>
  <c r="L70" i="2"/>
  <c r="I70" i="2"/>
  <c r="Q70" i="2" s="1"/>
  <c r="H70" i="2"/>
  <c r="G70" i="2"/>
  <c r="P70" i="2" s="1"/>
  <c r="F70" i="2"/>
  <c r="E70" i="2"/>
  <c r="AY69" i="2"/>
  <c r="AX69" i="2"/>
  <c r="AV69" i="2"/>
  <c r="AU69" i="2"/>
  <c r="AT69" i="2"/>
  <c r="AS69" i="2"/>
  <c r="AR69" i="2"/>
  <c r="AP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Y69" i="2"/>
  <c r="W69" i="2"/>
  <c r="V69" i="2"/>
  <c r="U69" i="2"/>
  <c r="S69" i="2"/>
  <c r="R69" i="2"/>
  <c r="O69" i="2"/>
  <c r="L69" i="2"/>
  <c r="I69" i="2"/>
  <c r="Q69" i="2" s="1"/>
  <c r="H69" i="2"/>
  <c r="G69" i="2"/>
  <c r="P69" i="2" s="1"/>
  <c r="F69" i="2"/>
  <c r="E69" i="2"/>
  <c r="AY68" i="2"/>
  <c r="AX68" i="2"/>
  <c r="AV68" i="2"/>
  <c r="AU68" i="2"/>
  <c r="AT68" i="2"/>
  <c r="AS68" i="2"/>
  <c r="AR68" i="2"/>
  <c r="AP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Y68" i="2"/>
  <c r="W68" i="2"/>
  <c r="V68" i="2"/>
  <c r="U68" i="2"/>
  <c r="S68" i="2"/>
  <c r="R68" i="2"/>
  <c r="O68" i="2"/>
  <c r="L68" i="2"/>
  <c r="I68" i="2"/>
  <c r="Q68" i="2" s="1"/>
  <c r="H68" i="2"/>
  <c r="G68" i="2"/>
  <c r="P68" i="2" s="1"/>
  <c r="F68" i="2"/>
  <c r="E68" i="2"/>
  <c r="AY67" i="2"/>
  <c r="AX67" i="2"/>
  <c r="AV67" i="2"/>
  <c r="AU67" i="2"/>
  <c r="AT67" i="2"/>
  <c r="AS67" i="2"/>
  <c r="AR67" i="2"/>
  <c r="AP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Y67" i="2"/>
  <c r="W67" i="2"/>
  <c r="V67" i="2"/>
  <c r="U67" i="2"/>
  <c r="S67" i="2"/>
  <c r="R67" i="2"/>
  <c r="O67" i="2"/>
  <c r="L67" i="2"/>
  <c r="I67" i="2"/>
  <c r="Q67" i="2" s="1"/>
  <c r="H67" i="2"/>
  <c r="G67" i="2"/>
  <c r="P67" i="2" s="1"/>
  <c r="F67" i="2"/>
  <c r="E67" i="2"/>
  <c r="AY66" i="2"/>
  <c r="AX66" i="2"/>
  <c r="AV66" i="2"/>
  <c r="AU66" i="2"/>
  <c r="AT66" i="2"/>
  <c r="AS66" i="2"/>
  <c r="AR66" i="2"/>
  <c r="AP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Y66" i="2"/>
  <c r="W66" i="2"/>
  <c r="V66" i="2"/>
  <c r="U66" i="2"/>
  <c r="S66" i="2"/>
  <c r="R66" i="2"/>
  <c r="O66" i="2"/>
  <c r="L66" i="2"/>
  <c r="I66" i="2"/>
  <c r="Q66" i="2" s="1"/>
  <c r="H66" i="2"/>
  <c r="G66" i="2"/>
  <c r="P66" i="2" s="1"/>
  <c r="F66" i="2"/>
  <c r="E66" i="2"/>
  <c r="AY65" i="2"/>
  <c r="AX65" i="2"/>
  <c r="AV65" i="2"/>
  <c r="AU65" i="2"/>
  <c r="AT65" i="2"/>
  <c r="AS65" i="2"/>
  <c r="AR65" i="2"/>
  <c r="AP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Y65" i="2"/>
  <c r="W65" i="2"/>
  <c r="V65" i="2"/>
  <c r="U65" i="2"/>
  <c r="S65" i="2"/>
  <c r="R65" i="2"/>
  <c r="O65" i="2"/>
  <c r="L65" i="2"/>
  <c r="I65" i="2"/>
  <c r="Q65" i="2" s="1"/>
  <c r="H65" i="2"/>
  <c r="G65" i="2"/>
  <c r="P65" i="2" s="1"/>
  <c r="F65" i="2"/>
  <c r="E65" i="2"/>
  <c r="AY64" i="2"/>
  <c r="AX64" i="2"/>
  <c r="AV64" i="2"/>
  <c r="AU64" i="2"/>
  <c r="AW64" i="2" s="1"/>
  <c r="AT64" i="2"/>
  <c r="AS64" i="2"/>
  <c r="AR64" i="2"/>
  <c r="AP64" i="2"/>
  <c r="AN64" i="2"/>
  <c r="AM64" i="2"/>
  <c r="AL64" i="2"/>
  <c r="AO64" i="2" s="1"/>
  <c r="AK64" i="2"/>
  <c r="AJ64" i="2"/>
  <c r="AI64" i="2"/>
  <c r="AH64" i="2"/>
  <c r="AG64" i="2"/>
  <c r="AF64" i="2"/>
  <c r="AE64" i="2"/>
  <c r="AD64" i="2"/>
  <c r="AC64" i="2"/>
  <c r="AB64" i="2"/>
  <c r="AA64" i="2"/>
  <c r="Y64" i="2"/>
  <c r="W64" i="2"/>
  <c r="V64" i="2"/>
  <c r="U64" i="2"/>
  <c r="X64" i="2" s="1"/>
  <c r="S64" i="2"/>
  <c r="R64" i="2"/>
  <c r="T64" i="2" s="1"/>
  <c r="O64" i="2"/>
  <c r="L64" i="2"/>
  <c r="I64" i="2"/>
  <c r="Q64" i="2" s="1"/>
  <c r="H64" i="2"/>
  <c r="G64" i="2"/>
  <c r="P64" i="2" s="1"/>
  <c r="F64" i="2"/>
  <c r="E64" i="2"/>
  <c r="AY63" i="2"/>
  <c r="AX63" i="2"/>
  <c r="AV63" i="2"/>
  <c r="AU63" i="2"/>
  <c r="AT63" i="2"/>
  <c r="AS63" i="2"/>
  <c r="AR63" i="2"/>
  <c r="AP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Y63" i="2"/>
  <c r="W63" i="2"/>
  <c r="V63" i="2"/>
  <c r="U63" i="2"/>
  <c r="S63" i="2"/>
  <c r="R63" i="2"/>
  <c r="O63" i="2"/>
  <c r="L63" i="2"/>
  <c r="I63" i="2"/>
  <c r="Q63" i="2" s="1"/>
  <c r="H63" i="2"/>
  <c r="G63" i="2"/>
  <c r="P63" i="2" s="1"/>
  <c r="F63" i="2"/>
  <c r="E63" i="2"/>
  <c r="AY62" i="2"/>
  <c r="AX62" i="2"/>
  <c r="AV62" i="2"/>
  <c r="AU62" i="2"/>
  <c r="AW62" i="2" s="1"/>
  <c r="AT62" i="2"/>
  <c r="AS62" i="2"/>
  <c r="AR62" i="2"/>
  <c r="AP62" i="2"/>
  <c r="AN62" i="2"/>
  <c r="AM62" i="2"/>
  <c r="AL62" i="2"/>
  <c r="AO62" i="2" s="1"/>
  <c r="AK62" i="2"/>
  <c r="AJ62" i="2"/>
  <c r="AI62" i="2"/>
  <c r="AH62" i="2"/>
  <c r="AG62" i="2"/>
  <c r="AF62" i="2"/>
  <c r="AE62" i="2"/>
  <c r="AD62" i="2"/>
  <c r="AC62" i="2"/>
  <c r="AB62" i="2"/>
  <c r="AA62" i="2"/>
  <c r="Y62" i="2"/>
  <c r="W62" i="2"/>
  <c r="V62" i="2"/>
  <c r="U62" i="2"/>
  <c r="X62" i="2" s="1"/>
  <c r="S62" i="2"/>
  <c r="R62" i="2"/>
  <c r="T62" i="2" s="1"/>
  <c r="O62" i="2"/>
  <c r="L62" i="2"/>
  <c r="I62" i="2"/>
  <c r="Q62" i="2" s="1"/>
  <c r="H62" i="2"/>
  <c r="G62" i="2"/>
  <c r="P62" i="2" s="1"/>
  <c r="F62" i="2"/>
  <c r="E62" i="2"/>
  <c r="AY61" i="2"/>
  <c r="AX61" i="2"/>
  <c r="AV61" i="2"/>
  <c r="AU61" i="2"/>
  <c r="AT61" i="2"/>
  <c r="AS61" i="2"/>
  <c r="AR61" i="2"/>
  <c r="AP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Y61" i="2"/>
  <c r="W61" i="2"/>
  <c r="V61" i="2"/>
  <c r="U61" i="2"/>
  <c r="S61" i="2"/>
  <c r="R61" i="2"/>
  <c r="O61" i="2"/>
  <c r="L61" i="2"/>
  <c r="I61" i="2"/>
  <c r="Q61" i="2" s="1"/>
  <c r="H61" i="2"/>
  <c r="G61" i="2"/>
  <c r="P61" i="2" s="1"/>
  <c r="F61" i="2"/>
  <c r="E61" i="2"/>
  <c r="AY60" i="2"/>
  <c r="AX60" i="2"/>
  <c r="AV60" i="2"/>
  <c r="AU60" i="2"/>
  <c r="AW60" i="2" s="1"/>
  <c r="AT60" i="2"/>
  <c r="AS60" i="2"/>
  <c r="AR60" i="2"/>
  <c r="AP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Y60" i="2"/>
  <c r="W60" i="2"/>
  <c r="V60" i="2"/>
  <c r="U60" i="2"/>
  <c r="S60" i="2"/>
  <c r="R60" i="2"/>
  <c r="O60" i="2"/>
  <c r="L60" i="2"/>
  <c r="I60" i="2"/>
  <c r="Q60" i="2" s="1"/>
  <c r="H60" i="2"/>
  <c r="G60" i="2"/>
  <c r="P60" i="2" s="1"/>
  <c r="F60" i="2"/>
  <c r="E60" i="2"/>
  <c r="AY59" i="2"/>
  <c r="AX59" i="2"/>
  <c r="AV59" i="2"/>
  <c r="AU59" i="2"/>
  <c r="AT59" i="2"/>
  <c r="AS59" i="2"/>
  <c r="AR59" i="2"/>
  <c r="AP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Y59" i="2"/>
  <c r="W59" i="2"/>
  <c r="V59" i="2"/>
  <c r="U59" i="2"/>
  <c r="S59" i="2"/>
  <c r="R59" i="2"/>
  <c r="O59" i="2"/>
  <c r="L59" i="2"/>
  <c r="I59" i="2"/>
  <c r="Q59" i="2" s="1"/>
  <c r="H59" i="2"/>
  <c r="G59" i="2"/>
  <c r="P59" i="2" s="1"/>
  <c r="F59" i="2"/>
  <c r="E59" i="2"/>
  <c r="AY58" i="2"/>
  <c r="AX58" i="2"/>
  <c r="AV58" i="2"/>
  <c r="AU58" i="2"/>
  <c r="AT58" i="2"/>
  <c r="AS58" i="2"/>
  <c r="AR58" i="2"/>
  <c r="AP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Y58" i="2"/>
  <c r="W58" i="2"/>
  <c r="V58" i="2"/>
  <c r="U58" i="2"/>
  <c r="S58" i="2"/>
  <c r="R58" i="2"/>
  <c r="O58" i="2"/>
  <c r="L58" i="2"/>
  <c r="I58" i="2"/>
  <c r="Q58" i="2" s="1"/>
  <c r="H58" i="2"/>
  <c r="G58" i="2"/>
  <c r="P58" i="2" s="1"/>
  <c r="F58" i="2"/>
  <c r="E58" i="2"/>
  <c r="AY57" i="2"/>
  <c r="AX57" i="2"/>
  <c r="AV57" i="2"/>
  <c r="AU57" i="2"/>
  <c r="AT57" i="2"/>
  <c r="AS57" i="2"/>
  <c r="AR57" i="2"/>
  <c r="AP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Y57" i="2"/>
  <c r="V57" i="2"/>
  <c r="U57" i="2"/>
  <c r="S57" i="2"/>
  <c r="R57" i="2"/>
  <c r="O57" i="2"/>
  <c r="L57" i="2"/>
  <c r="I57" i="2"/>
  <c r="Q57" i="2" s="1"/>
  <c r="H57" i="2"/>
  <c r="G57" i="2"/>
  <c r="P57" i="2" s="1"/>
  <c r="F57" i="2"/>
  <c r="E57" i="2"/>
  <c r="AY56" i="2"/>
  <c r="AX56" i="2"/>
  <c r="AV56" i="2"/>
  <c r="AU56" i="2"/>
  <c r="AW56" i="2" s="1"/>
  <c r="AT56" i="2"/>
  <c r="AS56" i="2"/>
  <c r="AR56" i="2"/>
  <c r="AP56" i="2"/>
  <c r="AN56" i="2"/>
  <c r="AM56" i="2"/>
  <c r="AL56" i="2"/>
  <c r="AO56" i="2" s="1"/>
  <c r="AK56" i="2"/>
  <c r="AJ56" i="2"/>
  <c r="AI56" i="2"/>
  <c r="AH56" i="2"/>
  <c r="AG56" i="2"/>
  <c r="AF56" i="2"/>
  <c r="AE56" i="2"/>
  <c r="AD56" i="2"/>
  <c r="AC56" i="2"/>
  <c r="AB56" i="2"/>
  <c r="AA56" i="2"/>
  <c r="Y56" i="2"/>
  <c r="W56" i="2"/>
  <c r="V56" i="2"/>
  <c r="U56" i="2"/>
  <c r="X56" i="2" s="1"/>
  <c r="S56" i="2"/>
  <c r="R56" i="2"/>
  <c r="T56" i="2" s="1"/>
  <c r="O56" i="2"/>
  <c r="L56" i="2"/>
  <c r="I56" i="2"/>
  <c r="Q56" i="2" s="1"/>
  <c r="H56" i="2"/>
  <c r="G56" i="2"/>
  <c r="P56" i="2" s="1"/>
  <c r="F56" i="2"/>
  <c r="E56" i="2"/>
  <c r="AY55" i="2"/>
  <c r="AX55" i="2"/>
  <c r="AV55" i="2"/>
  <c r="AU55" i="2"/>
  <c r="AT55" i="2"/>
  <c r="AS55" i="2"/>
  <c r="AR55" i="2"/>
  <c r="AP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Y55" i="2"/>
  <c r="W55" i="2"/>
  <c r="V55" i="2"/>
  <c r="U55" i="2"/>
  <c r="S55" i="2"/>
  <c r="R55" i="2"/>
  <c r="O55" i="2"/>
  <c r="L55" i="2"/>
  <c r="I55" i="2"/>
  <c r="Q55" i="2" s="1"/>
  <c r="H55" i="2"/>
  <c r="G55" i="2"/>
  <c r="P55" i="2" s="1"/>
  <c r="F55" i="2"/>
  <c r="E55" i="2"/>
  <c r="AY54" i="2"/>
  <c r="AX54" i="2"/>
  <c r="AV54" i="2"/>
  <c r="AU54" i="2"/>
  <c r="AT54" i="2"/>
  <c r="AS54" i="2"/>
  <c r="AR54" i="2"/>
  <c r="AP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Y54" i="2"/>
  <c r="W54" i="2"/>
  <c r="V54" i="2"/>
  <c r="U54" i="2"/>
  <c r="S54" i="2"/>
  <c r="R54" i="2"/>
  <c r="O54" i="2"/>
  <c r="L54" i="2"/>
  <c r="I54" i="2"/>
  <c r="Q54" i="2" s="1"/>
  <c r="H54" i="2"/>
  <c r="G54" i="2"/>
  <c r="P54" i="2" s="1"/>
  <c r="F54" i="2"/>
  <c r="E54" i="2"/>
  <c r="AY53" i="2"/>
  <c r="AX53" i="2"/>
  <c r="AV53" i="2"/>
  <c r="AU53" i="2"/>
  <c r="AT53" i="2"/>
  <c r="AS53" i="2"/>
  <c r="AR53" i="2"/>
  <c r="AP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Y53" i="2"/>
  <c r="W53" i="2"/>
  <c r="V53" i="2"/>
  <c r="U53" i="2"/>
  <c r="S53" i="2"/>
  <c r="R53" i="2"/>
  <c r="O53" i="2"/>
  <c r="L53" i="2"/>
  <c r="I53" i="2"/>
  <c r="H53" i="2"/>
  <c r="G53" i="2"/>
  <c r="P53" i="2" s="1"/>
  <c r="F53" i="2"/>
  <c r="E53" i="2"/>
  <c r="AX51" i="2"/>
  <c r="AU51" i="2"/>
  <c r="AR51" i="2"/>
  <c r="AP51" i="2"/>
  <c r="AM51" i="2"/>
  <c r="AL51" i="2"/>
  <c r="AI51" i="2"/>
  <c r="AF51" i="2"/>
  <c r="AE51" i="2"/>
  <c r="AD51" i="2"/>
  <c r="AC51" i="2"/>
  <c r="AB51" i="2"/>
  <c r="AA51" i="2"/>
  <c r="Y51" i="2"/>
  <c r="W51" i="2"/>
  <c r="V51" i="2"/>
  <c r="U51" i="2"/>
  <c r="S51" i="2"/>
  <c r="R51" i="2"/>
  <c r="O51" i="2"/>
  <c r="L51" i="2"/>
  <c r="I51" i="2"/>
  <c r="Q51" i="2" s="1"/>
  <c r="H51" i="2"/>
  <c r="G51" i="2"/>
  <c r="P51" i="2" s="1"/>
  <c r="F51" i="2"/>
  <c r="E51" i="2"/>
  <c r="AY50" i="2"/>
  <c r="AX50" i="2"/>
  <c r="AV50" i="2"/>
  <c r="AU50" i="2"/>
  <c r="AT50" i="2"/>
  <c r="AS50" i="2"/>
  <c r="AR50" i="2"/>
  <c r="AP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Y50" i="2"/>
  <c r="W50" i="2"/>
  <c r="V50" i="2"/>
  <c r="U50" i="2"/>
  <c r="S50" i="2"/>
  <c r="R50" i="2"/>
  <c r="O50" i="2"/>
  <c r="L50" i="2"/>
  <c r="I50" i="2"/>
  <c r="Q50" i="2" s="1"/>
  <c r="H50" i="2"/>
  <c r="G50" i="2"/>
  <c r="P50" i="2" s="1"/>
  <c r="F50" i="2"/>
  <c r="E50" i="2"/>
  <c r="AY49" i="2"/>
  <c r="AX49" i="2"/>
  <c r="AZ49" i="2" s="1"/>
  <c r="AV49" i="2"/>
  <c r="AU49" i="2"/>
  <c r="AT49" i="2"/>
  <c r="AS49" i="2"/>
  <c r="AR49" i="2"/>
  <c r="AP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Y49" i="2"/>
  <c r="W49" i="2"/>
  <c r="V49" i="2"/>
  <c r="U49" i="2"/>
  <c r="S49" i="2"/>
  <c r="R49" i="2"/>
  <c r="O49" i="2"/>
  <c r="L49" i="2"/>
  <c r="I49" i="2"/>
  <c r="Q49" i="2" s="1"/>
  <c r="H49" i="2"/>
  <c r="G49" i="2"/>
  <c r="P49" i="2" s="1"/>
  <c r="F49" i="2"/>
  <c r="E49" i="2"/>
  <c r="AY48" i="2"/>
  <c r="AX48" i="2"/>
  <c r="AV48" i="2"/>
  <c r="AU48" i="2"/>
  <c r="AT48" i="2"/>
  <c r="AS48" i="2"/>
  <c r="AR48" i="2"/>
  <c r="AP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Y48" i="2"/>
  <c r="W48" i="2"/>
  <c r="V48" i="2"/>
  <c r="U48" i="2"/>
  <c r="R48" i="2"/>
  <c r="O48" i="2"/>
  <c r="L48" i="2"/>
  <c r="I48" i="2"/>
  <c r="Q48" i="2" s="1"/>
  <c r="H48" i="2"/>
  <c r="G48" i="2"/>
  <c r="P48" i="2" s="1"/>
  <c r="F48" i="2"/>
  <c r="E48" i="2"/>
  <c r="AY47" i="2"/>
  <c r="AX47" i="2"/>
  <c r="AV47" i="2"/>
  <c r="AU47" i="2"/>
  <c r="AT47" i="2"/>
  <c r="AS47" i="2"/>
  <c r="AR47" i="2"/>
  <c r="AP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Y47" i="2"/>
  <c r="W47" i="2"/>
  <c r="V47" i="2"/>
  <c r="U47" i="2"/>
  <c r="S47" i="2"/>
  <c r="R47" i="2"/>
  <c r="O47" i="2"/>
  <c r="L47" i="2"/>
  <c r="I47" i="2"/>
  <c r="Q47" i="2" s="1"/>
  <c r="H47" i="2"/>
  <c r="G47" i="2"/>
  <c r="P47" i="2" s="1"/>
  <c r="F47" i="2"/>
  <c r="E47" i="2"/>
  <c r="AY46" i="2"/>
  <c r="AX46" i="2"/>
  <c r="AV46" i="2"/>
  <c r="AU46" i="2"/>
  <c r="AT46" i="2"/>
  <c r="AS46" i="2"/>
  <c r="AR46" i="2"/>
  <c r="AP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Y46" i="2"/>
  <c r="W46" i="2"/>
  <c r="V46" i="2"/>
  <c r="U46" i="2"/>
  <c r="S46" i="2"/>
  <c r="R46" i="2"/>
  <c r="O46" i="2"/>
  <c r="L46" i="2"/>
  <c r="I46" i="2"/>
  <c r="Q46" i="2" s="1"/>
  <c r="H46" i="2"/>
  <c r="G46" i="2"/>
  <c r="P46" i="2" s="1"/>
  <c r="F46" i="2"/>
  <c r="E46" i="2"/>
  <c r="AY45" i="2"/>
  <c r="AX45" i="2"/>
  <c r="AV45" i="2"/>
  <c r="AU45" i="2"/>
  <c r="AT45" i="2"/>
  <c r="AS45" i="2"/>
  <c r="AR45" i="2"/>
  <c r="AP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Y45" i="2"/>
  <c r="W45" i="2"/>
  <c r="V45" i="2"/>
  <c r="U45" i="2"/>
  <c r="S45" i="2"/>
  <c r="R45" i="2"/>
  <c r="O45" i="2"/>
  <c r="L45" i="2"/>
  <c r="I45" i="2"/>
  <c r="Q45" i="2" s="1"/>
  <c r="H45" i="2"/>
  <c r="G45" i="2"/>
  <c r="P45" i="2" s="1"/>
  <c r="F45" i="2"/>
  <c r="E45" i="2"/>
  <c r="AY44" i="2"/>
  <c r="AX44" i="2"/>
  <c r="AZ44" i="2" s="1"/>
  <c r="AV44" i="2"/>
  <c r="AU44" i="2"/>
  <c r="AW44" i="2" s="1"/>
  <c r="AT44" i="2"/>
  <c r="AS44" i="2"/>
  <c r="AR44" i="2"/>
  <c r="AP44" i="2"/>
  <c r="AN44" i="2"/>
  <c r="AM44" i="2"/>
  <c r="AQ44" i="2" s="1"/>
  <c r="AL44" i="2"/>
  <c r="AK44" i="2"/>
  <c r="AJ44" i="2"/>
  <c r="AI44" i="2"/>
  <c r="AH44" i="2"/>
  <c r="AG44" i="2"/>
  <c r="AF44" i="2"/>
  <c r="AE44" i="2"/>
  <c r="AD44" i="2"/>
  <c r="AC44" i="2"/>
  <c r="AB44" i="2"/>
  <c r="AA44" i="2"/>
  <c r="Y44" i="2"/>
  <c r="W44" i="2"/>
  <c r="V44" i="2"/>
  <c r="Z44" i="2" s="1"/>
  <c r="U44" i="2"/>
  <c r="S44" i="2"/>
  <c r="R44" i="2"/>
  <c r="O44" i="2"/>
  <c r="L44" i="2"/>
  <c r="I44" i="2"/>
  <c r="Q44" i="2" s="1"/>
  <c r="H44" i="2"/>
  <c r="G44" i="2"/>
  <c r="P44" i="2" s="1"/>
  <c r="F44" i="2"/>
  <c r="E44" i="2"/>
  <c r="AY43" i="2"/>
  <c r="AX43" i="2"/>
  <c r="AZ43" i="2" s="1"/>
  <c r="AV43" i="2"/>
  <c r="AU43" i="2"/>
  <c r="AT43" i="2"/>
  <c r="AS43" i="2"/>
  <c r="AR43" i="2"/>
  <c r="AP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Y43" i="2"/>
  <c r="W43" i="2"/>
  <c r="V43" i="2"/>
  <c r="U43" i="2"/>
  <c r="S43" i="2"/>
  <c r="R43" i="2"/>
  <c r="O43" i="2"/>
  <c r="L43" i="2"/>
  <c r="I43" i="2"/>
  <c r="Q43" i="2" s="1"/>
  <c r="H43" i="2"/>
  <c r="G43" i="2"/>
  <c r="P43" i="2" s="1"/>
  <c r="F43" i="2"/>
  <c r="E43" i="2"/>
  <c r="AY42" i="2"/>
  <c r="AX42" i="2"/>
  <c r="AV42" i="2"/>
  <c r="AU42" i="2"/>
  <c r="AT42" i="2"/>
  <c r="AS42" i="2"/>
  <c r="AR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Y42" i="2"/>
  <c r="W42" i="2"/>
  <c r="V42" i="2"/>
  <c r="U42" i="2"/>
  <c r="S42" i="2"/>
  <c r="R42" i="2"/>
  <c r="O42" i="2"/>
  <c r="L42" i="2"/>
  <c r="I42" i="2"/>
  <c r="Q42" i="2" s="1"/>
  <c r="H42" i="2"/>
  <c r="G42" i="2"/>
  <c r="P42" i="2" s="1"/>
  <c r="F42" i="2"/>
  <c r="E42" i="2"/>
  <c r="AY41" i="2"/>
  <c r="AX41" i="2"/>
  <c r="AV41" i="2"/>
  <c r="AU41" i="2"/>
  <c r="AT41" i="2"/>
  <c r="AS41" i="2"/>
  <c r="AR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Y41" i="2"/>
  <c r="W41" i="2"/>
  <c r="V41" i="2"/>
  <c r="U41" i="2"/>
  <c r="S41" i="2"/>
  <c r="R41" i="2"/>
  <c r="O41" i="2"/>
  <c r="L41" i="2"/>
  <c r="I41" i="2"/>
  <c r="Q41" i="2" s="1"/>
  <c r="H41" i="2"/>
  <c r="G41" i="2"/>
  <c r="P41" i="2" s="1"/>
  <c r="F41" i="2"/>
  <c r="E41" i="2"/>
  <c r="AY40" i="2"/>
  <c r="AX40" i="2"/>
  <c r="AV40" i="2"/>
  <c r="AU40" i="2"/>
  <c r="AT40" i="2"/>
  <c r="AS40" i="2"/>
  <c r="AR40" i="2"/>
  <c r="AP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Y40" i="2"/>
  <c r="W40" i="2"/>
  <c r="V40" i="2"/>
  <c r="U40" i="2"/>
  <c r="S40" i="2"/>
  <c r="R40" i="2"/>
  <c r="O40" i="2"/>
  <c r="L40" i="2"/>
  <c r="I40" i="2"/>
  <c r="Q40" i="2" s="1"/>
  <c r="H40" i="2"/>
  <c r="G40" i="2"/>
  <c r="P40" i="2" s="1"/>
  <c r="F40" i="2"/>
  <c r="E40" i="2"/>
  <c r="AY39" i="2"/>
  <c r="AX39" i="2"/>
  <c r="AV39" i="2"/>
  <c r="AU39" i="2"/>
  <c r="AT39" i="2"/>
  <c r="AS39" i="2"/>
  <c r="AR39" i="2"/>
  <c r="AP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Y39" i="2"/>
  <c r="W39" i="2"/>
  <c r="V39" i="2"/>
  <c r="U39" i="2"/>
  <c r="S39" i="2"/>
  <c r="R39" i="2"/>
  <c r="O39" i="2"/>
  <c r="L39" i="2"/>
  <c r="I39" i="2"/>
  <c r="Q39" i="2" s="1"/>
  <c r="H39" i="2"/>
  <c r="G39" i="2"/>
  <c r="P39" i="2" s="1"/>
  <c r="F39" i="2"/>
  <c r="E39" i="2"/>
  <c r="AY38" i="2"/>
  <c r="AX38" i="2"/>
  <c r="AV38" i="2"/>
  <c r="AU38" i="2"/>
  <c r="AW38" i="2" s="1"/>
  <c r="AT38" i="2"/>
  <c r="AS38" i="2"/>
  <c r="AR38" i="2"/>
  <c r="AP38" i="2"/>
  <c r="AN38" i="2"/>
  <c r="AM38" i="2"/>
  <c r="AL38" i="2"/>
  <c r="AO38" i="2" s="1"/>
  <c r="AK38" i="2"/>
  <c r="AJ38" i="2"/>
  <c r="AI38" i="2"/>
  <c r="AH38" i="2"/>
  <c r="AG38" i="2"/>
  <c r="AF38" i="2"/>
  <c r="AE38" i="2"/>
  <c r="AD38" i="2"/>
  <c r="AC38" i="2"/>
  <c r="AB38" i="2"/>
  <c r="AA38" i="2"/>
  <c r="Y38" i="2"/>
  <c r="W38" i="2"/>
  <c r="V38" i="2"/>
  <c r="U38" i="2"/>
  <c r="X38" i="2" s="1"/>
  <c r="S38" i="2"/>
  <c r="R38" i="2"/>
  <c r="T38" i="2" s="1"/>
  <c r="O38" i="2"/>
  <c r="L38" i="2"/>
  <c r="I38" i="2"/>
  <c r="Q38" i="2" s="1"/>
  <c r="H38" i="2"/>
  <c r="G38" i="2"/>
  <c r="P38" i="2" s="1"/>
  <c r="F38" i="2"/>
  <c r="E38" i="2"/>
  <c r="AY37" i="2"/>
  <c r="AX37" i="2"/>
  <c r="AV37" i="2"/>
  <c r="AU37" i="2"/>
  <c r="AT37" i="2"/>
  <c r="AS37" i="2"/>
  <c r="AR37" i="2"/>
  <c r="AP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Y37" i="2"/>
  <c r="W37" i="2"/>
  <c r="V37" i="2"/>
  <c r="U37" i="2"/>
  <c r="S37" i="2"/>
  <c r="R37" i="2"/>
  <c r="O37" i="2"/>
  <c r="L37" i="2"/>
  <c r="I37" i="2"/>
  <c r="Q37" i="2" s="1"/>
  <c r="H37" i="2"/>
  <c r="G37" i="2"/>
  <c r="P37" i="2" s="1"/>
  <c r="F37" i="2"/>
  <c r="E37" i="2"/>
  <c r="AY36" i="2"/>
  <c r="AX36" i="2"/>
  <c r="AZ36" i="2" s="1"/>
  <c r="AV36" i="2"/>
  <c r="AU36" i="2"/>
  <c r="AW36" i="2" s="1"/>
  <c r="AT36" i="2"/>
  <c r="AS36" i="2"/>
  <c r="AR36" i="2"/>
  <c r="AP36" i="2"/>
  <c r="AN36" i="2"/>
  <c r="AM36" i="2"/>
  <c r="AQ36" i="2" s="1"/>
  <c r="AL36" i="2"/>
  <c r="AK36" i="2"/>
  <c r="AJ36" i="2"/>
  <c r="AI36" i="2"/>
  <c r="AH36" i="2"/>
  <c r="AG36" i="2"/>
  <c r="AF36" i="2"/>
  <c r="AE36" i="2"/>
  <c r="AD36" i="2"/>
  <c r="AC36" i="2"/>
  <c r="AB36" i="2"/>
  <c r="AA36" i="2"/>
  <c r="Y36" i="2"/>
  <c r="W36" i="2"/>
  <c r="V36" i="2"/>
  <c r="Z36" i="2" s="1"/>
  <c r="U36" i="2"/>
  <c r="S36" i="2"/>
  <c r="R36" i="2"/>
  <c r="O36" i="2"/>
  <c r="L36" i="2"/>
  <c r="I36" i="2"/>
  <c r="Q36" i="2" s="1"/>
  <c r="H36" i="2"/>
  <c r="G36" i="2"/>
  <c r="P36" i="2" s="1"/>
  <c r="F36" i="2"/>
  <c r="E36" i="2"/>
  <c r="AY35" i="2"/>
  <c r="AX35" i="2"/>
  <c r="AV35" i="2"/>
  <c r="AU35" i="2"/>
  <c r="AT35" i="2"/>
  <c r="AS35" i="2"/>
  <c r="AR35" i="2"/>
  <c r="AP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Y35" i="2"/>
  <c r="W35" i="2"/>
  <c r="V35" i="2"/>
  <c r="U35" i="2"/>
  <c r="S35" i="2"/>
  <c r="R35" i="2"/>
  <c r="O35" i="2"/>
  <c r="L35" i="2"/>
  <c r="I35" i="2"/>
  <c r="Q35" i="2" s="1"/>
  <c r="H35" i="2"/>
  <c r="G35" i="2"/>
  <c r="P35" i="2" s="1"/>
  <c r="F35" i="2"/>
  <c r="E35" i="2"/>
  <c r="AY34" i="2"/>
  <c r="AX34" i="2"/>
  <c r="AV34" i="2"/>
  <c r="AU34" i="2"/>
  <c r="AW34" i="2" s="1"/>
  <c r="AT34" i="2"/>
  <c r="AS34" i="2"/>
  <c r="AR34" i="2"/>
  <c r="AP34" i="2"/>
  <c r="AN34" i="2"/>
  <c r="AM34" i="2"/>
  <c r="AL34" i="2"/>
  <c r="AO34" i="2" s="1"/>
  <c r="AK34" i="2"/>
  <c r="AJ34" i="2"/>
  <c r="AI34" i="2"/>
  <c r="AH34" i="2"/>
  <c r="AG34" i="2"/>
  <c r="AF34" i="2"/>
  <c r="AE34" i="2"/>
  <c r="AD34" i="2"/>
  <c r="AC34" i="2"/>
  <c r="AB34" i="2"/>
  <c r="AA34" i="2"/>
  <c r="Y34" i="2"/>
  <c r="W34" i="2"/>
  <c r="V34" i="2"/>
  <c r="U34" i="2"/>
  <c r="X34" i="2" s="1"/>
  <c r="S34" i="2"/>
  <c r="R34" i="2"/>
  <c r="T34" i="2" s="1"/>
  <c r="O34" i="2"/>
  <c r="L34" i="2"/>
  <c r="I34" i="2"/>
  <c r="Q34" i="2" s="1"/>
  <c r="H34" i="2"/>
  <c r="G34" i="2"/>
  <c r="P34" i="2" s="1"/>
  <c r="F34" i="2"/>
  <c r="E34" i="2"/>
  <c r="AY33" i="2"/>
  <c r="AX33" i="2"/>
  <c r="AV33" i="2"/>
  <c r="AU33" i="2"/>
  <c r="AT33" i="2"/>
  <c r="AS33" i="2"/>
  <c r="AR33" i="2"/>
  <c r="AP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Y33" i="2"/>
  <c r="W33" i="2"/>
  <c r="V33" i="2"/>
  <c r="U33" i="2"/>
  <c r="S33" i="2"/>
  <c r="R33" i="2"/>
  <c r="O33" i="2"/>
  <c r="L33" i="2"/>
  <c r="I33" i="2"/>
  <c r="Q33" i="2" s="1"/>
  <c r="H33" i="2"/>
  <c r="G33" i="2"/>
  <c r="P33" i="2" s="1"/>
  <c r="F33" i="2"/>
  <c r="E33" i="2"/>
  <c r="AY32" i="2"/>
  <c r="AX32" i="2"/>
  <c r="AZ32" i="2" s="1"/>
  <c r="AV32" i="2"/>
  <c r="AU32" i="2"/>
  <c r="AT32" i="2"/>
  <c r="AS32" i="2"/>
  <c r="AR32" i="2"/>
  <c r="AP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Y32" i="2"/>
  <c r="W32" i="2"/>
  <c r="V32" i="2"/>
  <c r="U32" i="2"/>
  <c r="S32" i="2"/>
  <c r="R32" i="2"/>
  <c r="O32" i="2"/>
  <c r="L32" i="2"/>
  <c r="I32" i="2"/>
  <c r="H32" i="2"/>
  <c r="G32" i="2"/>
  <c r="P32" i="2" s="1"/>
  <c r="F32" i="2"/>
  <c r="E32" i="2"/>
  <c r="AY30" i="2"/>
  <c r="AX30" i="2"/>
  <c r="AV30" i="2"/>
  <c r="AU30" i="2"/>
  <c r="AT30" i="2"/>
  <c r="AS30" i="2"/>
  <c r="AR30" i="2"/>
  <c r="AP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Y30" i="2"/>
  <c r="W30" i="2"/>
  <c r="V30" i="2"/>
  <c r="U30" i="2"/>
  <c r="S30" i="2"/>
  <c r="R30" i="2"/>
  <c r="O30" i="2"/>
  <c r="L30" i="2"/>
  <c r="I30" i="2"/>
  <c r="Q30" i="2" s="1"/>
  <c r="H30" i="2"/>
  <c r="G30" i="2"/>
  <c r="P30" i="2" s="1"/>
  <c r="F30" i="2"/>
  <c r="E30" i="2"/>
  <c r="AY29" i="2"/>
  <c r="AX29" i="2"/>
  <c r="AV29" i="2"/>
  <c r="AU29" i="2"/>
  <c r="AT29" i="2"/>
  <c r="AS29" i="2"/>
  <c r="AR29" i="2"/>
  <c r="AP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Y29" i="2"/>
  <c r="W29" i="2"/>
  <c r="V29" i="2"/>
  <c r="U29" i="2"/>
  <c r="S29" i="2"/>
  <c r="R29" i="2"/>
  <c r="O29" i="2"/>
  <c r="L29" i="2"/>
  <c r="I29" i="2"/>
  <c r="Q29" i="2" s="1"/>
  <c r="H29" i="2"/>
  <c r="G29" i="2"/>
  <c r="P29" i="2" s="1"/>
  <c r="F29" i="2"/>
  <c r="E29" i="2"/>
  <c r="AY28" i="2"/>
  <c r="AX28" i="2"/>
  <c r="AV28" i="2"/>
  <c r="AU28" i="2"/>
  <c r="AT28" i="2"/>
  <c r="AS28" i="2"/>
  <c r="AR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Y28" i="2"/>
  <c r="W28" i="2"/>
  <c r="V28" i="2"/>
  <c r="U28" i="2"/>
  <c r="S28" i="2"/>
  <c r="R28" i="2"/>
  <c r="O28" i="2"/>
  <c r="L28" i="2"/>
  <c r="I28" i="2"/>
  <c r="Q28" i="2" s="1"/>
  <c r="H28" i="2"/>
  <c r="G28" i="2"/>
  <c r="P28" i="2" s="1"/>
  <c r="F28" i="2"/>
  <c r="E28" i="2"/>
  <c r="AY27" i="2"/>
  <c r="AX27" i="2"/>
  <c r="AV27" i="2"/>
  <c r="AU27" i="2"/>
  <c r="AT27" i="2"/>
  <c r="AS27" i="2"/>
  <c r="AR27" i="2"/>
  <c r="AP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Y27" i="2"/>
  <c r="W27" i="2"/>
  <c r="V27" i="2"/>
  <c r="U27" i="2"/>
  <c r="S27" i="2"/>
  <c r="R27" i="2"/>
  <c r="O27" i="2"/>
  <c r="L27" i="2"/>
  <c r="I27" i="2"/>
  <c r="Q27" i="2" s="1"/>
  <c r="H27" i="2"/>
  <c r="G27" i="2"/>
  <c r="P27" i="2" s="1"/>
  <c r="F27" i="2"/>
  <c r="E27" i="2"/>
  <c r="AY26" i="2"/>
  <c r="AX26" i="2"/>
  <c r="AV26" i="2"/>
  <c r="AU26" i="2"/>
  <c r="AT26" i="2"/>
  <c r="AS26" i="2"/>
  <c r="AR26" i="2"/>
  <c r="AP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Y26" i="2"/>
  <c r="W26" i="2"/>
  <c r="V26" i="2"/>
  <c r="U26" i="2"/>
  <c r="S26" i="2"/>
  <c r="R26" i="2"/>
  <c r="O26" i="2"/>
  <c r="L26" i="2"/>
  <c r="I26" i="2"/>
  <c r="Q26" i="2" s="1"/>
  <c r="H26" i="2"/>
  <c r="G26" i="2"/>
  <c r="P26" i="2" s="1"/>
  <c r="F26" i="2"/>
  <c r="E26" i="2"/>
  <c r="AY25" i="2"/>
  <c r="AX25" i="2"/>
  <c r="AZ25" i="2" s="1"/>
  <c r="AV25" i="2"/>
  <c r="AU25" i="2"/>
  <c r="AW25" i="2" s="1"/>
  <c r="AT25" i="2"/>
  <c r="AS25" i="2"/>
  <c r="AR25" i="2"/>
  <c r="AP25" i="2"/>
  <c r="AN25" i="2"/>
  <c r="AM25" i="2"/>
  <c r="AQ25" i="2" s="1"/>
  <c r="AL25" i="2"/>
  <c r="AK25" i="2"/>
  <c r="AJ25" i="2"/>
  <c r="AI25" i="2"/>
  <c r="AH25" i="2"/>
  <c r="AG25" i="2"/>
  <c r="AF25" i="2"/>
  <c r="AE25" i="2"/>
  <c r="AD25" i="2"/>
  <c r="AC25" i="2"/>
  <c r="AB25" i="2"/>
  <c r="AA25" i="2"/>
  <c r="Y25" i="2"/>
  <c r="W25" i="2"/>
  <c r="V25" i="2"/>
  <c r="Z25" i="2" s="1"/>
  <c r="U25" i="2"/>
  <c r="S25" i="2"/>
  <c r="R25" i="2"/>
  <c r="O25" i="2"/>
  <c r="L25" i="2"/>
  <c r="I25" i="2"/>
  <c r="Q25" i="2" s="1"/>
  <c r="H25" i="2"/>
  <c r="G25" i="2"/>
  <c r="P25" i="2" s="1"/>
  <c r="F25" i="2"/>
  <c r="E25" i="2"/>
  <c r="AY24" i="2"/>
  <c r="AX24" i="2"/>
  <c r="AV24" i="2"/>
  <c r="AU24" i="2"/>
  <c r="AT24" i="2"/>
  <c r="AS24" i="2"/>
  <c r="AR24" i="2"/>
  <c r="AP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Y24" i="2"/>
  <c r="W24" i="2"/>
  <c r="V24" i="2"/>
  <c r="U24" i="2"/>
  <c r="S24" i="2"/>
  <c r="R24" i="2"/>
  <c r="O24" i="2"/>
  <c r="L24" i="2"/>
  <c r="I24" i="2"/>
  <c r="Q24" i="2" s="1"/>
  <c r="H24" i="2"/>
  <c r="G24" i="2"/>
  <c r="P24" i="2" s="1"/>
  <c r="F24" i="2"/>
  <c r="E24" i="2"/>
  <c r="AY23" i="2"/>
  <c r="AX23" i="2"/>
  <c r="AV23" i="2"/>
  <c r="AU23" i="2"/>
  <c r="AT23" i="2"/>
  <c r="AS23" i="2"/>
  <c r="AR23" i="2"/>
  <c r="AP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Y23" i="2"/>
  <c r="W23" i="2"/>
  <c r="V23" i="2"/>
  <c r="U23" i="2"/>
  <c r="S23" i="2"/>
  <c r="R23" i="2"/>
  <c r="O23" i="2"/>
  <c r="L23" i="2"/>
  <c r="I23" i="2"/>
  <c r="Q23" i="2" s="1"/>
  <c r="H23" i="2"/>
  <c r="G23" i="2"/>
  <c r="P23" i="2" s="1"/>
  <c r="F23" i="2"/>
  <c r="E23" i="2"/>
  <c r="AY22" i="2"/>
  <c r="AX22" i="2"/>
  <c r="AV22" i="2"/>
  <c r="AU22" i="2"/>
  <c r="AT22" i="2"/>
  <c r="AS22" i="2"/>
  <c r="AR22" i="2"/>
  <c r="AP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Y22" i="2"/>
  <c r="W22" i="2"/>
  <c r="V22" i="2"/>
  <c r="U22" i="2"/>
  <c r="S22" i="2"/>
  <c r="R22" i="2"/>
  <c r="O22" i="2"/>
  <c r="L22" i="2"/>
  <c r="I22" i="2"/>
  <c r="Q22" i="2" s="1"/>
  <c r="H22" i="2"/>
  <c r="G22" i="2"/>
  <c r="P22" i="2" s="1"/>
  <c r="F22" i="2"/>
  <c r="E22" i="2"/>
  <c r="AY21" i="2"/>
  <c r="AX21" i="2"/>
  <c r="AV21" i="2"/>
  <c r="AU21" i="2"/>
  <c r="AT21" i="2"/>
  <c r="AS21" i="2"/>
  <c r="AR21" i="2"/>
  <c r="AP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Y21" i="2"/>
  <c r="W21" i="2"/>
  <c r="V21" i="2"/>
  <c r="U21" i="2"/>
  <c r="S21" i="2"/>
  <c r="R21" i="2"/>
  <c r="O21" i="2"/>
  <c r="L21" i="2"/>
  <c r="I21" i="2"/>
  <c r="Q21" i="2" s="1"/>
  <c r="H21" i="2"/>
  <c r="G21" i="2"/>
  <c r="P21" i="2" s="1"/>
  <c r="F21" i="2"/>
  <c r="E21" i="2"/>
  <c r="AY20" i="2"/>
  <c r="AX20" i="2"/>
  <c r="AV20" i="2"/>
  <c r="AU20" i="2"/>
  <c r="AT20" i="2"/>
  <c r="AS20" i="2"/>
  <c r="AR20" i="2"/>
  <c r="AP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Y20" i="2"/>
  <c r="W20" i="2"/>
  <c r="V20" i="2"/>
  <c r="U20" i="2"/>
  <c r="S20" i="2"/>
  <c r="R20" i="2"/>
  <c r="O20" i="2"/>
  <c r="L20" i="2"/>
  <c r="I20" i="2"/>
  <c r="Q20" i="2" s="1"/>
  <c r="H20" i="2"/>
  <c r="G20" i="2"/>
  <c r="P20" i="2" s="1"/>
  <c r="F20" i="2"/>
  <c r="E20" i="2"/>
  <c r="AY19" i="2"/>
  <c r="AX19" i="2"/>
  <c r="AZ19" i="2" s="1"/>
  <c r="AV19" i="2"/>
  <c r="AU19" i="2"/>
  <c r="AW19" i="2" s="1"/>
  <c r="AT19" i="2"/>
  <c r="AS19" i="2"/>
  <c r="AR19" i="2"/>
  <c r="AP19" i="2"/>
  <c r="AN19" i="2"/>
  <c r="AM19" i="2"/>
  <c r="AQ19" i="2" s="1"/>
  <c r="AL19" i="2"/>
  <c r="AK19" i="2"/>
  <c r="AJ19" i="2"/>
  <c r="AI19" i="2"/>
  <c r="AH19" i="2"/>
  <c r="AG19" i="2"/>
  <c r="AF19" i="2"/>
  <c r="AE19" i="2"/>
  <c r="AD19" i="2"/>
  <c r="AC19" i="2"/>
  <c r="AB19" i="2"/>
  <c r="AA19" i="2"/>
  <c r="Y19" i="2"/>
  <c r="W19" i="2"/>
  <c r="V19" i="2"/>
  <c r="Z19" i="2" s="1"/>
  <c r="U19" i="2"/>
  <c r="S19" i="2"/>
  <c r="R19" i="2"/>
  <c r="O19" i="2"/>
  <c r="L19" i="2"/>
  <c r="I19" i="2"/>
  <c r="Q19" i="2" s="1"/>
  <c r="H19" i="2"/>
  <c r="G19" i="2"/>
  <c r="P19" i="2" s="1"/>
  <c r="F19" i="2"/>
  <c r="E19" i="2"/>
  <c r="AY18" i="2"/>
  <c r="AX18" i="2"/>
  <c r="AV18" i="2"/>
  <c r="AU18" i="2"/>
  <c r="AT18" i="2"/>
  <c r="AS18" i="2"/>
  <c r="AR18" i="2"/>
  <c r="AP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Y18" i="2"/>
  <c r="W18" i="2"/>
  <c r="V18" i="2"/>
  <c r="U18" i="2"/>
  <c r="S18" i="2"/>
  <c r="R18" i="2"/>
  <c r="O18" i="2"/>
  <c r="L18" i="2"/>
  <c r="I18" i="2"/>
  <c r="Q18" i="2" s="1"/>
  <c r="H18" i="2"/>
  <c r="G18" i="2"/>
  <c r="P18" i="2" s="1"/>
  <c r="F18" i="2"/>
  <c r="E18" i="2"/>
  <c r="AY17" i="2"/>
  <c r="AX17" i="2"/>
  <c r="AV17" i="2"/>
  <c r="AU17" i="2"/>
  <c r="AW17" i="2" s="1"/>
  <c r="AT17" i="2"/>
  <c r="AS17" i="2"/>
  <c r="AR17" i="2"/>
  <c r="AP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Y17" i="2"/>
  <c r="W17" i="2"/>
  <c r="V17" i="2"/>
  <c r="U17" i="2"/>
  <c r="S17" i="2"/>
  <c r="R17" i="2"/>
  <c r="O17" i="2"/>
  <c r="L17" i="2"/>
  <c r="I17" i="2"/>
  <c r="Q17" i="2" s="1"/>
  <c r="H17" i="2"/>
  <c r="G17" i="2"/>
  <c r="P17" i="2" s="1"/>
  <c r="F17" i="2"/>
  <c r="E17" i="2"/>
  <c r="AY16" i="2"/>
  <c r="AX16" i="2"/>
  <c r="AV16" i="2"/>
  <c r="AU16" i="2"/>
  <c r="AT16" i="2"/>
  <c r="AS16" i="2"/>
  <c r="AR16" i="2"/>
  <c r="AP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Y16" i="2"/>
  <c r="W16" i="2"/>
  <c r="V16" i="2"/>
  <c r="U16" i="2"/>
  <c r="S16" i="2"/>
  <c r="R16" i="2"/>
  <c r="O16" i="2"/>
  <c r="L16" i="2"/>
  <c r="I16" i="2"/>
  <c r="Q16" i="2" s="1"/>
  <c r="H16" i="2"/>
  <c r="G16" i="2"/>
  <c r="P16" i="2" s="1"/>
  <c r="F16" i="2"/>
  <c r="E16" i="2"/>
  <c r="AY15" i="2"/>
  <c r="AX15" i="2"/>
  <c r="AV15" i="2"/>
  <c r="AU15" i="2"/>
  <c r="AT15" i="2"/>
  <c r="AS15" i="2"/>
  <c r="AR15" i="2"/>
  <c r="AP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Y15" i="2"/>
  <c r="W15" i="2"/>
  <c r="V15" i="2"/>
  <c r="U15" i="2"/>
  <c r="S15" i="2"/>
  <c r="R15" i="2"/>
  <c r="O15" i="2"/>
  <c r="L15" i="2"/>
  <c r="I15" i="2"/>
  <c r="Q15" i="2" s="1"/>
  <c r="H15" i="2"/>
  <c r="G15" i="2"/>
  <c r="P15" i="2" s="1"/>
  <c r="F15" i="2"/>
  <c r="E15" i="2"/>
  <c r="AY14" i="2"/>
  <c r="AX14" i="2"/>
  <c r="AV14" i="2"/>
  <c r="AU14" i="2"/>
  <c r="AT14" i="2"/>
  <c r="AS14" i="2"/>
  <c r="AR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Y14" i="2"/>
  <c r="W14" i="2"/>
  <c r="V14" i="2"/>
  <c r="U14" i="2"/>
  <c r="S14" i="2"/>
  <c r="R14" i="2"/>
  <c r="O14" i="2"/>
  <c r="L14" i="2"/>
  <c r="I14" i="2"/>
  <c r="Q14" i="2" s="1"/>
  <c r="H14" i="2"/>
  <c r="G14" i="2"/>
  <c r="P14" i="2" s="1"/>
  <c r="F14" i="2"/>
  <c r="E14" i="2"/>
  <c r="AZ12" i="2"/>
  <c r="AW12" i="2"/>
  <c r="AQ12" i="2"/>
  <c r="AO12" i="2"/>
  <c r="Z12" i="2"/>
  <c r="X12" i="2"/>
  <c r="T12" i="2"/>
  <c r="Q12" i="2"/>
  <c r="N12" i="2"/>
  <c r="M12" i="2"/>
  <c r="J12" i="2"/>
  <c r="C12" i="2"/>
  <c r="K12" i="2" s="1"/>
  <c r="AZ11" i="2"/>
  <c r="AW11" i="2"/>
  <c r="AQ11" i="2"/>
  <c r="AO11" i="2"/>
  <c r="Z11" i="2"/>
  <c r="X11" i="2"/>
  <c r="T11" i="2"/>
  <c r="AZ10" i="2"/>
  <c r="AW10" i="2"/>
  <c r="AQ10" i="2"/>
  <c r="AO10" i="2"/>
  <c r="Z10" i="2"/>
  <c r="X10" i="2"/>
  <c r="T10" i="2"/>
  <c r="AY9" i="2"/>
  <c r="AX9" i="2"/>
  <c r="AZ9" i="2" s="1"/>
  <c r="AW9" i="2"/>
  <c r="AV9" i="2"/>
  <c r="AU9" i="2"/>
  <c r="AT9" i="2"/>
  <c r="AS9" i="2"/>
  <c r="AR9" i="2"/>
  <c r="AP9" i="2"/>
  <c r="AN9" i="2"/>
  <c r="AM9" i="2"/>
  <c r="AQ9" i="2" s="1"/>
  <c r="AL9" i="2"/>
  <c r="AO9" i="2" s="1"/>
  <c r="AK9" i="2"/>
  <c r="AJ9" i="2"/>
  <c r="AI9" i="2"/>
  <c r="AH9" i="2"/>
  <c r="AG9" i="2"/>
  <c r="AF9" i="2"/>
  <c r="AE9" i="2"/>
  <c r="AD9" i="2"/>
  <c r="AC9" i="2"/>
  <c r="AB9" i="2"/>
  <c r="AA9" i="2"/>
  <c r="Y9" i="2"/>
  <c r="W9" i="2"/>
  <c r="V9" i="2"/>
  <c r="Z9" i="2" s="1"/>
  <c r="U9" i="2"/>
  <c r="X9" i="2" s="1"/>
  <c r="T9" i="2"/>
  <c r="S9" i="2"/>
  <c r="R9" i="2"/>
  <c r="O116" i="1"/>
  <c r="L116" i="1"/>
  <c r="I116" i="1"/>
  <c r="Q116" i="1" s="1"/>
  <c r="H116" i="1"/>
  <c r="G116" i="1"/>
  <c r="P116" i="1" s="1"/>
  <c r="F116" i="1"/>
  <c r="E116" i="1"/>
  <c r="O115" i="1"/>
  <c r="L115" i="1"/>
  <c r="I115" i="1"/>
  <c r="Q115" i="1" s="1"/>
  <c r="H115" i="1"/>
  <c r="N115" i="1" s="1"/>
  <c r="G115" i="1"/>
  <c r="P115" i="1" s="1"/>
  <c r="F115" i="1"/>
  <c r="E115" i="1"/>
  <c r="O114" i="1"/>
  <c r="L114" i="1"/>
  <c r="I114" i="1"/>
  <c r="Q114" i="1" s="1"/>
  <c r="H114" i="1"/>
  <c r="N114" i="1" s="1"/>
  <c r="G114" i="1"/>
  <c r="P114" i="1" s="1"/>
  <c r="F114" i="1"/>
  <c r="E114" i="1"/>
  <c r="O113" i="1"/>
  <c r="L113" i="1"/>
  <c r="I113" i="1"/>
  <c r="Q113" i="1" s="1"/>
  <c r="H113" i="1"/>
  <c r="N113" i="1" s="1"/>
  <c r="G113" i="1"/>
  <c r="P113" i="1" s="1"/>
  <c r="F113" i="1"/>
  <c r="E113" i="1"/>
  <c r="O112" i="1"/>
  <c r="L112" i="1"/>
  <c r="I112" i="1"/>
  <c r="Q112" i="1" s="1"/>
  <c r="H112" i="1"/>
  <c r="N112" i="1" s="1"/>
  <c r="G112" i="1"/>
  <c r="P112" i="1" s="1"/>
  <c r="F112" i="1"/>
  <c r="E112" i="1"/>
  <c r="O111" i="1"/>
  <c r="L111" i="1"/>
  <c r="I111" i="1"/>
  <c r="Q111" i="1" s="1"/>
  <c r="H111" i="1"/>
  <c r="N111" i="1" s="1"/>
  <c r="G111" i="1"/>
  <c r="P111" i="1" s="1"/>
  <c r="F111" i="1"/>
  <c r="E111" i="1"/>
  <c r="O110" i="1"/>
  <c r="L110" i="1"/>
  <c r="I110" i="1"/>
  <c r="Q110" i="1" s="1"/>
  <c r="H110" i="1"/>
  <c r="N110" i="1" s="1"/>
  <c r="G110" i="1"/>
  <c r="P110" i="1" s="1"/>
  <c r="F110" i="1"/>
  <c r="E110" i="1"/>
  <c r="O109" i="1"/>
  <c r="L109" i="1"/>
  <c r="I109" i="1"/>
  <c r="Q109" i="1" s="1"/>
  <c r="H109" i="1"/>
  <c r="G109" i="1"/>
  <c r="P109" i="1" s="1"/>
  <c r="F109" i="1"/>
  <c r="E109" i="1"/>
  <c r="O108" i="1"/>
  <c r="L108" i="1"/>
  <c r="I108" i="1"/>
  <c r="Q108" i="1" s="1"/>
  <c r="H108" i="1"/>
  <c r="N108" i="1" s="1"/>
  <c r="G108" i="1"/>
  <c r="P108" i="1" s="1"/>
  <c r="F108" i="1"/>
  <c r="E108" i="1"/>
  <c r="O107" i="1"/>
  <c r="L107" i="1"/>
  <c r="I107" i="1"/>
  <c r="Q107" i="1" s="1"/>
  <c r="H107" i="1"/>
  <c r="N107" i="1" s="1"/>
  <c r="G107" i="1"/>
  <c r="P107" i="1" s="1"/>
  <c r="F107" i="1"/>
  <c r="E107" i="1"/>
  <c r="O106" i="1"/>
  <c r="L106" i="1"/>
  <c r="I106" i="1"/>
  <c r="Q106" i="1" s="1"/>
  <c r="H106" i="1"/>
  <c r="N106" i="1" s="1"/>
  <c r="G106" i="1"/>
  <c r="P106" i="1" s="1"/>
  <c r="F106" i="1"/>
  <c r="E106" i="1"/>
  <c r="O105" i="1"/>
  <c r="L105" i="1"/>
  <c r="I105" i="1"/>
  <c r="Q105" i="1" s="1"/>
  <c r="H105" i="1"/>
  <c r="N105" i="1" s="1"/>
  <c r="G105" i="1"/>
  <c r="P105" i="1" s="1"/>
  <c r="F105" i="1"/>
  <c r="E105" i="1"/>
  <c r="O104" i="1"/>
  <c r="O11" i="1" s="1"/>
  <c r="L104" i="1"/>
  <c r="I104" i="1"/>
  <c r="Q104" i="1" s="1"/>
  <c r="H104" i="1"/>
  <c r="H11" i="1" s="1"/>
  <c r="G104" i="1"/>
  <c r="P104" i="1" s="1"/>
  <c r="F104" i="1"/>
  <c r="F11" i="1" s="1"/>
  <c r="E104" i="1"/>
  <c r="E11" i="1" s="1"/>
  <c r="O103" i="1"/>
  <c r="L103" i="1"/>
  <c r="I103" i="1"/>
  <c r="Q103" i="1" s="1"/>
  <c r="H103" i="1"/>
  <c r="N103" i="1" s="1"/>
  <c r="G103" i="1"/>
  <c r="P103" i="1" s="1"/>
  <c r="F103" i="1"/>
  <c r="E103" i="1"/>
  <c r="O102" i="1"/>
  <c r="L102" i="1"/>
  <c r="I102" i="1"/>
  <c r="Q102" i="1" s="1"/>
  <c r="H102" i="1"/>
  <c r="N102" i="1" s="1"/>
  <c r="G102" i="1"/>
  <c r="P102" i="1" s="1"/>
  <c r="F102" i="1"/>
  <c r="E102" i="1"/>
  <c r="O101" i="1"/>
  <c r="L101" i="1"/>
  <c r="I101" i="1"/>
  <c r="Q101" i="1" s="1"/>
  <c r="H101" i="1"/>
  <c r="N101" i="1" s="1"/>
  <c r="G101" i="1"/>
  <c r="P101" i="1" s="1"/>
  <c r="F101" i="1"/>
  <c r="E101" i="1"/>
  <c r="O100" i="1"/>
  <c r="L100" i="1"/>
  <c r="I100" i="1"/>
  <c r="Q100" i="1" s="1"/>
  <c r="H100" i="1"/>
  <c r="N100" i="1" s="1"/>
  <c r="G100" i="1"/>
  <c r="P100" i="1" s="1"/>
  <c r="F100" i="1"/>
  <c r="E100" i="1"/>
  <c r="O99" i="1"/>
  <c r="L99" i="1"/>
  <c r="I99" i="1"/>
  <c r="Q99" i="1" s="1"/>
  <c r="H99" i="1"/>
  <c r="N99" i="1" s="1"/>
  <c r="G99" i="1"/>
  <c r="P99" i="1" s="1"/>
  <c r="F99" i="1"/>
  <c r="E99" i="1"/>
  <c r="O98" i="1"/>
  <c r="L98" i="1"/>
  <c r="I98" i="1"/>
  <c r="Q98" i="1" s="1"/>
  <c r="H98" i="1"/>
  <c r="N98" i="1" s="1"/>
  <c r="G98" i="1"/>
  <c r="P98" i="1" s="1"/>
  <c r="F98" i="1"/>
  <c r="E98" i="1"/>
  <c r="O97" i="1"/>
  <c r="L97" i="1"/>
  <c r="I97" i="1"/>
  <c r="Q97" i="1" s="1"/>
  <c r="H97" i="1"/>
  <c r="N97" i="1" s="1"/>
  <c r="G97" i="1"/>
  <c r="P97" i="1" s="1"/>
  <c r="F97" i="1"/>
  <c r="E97" i="1"/>
  <c r="O96" i="1"/>
  <c r="L96" i="1"/>
  <c r="I96" i="1"/>
  <c r="Q96" i="1" s="1"/>
  <c r="H96" i="1"/>
  <c r="G96" i="1"/>
  <c r="P96" i="1" s="1"/>
  <c r="F96" i="1"/>
  <c r="E96" i="1"/>
  <c r="O95" i="1"/>
  <c r="L95" i="1"/>
  <c r="I95" i="1"/>
  <c r="Q95" i="1" s="1"/>
  <c r="H95" i="1"/>
  <c r="N95" i="1" s="1"/>
  <c r="G95" i="1"/>
  <c r="P95" i="1" s="1"/>
  <c r="F95" i="1"/>
  <c r="E95" i="1"/>
  <c r="O94" i="1"/>
  <c r="L94" i="1"/>
  <c r="I94" i="1"/>
  <c r="Q94" i="1" s="1"/>
  <c r="H94" i="1"/>
  <c r="N94" i="1" s="1"/>
  <c r="G94" i="1"/>
  <c r="P94" i="1" s="1"/>
  <c r="F94" i="1"/>
  <c r="E94" i="1"/>
  <c r="O93" i="1"/>
  <c r="L93" i="1"/>
  <c r="I93" i="1"/>
  <c r="Q93" i="1" s="1"/>
  <c r="H93" i="1"/>
  <c r="G93" i="1"/>
  <c r="P93" i="1" s="1"/>
  <c r="F93" i="1"/>
  <c r="E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O92" i="1"/>
  <c r="L92" i="1"/>
  <c r="I92" i="1"/>
  <c r="Q92" i="1" s="1"/>
  <c r="H92" i="1"/>
  <c r="G92" i="1"/>
  <c r="P92" i="1" s="1"/>
  <c r="F92" i="1"/>
  <c r="E92" i="1"/>
  <c r="O91" i="1"/>
  <c r="L91" i="1"/>
  <c r="I91" i="1"/>
  <c r="Q91" i="1" s="1"/>
  <c r="H91" i="1"/>
  <c r="N91" i="1" s="1"/>
  <c r="G91" i="1"/>
  <c r="P91" i="1" s="1"/>
  <c r="F91" i="1"/>
  <c r="E91" i="1"/>
  <c r="O90" i="1"/>
  <c r="L90" i="1"/>
  <c r="I90" i="1"/>
  <c r="H90" i="1"/>
  <c r="G90" i="1"/>
  <c r="F90" i="1"/>
  <c r="E90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O88" i="1"/>
  <c r="L88" i="1"/>
  <c r="I88" i="1"/>
  <c r="Q88" i="1" s="1"/>
  <c r="H88" i="1"/>
  <c r="G88" i="1"/>
  <c r="P88" i="1" s="1"/>
  <c r="F88" i="1"/>
  <c r="E88" i="1"/>
  <c r="AK87" i="1"/>
  <c r="AJ87" i="1"/>
  <c r="AL87" i="1" s="1"/>
  <c r="AI87" i="1"/>
  <c r="AH87" i="1"/>
  <c r="AG87" i="1"/>
  <c r="AF87" i="1"/>
  <c r="AE87" i="1"/>
  <c r="AD87" i="1"/>
  <c r="AC87" i="1"/>
  <c r="AB87" i="1"/>
  <c r="AA87" i="1"/>
  <c r="Z87" i="1"/>
  <c r="Y87" i="1"/>
  <c r="X87" i="1"/>
  <c r="O87" i="1"/>
  <c r="L87" i="1"/>
  <c r="I87" i="1"/>
  <c r="Q87" i="1" s="1"/>
  <c r="H87" i="1"/>
  <c r="N87" i="1" s="1"/>
  <c r="G87" i="1"/>
  <c r="P87" i="1" s="1"/>
  <c r="F87" i="1"/>
  <c r="E87" i="1"/>
  <c r="AK86" i="1"/>
  <c r="AJ86" i="1"/>
  <c r="AL86" i="1" s="1"/>
  <c r="AI86" i="1"/>
  <c r="AH86" i="1"/>
  <c r="AG86" i="1"/>
  <c r="AF86" i="1"/>
  <c r="AE86" i="1"/>
  <c r="AD86" i="1"/>
  <c r="AC86" i="1"/>
  <c r="AB86" i="1"/>
  <c r="AA86" i="1"/>
  <c r="Z86" i="1"/>
  <c r="Y86" i="1"/>
  <c r="X86" i="1"/>
  <c r="O86" i="1"/>
  <c r="L86" i="1"/>
  <c r="I86" i="1"/>
  <c r="Q86" i="1" s="1"/>
  <c r="H86" i="1"/>
  <c r="N86" i="1" s="1"/>
  <c r="G86" i="1"/>
  <c r="P86" i="1" s="1"/>
  <c r="F86" i="1"/>
  <c r="E86" i="1"/>
  <c r="AK85" i="1"/>
  <c r="AJ85" i="1"/>
  <c r="AL85" i="1" s="1"/>
  <c r="AI85" i="1"/>
  <c r="AH85" i="1"/>
  <c r="AG85" i="1"/>
  <c r="AF85" i="1"/>
  <c r="AE85" i="1"/>
  <c r="AD85" i="1"/>
  <c r="AC85" i="1"/>
  <c r="AB85" i="1"/>
  <c r="AA85" i="1"/>
  <c r="Z85" i="1"/>
  <c r="Y85" i="1"/>
  <c r="X85" i="1"/>
  <c r="O85" i="1"/>
  <c r="L85" i="1"/>
  <c r="I85" i="1"/>
  <c r="Q85" i="1" s="1"/>
  <c r="H85" i="1"/>
  <c r="N85" i="1" s="1"/>
  <c r="G85" i="1"/>
  <c r="P85" i="1" s="1"/>
  <c r="F85" i="1"/>
  <c r="E85" i="1"/>
  <c r="AK84" i="1"/>
  <c r="AJ84" i="1"/>
  <c r="AL84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O84" i="1"/>
  <c r="L84" i="1"/>
  <c r="I84" i="1"/>
  <c r="Q84" i="1" s="1"/>
  <c r="H84" i="1"/>
  <c r="N84" i="1" s="1"/>
  <c r="G84" i="1"/>
  <c r="P84" i="1" s="1"/>
  <c r="F84" i="1"/>
  <c r="E84" i="1"/>
  <c r="AK83" i="1"/>
  <c r="AJ83" i="1"/>
  <c r="AL83" i="1" s="1"/>
  <c r="AI83" i="1"/>
  <c r="AH83" i="1"/>
  <c r="AG83" i="1"/>
  <c r="AF83" i="1"/>
  <c r="AE83" i="1"/>
  <c r="AD83" i="1"/>
  <c r="AC83" i="1"/>
  <c r="AB83" i="1"/>
  <c r="AA83" i="1"/>
  <c r="Z83" i="1"/>
  <c r="Y83" i="1"/>
  <c r="X83" i="1"/>
  <c r="O83" i="1"/>
  <c r="L83" i="1"/>
  <c r="I83" i="1"/>
  <c r="Q83" i="1" s="1"/>
  <c r="H83" i="1"/>
  <c r="N83" i="1" s="1"/>
  <c r="G83" i="1"/>
  <c r="P83" i="1" s="1"/>
  <c r="F83" i="1"/>
  <c r="E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O82" i="1"/>
  <c r="L82" i="1"/>
  <c r="I82" i="1"/>
  <c r="Q82" i="1" s="1"/>
  <c r="H82" i="1"/>
  <c r="G82" i="1"/>
  <c r="P82" i="1" s="1"/>
  <c r="F82" i="1"/>
  <c r="E82" i="1"/>
  <c r="AK81" i="1"/>
  <c r="AJ81" i="1"/>
  <c r="AL81" i="1" s="1"/>
  <c r="AI81" i="1"/>
  <c r="AH81" i="1"/>
  <c r="AG81" i="1"/>
  <c r="AF81" i="1"/>
  <c r="AE81" i="1"/>
  <c r="AD81" i="1"/>
  <c r="AC81" i="1"/>
  <c r="AB81" i="1"/>
  <c r="AA81" i="1"/>
  <c r="Z81" i="1"/>
  <c r="Y81" i="1"/>
  <c r="X81" i="1"/>
  <c r="O81" i="1"/>
  <c r="L81" i="1"/>
  <c r="I81" i="1"/>
  <c r="Q81" i="1" s="1"/>
  <c r="H81" i="1"/>
  <c r="N81" i="1" s="1"/>
  <c r="G81" i="1"/>
  <c r="P81" i="1" s="1"/>
  <c r="F81" i="1"/>
  <c r="E81" i="1"/>
  <c r="AK80" i="1"/>
  <c r="AJ80" i="1"/>
  <c r="AL80" i="1" s="1"/>
  <c r="AI80" i="1"/>
  <c r="AH80" i="1"/>
  <c r="AG80" i="1"/>
  <c r="AF80" i="1"/>
  <c r="AE80" i="1"/>
  <c r="AD80" i="1"/>
  <c r="AC80" i="1"/>
  <c r="AB80" i="1"/>
  <c r="AA80" i="1"/>
  <c r="Z80" i="1"/>
  <c r="Y80" i="1"/>
  <c r="X80" i="1"/>
  <c r="O80" i="1"/>
  <c r="L80" i="1"/>
  <c r="I80" i="1"/>
  <c r="Q80" i="1" s="1"/>
  <c r="H80" i="1"/>
  <c r="N80" i="1" s="1"/>
  <c r="G80" i="1"/>
  <c r="P80" i="1" s="1"/>
  <c r="F80" i="1"/>
  <c r="E80" i="1"/>
  <c r="AK79" i="1"/>
  <c r="AJ79" i="1"/>
  <c r="AL79" i="1" s="1"/>
  <c r="AI79" i="1"/>
  <c r="AH79" i="1"/>
  <c r="AG79" i="1"/>
  <c r="AF79" i="1"/>
  <c r="AE79" i="1"/>
  <c r="AD79" i="1"/>
  <c r="AC79" i="1"/>
  <c r="AB79" i="1"/>
  <c r="AA79" i="1"/>
  <c r="Z79" i="1"/>
  <c r="Y79" i="1"/>
  <c r="X79" i="1"/>
  <c r="O79" i="1"/>
  <c r="L79" i="1"/>
  <c r="I79" i="1"/>
  <c r="Q79" i="1" s="1"/>
  <c r="H79" i="1"/>
  <c r="N79" i="1" s="1"/>
  <c r="G79" i="1"/>
  <c r="P79" i="1" s="1"/>
  <c r="F79" i="1"/>
  <c r="E79" i="1"/>
  <c r="AK78" i="1"/>
  <c r="AJ78" i="1"/>
  <c r="AL78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O78" i="1"/>
  <c r="L78" i="1"/>
  <c r="I78" i="1"/>
  <c r="Q78" i="1" s="1"/>
  <c r="H78" i="1"/>
  <c r="N78" i="1" s="1"/>
  <c r="G78" i="1"/>
  <c r="P78" i="1" s="1"/>
  <c r="F78" i="1"/>
  <c r="E78" i="1"/>
  <c r="AK77" i="1"/>
  <c r="AJ77" i="1"/>
  <c r="AL77" i="1" s="1"/>
  <c r="AI77" i="1"/>
  <c r="AH77" i="1"/>
  <c r="AG77" i="1"/>
  <c r="AF77" i="1"/>
  <c r="AE77" i="1"/>
  <c r="AD77" i="1"/>
  <c r="AC77" i="1"/>
  <c r="AB77" i="1"/>
  <c r="AA77" i="1"/>
  <c r="Z77" i="1"/>
  <c r="Y77" i="1"/>
  <c r="X77" i="1"/>
  <c r="O77" i="1"/>
  <c r="L77" i="1"/>
  <c r="I77" i="1"/>
  <c r="Q77" i="1" s="1"/>
  <c r="H77" i="1"/>
  <c r="N77" i="1" s="1"/>
  <c r="G77" i="1"/>
  <c r="P77" i="1" s="1"/>
  <c r="F77" i="1"/>
  <c r="E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O76" i="1"/>
  <c r="L76" i="1"/>
  <c r="I76" i="1"/>
  <c r="Q76" i="1" s="1"/>
  <c r="H76" i="1"/>
  <c r="G76" i="1"/>
  <c r="P76" i="1" s="1"/>
  <c r="F76" i="1"/>
  <c r="E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O75" i="1"/>
  <c r="L75" i="1"/>
  <c r="I75" i="1"/>
  <c r="Q75" i="1" s="1"/>
  <c r="H75" i="1"/>
  <c r="G75" i="1"/>
  <c r="P75" i="1" s="1"/>
  <c r="F75" i="1"/>
  <c r="E75" i="1"/>
  <c r="AK73" i="1"/>
  <c r="AJ73" i="1"/>
  <c r="AL73" i="1" s="1"/>
  <c r="AI73" i="1"/>
  <c r="AH73" i="1"/>
  <c r="AG73" i="1"/>
  <c r="AF73" i="1"/>
  <c r="AE73" i="1"/>
  <c r="AD73" i="1"/>
  <c r="AC73" i="1"/>
  <c r="AB73" i="1"/>
  <c r="AA73" i="1"/>
  <c r="Z73" i="1"/>
  <c r="Y73" i="1"/>
  <c r="X73" i="1"/>
  <c r="O73" i="1"/>
  <c r="L73" i="1"/>
  <c r="I73" i="1"/>
  <c r="Q73" i="1" s="1"/>
  <c r="H73" i="1"/>
  <c r="N73" i="1" s="1"/>
  <c r="G73" i="1"/>
  <c r="P73" i="1" s="1"/>
  <c r="F73" i="1"/>
  <c r="E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O72" i="1"/>
  <c r="L72" i="1"/>
  <c r="I72" i="1"/>
  <c r="Q72" i="1" s="1"/>
  <c r="H72" i="1"/>
  <c r="G72" i="1"/>
  <c r="P72" i="1" s="1"/>
  <c r="F72" i="1"/>
  <c r="E72" i="1"/>
  <c r="AK71" i="1"/>
  <c r="AJ71" i="1"/>
  <c r="AL71" i="1" s="1"/>
  <c r="AI71" i="1"/>
  <c r="AH71" i="1"/>
  <c r="AG71" i="1"/>
  <c r="AF71" i="1"/>
  <c r="AE71" i="1"/>
  <c r="AD71" i="1"/>
  <c r="AC71" i="1"/>
  <c r="AB71" i="1"/>
  <c r="AA71" i="1"/>
  <c r="Z71" i="1"/>
  <c r="Y71" i="1"/>
  <c r="X71" i="1"/>
  <c r="O71" i="1"/>
  <c r="L71" i="1"/>
  <c r="I71" i="1"/>
  <c r="Q71" i="1" s="1"/>
  <c r="H71" i="1"/>
  <c r="N71" i="1" s="1"/>
  <c r="G71" i="1"/>
  <c r="P71" i="1" s="1"/>
  <c r="F71" i="1"/>
  <c r="E71" i="1"/>
  <c r="AK70" i="1"/>
  <c r="AJ70" i="1"/>
  <c r="AL70" i="1" s="1"/>
  <c r="AI70" i="1"/>
  <c r="AH70" i="1"/>
  <c r="AG70" i="1"/>
  <c r="AF70" i="1"/>
  <c r="AE70" i="1"/>
  <c r="AD70" i="1"/>
  <c r="AC70" i="1"/>
  <c r="AB70" i="1"/>
  <c r="AA70" i="1"/>
  <c r="Z70" i="1"/>
  <c r="Y70" i="1"/>
  <c r="X70" i="1"/>
  <c r="O70" i="1"/>
  <c r="L70" i="1"/>
  <c r="I70" i="1"/>
  <c r="Q70" i="1" s="1"/>
  <c r="H70" i="1"/>
  <c r="N70" i="1" s="1"/>
  <c r="G70" i="1"/>
  <c r="P70" i="1" s="1"/>
  <c r="F70" i="1"/>
  <c r="E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O69" i="1"/>
  <c r="L69" i="1"/>
  <c r="I69" i="1"/>
  <c r="Q69" i="1" s="1"/>
  <c r="H69" i="1"/>
  <c r="G69" i="1"/>
  <c r="P69" i="1" s="1"/>
  <c r="F69" i="1"/>
  <c r="E69" i="1"/>
  <c r="AK68" i="1"/>
  <c r="AJ68" i="1"/>
  <c r="AI68" i="1"/>
  <c r="AH68" i="1"/>
  <c r="AG68" i="1"/>
  <c r="AF68" i="1"/>
  <c r="AE68" i="1"/>
  <c r="AD68" i="1"/>
  <c r="AC68" i="1"/>
  <c r="AB68" i="1"/>
  <c r="AA68" i="1"/>
  <c r="Y68" i="1"/>
  <c r="X68" i="1"/>
  <c r="O68" i="1"/>
  <c r="L68" i="1"/>
  <c r="I68" i="1"/>
  <c r="Q68" i="1" s="1"/>
  <c r="H68" i="1"/>
  <c r="G68" i="1"/>
  <c r="P68" i="1" s="1"/>
  <c r="F68" i="1"/>
  <c r="E68" i="1"/>
  <c r="AK67" i="1"/>
  <c r="AJ67" i="1"/>
  <c r="AL67" i="1" s="1"/>
  <c r="AI67" i="1"/>
  <c r="AH67" i="1"/>
  <c r="AG67" i="1"/>
  <c r="AF67" i="1"/>
  <c r="AE67" i="1"/>
  <c r="AD67" i="1"/>
  <c r="AC67" i="1"/>
  <c r="AB67" i="1"/>
  <c r="AA67" i="1"/>
  <c r="Z67" i="1"/>
  <c r="Y67" i="1"/>
  <c r="X67" i="1"/>
  <c r="O67" i="1"/>
  <c r="L67" i="1"/>
  <c r="I67" i="1"/>
  <c r="Q67" i="1" s="1"/>
  <c r="H67" i="1"/>
  <c r="N67" i="1" s="1"/>
  <c r="G67" i="1"/>
  <c r="P67" i="1" s="1"/>
  <c r="F67" i="1"/>
  <c r="E67" i="1"/>
  <c r="AK66" i="1"/>
  <c r="AJ66" i="1"/>
  <c r="AL66" i="1" s="1"/>
  <c r="AI66" i="1"/>
  <c r="AH66" i="1"/>
  <c r="AG66" i="1"/>
  <c r="AF66" i="1"/>
  <c r="AE66" i="1"/>
  <c r="AD66" i="1"/>
  <c r="AC66" i="1"/>
  <c r="AB66" i="1"/>
  <c r="AA66" i="1"/>
  <c r="Z66" i="1"/>
  <c r="Y66" i="1"/>
  <c r="X66" i="1"/>
  <c r="O66" i="1"/>
  <c r="L66" i="1"/>
  <c r="I66" i="1"/>
  <c r="Q66" i="1" s="1"/>
  <c r="H66" i="1"/>
  <c r="N66" i="1" s="1"/>
  <c r="G66" i="1"/>
  <c r="P66" i="1" s="1"/>
  <c r="F66" i="1"/>
  <c r="E66" i="1"/>
  <c r="AK65" i="1"/>
  <c r="AJ65" i="1"/>
  <c r="AL65" i="1" s="1"/>
  <c r="AI65" i="1"/>
  <c r="AH65" i="1"/>
  <c r="AG65" i="1"/>
  <c r="AF65" i="1"/>
  <c r="AE65" i="1"/>
  <c r="AD65" i="1"/>
  <c r="AC65" i="1"/>
  <c r="AB65" i="1"/>
  <c r="AA65" i="1"/>
  <c r="Z65" i="1"/>
  <c r="Y65" i="1"/>
  <c r="X65" i="1"/>
  <c r="O65" i="1"/>
  <c r="L65" i="1"/>
  <c r="I65" i="1"/>
  <c r="Q65" i="1" s="1"/>
  <c r="H65" i="1"/>
  <c r="N65" i="1" s="1"/>
  <c r="G65" i="1"/>
  <c r="P65" i="1" s="1"/>
  <c r="F65" i="1"/>
  <c r="E65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O64" i="1"/>
  <c r="L64" i="1"/>
  <c r="I64" i="1"/>
  <c r="Q64" i="1" s="1"/>
  <c r="H64" i="1"/>
  <c r="G64" i="1"/>
  <c r="P64" i="1" s="1"/>
  <c r="F64" i="1"/>
  <c r="E64" i="1"/>
  <c r="AK63" i="1"/>
  <c r="AJ63" i="1"/>
  <c r="AL63" i="1" s="1"/>
  <c r="AI63" i="1"/>
  <c r="AH63" i="1"/>
  <c r="AG63" i="1"/>
  <c r="AF63" i="1"/>
  <c r="AE63" i="1"/>
  <c r="AD63" i="1"/>
  <c r="AC63" i="1"/>
  <c r="AB63" i="1"/>
  <c r="AA63" i="1"/>
  <c r="Z63" i="1"/>
  <c r="Y63" i="1"/>
  <c r="X63" i="1"/>
  <c r="O63" i="1"/>
  <c r="L63" i="1"/>
  <c r="I63" i="1"/>
  <c r="Q63" i="1" s="1"/>
  <c r="H63" i="1"/>
  <c r="N63" i="1" s="1"/>
  <c r="G63" i="1"/>
  <c r="P63" i="1" s="1"/>
  <c r="F63" i="1"/>
  <c r="E63" i="1"/>
  <c r="AK62" i="1"/>
  <c r="AJ62" i="1"/>
  <c r="AL62" i="1" s="1"/>
  <c r="AI62" i="1"/>
  <c r="AH62" i="1"/>
  <c r="AG62" i="1"/>
  <c r="AF62" i="1"/>
  <c r="AE62" i="1"/>
  <c r="AD62" i="1"/>
  <c r="AC62" i="1"/>
  <c r="AB62" i="1"/>
  <c r="AA62" i="1"/>
  <c r="Z62" i="1"/>
  <c r="Y62" i="1"/>
  <c r="X62" i="1"/>
  <c r="O62" i="1"/>
  <c r="L62" i="1"/>
  <c r="I62" i="1"/>
  <c r="Q62" i="1" s="1"/>
  <c r="H62" i="1"/>
  <c r="N62" i="1" s="1"/>
  <c r="G62" i="1"/>
  <c r="P62" i="1" s="1"/>
  <c r="F62" i="1"/>
  <c r="E62" i="1"/>
  <c r="AK61" i="1"/>
  <c r="AJ61" i="1"/>
  <c r="AL61" i="1" s="1"/>
  <c r="AI61" i="1"/>
  <c r="AH61" i="1"/>
  <c r="AG61" i="1"/>
  <c r="AF61" i="1"/>
  <c r="AE61" i="1"/>
  <c r="AD61" i="1"/>
  <c r="AC61" i="1"/>
  <c r="AB61" i="1"/>
  <c r="AA61" i="1"/>
  <c r="Z61" i="1"/>
  <c r="Y61" i="1"/>
  <c r="X61" i="1"/>
  <c r="O61" i="1"/>
  <c r="L61" i="1"/>
  <c r="I61" i="1"/>
  <c r="Q61" i="1" s="1"/>
  <c r="H61" i="1"/>
  <c r="N61" i="1" s="1"/>
  <c r="G61" i="1"/>
  <c r="P61" i="1" s="1"/>
  <c r="F61" i="1"/>
  <c r="E61" i="1"/>
  <c r="AK60" i="1"/>
  <c r="AJ60" i="1"/>
  <c r="AL60" i="1" s="1"/>
  <c r="AI60" i="1"/>
  <c r="AH60" i="1"/>
  <c r="AG60" i="1"/>
  <c r="AF60" i="1"/>
  <c r="AE60" i="1"/>
  <c r="AD60" i="1"/>
  <c r="AC60" i="1"/>
  <c r="AB60" i="1"/>
  <c r="AA60" i="1"/>
  <c r="Z60" i="1"/>
  <c r="Y60" i="1"/>
  <c r="X60" i="1"/>
  <c r="O60" i="1"/>
  <c r="L60" i="1"/>
  <c r="I60" i="1"/>
  <c r="Q60" i="1" s="1"/>
  <c r="H60" i="1"/>
  <c r="N60" i="1" s="1"/>
  <c r="G60" i="1"/>
  <c r="P60" i="1" s="1"/>
  <c r="F60" i="1"/>
  <c r="E60" i="1"/>
  <c r="AK59" i="1"/>
  <c r="AJ59" i="1"/>
  <c r="AL59" i="1" s="1"/>
  <c r="AI59" i="1"/>
  <c r="AH59" i="1"/>
  <c r="AG59" i="1"/>
  <c r="AF59" i="1"/>
  <c r="AE59" i="1"/>
  <c r="AD59" i="1"/>
  <c r="AC59" i="1"/>
  <c r="AB59" i="1"/>
  <c r="AA59" i="1"/>
  <c r="Z59" i="1"/>
  <c r="Y59" i="1"/>
  <c r="X59" i="1"/>
  <c r="O59" i="1"/>
  <c r="L59" i="1"/>
  <c r="I59" i="1"/>
  <c r="Q59" i="1" s="1"/>
  <c r="H59" i="1"/>
  <c r="N59" i="1" s="1"/>
  <c r="G59" i="1"/>
  <c r="P59" i="1" s="1"/>
  <c r="F59" i="1"/>
  <c r="E59" i="1"/>
  <c r="AK58" i="1"/>
  <c r="AJ58" i="1"/>
  <c r="AL58" i="1" s="1"/>
  <c r="AI58" i="1"/>
  <c r="AH58" i="1"/>
  <c r="AG58" i="1"/>
  <c r="AF58" i="1"/>
  <c r="AE58" i="1"/>
  <c r="AD58" i="1"/>
  <c r="AC58" i="1"/>
  <c r="AB58" i="1"/>
  <c r="AA58" i="1"/>
  <c r="Z58" i="1"/>
  <c r="Y58" i="1"/>
  <c r="X58" i="1"/>
  <c r="O58" i="1"/>
  <c r="L58" i="1"/>
  <c r="I58" i="1"/>
  <c r="Q58" i="1" s="1"/>
  <c r="H58" i="1"/>
  <c r="N58" i="1" s="1"/>
  <c r="G58" i="1"/>
  <c r="P58" i="1" s="1"/>
  <c r="F58" i="1"/>
  <c r="E58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O57" i="1"/>
  <c r="L57" i="1"/>
  <c r="I57" i="1"/>
  <c r="Q57" i="1" s="1"/>
  <c r="H57" i="1"/>
  <c r="G57" i="1"/>
  <c r="P57" i="1" s="1"/>
  <c r="F57" i="1"/>
  <c r="E57" i="1"/>
  <c r="AK56" i="1"/>
  <c r="AJ56" i="1"/>
  <c r="AL56" i="1" s="1"/>
  <c r="AI56" i="1"/>
  <c r="AH56" i="1"/>
  <c r="AG56" i="1"/>
  <c r="AF56" i="1"/>
  <c r="AE56" i="1"/>
  <c r="AD56" i="1"/>
  <c r="AC56" i="1"/>
  <c r="AB56" i="1"/>
  <c r="AA56" i="1"/>
  <c r="Z56" i="1"/>
  <c r="Y56" i="1"/>
  <c r="X56" i="1"/>
  <c r="O56" i="1"/>
  <c r="L56" i="1"/>
  <c r="I56" i="1"/>
  <c r="Q56" i="1" s="1"/>
  <c r="H56" i="1"/>
  <c r="N56" i="1" s="1"/>
  <c r="G56" i="1"/>
  <c r="P56" i="1" s="1"/>
  <c r="F56" i="1"/>
  <c r="E56" i="1"/>
  <c r="AK55" i="1"/>
  <c r="AJ55" i="1"/>
  <c r="AL55" i="1" s="1"/>
  <c r="AI55" i="1"/>
  <c r="AH55" i="1"/>
  <c r="AG55" i="1"/>
  <c r="AF55" i="1"/>
  <c r="AE55" i="1"/>
  <c r="AD55" i="1"/>
  <c r="AC55" i="1"/>
  <c r="AB55" i="1"/>
  <c r="AA55" i="1"/>
  <c r="Z55" i="1"/>
  <c r="Y55" i="1"/>
  <c r="X55" i="1"/>
  <c r="O55" i="1"/>
  <c r="L55" i="1"/>
  <c r="I55" i="1"/>
  <c r="Q55" i="1" s="1"/>
  <c r="H55" i="1"/>
  <c r="N55" i="1" s="1"/>
  <c r="G55" i="1"/>
  <c r="P55" i="1" s="1"/>
  <c r="F55" i="1"/>
  <c r="E55" i="1"/>
  <c r="AK54" i="1"/>
  <c r="AJ54" i="1"/>
  <c r="AL54" i="1" s="1"/>
  <c r="AI54" i="1"/>
  <c r="AH54" i="1"/>
  <c r="AG54" i="1"/>
  <c r="AF54" i="1"/>
  <c r="AE54" i="1"/>
  <c r="AD54" i="1"/>
  <c r="AC54" i="1"/>
  <c r="AB54" i="1"/>
  <c r="AA54" i="1"/>
  <c r="Z54" i="1"/>
  <c r="Y54" i="1"/>
  <c r="X54" i="1"/>
  <c r="O54" i="1"/>
  <c r="L54" i="1"/>
  <c r="I54" i="1"/>
  <c r="Q54" i="1" s="1"/>
  <c r="H54" i="1"/>
  <c r="N54" i="1" s="1"/>
  <c r="G54" i="1"/>
  <c r="P54" i="1" s="1"/>
  <c r="F54" i="1"/>
  <c r="E54" i="1"/>
  <c r="AK53" i="1"/>
  <c r="AJ53" i="1"/>
  <c r="AL53" i="1" s="1"/>
  <c r="AI53" i="1"/>
  <c r="AH53" i="1"/>
  <c r="AG53" i="1"/>
  <c r="AF53" i="1"/>
  <c r="AE53" i="1"/>
  <c r="AD53" i="1"/>
  <c r="AC53" i="1"/>
  <c r="AB53" i="1"/>
  <c r="AA53" i="1"/>
  <c r="Z53" i="1"/>
  <c r="Y53" i="1"/>
  <c r="X53" i="1"/>
  <c r="O53" i="1"/>
  <c r="L53" i="1"/>
  <c r="I53" i="1"/>
  <c r="Q53" i="1" s="1"/>
  <c r="H53" i="1"/>
  <c r="N53" i="1" s="1"/>
  <c r="G53" i="1"/>
  <c r="P53" i="1" s="1"/>
  <c r="F53" i="1"/>
  <c r="E53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O51" i="1"/>
  <c r="L51" i="1"/>
  <c r="I51" i="1"/>
  <c r="Q51" i="1" s="1"/>
  <c r="H51" i="1"/>
  <c r="G51" i="1"/>
  <c r="P51" i="1" s="1"/>
  <c r="F51" i="1"/>
  <c r="E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O50" i="1"/>
  <c r="L50" i="1"/>
  <c r="I50" i="1"/>
  <c r="Q50" i="1" s="1"/>
  <c r="H50" i="1"/>
  <c r="G50" i="1"/>
  <c r="P50" i="1" s="1"/>
  <c r="F50" i="1"/>
  <c r="E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O49" i="1"/>
  <c r="L49" i="1"/>
  <c r="I49" i="1"/>
  <c r="Q49" i="1" s="1"/>
  <c r="H49" i="1"/>
  <c r="G49" i="1"/>
  <c r="P49" i="1" s="1"/>
  <c r="F49" i="1"/>
  <c r="E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O48" i="1"/>
  <c r="L48" i="1"/>
  <c r="I48" i="1"/>
  <c r="Q48" i="1" s="1"/>
  <c r="H48" i="1"/>
  <c r="G48" i="1"/>
  <c r="P48" i="1" s="1"/>
  <c r="F48" i="1"/>
  <c r="E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O47" i="1"/>
  <c r="L47" i="1"/>
  <c r="I47" i="1"/>
  <c r="Q47" i="1" s="1"/>
  <c r="H47" i="1"/>
  <c r="G47" i="1"/>
  <c r="P47" i="1" s="1"/>
  <c r="F47" i="1"/>
  <c r="E47" i="1"/>
  <c r="AK46" i="1"/>
  <c r="AJ46" i="1"/>
  <c r="AL46" i="1" s="1"/>
  <c r="AI46" i="1"/>
  <c r="AH46" i="1"/>
  <c r="AG46" i="1"/>
  <c r="AF46" i="1"/>
  <c r="AE46" i="1"/>
  <c r="AD46" i="1"/>
  <c r="AC46" i="1"/>
  <c r="AB46" i="1"/>
  <c r="AA46" i="1"/>
  <c r="Z46" i="1"/>
  <c r="Y46" i="1"/>
  <c r="X46" i="1"/>
  <c r="O46" i="1"/>
  <c r="L46" i="1"/>
  <c r="I46" i="1"/>
  <c r="Q46" i="1" s="1"/>
  <c r="H46" i="1"/>
  <c r="N46" i="1" s="1"/>
  <c r="G46" i="1"/>
  <c r="P46" i="1" s="1"/>
  <c r="F46" i="1"/>
  <c r="E46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O45" i="1"/>
  <c r="L45" i="1"/>
  <c r="I45" i="1"/>
  <c r="Q45" i="1" s="1"/>
  <c r="H45" i="1"/>
  <c r="G45" i="1"/>
  <c r="P45" i="1" s="1"/>
  <c r="F45" i="1"/>
  <c r="E45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O44" i="1"/>
  <c r="L44" i="1"/>
  <c r="I44" i="1"/>
  <c r="Q44" i="1" s="1"/>
  <c r="H44" i="1"/>
  <c r="G44" i="1"/>
  <c r="P44" i="1" s="1"/>
  <c r="F44" i="1"/>
  <c r="E44" i="1"/>
  <c r="AK43" i="1"/>
  <c r="AJ43" i="1"/>
  <c r="AL43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O43" i="1"/>
  <c r="L43" i="1"/>
  <c r="I43" i="1"/>
  <c r="Q43" i="1" s="1"/>
  <c r="H43" i="1"/>
  <c r="N43" i="1" s="1"/>
  <c r="G43" i="1"/>
  <c r="P43" i="1" s="1"/>
  <c r="F43" i="1"/>
  <c r="E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O42" i="1"/>
  <c r="L42" i="1"/>
  <c r="I42" i="1"/>
  <c r="Q42" i="1" s="1"/>
  <c r="H42" i="1"/>
  <c r="G42" i="1"/>
  <c r="P42" i="1" s="1"/>
  <c r="F42" i="1"/>
  <c r="E42" i="1"/>
  <c r="AK41" i="1"/>
  <c r="AJ41" i="1"/>
  <c r="AI41" i="1"/>
  <c r="AH41" i="1"/>
  <c r="AG41" i="1"/>
  <c r="AF41" i="1"/>
  <c r="AE41" i="1"/>
  <c r="AD41" i="1"/>
  <c r="AC41" i="1"/>
  <c r="AB41" i="1"/>
  <c r="Y41" i="1"/>
  <c r="X41" i="1"/>
  <c r="O41" i="1"/>
  <c r="L41" i="1"/>
  <c r="I41" i="1"/>
  <c r="Q41" i="1" s="1"/>
  <c r="H41" i="1"/>
  <c r="G41" i="1"/>
  <c r="P41" i="1" s="1"/>
  <c r="F41" i="1"/>
  <c r="E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O40" i="1"/>
  <c r="L40" i="1"/>
  <c r="I40" i="1"/>
  <c r="Q40" i="1" s="1"/>
  <c r="H40" i="1"/>
  <c r="G40" i="1"/>
  <c r="P40" i="1" s="1"/>
  <c r="F40" i="1"/>
  <c r="E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O39" i="1"/>
  <c r="L39" i="1"/>
  <c r="I39" i="1"/>
  <c r="Q39" i="1" s="1"/>
  <c r="H39" i="1"/>
  <c r="G39" i="1"/>
  <c r="P39" i="1" s="1"/>
  <c r="F39" i="1"/>
  <c r="E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O38" i="1"/>
  <c r="L38" i="1"/>
  <c r="I38" i="1"/>
  <c r="Q38" i="1" s="1"/>
  <c r="H38" i="1"/>
  <c r="G38" i="1"/>
  <c r="P38" i="1" s="1"/>
  <c r="F38" i="1"/>
  <c r="E38" i="1"/>
  <c r="AK37" i="1"/>
  <c r="AJ37" i="1"/>
  <c r="AL37" i="1" s="1"/>
  <c r="AI37" i="1"/>
  <c r="AH37" i="1"/>
  <c r="AG37" i="1"/>
  <c r="AF37" i="1"/>
  <c r="AE37" i="1"/>
  <c r="AD37" i="1"/>
  <c r="AC37" i="1"/>
  <c r="AB37" i="1"/>
  <c r="AA37" i="1"/>
  <c r="Z37" i="1"/>
  <c r="Y37" i="1"/>
  <c r="X37" i="1"/>
  <c r="O37" i="1"/>
  <c r="L37" i="1"/>
  <c r="I37" i="1"/>
  <c r="Q37" i="1" s="1"/>
  <c r="H37" i="1"/>
  <c r="N37" i="1" s="1"/>
  <c r="G37" i="1"/>
  <c r="P37" i="1" s="1"/>
  <c r="F37" i="1"/>
  <c r="E37" i="1"/>
  <c r="AK36" i="1"/>
  <c r="AJ36" i="1"/>
  <c r="AL36" i="1" s="1"/>
  <c r="AI36" i="1"/>
  <c r="AH36" i="1"/>
  <c r="AG36" i="1"/>
  <c r="AF36" i="1"/>
  <c r="AE36" i="1"/>
  <c r="AD36" i="1"/>
  <c r="AC36" i="1"/>
  <c r="AB36" i="1"/>
  <c r="AA36" i="1"/>
  <c r="Z36" i="1"/>
  <c r="Y36" i="1"/>
  <c r="X36" i="1"/>
  <c r="O36" i="1"/>
  <c r="L36" i="1"/>
  <c r="I36" i="1"/>
  <c r="Q36" i="1" s="1"/>
  <c r="H36" i="1"/>
  <c r="N36" i="1" s="1"/>
  <c r="G36" i="1"/>
  <c r="P36" i="1" s="1"/>
  <c r="F36" i="1"/>
  <c r="E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O35" i="1"/>
  <c r="L35" i="1"/>
  <c r="I35" i="1"/>
  <c r="Q35" i="1" s="1"/>
  <c r="H35" i="1"/>
  <c r="G35" i="1"/>
  <c r="P35" i="1" s="1"/>
  <c r="F35" i="1"/>
  <c r="E35" i="1"/>
  <c r="AK34" i="1"/>
  <c r="AJ34" i="1"/>
  <c r="AL34" i="1" s="1"/>
  <c r="AI34" i="1"/>
  <c r="AH34" i="1"/>
  <c r="AG34" i="1"/>
  <c r="AF34" i="1"/>
  <c r="AE34" i="1"/>
  <c r="AD34" i="1"/>
  <c r="AC34" i="1"/>
  <c r="AB34" i="1"/>
  <c r="AA34" i="1"/>
  <c r="Z34" i="1"/>
  <c r="Y34" i="1"/>
  <c r="X34" i="1"/>
  <c r="O34" i="1"/>
  <c r="L34" i="1"/>
  <c r="I34" i="1"/>
  <c r="Q34" i="1" s="1"/>
  <c r="H34" i="1"/>
  <c r="N34" i="1" s="1"/>
  <c r="G34" i="1"/>
  <c r="P34" i="1" s="1"/>
  <c r="F34" i="1"/>
  <c r="E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O33" i="1"/>
  <c r="L33" i="1"/>
  <c r="I33" i="1"/>
  <c r="Q33" i="1" s="1"/>
  <c r="H33" i="1"/>
  <c r="G33" i="1"/>
  <c r="P33" i="1" s="1"/>
  <c r="F33" i="1"/>
  <c r="E33" i="1"/>
  <c r="AK32" i="1"/>
  <c r="AJ32" i="1"/>
  <c r="AL32" i="1" s="1"/>
  <c r="AI32" i="1"/>
  <c r="AH32" i="1"/>
  <c r="AG32" i="1"/>
  <c r="AF32" i="1"/>
  <c r="AE32" i="1"/>
  <c r="AD32" i="1"/>
  <c r="AC32" i="1"/>
  <c r="AB32" i="1"/>
  <c r="AA32" i="1"/>
  <c r="Z32" i="1"/>
  <c r="Y32" i="1"/>
  <c r="X32" i="1"/>
  <c r="O32" i="1"/>
  <c r="L32" i="1"/>
  <c r="I32" i="1"/>
  <c r="Q32" i="1" s="1"/>
  <c r="H32" i="1"/>
  <c r="N32" i="1" s="1"/>
  <c r="G32" i="1"/>
  <c r="P32" i="1" s="1"/>
  <c r="F32" i="1"/>
  <c r="E32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O30" i="1"/>
  <c r="L30" i="1"/>
  <c r="I30" i="1"/>
  <c r="Q30" i="1" s="1"/>
  <c r="H30" i="1"/>
  <c r="G30" i="1"/>
  <c r="P30" i="1" s="1"/>
  <c r="F30" i="1"/>
  <c r="E30" i="1"/>
  <c r="AK29" i="1"/>
  <c r="AJ29" i="1"/>
  <c r="AL29" i="1" s="1"/>
  <c r="AI29" i="1"/>
  <c r="AH29" i="1"/>
  <c r="AG29" i="1"/>
  <c r="AF29" i="1"/>
  <c r="AE29" i="1"/>
  <c r="AD29" i="1"/>
  <c r="AC29" i="1"/>
  <c r="AB29" i="1"/>
  <c r="AA29" i="1"/>
  <c r="Z29" i="1"/>
  <c r="Y29" i="1"/>
  <c r="X29" i="1"/>
  <c r="O29" i="1"/>
  <c r="L29" i="1"/>
  <c r="I29" i="1"/>
  <c r="Q29" i="1" s="1"/>
  <c r="H29" i="1"/>
  <c r="N29" i="1" s="1"/>
  <c r="G29" i="1"/>
  <c r="P29" i="1" s="1"/>
  <c r="F29" i="1"/>
  <c r="E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O28" i="1"/>
  <c r="L28" i="1"/>
  <c r="I28" i="1"/>
  <c r="Q28" i="1" s="1"/>
  <c r="H28" i="1"/>
  <c r="G28" i="1"/>
  <c r="P28" i="1" s="1"/>
  <c r="F28" i="1"/>
  <c r="E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O27" i="1"/>
  <c r="L27" i="1"/>
  <c r="I27" i="1"/>
  <c r="Q27" i="1" s="1"/>
  <c r="H27" i="1"/>
  <c r="G27" i="1"/>
  <c r="P27" i="1" s="1"/>
  <c r="F27" i="1"/>
  <c r="E27" i="1"/>
  <c r="AK26" i="1"/>
  <c r="AJ26" i="1"/>
  <c r="AL26" i="1" s="1"/>
  <c r="AI26" i="1"/>
  <c r="AH26" i="1"/>
  <c r="AG26" i="1"/>
  <c r="AF26" i="1"/>
  <c r="AE26" i="1"/>
  <c r="AD26" i="1"/>
  <c r="AC26" i="1"/>
  <c r="AB26" i="1"/>
  <c r="AA26" i="1"/>
  <c r="Z26" i="1"/>
  <c r="Y26" i="1"/>
  <c r="X26" i="1"/>
  <c r="O26" i="1"/>
  <c r="L26" i="1"/>
  <c r="I26" i="1"/>
  <c r="Q26" i="1" s="1"/>
  <c r="H26" i="1"/>
  <c r="N26" i="1" s="1"/>
  <c r="G26" i="1"/>
  <c r="P26" i="1" s="1"/>
  <c r="F26" i="1"/>
  <c r="E26" i="1"/>
  <c r="AK25" i="1"/>
  <c r="AJ25" i="1"/>
  <c r="AL25" i="1" s="1"/>
  <c r="AI25" i="1"/>
  <c r="AH25" i="1"/>
  <c r="AG25" i="1"/>
  <c r="AF25" i="1"/>
  <c r="AE25" i="1"/>
  <c r="AD25" i="1"/>
  <c r="AC25" i="1"/>
  <c r="AB25" i="1"/>
  <c r="AA25" i="1"/>
  <c r="Z25" i="1"/>
  <c r="Y25" i="1"/>
  <c r="X25" i="1"/>
  <c r="O25" i="1"/>
  <c r="L25" i="1"/>
  <c r="I25" i="1"/>
  <c r="Q25" i="1" s="1"/>
  <c r="H25" i="1"/>
  <c r="N25" i="1" s="1"/>
  <c r="G25" i="1"/>
  <c r="P25" i="1" s="1"/>
  <c r="F25" i="1"/>
  <c r="E25" i="1"/>
  <c r="AK24" i="1"/>
  <c r="AJ24" i="1"/>
  <c r="AL24" i="1" s="1"/>
  <c r="AI24" i="1"/>
  <c r="AH24" i="1"/>
  <c r="AG24" i="1"/>
  <c r="AF24" i="1"/>
  <c r="AE24" i="1"/>
  <c r="AD24" i="1"/>
  <c r="AC24" i="1"/>
  <c r="AB24" i="1"/>
  <c r="AA24" i="1"/>
  <c r="Z24" i="1"/>
  <c r="Y24" i="1"/>
  <c r="X24" i="1"/>
  <c r="O24" i="1"/>
  <c r="L24" i="1"/>
  <c r="I24" i="1"/>
  <c r="Q24" i="1" s="1"/>
  <c r="H24" i="1"/>
  <c r="N24" i="1" s="1"/>
  <c r="G24" i="1"/>
  <c r="P24" i="1" s="1"/>
  <c r="F24" i="1"/>
  <c r="E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O23" i="1"/>
  <c r="L23" i="1"/>
  <c r="I23" i="1"/>
  <c r="Q23" i="1" s="1"/>
  <c r="H23" i="1"/>
  <c r="G23" i="1"/>
  <c r="P23" i="1" s="1"/>
  <c r="F23" i="1"/>
  <c r="E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O22" i="1"/>
  <c r="L22" i="1"/>
  <c r="I22" i="1"/>
  <c r="Q22" i="1" s="1"/>
  <c r="H22" i="1"/>
  <c r="G22" i="1"/>
  <c r="P22" i="1" s="1"/>
  <c r="F22" i="1"/>
  <c r="E22" i="1"/>
  <c r="AK21" i="1"/>
  <c r="AJ21" i="1"/>
  <c r="AL21" i="1" s="1"/>
  <c r="AI21" i="1"/>
  <c r="AH21" i="1"/>
  <c r="AG21" i="1"/>
  <c r="AF21" i="1"/>
  <c r="AE21" i="1"/>
  <c r="AD21" i="1"/>
  <c r="AC21" i="1"/>
  <c r="AB21" i="1"/>
  <c r="AA21" i="1"/>
  <c r="Z21" i="1"/>
  <c r="Y21" i="1"/>
  <c r="X21" i="1"/>
  <c r="O21" i="1"/>
  <c r="L21" i="1"/>
  <c r="I21" i="1"/>
  <c r="Q21" i="1" s="1"/>
  <c r="H21" i="1"/>
  <c r="N21" i="1" s="1"/>
  <c r="G21" i="1"/>
  <c r="P21" i="1" s="1"/>
  <c r="F21" i="1"/>
  <c r="E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O20" i="1"/>
  <c r="L20" i="1"/>
  <c r="I20" i="1"/>
  <c r="Q20" i="1" s="1"/>
  <c r="H20" i="1"/>
  <c r="G20" i="1"/>
  <c r="P20" i="1" s="1"/>
  <c r="F20" i="1"/>
  <c r="E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O19" i="1"/>
  <c r="L19" i="1"/>
  <c r="I19" i="1"/>
  <c r="Q19" i="1" s="1"/>
  <c r="H19" i="1"/>
  <c r="G19" i="1"/>
  <c r="P19" i="1" s="1"/>
  <c r="F19" i="1"/>
  <c r="E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O18" i="1"/>
  <c r="L18" i="1"/>
  <c r="I18" i="1"/>
  <c r="Q18" i="1" s="1"/>
  <c r="H18" i="1"/>
  <c r="G18" i="1"/>
  <c r="P18" i="1" s="1"/>
  <c r="F18" i="1"/>
  <c r="E18" i="1"/>
  <c r="AK17" i="1"/>
  <c r="AJ17" i="1"/>
  <c r="AL17" i="1" s="1"/>
  <c r="AI17" i="1"/>
  <c r="AH17" i="1"/>
  <c r="AG17" i="1"/>
  <c r="AF17" i="1"/>
  <c r="AE17" i="1"/>
  <c r="AD17" i="1"/>
  <c r="AC17" i="1"/>
  <c r="AB17" i="1"/>
  <c r="AA17" i="1"/>
  <c r="Z17" i="1"/>
  <c r="Y17" i="1"/>
  <c r="X17" i="1"/>
  <c r="O17" i="1"/>
  <c r="L17" i="1"/>
  <c r="I17" i="1"/>
  <c r="Q17" i="1" s="1"/>
  <c r="H17" i="1"/>
  <c r="N17" i="1" s="1"/>
  <c r="G17" i="1"/>
  <c r="P17" i="1" s="1"/>
  <c r="F17" i="1"/>
  <c r="E17" i="1"/>
  <c r="AK16" i="1"/>
  <c r="AJ16" i="1"/>
  <c r="AL16" i="1" s="1"/>
  <c r="AI16" i="1"/>
  <c r="AH16" i="1"/>
  <c r="AG16" i="1"/>
  <c r="AF16" i="1"/>
  <c r="AE16" i="1"/>
  <c r="AD16" i="1"/>
  <c r="AC16" i="1"/>
  <c r="AB16" i="1"/>
  <c r="AA16" i="1"/>
  <c r="Z16" i="1"/>
  <c r="Y16" i="1"/>
  <c r="X16" i="1"/>
  <c r="O16" i="1"/>
  <c r="L16" i="1"/>
  <c r="I16" i="1"/>
  <c r="Q16" i="1" s="1"/>
  <c r="H16" i="1"/>
  <c r="N16" i="1" s="1"/>
  <c r="G16" i="1"/>
  <c r="P16" i="1" s="1"/>
  <c r="F16" i="1"/>
  <c r="E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O15" i="1"/>
  <c r="L15" i="1"/>
  <c r="I15" i="1"/>
  <c r="Q15" i="1" s="1"/>
  <c r="H15" i="1"/>
  <c r="G15" i="1"/>
  <c r="P15" i="1" s="1"/>
  <c r="F15" i="1"/>
  <c r="E15" i="1"/>
  <c r="AK14" i="1"/>
  <c r="AJ14" i="1"/>
  <c r="AL14" i="1" s="1"/>
  <c r="AI14" i="1"/>
  <c r="AH14" i="1"/>
  <c r="AG14" i="1"/>
  <c r="AF14" i="1"/>
  <c r="AE14" i="1"/>
  <c r="AD14" i="1"/>
  <c r="AC14" i="1"/>
  <c r="AB14" i="1"/>
  <c r="AA14" i="1"/>
  <c r="Z14" i="1"/>
  <c r="Y14" i="1"/>
  <c r="X14" i="1"/>
  <c r="O14" i="1"/>
  <c r="L14" i="1"/>
  <c r="I14" i="1"/>
  <c r="Q14" i="1" s="1"/>
  <c r="H14" i="1"/>
  <c r="N14" i="1" s="1"/>
  <c r="G14" i="1"/>
  <c r="P14" i="1" s="1"/>
  <c r="F14" i="1"/>
  <c r="E14" i="1"/>
  <c r="AL12" i="1"/>
  <c r="W12" i="1"/>
  <c r="U12" i="1"/>
  <c r="S12" i="1"/>
  <c r="Q12" i="1"/>
  <c r="N12" i="1"/>
  <c r="M12" i="1"/>
  <c r="K12" i="1"/>
  <c r="J12" i="1"/>
  <c r="C12" i="1"/>
  <c r="I11" i="12" l="1"/>
  <c r="Q11" i="12" s="1"/>
  <c r="J14" i="11"/>
  <c r="J49" i="11"/>
  <c r="D20" i="11"/>
  <c r="C20" i="11" s="1"/>
  <c r="K20" i="11" s="1"/>
  <c r="J75" i="7"/>
  <c r="I11" i="7"/>
  <c r="Q11" i="7" s="1"/>
  <c r="T64" i="6"/>
  <c r="J107" i="10"/>
  <c r="N17" i="6"/>
  <c r="J103" i="8"/>
  <c r="J112" i="5"/>
  <c r="T84" i="7"/>
  <c r="AC84" i="7"/>
  <c r="AI88" i="7"/>
  <c r="G11" i="2"/>
  <c r="P11" i="2" s="1"/>
  <c r="AT40" i="7"/>
  <c r="U32" i="13"/>
  <c r="G11" i="4"/>
  <c r="P11" i="4" s="1"/>
  <c r="I11" i="2"/>
  <c r="Q11" i="2" s="1"/>
  <c r="AO46" i="2"/>
  <c r="Q41" i="3"/>
  <c r="T85" i="8"/>
  <c r="T46" i="2"/>
  <c r="AZ48" i="2"/>
  <c r="T53" i="2"/>
  <c r="AZ63" i="2"/>
  <c r="F13" i="8"/>
  <c r="R13" i="8"/>
  <c r="T48" i="12"/>
  <c r="D26" i="2"/>
  <c r="M26" i="2" s="1"/>
  <c r="CM64" i="7"/>
  <c r="D80" i="8"/>
  <c r="D83" i="1"/>
  <c r="C83" i="1" s="1"/>
  <c r="K83" i="1" s="1"/>
  <c r="D85" i="1"/>
  <c r="M85" i="1" s="1"/>
  <c r="BU47" i="7"/>
  <c r="AI75" i="7"/>
  <c r="N36" i="11"/>
  <c r="J83" i="1"/>
  <c r="J105" i="7"/>
  <c r="D91" i="10"/>
  <c r="M91" i="10" s="1"/>
  <c r="J109" i="1"/>
  <c r="D84" i="5"/>
  <c r="M84" i="5" s="1"/>
  <c r="I11" i="1"/>
  <c r="Q11" i="1" s="1"/>
  <c r="N82" i="6"/>
  <c r="N88" i="6"/>
  <c r="N36" i="9"/>
  <c r="N42" i="9"/>
  <c r="AG47" i="9"/>
  <c r="N92" i="13"/>
  <c r="AF57" i="7"/>
  <c r="BU61" i="7"/>
  <c r="AF63" i="7"/>
  <c r="AO63" i="7"/>
  <c r="AI84" i="7"/>
  <c r="T26" i="9"/>
  <c r="D29" i="6"/>
  <c r="I11" i="10"/>
  <c r="Q11" i="10" s="1"/>
  <c r="I11" i="11"/>
  <c r="Q11" i="11" s="1"/>
  <c r="AE35" i="9"/>
  <c r="W67" i="9"/>
  <c r="D77" i="11"/>
  <c r="M77" i="11" s="1"/>
  <c r="D113" i="11"/>
  <c r="M113" i="11" s="1"/>
  <c r="D92" i="13"/>
  <c r="C92" i="13" s="1"/>
  <c r="D26" i="6"/>
  <c r="C26" i="6" s="1"/>
  <c r="AI39" i="7"/>
  <c r="BF44" i="7"/>
  <c r="G11" i="13"/>
  <c r="P11" i="13" s="1"/>
  <c r="AN68" i="13"/>
  <c r="AN70" i="13"/>
  <c r="AN72" i="13"/>
  <c r="BD86" i="13"/>
  <c r="BD87" i="13"/>
  <c r="AG14" i="9"/>
  <c r="AG20" i="9"/>
  <c r="D108" i="11"/>
  <c r="C108" i="11" s="1"/>
  <c r="K108" i="11" s="1"/>
  <c r="J109" i="11"/>
  <c r="D56" i="2"/>
  <c r="D16" i="3"/>
  <c r="C16" i="3" s="1"/>
  <c r="K16" i="3" s="1"/>
  <c r="J23" i="3"/>
  <c r="D28" i="3"/>
  <c r="C28" i="3" s="1"/>
  <c r="J104" i="6"/>
  <c r="T87" i="8"/>
  <c r="J16" i="9"/>
  <c r="Z47" i="9"/>
  <c r="D110" i="10"/>
  <c r="C110" i="10" s="1"/>
  <c r="K110" i="10" s="1"/>
  <c r="D116" i="10"/>
  <c r="C116" i="10" s="1"/>
  <c r="K116" i="10" s="1"/>
  <c r="AJ26" i="13"/>
  <c r="AJ79" i="13"/>
  <c r="P80" i="13"/>
  <c r="AJ81" i="13"/>
  <c r="AJ86" i="13"/>
  <c r="AJ87" i="13"/>
  <c r="AJ88" i="13"/>
  <c r="T46" i="6"/>
  <c r="J50" i="6"/>
  <c r="D107" i="6"/>
  <c r="M107" i="6" s="1"/>
  <c r="J108" i="6"/>
  <c r="X34" i="7"/>
  <c r="AI34" i="7"/>
  <c r="BI34" i="7"/>
  <c r="BR34" i="7"/>
  <c r="BL36" i="7"/>
  <c r="BI84" i="7"/>
  <c r="D95" i="13"/>
  <c r="M95" i="13" s="1"/>
  <c r="J96" i="13"/>
  <c r="J56" i="2"/>
  <c r="W16" i="10"/>
  <c r="N84" i="2"/>
  <c r="X84" i="2"/>
  <c r="Z85" i="2"/>
  <c r="D25" i="6"/>
  <c r="M25" i="6" s="1"/>
  <c r="D109" i="6"/>
  <c r="J110" i="6"/>
  <c r="D115" i="6"/>
  <c r="M115" i="6" s="1"/>
  <c r="J49" i="12"/>
  <c r="AV65" i="13"/>
  <c r="AV66" i="13"/>
  <c r="AV67" i="13"/>
  <c r="AV80" i="13"/>
  <c r="N82" i="13"/>
  <c r="AV83" i="13"/>
  <c r="N84" i="13"/>
  <c r="AV87" i="13"/>
  <c r="N88" i="13"/>
  <c r="T24" i="2"/>
  <c r="X39" i="2"/>
  <c r="X45" i="2"/>
  <c r="T75" i="2"/>
  <c r="AZ83" i="2"/>
  <c r="D55" i="3"/>
  <c r="C55" i="3" s="1"/>
  <c r="K55" i="3" s="1"/>
  <c r="D109" i="8"/>
  <c r="D115" i="8"/>
  <c r="C115" i="8" s="1"/>
  <c r="K115" i="8" s="1"/>
  <c r="J116" i="8"/>
  <c r="AN35" i="13"/>
  <c r="Y54" i="13"/>
  <c r="J93" i="13"/>
  <c r="V14" i="1"/>
  <c r="R15" i="1"/>
  <c r="D36" i="1"/>
  <c r="C36" i="1" s="1"/>
  <c r="K36" i="1" s="1"/>
  <c r="D38" i="1"/>
  <c r="C38" i="1" s="1"/>
  <c r="D71" i="1"/>
  <c r="C71" i="1" s="1"/>
  <c r="K71" i="1" s="1"/>
  <c r="D73" i="1"/>
  <c r="C73" i="1" s="1"/>
  <c r="K73" i="1" s="1"/>
  <c r="D82" i="1"/>
  <c r="R82" i="1"/>
  <c r="T82" i="1"/>
  <c r="R86" i="1"/>
  <c r="U86" i="1" s="1"/>
  <c r="D88" i="1"/>
  <c r="C88" i="1" s="1"/>
  <c r="R88" i="1"/>
  <c r="AA18" i="4"/>
  <c r="J71" i="4"/>
  <c r="T39" i="7"/>
  <c r="J87" i="8"/>
  <c r="J75" i="11"/>
  <c r="AC62" i="13"/>
  <c r="U83" i="13"/>
  <c r="AC87" i="13"/>
  <c r="D88" i="13"/>
  <c r="M88" i="13" s="1"/>
  <c r="AC88" i="13"/>
  <c r="AR88" i="13"/>
  <c r="I11" i="5"/>
  <c r="Q11" i="5" s="1"/>
  <c r="CJ56" i="7"/>
  <c r="AT76" i="7"/>
  <c r="BC76" i="7"/>
  <c r="BL76" i="7"/>
  <c r="BU76" i="7"/>
  <c r="D107" i="8"/>
  <c r="C107" i="8" s="1"/>
  <c r="K107" i="8" s="1"/>
  <c r="N72" i="10"/>
  <c r="N22" i="12"/>
  <c r="T33" i="12"/>
  <c r="D112" i="12"/>
  <c r="M112" i="12" s="1"/>
  <c r="AJ24" i="13"/>
  <c r="P25" i="13"/>
  <c r="AQ21" i="2"/>
  <c r="N36" i="2"/>
  <c r="J18" i="3"/>
  <c r="J17" i="4"/>
  <c r="AI20" i="7"/>
  <c r="D21" i="8"/>
  <c r="M21" i="8" s="1"/>
  <c r="D25" i="8"/>
  <c r="D27" i="8"/>
  <c r="M27" i="8" s="1"/>
  <c r="J84" i="8"/>
  <c r="J75" i="9"/>
  <c r="D97" i="9"/>
  <c r="M97" i="9" s="1"/>
  <c r="J62" i="10"/>
  <c r="AL28" i="1"/>
  <c r="AZ41" i="2"/>
  <c r="T45" i="2"/>
  <c r="Z57" i="2"/>
  <c r="N93" i="4"/>
  <c r="J29" i="6"/>
  <c r="W34" i="6"/>
  <c r="W59" i="6"/>
  <c r="J61" i="6"/>
  <c r="N63" i="7"/>
  <c r="N51" i="9"/>
  <c r="D34" i="11"/>
  <c r="J95" i="3"/>
  <c r="D100" i="3"/>
  <c r="M100" i="3" s="1"/>
  <c r="D16" i="4"/>
  <c r="M16" i="4" s="1"/>
  <c r="X30" i="4"/>
  <c r="D91" i="5"/>
  <c r="M91" i="5" s="1"/>
  <c r="AO42" i="7"/>
  <c r="W43" i="7"/>
  <c r="AW43" i="7"/>
  <c r="G11" i="8"/>
  <c r="P11" i="8" s="1"/>
  <c r="J100" i="8"/>
  <c r="J23" i="13"/>
  <c r="Y68" i="13"/>
  <c r="J14" i="1"/>
  <c r="J84" i="3"/>
  <c r="J100" i="5"/>
  <c r="N23" i="6"/>
  <c r="J38" i="6"/>
  <c r="AI42" i="7"/>
  <c r="X53" i="7"/>
  <c r="J80" i="8"/>
  <c r="T20" i="9"/>
  <c r="N22" i="9"/>
  <c r="W28" i="9"/>
  <c r="J56" i="9"/>
  <c r="AB88" i="10"/>
  <c r="G11" i="12"/>
  <c r="P11" i="12" s="1"/>
  <c r="W41" i="12"/>
  <c r="W44" i="12"/>
  <c r="W57" i="12"/>
  <c r="W60" i="12"/>
  <c r="J65" i="12"/>
  <c r="T70" i="12"/>
  <c r="J71" i="12"/>
  <c r="U16" i="13"/>
  <c r="AC28" i="13"/>
  <c r="AC29" i="13"/>
  <c r="P42" i="13"/>
  <c r="AA74" i="2"/>
  <c r="AG74" i="2"/>
  <c r="AM74" i="2"/>
  <c r="AU74" i="2"/>
  <c r="AQ84" i="2"/>
  <c r="J60" i="3"/>
  <c r="J51" i="5"/>
  <c r="D60" i="5"/>
  <c r="M60" i="5" s="1"/>
  <c r="J24" i="6"/>
  <c r="AF30" i="7"/>
  <c r="AO30" i="7"/>
  <c r="BC44" i="7"/>
  <c r="J14" i="8"/>
  <c r="J16" i="8"/>
  <c r="J18" i="8"/>
  <c r="J20" i="8"/>
  <c r="J26" i="8"/>
  <c r="AB44" i="9"/>
  <c r="J77" i="11"/>
  <c r="AQ14" i="2"/>
  <c r="X16" i="2"/>
  <c r="AQ20" i="2"/>
  <c r="N22" i="2"/>
  <c r="AQ26" i="2"/>
  <c r="X37" i="2"/>
  <c r="X41" i="2"/>
  <c r="AO44" i="2"/>
  <c r="AQ45" i="2"/>
  <c r="X69" i="2"/>
  <c r="AQ73" i="2"/>
  <c r="Z83" i="2"/>
  <c r="Z84" i="2"/>
  <c r="D62" i="6"/>
  <c r="M62" i="6" s="1"/>
  <c r="J63" i="7"/>
  <c r="I11" i="9"/>
  <c r="Q11" i="9" s="1"/>
  <c r="N14" i="10"/>
  <c r="BD54" i="13"/>
  <c r="AO24" i="2"/>
  <c r="D59" i="2"/>
  <c r="C59" i="2" s="1"/>
  <c r="D61" i="3"/>
  <c r="M61" i="3" s="1"/>
  <c r="P78" i="3"/>
  <c r="D97" i="3"/>
  <c r="C97" i="3" s="1"/>
  <c r="K97" i="3" s="1"/>
  <c r="J17" i="5"/>
  <c r="J25" i="5"/>
  <c r="J50" i="5"/>
  <c r="J53" i="5"/>
  <c r="J73" i="5"/>
  <c r="J78" i="5"/>
  <c r="J30" i="7"/>
  <c r="BU42" i="7"/>
  <c r="BR56" i="7"/>
  <c r="N71" i="7"/>
  <c r="J80" i="7"/>
  <c r="J97" i="7"/>
  <c r="D102" i="7"/>
  <c r="M102" i="7" s="1"/>
  <c r="J103" i="7"/>
  <c r="D81" i="8"/>
  <c r="M81" i="8" s="1"/>
  <c r="D85" i="8"/>
  <c r="M85" i="8" s="1"/>
  <c r="D100" i="8"/>
  <c r="J107" i="8"/>
  <c r="AG18" i="9"/>
  <c r="N19" i="9"/>
  <c r="AG30" i="9"/>
  <c r="N32" i="9"/>
  <c r="N50" i="9"/>
  <c r="Z62" i="9"/>
  <c r="Z75" i="9"/>
  <c r="J101" i="9"/>
  <c r="D112" i="9"/>
  <c r="C112" i="9" s="1"/>
  <c r="K112" i="9" s="1"/>
  <c r="G11" i="10"/>
  <c r="P11" i="10" s="1"/>
  <c r="N17" i="10"/>
  <c r="N64" i="10"/>
  <c r="J105" i="10"/>
  <c r="AV32" i="13"/>
  <c r="J68" i="13"/>
  <c r="J69" i="13"/>
  <c r="Y69" i="13"/>
  <c r="D26" i="4"/>
  <c r="T17" i="6"/>
  <c r="T29" i="6"/>
  <c r="W32" i="6"/>
  <c r="J105" i="6"/>
  <c r="AF14" i="7"/>
  <c r="T25" i="7"/>
  <c r="AC25" i="7"/>
  <c r="BU25" i="7"/>
  <c r="AI29" i="7"/>
  <c r="T68" i="7"/>
  <c r="W70" i="7"/>
  <c r="AI72" i="7"/>
  <c r="BL81" i="7"/>
  <c r="BU81" i="7"/>
  <c r="J116" i="7"/>
  <c r="AE17" i="9"/>
  <c r="J20" i="9"/>
  <c r="D21" i="9"/>
  <c r="M21" i="9" s="1"/>
  <c r="T28" i="9"/>
  <c r="W43" i="9"/>
  <c r="J59" i="11"/>
  <c r="J63" i="11"/>
  <c r="J78" i="11"/>
  <c r="J80" i="11"/>
  <c r="J82" i="11"/>
  <c r="J110" i="11"/>
  <c r="D39" i="12"/>
  <c r="C39" i="12" s="1"/>
  <c r="D58" i="12"/>
  <c r="M58" i="12" s="1"/>
  <c r="D61" i="12"/>
  <c r="M61" i="12" s="1"/>
  <c r="D67" i="12"/>
  <c r="C67" i="12" s="1"/>
  <c r="S40" i="1"/>
  <c r="S48" i="1"/>
  <c r="Y74" i="1"/>
  <c r="J17" i="2"/>
  <c r="AO18" i="2"/>
  <c r="AZ40" i="2"/>
  <c r="J42" i="2"/>
  <c r="T44" i="2"/>
  <c r="AZ47" i="2"/>
  <c r="N76" i="2"/>
  <c r="J35" i="3"/>
  <c r="D59" i="3"/>
  <c r="D20" i="5"/>
  <c r="C20" i="5" s="1"/>
  <c r="D24" i="5"/>
  <c r="M24" i="5" s="1"/>
  <c r="D81" i="5"/>
  <c r="M81" i="5" s="1"/>
  <c r="D90" i="5"/>
  <c r="M90" i="5" s="1"/>
  <c r="M26" i="6"/>
  <c r="J23" i="7"/>
  <c r="AI23" i="7"/>
  <c r="N46" i="7"/>
  <c r="X54" i="7"/>
  <c r="AI54" i="7"/>
  <c r="J55" i="7"/>
  <c r="AZ55" i="7"/>
  <c r="BI55" i="7"/>
  <c r="AC56" i="7"/>
  <c r="BU56" i="7"/>
  <c r="CM56" i="7"/>
  <c r="BU82" i="7"/>
  <c r="J102" i="7"/>
  <c r="AE69" i="9"/>
  <c r="J97" i="9"/>
  <c r="W53" i="10"/>
  <c r="D46" i="11"/>
  <c r="M46" i="11" s="1"/>
  <c r="D50" i="11"/>
  <c r="C50" i="11" s="1"/>
  <c r="K50" i="11" s="1"/>
  <c r="D59" i="11"/>
  <c r="C59" i="11" s="1"/>
  <c r="K59" i="11" s="1"/>
  <c r="W27" i="12"/>
  <c r="D44" i="12"/>
  <c r="C44" i="12" s="1"/>
  <c r="Q23" i="13"/>
  <c r="AN43" i="13"/>
  <c r="AJ65" i="13"/>
  <c r="AC69" i="13"/>
  <c r="P72" i="13"/>
  <c r="AC72" i="13"/>
  <c r="P76" i="13"/>
  <c r="P77" i="13"/>
  <c r="Z52" i="1"/>
  <c r="N88" i="1"/>
  <c r="AQ24" i="2"/>
  <c r="N26" i="2"/>
  <c r="J44" i="4"/>
  <c r="D33" i="6"/>
  <c r="C33" i="6" s="1"/>
  <c r="G11" i="7"/>
  <c r="P11" i="7" s="1"/>
  <c r="I11" i="8"/>
  <c r="Q11" i="8" s="1"/>
  <c r="D26" i="9"/>
  <c r="M26" i="9" s="1"/>
  <c r="AB38" i="9"/>
  <c r="D87" i="10"/>
  <c r="M87" i="10" s="1"/>
  <c r="J100" i="12"/>
  <c r="D105" i="12"/>
  <c r="C105" i="12" s="1"/>
  <c r="Q32" i="13"/>
  <c r="R33" i="1"/>
  <c r="R47" i="1"/>
  <c r="R64" i="1"/>
  <c r="R66" i="1"/>
  <c r="U66" i="1" s="1"/>
  <c r="T66" i="1"/>
  <c r="D95" i="1"/>
  <c r="C95" i="1" s="1"/>
  <c r="K95" i="1" s="1"/>
  <c r="J96" i="1"/>
  <c r="J113" i="1"/>
  <c r="J114" i="1"/>
  <c r="AW18" i="2"/>
  <c r="N19" i="2"/>
  <c r="T23" i="2"/>
  <c r="D42" i="2"/>
  <c r="M42" i="2" s="1"/>
  <c r="J46" i="2"/>
  <c r="N73" i="2"/>
  <c r="D100" i="2"/>
  <c r="C100" i="2" s="1"/>
  <c r="K100" i="2" s="1"/>
  <c r="G11" i="3"/>
  <c r="P11" i="3" s="1"/>
  <c r="Q43" i="4"/>
  <c r="D34" i="5"/>
  <c r="C34" i="5" s="1"/>
  <c r="K34" i="5" s="1"/>
  <c r="D38" i="5"/>
  <c r="C38" i="5" s="1"/>
  <c r="D40" i="5"/>
  <c r="C40" i="5" s="1"/>
  <c r="K40" i="5" s="1"/>
  <c r="W35" i="6"/>
  <c r="BR85" i="7"/>
  <c r="N106" i="7"/>
  <c r="G11" i="9"/>
  <c r="P11" i="9" s="1"/>
  <c r="AE41" i="9"/>
  <c r="J17" i="10"/>
  <c r="J20" i="10"/>
  <c r="N59" i="10"/>
  <c r="W80" i="10"/>
  <c r="N106" i="10"/>
  <c r="D108" i="10"/>
  <c r="C108" i="10" s="1"/>
  <c r="K108" i="10" s="1"/>
  <c r="J110" i="10"/>
  <c r="D23" i="13"/>
  <c r="C23" i="13" s="1"/>
  <c r="K23" i="13" s="1"/>
  <c r="AF66" i="13"/>
  <c r="Y67" i="13"/>
  <c r="J65" i="1"/>
  <c r="J69" i="1"/>
  <c r="J86" i="1"/>
  <c r="D92" i="1"/>
  <c r="C92" i="1" s="1"/>
  <c r="J103" i="1"/>
  <c r="AW48" i="2"/>
  <c r="T69" i="2"/>
  <c r="Q104" i="3"/>
  <c r="N36" i="4"/>
  <c r="J59" i="4"/>
  <c r="N106" i="5"/>
  <c r="N19" i="6"/>
  <c r="AC21" i="7"/>
  <c r="BU21" i="7"/>
  <c r="BU43" i="7"/>
  <c r="AW44" i="7"/>
  <c r="T46" i="7"/>
  <c r="BR64" i="7"/>
  <c r="X83" i="7"/>
  <c r="N102" i="7"/>
  <c r="D77" i="9"/>
  <c r="C77" i="9" s="1"/>
  <c r="K77" i="9" s="1"/>
  <c r="D116" i="9"/>
  <c r="C116" i="9" s="1"/>
  <c r="K116" i="9" s="1"/>
  <c r="N41" i="10"/>
  <c r="J43" i="10"/>
  <c r="U57" i="10"/>
  <c r="D58" i="10"/>
  <c r="M58" i="10" s="1"/>
  <c r="D61" i="10"/>
  <c r="M61" i="10" s="1"/>
  <c r="D80" i="10"/>
  <c r="AJ45" i="13"/>
  <c r="AJ46" i="13"/>
  <c r="AJ48" i="13"/>
  <c r="AJ53" i="13"/>
  <c r="AJ55" i="13"/>
  <c r="J72" i="13"/>
  <c r="AV77" i="13"/>
  <c r="J110" i="1"/>
  <c r="AW27" i="2"/>
  <c r="J60" i="2"/>
  <c r="D96" i="2"/>
  <c r="C96" i="2" s="1"/>
  <c r="D102" i="2"/>
  <c r="M102" i="2" s="1"/>
  <c r="J77" i="3"/>
  <c r="AD18" i="4"/>
  <c r="X19" i="4"/>
  <c r="J29" i="4"/>
  <c r="X36" i="4"/>
  <c r="D37" i="4"/>
  <c r="AA40" i="4"/>
  <c r="U41" i="4"/>
  <c r="AD41" i="4"/>
  <c r="D62" i="4"/>
  <c r="C62" i="4" s="1"/>
  <c r="K62" i="4" s="1"/>
  <c r="AD63" i="4"/>
  <c r="J98" i="4"/>
  <c r="D114" i="4"/>
  <c r="J115" i="4"/>
  <c r="J20" i="5"/>
  <c r="J28" i="5"/>
  <c r="J33" i="5"/>
  <c r="J37" i="5"/>
  <c r="J62" i="5"/>
  <c r="T67" i="5"/>
  <c r="J87" i="5"/>
  <c r="J14" i="6"/>
  <c r="J27" i="6"/>
  <c r="J28" i="6"/>
  <c r="W64" i="6"/>
  <c r="AF22" i="7"/>
  <c r="AO22" i="7"/>
  <c r="BO22" i="7"/>
  <c r="J24" i="7"/>
  <c r="BR24" i="7"/>
  <c r="AC27" i="7"/>
  <c r="BU27" i="7"/>
  <c r="BL85" i="7"/>
  <c r="D111" i="7"/>
  <c r="M111" i="7" s="1"/>
  <c r="D116" i="7"/>
  <c r="C116" i="7" s="1"/>
  <c r="K116" i="7" s="1"/>
  <c r="J55" i="8"/>
  <c r="J57" i="8"/>
  <c r="J59" i="8"/>
  <c r="J61" i="8"/>
  <c r="J63" i="8"/>
  <c r="D95" i="8"/>
  <c r="C95" i="8" s="1"/>
  <c r="K95" i="8" s="1"/>
  <c r="D111" i="9"/>
  <c r="M111" i="9" s="1"/>
  <c r="J112" i="9"/>
  <c r="D30" i="10"/>
  <c r="C30" i="10" s="1"/>
  <c r="N66" i="10"/>
  <c r="D28" i="12"/>
  <c r="C28" i="12" s="1"/>
  <c r="D96" i="12"/>
  <c r="C96" i="12" s="1"/>
  <c r="K96" i="12" s="1"/>
  <c r="J97" i="12"/>
  <c r="J103" i="12"/>
  <c r="AC53" i="13"/>
  <c r="AC58" i="13"/>
  <c r="AR67" i="13"/>
  <c r="D26" i="1"/>
  <c r="D51" i="1"/>
  <c r="D54" i="1"/>
  <c r="M54" i="1" s="1"/>
  <c r="D64" i="1"/>
  <c r="C64" i="1" s="1"/>
  <c r="D72" i="1"/>
  <c r="C72" i="1" s="1"/>
  <c r="E74" i="1"/>
  <c r="D44" i="2"/>
  <c r="M44" i="2" s="1"/>
  <c r="D24" i="3"/>
  <c r="C24" i="3" s="1"/>
  <c r="K24" i="3" s="1"/>
  <c r="D47" i="3"/>
  <c r="J79" i="3"/>
  <c r="D85" i="3"/>
  <c r="M85" i="3" s="1"/>
  <c r="P43" i="4"/>
  <c r="U43" i="4"/>
  <c r="E31" i="8"/>
  <c r="Y77" i="10"/>
  <c r="W77" i="10"/>
  <c r="U77" i="10"/>
  <c r="S17" i="1"/>
  <c r="W17" i="1" s="1"/>
  <c r="N18" i="1"/>
  <c r="T20" i="1"/>
  <c r="R20" i="1"/>
  <c r="S24" i="1"/>
  <c r="W24" i="1" s="1"/>
  <c r="S62" i="1"/>
  <c r="W62" i="1" s="1"/>
  <c r="S64" i="1"/>
  <c r="N93" i="1"/>
  <c r="J30" i="2"/>
  <c r="P104" i="6"/>
  <c r="G11" i="6"/>
  <c r="P11" i="6" s="1"/>
  <c r="R19" i="1"/>
  <c r="T19" i="1"/>
  <c r="AL19" i="1"/>
  <c r="N22" i="1"/>
  <c r="J76" i="1"/>
  <c r="AS13" i="2"/>
  <c r="AQ63" i="2"/>
  <c r="J65" i="2"/>
  <c r="D80" i="2"/>
  <c r="M80" i="2" s="1"/>
  <c r="AZ84" i="2"/>
  <c r="J86" i="2"/>
  <c r="J98" i="2"/>
  <c r="J21" i="3"/>
  <c r="D39" i="3"/>
  <c r="M39" i="3" s="1"/>
  <c r="J56" i="3"/>
  <c r="D73" i="3"/>
  <c r="M73" i="3" s="1"/>
  <c r="D110" i="3"/>
  <c r="J111" i="3"/>
  <c r="D35" i="4"/>
  <c r="C35" i="4" s="1"/>
  <c r="K35" i="4" s="1"/>
  <c r="D38" i="4"/>
  <c r="M38" i="4" s="1"/>
  <c r="AD39" i="4"/>
  <c r="P53" i="8"/>
  <c r="G52" i="8"/>
  <c r="P52" i="8" s="1"/>
  <c r="AT31" i="2"/>
  <c r="Z39" i="2"/>
  <c r="N44" i="2"/>
  <c r="P48" i="3"/>
  <c r="P104" i="11"/>
  <c r="G11" i="11"/>
  <c r="P11" i="11" s="1"/>
  <c r="N15" i="1"/>
  <c r="J58" i="1"/>
  <c r="J60" i="1"/>
  <c r="J70" i="1"/>
  <c r="J72" i="1"/>
  <c r="AL82" i="1"/>
  <c r="J26" i="2"/>
  <c r="J33" i="2"/>
  <c r="J45" i="2"/>
  <c r="AO49" i="2"/>
  <c r="J16" i="3"/>
  <c r="J51" i="3"/>
  <c r="X49" i="2"/>
  <c r="J61" i="2"/>
  <c r="Q48" i="3"/>
  <c r="J11" i="4"/>
  <c r="N16" i="5"/>
  <c r="D17" i="5"/>
  <c r="M17" i="5" s="1"/>
  <c r="D21" i="5"/>
  <c r="C21" i="5" s="1"/>
  <c r="K21" i="5" s="1"/>
  <c r="D66" i="5"/>
  <c r="M66" i="5" s="1"/>
  <c r="N67" i="5"/>
  <c r="D112" i="6"/>
  <c r="C112" i="6" s="1"/>
  <c r="K112" i="6" s="1"/>
  <c r="AZ43" i="7"/>
  <c r="BI43" i="7"/>
  <c r="BR43" i="7"/>
  <c r="X68" i="7"/>
  <c r="N72" i="7"/>
  <c r="AL78" i="7"/>
  <c r="BI82" i="7"/>
  <c r="AG42" i="9"/>
  <c r="N43" i="9"/>
  <c r="AG76" i="9"/>
  <c r="D81" i="9"/>
  <c r="C81" i="9" s="1"/>
  <c r="K81" i="9" s="1"/>
  <c r="D45" i="10"/>
  <c r="C45" i="10" s="1"/>
  <c r="D83" i="10"/>
  <c r="D85" i="10"/>
  <c r="J94" i="10"/>
  <c r="J115" i="10"/>
  <c r="D32" i="11"/>
  <c r="M32" i="11" s="1"/>
  <c r="D40" i="11"/>
  <c r="M40" i="11" s="1"/>
  <c r="N44" i="12"/>
  <c r="J73" i="12"/>
  <c r="AZ17" i="13"/>
  <c r="J18" i="13"/>
  <c r="D21" i="13"/>
  <c r="C21" i="13" s="1"/>
  <c r="AZ22" i="13"/>
  <c r="Y23" i="13"/>
  <c r="Q25" i="13"/>
  <c r="Y25" i="13"/>
  <c r="Q26" i="13"/>
  <c r="AF26" i="13"/>
  <c r="AN26" i="13"/>
  <c r="BD26" i="13"/>
  <c r="AN27" i="13"/>
  <c r="N28" i="13"/>
  <c r="AN28" i="13"/>
  <c r="BD28" i="13"/>
  <c r="AN29" i="13"/>
  <c r="AN30" i="13"/>
  <c r="AV30" i="13"/>
  <c r="AN32" i="13"/>
  <c r="AN39" i="13"/>
  <c r="AC42" i="13"/>
  <c r="AC45" i="13"/>
  <c r="AC47" i="13"/>
  <c r="AJ63" i="13"/>
  <c r="Q70" i="13"/>
  <c r="Q72" i="13"/>
  <c r="Q73" i="13"/>
  <c r="P81" i="13"/>
  <c r="N46" i="6"/>
  <c r="T20" i="7"/>
  <c r="W49" i="7"/>
  <c r="AO49" i="7"/>
  <c r="CJ51" i="7"/>
  <c r="AC54" i="7"/>
  <c r="CM55" i="7"/>
  <c r="BQ74" i="7"/>
  <c r="BZ74" i="7"/>
  <c r="BU77" i="7"/>
  <c r="D19" i="8"/>
  <c r="M19" i="8" s="1"/>
  <c r="D23" i="8"/>
  <c r="C23" i="8" s="1"/>
  <c r="D29" i="8"/>
  <c r="J111" i="8"/>
  <c r="AG15" i="9"/>
  <c r="N38" i="10"/>
  <c r="W49" i="10"/>
  <c r="J65" i="11"/>
  <c r="D71" i="11"/>
  <c r="D16" i="12"/>
  <c r="C16" i="12" s="1"/>
  <c r="D22" i="12"/>
  <c r="M22" i="12" s="1"/>
  <c r="T34" i="12"/>
  <c r="D40" i="12"/>
  <c r="M40" i="12" s="1"/>
  <c r="W47" i="12"/>
  <c r="D107" i="12"/>
  <c r="C107" i="12" s="1"/>
  <c r="K107" i="12" s="1"/>
  <c r="J108" i="12"/>
  <c r="D113" i="12"/>
  <c r="M113" i="12" s="1"/>
  <c r="J114" i="12"/>
  <c r="AC20" i="13"/>
  <c r="BD50" i="13"/>
  <c r="BD51" i="13"/>
  <c r="AN58" i="13"/>
  <c r="BD58" i="13"/>
  <c r="D37" i="6"/>
  <c r="C37" i="6" s="1"/>
  <c r="AC35" i="7"/>
  <c r="T66" i="7"/>
  <c r="BU67" i="7"/>
  <c r="N69" i="7"/>
  <c r="N77" i="7"/>
  <c r="O31" i="8"/>
  <c r="J65" i="8"/>
  <c r="D94" i="8"/>
  <c r="M94" i="8" s="1"/>
  <c r="AB56" i="9"/>
  <c r="J64" i="9"/>
  <c r="AE83" i="9"/>
  <c r="N50" i="10"/>
  <c r="U65" i="10"/>
  <c r="Y84" i="10"/>
  <c r="J92" i="10"/>
  <c r="J36" i="13"/>
  <c r="Q55" i="13"/>
  <c r="Q81" i="13"/>
  <c r="Q82" i="13"/>
  <c r="N96" i="4"/>
  <c r="N62" i="5"/>
  <c r="D63" i="5"/>
  <c r="D78" i="5"/>
  <c r="M78" i="5" s="1"/>
  <c r="D82" i="5"/>
  <c r="M82" i="5" s="1"/>
  <c r="W19" i="7"/>
  <c r="AF19" i="7"/>
  <c r="AO19" i="7"/>
  <c r="J21" i="7"/>
  <c r="J37" i="7"/>
  <c r="BL45" i="7"/>
  <c r="AO54" i="7"/>
  <c r="AO55" i="7"/>
  <c r="BX55" i="7"/>
  <c r="AO61" i="7"/>
  <c r="D63" i="7"/>
  <c r="M63" i="7" s="1"/>
  <c r="BL64" i="7"/>
  <c r="X70" i="7"/>
  <c r="BI70" i="7"/>
  <c r="AW76" i="7"/>
  <c r="BF76" i="7"/>
  <c r="J112" i="7"/>
  <c r="N34" i="9"/>
  <c r="N46" i="9"/>
  <c r="AG72" i="9"/>
  <c r="C97" i="9"/>
  <c r="K97" i="9" s="1"/>
  <c r="W86" i="10"/>
  <c r="D102" i="10"/>
  <c r="M102" i="10" s="1"/>
  <c r="J103" i="10"/>
  <c r="D64" i="11"/>
  <c r="C64" i="11" s="1"/>
  <c r="K64" i="11" s="1"/>
  <c r="J70" i="11"/>
  <c r="W39" i="12"/>
  <c r="P40" i="12"/>
  <c r="N73" i="12"/>
  <c r="N80" i="12"/>
  <c r="N86" i="12"/>
  <c r="AN14" i="13"/>
  <c r="AV14" i="13"/>
  <c r="BD14" i="13"/>
  <c r="AN15" i="13"/>
  <c r="AN16" i="13"/>
  <c r="BD16" i="13"/>
  <c r="AN18" i="13"/>
  <c r="AZ27" i="13"/>
  <c r="AZ32" i="13"/>
  <c r="AZ33" i="13"/>
  <c r="AZ34" i="13"/>
  <c r="AJ36" i="13"/>
  <c r="AR37" i="13"/>
  <c r="AZ37" i="13"/>
  <c r="AZ38" i="13"/>
  <c r="AJ39" i="13"/>
  <c r="Y53" i="13"/>
  <c r="U76" i="13"/>
  <c r="AR77" i="13"/>
  <c r="D60" i="4"/>
  <c r="M60" i="4" s="1"/>
  <c r="D99" i="4"/>
  <c r="C99" i="4" s="1"/>
  <c r="K99" i="4" s="1"/>
  <c r="D45" i="5"/>
  <c r="C45" i="5" s="1"/>
  <c r="J110" i="5"/>
  <c r="D111" i="6"/>
  <c r="M111" i="6" s="1"/>
  <c r="T14" i="7"/>
  <c r="BU14" i="7"/>
  <c r="T22" i="7"/>
  <c r="AC22" i="7"/>
  <c r="BL22" i="7"/>
  <c r="BU22" i="7"/>
  <c r="AF24" i="7"/>
  <c r="AO24" i="7"/>
  <c r="W34" i="7"/>
  <c r="AO34" i="7"/>
  <c r="X36" i="7"/>
  <c r="T42" i="7"/>
  <c r="AC42" i="7"/>
  <c r="AF59" i="7"/>
  <c r="J61" i="7"/>
  <c r="W84" i="7"/>
  <c r="AO84" i="7"/>
  <c r="X87" i="7"/>
  <c r="D14" i="8"/>
  <c r="D16" i="8"/>
  <c r="D18" i="8"/>
  <c r="C18" i="8" s="1"/>
  <c r="D20" i="8"/>
  <c r="M20" i="8" s="1"/>
  <c r="D26" i="8"/>
  <c r="C26" i="8" s="1"/>
  <c r="J33" i="8"/>
  <c r="J35" i="8"/>
  <c r="J37" i="8"/>
  <c r="J39" i="8"/>
  <c r="J41" i="8"/>
  <c r="J43" i="8"/>
  <c r="J45" i="8"/>
  <c r="J47" i="8"/>
  <c r="J49" i="8"/>
  <c r="J51" i="8"/>
  <c r="D88" i="8"/>
  <c r="M88" i="8" s="1"/>
  <c r="J109" i="8"/>
  <c r="J115" i="8"/>
  <c r="T43" i="9"/>
  <c r="D108" i="9"/>
  <c r="C108" i="9" s="1"/>
  <c r="K108" i="9" s="1"/>
  <c r="J110" i="9"/>
  <c r="U30" i="10"/>
  <c r="D32" i="10"/>
  <c r="M32" i="10" s="1"/>
  <c r="D35" i="10"/>
  <c r="M35" i="10" s="1"/>
  <c r="J80" i="10"/>
  <c r="J25" i="11"/>
  <c r="D72" i="11"/>
  <c r="M72" i="11" s="1"/>
  <c r="T23" i="12"/>
  <c r="J24" i="12"/>
  <c r="T44" i="12"/>
  <c r="J45" i="12"/>
  <c r="T47" i="12"/>
  <c r="J48" i="12"/>
  <c r="D57" i="12"/>
  <c r="M57" i="12" s="1"/>
  <c r="D69" i="12"/>
  <c r="M69" i="12" s="1"/>
  <c r="D72" i="12"/>
  <c r="M72" i="12" s="1"/>
  <c r="J94" i="12"/>
  <c r="D110" i="12"/>
  <c r="M110" i="12" s="1"/>
  <c r="J111" i="12"/>
  <c r="AC32" i="13"/>
  <c r="AC36" i="13"/>
  <c r="AC39" i="13"/>
  <c r="AC41" i="13"/>
  <c r="AZ43" i="13"/>
  <c r="AZ44" i="13"/>
  <c r="AZ45" i="13"/>
  <c r="AZ46" i="13"/>
  <c r="AZ48" i="13"/>
  <c r="AR51" i="13"/>
  <c r="AR55" i="13"/>
  <c r="AR58" i="13"/>
  <c r="AZ58" i="13"/>
  <c r="D59" i="13"/>
  <c r="C59" i="13" s="1"/>
  <c r="AF62" i="13"/>
  <c r="Y63" i="13"/>
  <c r="G11" i="1"/>
  <c r="P11" i="1" s="1"/>
  <c r="D27" i="1"/>
  <c r="M27" i="1" s="1"/>
  <c r="D29" i="1"/>
  <c r="C29" i="1" s="1"/>
  <c r="K29" i="1" s="1"/>
  <c r="R54" i="1"/>
  <c r="U54" i="1" s="1"/>
  <c r="AQ35" i="2"/>
  <c r="X40" i="2"/>
  <c r="Z41" i="2"/>
  <c r="AQ51" i="2"/>
  <c r="N54" i="2"/>
  <c r="X54" i="2"/>
  <c r="N58" i="2"/>
  <c r="N72" i="2"/>
  <c r="X72" i="2"/>
  <c r="X79" i="2"/>
  <c r="R50" i="1"/>
  <c r="T50" i="1"/>
  <c r="R61" i="1"/>
  <c r="U61" i="1" s="1"/>
  <c r="J19" i="2"/>
  <c r="X36" i="2"/>
  <c r="D49" i="2"/>
  <c r="C49" i="2" s="1"/>
  <c r="T50" i="2"/>
  <c r="N57" i="2"/>
  <c r="X57" i="2"/>
  <c r="R26" i="1"/>
  <c r="U26" i="1" s="1"/>
  <c r="R28" i="1"/>
  <c r="T28" i="1"/>
  <c r="V32" i="1"/>
  <c r="D33" i="1"/>
  <c r="M33" i="1" s="1"/>
  <c r="AC31" i="1"/>
  <c r="AI31" i="1"/>
  <c r="R73" i="1"/>
  <c r="U73" i="1" s="1"/>
  <c r="R77" i="1"/>
  <c r="U77" i="1" s="1"/>
  <c r="S78" i="1"/>
  <c r="W78" i="1" s="1"/>
  <c r="S80" i="1"/>
  <c r="W80" i="1" s="1"/>
  <c r="S88" i="1"/>
  <c r="V88" i="1"/>
  <c r="N96" i="1"/>
  <c r="Z15" i="2"/>
  <c r="AW20" i="2"/>
  <c r="AZ26" i="2"/>
  <c r="D38" i="2"/>
  <c r="M38" i="2" s="1"/>
  <c r="D39" i="2"/>
  <c r="M39" i="2" s="1"/>
  <c r="T42" i="2"/>
  <c r="N50" i="2"/>
  <c r="H31" i="6"/>
  <c r="AE13" i="1"/>
  <c r="AK13" i="1"/>
  <c r="AL35" i="1"/>
  <c r="AL72" i="1"/>
  <c r="H74" i="1"/>
  <c r="Z74" i="1"/>
  <c r="AF74" i="1"/>
  <c r="D94" i="1"/>
  <c r="C94" i="1" s="1"/>
  <c r="K94" i="1" s="1"/>
  <c r="J106" i="1"/>
  <c r="X15" i="2"/>
  <c r="D24" i="2"/>
  <c r="C24" i="2" s="1"/>
  <c r="D25" i="2"/>
  <c r="M25" i="2" s="1"/>
  <c r="AO25" i="2"/>
  <c r="X27" i="2"/>
  <c r="AZ33" i="2"/>
  <c r="AZ34" i="2"/>
  <c r="T47" i="2"/>
  <c r="AQ47" i="2"/>
  <c r="Z50" i="2"/>
  <c r="J51" i="2"/>
  <c r="D53" i="2"/>
  <c r="C53" i="2" s="1"/>
  <c r="T54" i="2"/>
  <c r="T58" i="2"/>
  <c r="X60" i="2"/>
  <c r="X67" i="2"/>
  <c r="N69" i="2"/>
  <c r="AZ77" i="2"/>
  <c r="D87" i="2"/>
  <c r="J59" i="3"/>
  <c r="J88" i="3"/>
  <c r="J98" i="3"/>
  <c r="X55" i="4"/>
  <c r="J90" i="4"/>
  <c r="D23" i="5"/>
  <c r="D27" i="5"/>
  <c r="C27" i="5" s="1"/>
  <c r="J34" i="5"/>
  <c r="D77" i="5"/>
  <c r="M77" i="5" s="1"/>
  <c r="J81" i="5"/>
  <c r="J85" i="5"/>
  <c r="J102" i="5"/>
  <c r="D112" i="5"/>
  <c r="C112" i="5" s="1"/>
  <c r="K112" i="5" s="1"/>
  <c r="D116" i="5"/>
  <c r="C116" i="5" s="1"/>
  <c r="K116" i="5" s="1"/>
  <c r="J40" i="6"/>
  <c r="T42" i="6"/>
  <c r="J46" i="6"/>
  <c r="T48" i="6"/>
  <c r="T55" i="6"/>
  <c r="W58" i="6"/>
  <c r="W65" i="6"/>
  <c r="J67" i="6"/>
  <c r="D68" i="6"/>
  <c r="M68" i="6" s="1"/>
  <c r="T70" i="6"/>
  <c r="J76" i="6"/>
  <c r="T78" i="6"/>
  <c r="W80" i="6"/>
  <c r="J82" i="6"/>
  <c r="T84" i="6"/>
  <c r="W86" i="6"/>
  <c r="J88" i="6"/>
  <c r="N16" i="7"/>
  <c r="W16" i="7"/>
  <c r="AF16" i="7"/>
  <c r="AO16" i="7"/>
  <c r="J18" i="7"/>
  <c r="BR18" i="7"/>
  <c r="W32" i="7"/>
  <c r="AF32" i="7"/>
  <c r="AI35" i="7"/>
  <c r="AZ35" i="7"/>
  <c r="BC40" i="7"/>
  <c r="W44" i="7"/>
  <c r="BC47" i="7"/>
  <c r="BC55" i="7"/>
  <c r="D108" i="7"/>
  <c r="M108" i="7" s="1"/>
  <c r="J11" i="10"/>
  <c r="AW80" i="2"/>
  <c r="N81" i="2"/>
  <c r="J27" i="3"/>
  <c r="J49" i="3"/>
  <c r="Z31" i="4"/>
  <c r="D55" i="4"/>
  <c r="M55" i="4" s="1"/>
  <c r="J58" i="4"/>
  <c r="J68" i="4"/>
  <c r="X76" i="4"/>
  <c r="X88" i="4"/>
  <c r="T70" i="2"/>
  <c r="AZ73" i="2"/>
  <c r="D77" i="2"/>
  <c r="C77" i="2" s="1"/>
  <c r="J90" i="2"/>
  <c r="J106" i="2"/>
  <c r="J112" i="2"/>
  <c r="J17" i="3"/>
  <c r="AA15" i="4"/>
  <c r="P24" i="4"/>
  <c r="J61" i="4"/>
  <c r="T23" i="5"/>
  <c r="D44" i="5"/>
  <c r="M44" i="5" s="1"/>
  <c r="J46" i="5"/>
  <c r="J48" i="5"/>
  <c r="N55" i="5"/>
  <c r="D56" i="5"/>
  <c r="M56" i="5" s="1"/>
  <c r="D83" i="5"/>
  <c r="M83" i="5" s="1"/>
  <c r="D87" i="5"/>
  <c r="M87" i="5" s="1"/>
  <c r="J99" i="5"/>
  <c r="J114" i="5"/>
  <c r="N62" i="6"/>
  <c r="T67" i="6"/>
  <c r="N70" i="6"/>
  <c r="W70" i="6"/>
  <c r="N78" i="6"/>
  <c r="W78" i="6"/>
  <c r="J80" i="6"/>
  <c r="T82" i="6"/>
  <c r="N84" i="6"/>
  <c r="W84" i="6"/>
  <c r="J86" i="6"/>
  <c r="T88" i="6"/>
  <c r="D92" i="6"/>
  <c r="D97" i="6"/>
  <c r="M97" i="6" s="1"/>
  <c r="D108" i="6"/>
  <c r="M108" i="6" s="1"/>
  <c r="D17" i="7"/>
  <c r="M17" i="7" s="1"/>
  <c r="AC18" i="7"/>
  <c r="AL18" i="7"/>
  <c r="BI26" i="7"/>
  <c r="BR26" i="7"/>
  <c r="D27" i="7"/>
  <c r="M27" i="7" s="1"/>
  <c r="T29" i="7"/>
  <c r="BR30" i="7"/>
  <c r="I31" i="7"/>
  <c r="Q31" i="7" s="1"/>
  <c r="J32" i="7"/>
  <c r="AT35" i="7"/>
  <c r="BL35" i="7"/>
  <c r="T37" i="7"/>
  <c r="AF38" i="7"/>
  <c r="AO38" i="7"/>
  <c r="AC39" i="7"/>
  <c r="N41" i="7"/>
  <c r="AF41" i="7"/>
  <c r="CD45" i="7"/>
  <c r="AF46" i="7"/>
  <c r="AO46" i="7"/>
  <c r="AW46" i="7"/>
  <c r="AW47" i="7"/>
  <c r="N48" i="7"/>
  <c r="BC54" i="7"/>
  <c r="BU54" i="7"/>
  <c r="Z87" i="2"/>
  <c r="J28" i="3"/>
  <c r="Q36" i="3"/>
  <c r="J102" i="3"/>
  <c r="J99" i="4"/>
  <c r="E13" i="5"/>
  <c r="O13" i="5"/>
  <c r="H13" i="5"/>
  <c r="N25" i="5"/>
  <c r="D48" i="5"/>
  <c r="M48" i="5" s="1"/>
  <c r="D58" i="5"/>
  <c r="M58" i="5" s="1"/>
  <c r="D76" i="5"/>
  <c r="M76" i="5" s="1"/>
  <c r="J19" i="6"/>
  <c r="AC44" i="7"/>
  <c r="J49" i="7"/>
  <c r="AE79" i="9"/>
  <c r="AG79" i="9"/>
  <c r="X70" i="2"/>
  <c r="Z71" i="2"/>
  <c r="AZ71" i="2"/>
  <c r="Z79" i="2"/>
  <c r="N85" i="2"/>
  <c r="X85" i="2"/>
  <c r="D91" i="2"/>
  <c r="C91" i="2" s="1"/>
  <c r="K91" i="2" s="1"/>
  <c r="J92" i="2"/>
  <c r="J107" i="2"/>
  <c r="D113" i="2"/>
  <c r="D18" i="3"/>
  <c r="C18" i="3" s="1"/>
  <c r="K18" i="3" s="1"/>
  <c r="D41" i="3"/>
  <c r="M41" i="3" s="1"/>
  <c r="D51" i="3"/>
  <c r="M51" i="3" s="1"/>
  <c r="J81" i="3"/>
  <c r="D92" i="3"/>
  <c r="C92" i="3" s="1"/>
  <c r="K92" i="3" s="1"/>
  <c r="D102" i="3"/>
  <c r="N19" i="4"/>
  <c r="U23" i="4"/>
  <c r="J53" i="4"/>
  <c r="N55" i="4"/>
  <c r="J56" i="4"/>
  <c r="E74" i="4"/>
  <c r="U76" i="4"/>
  <c r="D95" i="4"/>
  <c r="C95" i="4" s="1"/>
  <c r="K95" i="4" s="1"/>
  <c r="J101" i="4"/>
  <c r="J43" i="5"/>
  <c r="J45" i="5"/>
  <c r="J47" i="5"/>
  <c r="D50" i="5"/>
  <c r="M50" i="5" s="1"/>
  <c r="J55" i="5"/>
  <c r="J66" i="5"/>
  <c r="J68" i="5"/>
  <c r="J70" i="5"/>
  <c r="J75" i="5"/>
  <c r="J84" i="5"/>
  <c r="J88" i="5"/>
  <c r="D96" i="5"/>
  <c r="C96" i="5" s="1"/>
  <c r="J101" i="5"/>
  <c r="D106" i="5"/>
  <c r="C106" i="5" s="1"/>
  <c r="J107" i="5"/>
  <c r="D110" i="5"/>
  <c r="C110" i="5" s="1"/>
  <c r="K110" i="5" s="1"/>
  <c r="D114" i="5"/>
  <c r="D115" i="5"/>
  <c r="M115" i="5" s="1"/>
  <c r="J115" i="5"/>
  <c r="J116" i="5"/>
  <c r="D20" i="6"/>
  <c r="M20" i="6" s="1"/>
  <c r="T38" i="6"/>
  <c r="N40" i="6"/>
  <c r="J42" i="6"/>
  <c r="T44" i="6"/>
  <c r="J48" i="6"/>
  <c r="T50" i="6"/>
  <c r="W53" i="6"/>
  <c r="J55" i="6"/>
  <c r="D56" i="6"/>
  <c r="M56" i="6" s="1"/>
  <c r="T58" i="6"/>
  <c r="T65" i="6"/>
  <c r="W76" i="6"/>
  <c r="J78" i="6"/>
  <c r="T80" i="6"/>
  <c r="W82" i="6"/>
  <c r="J84" i="6"/>
  <c r="T86" i="6"/>
  <c r="W88" i="6"/>
  <c r="D93" i="6"/>
  <c r="T16" i="7"/>
  <c r="AL26" i="7"/>
  <c r="BL30" i="7"/>
  <c r="AO35" i="7"/>
  <c r="AO37" i="7"/>
  <c r="AZ38" i="7"/>
  <c r="AO39" i="7"/>
  <c r="AW41" i="7"/>
  <c r="J104" i="9"/>
  <c r="L11" i="9"/>
  <c r="J11" i="9" s="1"/>
  <c r="X52" i="10"/>
  <c r="BR55" i="7"/>
  <c r="CA55" i="7"/>
  <c r="N58" i="7"/>
  <c r="D73" i="7"/>
  <c r="M73" i="7" s="1"/>
  <c r="AF78" i="7"/>
  <c r="AI80" i="7"/>
  <c r="AO80" i="7"/>
  <c r="BL82" i="7"/>
  <c r="D87" i="8"/>
  <c r="M87" i="8" s="1"/>
  <c r="J33" i="9"/>
  <c r="T35" i="9"/>
  <c r="D39" i="9"/>
  <c r="M39" i="9" s="1"/>
  <c r="J39" i="9"/>
  <c r="T40" i="9"/>
  <c r="Z53" i="9"/>
  <c r="N56" i="9"/>
  <c r="D86" i="9"/>
  <c r="M86" i="9" s="1"/>
  <c r="AE88" i="9"/>
  <c r="W29" i="10"/>
  <c r="D51" i="10"/>
  <c r="J55" i="10"/>
  <c r="D60" i="10"/>
  <c r="C60" i="10" s="1"/>
  <c r="K60" i="10" s="1"/>
  <c r="N67" i="10"/>
  <c r="D68" i="10"/>
  <c r="M68" i="10" s="1"/>
  <c r="J83" i="10"/>
  <c r="W83" i="10"/>
  <c r="U86" i="10"/>
  <c r="J46" i="11"/>
  <c r="D96" i="11"/>
  <c r="M96" i="11" s="1"/>
  <c r="D112" i="11"/>
  <c r="C112" i="11" s="1"/>
  <c r="K112" i="11" s="1"/>
  <c r="J113" i="11"/>
  <c r="W16" i="12"/>
  <c r="W37" i="12"/>
  <c r="W40" i="12"/>
  <c r="D99" i="12"/>
  <c r="C99" i="12" s="1"/>
  <c r="K99" i="12" s="1"/>
  <c r="J106" i="12"/>
  <c r="N11" i="13"/>
  <c r="Y15" i="13"/>
  <c r="AF15" i="13"/>
  <c r="Q20" i="13"/>
  <c r="Y20" i="13"/>
  <c r="AN22" i="13"/>
  <c r="AC25" i="13"/>
  <c r="AC26" i="13"/>
  <c r="U30" i="13"/>
  <c r="AC30" i="13"/>
  <c r="Q36" i="13"/>
  <c r="V31" i="13"/>
  <c r="AF36" i="13"/>
  <c r="AN36" i="13"/>
  <c r="Q37" i="13"/>
  <c r="Y37" i="13"/>
  <c r="AN38" i="13"/>
  <c r="Q39" i="13"/>
  <c r="Y39" i="13"/>
  <c r="P40" i="13"/>
  <c r="AC44" i="13"/>
  <c r="Q60" i="13"/>
  <c r="N61" i="13"/>
  <c r="AZ69" i="13"/>
  <c r="D77" i="13"/>
  <c r="M77" i="13" s="1"/>
  <c r="J77" i="13"/>
  <c r="Q78" i="13"/>
  <c r="AN79" i="13"/>
  <c r="BD79" i="13"/>
  <c r="BD80" i="13"/>
  <c r="P82" i="13"/>
  <c r="P83" i="13"/>
  <c r="N93" i="13"/>
  <c r="BR59" i="7"/>
  <c r="AC62" i="7"/>
  <c r="BL62" i="7"/>
  <c r="T63" i="7"/>
  <c r="BR70" i="7"/>
  <c r="BI71" i="7"/>
  <c r="BB74" i="7"/>
  <c r="BO76" i="7"/>
  <c r="BX76" i="7"/>
  <c r="D86" i="7"/>
  <c r="D106" i="7"/>
  <c r="J22" i="8"/>
  <c r="J24" i="8"/>
  <c r="J28" i="8"/>
  <c r="J30" i="8"/>
  <c r="D76" i="8"/>
  <c r="M76" i="8" s="1"/>
  <c r="D17" i="9"/>
  <c r="C17" i="9" s="1"/>
  <c r="Z22" i="9"/>
  <c r="AB33" i="9"/>
  <c r="W47" i="9"/>
  <c r="D84" i="9"/>
  <c r="M84" i="9" s="1"/>
  <c r="N33" i="10"/>
  <c r="N36" i="10"/>
  <c r="N78" i="10"/>
  <c r="J53" i="11"/>
  <c r="D55" i="11"/>
  <c r="M55" i="11" s="1"/>
  <c r="D57" i="11"/>
  <c r="C57" i="11" s="1"/>
  <c r="K57" i="11" s="1"/>
  <c r="W28" i="12"/>
  <c r="T42" i="12"/>
  <c r="Q55" i="12"/>
  <c r="D100" i="12"/>
  <c r="C100" i="12" s="1"/>
  <c r="K100" i="12" s="1"/>
  <c r="AJ29" i="13"/>
  <c r="AV35" i="13"/>
  <c r="AV55" i="13"/>
  <c r="AM52" i="13"/>
  <c r="J60" i="13"/>
  <c r="D91" i="7"/>
  <c r="M91" i="7" s="1"/>
  <c r="S31" i="8"/>
  <c r="F52" i="8"/>
  <c r="AE27" i="9"/>
  <c r="W41" i="9"/>
  <c r="AE47" i="9"/>
  <c r="N24" i="10"/>
  <c r="L52" i="10"/>
  <c r="F52" i="10"/>
  <c r="Y68" i="10"/>
  <c r="D53" i="11"/>
  <c r="C53" i="11" s="1"/>
  <c r="D114" i="11"/>
  <c r="M114" i="11" s="1"/>
  <c r="D83" i="12"/>
  <c r="M83" i="12" s="1"/>
  <c r="AD13" i="13"/>
  <c r="AN40" i="13"/>
  <c r="G74" i="13"/>
  <c r="AN81" i="13"/>
  <c r="AF82" i="13"/>
  <c r="Y84" i="13"/>
  <c r="AN84" i="13"/>
  <c r="Y85" i="13"/>
  <c r="AF85" i="13"/>
  <c r="Y87" i="13"/>
  <c r="Y88" i="13"/>
  <c r="AF88" i="13"/>
  <c r="J102" i="13"/>
  <c r="BF55" i="7"/>
  <c r="J58" i="7"/>
  <c r="BU59" i="7"/>
  <c r="AF62" i="7"/>
  <c r="AO62" i="7"/>
  <c r="X64" i="7"/>
  <c r="W67" i="7"/>
  <c r="AO67" i="7"/>
  <c r="D70" i="7"/>
  <c r="M70" i="7" s="1"/>
  <c r="BL70" i="7"/>
  <c r="BU70" i="7"/>
  <c r="AC72" i="7"/>
  <c r="AF75" i="7"/>
  <c r="BI77" i="7"/>
  <c r="D107" i="7"/>
  <c r="M107" i="7" s="1"/>
  <c r="D113" i="7"/>
  <c r="C113" i="7" s="1"/>
  <c r="K113" i="7" s="1"/>
  <c r="D106" i="8"/>
  <c r="C106" i="8" s="1"/>
  <c r="K106" i="8" s="1"/>
  <c r="J14" i="9"/>
  <c r="Z14" i="9"/>
  <c r="D30" i="9"/>
  <c r="M30" i="9" s="1"/>
  <c r="N33" i="9"/>
  <c r="D66" i="9"/>
  <c r="C66" i="9" s="1"/>
  <c r="K66" i="9" s="1"/>
  <c r="AG68" i="9"/>
  <c r="D20" i="10"/>
  <c r="N30" i="10"/>
  <c r="D38" i="10"/>
  <c r="M38" i="10" s="1"/>
  <c r="J39" i="10"/>
  <c r="N40" i="10"/>
  <c r="D44" i="10"/>
  <c r="M44" i="10" s="1"/>
  <c r="J44" i="10"/>
  <c r="W66" i="10"/>
  <c r="J73" i="10"/>
  <c r="J79" i="10"/>
  <c r="J109" i="10"/>
  <c r="D112" i="10"/>
  <c r="C112" i="10" s="1"/>
  <c r="K112" i="10" s="1"/>
  <c r="D28" i="11"/>
  <c r="M28" i="11" s="1"/>
  <c r="D75" i="11"/>
  <c r="C75" i="11" s="1"/>
  <c r="J81" i="11"/>
  <c r="N42" i="12"/>
  <c r="U22" i="13"/>
  <c r="AV25" i="13"/>
  <c r="Q29" i="13"/>
  <c r="Q51" i="13"/>
  <c r="N77" i="13"/>
  <c r="N100" i="13"/>
  <c r="BC58" i="7"/>
  <c r="AT69" i="7"/>
  <c r="BC69" i="7"/>
  <c r="AF72" i="7"/>
  <c r="W80" i="7"/>
  <c r="J100" i="7"/>
  <c r="D54" i="8"/>
  <c r="D60" i="8"/>
  <c r="M60" i="8" s="1"/>
  <c r="D62" i="8"/>
  <c r="D64" i="8"/>
  <c r="C64" i="8" s="1"/>
  <c r="D66" i="8"/>
  <c r="M66" i="8" s="1"/>
  <c r="D68" i="8"/>
  <c r="M68" i="8" s="1"/>
  <c r="D70" i="8"/>
  <c r="C70" i="8" s="1"/>
  <c r="D72" i="8"/>
  <c r="N78" i="8"/>
  <c r="D111" i="8"/>
  <c r="M111" i="8" s="1"/>
  <c r="W17" i="9"/>
  <c r="D35" i="9"/>
  <c r="C35" i="9" s="1"/>
  <c r="D41" i="9"/>
  <c r="C41" i="9" s="1"/>
  <c r="W59" i="9"/>
  <c r="D62" i="9"/>
  <c r="D78" i="9"/>
  <c r="C78" i="9" s="1"/>
  <c r="K78" i="9" s="1"/>
  <c r="J92" i="9"/>
  <c r="D114" i="9"/>
  <c r="M114" i="9" s="1"/>
  <c r="D26" i="10"/>
  <c r="M26" i="10" s="1"/>
  <c r="D29" i="10"/>
  <c r="M29" i="10" s="1"/>
  <c r="J54" i="10"/>
  <c r="D56" i="10"/>
  <c r="M56" i="10" s="1"/>
  <c r="D62" i="10"/>
  <c r="M62" i="10" s="1"/>
  <c r="D65" i="11"/>
  <c r="M65" i="11" s="1"/>
  <c r="D67" i="11"/>
  <c r="M67" i="11" s="1"/>
  <c r="J71" i="11"/>
  <c r="J73" i="11"/>
  <c r="J76" i="11"/>
  <c r="D81" i="11"/>
  <c r="C81" i="11" s="1"/>
  <c r="K81" i="11" s="1"/>
  <c r="J83" i="11"/>
  <c r="J85" i="11"/>
  <c r="T88" i="11"/>
  <c r="D94" i="11"/>
  <c r="D99" i="11"/>
  <c r="M99" i="11" s="1"/>
  <c r="D110" i="11"/>
  <c r="M110" i="11" s="1"/>
  <c r="D111" i="11"/>
  <c r="C111" i="11" s="1"/>
  <c r="K111" i="11" s="1"/>
  <c r="J111" i="11"/>
  <c r="W21" i="12"/>
  <c r="T32" i="12"/>
  <c r="D41" i="12"/>
  <c r="M41" i="12" s="1"/>
  <c r="J72" i="12"/>
  <c r="D97" i="12"/>
  <c r="M97" i="12" s="1"/>
  <c r="AC14" i="13"/>
  <c r="AC15" i="13"/>
  <c r="AC16" i="13"/>
  <c r="P20" i="13"/>
  <c r="AJ23" i="13"/>
  <c r="D24" i="13"/>
  <c r="C24" i="13" s="1"/>
  <c r="AN34" i="13"/>
  <c r="P36" i="13"/>
  <c r="AJ38" i="13"/>
  <c r="AC57" i="13"/>
  <c r="P60" i="13"/>
  <c r="AZ80" i="13"/>
  <c r="D98" i="13"/>
  <c r="M98" i="13" s="1"/>
  <c r="J99" i="13"/>
  <c r="L31" i="1"/>
  <c r="AB31" i="1"/>
  <c r="AH31" i="1"/>
  <c r="O74" i="1"/>
  <c r="D98" i="1"/>
  <c r="C98" i="1" s="1"/>
  <c r="K98" i="1" s="1"/>
  <c r="J99" i="1"/>
  <c r="J104" i="1"/>
  <c r="J108" i="1"/>
  <c r="J112" i="1"/>
  <c r="J116" i="1"/>
  <c r="E13" i="2"/>
  <c r="O13" i="2"/>
  <c r="AO14" i="2"/>
  <c r="X20" i="2"/>
  <c r="AZ20" i="2"/>
  <c r="Y13" i="1"/>
  <c r="N28" i="1"/>
  <c r="E31" i="1"/>
  <c r="O31" i="1"/>
  <c r="J38" i="1"/>
  <c r="D41" i="1"/>
  <c r="M41" i="1" s="1"/>
  <c r="R43" i="1"/>
  <c r="U43" i="1" s="1"/>
  <c r="V44" i="1"/>
  <c r="D45" i="1"/>
  <c r="M45" i="1" s="1"/>
  <c r="R45" i="1"/>
  <c r="V46" i="1"/>
  <c r="D47" i="1"/>
  <c r="C47" i="1" s="1"/>
  <c r="N48" i="1"/>
  <c r="R57" i="1"/>
  <c r="V58" i="1"/>
  <c r="D59" i="1"/>
  <c r="R59" i="1"/>
  <c r="U59" i="1" s="1"/>
  <c r="V60" i="1"/>
  <c r="D61" i="1"/>
  <c r="C61" i="1" s="1"/>
  <c r="K61" i="1" s="1"/>
  <c r="N64" i="1"/>
  <c r="D75" i="1"/>
  <c r="M75" i="1" s="1"/>
  <c r="R75" i="1"/>
  <c r="T75" i="1"/>
  <c r="AL75" i="1"/>
  <c r="D16" i="1"/>
  <c r="M16" i="1" s="1"/>
  <c r="D18" i="1"/>
  <c r="C18" i="1" s="1"/>
  <c r="J24" i="1"/>
  <c r="R29" i="1"/>
  <c r="U29" i="1" s="1"/>
  <c r="R32" i="1"/>
  <c r="U32" i="1" s="1"/>
  <c r="S41" i="1"/>
  <c r="S43" i="1"/>
  <c r="W43" i="1" s="1"/>
  <c r="J44" i="1"/>
  <c r="J46" i="1"/>
  <c r="R51" i="1"/>
  <c r="AF52" i="1"/>
  <c r="S55" i="1"/>
  <c r="W55" i="1" s="1"/>
  <c r="S57" i="1"/>
  <c r="R67" i="1"/>
  <c r="U67" i="1" s="1"/>
  <c r="R69" i="1"/>
  <c r="R71" i="1"/>
  <c r="U71" i="1" s="1"/>
  <c r="AE74" i="1"/>
  <c r="AK74" i="1"/>
  <c r="R83" i="1"/>
  <c r="U83" i="1" s="1"/>
  <c r="R85" i="1"/>
  <c r="U85" i="1" s="1"/>
  <c r="T85" i="1"/>
  <c r="D87" i="1"/>
  <c r="C87" i="1" s="1"/>
  <c r="K87" i="1" s="1"/>
  <c r="R87" i="1"/>
  <c r="U87" i="1" s="1"/>
  <c r="T87" i="1"/>
  <c r="J92" i="1"/>
  <c r="J95" i="1"/>
  <c r="J21" i="2"/>
  <c r="R36" i="1"/>
  <c r="U36" i="1" s="1"/>
  <c r="R38" i="1"/>
  <c r="AG31" i="1"/>
  <c r="N41" i="1"/>
  <c r="N45" i="1"/>
  <c r="S49" i="1"/>
  <c r="V53" i="1"/>
  <c r="S53" i="1"/>
  <c r="W53" i="1" s="1"/>
  <c r="AC52" i="1"/>
  <c r="AI52" i="1"/>
  <c r="N57" i="1"/>
  <c r="S65" i="1"/>
  <c r="W65" i="1" s="1"/>
  <c r="S67" i="1"/>
  <c r="W67" i="1" s="1"/>
  <c r="V67" i="1"/>
  <c r="S69" i="1"/>
  <c r="V69" i="1"/>
  <c r="R84" i="1"/>
  <c r="U84" i="1" s="1"/>
  <c r="AC13" i="2"/>
  <c r="AQ15" i="2"/>
  <c r="X18" i="2"/>
  <c r="D21" i="2"/>
  <c r="M21" i="2" s="1"/>
  <c r="AU13" i="2"/>
  <c r="R22" i="1"/>
  <c r="D24" i="1"/>
  <c r="C24" i="1" s="1"/>
  <c r="K24" i="1" s="1"/>
  <c r="N27" i="1"/>
  <c r="R27" i="1"/>
  <c r="S34" i="1"/>
  <c r="W34" i="1" s="1"/>
  <c r="R39" i="1"/>
  <c r="AL40" i="1"/>
  <c r="AL42" i="1"/>
  <c r="D44" i="1"/>
  <c r="AL44" i="1"/>
  <c r="D46" i="1"/>
  <c r="C46" i="1" s="1"/>
  <c r="K46" i="1" s="1"/>
  <c r="D60" i="1"/>
  <c r="C60" i="1" s="1"/>
  <c r="K60" i="1" s="1"/>
  <c r="R65" i="1"/>
  <c r="U65" i="1" s="1"/>
  <c r="N69" i="1"/>
  <c r="D76" i="1"/>
  <c r="M76" i="1" s="1"/>
  <c r="R78" i="1"/>
  <c r="U78" i="1" s="1"/>
  <c r="J16" i="2"/>
  <c r="D17" i="2"/>
  <c r="C17" i="2" s="1"/>
  <c r="AH74" i="1"/>
  <c r="D30" i="2"/>
  <c r="D33" i="2"/>
  <c r="C33" i="2" s="1"/>
  <c r="AW35" i="2"/>
  <c r="AZ50" i="2"/>
  <c r="Y52" i="2"/>
  <c r="D54" i="2"/>
  <c r="C54" i="2" s="1"/>
  <c r="Z56" i="2"/>
  <c r="AC52" i="2"/>
  <c r="T65" i="2"/>
  <c r="AW65" i="2"/>
  <c r="J100" i="2"/>
  <c r="J115" i="2"/>
  <c r="D33" i="3"/>
  <c r="M33" i="3" s="1"/>
  <c r="J57" i="3"/>
  <c r="J66" i="3"/>
  <c r="D70" i="3"/>
  <c r="M70" i="3" s="1"/>
  <c r="J86" i="3"/>
  <c r="AD19" i="4"/>
  <c r="D21" i="4"/>
  <c r="AD23" i="4"/>
  <c r="Q24" i="4"/>
  <c r="X24" i="4"/>
  <c r="J40" i="4"/>
  <c r="J47" i="4"/>
  <c r="AD55" i="4"/>
  <c r="D66" i="4"/>
  <c r="Q86" i="4"/>
  <c r="T17" i="5"/>
  <c r="T32" i="5"/>
  <c r="T37" i="5"/>
  <c r="J38" i="5"/>
  <c r="D65" i="5"/>
  <c r="D70" i="5"/>
  <c r="M70" i="5" s="1"/>
  <c r="D72" i="5"/>
  <c r="M72" i="5" s="1"/>
  <c r="D75" i="5"/>
  <c r="M75" i="5" s="1"/>
  <c r="J83" i="5"/>
  <c r="N87" i="5"/>
  <c r="D88" i="5"/>
  <c r="J23" i="6"/>
  <c r="T27" i="6"/>
  <c r="V31" i="6"/>
  <c r="D34" i="6"/>
  <c r="M34" i="6" s="1"/>
  <c r="T36" i="6"/>
  <c r="J41" i="6"/>
  <c r="T43" i="6"/>
  <c r="J47" i="6"/>
  <c r="T49" i="6"/>
  <c r="D64" i="6"/>
  <c r="M64" i="6" s="1"/>
  <c r="T66" i="6"/>
  <c r="W68" i="6"/>
  <c r="W69" i="6"/>
  <c r="J71" i="6"/>
  <c r="W77" i="6"/>
  <c r="J79" i="6"/>
  <c r="T81" i="6"/>
  <c r="W83" i="6"/>
  <c r="T87" i="6"/>
  <c r="D98" i="6"/>
  <c r="M98" i="6" s="1"/>
  <c r="BU15" i="7"/>
  <c r="N20" i="7"/>
  <c r="CG20" i="7"/>
  <c r="N23" i="7"/>
  <c r="W23" i="7"/>
  <c r="AW23" i="7"/>
  <c r="BF23" i="7"/>
  <c r="BO23" i="7"/>
  <c r="BX23" i="7"/>
  <c r="W26" i="7"/>
  <c r="AF26" i="7"/>
  <c r="J28" i="7"/>
  <c r="X28" i="7"/>
  <c r="AI32" i="7"/>
  <c r="BU33" i="7"/>
  <c r="BE31" i="7"/>
  <c r="AF37" i="7"/>
  <c r="BF40" i="7"/>
  <c r="J43" i="7"/>
  <c r="X43" i="7"/>
  <c r="J44" i="7"/>
  <c r="X45" i="7"/>
  <c r="D46" i="7"/>
  <c r="M46" i="7" s="1"/>
  <c r="D47" i="7"/>
  <c r="M47" i="7" s="1"/>
  <c r="T47" i="7"/>
  <c r="AT47" i="7"/>
  <c r="AI50" i="7"/>
  <c r="AZ51" i="7"/>
  <c r="CK52" i="7"/>
  <c r="N78" i="7"/>
  <c r="Z22" i="2"/>
  <c r="AO22" i="2"/>
  <c r="D29" i="2"/>
  <c r="N35" i="2"/>
  <c r="AZ38" i="2"/>
  <c r="J39" i="2"/>
  <c r="N47" i="2"/>
  <c r="X48" i="2"/>
  <c r="Z49" i="2"/>
  <c r="AO51" i="2"/>
  <c r="AO55" i="2"/>
  <c r="Z59" i="2"/>
  <c r="Z66" i="2"/>
  <c r="AW77" i="2"/>
  <c r="Z81" i="2"/>
  <c r="T88" i="2"/>
  <c r="L13" i="3"/>
  <c r="D66" i="3"/>
  <c r="C66" i="3" s="1"/>
  <c r="K66" i="3" s="1"/>
  <c r="D86" i="3"/>
  <c r="C86" i="3" s="1"/>
  <c r="K86" i="3" s="1"/>
  <c r="Q36" i="4"/>
  <c r="N45" i="4"/>
  <c r="J60" i="4"/>
  <c r="D75" i="4"/>
  <c r="C75" i="4" s="1"/>
  <c r="K75" i="4" s="1"/>
  <c r="N76" i="4"/>
  <c r="N82" i="4"/>
  <c r="J83" i="4"/>
  <c r="W74" i="4"/>
  <c r="J86" i="4"/>
  <c r="N22" i="5"/>
  <c r="J23" i="5"/>
  <c r="D28" i="5"/>
  <c r="C28" i="5" s="1"/>
  <c r="J40" i="5"/>
  <c r="J79" i="5"/>
  <c r="N27" i="6"/>
  <c r="N29" i="6"/>
  <c r="N44" i="6"/>
  <c r="AU13" i="7"/>
  <c r="CG19" i="7"/>
  <c r="BX22" i="7"/>
  <c r="X27" i="7"/>
  <c r="AI27" i="7"/>
  <c r="BI27" i="7"/>
  <c r="CA27" i="7"/>
  <c r="BR35" i="7"/>
  <c r="AI36" i="7"/>
  <c r="J38" i="7"/>
  <c r="X38" i="7"/>
  <c r="BF38" i="7"/>
  <c r="BI40" i="7"/>
  <c r="AF42" i="7"/>
  <c r="T51" i="7"/>
  <c r="W54" i="7"/>
  <c r="CM54" i="7"/>
  <c r="T22" i="2"/>
  <c r="AW26" i="2"/>
  <c r="N30" i="2"/>
  <c r="N34" i="2"/>
  <c r="J48" i="2"/>
  <c r="AW51" i="2"/>
  <c r="T55" i="2"/>
  <c r="AQ55" i="2"/>
  <c r="J57" i="2"/>
  <c r="J58" i="2"/>
  <c r="J59" i="2"/>
  <c r="X59" i="2"/>
  <c r="AZ64" i="2"/>
  <c r="D68" i="2"/>
  <c r="C68" i="2" s="1"/>
  <c r="AZ70" i="2"/>
  <c r="J72" i="2"/>
  <c r="J83" i="2"/>
  <c r="F89" i="2"/>
  <c r="F10" i="2" s="1"/>
  <c r="F9" i="2" s="1"/>
  <c r="D23" i="3"/>
  <c r="D35" i="3"/>
  <c r="M35" i="3" s="1"/>
  <c r="J45" i="3"/>
  <c r="D54" i="3"/>
  <c r="C54" i="3" s="1"/>
  <c r="K54" i="3" s="1"/>
  <c r="J68" i="3"/>
  <c r="D72" i="3"/>
  <c r="M72" i="3" s="1"/>
  <c r="P17" i="4"/>
  <c r="J27" i="4"/>
  <c r="AD30" i="4"/>
  <c r="J39" i="4"/>
  <c r="AA43" i="4"/>
  <c r="Q45" i="4"/>
  <c r="X45" i="4"/>
  <c r="J50" i="4"/>
  <c r="J67" i="4"/>
  <c r="J72" i="4"/>
  <c r="AD78" i="4"/>
  <c r="AA86" i="4"/>
  <c r="D90" i="4"/>
  <c r="C90" i="4" s="1"/>
  <c r="K90" i="4" s="1"/>
  <c r="D101" i="4"/>
  <c r="C101" i="4" s="1"/>
  <c r="K101" i="4" s="1"/>
  <c r="D15" i="5"/>
  <c r="C15" i="5" s="1"/>
  <c r="D30" i="5"/>
  <c r="M30" i="5" s="1"/>
  <c r="T65" i="5"/>
  <c r="T72" i="5"/>
  <c r="S74" i="5"/>
  <c r="T88" i="5"/>
  <c r="D107" i="5"/>
  <c r="C107" i="5" s="1"/>
  <c r="K107" i="5" s="1"/>
  <c r="W26" i="6"/>
  <c r="W37" i="6"/>
  <c r="T71" i="6"/>
  <c r="W75" i="6"/>
  <c r="J77" i="6"/>
  <c r="T79" i="6"/>
  <c r="W81" i="6"/>
  <c r="J83" i="6"/>
  <c r="T85" i="6"/>
  <c r="W87" i="6"/>
  <c r="D94" i="6"/>
  <c r="C94" i="6" s="1"/>
  <c r="K94" i="6" s="1"/>
  <c r="D114" i="6"/>
  <c r="C114" i="6" s="1"/>
  <c r="K114" i="6" s="1"/>
  <c r="N11" i="7"/>
  <c r="CN13" i="7"/>
  <c r="J17" i="7"/>
  <c r="AI17" i="7"/>
  <c r="D18" i="7"/>
  <c r="C18" i="7" s="1"/>
  <c r="J20" i="7"/>
  <c r="D21" i="7"/>
  <c r="M21" i="7" s="1"/>
  <c r="X25" i="7"/>
  <c r="AI26" i="7"/>
  <c r="AT29" i="7"/>
  <c r="BC29" i="7"/>
  <c r="BL29" i="7"/>
  <c r="BU29" i="7"/>
  <c r="BI30" i="7"/>
  <c r="W35" i="7"/>
  <c r="D37" i="7"/>
  <c r="AL39" i="7"/>
  <c r="BR41" i="7"/>
  <c r="BL43" i="7"/>
  <c r="BF47" i="7"/>
  <c r="BU48" i="7"/>
  <c r="BF53" i="7"/>
  <c r="AW55" i="7"/>
  <c r="X33" i="2"/>
  <c r="AO39" i="2"/>
  <c r="Z45" i="2"/>
  <c r="N53" i="2"/>
  <c r="AO59" i="2"/>
  <c r="N62" i="2"/>
  <c r="N63" i="2"/>
  <c r="X63" i="2"/>
  <c r="Z64" i="2"/>
  <c r="AO67" i="2"/>
  <c r="AQ68" i="2"/>
  <c r="I74" i="2"/>
  <c r="Q74" i="2" s="1"/>
  <c r="T52" i="4"/>
  <c r="O52" i="4"/>
  <c r="N78" i="4"/>
  <c r="N28" i="5"/>
  <c r="D29" i="5"/>
  <c r="C29" i="5" s="1"/>
  <c r="K29" i="5" s="1"/>
  <c r="N43" i="5"/>
  <c r="J49" i="5"/>
  <c r="J59" i="5"/>
  <c r="D69" i="5"/>
  <c r="M69" i="5" s="1"/>
  <c r="J76" i="5"/>
  <c r="N88" i="5"/>
  <c r="N92" i="5"/>
  <c r="N24" i="6"/>
  <c r="N25" i="6"/>
  <c r="N64" i="6"/>
  <c r="N72" i="6"/>
  <c r="N29" i="7"/>
  <c r="N43" i="7"/>
  <c r="N21" i="2"/>
  <c r="X21" i="2"/>
  <c r="Z23" i="2"/>
  <c r="X24" i="2"/>
  <c r="X26" i="2"/>
  <c r="J35" i="2"/>
  <c r="D36" i="2"/>
  <c r="C36" i="2" s="1"/>
  <c r="AO37" i="2"/>
  <c r="AQ38" i="2"/>
  <c r="T39" i="2"/>
  <c r="AW39" i="2"/>
  <c r="T40" i="2"/>
  <c r="AW40" i="2"/>
  <c r="N42" i="2"/>
  <c r="X42" i="2"/>
  <c r="AZ42" i="2"/>
  <c r="Z43" i="2"/>
  <c r="AO57" i="2"/>
  <c r="D58" i="2"/>
  <c r="C58" i="2" s="1"/>
  <c r="AO58" i="2"/>
  <c r="T59" i="2"/>
  <c r="Z62" i="2"/>
  <c r="AZ62" i="2"/>
  <c r="D65" i="2"/>
  <c r="M65" i="2" s="1"/>
  <c r="T66" i="2"/>
  <c r="AQ67" i="2"/>
  <c r="AW67" i="2"/>
  <c r="T72" i="2"/>
  <c r="J77" i="2"/>
  <c r="AO78" i="2"/>
  <c r="T82" i="2"/>
  <c r="AZ85" i="2"/>
  <c r="AZ86" i="2"/>
  <c r="J113" i="2"/>
  <c r="D15" i="3"/>
  <c r="M15" i="3" s="1"/>
  <c r="J37" i="3"/>
  <c r="J65" i="3"/>
  <c r="D69" i="3"/>
  <c r="J94" i="3"/>
  <c r="D114" i="3"/>
  <c r="M114" i="3" s="1"/>
  <c r="F13" i="4"/>
  <c r="X18" i="4"/>
  <c r="AA19" i="4"/>
  <c r="J21" i="4"/>
  <c r="J23" i="4"/>
  <c r="AA23" i="4"/>
  <c r="AD24" i="4"/>
  <c r="J26" i="4"/>
  <c r="D27" i="4"/>
  <c r="M27" i="4" s="1"/>
  <c r="J35" i="4"/>
  <c r="D39" i="4"/>
  <c r="C39" i="4" s="1"/>
  <c r="AD40" i="4"/>
  <c r="D42" i="4"/>
  <c r="C42" i="4" s="1"/>
  <c r="K42" i="4" s="1"/>
  <c r="AA45" i="4"/>
  <c r="Q47" i="4"/>
  <c r="X47" i="4"/>
  <c r="J62" i="4"/>
  <c r="AA63" i="4"/>
  <c r="J70" i="4"/>
  <c r="D72" i="4"/>
  <c r="C72" i="4" s="1"/>
  <c r="K72" i="4" s="1"/>
  <c r="AA76" i="4"/>
  <c r="X78" i="4"/>
  <c r="D82" i="4"/>
  <c r="M82" i="4" s="1"/>
  <c r="J92" i="4"/>
  <c r="J103" i="4"/>
  <c r="D108" i="4"/>
  <c r="M108" i="4" s="1"/>
  <c r="J109" i="4"/>
  <c r="D113" i="4"/>
  <c r="C113" i="4" s="1"/>
  <c r="K113" i="4" s="1"/>
  <c r="J16" i="5"/>
  <c r="D19" i="5"/>
  <c r="C19" i="5" s="1"/>
  <c r="K19" i="5" s="1"/>
  <c r="T25" i="5"/>
  <c r="J26" i="5"/>
  <c r="D32" i="5"/>
  <c r="C32" i="5" s="1"/>
  <c r="O31" i="5"/>
  <c r="J41" i="5"/>
  <c r="D46" i="5"/>
  <c r="M46" i="5" s="1"/>
  <c r="D49" i="5"/>
  <c r="N50" i="5"/>
  <c r="S52" i="5"/>
  <c r="J56" i="5"/>
  <c r="J63" i="5"/>
  <c r="J91" i="5"/>
  <c r="D94" i="5"/>
  <c r="C94" i="5" s="1"/>
  <c r="K94" i="5" s="1"/>
  <c r="J113" i="5"/>
  <c r="N15" i="6"/>
  <c r="D16" i="6"/>
  <c r="C16" i="6" s="1"/>
  <c r="W23" i="6"/>
  <c r="W24" i="6"/>
  <c r="D39" i="6"/>
  <c r="D45" i="6"/>
  <c r="D58" i="6"/>
  <c r="M58" i="6" s="1"/>
  <c r="D59" i="6"/>
  <c r="C59" i="6" s="1"/>
  <c r="K59" i="6" s="1"/>
  <c r="T60" i="6"/>
  <c r="W62" i="6"/>
  <c r="W63" i="6"/>
  <c r="J65" i="6"/>
  <c r="W71" i="6"/>
  <c r="J73" i="6"/>
  <c r="J96" i="6"/>
  <c r="N108" i="6"/>
  <c r="D110" i="6"/>
  <c r="C110" i="6" s="1"/>
  <c r="K110" i="6" s="1"/>
  <c r="D14" i="7"/>
  <c r="AI14" i="7"/>
  <c r="AA13" i="7"/>
  <c r="AC17" i="7"/>
  <c r="BL20" i="7"/>
  <c r="BU20" i="7"/>
  <c r="CD20" i="7"/>
  <c r="X22" i="7"/>
  <c r="AC23" i="7"/>
  <c r="AT23" i="7"/>
  <c r="BC23" i="7"/>
  <c r="BL23" i="7"/>
  <c r="CD27" i="7"/>
  <c r="CM27" i="7"/>
  <c r="AF28" i="7"/>
  <c r="AO28" i="7"/>
  <c r="AO29" i="7"/>
  <c r="AW29" i="7"/>
  <c r="BF29" i="7"/>
  <c r="BU30" i="7"/>
  <c r="J35" i="7"/>
  <c r="X35" i="7"/>
  <c r="AL37" i="7"/>
  <c r="AT38" i="7"/>
  <c r="BR38" i="7"/>
  <c r="W40" i="7"/>
  <c r="AT44" i="7"/>
  <c r="BR44" i="7"/>
  <c r="CM61" i="7"/>
  <c r="CJ64" i="7"/>
  <c r="BR67" i="7"/>
  <c r="X77" i="7"/>
  <c r="AI78" i="7"/>
  <c r="J81" i="7"/>
  <c r="D82" i="7"/>
  <c r="M82" i="7" s="1"/>
  <c r="BR82" i="7"/>
  <c r="D83" i="7"/>
  <c r="M83" i="7" s="1"/>
  <c r="AO87" i="7"/>
  <c r="BL88" i="7"/>
  <c r="D97" i="7"/>
  <c r="C97" i="7" s="1"/>
  <c r="K97" i="7" s="1"/>
  <c r="D103" i="7"/>
  <c r="C103" i="7" s="1"/>
  <c r="K103" i="7" s="1"/>
  <c r="N104" i="7"/>
  <c r="D112" i="7"/>
  <c r="C112" i="7" s="1"/>
  <c r="K112" i="7" s="1"/>
  <c r="I13" i="8"/>
  <c r="J32" i="8"/>
  <c r="J34" i="8"/>
  <c r="J36" i="8"/>
  <c r="J38" i="8"/>
  <c r="J40" i="8"/>
  <c r="J42" i="8"/>
  <c r="J44" i="8"/>
  <c r="J46" i="8"/>
  <c r="J48" i="8"/>
  <c r="S52" i="8"/>
  <c r="T67" i="8"/>
  <c r="T69" i="8"/>
  <c r="D82" i="8"/>
  <c r="C82" i="8" s="1"/>
  <c r="D84" i="8"/>
  <c r="M84" i="8" s="1"/>
  <c r="J94" i="8"/>
  <c r="D112" i="8"/>
  <c r="C112" i="8" s="1"/>
  <c r="K112" i="8" s="1"/>
  <c r="J113" i="8"/>
  <c r="D14" i="9"/>
  <c r="T17" i="9"/>
  <c r="D18" i="9"/>
  <c r="M18" i="9" s="1"/>
  <c r="T19" i="9"/>
  <c r="T22" i="9"/>
  <c r="N23" i="9"/>
  <c r="W23" i="9"/>
  <c r="J26" i="9"/>
  <c r="AB26" i="9"/>
  <c r="D27" i="9"/>
  <c r="M27" i="9" s="1"/>
  <c r="J27" i="9"/>
  <c r="AC31" i="9"/>
  <c r="N35" i="9"/>
  <c r="W35" i="9"/>
  <c r="BU55" i="7"/>
  <c r="BL57" i="7"/>
  <c r="BU64" i="7"/>
  <c r="CD64" i="7"/>
  <c r="BU65" i="7"/>
  <c r="AC66" i="7"/>
  <c r="N70" i="7"/>
  <c r="BO70" i="7"/>
  <c r="BX70" i="7"/>
  <c r="AO72" i="7"/>
  <c r="J76" i="7"/>
  <c r="AB14" i="9"/>
  <c r="AE21" i="9"/>
  <c r="Z24" i="9"/>
  <c r="D25" i="9"/>
  <c r="D29" i="9"/>
  <c r="C29" i="9" s="1"/>
  <c r="W34" i="9"/>
  <c r="T38" i="9"/>
  <c r="BO56" i="7"/>
  <c r="AO57" i="7"/>
  <c r="W58" i="7"/>
  <c r="AF58" i="7"/>
  <c r="BI60" i="7"/>
  <c r="BR60" i="7"/>
  <c r="CA60" i="7"/>
  <c r="AI61" i="7"/>
  <c r="CG61" i="7"/>
  <c r="AI63" i="7"/>
  <c r="CA63" i="7"/>
  <c r="CJ63" i="7"/>
  <c r="D64" i="7"/>
  <c r="M64" i="7" s="1"/>
  <c r="AO65" i="7"/>
  <c r="W66" i="7"/>
  <c r="W69" i="7"/>
  <c r="AF69" i="7"/>
  <c r="AO69" i="7"/>
  <c r="AW69" i="7"/>
  <c r="BF69" i="7"/>
  <c r="CG69" i="7"/>
  <c r="J73" i="7"/>
  <c r="X73" i="7"/>
  <c r="BI73" i="7"/>
  <c r="BR73" i="7"/>
  <c r="T77" i="7"/>
  <c r="T78" i="7"/>
  <c r="AC78" i="7"/>
  <c r="AT78" i="7"/>
  <c r="BC78" i="7"/>
  <c r="BL78" i="7"/>
  <c r="BU78" i="7"/>
  <c r="CD78" i="7"/>
  <c r="BL80" i="7"/>
  <c r="BU80" i="7"/>
  <c r="W82" i="7"/>
  <c r="AF82" i="7"/>
  <c r="BL86" i="7"/>
  <c r="BR87" i="7"/>
  <c r="F31" i="8"/>
  <c r="R31" i="8"/>
  <c r="H52" i="8"/>
  <c r="D105" i="8"/>
  <c r="C105" i="8" s="1"/>
  <c r="T14" i="9"/>
  <c r="W56" i="7"/>
  <c r="BX56" i="7"/>
  <c r="CI74" i="7"/>
  <c r="N79" i="7"/>
  <c r="J104" i="7"/>
  <c r="J109" i="7"/>
  <c r="J115" i="7"/>
  <c r="I52" i="8"/>
  <c r="Q52" i="8" s="1"/>
  <c r="T68" i="8"/>
  <c r="T86" i="8"/>
  <c r="J97" i="8"/>
  <c r="N26" i="9"/>
  <c r="AG26" i="9"/>
  <c r="T29" i="9"/>
  <c r="N30" i="9"/>
  <c r="AE30" i="9"/>
  <c r="Z35" i="9"/>
  <c r="AT55" i="7"/>
  <c r="J56" i="7"/>
  <c r="BI56" i="7"/>
  <c r="CA56" i="7"/>
  <c r="J57" i="7"/>
  <c r="X57" i="7"/>
  <c r="AI57" i="7"/>
  <c r="BR57" i="7"/>
  <c r="BI58" i="7"/>
  <c r="CA59" i="7"/>
  <c r="BU60" i="7"/>
  <c r="BL61" i="7"/>
  <c r="CA61" i="7"/>
  <c r="CJ61" i="7"/>
  <c r="BR62" i="7"/>
  <c r="T64" i="7"/>
  <c r="CG64" i="7"/>
  <c r="X65" i="7"/>
  <c r="D67" i="7"/>
  <c r="Y52" i="7"/>
  <c r="BI67" i="7"/>
  <c r="T71" i="7"/>
  <c r="BL73" i="7"/>
  <c r="BU73" i="7"/>
  <c r="F74" i="7"/>
  <c r="W77" i="7"/>
  <c r="BX77" i="7"/>
  <c r="AO78" i="7"/>
  <c r="BX80" i="7"/>
  <c r="J82" i="7"/>
  <c r="X82" i="7"/>
  <c r="BU84" i="7"/>
  <c r="T85" i="7"/>
  <c r="AO86" i="7"/>
  <c r="AW86" i="7"/>
  <c r="D105" i="7"/>
  <c r="J111" i="7"/>
  <c r="J15" i="8"/>
  <c r="J17" i="8"/>
  <c r="J19" i="8"/>
  <c r="J21" i="8"/>
  <c r="J23" i="8"/>
  <c r="J25" i="8"/>
  <c r="J27" i="8"/>
  <c r="J29" i="8"/>
  <c r="D33" i="8"/>
  <c r="C33" i="8" s="1"/>
  <c r="D43" i="8"/>
  <c r="M43" i="8" s="1"/>
  <c r="D45" i="8"/>
  <c r="D49" i="8"/>
  <c r="M49" i="8" s="1"/>
  <c r="D53" i="8"/>
  <c r="M53" i="8" s="1"/>
  <c r="D55" i="8"/>
  <c r="C55" i="8" s="1"/>
  <c r="D57" i="8"/>
  <c r="C57" i="8" s="1"/>
  <c r="D59" i="8"/>
  <c r="C59" i="8" s="1"/>
  <c r="D61" i="8"/>
  <c r="M61" i="8" s="1"/>
  <c r="D63" i="8"/>
  <c r="D65" i="8"/>
  <c r="C65" i="8" s="1"/>
  <c r="D67" i="8"/>
  <c r="C67" i="8" s="1"/>
  <c r="D69" i="8"/>
  <c r="C69" i="8" s="1"/>
  <c r="D71" i="8"/>
  <c r="C71" i="8" s="1"/>
  <c r="D73" i="8"/>
  <c r="C73" i="8" s="1"/>
  <c r="T77" i="8"/>
  <c r="D83" i="8"/>
  <c r="M83" i="8" s="1"/>
  <c r="J101" i="8"/>
  <c r="J18" i="9"/>
  <c r="Z20" i="9"/>
  <c r="N28" i="9"/>
  <c r="N29" i="9"/>
  <c r="W29" i="9"/>
  <c r="AG36" i="9"/>
  <c r="N37" i="9"/>
  <c r="W37" i="9"/>
  <c r="D42" i="9"/>
  <c r="AB46" i="9"/>
  <c r="D47" i="9"/>
  <c r="M47" i="9" s="1"/>
  <c r="T50" i="9"/>
  <c r="T51" i="9"/>
  <c r="W53" i="9"/>
  <c r="N55" i="9"/>
  <c r="W55" i="9"/>
  <c r="AB57" i="9"/>
  <c r="N59" i="9"/>
  <c r="J62" i="9"/>
  <c r="J65" i="9"/>
  <c r="D70" i="9"/>
  <c r="N72" i="9"/>
  <c r="D80" i="9"/>
  <c r="C80" i="9" s="1"/>
  <c r="K80" i="9" s="1"/>
  <c r="Z82" i="9"/>
  <c r="D101" i="9"/>
  <c r="M101" i="9" s="1"/>
  <c r="D106" i="9"/>
  <c r="C106" i="9" s="1"/>
  <c r="K106" i="9" s="1"/>
  <c r="D115" i="9"/>
  <c r="M115" i="9" s="1"/>
  <c r="J116" i="9"/>
  <c r="D23" i="10"/>
  <c r="M23" i="10" s="1"/>
  <c r="N29" i="10"/>
  <c r="U33" i="10"/>
  <c r="N35" i="10"/>
  <c r="W38" i="10"/>
  <c r="J48" i="10"/>
  <c r="D53" i="10"/>
  <c r="M53" i="10" s="1"/>
  <c r="AB55" i="10"/>
  <c r="N63" i="10"/>
  <c r="N70" i="10"/>
  <c r="J75" i="10"/>
  <c r="Z74" i="10"/>
  <c r="U82" i="10"/>
  <c r="D93" i="10"/>
  <c r="M93" i="10" s="1"/>
  <c r="J24" i="11"/>
  <c r="T32" i="11"/>
  <c r="D36" i="11"/>
  <c r="M36" i="11" s="1"/>
  <c r="D49" i="11"/>
  <c r="M49" i="11" s="1"/>
  <c r="R52" i="11"/>
  <c r="J61" i="11"/>
  <c r="D66" i="11"/>
  <c r="C66" i="11" s="1"/>
  <c r="K66" i="11" s="1"/>
  <c r="D68" i="11"/>
  <c r="C68" i="11" s="1"/>
  <c r="K68" i="11" s="1"/>
  <c r="P75" i="11"/>
  <c r="J79" i="11"/>
  <c r="D82" i="11"/>
  <c r="C82" i="11" s="1"/>
  <c r="K82" i="11" s="1"/>
  <c r="J88" i="11"/>
  <c r="D92" i="11"/>
  <c r="C92" i="11" s="1"/>
  <c r="K92" i="11" s="1"/>
  <c r="D97" i="11"/>
  <c r="M97" i="11" s="1"/>
  <c r="D102" i="11"/>
  <c r="D106" i="11"/>
  <c r="D107" i="11"/>
  <c r="C107" i="11" s="1"/>
  <c r="K107" i="11" s="1"/>
  <c r="J107" i="11"/>
  <c r="D116" i="11"/>
  <c r="C116" i="11" s="1"/>
  <c r="K116" i="11" s="1"/>
  <c r="N15" i="12"/>
  <c r="J17" i="12"/>
  <c r="N18" i="12"/>
  <c r="W18" i="12"/>
  <c r="D19" i="12"/>
  <c r="M19" i="12" s="1"/>
  <c r="J23" i="12"/>
  <c r="T24" i="12"/>
  <c r="N26" i="12"/>
  <c r="W26" i="12"/>
  <c r="J28" i="12"/>
  <c r="W32" i="12"/>
  <c r="D34" i="12"/>
  <c r="M34" i="12" s="1"/>
  <c r="W35" i="12"/>
  <c r="T36" i="12"/>
  <c r="D42" i="12"/>
  <c r="M42" i="12" s="1"/>
  <c r="AE54" i="9"/>
  <c r="T67" i="9"/>
  <c r="T68" i="9"/>
  <c r="D85" i="9"/>
  <c r="M85" i="9" s="1"/>
  <c r="D98" i="9"/>
  <c r="D107" i="9"/>
  <c r="D18" i="10"/>
  <c r="C18" i="10" s="1"/>
  <c r="U20" i="10"/>
  <c r="D28" i="10"/>
  <c r="M28" i="10" s="1"/>
  <c r="F31" i="10"/>
  <c r="R74" i="10"/>
  <c r="AA74" i="10"/>
  <c r="Y81" i="10"/>
  <c r="J85" i="10"/>
  <c r="N96" i="10"/>
  <c r="J114" i="10"/>
  <c r="J35" i="11"/>
  <c r="J58" i="11"/>
  <c r="D79" i="11"/>
  <c r="C79" i="11" s="1"/>
  <c r="K79" i="11" s="1"/>
  <c r="D86" i="11"/>
  <c r="C86" i="11" s="1"/>
  <c r="N105" i="11"/>
  <c r="J114" i="11"/>
  <c r="D17" i="12"/>
  <c r="D23" i="12"/>
  <c r="C23" i="12" s="1"/>
  <c r="N24" i="12"/>
  <c r="N32" i="12"/>
  <c r="Q40" i="12"/>
  <c r="V52" i="12"/>
  <c r="Q56" i="12"/>
  <c r="AE42" i="9"/>
  <c r="J44" i="9"/>
  <c r="J45" i="9"/>
  <c r="J53" i="9"/>
  <c r="D57" i="9"/>
  <c r="M57" i="9" s="1"/>
  <c r="J57" i="9"/>
  <c r="T69" i="9"/>
  <c r="D75" i="9"/>
  <c r="M75" i="9" s="1"/>
  <c r="AB80" i="9"/>
  <c r="T88" i="9"/>
  <c r="J103" i="9"/>
  <c r="J109" i="9"/>
  <c r="J113" i="9"/>
  <c r="J19" i="10"/>
  <c r="D24" i="10"/>
  <c r="C24" i="10" s="1"/>
  <c r="AB25" i="10"/>
  <c r="U36" i="10"/>
  <c r="D37" i="10"/>
  <c r="C37" i="10" s="1"/>
  <c r="K37" i="10" s="1"/>
  <c r="J46" i="10"/>
  <c r="D50" i="10"/>
  <c r="M50" i="10" s="1"/>
  <c r="U55" i="10"/>
  <c r="Y64" i="10"/>
  <c r="D65" i="10"/>
  <c r="M65" i="10" s="1"/>
  <c r="D67" i="10"/>
  <c r="D95" i="10"/>
  <c r="D99" i="10"/>
  <c r="M99" i="10" s="1"/>
  <c r="J100" i="10"/>
  <c r="D33" i="11"/>
  <c r="M33" i="11" s="1"/>
  <c r="J33" i="11"/>
  <c r="D35" i="11"/>
  <c r="C35" i="11" s="1"/>
  <c r="K35" i="11" s="1"/>
  <c r="J50" i="11"/>
  <c r="D54" i="11"/>
  <c r="C54" i="11" s="1"/>
  <c r="K54" i="11" s="1"/>
  <c r="D63" i="11"/>
  <c r="C63" i="11" s="1"/>
  <c r="K63" i="11" s="1"/>
  <c r="J67" i="11"/>
  <c r="J69" i="11"/>
  <c r="J72" i="11"/>
  <c r="D76" i="11"/>
  <c r="C76" i="11" s="1"/>
  <c r="T86" i="11"/>
  <c r="D93" i="11"/>
  <c r="M93" i="11" s="1"/>
  <c r="J93" i="11"/>
  <c r="J104" i="11"/>
  <c r="T14" i="12"/>
  <c r="T17" i="12"/>
  <c r="J18" i="12"/>
  <c r="W24" i="12"/>
  <c r="T25" i="12"/>
  <c r="J26" i="12"/>
  <c r="T28" i="12"/>
  <c r="D35" i="12"/>
  <c r="T40" i="12"/>
  <c r="AO31" i="13"/>
  <c r="W31" i="13"/>
  <c r="N76" i="9"/>
  <c r="N88" i="9"/>
  <c r="U25" i="10"/>
  <c r="J29" i="10"/>
  <c r="W50" i="10"/>
  <c r="W59" i="10"/>
  <c r="N14" i="11"/>
  <c r="N16" i="11"/>
  <c r="C72" i="11"/>
  <c r="K72" i="11" s="1"/>
  <c r="L74" i="11"/>
  <c r="N92" i="11"/>
  <c r="N34" i="12"/>
  <c r="U19" i="13"/>
  <c r="T44" i="9"/>
  <c r="AE48" i="9"/>
  <c r="J50" i="9"/>
  <c r="D51" i="9"/>
  <c r="C51" i="9" s="1"/>
  <c r="J51" i="9"/>
  <c r="D60" i="9"/>
  <c r="C60" i="9" s="1"/>
  <c r="K60" i="9" s="1"/>
  <c r="J68" i="9"/>
  <c r="AG69" i="9"/>
  <c r="J70" i="9"/>
  <c r="D71" i="9"/>
  <c r="M71" i="9" s="1"/>
  <c r="D72" i="9"/>
  <c r="C72" i="9" s="1"/>
  <c r="J77" i="9"/>
  <c r="J78" i="9"/>
  <c r="AE78" i="9"/>
  <c r="W88" i="9"/>
  <c r="D93" i="9"/>
  <c r="C93" i="9" s="1"/>
  <c r="F89" i="9"/>
  <c r="F10" i="9" s="1"/>
  <c r="F9" i="9" s="1"/>
  <c r="D100" i="9"/>
  <c r="M100" i="9" s="1"/>
  <c r="J105" i="9"/>
  <c r="J114" i="9"/>
  <c r="U56" i="10"/>
  <c r="J58" i="10"/>
  <c r="J64" i="10"/>
  <c r="W71" i="10"/>
  <c r="U72" i="10"/>
  <c r="D73" i="10"/>
  <c r="M73" i="10" s="1"/>
  <c r="D77" i="10"/>
  <c r="M77" i="10" s="1"/>
  <c r="D86" i="10"/>
  <c r="M86" i="10" s="1"/>
  <c r="J86" i="10"/>
  <c r="D88" i="10"/>
  <c r="C88" i="10" s="1"/>
  <c r="W88" i="10"/>
  <c r="D96" i="10"/>
  <c r="C96" i="10" s="1"/>
  <c r="J96" i="10"/>
  <c r="J97" i="10"/>
  <c r="D101" i="10"/>
  <c r="C101" i="10" s="1"/>
  <c r="K101" i="10" s="1"/>
  <c r="J11" i="11"/>
  <c r="D29" i="11"/>
  <c r="J47" i="11"/>
  <c r="J55" i="11"/>
  <c r="J57" i="11"/>
  <c r="T69" i="11"/>
  <c r="T76" i="11"/>
  <c r="D83" i="11"/>
  <c r="J91" i="11"/>
  <c r="J101" i="11"/>
  <c r="D105" i="11"/>
  <c r="M105" i="11" s="1"/>
  <c r="J116" i="11"/>
  <c r="T15" i="12"/>
  <c r="J16" i="12"/>
  <c r="X13" i="12"/>
  <c r="N17" i="12"/>
  <c r="T18" i="12"/>
  <c r="J22" i="12"/>
  <c r="J27" i="12"/>
  <c r="N28" i="12"/>
  <c r="W30" i="12"/>
  <c r="W34" i="12"/>
  <c r="D36" i="12"/>
  <c r="M36" i="12" s="1"/>
  <c r="D38" i="12"/>
  <c r="M38" i="12" s="1"/>
  <c r="N40" i="12"/>
  <c r="J42" i="12"/>
  <c r="D68" i="12"/>
  <c r="M68" i="12" s="1"/>
  <c r="AI13" i="13"/>
  <c r="Y50" i="13"/>
  <c r="N45" i="9"/>
  <c r="R31" i="10"/>
  <c r="N11" i="10"/>
  <c r="W55" i="12"/>
  <c r="P56" i="12"/>
  <c r="W58" i="12"/>
  <c r="D60" i="12"/>
  <c r="M60" i="12" s="1"/>
  <c r="W61" i="12"/>
  <c r="D63" i="12"/>
  <c r="M63" i="12" s="1"/>
  <c r="T68" i="12"/>
  <c r="J69" i="12"/>
  <c r="D91" i="12"/>
  <c r="M91" i="12" s="1"/>
  <c r="J107" i="12"/>
  <c r="AJ20" i="13"/>
  <c r="AC21" i="13"/>
  <c r="AJ21" i="13"/>
  <c r="P22" i="13"/>
  <c r="AC22" i="13"/>
  <c r="U33" i="13"/>
  <c r="AC33" i="13"/>
  <c r="U34" i="13"/>
  <c r="Q40" i="13"/>
  <c r="P41" i="13"/>
  <c r="AC43" i="13"/>
  <c r="Q48" i="13"/>
  <c r="D60" i="13"/>
  <c r="C60" i="13" s="1"/>
  <c r="U67" i="13"/>
  <c r="AJ68" i="13"/>
  <c r="AJ69" i="13"/>
  <c r="AV76" i="13"/>
  <c r="Q77" i="13"/>
  <c r="P78" i="13"/>
  <c r="J83" i="13"/>
  <c r="Q87" i="13"/>
  <c r="AF87" i="13"/>
  <c r="AV88" i="13"/>
  <c r="BD88" i="13"/>
  <c r="N90" i="13"/>
  <c r="J43" i="12"/>
  <c r="J46" i="12"/>
  <c r="D48" i="12"/>
  <c r="D50" i="12"/>
  <c r="M50" i="12" s="1"/>
  <c r="T50" i="12"/>
  <c r="J51" i="12"/>
  <c r="D54" i="12"/>
  <c r="M54" i="12" s="1"/>
  <c r="T57" i="12"/>
  <c r="J58" i="12"/>
  <c r="T60" i="12"/>
  <c r="J61" i="12"/>
  <c r="T63" i="12"/>
  <c r="W68" i="12"/>
  <c r="T69" i="12"/>
  <c r="T78" i="12"/>
  <c r="L74" i="12"/>
  <c r="N82" i="12"/>
  <c r="J93" i="12"/>
  <c r="J113" i="12"/>
  <c r="AV20" i="13"/>
  <c r="U21" i="13"/>
  <c r="AN21" i="13"/>
  <c r="AC23" i="13"/>
  <c r="U24" i="13"/>
  <c r="U25" i="13"/>
  <c r="AV27" i="13"/>
  <c r="Q30" i="13"/>
  <c r="P33" i="13"/>
  <c r="P34" i="13"/>
  <c r="AZ36" i="13"/>
  <c r="U37" i="13"/>
  <c r="AC37" i="13"/>
  <c r="AC38" i="13"/>
  <c r="AJ42" i="13"/>
  <c r="AC46" i="13"/>
  <c r="AZ47" i="13"/>
  <c r="AC48" i="13"/>
  <c r="AR49" i="13"/>
  <c r="AJ50" i="13"/>
  <c r="AR50" i="13"/>
  <c r="J51" i="13"/>
  <c r="Y51" i="13"/>
  <c r="AV53" i="13"/>
  <c r="BD53" i="13"/>
  <c r="AV54" i="13"/>
  <c r="P56" i="13"/>
  <c r="P58" i="13"/>
  <c r="J61" i="13"/>
  <c r="AV63" i="13"/>
  <c r="N64" i="13"/>
  <c r="P66" i="13"/>
  <c r="P67" i="13"/>
  <c r="AJ67" i="13"/>
  <c r="U69" i="13"/>
  <c r="AC75" i="13"/>
  <c r="AJ76" i="13"/>
  <c r="AR76" i="13"/>
  <c r="AV78" i="13"/>
  <c r="N79" i="13"/>
  <c r="AR81" i="13"/>
  <c r="AJ82" i="13"/>
  <c r="AR82" i="13"/>
  <c r="AJ83" i="13"/>
  <c r="AR83" i="13"/>
  <c r="AF86" i="13"/>
  <c r="Q98" i="13"/>
  <c r="N99" i="13"/>
  <c r="Q104" i="13"/>
  <c r="N105" i="13"/>
  <c r="N111" i="13"/>
  <c r="D113" i="13"/>
  <c r="M113" i="13" s="1"/>
  <c r="J114" i="13"/>
  <c r="D114" i="12"/>
  <c r="M114" i="12" s="1"/>
  <c r="J115" i="12"/>
  <c r="AZ15" i="13"/>
  <c r="D16" i="13"/>
  <c r="M16" i="13" s="1"/>
  <c r="AG13" i="13"/>
  <c r="AZ18" i="13"/>
  <c r="P19" i="13"/>
  <c r="J20" i="13"/>
  <c r="AZ28" i="13"/>
  <c r="AV33" i="13"/>
  <c r="H31" i="13"/>
  <c r="Q41" i="13"/>
  <c r="Q42" i="13"/>
  <c r="AV42" i="13"/>
  <c r="BD43" i="13"/>
  <c r="P47" i="13"/>
  <c r="AJ51" i="13"/>
  <c r="Q54" i="13"/>
  <c r="N57" i="13"/>
  <c r="AV57" i="13"/>
  <c r="Y65" i="13"/>
  <c r="AC76" i="13"/>
  <c r="Y78" i="13"/>
  <c r="AF78" i="13"/>
  <c r="AR85" i="13"/>
  <c r="AR86" i="13"/>
  <c r="J94" i="13"/>
  <c r="D97" i="13"/>
  <c r="M97" i="13" s="1"/>
  <c r="D103" i="13"/>
  <c r="M103" i="13" s="1"/>
  <c r="J104" i="13"/>
  <c r="D109" i="13"/>
  <c r="M109" i="13" s="1"/>
  <c r="J110" i="13"/>
  <c r="D46" i="12"/>
  <c r="N50" i="12"/>
  <c r="T51" i="12"/>
  <c r="J53" i="12"/>
  <c r="X52" i="12"/>
  <c r="N75" i="12"/>
  <c r="W75" i="12"/>
  <c r="T76" i="12"/>
  <c r="N78" i="12"/>
  <c r="N81" i="12"/>
  <c r="T82" i="12"/>
  <c r="D103" i="12"/>
  <c r="M103" i="12" s="1"/>
  <c r="J110" i="12"/>
  <c r="D115" i="12"/>
  <c r="M115" i="12" s="1"/>
  <c r="AX13" i="13"/>
  <c r="F13" i="13"/>
  <c r="R13" i="13"/>
  <c r="AC17" i="13"/>
  <c r="U18" i="13"/>
  <c r="Z13" i="13"/>
  <c r="AN23" i="13"/>
  <c r="AN25" i="13"/>
  <c r="U29" i="13"/>
  <c r="AZ29" i="13"/>
  <c r="P30" i="13"/>
  <c r="AJ30" i="13"/>
  <c r="AZ30" i="13"/>
  <c r="Q33" i="13"/>
  <c r="AN33" i="13"/>
  <c r="Q34" i="13"/>
  <c r="AV36" i="13"/>
  <c r="AN37" i="13"/>
  <c r="BD37" i="13"/>
  <c r="AV40" i="13"/>
  <c r="AF42" i="13"/>
  <c r="Q43" i="13"/>
  <c r="Y43" i="13"/>
  <c r="AF44" i="13"/>
  <c r="Q45" i="13"/>
  <c r="AN45" i="13"/>
  <c r="AV45" i="13"/>
  <c r="AN46" i="13"/>
  <c r="BD46" i="13"/>
  <c r="AN47" i="13"/>
  <c r="AN48" i="13"/>
  <c r="AV48" i="13"/>
  <c r="N49" i="13"/>
  <c r="BD49" i="13"/>
  <c r="U51" i="13"/>
  <c r="AC51" i="13"/>
  <c r="Q56" i="13"/>
  <c r="Y56" i="13"/>
  <c r="Q57" i="13"/>
  <c r="Q58" i="13"/>
  <c r="BD59" i="13"/>
  <c r="Q66" i="13"/>
  <c r="Q67" i="13"/>
  <c r="AV70" i="13"/>
  <c r="N75" i="13"/>
  <c r="N81" i="13"/>
  <c r="AF46" i="13"/>
  <c r="AF47" i="13"/>
  <c r="Y49" i="13"/>
  <c r="AF49" i="13"/>
  <c r="AR53" i="13"/>
  <c r="J56" i="13"/>
  <c r="J58" i="13"/>
  <c r="AZ63" i="13"/>
  <c r="D65" i="13"/>
  <c r="C65" i="13" s="1"/>
  <c r="J66" i="13"/>
  <c r="AF69" i="13"/>
  <c r="Y70" i="13"/>
  <c r="AF70" i="13"/>
  <c r="Y72" i="13"/>
  <c r="AF72" i="13"/>
  <c r="AZ77" i="13"/>
  <c r="AR79" i="13"/>
  <c r="Y81" i="13"/>
  <c r="BD84" i="13"/>
  <c r="P86" i="13"/>
  <c r="P87" i="13"/>
  <c r="D110" i="13"/>
  <c r="C110" i="13" s="1"/>
  <c r="T13" i="13"/>
  <c r="R30" i="1"/>
  <c r="D32" i="1"/>
  <c r="C32" i="1" s="1"/>
  <c r="K32" i="1" s="1"/>
  <c r="D35" i="1"/>
  <c r="M35" i="1" s="1"/>
  <c r="R35" i="1"/>
  <c r="R40" i="1"/>
  <c r="T40" i="1"/>
  <c r="D42" i="1"/>
  <c r="M42" i="1" s="1"/>
  <c r="R42" i="1"/>
  <c r="T42" i="1"/>
  <c r="S45" i="1"/>
  <c r="D49" i="1"/>
  <c r="M49" i="1" s="1"/>
  <c r="N50" i="1"/>
  <c r="D56" i="1"/>
  <c r="C56" i="1" s="1"/>
  <c r="K56" i="1" s="1"/>
  <c r="R56" i="1"/>
  <c r="U56" i="1" s="1"/>
  <c r="T56" i="1"/>
  <c r="S59" i="1"/>
  <c r="W59" i="1" s="1"/>
  <c r="D63" i="1"/>
  <c r="R63" i="1"/>
  <c r="U63" i="1" s="1"/>
  <c r="T63" i="1"/>
  <c r="D68" i="1"/>
  <c r="M68" i="1" s="1"/>
  <c r="R68" i="1"/>
  <c r="T68" i="1"/>
  <c r="AL68" i="1"/>
  <c r="S71" i="1"/>
  <c r="W71" i="1" s="1"/>
  <c r="V71" i="1"/>
  <c r="AB74" i="1"/>
  <c r="R81" i="1"/>
  <c r="U81" i="1" s="1"/>
  <c r="D84" i="1"/>
  <c r="D90" i="1"/>
  <c r="J115" i="1"/>
  <c r="F13" i="2"/>
  <c r="R13" i="2"/>
  <c r="AA13" i="2"/>
  <c r="AG13" i="2"/>
  <c r="X19" i="2"/>
  <c r="AW21" i="2"/>
  <c r="D23" i="2"/>
  <c r="C23" i="2" s="1"/>
  <c r="T28" i="2"/>
  <c r="AO28" i="2"/>
  <c r="T29" i="2"/>
  <c r="AP31" i="2"/>
  <c r="N48" i="2"/>
  <c r="F52" i="2"/>
  <c r="AA52" i="2"/>
  <c r="AG52" i="2"/>
  <c r="AU52" i="2"/>
  <c r="D55" i="2"/>
  <c r="C55" i="2" s="1"/>
  <c r="D73" i="2"/>
  <c r="C73" i="2" s="1"/>
  <c r="E74" i="2"/>
  <c r="O74" i="2"/>
  <c r="AS74" i="2"/>
  <c r="J29" i="3"/>
  <c r="D30" i="4"/>
  <c r="I52" i="4"/>
  <c r="Q53" i="4"/>
  <c r="AA55" i="4"/>
  <c r="J42" i="5"/>
  <c r="G52" i="5"/>
  <c r="P52" i="5" s="1"/>
  <c r="U52" i="7"/>
  <c r="N33" i="5"/>
  <c r="H31" i="5"/>
  <c r="D35" i="13"/>
  <c r="C35" i="13" s="1"/>
  <c r="E31" i="13"/>
  <c r="AC13" i="1"/>
  <c r="T22" i="1"/>
  <c r="R14" i="1"/>
  <c r="U14" i="1" s="1"/>
  <c r="AD13" i="1"/>
  <c r="T17" i="1"/>
  <c r="R17" i="1"/>
  <c r="U17" i="1" s="1"/>
  <c r="O13" i="1"/>
  <c r="R23" i="1"/>
  <c r="T24" i="1"/>
  <c r="R24" i="1"/>
  <c r="U24" i="1" s="1"/>
  <c r="S30" i="1"/>
  <c r="R37" i="1"/>
  <c r="U37" i="1" s="1"/>
  <c r="T37" i="1"/>
  <c r="V38" i="1"/>
  <c r="D39" i="1"/>
  <c r="M39" i="1" s="1"/>
  <c r="N40" i="1"/>
  <c r="R44" i="1"/>
  <c r="T44" i="1"/>
  <c r="N47" i="1"/>
  <c r="V50" i="1"/>
  <c r="S50" i="1"/>
  <c r="E52" i="1"/>
  <c r="O52" i="1"/>
  <c r="D58" i="1"/>
  <c r="C58" i="1" s="1"/>
  <c r="K58" i="1" s="1"/>
  <c r="R58" i="1"/>
  <c r="U58" i="1" s="1"/>
  <c r="T58" i="1"/>
  <c r="D65" i="1"/>
  <c r="C65" i="1" s="1"/>
  <c r="K65" i="1" s="1"/>
  <c r="R70" i="1"/>
  <c r="U70" i="1" s="1"/>
  <c r="T70" i="1"/>
  <c r="S77" i="1"/>
  <c r="W77" i="1" s="1"/>
  <c r="V77" i="1"/>
  <c r="J78" i="1"/>
  <c r="R79" i="1"/>
  <c r="U79" i="1" s="1"/>
  <c r="R80" i="1"/>
  <c r="U80" i="1" s="1"/>
  <c r="D86" i="1"/>
  <c r="C86" i="1" s="1"/>
  <c r="K86" i="1" s="1"/>
  <c r="G89" i="1"/>
  <c r="G10" i="1" s="1"/>
  <c r="N104" i="1"/>
  <c r="J105" i="1"/>
  <c r="D116" i="1"/>
  <c r="M116" i="1" s="1"/>
  <c r="T15" i="2"/>
  <c r="AF13" i="2"/>
  <c r="AO15" i="2"/>
  <c r="D16" i="2"/>
  <c r="C16" i="2" s="1"/>
  <c r="AQ17" i="2"/>
  <c r="D19" i="2"/>
  <c r="M19" i="2" s="1"/>
  <c r="Z21" i="2"/>
  <c r="AZ21" i="2"/>
  <c r="AQ23" i="2"/>
  <c r="T25" i="2"/>
  <c r="Z26" i="2"/>
  <c r="N28" i="2"/>
  <c r="X28" i="2"/>
  <c r="AZ28" i="2"/>
  <c r="X29" i="2"/>
  <c r="AZ29" i="2"/>
  <c r="T30" i="2"/>
  <c r="F31" i="2"/>
  <c r="E31" i="2"/>
  <c r="Z33" i="2"/>
  <c r="AZ35" i="2"/>
  <c r="N37" i="2"/>
  <c r="T37" i="2"/>
  <c r="AW37" i="2"/>
  <c r="AQ39" i="2"/>
  <c r="T41" i="2"/>
  <c r="D47" i="2"/>
  <c r="M47" i="2" s="1"/>
  <c r="D48" i="2"/>
  <c r="C48" i="2" s="1"/>
  <c r="J25" i="3"/>
  <c r="J55" i="3"/>
  <c r="D96" i="3"/>
  <c r="M96" i="3" s="1"/>
  <c r="T31" i="4"/>
  <c r="D63" i="4"/>
  <c r="C63" i="4" s="1"/>
  <c r="J65" i="4"/>
  <c r="D91" i="4"/>
  <c r="C91" i="4" s="1"/>
  <c r="K91" i="4" s="1"/>
  <c r="D94" i="4"/>
  <c r="C94" i="4" s="1"/>
  <c r="K94" i="4" s="1"/>
  <c r="J15" i="5"/>
  <c r="D18" i="5"/>
  <c r="C18" i="5" s="1"/>
  <c r="D25" i="5"/>
  <c r="C25" i="5" s="1"/>
  <c r="J60" i="5"/>
  <c r="D68" i="5"/>
  <c r="M68" i="5" s="1"/>
  <c r="S33" i="1"/>
  <c r="AL75" i="7"/>
  <c r="AJ74" i="7"/>
  <c r="E13" i="1"/>
  <c r="AI13" i="1"/>
  <c r="AH13" i="1"/>
  <c r="L11" i="1"/>
  <c r="N11" i="1" s="1"/>
  <c r="H13" i="1"/>
  <c r="R16" i="1"/>
  <c r="U16" i="1" s="1"/>
  <c r="R18" i="1"/>
  <c r="V19" i="1"/>
  <c r="S23" i="1"/>
  <c r="R25" i="1"/>
  <c r="U25" i="1" s="1"/>
  <c r="V26" i="1"/>
  <c r="V28" i="1"/>
  <c r="S28" i="1"/>
  <c r="N30" i="1"/>
  <c r="S32" i="1"/>
  <c r="W32" i="1" s="1"/>
  <c r="AE31" i="1"/>
  <c r="AK31" i="1"/>
  <c r="J33" i="1"/>
  <c r="S37" i="1"/>
  <c r="W37" i="1" s="1"/>
  <c r="R46" i="1"/>
  <c r="U46" i="1" s="1"/>
  <c r="T46" i="1"/>
  <c r="R53" i="1"/>
  <c r="U53" i="1" s="1"/>
  <c r="T53" i="1"/>
  <c r="AB52" i="1"/>
  <c r="AH52" i="1"/>
  <c r="R60" i="1"/>
  <c r="U60" i="1" s="1"/>
  <c r="T60" i="1"/>
  <c r="S66" i="1"/>
  <c r="W66" i="1" s="1"/>
  <c r="D67" i="1"/>
  <c r="C67" i="1" s="1"/>
  <c r="K67" i="1" s="1"/>
  <c r="R72" i="1"/>
  <c r="T72" i="1"/>
  <c r="AA74" i="1"/>
  <c r="AG74" i="1"/>
  <c r="R76" i="1"/>
  <c r="AC74" i="1"/>
  <c r="AI74" i="1"/>
  <c r="S79" i="1"/>
  <c r="W79" i="1" s="1"/>
  <c r="V79" i="1"/>
  <c r="J80" i="1"/>
  <c r="S84" i="1"/>
  <c r="W84" i="1" s="1"/>
  <c r="V84" i="1"/>
  <c r="J85" i="1"/>
  <c r="S87" i="1"/>
  <c r="W87" i="1" s="1"/>
  <c r="H89" i="1"/>
  <c r="H10" i="1" s="1"/>
  <c r="J100" i="1"/>
  <c r="D103" i="1"/>
  <c r="C103" i="1" s="1"/>
  <c r="K103" i="1" s="1"/>
  <c r="D106" i="1"/>
  <c r="C106" i="1" s="1"/>
  <c r="J107" i="1"/>
  <c r="D110" i="1"/>
  <c r="J111" i="1"/>
  <c r="U13" i="2"/>
  <c r="AI13" i="2"/>
  <c r="AV13" i="2"/>
  <c r="N18" i="2"/>
  <c r="T19" i="2"/>
  <c r="AO19" i="2"/>
  <c r="J22" i="2"/>
  <c r="N24" i="2"/>
  <c r="AW24" i="2"/>
  <c r="Z27" i="2"/>
  <c r="AQ27" i="2"/>
  <c r="AZ27" i="2"/>
  <c r="Z28" i="2"/>
  <c r="J29" i="2"/>
  <c r="Z29" i="2"/>
  <c r="X30" i="2"/>
  <c r="AZ30" i="2"/>
  <c r="T32" i="2"/>
  <c r="D34" i="2"/>
  <c r="C34" i="2" s="1"/>
  <c r="N38" i="2"/>
  <c r="AP52" i="2"/>
  <c r="AZ59" i="2"/>
  <c r="J88" i="2"/>
  <c r="D25" i="3"/>
  <c r="M25" i="3" s="1"/>
  <c r="D93" i="3"/>
  <c r="C93" i="3" s="1"/>
  <c r="K93" i="3" s="1"/>
  <c r="J14" i="4"/>
  <c r="V74" i="4"/>
  <c r="Q104" i="6"/>
  <c r="I11" i="6"/>
  <c r="Q11" i="6" s="1"/>
  <c r="D33" i="7"/>
  <c r="M33" i="7" s="1"/>
  <c r="L11" i="8"/>
  <c r="J11" i="8" s="1"/>
  <c r="N104" i="8"/>
  <c r="H13" i="13"/>
  <c r="AB13" i="1"/>
  <c r="R21" i="1"/>
  <c r="U21" i="1" s="1"/>
  <c r="AF13" i="1"/>
  <c r="S16" i="1"/>
  <c r="W16" i="1" s="1"/>
  <c r="J17" i="1"/>
  <c r="S18" i="1"/>
  <c r="J19" i="1"/>
  <c r="J21" i="1"/>
  <c r="V21" i="1"/>
  <c r="D22" i="1"/>
  <c r="M22" i="1" s="1"/>
  <c r="N23" i="1"/>
  <c r="S25" i="1"/>
  <c r="W25" i="1" s="1"/>
  <c r="J26" i="1"/>
  <c r="AA31" i="1"/>
  <c r="R34" i="1"/>
  <c r="U34" i="1" s="1"/>
  <c r="T34" i="1"/>
  <c r="V35" i="1"/>
  <c r="N39" i="1"/>
  <c r="R41" i="1"/>
  <c r="T41" i="1"/>
  <c r="V42" i="1"/>
  <c r="D43" i="1"/>
  <c r="C43" i="1" s="1"/>
  <c r="K43" i="1" s="1"/>
  <c r="R48" i="1"/>
  <c r="Z31" i="1"/>
  <c r="R49" i="1"/>
  <c r="N51" i="1"/>
  <c r="R55" i="1"/>
  <c r="U55" i="1" s="1"/>
  <c r="V56" i="1"/>
  <c r="D57" i="1"/>
  <c r="C57" i="1" s="1"/>
  <c r="R62" i="1"/>
  <c r="U62" i="1" s="1"/>
  <c r="V63" i="1"/>
  <c r="D69" i="1"/>
  <c r="J73" i="1"/>
  <c r="J75" i="1"/>
  <c r="D78" i="1"/>
  <c r="C78" i="1" s="1"/>
  <c r="K78" i="1" s="1"/>
  <c r="S81" i="1"/>
  <c r="W81" i="1" s="1"/>
  <c r="V81" i="1"/>
  <c r="J82" i="1"/>
  <c r="D93" i="1"/>
  <c r="M93" i="1" s="1"/>
  <c r="J97" i="1"/>
  <c r="D100" i="1"/>
  <c r="M100" i="1" s="1"/>
  <c r="J101" i="1"/>
  <c r="D107" i="1"/>
  <c r="N109" i="1"/>
  <c r="D111" i="1"/>
  <c r="C111" i="1" s="1"/>
  <c r="K111" i="1" s="1"/>
  <c r="N17" i="2"/>
  <c r="X17" i="2"/>
  <c r="AZ17" i="2"/>
  <c r="X23" i="2"/>
  <c r="Z24" i="2"/>
  <c r="J28" i="2"/>
  <c r="Z30" i="2"/>
  <c r="D35" i="2"/>
  <c r="M35" i="2" s="1"/>
  <c r="AF31" i="2"/>
  <c r="J37" i="2"/>
  <c r="AZ37" i="2"/>
  <c r="AW45" i="2"/>
  <c r="J68" i="2"/>
  <c r="J70" i="2"/>
  <c r="Q11" i="3"/>
  <c r="J33" i="3"/>
  <c r="J47" i="3"/>
  <c r="J61" i="3"/>
  <c r="D22" i="4"/>
  <c r="M22" i="4" s="1"/>
  <c r="U40" i="4"/>
  <c r="D49" i="4"/>
  <c r="M49" i="4" s="1"/>
  <c r="J73" i="4"/>
  <c r="AB74" i="4"/>
  <c r="J87" i="4"/>
  <c r="AA88" i="4"/>
  <c r="J24" i="5"/>
  <c r="D67" i="5"/>
  <c r="M67" i="5" s="1"/>
  <c r="D35" i="6"/>
  <c r="G74" i="6"/>
  <c r="P74" i="6" s="1"/>
  <c r="AC37" i="7"/>
  <c r="AG13" i="1"/>
  <c r="F13" i="1"/>
  <c r="D21" i="1"/>
  <c r="J35" i="1"/>
  <c r="AL38" i="1"/>
  <c r="J42" i="1"/>
  <c r="J49" i="1"/>
  <c r="AL50" i="1"/>
  <c r="I52" i="1"/>
  <c r="Q52" i="1" s="1"/>
  <c r="AE52" i="1"/>
  <c r="AK52" i="1"/>
  <c r="J56" i="1"/>
  <c r="J63" i="1"/>
  <c r="J68" i="1"/>
  <c r="J84" i="1"/>
  <c r="J94" i="1"/>
  <c r="D97" i="1"/>
  <c r="C97" i="1" s="1"/>
  <c r="K97" i="1" s="1"/>
  <c r="J98" i="1"/>
  <c r="D101" i="1"/>
  <c r="J102" i="1"/>
  <c r="J11" i="2"/>
  <c r="J14" i="2"/>
  <c r="W13" i="2"/>
  <c r="AY13" i="2"/>
  <c r="J15" i="2"/>
  <c r="J18" i="2"/>
  <c r="J23" i="2"/>
  <c r="J24" i="2"/>
  <c r="AZ24" i="2"/>
  <c r="T26" i="2"/>
  <c r="D28" i="2"/>
  <c r="M28" i="2" s="1"/>
  <c r="W31" i="2"/>
  <c r="U31" i="2"/>
  <c r="AX31" i="2"/>
  <c r="T35" i="2"/>
  <c r="T36" i="2"/>
  <c r="J38" i="2"/>
  <c r="E52" i="2"/>
  <c r="J80" i="2"/>
  <c r="J82" i="2"/>
  <c r="D115" i="2"/>
  <c r="M115" i="2" s="1"/>
  <c r="D43" i="3"/>
  <c r="M43" i="3" s="1"/>
  <c r="D76" i="3"/>
  <c r="C76" i="3" s="1"/>
  <c r="K76" i="3" s="1"/>
  <c r="J18" i="4"/>
  <c r="J38" i="4"/>
  <c r="J14" i="5"/>
  <c r="D35" i="5"/>
  <c r="M35" i="5" s="1"/>
  <c r="D57" i="5"/>
  <c r="M57" i="5" s="1"/>
  <c r="D64" i="5"/>
  <c r="M64" i="5" s="1"/>
  <c r="BI21" i="7"/>
  <c r="J25" i="7"/>
  <c r="D26" i="7"/>
  <c r="M26" i="7" s="1"/>
  <c r="X26" i="7"/>
  <c r="AO40" i="2"/>
  <c r="Z51" i="2"/>
  <c r="S52" i="2"/>
  <c r="AW53" i="2"/>
  <c r="AZ56" i="2"/>
  <c r="AW57" i="2"/>
  <c r="D70" i="2"/>
  <c r="C70" i="2" s="1"/>
  <c r="J71" i="2"/>
  <c r="T80" i="2"/>
  <c r="D82" i="2"/>
  <c r="C82" i="2" s="1"/>
  <c r="D83" i="2"/>
  <c r="C83" i="2" s="1"/>
  <c r="D88" i="2"/>
  <c r="C88" i="2" s="1"/>
  <c r="AO88" i="2"/>
  <c r="N92" i="2"/>
  <c r="D93" i="2"/>
  <c r="M93" i="2" s="1"/>
  <c r="D101" i="2"/>
  <c r="D105" i="2"/>
  <c r="C105" i="2" s="1"/>
  <c r="J105" i="2"/>
  <c r="D112" i="2"/>
  <c r="M112" i="2" s="1"/>
  <c r="D29" i="3"/>
  <c r="M29" i="3" s="1"/>
  <c r="P36" i="3"/>
  <c r="D37" i="3"/>
  <c r="M37" i="3" s="1"/>
  <c r="P39" i="3"/>
  <c r="J41" i="3"/>
  <c r="D62" i="3"/>
  <c r="C62" i="3" s="1"/>
  <c r="K62" i="3" s="1"/>
  <c r="D65" i="3"/>
  <c r="C65" i="3" s="1"/>
  <c r="K65" i="3" s="1"/>
  <c r="D68" i="3"/>
  <c r="C68" i="3" s="1"/>
  <c r="K68" i="3" s="1"/>
  <c r="D77" i="3"/>
  <c r="D81" i="3"/>
  <c r="C81" i="3" s="1"/>
  <c r="K81" i="3" s="1"/>
  <c r="J82" i="3"/>
  <c r="J85" i="3"/>
  <c r="D94" i="3"/>
  <c r="M94" i="3" s="1"/>
  <c r="D101" i="3"/>
  <c r="C101" i="3" s="1"/>
  <c r="K101" i="3" s="1"/>
  <c r="D109" i="3"/>
  <c r="M109" i="3" s="1"/>
  <c r="U15" i="4"/>
  <c r="AD15" i="4"/>
  <c r="D18" i="4"/>
  <c r="C18" i="4" s="1"/>
  <c r="D29" i="4"/>
  <c r="C29" i="4" s="1"/>
  <c r="K29" i="4" s="1"/>
  <c r="U30" i="4"/>
  <c r="D34" i="4"/>
  <c r="O31" i="4"/>
  <c r="J41" i="4"/>
  <c r="AA41" i="4"/>
  <c r="D50" i="4"/>
  <c r="C50" i="4" s="1"/>
  <c r="K50" i="4" s="1"/>
  <c r="P55" i="4"/>
  <c r="U55" i="4"/>
  <c r="J57" i="4"/>
  <c r="D59" i="4"/>
  <c r="C59" i="4" s="1"/>
  <c r="K59" i="4" s="1"/>
  <c r="P63" i="4"/>
  <c r="U63" i="4"/>
  <c r="J69" i="4"/>
  <c r="D71" i="4"/>
  <c r="C71" i="4" s="1"/>
  <c r="K71" i="4" s="1"/>
  <c r="O74" i="4"/>
  <c r="D79" i="4"/>
  <c r="M79" i="4" s="1"/>
  <c r="X82" i="4"/>
  <c r="D86" i="4"/>
  <c r="C86" i="4" s="1"/>
  <c r="P88" i="4"/>
  <c r="D92" i="4"/>
  <c r="C92" i="4" s="1"/>
  <c r="K92" i="4" s="1"/>
  <c r="J95" i="4"/>
  <c r="D98" i="4"/>
  <c r="D102" i="4"/>
  <c r="M102" i="4" s="1"/>
  <c r="J102" i="4"/>
  <c r="J110" i="4"/>
  <c r="F13" i="5"/>
  <c r="T15" i="5"/>
  <c r="J19" i="5"/>
  <c r="J27" i="5"/>
  <c r="J29" i="5"/>
  <c r="J30" i="5"/>
  <c r="D37" i="5"/>
  <c r="C37" i="5" s="1"/>
  <c r="D41" i="5"/>
  <c r="C41" i="5" s="1"/>
  <c r="K41" i="5" s="1"/>
  <c r="D42" i="5"/>
  <c r="J44" i="5"/>
  <c r="D47" i="5"/>
  <c r="M47" i="5" s="1"/>
  <c r="T50" i="5"/>
  <c r="D53" i="5"/>
  <c r="C53" i="5" s="1"/>
  <c r="O52" i="5"/>
  <c r="J58" i="5"/>
  <c r="D59" i="5"/>
  <c r="M59" i="5" s="1"/>
  <c r="J65" i="5"/>
  <c r="T68" i="5"/>
  <c r="J69" i="5"/>
  <c r="J72" i="5"/>
  <c r="D103" i="5"/>
  <c r="J104" i="5"/>
  <c r="D109" i="5"/>
  <c r="C109" i="5" s="1"/>
  <c r="K109" i="5" s="1"/>
  <c r="J21" i="6"/>
  <c r="S74" i="6"/>
  <c r="D113" i="6"/>
  <c r="M113" i="6" s="1"/>
  <c r="AC20" i="7"/>
  <c r="T24" i="7"/>
  <c r="AC24" i="7"/>
  <c r="W29" i="7"/>
  <c r="AC32" i="7"/>
  <c r="J36" i="7"/>
  <c r="BO36" i="7"/>
  <c r="BC41" i="7"/>
  <c r="X43" i="2"/>
  <c r="J44" i="2"/>
  <c r="J50" i="2"/>
  <c r="AI52" i="2"/>
  <c r="AW54" i="2"/>
  <c r="J62" i="2"/>
  <c r="T68" i="2"/>
  <c r="AW68" i="2"/>
  <c r="D71" i="2"/>
  <c r="M71" i="2" s="1"/>
  <c r="AW72" i="2"/>
  <c r="AB74" i="2"/>
  <c r="P19" i="3"/>
  <c r="Q78" i="3"/>
  <c r="L13" i="4"/>
  <c r="P23" i="4"/>
  <c r="R74" i="4"/>
  <c r="N24" i="5"/>
  <c r="F52" i="5"/>
  <c r="R52" i="5"/>
  <c r="BD13" i="7"/>
  <c r="AB31" i="7"/>
  <c r="X40" i="7"/>
  <c r="AI40" i="7"/>
  <c r="X51" i="7"/>
  <c r="BR51" i="7"/>
  <c r="J40" i="2"/>
  <c r="Z40" i="2"/>
  <c r="J41" i="2"/>
  <c r="AO43" i="2"/>
  <c r="D45" i="2"/>
  <c r="M45" i="2" s="1"/>
  <c r="Z46" i="2"/>
  <c r="AQ48" i="2"/>
  <c r="D50" i="2"/>
  <c r="M50" i="2" s="1"/>
  <c r="AQ50" i="2"/>
  <c r="Z54" i="2"/>
  <c r="AQ54" i="2"/>
  <c r="X55" i="2"/>
  <c r="AZ55" i="2"/>
  <c r="N56" i="2"/>
  <c r="X58" i="2"/>
  <c r="N59" i="2"/>
  <c r="AQ59" i="2"/>
  <c r="D60" i="2"/>
  <c r="C60" i="2" s="1"/>
  <c r="Z60" i="2"/>
  <c r="AO60" i="2"/>
  <c r="D61" i="2"/>
  <c r="M61" i="2" s="1"/>
  <c r="D62" i="2"/>
  <c r="C62" i="2" s="1"/>
  <c r="Z63" i="2"/>
  <c r="AO63" i="2"/>
  <c r="AQ65" i="2"/>
  <c r="AW69" i="2"/>
  <c r="Z72" i="2"/>
  <c r="AQ72" i="2"/>
  <c r="AQ77" i="2"/>
  <c r="T78" i="2"/>
  <c r="AZ80" i="2"/>
  <c r="AW81" i="2"/>
  <c r="N83" i="2"/>
  <c r="D86" i="2"/>
  <c r="C86" i="2" s="1"/>
  <c r="J87" i="2"/>
  <c r="AW87" i="2"/>
  <c r="N88" i="2"/>
  <c r="J95" i="2"/>
  <c r="D110" i="2"/>
  <c r="M110" i="2" s="1"/>
  <c r="J24" i="3"/>
  <c r="Q39" i="3"/>
  <c r="D45" i="3"/>
  <c r="M45" i="3" s="1"/>
  <c r="D49" i="3"/>
  <c r="M49" i="3" s="1"/>
  <c r="J53" i="3"/>
  <c r="J70" i="3"/>
  <c r="J73" i="3"/>
  <c r="D82" i="3"/>
  <c r="C82" i="3" s="1"/>
  <c r="K82" i="3" s="1"/>
  <c r="J90" i="3"/>
  <c r="J112" i="3"/>
  <c r="N11" i="4"/>
  <c r="I13" i="4"/>
  <c r="N17" i="4"/>
  <c r="D20" i="4"/>
  <c r="M20" i="4" s="1"/>
  <c r="N23" i="4"/>
  <c r="J24" i="4"/>
  <c r="I31" i="4"/>
  <c r="X39" i="4"/>
  <c r="P41" i="4"/>
  <c r="J43" i="4"/>
  <c r="D45" i="4"/>
  <c r="C45" i="4" s="1"/>
  <c r="Z52" i="4"/>
  <c r="D56" i="4"/>
  <c r="M56" i="4" s="1"/>
  <c r="D57" i="4"/>
  <c r="Q63" i="4"/>
  <c r="X63" i="4"/>
  <c r="J64" i="4"/>
  <c r="J66" i="4"/>
  <c r="D68" i="4"/>
  <c r="C68" i="4" s="1"/>
  <c r="K68" i="4" s="1"/>
  <c r="D69" i="4"/>
  <c r="C69" i="4" s="1"/>
  <c r="K69" i="4" s="1"/>
  <c r="Q76" i="4"/>
  <c r="J77" i="4"/>
  <c r="AA82" i="4"/>
  <c r="D85" i="4"/>
  <c r="P86" i="4"/>
  <c r="Q88" i="4"/>
  <c r="D93" i="4"/>
  <c r="M93" i="4" s="1"/>
  <c r="D96" i="4"/>
  <c r="M96" i="4" s="1"/>
  <c r="J96" i="4"/>
  <c r="J100" i="4"/>
  <c r="Q104" i="4"/>
  <c r="N105" i="4"/>
  <c r="D107" i="4"/>
  <c r="C107" i="4" s="1"/>
  <c r="K107" i="4" s="1"/>
  <c r="J22" i="5"/>
  <c r="D26" i="5"/>
  <c r="C26" i="5" s="1"/>
  <c r="K26" i="5" s="1"/>
  <c r="T27" i="5"/>
  <c r="D33" i="5"/>
  <c r="C33" i="5" s="1"/>
  <c r="K33" i="5" s="1"/>
  <c r="J36" i="5"/>
  <c r="N38" i="5"/>
  <c r="T38" i="5"/>
  <c r="J39" i="5"/>
  <c r="N42" i="5"/>
  <c r="D43" i="5"/>
  <c r="C43" i="5" s="1"/>
  <c r="K43" i="5" s="1"/>
  <c r="N45" i="5"/>
  <c r="T45" i="5"/>
  <c r="D51" i="5"/>
  <c r="M51" i="5" s="1"/>
  <c r="J54" i="5"/>
  <c r="D55" i="5"/>
  <c r="J61" i="5"/>
  <c r="D62" i="5"/>
  <c r="M62" i="5" s="1"/>
  <c r="N63" i="5"/>
  <c r="N70" i="5"/>
  <c r="T70" i="5"/>
  <c r="J71" i="5"/>
  <c r="O74" i="5"/>
  <c r="J86" i="5"/>
  <c r="J96" i="5"/>
  <c r="D19" i="6"/>
  <c r="C19" i="6" s="1"/>
  <c r="T61" i="6"/>
  <c r="J115" i="6"/>
  <c r="CG15" i="7"/>
  <c r="CE13" i="7"/>
  <c r="T23" i="7"/>
  <c r="H31" i="7"/>
  <c r="D41" i="2"/>
  <c r="M41" i="2" s="1"/>
  <c r="AQ42" i="2"/>
  <c r="AW42" i="2"/>
  <c r="AO45" i="2"/>
  <c r="J47" i="2"/>
  <c r="T48" i="2"/>
  <c r="AW50" i="2"/>
  <c r="X51" i="2"/>
  <c r="W52" i="2"/>
  <c r="J55" i="2"/>
  <c r="T57" i="2"/>
  <c r="T61" i="2"/>
  <c r="T63" i="2"/>
  <c r="N66" i="2"/>
  <c r="AQ66" i="2"/>
  <c r="AZ66" i="2"/>
  <c r="Z67" i="2"/>
  <c r="AZ67" i="2"/>
  <c r="AZ68" i="2"/>
  <c r="Z69" i="2"/>
  <c r="N71" i="2"/>
  <c r="J73" i="2"/>
  <c r="Z75" i="2"/>
  <c r="Z76" i="2"/>
  <c r="AH74" i="2"/>
  <c r="AN74" i="2"/>
  <c r="X78" i="2"/>
  <c r="J81" i="2"/>
  <c r="AQ81" i="2"/>
  <c r="X82" i="2"/>
  <c r="AZ82" i="2"/>
  <c r="T84" i="2"/>
  <c r="AQ86" i="2"/>
  <c r="AQ87" i="2"/>
  <c r="X88" i="2"/>
  <c r="J104" i="2"/>
  <c r="D107" i="2"/>
  <c r="M107" i="2" s="1"/>
  <c r="F13" i="3"/>
  <c r="J15" i="3"/>
  <c r="Q19" i="3"/>
  <c r="D21" i="3"/>
  <c r="C21" i="3" s="1"/>
  <c r="K21" i="3" s="1"/>
  <c r="D27" i="3"/>
  <c r="M27" i="3" s="1"/>
  <c r="J39" i="3"/>
  <c r="P41" i="3"/>
  <c r="J43" i="3"/>
  <c r="D53" i="3"/>
  <c r="C53" i="3" s="1"/>
  <c r="K53" i="3" s="1"/>
  <c r="J54" i="3"/>
  <c r="D57" i="3"/>
  <c r="M57" i="3" s="1"/>
  <c r="J64" i="3"/>
  <c r="J76" i="3"/>
  <c r="D79" i="3"/>
  <c r="J80" i="3"/>
  <c r="J93" i="3"/>
  <c r="J100" i="3"/>
  <c r="D103" i="3"/>
  <c r="M103" i="3" s="1"/>
  <c r="H13" i="4"/>
  <c r="Q17" i="4"/>
  <c r="X23" i="4"/>
  <c r="AA24" i="4"/>
  <c r="J32" i="4"/>
  <c r="P36" i="4"/>
  <c r="U36" i="4"/>
  <c r="AD36" i="4"/>
  <c r="AA39" i="4"/>
  <c r="N41" i="4"/>
  <c r="J42" i="4"/>
  <c r="P45" i="4"/>
  <c r="AD45" i="4"/>
  <c r="P47" i="4"/>
  <c r="U47" i="4"/>
  <c r="AD47" i="4"/>
  <c r="J63" i="4"/>
  <c r="D65" i="4"/>
  <c r="C65" i="4" s="1"/>
  <c r="K65" i="4" s="1"/>
  <c r="AC74" i="4"/>
  <c r="J80" i="4"/>
  <c r="U82" i="4"/>
  <c r="D84" i="4"/>
  <c r="M84" i="4" s="1"/>
  <c r="N86" i="4"/>
  <c r="J88" i="4"/>
  <c r="J91" i="4"/>
  <c r="J97" i="4"/>
  <c r="J104" i="4"/>
  <c r="J116" i="4"/>
  <c r="N11" i="5"/>
  <c r="N17" i="5"/>
  <c r="J18" i="5"/>
  <c r="N20" i="5"/>
  <c r="D22" i="5"/>
  <c r="M22" i="5" s="1"/>
  <c r="N30" i="5"/>
  <c r="F31" i="5"/>
  <c r="R31" i="5"/>
  <c r="N34" i="5"/>
  <c r="J35" i="5"/>
  <c r="D36" i="5"/>
  <c r="C36" i="5" s="1"/>
  <c r="D39" i="5"/>
  <c r="C39" i="5" s="1"/>
  <c r="K39" i="5" s="1"/>
  <c r="D54" i="5"/>
  <c r="M54" i="5" s="1"/>
  <c r="J57" i="5"/>
  <c r="D61" i="5"/>
  <c r="M61" i="5" s="1"/>
  <c r="J64" i="5"/>
  <c r="J67" i="5"/>
  <c r="D71" i="5"/>
  <c r="M71" i="5" s="1"/>
  <c r="J82" i="5"/>
  <c r="L89" i="5"/>
  <c r="L10" i="5" s="1"/>
  <c r="G52" i="6"/>
  <c r="P52" i="6" s="1"/>
  <c r="P53" i="6"/>
  <c r="S52" i="6"/>
  <c r="N104" i="6"/>
  <c r="H11" i="6"/>
  <c r="N11" i="6" s="1"/>
  <c r="D106" i="6"/>
  <c r="C106" i="6" s="1"/>
  <c r="J14" i="7"/>
  <c r="BR14" i="7"/>
  <c r="D15" i="7"/>
  <c r="M15" i="7" s="1"/>
  <c r="AC38" i="7"/>
  <c r="BI38" i="7"/>
  <c r="AL43" i="7"/>
  <c r="AT43" i="7"/>
  <c r="T45" i="7"/>
  <c r="AY52" i="7"/>
  <c r="F74" i="5"/>
  <c r="T76" i="5"/>
  <c r="D85" i="5"/>
  <c r="M85" i="5" s="1"/>
  <c r="D86" i="5"/>
  <c r="M86" i="5" s="1"/>
  <c r="O89" i="5"/>
  <c r="D105" i="5"/>
  <c r="M105" i="5" s="1"/>
  <c r="J105" i="5"/>
  <c r="J106" i="5"/>
  <c r="D15" i="6"/>
  <c r="M15" i="6" s="1"/>
  <c r="J15" i="6"/>
  <c r="T18" i="6"/>
  <c r="T21" i="6"/>
  <c r="J93" i="6"/>
  <c r="J116" i="6"/>
  <c r="BI15" i="7"/>
  <c r="BP13" i="7"/>
  <c r="BR27" i="7"/>
  <c r="BL33" i="7"/>
  <c r="D36" i="7"/>
  <c r="C36" i="7" s="1"/>
  <c r="AM31" i="7"/>
  <c r="BL38" i="7"/>
  <c r="BU38" i="7"/>
  <c r="N39" i="7"/>
  <c r="W39" i="7"/>
  <c r="AF39" i="7"/>
  <c r="BL39" i="7"/>
  <c r="BU39" i="7"/>
  <c r="T40" i="7"/>
  <c r="AC40" i="7"/>
  <c r="BR40" i="7"/>
  <c r="AF43" i="7"/>
  <c r="X44" i="7"/>
  <c r="BU44" i="7"/>
  <c r="W45" i="7"/>
  <c r="AC46" i="7"/>
  <c r="BC46" i="7"/>
  <c r="BU46" i="7"/>
  <c r="BI48" i="7"/>
  <c r="BR48" i="7"/>
  <c r="AO50" i="7"/>
  <c r="AW50" i="7"/>
  <c r="BL51" i="7"/>
  <c r="J53" i="7"/>
  <c r="AF54" i="7"/>
  <c r="BL54" i="7"/>
  <c r="D55" i="7"/>
  <c r="AI55" i="7"/>
  <c r="BO55" i="7"/>
  <c r="D73" i="5"/>
  <c r="M73" i="5" s="1"/>
  <c r="J77" i="5"/>
  <c r="T14" i="6"/>
  <c r="E31" i="6"/>
  <c r="O31" i="6"/>
  <c r="J39" i="6"/>
  <c r="T41" i="6"/>
  <c r="J45" i="6"/>
  <c r="J51" i="6"/>
  <c r="E52" i="6"/>
  <c r="D65" i="6"/>
  <c r="M65" i="6" s="1"/>
  <c r="I74" i="6"/>
  <c r="Q74" i="6" s="1"/>
  <c r="J94" i="6"/>
  <c r="L89" i="6"/>
  <c r="L10" i="6" s="1"/>
  <c r="L9" i="6" s="1"/>
  <c r="J112" i="6"/>
  <c r="O11" i="7"/>
  <c r="J11" i="7" s="1"/>
  <c r="G13" i="7"/>
  <c r="P13" i="7" s="1"/>
  <c r="AC14" i="7"/>
  <c r="W20" i="7"/>
  <c r="J29" i="7"/>
  <c r="X29" i="7"/>
  <c r="AF35" i="7"/>
  <c r="W37" i="7"/>
  <c r="AW38" i="7"/>
  <c r="D39" i="7"/>
  <c r="M39" i="7" s="1"/>
  <c r="N40" i="7"/>
  <c r="BU40" i="7"/>
  <c r="X41" i="7"/>
  <c r="W42" i="7"/>
  <c r="BI42" i="7"/>
  <c r="BR42" i="7"/>
  <c r="BF43" i="7"/>
  <c r="AF47" i="7"/>
  <c r="D48" i="7"/>
  <c r="X49" i="7"/>
  <c r="AI49" i="7"/>
  <c r="W51" i="7"/>
  <c r="AZ53" i="7"/>
  <c r="W61" i="7"/>
  <c r="N75" i="5"/>
  <c r="D80" i="5"/>
  <c r="M80" i="5" s="1"/>
  <c r="J80" i="5"/>
  <c r="J92" i="5"/>
  <c r="J95" i="5"/>
  <c r="N16" i="6"/>
  <c r="N20" i="6"/>
  <c r="N21" i="6"/>
  <c r="D27" i="6"/>
  <c r="C27" i="6" s="1"/>
  <c r="N34" i="6"/>
  <c r="T40" i="6"/>
  <c r="N42" i="6"/>
  <c r="J44" i="6"/>
  <c r="N48" i="6"/>
  <c r="N58" i="6"/>
  <c r="D73" i="6"/>
  <c r="C73" i="6" s="1"/>
  <c r="K73" i="6" s="1"/>
  <c r="V74" i="6"/>
  <c r="N80" i="6"/>
  <c r="N86" i="6"/>
  <c r="D100" i="6"/>
  <c r="C100" i="6" s="1"/>
  <c r="K100" i="6" s="1"/>
  <c r="AC16" i="7"/>
  <c r="AT16" i="7"/>
  <c r="BC16" i="7"/>
  <c r="BL16" i="7"/>
  <c r="BU16" i="7"/>
  <c r="CD16" i="7"/>
  <c r="CM16" i="7"/>
  <c r="X19" i="7"/>
  <c r="X20" i="7"/>
  <c r="N21" i="7"/>
  <c r="AO23" i="7"/>
  <c r="AF25" i="7"/>
  <c r="AO25" i="7"/>
  <c r="D30" i="7"/>
  <c r="C30" i="7" s="1"/>
  <c r="X30" i="7"/>
  <c r="BI32" i="7"/>
  <c r="X33" i="7"/>
  <c r="AI33" i="7"/>
  <c r="N36" i="7"/>
  <c r="BI50" i="7"/>
  <c r="BF51" i="7"/>
  <c r="N55" i="7"/>
  <c r="CE52" i="7"/>
  <c r="CG55" i="7"/>
  <c r="CG56" i="7"/>
  <c r="J88" i="7"/>
  <c r="D79" i="5"/>
  <c r="D92" i="5"/>
  <c r="C92" i="5" s="1"/>
  <c r="K92" i="5" s="1"/>
  <c r="D95" i="5"/>
  <c r="C95" i="5" s="1"/>
  <c r="K95" i="5" s="1"/>
  <c r="D102" i="5"/>
  <c r="C102" i="5" s="1"/>
  <c r="K102" i="5" s="1"/>
  <c r="J103" i="5"/>
  <c r="N105" i="5"/>
  <c r="J109" i="5"/>
  <c r="J17" i="6"/>
  <c r="V13" i="6"/>
  <c r="J18" i="6"/>
  <c r="J22" i="6"/>
  <c r="J35" i="6"/>
  <c r="J36" i="6"/>
  <c r="T39" i="6"/>
  <c r="J43" i="6"/>
  <c r="T45" i="6"/>
  <c r="J49" i="6"/>
  <c r="T51" i="6"/>
  <c r="T54" i="6"/>
  <c r="W56" i="6"/>
  <c r="W57" i="6"/>
  <c r="J59" i="6"/>
  <c r="N66" i="6"/>
  <c r="D70" i="6"/>
  <c r="M70" i="6" s="1"/>
  <c r="D71" i="6"/>
  <c r="M71" i="6" s="1"/>
  <c r="T72" i="6"/>
  <c r="D76" i="6"/>
  <c r="O74" i="6"/>
  <c r="T77" i="6"/>
  <c r="W79" i="6"/>
  <c r="J81" i="6"/>
  <c r="T83" i="6"/>
  <c r="W85" i="6"/>
  <c r="F89" i="6"/>
  <c r="F10" i="6" s="1"/>
  <c r="F9" i="6" s="1"/>
  <c r="D96" i="6"/>
  <c r="M96" i="6" s="1"/>
  <c r="D105" i="6"/>
  <c r="C105" i="6" s="1"/>
  <c r="K105" i="6" s="1"/>
  <c r="J106" i="6"/>
  <c r="J114" i="6"/>
  <c r="V13" i="7"/>
  <c r="AO14" i="7"/>
  <c r="J15" i="7"/>
  <c r="X15" i="7"/>
  <c r="AI15" i="7"/>
  <c r="BO15" i="7"/>
  <c r="W17" i="7"/>
  <c r="AF17" i="7"/>
  <c r="AO17" i="7"/>
  <c r="BL18" i="7"/>
  <c r="AC19" i="7"/>
  <c r="BI20" i="7"/>
  <c r="W21" i="7"/>
  <c r="AF21" i="7"/>
  <c r="AO21" i="7"/>
  <c r="X23" i="7"/>
  <c r="D24" i="7"/>
  <c r="C24" i="7" s="1"/>
  <c r="BL24" i="7"/>
  <c r="J26" i="7"/>
  <c r="T28" i="7"/>
  <c r="AC28" i="7"/>
  <c r="BL28" i="7"/>
  <c r="BU28" i="7"/>
  <c r="AC29" i="7"/>
  <c r="T30" i="7"/>
  <c r="AC30" i="7"/>
  <c r="T32" i="7"/>
  <c r="BI33" i="7"/>
  <c r="AC34" i="7"/>
  <c r="BL34" i="7"/>
  <c r="BU34" i="7"/>
  <c r="CC31" i="7"/>
  <c r="N37" i="7"/>
  <c r="D38" i="7"/>
  <c r="M38" i="7" s="1"/>
  <c r="AW40" i="7"/>
  <c r="BO40" i="7"/>
  <c r="D41" i="7"/>
  <c r="T41" i="7"/>
  <c r="AC41" i="7"/>
  <c r="BI41" i="7"/>
  <c r="X42" i="7"/>
  <c r="BL42" i="7"/>
  <c r="D43" i="7"/>
  <c r="BX43" i="7"/>
  <c r="BI44" i="7"/>
  <c r="X47" i="7"/>
  <c r="AI47" i="7"/>
  <c r="T49" i="7"/>
  <c r="AC49" i="7"/>
  <c r="AL49" i="7"/>
  <c r="T53" i="7"/>
  <c r="AL53" i="7"/>
  <c r="AT53" i="7"/>
  <c r="BA52" i="7"/>
  <c r="BL53" i="7"/>
  <c r="BQ52" i="7"/>
  <c r="T54" i="7"/>
  <c r="BI61" i="7"/>
  <c r="D88" i="7"/>
  <c r="BI45" i="7"/>
  <c r="BI46" i="7"/>
  <c r="BI47" i="7"/>
  <c r="BR47" i="7"/>
  <c r="BO48" i="7"/>
  <c r="BC50" i="7"/>
  <c r="BU50" i="7"/>
  <c r="BI51" i="7"/>
  <c r="BI59" i="7"/>
  <c r="S52" i="7"/>
  <c r="BL56" i="7"/>
  <c r="BX57" i="7"/>
  <c r="T58" i="7"/>
  <c r="AC58" i="7"/>
  <c r="D59" i="7"/>
  <c r="M59" i="7" s="1"/>
  <c r="T59" i="7"/>
  <c r="D60" i="7"/>
  <c r="M60" i="7" s="1"/>
  <c r="BR61" i="7"/>
  <c r="CA64" i="7"/>
  <c r="N66" i="7"/>
  <c r="AI66" i="7"/>
  <c r="AI67" i="7"/>
  <c r="BL69" i="7"/>
  <c r="BU69" i="7"/>
  <c r="CD69" i="7"/>
  <c r="CM69" i="7"/>
  <c r="X71" i="7"/>
  <c r="W72" i="7"/>
  <c r="AC75" i="7"/>
  <c r="AS74" i="7"/>
  <c r="X78" i="7"/>
  <c r="CM78" i="7"/>
  <c r="T79" i="7"/>
  <c r="BR79" i="7"/>
  <c r="W81" i="7"/>
  <c r="AF81" i="7"/>
  <c r="AO81" i="7"/>
  <c r="AM74" i="7"/>
  <c r="BR84" i="7"/>
  <c r="J85" i="7"/>
  <c r="AI85" i="7"/>
  <c r="W86" i="7"/>
  <c r="J108" i="7"/>
  <c r="D15" i="8"/>
  <c r="C15" i="8" s="1"/>
  <c r="O13" i="8"/>
  <c r="D17" i="8"/>
  <c r="C17" i="8" s="1"/>
  <c r="R74" i="8"/>
  <c r="J77" i="8"/>
  <c r="T78" i="8"/>
  <c r="J82" i="8"/>
  <c r="T84" i="8"/>
  <c r="V31" i="10"/>
  <c r="E31" i="10"/>
  <c r="X31" i="10"/>
  <c r="R52" i="10"/>
  <c r="D75" i="10"/>
  <c r="M75" i="10" s="1"/>
  <c r="Q76" i="10"/>
  <c r="I74" i="10"/>
  <c r="Q74" i="10" s="1"/>
  <c r="P19" i="11"/>
  <c r="G13" i="11"/>
  <c r="P13" i="11" s="1"/>
  <c r="L13" i="11"/>
  <c r="G31" i="11"/>
  <c r="P31" i="11" s="1"/>
  <c r="BL55" i="7"/>
  <c r="BU58" i="7"/>
  <c r="W75" i="7"/>
  <c r="N76" i="7"/>
  <c r="CC74" i="7"/>
  <c r="T80" i="7"/>
  <c r="AC80" i="7"/>
  <c r="BI80" i="7"/>
  <c r="D81" i="7"/>
  <c r="M81" i="7" s="1"/>
  <c r="X81" i="7"/>
  <c r="BI81" i="7"/>
  <c r="BR81" i="7"/>
  <c r="BI87" i="7"/>
  <c r="BI88" i="7"/>
  <c r="D93" i="7"/>
  <c r="M93" i="7" s="1"/>
  <c r="J106" i="7"/>
  <c r="N107" i="7"/>
  <c r="D109" i="7"/>
  <c r="C109" i="7" s="1"/>
  <c r="D114" i="7"/>
  <c r="D35" i="8"/>
  <c r="C35" i="8" s="1"/>
  <c r="D37" i="8"/>
  <c r="M37" i="8" s="1"/>
  <c r="D39" i="8"/>
  <c r="C39" i="8" s="1"/>
  <c r="D41" i="8"/>
  <c r="D47" i="8"/>
  <c r="C47" i="8" s="1"/>
  <c r="D51" i="8"/>
  <c r="M51" i="8" s="1"/>
  <c r="T70" i="8"/>
  <c r="T72" i="8"/>
  <c r="T83" i="8"/>
  <c r="D86" i="8"/>
  <c r="M86" i="8" s="1"/>
  <c r="J86" i="8"/>
  <c r="D91" i="8"/>
  <c r="D93" i="8"/>
  <c r="M93" i="8" s="1"/>
  <c r="D102" i="8"/>
  <c r="M102" i="8" s="1"/>
  <c r="N105" i="8"/>
  <c r="J110" i="8"/>
  <c r="D113" i="8"/>
  <c r="M113" i="8" s="1"/>
  <c r="X13" i="10"/>
  <c r="L31" i="10"/>
  <c r="F13" i="11"/>
  <c r="Z52" i="12"/>
  <c r="N59" i="7"/>
  <c r="CD59" i="7"/>
  <c r="CM59" i="7"/>
  <c r="X63" i="7"/>
  <c r="BI64" i="7"/>
  <c r="AC67" i="7"/>
  <c r="BL67" i="7"/>
  <c r="J69" i="7"/>
  <c r="D71" i="7"/>
  <c r="N73" i="7"/>
  <c r="BL84" i="7"/>
  <c r="BI85" i="7"/>
  <c r="J91" i="7"/>
  <c r="O52" i="8"/>
  <c r="L74" i="8"/>
  <c r="D79" i="8"/>
  <c r="M79" i="8" s="1"/>
  <c r="J79" i="8"/>
  <c r="J81" i="8"/>
  <c r="D110" i="8"/>
  <c r="M110" i="8" s="1"/>
  <c r="J114" i="8"/>
  <c r="E13" i="9"/>
  <c r="AG29" i="9"/>
  <c r="AE29" i="9"/>
  <c r="F31" i="9"/>
  <c r="AG64" i="9"/>
  <c r="AE64" i="9"/>
  <c r="AE86" i="9"/>
  <c r="AG86" i="9"/>
  <c r="F13" i="10"/>
  <c r="E89" i="10"/>
  <c r="E10" i="10" s="1"/>
  <c r="E9" i="10" s="1"/>
  <c r="Q92" i="10"/>
  <c r="I89" i="10"/>
  <c r="CJ55" i="7"/>
  <c r="X56" i="7"/>
  <c r="CD56" i="7"/>
  <c r="AW58" i="7"/>
  <c r="AC61" i="7"/>
  <c r="X62" i="7"/>
  <c r="AI62" i="7"/>
  <c r="AC63" i="7"/>
  <c r="T65" i="7"/>
  <c r="AO66" i="7"/>
  <c r="BU68" i="7"/>
  <c r="X69" i="7"/>
  <c r="AI69" i="7"/>
  <c r="AO75" i="7"/>
  <c r="AI76" i="7"/>
  <c r="BN74" i="7"/>
  <c r="AZ86" i="7"/>
  <c r="BI86" i="7"/>
  <c r="BR86" i="7"/>
  <c r="J87" i="7"/>
  <c r="BL87" i="7"/>
  <c r="W88" i="7"/>
  <c r="AO88" i="7"/>
  <c r="D100" i="7"/>
  <c r="M100" i="7" s="1"/>
  <c r="N108" i="7"/>
  <c r="J110" i="7"/>
  <c r="J50" i="8"/>
  <c r="J76" i="8"/>
  <c r="N84" i="8"/>
  <c r="J99" i="8"/>
  <c r="AB79" i="9"/>
  <c r="Z79" i="9"/>
  <c r="CD55" i="7"/>
  <c r="AC57" i="7"/>
  <c r="X59" i="7"/>
  <c r="AI59" i="7"/>
  <c r="CG59" i="7"/>
  <c r="CD61" i="7"/>
  <c r="D62" i="7"/>
  <c r="M62" i="7" s="1"/>
  <c r="CD63" i="7"/>
  <c r="CM63" i="7"/>
  <c r="W65" i="7"/>
  <c r="X66" i="7"/>
  <c r="J67" i="7"/>
  <c r="W68" i="7"/>
  <c r="T69" i="7"/>
  <c r="AC69" i="7"/>
  <c r="AZ69" i="7"/>
  <c r="BI69" i="7"/>
  <c r="BR69" i="7"/>
  <c r="CA69" i="7"/>
  <c r="CJ69" i="7"/>
  <c r="J70" i="7"/>
  <c r="W71" i="7"/>
  <c r="BU71" i="7"/>
  <c r="T72" i="7"/>
  <c r="W73" i="7"/>
  <c r="D76" i="7"/>
  <c r="AZ76" i="7"/>
  <c r="BI76" i="7"/>
  <c r="BR76" i="7"/>
  <c r="AZ78" i="7"/>
  <c r="BI78" i="7"/>
  <c r="BR78" i="7"/>
  <c r="CA78" i="7"/>
  <c r="X79" i="7"/>
  <c r="AF80" i="7"/>
  <c r="CL74" i="7"/>
  <c r="AC82" i="7"/>
  <c r="AF84" i="7"/>
  <c r="AF85" i="7"/>
  <c r="BU85" i="7"/>
  <c r="AC86" i="7"/>
  <c r="D95" i="7"/>
  <c r="D101" i="7"/>
  <c r="M101" i="7" s="1"/>
  <c r="J107" i="7"/>
  <c r="J113" i="7"/>
  <c r="D32" i="8"/>
  <c r="M32" i="8" s="1"/>
  <c r="D50" i="8"/>
  <c r="M50" i="8" s="1"/>
  <c r="J54" i="8"/>
  <c r="J56" i="8"/>
  <c r="J58" i="8"/>
  <c r="J60" i="8"/>
  <c r="J62" i="8"/>
  <c r="J64" i="8"/>
  <c r="J66" i="8"/>
  <c r="T71" i="8"/>
  <c r="T73" i="8"/>
  <c r="D78" i="8"/>
  <c r="M78" i="8" s="1"/>
  <c r="J78" i="8"/>
  <c r="T79" i="8"/>
  <c r="J105" i="8"/>
  <c r="J106" i="8"/>
  <c r="D108" i="8"/>
  <c r="C108" i="8" s="1"/>
  <c r="K108" i="8" s="1"/>
  <c r="D15" i="9"/>
  <c r="M15" i="9" s="1"/>
  <c r="Z16" i="9"/>
  <c r="D20" i="9"/>
  <c r="C20" i="9" s="1"/>
  <c r="AE22" i="9"/>
  <c r="AE24" i="9"/>
  <c r="Z26" i="9"/>
  <c r="T32" i="9"/>
  <c r="Z39" i="9"/>
  <c r="D58" i="9"/>
  <c r="C58" i="9" s="1"/>
  <c r="K58" i="9" s="1"/>
  <c r="Z68" i="9"/>
  <c r="D69" i="9"/>
  <c r="C69" i="9" s="1"/>
  <c r="Z69" i="9"/>
  <c r="G74" i="9"/>
  <c r="P74" i="9" s="1"/>
  <c r="D83" i="9"/>
  <c r="C83" i="9" s="1"/>
  <c r="K83" i="9" s="1"/>
  <c r="R13" i="10"/>
  <c r="J26" i="10"/>
  <c r="U29" i="10"/>
  <c r="Y40" i="10"/>
  <c r="U44" i="10"/>
  <c r="J53" i="10"/>
  <c r="Z52" i="10"/>
  <c r="AB70" i="10"/>
  <c r="D81" i="10"/>
  <c r="C81" i="10" s="1"/>
  <c r="K81" i="10" s="1"/>
  <c r="F89" i="10"/>
  <c r="F10" i="10" s="1"/>
  <c r="F9" i="10" s="1"/>
  <c r="J91" i="10"/>
  <c r="D103" i="10"/>
  <c r="M103" i="10" s="1"/>
  <c r="D107" i="10"/>
  <c r="M107" i="10" s="1"/>
  <c r="J112" i="10"/>
  <c r="J116" i="10"/>
  <c r="S13" i="11"/>
  <c r="J15" i="11"/>
  <c r="J22" i="11"/>
  <c r="D26" i="11"/>
  <c r="M26" i="11" s="1"/>
  <c r="D38" i="11"/>
  <c r="M38" i="11" s="1"/>
  <c r="J38" i="11"/>
  <c r="D44" i="11"/>
  <c r="J44" i="11"/>
  <c r="D47" i="11"/>
  <c r="J51" i="11"/>
  <c r="F52" i="11"/>
  <c r="T56" i="11"/>
  <c r="D69" i="11"/>
  <c r="J87" i="11"/>
  <c r="L89" i="11"/>
  <c r="L10" i="11" s="1"/>
  <c r="L9" i="11" s="1"/>
  <c r="D16" i="9"/>
  <c r="M16" i="9" s="1"/>
  <c r="R13" i="9"/>
  <c r="D19" i="9"/>
  <c r="M19" i="9" s="1"/>
  <c r="AG21" i="9"/>
  <c r="J22" i="9"/>
  <c r="J24" i="9"/>
  <c r="W24" i="9"/>
  <c r="J25" i="9"/>
  <c r="AE36" i="9"/>
  <c r="Z41" i="9"/>
  <c r="Z44" i="9"/>
  <c r="Z50" i="9"/>
  <c r="AB53" i="9"/>
  <c r="T59" i="9"/>
  <c r="D63" i="9"/>
  <c r="AG63" i="9"/>
  <c r="AE67" i="9"/>
  <c r="AB68" i="9"/>
  <c r="AE72" i="9"/>
  <c r="T76" i="9"/>
  <c r="J79" i="9"/>
  <c r="J80" i="9"/>
  <c r="J84" i="9"/>
  <c r="J108" i="9"/>
  <c r="Y16" i="10"/>
  <c r="W19" i="10"/>
  <c r="J23" i="10"/>
  <c r="W25" i="10"/>
  <c r="J32" i="10"/>
  <c r="Z31" i="10"/>
  <c r="N42" i="10"/>
  <c r="AB47" i="10"/>
  <c r="U50" i="10"/>
  <c r="AA52" i="10"/>
  <c r="Y55" i="10"/>
  <c r="H74" i="10"/>
  <c r="W76" i="10"/>
  <c r="D92" i="10"/>
  <c r="J104" i="10"/>
  <c r="J113" i="10"/>
  <c r="D15" i="11"/>
  <c r="C15" i="11" s="1"/>
  <c r="K15" i="11" s="1"/>
  <c r="J17" i="11"/>
  <c r="D22" i="11"/>
  <c r="M22" i="11" s="1"/>
  <c r="J28" i="11"/>
  <c r="J34" i="11"/>
  <c r="D37" i="11"/>
  <c r="M37" i="11" s="1"/>
  <c r="D51" i="11"/>
  <c r="M51" i="11" s="1"/>
  <c r="D87" i="11"/>
  <c r="C87" i="11" s="1"/>
  <c r="K87" i="11" s="1"/>
  <c r="V31" i="12"/>
  <c r="N17" i="9"/>
  <c r="AB23" i="9"/>
  <c r="N41" i="9"/>
  <c r="T41" i="9"/>
  <c r="D45" i="9"/>
  <c r="C45" i="9" s="1"/>
  <c r="D46" i="9"/>
  <c r="C46" i="9" s="1"/>
  <c r="T46" i="9"/>
  <c r="T47" i="9"/>
  <c r="D48" i="9"/>
  <c r="M48" i="9" s="1"/>
  <c r="AF52" i="9"/>
  <c r="Z56" i="9"/>
  <c r="AE65" i="9"/>
  <c r="AE71" i="9"/>
  <c r="U74" i="9"/>
  <c r="W76" i="9"/>
  <c r="AE80" i="9"/>
  <c r="AE81" i="9"/>
  <c r="J86" i="9"/>
  <c r="J98" i="9"/>
  <c r="AB16" i="10"/>
  <c r="AB26" i="10"/>
  <c r="Y28" i="10"/>
  <c r="AA31" i="10"/>
  <c r="J35" i="10"/>
  <c r="U40" i="10"/>
  <c r="D41" i="10"/>
  <c r="M41" i="10" s="1"/>
  <c r="J41" i="10"/>
  <c r="N45" i="10"/>
  <c r="U47" i="10"/>
  <c r="G52" i="10"/>
  <c r="P52" i="10" s="1"/>
  <c r="N57" i="10"/>
  <c r="D69" i="10"/>
  <c r="M69" i="10" s="1"/>
  <c r="J69" i="10"/>
  <c r="T74" i="10"/>
  <c r="Y76" i="10"/>
  <c r="N86" i="10"/>
  <c r="O52" i="11"/>
  <c r="Z31" i="12"/>
  <c r="AE15" i="9"/>
  <c r="N16" i="9"/>
  <c r="W16" i="9"/>
  <c r="AB21" i="9"/>
  <c r="W26" i="9"/>
  <c r="D28" i="9"/>
  <c r="C28" i="9" s="1"/>
  <c r="Z29" i="9"/>
  <c r="J32" i="9"/>
  <c r="N40" i="9"/>
  <c r="W40" i="9"/>
  <c r="N47" i="9"/>
  <c r="J60" i="9"/>
  <c r="D61" i="9"/>
  <c r="M61" i="9" s="1"/>
  <c r="Z64" i="9"/>
  <c r="J66" i="9"/>
  <c r="AE66" i="9"/>
  <c r="Z70" i="9"/>
  <c r="AC74" i="9"/>
  <c r="AG75" i="9"/>
  <c r="J76" i="9"/>
  <c r="AB77" i="9"/>
  <c r="AE87" i="9"/>
  <c r="D92" i="9"/>
  <c r="D95" i="9"/>
  <c r="M95" i="9" s="1"/>
  <c r="J95" i="9"/>
  <c r="D99" i="9"/>
  <c r="M99" i="9" s="1"/>
  <c r="U16" i="10"/>
  <c r="D17" i="10"/>
  <c r="M17" i="10" s="1"/>
  <c r="J22" i="10"/>
  <c r="W23" i="10"/>
  <c r="G31" i="10"/>
  <c r="P31" i="10" s="1"/>
  <c r="D33" i="10"/>
  <c r="C33" i="10" s="1"/>
  <c r="D40" i="10"/>
  <c r="M40" i="10" s="1"/>
  <c r="N51" i="10"/>
  <c r="N53" i="10"/>
  <c r="T52" i="10"/>
  <c r="W55" i="10"/>
  <c r="U62" i="10"/>
  <c r="Y70" i="10"/>
  <c r="V74" i="10"/>
  <c r="D82" i="10"/>
  <c r="J23" i="11"/>
  <c r="T53" i="11"/>
  <c r="R74" i="11"/>
  <c r="T75" i="11"/>
  <c r="V13" i="12"/>
  <c r="J104" i="12"/>
  <c r="L11" i="12"/>
  <c r="N11" i="12" s="1"/>
  <c r="W19" i="9"/>
  <c r="T24" i="9"/>
  <c r="D32" i="9"/>
  <c r="C32" i="9" s="1"/>
  <c r="Z32" i="9"/>
  <c r="D33" i="9"/>
  <c r="M33" i="9" s="1"/>
  <c r="T34" i="9"/>
  <c r="D38" i="9"/>
  <c r="C38" i="9" s="1"/>
  <c r="Z38" i="9"/>
  <c r="T45" i="9"/>
  <c r="W46" i="9"/>
  <c r="N48" i="9"/>
  <c r="AG48" i="9"/>
  <c r="AB50" i="9"/>
  <c r="T56" i="9"/>
  <c r="AB59" i="9"/>
  <c r="J67" i="9"/>
  <c r="D68" i="9"/>
  <c r="C68" i="9" s="1"/>
  <c r="W68" i="9"/>
  <c r="AB75" i="9"/>
  <c r="D76" i="9"/>
  <c r="M76" i="9" s="1"/>
  <c r="O74" i="9"/>
  <c r="J82" i="9"/>
  <c r="H89" i="9"/>
  <c r="H10" i="9" s="1"/>
  <c r="D102" i="9"/>
  <c r="M102" i="9" s="1"/>
  <c r="N104" i="9"/>
  <c r="J106" i="9"/>
  <c r="D110" i="9"/>
  <c r="M110" i="9" s="1"/>
  <c r="D14" i="10"/>
  <c r="C14" i="10" s="1"/>
  <c r="D16" i="10"/>
  <c r="N23" i="10"/>
  <c r="U28" i="10"/>
  <c r="T31" i="10"/>
  <c r="J34" i="10"/>
  <c r="D36" i="10"/>
  <c r="M36" i="10" s="1"/>
  <c r="W40" i="10"/>
  <c r="D42" i="10"/>
  <c r="C42" i="10" s="1"/>
  <c r="N46" i="10"/>
  <c r="D47" i="10"/>
  <c r="C47" i="10" s="1"/>
  <c r="K47" i="10" s="1"/>
  <c r="J47" i="10"/>
  <c r="J49" i="10"/>
  <c r="V52" i="10"/>
  <c r="D59" i="10"/>
  <c r="M59" i="10" s="1"/>
  <c r="J59" i="10"/>
  <c r="L74" i="10"/>
  <c r="J77" i="10"/>
  <c r="AB77" i="10"/>
  <c r="D94" i="10"/>
  <c r="M94" i="10" s="1"/>
  <c r="J111" i="10"/>
  <c r="J18" i="11"/>
  <c r="D21" i="11"/>
  <c r="M21" i="11" s="1"/>
  <c r="J21" i="11"/>
  <c r="D23" i="11"/>
  <c r="M23" i="11" s="1"/>
  <c r="J26" i="11"/>
  <c r="D27" i="11"/>
  <c r="M27" i="11" s="1"/>
  <c r="J27" i="11"/>
  <c r="J29" i="11"/>
  <c r="T30" i="11"/>
  <c r="H31" i="11"/>
  <c r="S31" i="11"/>
  <c r="D42" i="11"/>
  <c r="M42" i="11" s="1"/>
  <c r="J42" i="11"/>
  <c r="D48" i="11"/>
  <c r="M48" i="11" s="1"/>
  <c r="J48" i="11"/>
  <c r="J54" i="11"/>
  <c r="D84" i="11"/>
  <c r="C84" i="11" s="1"/>
  <c r="K84" i="11" s="1"/>
  <c r="E74" i="11"/>
  <c r="J14" i="12"/>
  <c r="L13" i="12"/>
  <c r="Q37" i="12"/>
  <c r="I31" i="12"/>
  <c r="H74" i="11"/>
  <c r="S74" i="11"/>
  <c r="G74" i="11"/>
  <c r="E89" i="11"/>
  <c r="E10" i="11" s="1"/>
  <c r="E9" i="11" s="1"/>
  <c r="J103" i="11"/>
  <c r="J108" i="11"/>
  <c r="W17" i="12"/>
  <c r="W19" i="12"/>
  <c r="W25" i="12"/>
  <c r="S31" i="12"/>
  <c r="E52" i="12"/>
  <c r="D66" i="12"/>
  <c r="C66" i="12" s="1"/>
  <c r="D76" i="12"/>
  <c r="D84" i="12"/>
  <c r="D87" i="12"/>
  <c r="M87" i="12" s="1"/>
  <c r="I13" i="13"/>
  <c r="D58" i="11"/>
  <c r="C58" i="11" s="1"/>
  <c r="K58" i="11" s="1"/>
  <c r="D61" i="11"/>
  <c r="J64" i="11"/>
  <c r="I74" i="11"/>
  <c r="F89" i="11"/>
  <c r="F10" i="11" s="1"/>
  <c r="F9" i="11" s="1"/>
  <c r="D91" i="11"/>
  <c r="C91" i="11" s="1"/>
  <c r="K91" i="11" s="1"/>
  <c r="D95" i="11"/>
  <c r="M95" i="11" s="1"/>
  <c r="J99" i="11"/>
  <c r="F13" i="12"/>
  <c r="R13" i="12"/>
  <c r="N20" i="12"/>
  <c r="W20" i="12"/>
  <c r="D27" i="12"/>
  <c r="M27" i="12" s="1"/>
  <c r="N29" i="12"/>
  <c r="N30" i="12"/>
  <c r="Y31" i="12"/>
  <c r="N36" i="12"/>
  <c r="D37" i="12"/>
  <c r="M37" i="12" s="1"/>
  <c r="D43" i="12"/>
  <c r="M43" i="12" s="1"/>
  <c r="D45" i="12"/>
  <c r="D47" i="12"/>
  <c r="D49" i="12"/>
  <c r="C49" i="12" s="1"/>
  <c r="D51" i="12"/>
  <c r="C51" i="12" s="1"/>
  <c r="D53" i="12"/>
  <c r="M53" i="12" s="1"/>
  <c r="D55" i="12"/>
  <c r="C55" i="12" s="1"/>
  <c r="P55" i="12"/>
  <c r="W56" i="12"/>
  <c r="W59" i="12"/>
  <c r="W62" i="12"/>
  <c r="T66" i="12"/>
  <c r="J67" i="12"/>
  <c r="U74" i="12"/>
  <c r="D79" i="12"/>
  <c r="C79" i="12" s="1"/>
  <c r="D82" i="12"/>
  <c r="M82" i="12" s="1"/>
  <c r="D101" i="12"/>
  <c r="M101" i="12" s="1"/>
  <c r="J105" i="12"/>
  <c r="D108" i="12"/>
  <c r="C108" i="12" s="1"/>
  <c r="K108" i="12" s="1"/>
  <c r="D111" i="12"/>
  <c r="M111" i="12" s="1"/>
  <c r="Q11" i="13"/>
  <c r="L13" i="13"/>
  <c r="AM13" i="13"/>
  <c r="J16" i="13"/>
  <c r="Y16" i="13"/>
  <c r="Y17" i="13"/>
  <c r="AV17" i="13"/>
  <c r="AC18" i="13"/>
  <c r="AZ19" i="13"/>
  <c r="D20" i="13"/>
  <c r="C20" i="13" s="1"/>
  <c r="J21" i="13"/>
  <c r="AF21" i="13"/>
  <c r="AI31" i="13"/>
  <c r="P44" i="13"/>
  <c r="AJ84" i="13"/>
  <c r="L52" i="11"/>
  <c r="D85" i="11"/>
  <c r="C85" i="11" s="1"/>
  <c r="K85" i="11" s="1"/>
  <c r="W15" i="12"/>
  <c r="T21" i="12"/>
  <c r="W22" i="12"/>
  <c r="D25" i="12"/>
  <c r="T27" i="12"/>
  <c r="D29" i="12"/>
  <c r="M29" i="12" s="1"/>
  <c r="J34" i="12"/>
  <c r="J38" i="12"/>
  <c r="T45" i="12"/>
  <c r="W50" i="12"/>
  <c r="T53" i="12"/>
  <c r="J54" i="12"/>
  <c r="T55" i="12"/>
  <c r="J56" i="12"/>
  <c r="T58" i="12"/>
  <c r="J59" i="12"/>
  <c r="T61" i="12"/>
  <c r="J62" i="12"/>
  <c r="D64" i="12"/>
  <c r="C64" i="12" s="1"/>
  <c r="W66" i="12"/>
  <c r="T67" i="12"/>
  <c r="D70" i="12"/>
  <c r="D77" i="12"/>
  <c r="N84" i="12"/>
  <c r="AJ15" i="13"/>
  <c r="AL13" i="13"/>
  <c r="N18" i="13"/>
  <c r="AV18" i="13"/>
  <c r="Q21" i="13"/>
  <c r="P38" i="13"/>
  <c r="P46" i="13"/>
  <c r="E52" i="11"/>
  <c r="J60" i="11"/>
  <c r="J62" i="11"/>
  <c r="D70" i="11"/>
  <c r="C70" i="11" s="1"/>
  <c r="K70" i="11" s="1"/>
  <c r="D73" i="11"/>
  <c r="C73" i="11" s="1"/>
  <c r="K73" i="11" s="1"/>
  <c r="D88" i="11"/>
  <c r="C88" i="11" s="1"/>
  <c r="J97" i="11"/>
  <c r="J105" i="11"/>
  <c r="O13" i="12"/>
  <c r="N16" i="12"/>
  <c r="N23" i="12"/>
  <c r="X31" i="12"/>
  <c r="H31" i="12"/>
  <c r="J36" i="12"/>
  <c r="N41" i="12"/>
  <c r="N45" i="12"/>
  <c r="N47" i="12"/>
  <c r="N51" i="12"/>
  <c r="F52" i="12"/>
  <c r="N53" i="12"/>
  <c r="N55" i="12"/>
  <c r="D56" i="12"/>
  <c r="M56" i="12" s="1"/>
  <c r="D59" i="12"/>
  <c r="M59" i="12" s="1"/>
  <c r="D62" i="12"/>
  <c r="M62" i="12" s="1"/>
  <c r="D65" i="12"/>
  <c r="M65" i="12" s="1"/>
  <c r="D71" i="12"/>
  <c r="N72" i="12"/>
  <c r="O74" i="12"/>
  <c r="V74" i="12"/>
  <c r="E74" i="12"/>
  <c r="N79" i="12"/>
  <c r="W79" i="12"/>
  <c r="D80" i="12"/>
  <c r="C80" i="12" s="1"/>
  <c r="D94" i="12"/>
  <c r="C94" i="12" s="1"/>
  <c r="K94" i="12" s="1"/>
  <c r="N104" i="12"/>
  <c r="D106" i="12"/>
  <c r="C106" i="12" s="1"/>
  <c r="K106" i="12" s="1"/>
  <c r="J109" i="12"/>
  <c r="J112" i="12"/>
  <c r="J116" i="12"/>
  <c r="AZ14" i="13"/>
  <c r="Y18" i="13"/>
  <c r="AF18" i="13"/>
  <c r="AC19" i="13"/>
  <c r="AT31" i="13"/>
  <c r="AT52" i="13"/>
  <c r="D60" i="11"/>
  <c r="D62" i="11"/>
  <c r="M62" i="11" s="1"/>
  <c r="J66" i="11"/>
  <c r="J68" i="11"/>
  <c r="F74" i="11"/>
  <c r="O74" i="11"/>
  <c r="D78" i="11"/>
  <c r="C78" i="11" s="1"/>
  <c r="K78" i="11" s="1"/>
  <c r="D80" i="11"/>
  <c r="C80" i="11" s="1"/>
  <c r="K80" i="11" s="1"/>
  <c r="J84" i="11"/>
  <c r="J86" i="11"/>
  <c r="J98" i="11"/>
  <c r="D101" i="11"/>
  <c r="W14" i="12"/>
  <c r="D15" i="12"/>
  <c r="C15" i="12" s="1"/>
  <c r="N19" i="12"/>
  <c r="D20" i="12"/>
  <c r="M20" i="12" s="1"/>
  <c r="N25" i="12"/>
  <c r="D26" i="12"/>
  <c r="M26" i="12" s="1"/>
  <c r="D32" i="12"/>
  <c r="M32" i="12" s="1"/>
  <c r="O31" i="12"/>
  <c r="U31" i="12"/>
  <c r="N37" i="12"/>
  <c r="T56" i="12"/>
  <c r="J57" i="12"/>
  <c r="T59" i="12"/>
  <c r="J60" i="12"/>
  <c r="T62" i="12"/>
  <c r="J63" i="12"/>
  <c r="W64" i="12"/>
  <c r="T65" i="12"/>
  <c r="W70" i="12"/>
  <c r="T75" i="12"/>
  <c r="Z74" i="12"/>
  <c r="N77" i="12"/>
  <c r="W82" i="12"/>
  <c r="D116" i="12"/>
  <c r="C116" i="12" s="1"/>
  <c r="K116" i="12" s="1"/>
  <c r="AP13" i="13"/>
  <c r="U17" i="13"/>
  <c r="J19" i="13"/>
  <c r="AN19" i="13"/>
  <c r="AS13" i="13"/>
  <c r="AJ78" i="13"/>
  <c r="AR24" i="13"/>
  <c r="AZ24" i="13"/>
  <c r="D25" i="13"/>
  <c r="M25" i="13" s="1"/>
  <c r="U27" i="13"/>
  <c r="AR27" i="13"/>
  <c r="Q28" i="13"/>
  <c r="N32" i="13"/>
  <c r="AJ33" i="13"/>
  <c r="U35" i="13"/>
  <c r="AC35" i="13"/>
  <c r="AR35" i="13"/>
  <c r="AZ35" i="13"/>
  <c r="P37" i="13"/>
  <c r="AV38" i="13"/>
  <c r="AC40" i="13"/>
  <c r="AZ40" i="13"/>
  <c r="D41" i="13"/>
  <c r="AV41" i="13"/>
  <c r="AN42" i="13"/>
  <c r="P43" i="13"/>
  <c r="Q47" i="13"/>
  <c r="AJ47" i="13"/>
  <c r="P50" i="13"/>
  <c r="AV51" i="13"/>
  <c r="P53" i="13"/>
  <c r="AJ54" i="13"/>
  <c r="AC55" i="13"/>
  <c r="AV56" i="13"/>
  <c r="AF57" i="13"/>
  <c r="BD57" i="13"/>
  <c r="Y62" i="13"/>
  <c r="AC66" i="13"/>
  <c r="AZ68" i="13"/>
  <c r="AQ74" i="13"/>
  <c r="R74" i="13"/>
  <c r="AC77" i="13"/>
  <c r="AF80" i="13"/>
  <c r="AF81" i="13"/>
  <c r="BD83" i="13"/>
  <c r="D85" i="13"/>
  <c r="M85" i="13" s="1"/>
  <c r="AJ85" i="13"/>
  <c r="AN87" i="13"/>
  <c r="D112" i="13"/>
  <c r="C112" i="13" s="1"/>
  <c r="K112" i="13" s="1"/>
  <c r="P27" i="13"/>
  <c r="I31" i="13"/>
  <c r="AH31" i="13"/>
  <c r="BC31" i="13"/>
  <c r="J34" i="13"/>
  <c r="P35" i="13"/>
  <c r="AJ40" i="13"/>
  <c r="AR41" i="13"/>
  <c r="AZ41" i="13"/>
  <c r="AJ43" i="13"/>
  <c r="AV46" i="13"/>
  <c r="P48" i="13"/>
  <c r="P59" i="13"/>
  <c r="P61" i="13"/>
  <c r="AJ62" i="13"/>
  <c r="AN66" i="13"/>
  <c r="Q75" i="13"/>
  <c r="BC74" i="13"/>
  <c r="BD81" i="13"/>
  <c r="D83" i="13"/>
  <c r="M83" i="13" s="1"/>
  <c r="AF84" i="13"/>
  <c r="AV84" i="13"/>
  <c r="P85" i="13"/>
  <c r="AZ85" i="13"/>
  <c r="D86" i="13"/>
  <c r="M86" i="13" s="1"/>
  <c r="U86" i="13"/>
  <c r="AC86" i="13"/>
  <c r="AZ86" i="13"/>
  <c r="AC24" i="13"/>
  <c r="Y26" i="13"/>
  <c r="AV26" i="13"/>
  <c r="P29" i="13"/>
  <c r="AV29" i="13"/>
  <c r="N35" i="13"/>
  <c r="AG52" i="13"/>
  <c r="BC52" i="13"/>
  <c r="V52" i="13"/>
  <c r="P68" i="13"/>
  <c r="AC68" i="13"/>
  <c r="P69" i="13"/>
  <c r="AJ70" i="13"/>
  <c r="AZ70" i="13"/>
  <c r="AF75" i="13"/>
  <c r="Q76" i="13"/>
  <c r="AZ76" i="13"/>
  <c r="AN77" i="13"/>
  <c r="AN78" i="13"/>
  <c r="BD78" i="13"/>
  <c r="Y79" i="13"/>
  <c r="AF79" i="13"/>
  <c r="AV79" i="13"/>
  <c r="AC80" i="13"/>
  <c r="AR80" i="13"/>
  <c r="J82" i="13"/>
  <c r="Y82" i="13"/>
  <c r="AC83" i="13"/>
  <c r="AR87" i="13"/>
  <c r="J92" i="13"/>
  <c r="L89" i="13"/>
  <c r="L10" i="13" s="1"/>
  <c r="L9" i="13" s="1"/>
  <c r="N22" i="13"/>
  <c r="Q24" i="13"/>
  <c r="N25" i="13"/>
  <c r="AZ25" i="13"/>
  <c r="O31" i="13"/>
  <c r="N33" i="13"/>
  <c r="AV34" i="13"/>
  <c r="Q35" i="13"/>
  <c r="Q38" i="13"/>
  <c r="P39" i="13"/>
  <c r="AV39" i="13"/>
  <c r="J40" i="13"/>
  <c r="AF40" i="13"/>
  <c r="AJ41" i="13"/>
  <c r="Q44" i="13"/>
  <c r="AJ44" i="13"/>
  <c r="Q46" i="13"/>
  <c r="AQ52" i="13"/>
  <c r="AF54" i="13"/>
  <c r="Y55" i="13"/>
  <c r="Q59" i="13"/>
  <c r="Q61" i="13"/>
  <c r="U65" i="13"/>
  <c r="Y66" i="13"/>
  <c r="AV68" i="13"/>
  <c r="P70" i="13"/>
  <c r="U72" i="13"/>
  <c r="AJ72" i="13"/>
  <c r="AZ72" i="13"/>
  <c r="J76" i="13"/>
  <c r="AV82" i="13"/>
  <c r="N83" i="13"/>
  <c r="Q85" i="13"/>
  <c r="AV85" i="13"/>
  <c r="N86" i="13"/>
  <c r="AV86" i="13"/>
  <c r="N87" i="13"/>
  <c r="N97" i="13"/>
  <c r="P98" i="13"/>
  <c r="D100" i="13"/>
  <c r="C100" i="13" s="1"/>
  <c r="Y22" i="13"/>
  <c r="AF24" i="13"/>
  <c r="X31" i="13"/>
  <c r="BB31" i="13"/>
  <c r="AC34" i="13"/>
  <c r="AB31" i="13"/>
  <c r="D37" i="13"/>
  <c r="C37" i="13" s="1"/>
  <c r="AV37" i="13"/>
  <c r="J38" i="13"/>
  <c r="AF38" i="13"/>
  <c r="AZ39" i="13"/>
  <c r="AN41" i="13"/>
  <c r="BD41" i="13"/>
  <c r="AZ42" i="13"/>
  <c r="AV43" i="13"/>
  <c r="AN44" i="13"/>
  <c r="P45" i="13"/>
  <c r="D53" i="13"/>
  <c r="M53" i="13" s="1"/>
  <c r="Q53" i="13"/>
  <c r="AR54" i="13"/>
  <c r="S52" i="13"/>
  <c r="J59" i="13"/>
  <c r="N62" i="13"/>
  <c r="AN62" i="13"/>
  <c r="BD62" i="13"/>
  <c r="AC63" i="13"/>
  <c r="P65" i="13"/>
  <c r="AJ66" i="13"/>
  <c r="AZ66" i="13"/>
  <c r="D67" i="13"/>
  <c r="C67" i="13" s="1"/>
  <c r="Q68" i="13"/>
  <c r="AF68" i="13"/>
  <c r="Q69" i="13"/>
  <c r="AN69" i="13"/>
  <c r="N70" i="13"/>
  <c r="AC70" i="13"/>
  <c r="AZ75" i="13"/>
  <c r="AE74" i="13"/>
  <c r="BD76" i="13"/>
  <c r="AM74" i="13"/>
  <c r="AR78" i="13"/>
  <c r="Q80" i="13"/>
  <c r="S74" i="13"/>
  <c r="AA74" i="13"/>
  <c r="D82" i="13"/>
  <c r="M82" i="13" s="1"/>
  <c r="AN82" i="13"/>
  <c r="BD82" i="13"/>
  <c r="Q83" i="13"/>
  <c r="AZ83" i="13"/>
  <c r="AR84" i="13"/>
  <c r="J85" i="13"/>
  <c r="AN85" i="13"/>
  <c r="Q86" i="13"/>
  <c r="P88" i="13"/>
  <c r="D96" i="13"/>
  <c r="C96" i="13" s="1"/>
  <c r="K96" i="13" s="1"/>
  <c r="D101" i="13"/>
  <c r="C101" i="13" s="1"/>
  <c r="J107" i="13"/>
  <c r="D111" i="13"/>
  <c r="M111" i="13" s="1"/>
  <c r="J112" i="13"/>
  <c r="G31" i="1"/>
  <c r="P31" i="1" s="1"/>
  <c r="X31" i="1"/>
  <c r="AD31" i="1"/>
  <c r="AJ31" i="1"/>
  <c r="T35" i="1"/>
  <c r="T38" i="1"/>
  <c r="V40" i="1"/>
  <c r="D99" i="1"/>
  <c r="C99" i="1" s="1"/>
  <c r="K99" i="1" s="1"/>
  <c r="D108" i="1"/>
  <c r="C108" i="1" s="1"/>
  <c r="K108" i="1" s="1"/>
  <c r="D113" i="1"/>
  <c r="M113" i="1" s="1"/>
  <c r="AZ15" i="2"/>
  <c r="AZ16" i="2"/>
  <c r="T17" i="2"/>
  <c r="D18" i="2"/>
  <c r="M18" i="2" s="1"/>
  <c r="AQ18" i="2"/>
  <c r="AZ18" i="2"/>
  <c r="N20" i="2"/>
  <c r="D22" i="2"/>
  <c r="AZ22" i="2"/>
  <c r="AO23" i="2"/>
  <c r="J27" i="2"/>
  <c r="AQ28" i="2"/>
  <c r="AO29" i="2"/>
  <c r="AO30" i="2"/>
  <c r="O31" i="2"/>
  <c r="V31" i="2"/>
  <c r="T33" i="2"/>
  <c r="AD31" i="2"/>
  <c r="AJ31" i="2"/>
  <c r="D37" i="2"/>
  <c r="C37" i="2" s="1"/>
  <c r="Z37" i="2"/>
  <c r="Z38" i="2"/>
  <c r="AZ39" i="2"/>
  <c r="AQ40" i="2"/>
  <c r="AW41" i="2"/>
  <c r="Z42" i="2"/>
  <c r="AO42" i="2"/>
  <c r="J43" i="2"/>
  <c r="AC31" i="2"/>
  <c r="AI31" i="2"/>
  <c r="AZ45" i="2"/>
  <c r="Z47" i="2"/>
  <c r="Z48" i="2"/>
  <c r="AO48" i="2"/>
  <c r="J49" i="2"/>
  <c r="AQ49" i="2"/>
  <c r="X50" i="2"/>
  <c r="AZ51" i="2"/>
  <c r="AE52" i="2"/>
  <c r="AK52" i="2"/>
  <c r="AS52" i="2"/>
  <c r="AQ56" i="2"/>
  <c r="X61" i="2"/>
  <c r="AZ61" i="2"/>
  <c r="N90" i="2"/>
  <c r="H89" i="2"/>
  <c r="Q28" i="3"/>
  <c r="J69" i="3"/>
  <c r="S14" i="1"/>
  <c r="W14" i="1" s="1"/>
  <c r="J15" i="1"/>
  <c r="V15" i="1"/>
  <c r="D19" i="1"/>
  <c r="C19" i="1" s="1"/>
  <c r="AL20" i="1"/>
  <c r="S21" i="1"/>
  <c r="W21" i="1" s="1"/>
  <c r="J22" i="1"/>
  <c r="V22" i="1"/>
  <c r="D23" i="1"/>
  <c r="C23" i="1" s="1"/>
  <c r="T25" i="1"/>
  <c r="T27" i="1"/>
  <c r="AL27" i="1"/>
  <c r="J29" i="1"/>
  <c r="V29" i="1"/>
  <c r="D30" i="1"/>
  <c r="C30" i="1" s="1"/>
  <c r="H31" i="1"/>
  <c r="Y31" i="1"/>
  <c r="J32" i="1"/>
  <c r="V33" i="1"/>
  <c r="D34" i="1"/>
  <c r="C34" i="1" s="1"/>
  <c r="K34" i="1" s="1"/>
  <c r="N35" i="1"/>
  <c r="S35" i="1"/>
  <c r="J36" i="1"/>
  <c r="V36" i="1"/>
  <c r="D37" i="1"/>
  <c r="M37" i="1" s="1"/>
  <c r="N38" i="1"/>
  <c r="S38" i="1"/>
  <c r="J39" i="1"/>
  <c r="V39" i="1"/>
  <c r="D40" i="1"/>
  <c r="C40" i="1" s="1"/>
  <c r="N42" i="1"/>
  <c r="S42" i="1"/>
  <c r="J43" i="1"/>
  <c r="S46" i="1"/>
  <c r="W46" i="1" s="1"/>
  <c r="J47" i="1"/>
  <c r="V47" i="1"/>
  <c r="D48" i="1"/>
  <c r="C48" i="1" s="1"/>
  <c r="N49" i="1"/>
  <c r="T49" i="1"/>
  <c r="AL49" i="1"/>
  <c r="J51" i="1"/>
  <c r="V51" i="1"/>
  <c r="F52" i="1"/>
  <c r="X52" i="1"/>
  <c r="AD52" i="1"/>
  <c r="AJ52" i="1"/>
  <c r="J54" i="1"/>
  <c r="V54" i="1"/>
  <c r="D55" i="1"/>
  <c r="S56" i="1"/>
  <c r="W56" i="1" s="1"/>
  <c r="J57" i="1"/>
  <c r="S60" i="1"/>
  <c r="W60" i="1" s="1"/>
  <c r="J61" i="1"/>
  <c r="V61" i="1"/>
  <c r="D62" i="1"/>
  <c r="C62" i="1" s="1"/>
  <c r="K62" i="1" s="1"/>
  <c r="S63" i="1"/>
  <c r="W63" i="1" s="1"/>
  <c r="J64" i="1"/>
  <c r="V65" i="1"/>
  <c r="D66" i="1"/>
  <c r="C66" i="1" s="1"/>
  <c r="K66" i="1" s="1"/>
  <c r="N68" i="1"/>
  <c r="S68" i="1"/>
  <c r="V68" i="1"/>
  <c r="N72" i="1"/>
  <c r="S72" i="1"/>
  <c r="V72" i="1"/>
  <c r="F74" i="1"/>
  <c r="N75" i="1"/>
  <c r="S75" i="1"/>
  <c r="V75" i="1"/>
  <c r="D77" i="1"/>
  <c r="C77" i="1" s="1"/>
  <c r="K77" i="1" s="1"/>
  <c r="T78" i="1"/>
  <c r="D81" i="1"/>
  <c r="M81" i="1" s="1"/>
  <c r="N82" i="1"/>
  <c r="S82" i="1"/>
  <c r="V82" i="1"/>
  <c r="S85" i="1"/>
  <c r="W85" i="1" s="1"/>
  <c r="V85" i="1"/>
  <c r="O89" i="1"/>
  <c r="O10" i="1" s="1"/>
  <c r="O9" i="1" s="1"/>
  <c r="N14" i="2"/>
  <c r="H13" i="2"/>
  <c r="AR13" i="2"/>
  <c r="Z16" i="2"/>
  <c r="V13" i="2"/>
  <c r="AD52" i="2"/>
  <c r="AJ52" i="2"/>
  <c r="X65" i="2"/>
  <c r="AZ65" i="2"/>
  <c r="X66" i="2"/>
  <c r="X68" i="2"/>
  <c r="N75" i="3"/>
  <c r="H74" i="3"/>
  <c r="N74" i="3" s="1"/>
  <c r="X13" i="1"/>
  <c r="AJ13" i="1"/>
  <c r="T14" i="1"/>
  <c r="D15" i="1"/>
  <c r="C15" i="1" s="1"/>
  <c r="J18" i="1"/>
  <c r="V18" i="1"/>
  <c r="S20" i="1"/>
  <c r="T21" i="1"/>
  <c r="AL23" i="1"/>
  <c r="J25" i="1"/>
  <c r="V25" i="1"/>
  <c r="S27" i="1"/>
  <c r="J28" i="1"/>
  <c r="AL30" i="1"/>
  <c r="I31" i="1"/>
  <c r="Q31" i="1" s="1"/>
  <c r="AF31" i="1"/>
  <c r="AL41" i="1"/>
  <c r="V43" i="1"/>
  <c r="T45" i="1"/>
  <c r="AL45" i="1"/>
  <c r="T48" i="1"/>
  <c r="AL48" i="1"/>
  <c r="J50" i="1"/>
  <c r="H52" i="1"/>
  <c r="Y52" i="1"/>
  <c r="J53" i="1"/>
  <c r="T55" i="1"/>
  <c r="V57" i="1"/>
  <c r="T59" i="1"/>
  <c r="T62" i="1"/>
  <c r="V64" i="1"/>
  <c r="T67" i="1"/>
  <c r="D70" i="1"/>
  <c r="M70" i="1" s="1"/>
  <c r="T71" i="1"/>
  <c r="G74" i="1"/>
  <c r="P74" i="1" s="1"/>
  <c r="X74" i="1"/>
  <c r="AD74" i="1"/>
  <c r="AJ74" i="1"/>
  <c r="T77" i="1"/>
  <c r="V78" i="1"/>
  <c r="J79" i="1"/>
  <c r="D80" i="1"/>
  <c r="C80" i="1" s="1"/>
  <c r="K80" i="1" s="1"/>
  <c r="T81" i="1"/>
  <c r="T84" i="1"/>
  <c r="T88" i="1"/>
  <c r="AL88" i="1"/>
  <c r="P90" i="1"/>
  <c r="J91" i="1"/>
  <c r="N92" i="1"/>
  <c r="L89" i="1"/>
  <c r="D96" i="1"/>
  <c r="M96" i="1" s="1"/>
  <c r="D105" i="1"/>
  <c r="M105" i="1" s="1"/>
  <c r="D112" i="1"/>
  <c r="D115" i="1"/>
  <c r="M115" i="1" s="1"/>
  <c r="N116" i="1"/>
  <c r="AD13" i="2"/>
  <c r="AJ13" i="2"/>
  <c r="AP13" i="2"/>
  <c r="AZ14" i="2"/>
  <c r="T18" i="2"/>
  <c r="Z18" i="2"/>
  <c r="J20" i="2"/>
  <c r="N23" i="2"/>
  <c r="AW23" i="2"/>
  <c r="D27" i="2"/>
  <c r="M27" i="2" s="1"/>
  <c r="AW29" i="2"/>
  <c r="AW30" i="2"/>
  <c r="G31" i="2"/>
  <c r="P31" i="2" s="1"/>
  <c r="AW33" i="2"/>
  <c r="N39" i="2"/>
  <c r="D40" i="2"/>
  <c r="AZ46" i="2"/>
  <c r="T51" i="2"/>
  <c r="AZ54" i="2"/>
  <c r="AZ58" i="2"/>
  <c r="M96" i="2"/>
  <c r="I89" i="3"/>
  <c r="Q89" i="3" s="1"/>
  <c r="Q90" i="3"/>
  <c r="M102" i="3"/>
  <c r="C102" i="3"/>
  <c r="K102" i="3" s="1"/>
  <c r="AE13" i="2"/>
  <c r="AK13" i="2"/>
  <c r="AQ30" i="2"/>
  <c r="X46" i="2"/>
  <c r="AV52" i="2"/>
  <c r="P69" i="3"/>
  <c r="I13" i="1"/>
  <c r="Z13" i="1"/>
  <c r="D14" i="1"/>
  <c r="C14" i="1" s="1"/>
  <c r="K14" i="1" s="1"/>
  <c r="T15" i="1"/>
  <c r="AL15" i="1"/>
  <c r="T16" i="1"/>
  <c r="D17" i="1"/>
  <c r="C17" i="1" s="1"/>
  <c r="K17" i="1" s="1"/>
  <c r="V17" i="1"/>
  <c r="S19" i="1"/>
  <c r="J20" i="1"/>
  <c r="V20" i="1"/>
  <c r="AL22" i="1"/>
  <c r="T23" i="1"/>
  <c r="V24" i="1"/>
  <c r="D25" i="1"/>
  <c r="C25" i="1" s="1"/>
  <c r="K25" i="1" s="1"/>
  <c r="S26" i="1"/>
  <c r="W26" i="1" s="1"/>
  <c r="J27" i="1"/>
  <c r="V27" i="1"/>
  <c r="D28" i="1"/>
  <c r="M28" i="1" s="1"/>
  <c r="T29" i="1"/>
  <c r="T30" i="1"/>
  <c r="N33" i="1"/>
  <c r="T33" i="1"/>
  <c r="AL33" i="1"/>
  <c r="T36" i="1"/>
  <c r="T39" i="1"/>
  <c r="AL39" i="1"/>
  <c r="J41" i="1"/>
  <c r="N44" i="1"/>
  <c r="S44" i="1"/>
  <c r="J45" i="1"/>
  <c r="T47" i="1"/>
  <c r="AL47" i="1"/>
  <c r="V49" i="1"/>
  <c r="D50" i="1"/>
  <c r="C50" i="1" s="1"/>
  <c r="T51" i="1"/>
  <c r="AL51" i="1"/>
  <c r="L52" i="1"/>
  <c r="AA52" i="1"/>
  <c r="AG52" i="1"/>
  <c r="D53" i="1"/>
  <c r="M53" i="1" s="1"/>
  <c r="T54" i="1"/>
  <c r="S58" i="1"/>
  <c r="W58" i="1" s="1"/>
  <c r="J59" i="1"/>
  <c r="T61" i="1"/>
  <c r="T65" i="1"/>
  <c r="V66" i="1"/>
  <c r="J67" i="1"/>
  <c r="S70" i="1"/>
  <c r="W70" i="1" s="1"/>
  <c r="V70" i="1"/>
  <c r="J71" i="1"/>
  <c r="T73" i="1"/>
  <c r="I74" i="1"/>
  <c r="Q74" i="1" s="1"/>
  <c r="T76" i="1"/>
  <c r="AL76" i="1"/>
  <c r="D79" i="1"/>
  <c r="C79" i="1" s="1"/>
  <c r="K79" i="1" s="1"/>
  <c r="T80" i="1"/>
  <c r="T83" i="1"/>
  <c r="T86" i="1"/>
  <c r="V87" i="1"/>
  <c r="J88" i="1"/>
  <c r="I89" i="1"/>
  <c r="I10" i="1" s="1"/>
  <c r="D91" i="1"/>
  <c r="C91" i="1" s="1"/>
  <c r="K91" i="1" s="1"/>
  <c r="F89" i="1"/>
  <c r="F10" i="1" s="1"/>
  <c r="F9" i="1" s="1"/>
  <c r="D102" i="1"/>
  <c r="M102" i="1" s="1"/>
  <c r="D109" i="1"/>
  <c r="C109" i="1" s="1"/>
  <c r="D114" i="1"/>
  <c r="M114" i="1" s="1"/>
  <c r="D14" i="2"/>
  <c r="Z14" i="2"/>
  <c r="D15" i="2"/>
  <c r="C15" i="2" s="1"/>
  <c r="N15" i="2"/>
  <c r="AW15" i="2"/>
  <c r="T16" i="2"/>
  <c r="AQ16" i="2"/>
  <c r="AW16" i="2"/>
  <c r="D20" i="2"/>
  <c r="M20" i="2" s="1"/>
  <c r="Y13" i="2"/>
  <c r="T21" i="2"/>
  <c r="AO21" i="2"/>
  <c r="AQ22" i="2"/>
  <c r="AZ23" i="2"/>
  <c r="J25" i="2"/>
  <c r="X25" i="2"/>
  <c r="N27" i="2"/>
  <c r="T27" i="2"/>
  <c r="AO27" i="2"/>
  <c r="AB31" i="2"/>
  <c r="AH31" i="2"/>
  <c r="AN31" i="2"/>
  <c r="AW32" i="2"/>
  <c r="AR31" i="2"/>
  <c r="J34" i="2"/>
  <c r="X35" i="2"/>
  <c r="AQ37" i="2"/>
  <c r="N41" i="2"/>
  <c r="T43" i="2"/>
  <c r="X44" i="2"/>
  <c r="AW47" i="2"/>
  <c r="T49" i="2"/>
  <c r="D51" i="2"/>
  <c r="M51" i="2" s="1"/>
  <c r="N51" i="2"/>
  <c r="Z55" i="2"/>
  <c r="T60" i="2"/>
  <c r="X75" i="2"/>
  <c r="U74" i="2"/>
  <c r="L89" i="2"/>
  <c r="L10" i="2" s="1"/>
  <c r="L9" i="2" s="1"/>
  <c r="J91" i="2"/>
  <c r="G52" i="3"/>
  <c r="L13" i="1"/>
  <c r="AA13" i="1"/>
  <c r="S15" i="1"/>
  <c r="J16" i="1"/>
  <c r="V16" i="1"/>
  <c r="T18" i="1"/>
  <c r="AL18" i="1"/>
  <c r="D20" i="1"/>
  <c r="C20" i="1" s="1"/>
  <c r="S22" i="1"/>
  <c r="J23" i="1"/>
  <c r="V23" i="1"/>
  <c r="T26" i="1"/>
  <c r="S29" i="1"/>
  <c r="W29" i="1" s="1"/>
  <c r="J30" i="1"/>
  <c r="V30" i="1"/>
  <c r="F31" i="1"/>
  <c r="T32" i="1"/>
  <c r="J34" i="1"/>
  <c r="V34" i="1"/>
  <c r="S36" i="1"/>
  <c r="W36" i="1" s="1"/>
  <c r="J37" i="1"/>
  <c r="V37" i="1"/>
  <c r="S39" i="1"/>
  <c r="J40" i="1"/>
  <c r="V41" i="1"/>
  <c r="T43" i="1"/>
  <c r="V45" i="1"/>
  <c r="S47" i="1"/>
  <c r="J48" i="1"/>
  <c r="V48" i="1"/>
  <c r="S51" i="1"/>
  <c r="S54" i="1"/>
  <c r="W54" i="1" s="1"/>
  <c r="J55" i="1"/>
  <c r="V55" i="1"/>
  <c r="T57" i="1"/>
  <c r="AL57" i="1"/>
  <c r="V59" i="1"/>
  <c r="S61" i="1"/>
  <c r="W61" i="1" s="1"/>
  <c r="J62" i="1"/>
  <c r="V62" i="1"/>
  <c r="T64" i="1"/>
  <c r="U64" i="1" s="1"/>
  <c r="AL64" i="1"/>
  <c r="J66" i="1"/>
  <c r="T69" i="1"/>
  <c r="AL69" i="1"/>
  <c r="S73" i="1"/>
  <c r="W73" i="1" s="1"/>
  <c r="V73" i="1"/>
  <c r="L74" i="1"/>
  <c r="N76" i="1"/>
  <c r="S76" i="1"/>
  <c r="V76" i="1"/>
  <c r="J77" i="1"/>
  <c r="T79" i="1"/>
  <c r="V80" i="1"/>
  <c r="J81" i="1"/>
  <c r="S83" i="1"/>
  <c r="W83" i="1" s="1"/>
  <c r="V83" i="1"/>
  <c r="S86" i="1"/>
  <c r="W86" i="1" s="1"/>
  <c r="V86" i="1"/>
  <c r="J87" i="1"/>
  <c r="J90" i="1"/>
  <c r="N16" i="2"/>
  <c r="AB13" i="2"/>
  <c r="AH13" i="2"/>
  <c r="AN13" i="2"/>
  <c r="Z17" i="2"/>
  <c r="AO17" i="2"/>
  <c r="AT13" i="2"/>
  <c r="S13" i="2"/>
  <c r="X22" i="2"/>
  <c r="N29" i="2"/>
  <c r="D32" i="2"/>
  <c r="N32" i="2"/>
  <c r="N33" i="2"/>
  <c r="Z34" i="2"/>
  <c r="Z35" i="2"/>
  <c r="J36" i="2"/>
  <c r="AO36" i="2"/>
  <c r="N40" i="2"/>
  <c r="AQ41" i="2"/>
  <c r="H31" i="2"/>
  <c r="N46" i="2"/>
  <c r="AQ46" i="2"/>
  <c r="X47" i="2"/>
  <c r="O52" i="2"/>
  <c r="AR52" i="2"/>
  <c r="AY52" i="2"/>
  <c r="J54" i="2"/>
  <c r="AO54" i="2"/>
  <c r="N60" i="2"/>
  <c r="AQ64" i="2"/>
  <c r="X80" i="2"/>
  <c r="J62" i="3"/>
  <c r="Q69" i="3"/>
  <c r="Z58" i="2"/>
  <c r="AZ60" i="2"/>
  <c r="AQ61" i="2"/>
  <c r="AW61" i="2"/>
  <c r="D63" i="2"/>
  <c r="M63" i="2" s="1"/>
  <c r="AW63" i="2"/>
  <c r="D66" i="2"/>
  <c r="AW66" i="2"/>
  <c r="N67" i="2"/>
  <c r="T67" i="2"/>
  <c r="D69" i="2"/>
  <c r="M69" i="2" s="1"/>
  <c r="Z73" i="2"/>
  <c r="Z77" i="2"/>
  <c r="N78" i="2"/>
  <c r="N79" i="2"/>
  <c r="T79" i="2"/>
  <c r="AO79" i="2"/>
  <c r="AQ80" i="2"/>
  <c r="D81" i="2"/>
  <c r="C81" i="2" s="1"/>
  <c r="AT74" i="2"/>
  <c r="J84" i="2"/>
  <c r="AO84" i="2"/>
  <c r="D85" i="2"/>
  <c r="C85" i="2" s="1"/>
  <c r="N86" i="2"/>
  <c r="Z88" i="2"/>
  <c r="D90" i="2"/>
  <c r="C90" i="2" s="1"/>
  <c r="K90" i="2" s="1"/>
  <c r="O89" i="2"/>
  <c r="O10" i="2" s="1"/>
  <c r="O9" i="2" s="1"/>
  <c r="D92" i="2"/>
  <c r="C92" i="2" s="1"/>
  <c r="N93" i="2"/>
  <c r="D95" i="2"/>
  <c r="C95" i="2" s="1"/>
  <c r="K95" i="2" s="1"/>
  <c r="N96" i="2"/>
  <c r="D98" i="2"/>
  <c r="D109" i="2"/>
  <c r="M109" i="2" s="1"/>
  <c r="J109" i="2"/>
  <c r="D111" i="2"/>
  <c r="C111" i="2" s="1"/>
  <c r="K111" i="2" s="1"/>
  <c r="J111" i="2"/>
  <c r="J114" i="2"/>
  <c r="J116" i="2"/>
  <c r="J11" i="3"/>
  <c r="D17" i="3"/>
  <c r="M17" i="3" s="1"/>
  <c r="D19" i="3"/>
  <c r="C19" i="3" s="1"/>
  <c r="J32" i="3"/>
  <c r="H31" i="3"/>
  <c r="N31" i="3" s="1"/>
  <c r="D38" i="3"/>
  <c r="J38" i="3"/>
  <c r="D44" i="3"/>
  <c r="C44" i="3" s="1"/>
  <c r="K44" i="3" s="1"/>
  <c r="J44" i="3"/>
  <c r="F52" i="3"/>
  <c r="J58" i="3"/>
  <c r="D60" i="3"/>
  <c r="D63" i="3"/>
  <c r="M63" i="3" s="1"/>
  <c r="J63" i="3"/>
  <c r="D75" i="3"/>
  <c r="C75" i="3" s="1"/>
  <c r="K75" i="3" s="1"/>
  <c r="D80" i="3"/>
  <c r="C80" i="3" s="1"/>
  <c r="K80" i="3" s="1"/>
  <c r="D88" i="3"/>
  <c r="F89" i="3"/>
  <c r="F10" i="3" s="1"/>
  <c r="F9" i="3" s="1"/>
  <c r="D95" i="3"/>
  <c r="C95" i="3" s="1"/>
  <c r="K95" i="3" s="1"/>
  <c r="D99" i="3"/>
  <c r="M99" i="3" s="1"/>
  <c r="J103" i="3"/>
  <c r="D105" i="3"/>
  <c r="C105" i="3" s="1"/>
  <c r="K105" i="3" s="1"/>
  <c r="J109" i="3"/>
  <c r="Q11" i="4"/>
  <c r="D14" i="4"/>
  <c r="M14" i="4" s="1"/>
  <c r="X15" i="4"/>
  <c r="D19" i="4"/>
  <c r="M19" i="4" s="1"/>
  <c r="J20" i="4"/>
  <c r="D23" i="4"/>
  <c r="D28" i="4"/>
  <c r="M28" i="4" s="1"/>
  <c r="P30" i="4"/>
  <c r="AA30" i="4"/>
  <c r="Q32" i="4"/>
  <c r="D40" i="4"/>
  <c r="M40" i="4" s="1"/>
  <c r="X40" i="4"/>
  <c r="D41" i="4"/>
  <c r="M41" i="4" s="1"/>
  <c r="AD43" i="4"/>
  <c r="D48" i="4"/>
  <c r="C48" i="4" s="1"/>
  <c r="K48" i="4" s="1"/>
  <c r="Q14" i="5"/>
  <c r="I13" i="5"/>
  <c r="N70" i="2"/>
  <c r="AO70" i="2"/>
  <c r="AQ71" i="2"/>
  <c r="AO72" i="2"/>
  <c r="S74" i="2"/>
  <c r="Y74" i="2"/>
  <c r="AE74" i="2"/>
  <c r="AK74" i="2"/>
  <c r="AP74" i="2"/>
  <c r="AO82" i="2"/>
  <c r="AQ83" i="2"/>
  <c r="N11" i="2"/>
  <c r="J110" i="2"/>
  <c r="J96" i="3"/>
  <c r="W13" i="4"/>
  <c r="R13" i="4"/>
  <c r="Z13" i="4"/>
  <c r="X41" i="4"/>
  <c r="D43" i="4"/>
  <c r="M43" i="4" s="1"/>
  <c r="X43" i="4"/>
  <c r="D44" i="4"/>
  <c r="C44" i="4" s="1"/>
  <c r="K44" i="4" s="1"/>
  <c r="J45" i="4"/>
  <c r="J46" i="4"/>
  <c r="N47" i="4"/>
  <c r="AA47" i="4"/>
  <c r="Q55" i="4"/>
  <c r="D61" i="4"/>
  <c r="C61" i="4" s="1"/>
  <c r="K61" i="4" s="1"/>
  <c r="N63" i="4"/>
  <c r="D67" i="4"/>
  <c r="D73" i="4"/>
  <c r="C73" i="4" s="1"/>
  <c r="K73" i="4" s="1"/>
  <c r="J75" i="4"/>
  <c r="J76" i="4"/>
  <c r="AD76" i="4"/>
  <c r="Q78" i="4"/>
  <c r="D81" i="4"/>
  <c r="N88" i="4"/>
  <c r="U88" i="4"/>
  <c r="AD88" i="4"/>
  <c r="H89" i="4"/>
  <c r="H10" i="4" s="1"/>
  <c r="I89" i="4"/>
  <c r="D97" i="4"/>
  <c r="D100" i="4"/>
  <c r="C100" i="4" s="1"/>
  <c r="K100" i="4" s="1"/>
  <c r="D103" i="4"/>
  <c r="C103" i="4" s="1"/>
  <c r="K103" i="4" s="1"/>
  <c r="N104" i="4"/>
  <c r="J106" i="4"/>
  <c r="D109" i="4"/>
  <c r="C109" i="4" s="1"/>
  <c r="K109" i="4" s="1"/>
  <c r="J112" i="4"/>
  <c r="D115" i="4"/>
  <c r="C115" i="4" s="1"/>
  <c r="K115" i="4" s="1"/>
  <c r="J11" i="5"/>
  <c r="S13" i="5"/>
  <c r="D57" i="2"/>
  <c r="M57" i="2" s="1"/>
  <c r="Z61" i="2"/>
  <c r="J64" i="2"/>
  <c r="Z65" i="2"/>
  <c r="J67" i="2"/>
  <c r="Z68" i="2"/>
  <c r="AQ69" i="2"/>
  <c r="AZ69" i="2"/>
  <c r="D72" i="2"/>
  <c r="M72" i="2" s="1"/>
  <c r="AY74" i="2"/>
  <c r="J75" i="2"/>
  <c r="N77" i="2"/>
  <c r="J78" i="2"/>
  <c r="J79" i="2"/>
  <c r="Z80" i="2"/>
  <c r="AQ82" i="2"/>
  <c r="D84" i="2"/>
  <c r="C84" i="2" s="1"/>
  <c r="AW84" i="2"/>
  <c r="T85" i="2"/>
  <c r="AO85" i="2"/>
  <c r="J96" i="2"/>
  <c r="D99" i="2"/>
  <c r="M99" i="2" s="1"/>
  <c r="D103" i="2"/>
  <c r="C103" i="2" s="1"/>
  <c r="K103" i="2" s="1"/>
  <c r="J103" i="2"/>
  <c r="J108" i="2"/>
  <c r="D114" i="2"/>
  <c r="M114" i="2" s="1"/>
  <c r="D116" i="2"/>
  <c r="I13" i="3"/>
  <c r="D20" i="3"/>
  <c r="C20" i="3" s="1"/>
  <c r="K20" i="3" s="1"/>
  <c r="J20" i="3"/>
  <c r="D22" i="3"/>
  <c r="C22" i="3" s="1"/>
  <c r="K22" i="3" s="1"/>
  <c r="J22" i="3"/>
  <c r="D26" i="3"/>
  <c r="J26" i="3"/>
  <c r="D34" i="3"/>
  <c r="C34" i="3" s="1"/>
  <c r="K34" i="3" s="1"/>
  <c r="J34" i="3"/>
  <c r="D40" i="3"/>
  <c r="C40" i="3" s="1"/>
  <c r="K40" i="3" s="1"/>
  <c r="J40" i="3"/>
  <c r="D46" i="3"/>
  <c r="J46" i="3"/>
  <c r="P53" i="3"/>
  <c r="D58" i="3"/>
  <c r="C58" i="3" s="1"/>
  <c r="K58" i="3" s="1"/>
  <c r="D64" i="3"/>
  <c r="C64" i="3" s="1"/>
  <c r="K64" i="3" s="1"/>
  <c r="D67" i="3"/>
  <c r="J67" i="3"/>
  <c r="D83" i="3"/>
  <c r="C83" i="3" s="1"/>
  <c r="K83" i="3" s="1"/>
  <c r="J83" i="3"/>
  <c r="H89" i="3"/>
  <c r="J91" i="3"/>
  <c r="D98" i="3"/>
  <c r="D106" i="3"/>
  <c r="M106" i="3" s="1"/>
  <c r="J110" i="3"/>
  <c r="D15" i="4"/>
  <c r="M15" i="4" s="1"/>
  <c r="P18" i="4"/>
  <c r="U18" i="4"/>
  <c r="P19" i="4"/>
  <c r="D24" i="4"/>
  <c r="M24" i="4" s="1"/>
  <c r="D25" i="4"/>
  <c r="M25" i="4" s="1"/>
  <c r="Q30" i="4"/>
  <c r="J36" i="4"/>
  <c r="P39" i="4"/>
  <c r="U39" i="4"/>
  <c r="P40" i="4"/>
  <c r="D46" i="4"/>
  <c r="M46" i="4" s="1"/>
  <c r="J51" i="4"/>
  <c r="D53" i="4"/>
  <c r="C53" i="4" s="1"/>
  <c r="K53" i="4" s="1"/>
  <c r="AC52" i="4"/>
  <c r="J54" i="4"/>
  <c r="J55" i="4"/>
  <c r="X75" i="4"/>
  <c r="D76" i="4"/>
  <c r="M76" i="4" s="1"/>
  <c r="D77" i="4"/>
  <c r="M77" i="4" s="1"/>
  <c r="J78" i="4"/>
  <c r="J79" i="4"/>
  <c r="P82" i="4"/>
  <c r="U86" i="4"/>
  <c r="AD86" i="4"/>
  <c r="E89" i="4"/>
  <c r="E10" i="4" s="1"/>
  <c r="E9" i="4" s="1"/>
  <c r="D106" i="4"/>
  <c r="M106" i="4" s="1"/>
  <c r="J107" i="4"/>
  <c r="D112" i="4"/>
  <c r="J113" i="4"/>
  <c r="G13" i="5"/>
  <c r="P13" i="5" s="1"/>
  <c r="D14" i="5"/>
  <c r="Q23" i="4"/>
  <c r="J30" i="4"/>
  <c r="E31" i="4"/>
  <c r="AC31" i="4"/>
  <c r="N39" i="4"/>
  <c r="N40" i="4"/>
  <c r="Q41" i="4"/>
  <c r="H52" i="4"/>
  <c r="O89" i="4"/>
  <c r="O10" i="4" s="1"/>
  <c r="O9" i="4" s="1"/>
  <c r="L13" i="5"/>
  <c r="J21" i="5"/>
  <c r="AQ57" i="2"/>
  <c r="AZ57" i="2"/>
  <c r="AW59" i="2"/>
  <c r="J63" i="2"/>
  <c r="D64" i="2"/>
  <c r="C64" i="2" s="1"/>
  <c r="N65" i="2"/>
  <c r="J66" i="2"/>
  <c r="AO66" i="2"/>
  <c r="D67" i="2"/>
  <c r="C67" i="2" s="1"/>
  <c r="N68" i="2"/>
  <c r="J69" i="2"/>
  <c r="Z70" i="2"/>
  <c r="AZ72" i="2"/>
  <c r="D75" i="2"/>
  <c r="C75" i="2" s="1"/>
  <c r="AW75" i="2"/>
  <c r="D78" i="2"/>
  <c r="M78" i="2" s="1"/>
  <c r="D79" i="2"/>
  <c r="C79" i="2" s="1"/>
  <c r="N80" i="2"/>
  <c r="Z82" i="2"/>
  <c r="J85" i="2"/>
  <c r="Z86" i="2"/>
  <c r="AQ88" i="2"/>
  <c r="AW88" i="2"/>
  <c r="I89" i="2"/>
  <c r="D94" i="2"/>
  <c r="J94" i="2"/>
  <c r="D97" i="2"/>
  <c r="J97" i="2"/>
  <c r="J101" i="2"/>
  <c r="N105" i="2"/>
  <c r="D106" i="2"/>
  <c r="M106" i="2" s="1"/>
  <c r="D108" i="2"/>
  <c r="C108" i="2" s="1"/>
  <c r="K108" i="2" s="1"/>
  <c r="J14" i="3"/>
  <c r="J19" i="3"/>
  <c r="D30" i="3"/>
  <c r="C30" i="3" s="1"/>
  <c r="K30" i="3" s="1"/>
  <c r="J30" i="3"/>
  <c r="N33" i="3"/>
  <c r="D36" i="3"/>
  <c r="C36" i="3" s="1"/>
  <c r="J36" i="3"/>
  <c r="D42" i="3"/>
  <c r="J42" i="3"/>
  <c r="D48" i="3"/>
  <c r="J48" i="3"/>
  <c r="D71" i="3"/>
  <c r="J71" i="3"/>
  <c r="J72" i="3"/>
  <c r="D84" i="3"/>
  <c r="D87" i="3"/>
  <c r="M87" i="3" s="1"/>
  <c r="J87" i="3"/>
  <c r="J92" i="3"/>
  <c r="J97" i="3"/>
  <c r="J99" i="3"/>
  <c r="J101" i="3"/>
  <c r="D113" i="3"/>
  <c r="D17" i="4"/>
  <c r="M17" i="4" s="1"/>
  <c r="Q18" i="4"/>
  <c r="Q19" i="4"/>
  <c r="U19" i="4"/>
  <c r="N24" i="4"/>
  <c r="U24" i="4"/>
  <c r="D36" i="4"/>
  <c r="M36" i="4" s="1"/>
  <c r="AA36" i="4"/>
  <c r="Q39" i="4"/>
  <c r="Q40" i="4"/>
  <c r="N43" i="4"/>
  <c r="U45" i="4"/>
  <c r="D47" i="4"/>
  <c r="C47" i="4" s="1"/>
  <c r="J48" i="4"/>
  <c r="J49" i="4"/>
  <c r="D51" i="4"/>
  <c r="C51" i="4" s="1"/>
  <c r="K51" i="4" s="1"/>
  <c r="G52" i="4"/>
  <c r="P53" i="4"/>
  <c r="W52" i="4"/>
  <c r="D54" i="4"/>
  <c r="C54" i="4" s="1"/>
  <c r="K54" i="4" s="1"/>
  <c r="R52" i="4"/>
  <c r="D58" i="4"/>
  <c r="M58" i="4" s="1"/>
  <c r="D64" i="4"/>
  <c r="D70" i="4"/>
  <c r="M70" i="4" s="1"/>
  <c r="P76" i="4"/>
  <c r="Z74" i="4"/>
  <c r="D78" i="4"/>
  <c r="C78" i="4" s="1"/>
  <c r="AA78" i="4"/>
  <c r="Q82" i="4"/>
  <c r="AD82" i="4"/>
  <c r="X86" i="4"/>
  <c r="D87" i="4"/>
  <c r="C87" i="4" s="1"/>
  <c r="K87" i="4" s="1"/>
  <c r="D88" i="4"/>
  <c r="C88" i="4" s="1"/>
  <c r="L89" i="4"/>
  <c r="L10" i="4" s="1"/>
  <c r="J105" i="4"/>
  <c r="D110" i="4"/>
  <c r="C110" i="4" s="1"/>
  <c r="K110" i="4" s="1"/>
  <c r="J111" i="4"/>
  <c r="D116" i="4"/>
  <c r="C116" i="4" s="1"/>
  <c r="K116" i="4" s="1"/>
  <c r="T14" i="5"/>
  <c r="R13" i="5"/>
  <c r="AQ60" i="2"/>
  <c r="AO61" i="2"/>
  <c r="AQ62" i="2"/>
  <c r="AO65" i="2"/>
  <c r="AO69" i="2"/>
  <c r="G74" i="2"/>
  <c r="P74" i="2" s="1"/>
  <c r="W74" i="2"/>
  <c r="AC74" i="2"/>
  <c r="AI74" i="2"/>
  <c r="AQ75" i="2"/>
  <c r="AO80" i="2"/>
  <c r="N87" i="2"/>
  <c r="P28" i="3"/>
  <c r="T13" i="4"/>
  <c r="AC13" i="4"/>
  <c r="J19" i="4"/>
  <c r="J28" i="4"/>
  <c r="W31" i="4"/>
  <c r="R31" i="4"/>
  <c r="T74" i="4"/>
  <c r="P78" i="4"/>
  <c r="U78" i="4"/>
  <c r="D80" i="4"/>
  <c r="C80" i="4" s="1"/>
  <c r="K80" i="4" s="1"/>
  <c r="J81" i="4"/>
  <c r="J82" i="4"/>
  <c r="D83" i="4"/>
  <c r="C83" i="4" s="1"/>
  <c r="K83" i="4" s="1"/>
  <c r="J84" i="4"/>
  <c r="J85" i="4"/>
  <c r="F89" i="4"/>
  <c r="F10" i="4" s="1"/>
  <c r="F9" i="4" s="1"/>
  <c r="N92" i="4"/>
  <c r="J94" i="4"/>
  <c r="D105" i="4"/>
  <c r="C105" i="4" s="1"/>
  <c r="J108" i="4"/>
  <c r="D111" i="4"/>
  <c r="C111" i="4" s="1"/>
  <c r="K111" i="4" s="1"/>
  <c r="J114" i="4"/>
  <c r="D16" i="5"/>
  <c r="N21" i="5"/>
  <c r="E31" i="5"/>
  <c r="L31" i="5"/>
  <c r="J32" i="5"/>
  <c r="N37" i="5"/>
  <c r="N41" i="5"/>
  <c r="N54" i="5"/>
  <c r="N65" i="5"/>
  <c r="G74" i="5"/>
  <c r="P74" i="5" s="1"/>
  <c r="J90" i="5"/>
  <c r="N104" i="5"/>
  <c r="D77" i="6"/>
  <c r="D78" i="6"/>
  <c r="D79" i="6"/>
  <c r="M79" i="6" s="1"/>
  <c r="D80" i="6"/>
  <c r="D81" i="6"/>
  <c r="M81" i="6" s="1"/>
  <c r="D82" i="6"/>
  <c r="D83" i="6"/>
  <c r="D84" i="6"/>
  <c r="D85" i="6"/>
  <c r="C85" i="6" s="1"/>
  <c r="D86" i="6"/>
  <c r="D87" i="6"/>
  <c r="C87" i="6" s="1"/>
  <c r="D88" i="6"/>
  <c r="H89" i="6"/>
  <c r="J100" i="6"/>
  <c r="J111" i="6"/>
  <c r="N116" i="6"/>
  <c r="BM13" i="7"/>
  <c r="BL14" i="7"/>
  <c r="N17" i="7"/>
  <c r="N19" i="7"/>
  <c r="BO20" i="7"/>
  <c r="BX20" i="7"/>
  <c r="N24" i="7"/>
  <c r="T26" i="7"/>
  <c r="T20" i="5"/>
  <c r="T28" i="5"/>
  <c r="T36" i="5"/>
  <c r="E52" i="5"/>
  <c r="L52" i="5"/>
  <c r="T53" i="5"/>
  <c r="T57" i="5"/>
  <c r="T64" i="5"/>
  <c r="H74" i="5"/>
  <c r="E89" i="5"/>
  <c r="E10" i="5" s="1"/>
  <c r="E9" i="5" s="1"/>
  <c r="J97" i="5"/>
  <c r="D99" i="5"/>
  <c r="D101" i="5"/>
  <c r="C101" i="5" s="1"/>
  <c r="K101" i="5" s="1"/>
  <c r="D111" i="5"/>
  <c r="J111" i="5"/>
  <c r="D113" i="5"/>
  <c r="O13" i="6"/>
  <c r="W15" i="6"/>
  <c r="W16" i="6"/>
  <c r="D21" i="6"/>
  <c r="M21" i="6" s="1"/>
  <c r="D22" i="6"/>
  <c r="M22" i="6" s="1"/>
  <c r="D23" i="6"/>
  <c r="M23" i="6" s="1"/>
  <c r="J25" i="6"/>
  <c r="N28" i="6"/>
  <c r="R31" i="6"/>
  <c r="D63" i="6"/>
  <c r="C63" i="6" s="1"/>
  <c r="N68" i="6"/>
  <c r="E74" i="6"/>
  <c r="C97" i="6"/>
  <c r="K97" i="6" s="1"/>
  <c r="J97" i="6"/>
  <c r="D101" i="6"/>
  <c r="M101" i="6" s="1"/>
  <c r="N103" i="6"/>
  <c r="N109" i="6"/>
  <c r="J113" i="6"/>
  <c r="N26" i="7"/>
  <c r="N18" i="5"/>
  <c r="N26" i="5"/>
  <c r="G31" i="5"/>
  <c r="P31" i="5" s="1"/>
  <c r="T33" i="5"/>
  <c r="I74" i="5"/>
  <c r="Q74" i="5" s="1"/>
  <c r="R74" i="5"/>
  <c r="D97" i="5"/>
  <c r="J108" i="5"/>
  <c r="J11" i="6"/>
  <c r="F13" i="6"/>
  <c r="J16" i="6"/>
  <c r="W17" i="6"/>
  <c r="W18" i="6"/>
  <c r="T19" i="6"/>
  <c r="T22" i="6"/>
  <c r="D24" i="6"/>
  <c r="C24" i="6" s="1"/>
  <c r="J26" i="6"/>
  <c r="W27" i="6"/>
  <c r="W28" i="6"/>
  <c r="W30" i="6"/>
  <c r="J33" i="6"/>
  <c r="D36" i="6"/>
  <c r="M36" i="6" s="1"/>
  <c r="D40" i="6"/>
  <c r="D41" i="6"/>
  <c r="C41" i="6" s="1"/>
  <c r="D42" i="6"/>
  <c r="D43" i="6"/>
  <c r="C43" i="6" s="1"/>
  <c r="D44" i="6"/>
  <c r="D46" i="6"/>
  <c r="D47" i="6"/>
  <c r="C47" i="6" s="1"/>
  <c r="K47" i="6" s="1"/>
  <c r="D48" i="6"/>
  <c r="D49" i="6"/>
  <c r="C49" i="6" s="1"/>
  <c r="D50" i="6"/>
  <c r="D51" i="6"/>
  <c r="C51" i="6" s="1"/>
  <c r="H52" i="6"/>
  <c r="N54" i="6"/>
  <c r="W54" i="6"/>
  <c r="W55" i="6"/>
  <c r="J57" i="6"/>
  <c r="D60" i="6"/>
  <c r="M60" i="6" s="1"/>
  <c r="D61" i="6"/>
  <c r="C61" i="6" s="1"/>
  <c r="T62" i="6"/>
  <c r="T63" i="6"/>
  <c r="W66" i="6"/>
  <c r="W67" i="6"/>
  <c r="J69" i="6"/>
  <c r="D72" i="6"/>
  <c r="M72" i="6" s="1"/>
  <c r="H74" i="6"/>
  <c r="N77" i="6"/>
  <c r="N79" i="6"/>
  <c r="N81" i="6"/>
  <c r="N83" i="6"/>
  <c r="N85" i="6"/>
  <c r="N87" i="6"/>
  <c r="J91" i="6"/>
  <c r="N92" i="6"/>
  <c r="J98" i="6"/>
  <c r="D102" i="6"/>
  <c r="M102" i="6" s="1"/>
  <c r="J102" i="6"/>
  <c r="N106" i="6"/>
  <c r="BY13" i="7"/>
  <c r="D16" i="7"/>
  <c r="M16" i="7" s="1"/>
  <c r="AV13" i="7"/>
  <c r="BN13" i="7"/>
  <c r="CF13" i="7"/>
  <c r="T17" i="7"/>
  <c r="W18" i="7"/>
  <c r="AF18" i="7"/>
  <c r="AO18" i="7"/>
  <c r="X24" i="7"/>
  <c r="P14" i="7"/>
  <c r="N15" i="5"/>
  <c r="T18" i="5"/>
  <c r="N23" i="5"/>
  <c r="N27" i="5"/>
  <c r="T30" i="5"/>
  <c r="I31" i="5"/>
  <c r="Q31" i="5" s="1"/>
  <c r="N32" i="5"/>
  <c r="T42" i="5"/>
  <c r="H52" i="5"/>
  <c r="T55" i="5"/>
  <c r="T62" i="5"/>
  <c r="N68" i="5"/>
  <c r="N72" i="5"/>
  <c r="E74" i="5"/>
  <c r="L74" i="5"/>
  <c r="N76" i="5"/>
  <c r="D93" i="5"/>
  <c r="N96" i="5"/>
  <c r="D100" i="5"/>
  <c r="D108" i="5"/>
  <c r="C108" i="5" s="1"/>
  <c r="K108" i="5" s="1"/>
  <c r="D17" i="6"/>
  <c r="M17" i="6" s="1"/>
  <c r="D18" i="6"/>
  <c r="M18" i="6" s="1"/>
  <c r="W19" i="6"/>
  <c r="W20" i="6"/>
  <c r="W22" i="6"/>
  <c r="T23" i="6"/>
  <c r="T26" i="6"/>
  <c r="J30" i="6"/>
  <c r="F31" i="6"/>
  <c r="T32" i="6"/>
  <c r="T34" i="6"/>
  <c r="T35" i="6"/>
  <c r="T37" i="6"/>
  <c r="U52" i="6"/>
  <c r="W52" i="6" s="1"/>
  <c r="V52" i="6"/>
  <c r="D57" i="6"/>
  <c r="C57" i="6" s="1"/>
  <c r="D69" i="6"/>
  <c r="M69" i="6" s="1"/>
  <c r="J85" i="6"/>
  <c r="J87" i="6"/>
  <c r="D91" i="6"/>
  <c r="C91" i="6" s="1"/>
  <c r="K91" i="6" s="1"/>
  <c r="D95" i="6"/>
  <c r="M95" i="6" s="1"/>
  <c r="D99" i="6"/>
  <c r="J99" i="6"/>
  <c r="D103" i="6"/>
  <c r="C103" i="6" s="1"/>
  <c r="J103" i="6"/>
  <c r="J107" i="6"/>
  <c r="D116" i="6"/>
  <c r="C116" i="6" s="1"/>
  <c r="K116" i="6" s="1"/>
  <c r="BA13" i="7"/>
  <c r="CK13" i="7"/>
  <c r="H13" i="7"/>
  <c r="N15" i="7"/>
  <c r="S13" i="7"/>
  <c r="AS13" i="7"/>
  <c r="AY13" i="7"/>
  <c r="BH13" i="7"/>
  <c r="BL17" i="7"/>
  <c r="AI19" i="7"/>
  <c r="D20" i="7"/>
  <c r="M20" i="7" s="1"/>
  <c r="AF20" i="7"/>
  <c r="S31" i="5"/>
  <c r="N36" i="5"/>
  <c r="N44" i="5"/>
  <c r="I52" i="5"/>
  <c r="Q52" i="5" s="1"/>
  <c r="N53" i="5"/>
  <c r="N57" i="5"/>
  <c r="N64" i="5"/>
  <c r="I89" i="5"/>
  <c r="Q89" i="5" s="1"/>
  <c r="F89" i="5"/>
  <c r="F10" i="5" s="1"/>
  <c r="F9" i="5" s="1"/>
  <c r="J94" i="5"/>
  <c r="H13" i="6"/>
  <c r="I13" i="6"/>
  <c r="Q13" i="6" s="1"/>
  <c r="U13" i="6"/>
  <c r="W13" i="6" s="1"/>
  <c r="T15" i="6"/>
  <c r="J20" i="6"/>
  <c r="W21" i="6"/>
  <c r="T25" i="6"/>
  <c r="D30" i="6"/>
  <c r="M30" i="6" s="1"/>
  <c r="T33" i="6"/>
  <c r="W36" i="6"/>
  <c r="W38" i="6"/>
  <c r="W39" i="6"/>
  <c r="W40" i="6"/>
  <c r="W41" i="6"/>
  <c r="W42" i="6"/>
  <c r="W43" i="6"/>
  <c r="W44" i="6"/>
  <c r="W45" i="6"/>
  <c r="W46" i="6"/>
  <c r="W47" i="6"/>
  <c r="W48" i="6"/>
  <c r="W49" i="6"/>
  <c r="N50" i="6"/>
  <c r="W50" i="6"/>
  <c r="W51" i="6"/>
  <c r="D54" i="6"/>
  <c r="M54" i="6" s="1"/>
  <c r="O52" i="6"/>
  <c r="D55" i="6"/>
  <c r="C55" i="6" s="1"/>
  <c r="T57" i="6"/>
  <c r="N60" i="6"/>
  <c r="W60" i="6"/>
  <c r="W61" i="6"/>
  <c r="J63" i="6"/>
  <c r="D66" i="6"/>
  <c r="M66" i="6" s="1"/>
  <c r="D67" i="6"/>
  <c r="C67" i="6" s="1"/>
  <c r="T68" i="6"/>
  <c r="T69" i="6"/>
  <c r="W72" i="6"/>
  <c r="W73" i="6"/>
  <c r="J109" i="6"/>
  <c r="CL13" i="7"/>
  <c r="BI17" i="7"/>
  <c r="N18" i="7"/>
  <c r="O13" i="7"/>
  <c r="AF23" i="7"/>
  <c r="BU23" i="7"/>
  <c r="BU24" i="7"/>
  <c r="AC26" i="7"/>
  <c r="CJ27" i="7"/>
  <c r="BK31" i="7"/>
  <c r="BB31" i="7"/>
  <c r="BT31" i="7"/>
  <c r="N35" i="7"/>
  <c r="BI36" i="7"/>
  <c r="X37" i="7"/>
  <c r="AW37" i="7"/>
  <c r="BF37" i="7"/>
  <c r="AZ40" i="7"/>
  <c r="AZ41" i="7"/>
  <c r="T43" i="7"/>
  <c r="AI43" i="7"/>
  <c r="T44" i="7"/>
  <c r="AI44" i="7"/>
  <c r="BL44" i="7"/>
  <c r="AI45" i="7"/>
  <c r="W46" i="7"/>
  <c r="T48" i="7"/>
  <c r="AC48" i="7"/>
  <c r="BC48" i="7"/>
  <c r="D49" i="7"/>
  <c r="C49" i="7" s="1"/>
  <c r="K49" i="7" s="1"/>
  <c r="AZ49" i="7"/>
  <c r="BI49" i="7"/>
  <c r="BR49" i="7"/>
  <c r="D50" i="7"/>
  <c r="C50" i="7" s="1"/>
  <c r="J50" i="7"/>
  <c r="X50" i="7"/>
  <c r="BF50" i="7"/>
  <c r="AI51" i="7"/>
  <c r="Z52" i="7"/>
  <c r="AS52" i="7"/>
  <c r="BK52" i="7"/>
  <c r="CD53" i="7"/>
  <c r="CA54" i="7"/>
  <c r="T55" i="7"/>
  <c r="AL56" i="7"/>
  <c r="W57" i="7"/>
  <c r="D58" i="7"/>
  <c r="C58" i="7" s="1"/>
  <c r="AI58" i="7"/>
  <c r="BL59" i="7"/>
  <c r="N60" i="7"/>
  <c r="W60" i="7"/>
  <c r="CM60" i="7"/>
  <c r="X61" i="7"/>
  <c r="J62" i="7"/>
  <c r="W62" i="7"/>
  <c r="BI63" i="7"/>
  <c r="N64" i="7"/>
  <c r="D65" i="7"/>
  <c r="M65" i="7" s="1"/>
  <c r="AI65" i="7"/>
  <c r="CG66" i="7"/>
  <c r="N67" i="7"/>
  <c r="T67" i="7"/>
  <c r="N68" i="7"/>
  <c r="AC68" i="7"/>
  <c r="T70" i="7"/>
  <c r="BL71" i="7"/>
  <c r="X72" i="7"/>
  <c r="BL72" i="7"/>
  <c r="BU72" i="7"/>
  <c r="D110" i="7"/>
  <c r="C110" i="7" s="1"/>
  <c r="K110" i="7" s="1"/>
  <c r="L31" i="8"/>
  <c r="J53" i="8"/>
  <c r="L52" i="8"/>
  <c r="F74" i="8"/>
  <c r="D77" i="8"/>
  <c r="BR17" i="7"/>
  <c r="T19" i="7"/>
  <c r="AO20" i="7"/>
  <c r="CM20" i="7"/>
  <c r="X21" i="7"/>
  <c r="AI21" i="7"/>
  <c r="W22" i="7"/>
  <c r="AI24" i="7"/>
  <c r="BI24" i="7"/>
  <c r="N25" i="7"/>
  <c r="W25" i="7"/>
  <c r="BL26" i="7"/>
  <c r="BU26" i="7"/>
  <c r="J27" i="7"/>
  <c r="F13" i="7"/>
  <c r="AI28" i="7"/>
  <c r="BI28" i="7"/>
  <c r="BR28" i="7"/>
  <c r="D29" i="7"/>
  <c r="M29" i="7" s="1"/>
  <c r="AZ29" i="7"/>
  <c r="BI29" i="7"/>
  <c r="BR29" i="7"/>
  <c r="S31" i="7"/>
  <c r="Z31" i="7"/>
  <c r="BU32" i="7"/>
  <c r="J33" i="7"/>
  <c r="T35" i="7"/>
  <c r="BF35" i="7"/>
  <c r="T36" i="7"/>
  <c r="J41" i="7"/>
  <c r="N42" i="7"/>
  <c r="N47" i="7"/>
  <c r="N51" i="7"/>
  <c r="AG52" i="7"/>
  <c r="N54" i="7"/>
  <c r="CI52" i="7"/>
  <c r="J66" i="7"/>
  <c r="J72" i="7"/>
  <c r="AP74" i="7"/>
  <c r="W78" i="7"/>
  <c r="BW74" i="7"/>
  <c r="CO74" i="7"/>
  <c r="J79" i="7"/>
  <c r="BH74" i="7"/>
  <c r="J90" i="8"/>
  <c r="D32" i="7"/>
  <c r="AC33" i="7"/>
  <c r="BR33" i="7"/>
  <c r="CF31" i="7"/>
  <c r="AC36" i="7"/>
  <c r="BU36" i="7"/>
  <c r="AI37" i="7"/>
  <c r="AZ37" i="7"/>
  <c r="BI37" i="7"/>
  <c r="BR37" i="7"/>
  <c r="W38" i="7"/>
  <c r="J39" i="7"/>
  <c r="X39" i="7"/>
  <c r="BQ31" i="7"/>
  <c r="D40" i="7"/>
  <c r="C40" i="7" s="1"/>
  <c r="J40" i="7"/>
  <c r="AF40" i="7"/>
  <c r="AO40" i="7"/>
  <c r="BX40" i="7"/>
  <c r="AT41" i="7"/>
  <c r="BL41" i="7"/>
  <c r="AC43" i="7"/>
  <c r="BO43" i="7"/>
  <c r="AZ44" i="7"/>
  <c r="AC45" i="7"/>
  <c r="AL45" i="7"/>
  <c r="BR45" i="7"/>
  <c r="CJ45" i="7"/>
  <c r="J46" i="7"/>
  <c r="AI46" i="7"/>
  <c r="BL47" i="7"/>
  <c r="W48" i="7"/>
  <c r="AF48" i="7"/>
  <c r="AO48" i="7"/>
  <c r="AW48" i="7"/>
  <c r="AF49" i="7"/>
  <c r="AT49" i="7"/>
  <c r="BC49" i="7"/>
  <c r="BL49" i="7"/>
  <c r="BU49" i="7"/>
  <c r="T50" i="7"/>
  <c r="AC50" i="7"/>
  <c r="AZ50" i="7"/>
  <c r="BR50" i="7"/>
  <c r="AC51" i="7"/>
  <c r="CA51" i="7"/>
  <c r="BN52" i="7"/>
  <c r="CN52" i="7"/>
  <c r="AW54" i="7"/>
  <c r="AF55" i="7"/>
  <c r="D56" i="7"/>
  <c r="M56" i="7" s="1"/>
  <c r="AO56" i="7"/>
  <c r="D57" i="7"/>
  <c r="M57" i="7" s="1"/>
  <c r="CJ59" i="7"/>
  <c r="X60" i="7"/>
  <c r="CG60" i="7"/>
  <c r="BL63" i="7"/>
  <c r="BU63" i="7"/>
  <c r="AC65" i="7"/>
  <c r="BI66" i="7"/>
  <c r="BR66" i="7"/>
  <c r="CA66" i="7"/>
  <c r="CJ66" i="7"/>
  <c r="AF68" i="7"/>
  <c r="AO68" i="7"/>
  <c r="BR68" i="7"/>
  <c r="AF70" i="7"/>
  <c r="D72" i="7"/>
  <c r="M72" i="7" s="1"/>
  <c r="I74" i="7"/>
  <c r="Q74" i="7" s="1"/>
  <c r="O74" i="7"/>
  <c r="D79" i="7"/>
  <c r="C79" i="7" s="1"/>
  <c r="AA74" i="7"/>
  <c r="J114" i="7"/>
  <c r="O89" i="8"/>
  <c r="O10" i="8" s="1"/>
  <c r="O9" i="8" s="1"/>
  <c r="Q94" i="8"/>
  <c r="I89" i="8"/>
  <c r="BR21" i="7"/>
  <c r="N27" i="7"/>
  <c r="BL27" i="7"/>
  <c r="N28" i="7"/>
  <c r="AF29" i="7"/>
  <c r="AA31" i="7"/>
  <c r="AN31" i="7"/>
  <c r="N33" i="7"/>
  <c r="F31" i="7"/>
  <c r="N49" i="7"/>
  <c r="N50" i="7"/>
  <c r="CO31" i="7"/>
  <c r="AS31" i="7"/>
  <c r="N53" i="7"/>
  <c r="AP52" i="7"/>
  <c r="T75" i="7"/>
  <c r="R74" i="7"/>
  <c r="P14" i="8"/>
  <c r="G13" i="8"/>
  <c r="P13" i="8" s="1"/>
  <c r="F89" i="8"/>
  <c r="F10" i="8" s="1"/>
  <c r="F9" i="8" s="1"/>
  <c r="X18" i="7"/>
  <c r="AI18" i="7"/>
  <c r="AP13" i="7"/>
  <c r="BB13" i="7"/>
  <c r="BI18" i="7"/>
  <c r="AL19" i="7"/>
  <c r="BR20" i="7"/>
  <c r="CA20" i="7"/>
  <c r="BL21" i="7"/>
  <c r="AI22" i="7"/>
  <c r="BI22" i="7"/>
  <c r="BR22" i="7"/>
  <c r="D23" i="7"/>
  <c r="AZ23" i="7"/>
  <c r="BI23" i="7"/>
  <c r="BR23" i="7"/>
  <c r="W24" i="7"/>
  <c r="D25" i="7"/>
  <c r="AI25" i="7"/>
  <c r="BI25" i="7"/>
  <c r="AO26" i="7"/>
  <c r="W27" i="7"/>
  <c r="AF27" i="7"/>
  <c r="AO27" i="7"/>
  <c r="W28" i="7"/>
  <c r="AI30" i="7"/>
  <c r="G31" i="7"/>
  <c r="P31" i="7" s="1"/>
  <c r="P32" i="7"/>
  <c r="V31" i="7"/>
  <c r="AO32" i="7"/>
  <c r="W33" i="7"/>
  <c r="AO33" i="7"/>
  <c r="BH31" i="7"/>
  <c r="AF36" i="7"/>
  <c r="AO36" i="7"/>
  <c r="BX36" i="7"/>
  <c r="AT37" i="7"/>
  <c r="BC37" i="7"/>
  <c r="BL37" i="7"/>
  <c r="BU37" i="7"/>
  <c r="BC38" i="7"/>
  <c r="BL40" i="7"/>
  <c r="BF41" i="7"/>
  <c r="BU41" i="7"/>
  <c r="AO43" i="7"/>
  <c r="BC43" i="7"/>
  <c r="D44" i="7"/>
  <c r="AO44" i="7"/>
  <c r="J45" i="7"/>
  <c r="AF45" i="7"/>
  <c r="AO45" i="7"/>
  <c r="BU45" i="7"/>
  <c r="CM45" i="7"/>
  <c r="CI31" i="7"/>
  <c r="O31" i="7"/>
  <c r="AZ47" i="7"/>
  <c r="X48" i="7"/>
  <c r="AI48" i="7"/>
  <c r="AZ48" i="7"/>
  <c r="BW31" i="7"/>
  <c r="AW49" i="7"/>
  <c r="BF49" i="7"/>
  <c r="W50" i="7"/>
  <c r="AT50" i="7"/>
  <c r="BL50" i="7"/>
  <c r="D51" i="7"/>
  <c r="J51" i="7"/>
  <c r="AF51" i="7"/>
  <c r="AO51" i="7"/>
  <c r="BP52" i="7"/>
  <c r="CJ53" i="7"/>
  <c r="E52" i="7"/>
  <c r="CG54" i="7"/>
  <c r="X55" i="7"/>
  <c r="AI56" i="7"/>
  <c r="T57" i="7"/>
  <c r="AK52" i="7"/>
  <c r="T60" i="7"/>
  <c r="CJ60" i="7"/>
  <c r="D61" i="7"/>
  <c r="C61" i="7" s="1"/>
  <c r="T62" i="7"/>
  <c r="J64" i="7"/>
  <c r="BI65" i="7"/>
  <c r="AF66" i="7"/>
  <c r="BL66" i="7"/>
  <c r="BU66" i="7"/>
  <c r="CD66" i="7"/>
  <c r="CM66" i="7"/>
  <c r="X67" i="7"/>
  <c r="D68" i="7"/>
  <c r="AI68" i="7"/>
  <c r="BL68" i="7"/>
  <c r="D69" i="7"/>
  <c r="M69" i="7" s="1"/>
  <c r="BI72" i="7"/>
  <c r="BR72" i="7"/>
  <c r="AB74" i="7"/>
  <c r="AK74" i="7"/>
  <c r="BT74" i="7"/>
  <c r="G74" i="8"/>
  <c r="P74" i="8" s="1"/>
  <c r="N30" i="7"/>
  <c r="AQ52" i="7"/>
  <c r="BL79" i="7"/>
  <c r="BK74" i="7"/>
  <c r="P32" i="8"/>
  <c r="G31" i="8"/>
  <c r="D75" i="8"/>
  <c r="C75" i="8" s="1"/>
  <c r="E74" i="8"/>
  <c r="J75" i="8"/>
  <c r="O74" i="8"/>
  <c r="M80" i="8"/>
  <c r="C80" i="8"/>
  <c r="AB34" i="9"/>
  <c r="Z34" i="9"/>
  <c r="D90" i="9"/>
  <c r="C90" i="9" s="1"/>
  <c r="K90" i="9" s="1"/>
  <c r="E89" i="9"/>
  <c r="E10" i="9" s="1"/>
  <c r="E9" i="9" s="1"/>
  <c r="J15" i="10"/>
  <c r="L13" i="10"/>
  <c r="AF77" i="7"/>
  <c r="AO77" i="7"/>
  <c r="BL77" i="7"/>
  <c r="J78" i="7"/>
  <c r="AY74" i="7"/>
  <c r="BU79" i="7"/>
  <c r="X80" i="7"/>
  <c r="AO82" i="7"/>
  <c r="X85" i="7"/>
  <c r="AC87" i="7"/>
  <c r="BR88" i="7"/>
  <c r="I89" i="7"/>
  <c r="L13" i="8"/>
  <c r="N14" i="8"/>
  <c r="N16" i="8"/>
  <c r="N18" i="8"/>
  <c r="N20" i="8"/>
  <c r="N22" i="8"/>
  <c r="N24" i="8"/>
  <c r="N26" i="8"/>
  <c r="N28" i="8"/>
  <c r="N30" i="8"/>
  <c r="N32" i="8"/>
  <c r="N34" i="8"/>
  <c r="N36" i="8"/>
  <c r="N38" i="8"/>
  <c r="N40" i="8"/>
  <c r="N42" i="8"/>
  <c r="N44" i="8"/>
  <c r="N46" i="8"/>
  <c r="N48" i="8"/>
  <c r="N50" i="8"/>
  <c r="J67" i="8"/>
  <c r="J69" i="8"/>
  <c r="J71" i="8"/>
  <c r="J73" i="8"/>
  <c r="I74" i="8"/>
  <c r="Q74" i="8" s="1"/>
  <c r="T88" i="8"/>
  <c r="D92" i="8"/>
  <c r="M92" i="8" s="1"/>
  <c r="H11" i="9"/>
  <c r="AB17" i="9"/>
  <c r="AE18" i="9"/>
  <c r="AB20" i="9"/>
  <c r="Z23" i="9"/>
  <c r="AF31" i="9"/>
  <c r="D40" i="9"/>
  <c r="C40" i="9" s="1"/>
  <c r="AB85" i="9"/>
  <c r="Z85" i="9"/>
  <c r="AB86" i="9"/>
  <c r="Z86" i="9"/>
  <c r="W14" i="10"/>
  <c r="U14" i="10"/>
  <c r="H74" i="7"/>
  <c r="V74" i="7"/>
  <c r="AV74" i="7"/>
  <c r="D78" i="7"/>
  <c r="M78" i="7" s="1"/>
  <c r="AW78" i="7"/>
  <c r="BF78" i="7"/>
  <c r="N81" i="7"/>
  <c r="AI81" i="7"/>
  <c r="AI82" i="7"/>
  <c r="T83" i="7"/>
  <c r="D84" i="7"/>
  <c r="M84" i="7" s="1"/>
  <c r="J84" i="7"/>
  <c r="D85" i="7"/>
  <c r="M85" i="7" s="1"/>
  <c r="AC85" i="7"/>
  <c r="T86" i="7"/>
  <c r="BC86" i="7"/>
  <c r="D87" i="7"/>
  <c r="C87" i="7" s="1"/>
  <c r="W87" i="7"/>
  <c r="AF87" i="7"/>
  <c r="X88" i="7"/>
  <c r="BU88" i="7"/>
  <c r="J90" i="7"/>
  <c r="F89" i="7"/>
  <c r="F10" i="7" s="1"/>
  <c r="F9" i="7" s="1"/>
  <c r="D115" i="7"/>
  <c r="M115" i="7" s="1"/>
  <c r="E13" i="8"/>
  <c r="T17" i="8"/>
  <c r="T19" i="8"/>
  <c r="T21" i="8"/>
  <c r="T23" i="8"/>
  <c r="T25" i="8"/>
  <c r="T27" i="8"/>
  <c r="T29" i="8"/>
  <c r="T33" i="8"/>
  <c r="T35" i="8"/>
  <c r="T37" i="8"/>
  <c r="T39" i="8"/>
  <c r="T41" i="8"/>
  <c r="T43" i="8"/>
  <c r="T45" i="8"/>
  <c r="T47" i="8"/>
  <c r="T49" i="8"/>
  <c r="T51" i="8"/>
  <c r="T53" i="8"/>
  <c r="T55" i="8"/>
  <c r="T57" i="8"/>
  <c r="T59" i="8"/>
  <c r="T61" i="8"/>
  <c r="T63" i="8"/>
  <c r="T65" i="8"/>
  <c r="T75" i="8"/>
  <c r="T76" i="8"/>
  <c r="H74" i="8"/>
  <c r="J83" i="8"/>
  <c r="G89" i="8"/>
  <c r="J98" i="8"/>
  <c r="D99" i="8"/>
  <c r="D101" i="8"/>
  <c r="C101" i="8" s="1"/>
  <c r="K101" i="8" s="1"/>
  <c r="D103" i="8"/>
  <c r="M103" i="8" s="1"/>
  <c r="J112" i="8"/>
  <c r="T16" i="9"/>
  <c r="Z17" i="9"/>
  <c r="W18" i="9"/>
  <c r="J19" i="9"/>
  <c r="W20" i="9"/>
  <c r="J21" i="9"/>
  <c r="Z21" i="9"/>
  <c r="W22" i="9"/>
  <c r="T23" i="9"/>
  <c r="D24" i="9"/>
  <c r="C24" i="9" s="1"/>
  <c r="Z27" i="9"/>
  <c r="D34" i="9"/>
  <c r="J38" i="9"/>
  <c r="D44" i="9"/>
  <c r="C44" i="9" s="1"/>
  <c r="D50" i="9"/>
  <c r="C50" i="9" s="1"/>
  <c r="AE58" i="9"/>
  <c r="AG58" i="9"/>
  <c r="AG59" i="9"/>
  <c r="AE59" i="9"/>
  <c r="N84" i="9"/>
  <c r="H74" i="9"/>
  <c r="N105" i="7"/>
  <c r="S13" i="8"/>
  <c r="J85" i="8"/>
  <c r="Y13" i="9"/>
  <c r="N20" i="9"/>
  <c r="AG23" i="9"/>
  <c r="AE39" i="9"/>
  <c r="AG39" i="9"/>
  <c r="AG57" i="9"/>
  <c r="AE57" i="9"/>
  <c r="AB63" i="9"/>
  <c r="Z63" i="9"/>
  <c r="P75" i="9"/>
  <c r="AB87" i="9"/>
  <c r="Z87" i="9"/>
  <c r="D77" i="7"/>
  <c r="C77" i="7" s="1"/>
  <c r="BO77" i="7"/>
  <c r="CJ78" i="7"/>
  <c r="BI79" i="7"/>
  <c r="T81" i="7"/>
  <c r="AC81" i="7"/>
  <c r="AL81" i="7"/>
  <c r="N85" i="7"/>
  <c r="AF86" i="7"/>
  <c r="BU86" i="7"/>
  <c r="N88" i="7"/>
  <c r="AC88" i="7"/>
  <c r="Q90" i="7"/>
  <c r="N92" i="7"/>
  <c r="J93" i="7"/>
  <c r="D96" i="7"/>
  <c r="N109" i="7"/>
  <c r="N15" i="8"/>
  <c r="N17" i="8"/>
  <c r="N19" i="8"/>
  <c r="N21" i="8"/>
  <c r="D22" i="8"/>
  <c r="C22" i="8" s="1"/>
  <c r="N23" i="8"/>
  <c r="D24" i="8"/>
  <c r="C24" i="8" s="1"/>
  <c r="N25" i="8"/>
  <c r="N27" i="8"/>
  <c r="D28" i="8"/>
  <c r="C28" i="8" s="1"/>
  <c r="N29" i="8"/>
  <c r="D30" i="8"/>
  <c r="C30" i="8" s="1"/>
  <c r="H31" i="8"/>
  <c r="N33" i="8"/>
  <c r="D34" i="8"/>
  <c r="M34" i="8" s="1"/>
  <c r="N35" i="8"/>
  <c r="D36" i="8"/>
  <c r="C36" i="8" s="1"/>
  <c r="N37" i="8"/>
  <c r="D38" i="8"/>
  <c r="C38" i="8" s="1"/>
  <c r="N39" i="8"/>
  <c r="D40" i="8"/>
  <c r="C40" i="8" s="1"/>
  <c r="N41" i="8"/>
  <c r="D42" i="8"/>
  <c r="C42" i="8" s="1"/>
  <c r="N43" i="8"/>
  <c r="D44" i="8"/>
  <c r="C44" i="8" s="1"/>
  <c r="N45" i="8"/>
  <c r="D46" i="8"/>
  <c r="M46" i="8" s="1"/>
  <c r="N47" i="8"/>
  <c r="D48" i="8"/>
  <c r="N49" i="8"/>
  <c r="N51" i="8"/>
  <c r="E52" i="8"/>
  <c r="D56" i="8"/>
  <c r="M56" i="8" s="1"/>
  <c r="D58" i="8"/>
  <c r="C58" i="8" s="1"/>
  <c r="J68" i="8"/>
  <c r="J70" i="8"/>
  <c r="N71" i="8"/>
  <c r="J72" i="8"/>
  <c r="N73" i="8"/>
  <c r="T80" i="8"/>
  <c r="T81" i="8"/>
  <c r="T82" i="8"/>
  <c r="J91" i="8"/>
  <c r="J93" i="8"/>
  <c r="D96" i="8"/>
  <c r="M96" i="8" s="1"/>
  <c r="D98" i="8"/>
  <c r="C98" i="8" s="1"/>
  <c r="K98" i="8" s="1"/>
  <c r="D114" i="8"/>
  <c r="M114" i="8" s="1"/>
  <c r="N14" i="9"/>
  <c r="G13" i="9"/>
  <c r="P13" i="9" s="1"/>
  <c r="AD13" i="9"/>
  <c r="AG17" i="9"/>
  <c r="N21" i="9"/>
  <c r="T21" i="9"/>
  <c r="D22" i="9"/>
  <c r="C22" i="9" s="1"/>
  <c r="AB22" i="9"/>
  <c r="AG22" i="9"/>
  <c r="J23" i="9"/>
  <c r="N24" i="9"/>
  <c r="AG24" i="9"/>
  <c r="AB28" i="9"/>
  <c r="Z28" i="9"/>
  <c r="AB32" i="9"/>
  <c r="G31" i="9"/>
  <c r="P31" i="9" s="1"/>
  <c r="P33" i="9"/>
  <c r="S31" i="9"/>
  <c r="AE33" i="9"/>
  <c r="AG33" i="9"/>
  <c r="T37" i="9"/>
  <c r="AG40" i="9"/>
  <c r="J41" i="9"/>
  <c r="AG45" i="9"/>
  <c r="AE45" i="9"/>
  <c r="AE51" i="9"/>
  <c r="AG51" i="9"/>
  <c r="G52" i="9"/>
  <c r="P52" i="9" s="1"/>
  <c r="D56" i="9"/>
  <c r="C56" i="9" s="1"/>
  <c r="AB88" i="9"/>
  <c r="Z88" i="9"/>
  <c r="N75" i="7"/>
  <c r="AC76" i="7"/>
  <c r="AQ74" i="7"/>
  <c r="AC77" i="7"/>
  <c r="BR77" i="7"/>
  <c r="CF74" i="7"/>
  <c r="W79" i="7"/>
  <c r="BO80" i="7"/>
  <c r="J83" i="7"/>
  <c r="W83" i="7"/>
  <c r="N84" i="7"/>
  <c r="J86" i="7"/>
  <c r="X86" i="7"/>
  <c r="AI86" i="7"/>
  <c r="N87" i="7"/>
  <c r="T87" i="7"/>
  <c r="AI87" i="7"/>
  <c r="BU87" i="7"/>
  <c r="D94" i="7"/>
  <c r="C94" i="7" s="1"/>
  <c r="K94" i="7" s="1"/>
  <c r="J94" i="7"/>
  <c r="J96" i="7"/>
  <c r="D99" i="7"/>
  <c r="M99" i="7" s="1"/>
  <c r="J99" i="7"/>
  <c r="H13" i="8"/>
  <c r="T16" i="8"/>
  <c r="T18" i="8"/>
  <c r="T20" i="8"/>
  <c r="T22" i="8"/>
  <c r="T24" i="8"/>
  <c r="T26" i="8"/>
  <c r="T28" i="8"/>
  <c r="T30" i="8"/>
  <c r="I31" i="8"/>
  <c r="Q31" i="8" s="1"/>
  <c r="T32" i="8"/>
  <c r="T34" i="8"/>
  <c r="T36" i="8"/>
  <c r="T38" i="8"/>
  <c r="T40" i="8"/>
  <c r="T42" i="8"/>
  <c r="T44" i="8"/>
  <c r="T46" i="8"/>
  <c r="T48" i="8"/>
  <c r="T50" i="8"/>
  <c r="R52" i="8"/>
  <c r="T54" i="8"/>
  <c r="T56" i="8"/>
  <c r="T58" i="8"/>
  <c r="T60" i="8"/>
  <c r="T62" i="8"/>
  <c r="T64" i="8"/>
  <c r="T66" i="8"/>
  <c r="S74" i="8"/>
  <c r="N77" i="8"/>
  <c r="J88" i="8"/>
  <c r="E89" i="8"/>
  <c r="E10" i="8" s="1"/>
  <c r="E9" i="8" s="1"/>
  <c r="L89" i="8"/>
  <c r="J92" i="8"/>
  <c r="J95" i="8"/>
  <c r="D97" i="8"/>
  <c r="M97" i="8" s="1"/>
  <c r="J104" i="8"/>
  <c r="J108" i="8"/>
  <c r="D116" i="8"/>
  <c r="C116" i="8" s="1"/>
  <c r="K116" i="8" s="1"/>
  <c r="AC13" i="9"/>
  <c r="AF13" i="9"/>
  <c r="N15" i="9"/>
  <c r="AB16" i="9"/>
  <c r="AG16" i="9"/>
  <c r="J17" i="9"/>
  <c r="N18" i="9"/>
  <c r="T18" i="9"/>
  <c r="AB19" i="9"/>
  <c r="W21" i="9"/>
  <c r="D23" i="9"/>
  <c r="C23" i="9" s="1"/>
  <c r="AE23" i="9"/>
  <c r="Z30" i="9"/>
  <c r="E31" i="9"/>
  <c r="AG34" i="9"/>
  <c r="J35" i="9"/>
  <c r="AB40" i="9"/>
  <c r="Z40" i="9"/>
  <c r="N54" i="9"/>
  <c r="H52" i="9"/>
  <c r="AB65" i="9"/>
  <c r="Z65" i="9"/>
  <c r="AB71" i="9"/>
  <c r="Z71" i="9"/>
  <c r="AB29" i="9"/>
  <c r="J30" i="9"/>
  <c r="W30" i="9"/>
  <c r="W32" i="9"/>
  <c r="AG32" i="9"/>
  <c r="Y31" i="9"/>
  <c r="J34" i="9"/>
  <c r="AE34" i="9"/>
  <c r="AG35" i="9"/>
  <c r="T36" i="9"/>
  <c r="AB37" i="9"/>
  <c r="J40" i="9"/>
  <c r="AE40" i="9"/>
  <c r="AG41" i="9"/>
  <c r="T42" i="9"/>
  <c r="AB43" i="9"/>
  <c r="W45" i="9"/>
  <c r="Z46" i="9"/>
  <c r="AB47" i="9"/>
  <c r="J48" i="9"/>
  <c r="W48" i="9"/>
  <c r="J49" i="9"/>
  <c r="W50" i="9"/>
  <c r="AG50" i="9"/>
  <c r="Z51" i="9"/>
  <c r="N53" i="9"/>
  <c r="T53" i="9"/>
  <c r="D54" i="9"/>
  <c r="M54" i="9" s="1"/>
  <c r="J55" i="9"/>
  <c r="AE55" i="9"/>
  <c r="W56" i="9"/>
  <c r="AG56" i="9"/>
  <c r="Z58" i="9"/>
  <c r="J59" i="9"/>
  <c r="D65" i="9"/>
  <c r="C65" i="9" s="1"/>
  <c r="K65" i="9" s="1"/>
  <c r="D67" i="9"/>
  <c r="M67" i="9" s="1"/>
  <c r="N68" i="9"/>
  <c r="AB69" i="9"/>
  <c r="AE70" i="9"/>
  <c r="J72" i="9"/>
  <c r="W72" i="9"/>
  <c r="J73" i="9"/>
  <c r="N75" i="9"/>
  <c r="R74" i="9"/>
  <c r="Z76" i="9"/>
  <c r="D79" i="9"/>
  <c r="M79" i="9" s="1"/>
  <c r="J91" i="9"/>
  <c r="J94" i="9"/>
  <c r="J96" i="9"/>
  <c r="D103" i="9"/>
  <c r="C103" i="9" s="1"/>
  <c r="K103" i="9" s="1"/>
  <c r="D105" i="9"/>
  <c r="M105" i="9" s="1"/>
  <c r="J107" i="9"/>
  <c r="T13" i="10"/>
  <c r="D15" i="10"/>
  <c r="C15" i="10" s="1"/>
  <c r="N16" i="10"/>
  <c r="N18" i="10"/>
  <c r="U18" i="10"/>
  <c r="D19" i="10"/>
  <c r="M19" i="10" s="1"/>
  <c r="U19" i="10"/>
  <c r="AB19" i="10"/>
  <c r="N20" i="10"/>
  <c r="W20" i="10"/>
  <c r="AB20" i="10"/>
  <c r="J21" i="10"/>
  <c r="W22" i="10"/>
  <c r="U23" i="10"/>
  <c r="Z48" i="9"/>
  <c r="D49" i="9"/>
  <c r="C49" i="9" s="1"/>
  <c r="K49" i="9" s="1"/>
  <c r="AB51" i="9"/>
  <c r="AG53" i="9"/>
  <c r="D55" i="9"/>
  <c r="M55" i="9" s="1"/>
  <c r="D59" i="9"/>
  <c r="C59" i="9" s="1"/>
  <c r="N69" i="9"/>
  <c r="Z72" i="9"/>
  <c r="D73" i="9"/>
  <c r="C73" i="9" s="1"/>
  <c r="K73" i="9" s="1"/>
  <c r="AA74" i="9"/>
  <c r="AB83" i="9"/>
  <c r="AG85" i="9"/>
  <c r="J88" i="9"/>
  <c r="D91" i="9"/>
  <c r="C91" i="9" s="1"/>
  <c r="K91" i="9" s="1"/>
  <c r="D94" i="9"/>
  <c r="M94" i="9" s="1"/>
  <c r="D96" i="9"/>
  <c r="M96" i="9" s="1"/>
  <c r="E13" i="10"/>
  <c r="D21" i="10"/>
  <c r="C21" i="10" s="1"/>
  <c r="K21" i="10" s="1"/>
  <c r="J25" i="10"/>
  <c r="AB67" i="9"/>
  <c r="W69" i="9"/>
  <c r="J71" i="9"/>
  <c r="AD74" i="9"/>
  <c r="V74" i="9"/>
  <c r="S74" i="9"/>
  <c r="J83" i="9"/>
  <c r="J87" i="9"/>
  <c r="N92" i="9"/>
  <c r="J93" i="9"/>
  <c r="J100" i="9"/>
  <c r="J102" i="9"/>
  <c r="D109" i="9"/>
  <c r="C109" i="9" s="1"/>
  <c r="K109" i="9" s="1"/>
  <c r="J111" i="9"/>
  <c r="V13" i="10"/>
  <c r="J16" i="10"/>
  <c r="W17" i="10"/>
  <c r="AB17" i="10"/>
  <c r="J18" i="10"/>
  <c r="U24" i="10"/>
  <c r="D25" i="10"/>
  <c r="C25" i="10" s="1"/>
  <c r="K25" i="10" s="1"/>
  <c r="J28" i="9"/>
  <c r="AE28" i="9"/>
  <c r="T30" i="9"/>
  <c r="W33" i="9"/>
  <c r="AB35" i="9"/>
  <c r="L31" i="9"/>
  <c r="W36" i="9"/>
  <c r="J37" i="9"/>
  <c r="AE37" i="9"/>
  <c r="W38" i="9"/>
  <c r="AG38" i="9"/>
  <c r="AB41" i="9"/>
  <c r="J42" i="9"/>
  <c r="W42" i="9"/>
  <c r="J43" i="9"/>
  <c r="AE43" i="9"/>
  <c r="W44" i="9"/>
  <c r="AG44" i="9"/>
  <c r="Z45" i="9"/>
  <c r="J46" i="9"/>
  <c r="AE46" i="9"/>
  <c r="T48" i="9"/>
  <c r="W51" i="9"/>
  <c r="D53" i="9"/>
  <c r="M53" i="9" s="1"/>
  <c r="AE53" i="9"/>
  <c r="AB55" i="9"/>
  <c r="AA52" i="9"/>
  <c r="J58" i="9"/>
  <c r="Z59" i="9"/>
  <c r="AE60" i="9"/>
  <c r="N67" i="9"/>
  <c r="T72" i="9"/>
  <c r="AE75" i="9"/>
  <c r="N105" i="9"/>
  <c r="N15" i="10"/>
  <c r="AG28" i="9"/>
  <c r="J29" i="9"/>
  <c r="Z36" i="9"/>
  <c r="D37" i="9"/>
  <c r="N38" i="9"/>
  <c r="Z42" i="9"/>
  <c r="D43" i="9"/>
  <c r="M43" i="9" s="1"/>
  <c r="N44" i="9"/>
  <c r="AB45" i="9"/>
  <c r="AG46" i="9"/>
  <c r="J47" i="9"/>
  <c r="J54" i="9"/>
  <c r="V52" i="9"/>
  <c r="AD52" i="9"/>
  <c r="T55" i="9"/>
  <c r="J61" i="9"/>
  <c r="J63" i="9"/>
  <c r="D64" i="9"/>
  <c r="M64" i="9" s="1"/>
  <c r="J69" i="9"/>
  <c r="J85" i="9"/>
  <c r="D87" i="9"/>
  <c r="J99" i="9"/>
  <c r="D113" i="9"/>
  <c r="J115" i="9"/>
  <c r="G13" i="10"/>
  <c r="P13" i="10" s="1"/>
  <c r="Z13" i="10"/>
  <c r="U17" i="10"/>
  <c r="D22" i="10"/>
  <c r="M22" i="10" s="1"/>
  <c r="U22" i="10"/>
  <c r="AB22" i="10"/>
  <c r="AB23" i="10"/>
  <c r="J24" i="10"/>
  <c r="U26" i="10"/>
  <c r="D27" i="10"/>
  <c r="M27" i="10" s="1"/>
  <c r="D34" i="10"/>
  <c r="U34" i="10"/>
  <c r="AB34" i="10"/>
  <c r="W35" i="10"/>
  <c r="AB35" i="10"/>
  <c r="J36" i="10"/>
  <c r="W37" i="10"/>
  <c r="U38" i="10"/>
  <c r="D55" i="10"/>
  <c r="C55" i="10" s="1"/>
  <c r="AB68" i="10"/>
  <c r="J71" i="10"/>
  <c r="AB72" i="10"/>
  <c r="Y75" i="10"/>
  <c r="N76" i="10"/>
  <c r="X74" i="10"/>
  <c r="J82" i="10"/>
  <c r="Y86" i="10"/>
  <c r="AB86" i="10"/>
  <c r="J87" i="10"/>
  <c r="N88" i="10"/>
  <c r="J98" i="10"/>
  <c r="J99" i="10"/>
  <c r="N104" i="10"/>
  <c r="J108" i="10"/>
  <c r="D114" i="10"/>
  <c r="M114" i="10" s="1"/>
  <c r="D115" i="10"/>
  <c r="M115" i="10" s="1"/>
  <c r="D14" i="11"/>
  <c r="D17" i="11"/>
  <c r="C17" i="11" s="1"/>
  <c r="K17" i="11" s="1"/>
  <c r="D30" i="11"/>
  <c r="M30" i="11" s="1"/>
  <c r="N56" i="11"/>
  <c r="N86" i="11"/>
  <c r="J38" i="10"/>
  <c r="J40" i="10"/>
  <c r="AB40" i="10"/>
  <c r="W41" i="10"/>
  <c r="AB41" i="10"/>
  <c r="J42" i="10"/>
  <c r="W43" i="10"/>
  <c r="Y46" i="10"/>
  <c r="D49" i="10"/>
  <c r="M49" i="10" s="1"/>
  <c r="U49" i="10"/>
  <c r="AB49" i="10"/>
  <c r="AB50" i="10"/>
  <c r="J51" i="10"/>
  <c r="J60" i="10"/>
  <c r="W61" i="10"/>
  <c r="AB64" i="10"/>
  <c r="J66" i="10"/>
  <c r="N68" i="10"/>
  <c r="U68" i="10"/>
  <c r="U69" i="10"/>
  <c r="AB69" i="10"/>
  <c r="J70" i="10"/>
  <c r="D71" i="10"/>
  <c r="M71" i="10" s="1"/>
  <c r="U71" i="10"/>
  <c r="AB71" i="10"/>
  <c r="J72" i="10"/>
  <c r="AB73" i="10"/>
  <c r="U76" i="10"/>
  <c r="W78" i="10"/>
  <c r="D79" i="10"/>
  <c r="M79" i="10" s="1"/>
  <c r="U80" i="10"/>
  <c r="AB80" i="10"/>
  <c r="U83" i="10"/>
  <c r="AB83" i="10"/>
  <c r="N92" i="10"/>
  <c r="D98" i="10"/>
  <c r="D100" i="10"/>
  <c r="C100" i="10" s="1"/>
  <c r="K100" i="10" s="1"/>
  <c r="J106" i="10"/>
  <c r="D113" i="10"/>
  <c r="M113" i="10" s="1"/>
  <c r="N116" i="10"/>
  <c r="N11" i="11"/>
  <c r="J16" i="11"/>
  <c r="J19" i="11"/>
  <c r="J20" i="11"/>
  <c r="J32" i="11"/>
  <c r="T36" i="11"/>
  <c r="G52" i="11"/>
  <c r="P52" i="11" s="1"/>
  <c r="N69" i="11"/>
  <c r="N75" i="11"/>
  <c r="J27" i="10"/>
  <c r="W28" i="10"/>
  <c r="AB32" i="10"/>
  <c r="J33" i="10"/>
  <c r="W34" i="10"/>
  <c r="U35" i="10"/>
  <c r="AB46" i="10"/>
  <c r="J56" i="10"/>
  <c r="U58" i="10"/>
  <c r="AB58" i="10"/>
  <c r="U63" i="10"/>
  <c r="D64" i="10"/>
  <c r="M64" i="10" s="1"/>
  <c r="U64" i="10"/>
  <c r="D66" i="10"/>
  <c r="M66" i="10" s="1"/>
  <c r="U67" i="10"/>
  <c r="J76" i="10"/>
  <c r="J88" i="10"/>
  <c r="J95" i="10"/>
  <c r="D109" i="10"/>
  <c r="M109" i="10" s="1"/>
  <c r="D111" i="10"/>
  <c r="M111" i="10" s="1"/>
  <c r="T14" i="11"/>
  <c r="D16" i="11"/>
  <c r="C16" i="11" s="1"/>
  <c r="D19" i="11"/>
  <c r="O31" i="11"/>
  <c r="J37" i="11"/>
  <c r="J39" i="11"/>
  <c r="J41" i="11"/>
  <c r="J43" i="11"/>
  <c r="J45" i="11"/>
  <c r="I52" i="11"/>
  <c r="Q52" i="11" s="1"/>
  <c r="S52" i="11"/>
  <c r="N53" i="11"/>
  <c r="D56" i="11"/>
  <c r="J56" i="11"/>
  <c r="Q75" i="11"/>
  <c r="N76" i="11"/>
  <c r="N91" i="11"/>
  <c r="H89" i="11"/>
  <c r="N28" i="10"/>
  <c r="U32" i="10"/>
  <c r="J37" i="10"/>
  <c r="U41" i="10"/>
  <c r="U45" i="10"/>
  <c r="D46" i="10"/>
  <c r="M46" i="10" s="1"/>
  <c r="U46" i="10"/>
  <c r="D54" i="10"/>
  <c r="C54" i="10" s="1"/>
  <c r="K54" i="10" s="1"/>
  <c r="N55" i="10"/>
  <c r="U59" i="10"/>
  <c r="W68" i="10"/>
  <c r="D70" i="10"/>
  <c r="C70" i="10" s="1"/>
  <c r="D72" i="10"/>
  <c r="C72" i="10" s="1"/>
  <c r="E74" i="10"/>
  <c r="D84" i="10"/>
  <c r="D97" i="10"/>
  <c r="D106" i="10"/>
  <c r="C106" i="10" s="1"/>
  <c r="O13" i="11"/>
  <c r="P78" i="11"/>
  <c r="U37" i="10"/>
  <c r="AB37" i="10"/>
  <c r="AB38" i="10"/>
  <c r="D48" i="10"/>
  <c r="J50" i="10"/>
  <c r="U53" i="10"/>
  <c r="W56" i="10"/>
  <c r="J57" i="10"/>
  <c r="W58" i="10"/>
  <c r="J61" i="10"/>
  <c r="J63" i="10"/>
  <c r="W64" i="10"/>
  <c r="J67" i="10"/>
  <c r="Y69" i="10"/>
  <c r="D76" i="10"/>
  <c r="M76" i="10" s="1"/>
  <c r="J93" i="10"/>
  <c r="J101" i="10"/>
  <c r="J102" i="10"/>
  <c r="D105" i="10"/>
  <c r="M105" i="10" s="1"/>
  <c r="T16" i="11"/>
  <c r="D18" i="11"/>
  <c r="D24" i="11"/>
  <c r="D25" i="11"/>
  <c r="M25" i="11" s="1"/>
  <c r="D39" i="11"/>
  <c r="M39" i="11" s="1"/>
  <c r="D41" i="11"/>
  <c r="M41" i="11" s="1"/>
  <c r="D43" i="11"/>
  <c r="M43" i="11" s="1"/>
  <c r="D45" i="11"/>
  <c r="J28" i="10"/>
  <c r="AB28" i="10"/>
  <c r="AB29" i="10"/>
  <c r="J30" i="10"/>
  <c r="P32" i="10"/>
  <c r="D39" i="10"/>
  <c r="U42" i="10"/>
  <c r="D43" i="10"/>
  <c r="M43" i="10" s="1"/>
  <c r="U43" i="10"/>
  <c r="AB43" i="10"/>
  <c r="N44" i="10"/>
  <c r="W44" i="10"/>
  <c r="AB44" i="10"/>
  <c r="J45" i="10"/>
  <c r="W46" i="10"/>
  <c r="U51" i="10"/>
  <c r="E52" i="10"/>
  <c r="N56" i="10"/>
  <c r="D57" i="10"/>
  <c r="M57" i="10" s="1"/>
  <c r="U61" i="10"/>
  <c r="AB61" i="10"/>
  <c r="D63" i="10"/>
  <c r="C63" i="10" s="1"/>
  <c r="J65" i="10"/>
  <c r="W72" i="10"/>
  <c r="O74" i="10"/>
  <c r="D78" i="10"/>
  <c r="M78" i="10" s="1"/>
  <c r="H13" i="11"/>
  <c r="N30" i="11"/>
  <c r="F31" i="11"/>
  <c r="J40" i="11"/>
  <c r="J95" i="11"/>
  <c r="J96" i="11"/>
  <c r="J102" i="11"/>
  <c r="G13" i="12"/>
  <c r="P13" i="12" s="1"/>
  <c r="Y13" i="12"/>
  <c r="T16" i="12"/>
  <c r="J19" i="12"/>
  <c r="N21" i="12"/>
  <c r="T30" i="12"/>
  <c r="J32" i="12"/>
  <c r="D33" i="12"/>
  <c r="W33" i="12"/>
  <c r="N35" i="12"/>
  <c r="W36" i="12"/>
  <c r="N39" i="12"/>
  <c r="T39" i="12"/>
  <c r="J41" i="12"/>
  <c r="W42" i="12"/>
  <c r="W45" i="12"/>
  <c r="W48" i="12"/>
  <c r="W51" i="12"/>
  <c r="H52" i="12"/>
  <c r="W53" i="12"/>
  <c r="O52" i="12"/>
  <c r="N65" i="12"/>
  <c r="N67" i="12"/>
  <c r="N69" i="12"/>
  <c r="N71" i="12"/>
  <c r="W71" i="12"/>
  <c r="D73" i="12"/>
  <c r="M73" i="12" s="1"/>
  <c r="T73" i="12"/>
  <c r="W80" i="12"/>
  <c r="D81" i="12"/>
  <c r="M81" i="12" s="1"/>
  <c r="N85" i="12"/>
  <c r="W85" i="12"/>
  <c r="D86" i="12"/>
  <c r="N88" i="12"/>
  <c r="W88" i="12"/>
  <c r="F89" i="12"/>
  <c r="F10" i="12" s="1"/>
  <c r="F9" i="12" s="1"/>
  <c r="D93" i="12"/>
  <c r="C93" i="12" s="1"/>
  <c r="K93" i="12" s="1"/>
  <c r="D95" i="12"/>
  <c r="M95" i="12" s="1"/>
  <c r="J102" i="12"/>
  <c r="D109" i="12"/>
  <c r="D103" i="11"/>
  <c r="M103" i="11" s="1"/>
  <c r="N104" i="11"/>
  <c r="J106" i="11"/>
  <c r="D109" i="11"/>
  <c r="J112" i="11"/>
  <c r="D115" i="11"/>
  <c r="M115" i="11" s="1"/>
  <c r="J115" i="11"/>
  <c r="U13" i="12"/>
  <c r="H13" i="12"/>
  <c r="S13" i="12"/>
  <c r="Z13" i="12"/>
  <c r="J15" i="12"/>
  <c r="D18" i="12"/>
  <c r="C18" i="12" s="1"/>
  <c r="T20" i="12"/>
  <c r="T22" i="12"/>
  <c r="J25" i="12"/>
  <c r="N27" i="12"/>
  <c r="T29" i="12"/>
  <c r="J30" i="12"/>
  <c r="G31" i="12"/>
  <c r="E31" i="12"/>
  <c r="N38" i="12"/>
  <c r="T38" i="12"/>
  <c r="J40" i="12"/>
  <c r="T43" i="12"/>
  <c r="J44" i="12"/>
  <c r="T46" i="12"/>
  <c r="J47" i="12"/>
  <c r="N49" i="12"/>
  <c r="T49" i="12"/>
  <c r="J50" i="12"/>
  <c r="L52" i="12"/>
  <c r="N54" i="12"/>
  <c r="T54" i="12"/>
  <c r="J55" i="12"/>
  <c r="X74" i="12"/>
  <c r="N76" i="12"/>
  <c r="W76" i="12"/>
  <c r="W78" i="12"/>
  <c r="T79" i="12"/>
  <c r="N83" i="12"/>
  <c r="W83" i="12"/>
  <c r="J91" i="12"/>
  <c r="D102" i="12"/>
  <c r="C102" i="12" s="1"/>
  <c r="K102" i="12" s="1"/>
  <c r="AZ16" i="13"/>
  <c r="J92" i="11"/>
  <c r="I13" i="12"/>
  <c r="Q13" i="12" s="1"/>
  <c r="J21" i="12"/>
  <c r="D24" i="12"/>
  <c r="M24" i="12" s="1"/>
  <c r="T26" i="12"/>
  <c r="J29" i="12"/>
  <c r="D30" i="12"/>
  <c r="F31" i="12"/>
  <c r="T37" i="12"/>
  <c r="J39" i="12"/>
  <c r="R52" i="12"/>
  <c r="S52" i="12"/>
  <c r="W73" i="12"/>
  <c r="G74" i="12"/>
  <c r="P74" i="12" s="1"/>
  <c r="Y74" i="12"/>
  <c r="T77" i="12"/>
  <c r="W81" i="12"/>
  <c r="T84" i="12"/>
  <c r="W86" i="12"/>
  <c r="J96" i="12"/>
  <c r="J98" i="12"/>
  <c r="J94" i="11"/>
  <c r="N97" i="11"/>
  <c r="D98" i="11"/>
  <c r="C98" i="11" s="1"/>
  <c r="K98" i="11" s="1"/>
  <c r="D100" i="11"/>
  <c r="J100" i="11"/>
  <c r="E13" i="12"/>
  <c r="T19" i="12"/>
  <c r="J20" i="12"/>
  <c r="D21" i="12"/>
  <c r="C21" i="12" s="1"/>
  <c r="W23" i="12"/>
  <c r="W29" i="12"/>
  <c r="T35" i="12"/>
  <c r="J37" i="12"/>
  <c r="W38" i="12"/>
  <c r="T41" i="12"/>
  <c r="W43" i="12"/>
  <c r="W46" i="12"/>
  <c r="W49" i="12"/>
  <c r="W54" i="12"/>
  <c r="N56" i="12"/>
  <c r="N57" i="12"/>
  <c r="N58" i="12"/>
  <c r="N59" i="12"/>
  <c r="N60" i="12"/>
  <c r="N61" i="12"/>
  <c r="N62" i="12"/>
  <c r="N63" i="12"/>
  <c r="Y52" i="12"/>
  <c r="T71" i="12"/>
  <c r="H74" i="12"/>
  <c r="S74" i="12"/>
  <c r="W77" i="12"/>
  <c r="D78" i="12"/>
  <c r="C78" i="12" s="1"/>
  <c r="T80" i="12"/>
  <c r="W84" i="12"/>
  <c r="D85" i="12"/>
  <c r="C85" i="12" s="1"/>
  <c r="N87" i="12"/>
  <c r="W87" i="12"/>
  <c r="D88" i="12"/>
  <c r="M88" i="12" s="1"/>
  <c r="T88" i="12"/>
  <c r="J99" i="12"/>
  <c r="N105" i="12"/>
  <c r="N88" i="11"/>
  <c r="N33" i="12"/>
  <c r="N64" i="12"/>
  <c r="N66" i="12"/>
  <c r="N68" i="12"/>
  <c r="N70" i="12"/>
  <c r="P15" i="13"/>
  <c r="BC13" i="13"/>
  <c r="AR19" i="13"/>
  <c r="AV19" i="13"/>
  <c r="U20" i="13"/>
  <c r="AR20" i="13"/>
  <c r="AR21" i="13"/>
  <c r="AZ21" i="13"/>
  <c r="BD22" i="13"/>
  <c r="P23" i="13"/>
  <c r="BD25" i="13"/>
  <c r="AZ26" i="13"/>
  <c r="J27" i="13"/>
  <c r="Y27" i="13"/>
  <c r="AF27" i="13"/>
  <c r="AJ28" i="13"/>
  <c r="AV28" i="13"/>
  <c r="J32" i="13"/>
  <c r="F31" i="13"/>
  <c r="AF33" i="13"/>
  <c r="D34" i="13"/>
  <c r="M34" i="13" s="1"/>
  <c r="Y34" i="13"/>
  <c r="AF35" i="13"/>
  <c r="AF37" i="13"/>
  <c r="BD38" i="13"/>
  <c r="N39" i="13"/>
  <c r="U39" i="13"/>
  <c r="BD40" i="13"/>
  <c r="N41" i="13"/>
  <c r="U41" i="13"/>
  <c r="U43" i="13"/>
  <c r="AR44" i="13"/>
  <c r="J45" i="13"/>
  <c r="AR47" i="13"/>
  <c r="J48" i="13"/>
  <c r="Q49" i="13"/>
  <c r="T31" i="13"/>
  <c r="AA31" i="13"/>
  <c r="AE31" i="13"/>
  <c r="AV50" i="13"/>
  <c r="AE52" i="13"/>
  <c r="F52" i="13"/>
  <c r="AF56" i="13"/>
  <c r="Q62" i="13"/>
  <c r="AS74" i="13"/>
  <c r="AN75" i="13"/>
  <c r="AK74" i="13"/>
  <c r="AJ80" i="13"/>
  <c r="Q84" i="13"/>
  <c r="F89" i="13"/>
  <c r="F10" i="13" s="1"/>
  <c r="F9" i="13" s="1"/>
  <c r="AY13" i="13"/>
  <c r="D15" i="13"/>
  <c r="M15" i="13" s="1"/>
  <c r="U15" i="13"/>
  <c r="AV16" i="13"/>
  <c r="Q17" i="13"/>
  <c r="D18" i="13"/>
  <c r="C18" i="13" s="1"/>
  <c r="AJ18" i="13"/>
  <c r="N19" i="13"/>
  <c r="AZ20" i="13"/>
  <c r="D22" i="13"/>
  <c r="AJ22" i="13"/>
  <c r="U23" i="13"/>
  <c r="N24" i="13"/>
  <c r="D27" i="13"/>
  <c r="U28" i="13"/>
  <c r="J29" i="13"/>
  <c r="J30" i="13"/>
  <c r="Y30" i="13"/>
  <c r="P32" i="13"/>
  <c r="AF32" i="13"/>
  <c r="AF34" i="13"/>
  <c r="BD35" i="13"/>
  <c r="N36" i="13"/>
  <c r="U36" i="13"/>
  <c r="N38" i="13"/>
  <c r="U38" i="13"/>
  <c r="U40" i="13"/>
  <c r="J42" i="13"/>
  <c r="J44" i="13"/>
  <c r="Y45" i="13"/>
  <c r="J46" i="13"/>
  <c r="J47" i="13"/>
  <c r="Y48" i="13"/>
  <c r="J49" i="13"/>
  <c r="U50" i="13"/>
  <c r="AU52" i="13"/>
  <c r="AV72" i="13"/>
  <c r="N85" i="13"/>
  <c r="J11" i="13"/>
  <c r="Y14" i="13"/>
  <c r="AF14" i="13"/>
  <c r="AR16" i="13"/>
  <c r="J17" i="13"/>
  <c r="AN17" i="13"/>
  <c r="BB13" i="13"/>
  <c r="AR22" i="13"/>
  <c r="AZ23" i="13"/>
  <c r="AN24" i="13"/>
  <c r="AR25" i="13"/>
  <c r="J26" i="13"/>
  <c r="AF29" i="13"/>
  <c r="D30" i="13"/>
  <c r="C30" i="13" s="1"/>
  <c r="AF30" i="13"/>
  <c r="BD32" i="13"/>
  <c r="BD34" i="13"/>
  <c r="AR38" i="13"/>
  <c r="J39" i="13"/>
  <c r="AR40" i="13"/>
  <c r="J41" i="13"/>
  <c r="Y42" i="13"/>
  <c r="J43" i="13"/>
  <c r="D44" i="13"/>
  <c r="M44" i="13" s="1"/>
  <c r="AF45" i="13"/>
  <c r="Y46" i="13"/>
  <c r="D47" i="13"/>
  <c r="C47" i="13" s="1"/>
  <c r="AF48" i="13"/>
  <c r="AC50" i="13"/>
  <c r="O52" i="13"/>
  <c r="AF76" i="13"/>
  <c r="BD85" i="13"/>
  <c r="S13" i="13"/>
  <c r="P75" i="13"/>
  <c r="O74" i="13"/>
  <c r="Q79" i="13"/>
  <c r="P14" i="13"/>
  <c r="X13" i="13"/>
  <c r="AJ14" i="13"/>
  <c r="AV15" i="13"/>
  <c r="D19" i="13"/>
  <c r="C19" i="13" s="1"/>
  <c r="Y19" i="13"/>
  <c r="AF19" i="13"/>
  <c r="AF20" i="13"/>
  <c r="P21" i="13"/>
  <c r="W13" i="13"/>
  <c r="J24" i="13"/>
  <c r="AV24" i="13"/>
  <c r="D26" i="13"/>
  <c r="C26" i="13" s="1"/>
  <c r="AC27" i="13"/>
  <c r="AJ27" i="13"/>
  <c r="AF28" i="13"/>
  <c r="BA31" i="13"/>
  <c r="AR32" i="13"/>
  <c r="J33" i="13"/>
  <c r="AR34" i="13"/>
  <c r="J35" i="13"/>
  <c r="AJ35" i="13"/>
  <c r="J37" i="13"/>
  <c r="AJ37" i="13"/>
  <c r="D38" i="13"/>
  <c r="C38" i="13" s="1"/>
  <c r="AF39" i="13"/>
  <c r="D40" i="13"/>
  <c r="C40" i="13" s="1"/>
  <c r="Y40" i="13"/>
  <c r="AF41" i="13"/>
  <c r="AF43" i="13"/>
  <c r="BD44" i="13"/>
  <c r="N45" i="13"/>
  <c r="U45" i="13"/>
  <c r="BD47" i="13"/>
  <c r="N48" i="13"/>
  <c r="U48" i="13"/>
  <c r="AM31" i="13"/>
  <c r="Q50" i="13"/>
  <c r="AX31" i="13"/>
  <c r="D51" i="13"/>
  <c r="M51" i="13" s="1"/>
  <c r="AF51" i="13"/>
  <c r="AF55" i="13"/>
  <c r="AB52" i="13"/>
  <c r="AH52" i="13"/>
  <c r="F74" i="13"/>
  <c r="AJ77" i="13"/>
  <c r="AG74" i="13"/>
  <c r="J80" i="13"/>
  <c r="L74" i="13"/>
  <c r="AF83" i="13"/>
  <c r="P84" i="13"/>
  <c r="D14" i="13"/>
  <c r="U14" i="13"/>
  <c r="P17" i="13"/>
  <c r="N21" i="13"/>
  <c r="AV23" i="13"/>
  <c r="P26" i="13"/>
  <c r="U26" i="13"/>
  <c r="P28" i="13"/>
  <c r="L31" i="13"/>
  <c r="AJ32" i="13"/>
  <c r="AP31" i="13"/>
  <c r="AJ34" i="13"/>
  <c r="N42" i="13"/>
  <c r="U42" i="13"/>
  <c r="N44" i="13"/>
  <c r="U44" i="13"/>
  <c r="AV44" i="13"/>
  <c r="U46" i="13"/>
  <c r="N47" i="13"/>
  <c r="U47" i="13"/>
  <c r="AV47" i="13"/>
  <c r="AV69" i="13"/>
  <c r="AY74" i="13"/>
  <c r="P79" i="13"/>
  <c r="AV81" i="13"/>
  <c r="Q88" i="13"/>
  <c r="N53" i="13"/>
  <c r="P54" i="13"/>
  <c r="U54" i="13"/>
  <c r="P55" i="13"/>
  <c r="J57" i="13"/>
  <c r="AZ57" i="13"/>
  <c r="Y58" i="13"/>
  <c r="AF58" i="13"/>
  <c r="N59" i="13"/>
  <c r="Q63" i="13"/>
  <c r="AC65" i="13"/>
  <c r="AZ65" i="13"/>
  <c r="D66" i="13"/>
  <c r="C66" i="13" s="1"/>
  <c r="BD66" i="13"/>
  <c r="N67" i="13"/>
  <c r="AC67" i="13"/>
  <c r="AZ67" i="13"/>
  <c r="D68" i="13"/>
  <c r="C68" i="13" s="1"/>
  <c r="J70" i="13"/>
  <c r="D71" i="13"/>
  <c r="M71" i="13" s="1"/>
  <c r="AR72" i="13"/>
  <c r="J73" i="13"/>
  <c r="I74" i="13"/>
  <c r="AW74" i="13"/>
  <c r="AN76" i="13"/>
  <c r="N78" i="13"/>
  <c r="AC78" i="13"/>
  <c r="AZ79" i="13"/>
  <c r="D80" i="13"/>
  <c r="M80" i="13" s="1"/>
  <c r="Y80" i="13"/>
  <c r="J81" i="13"/>
  <c r="AC82" i="13"/>
  <c r="AN83" i="13"/>
  <c r="D84" i="13"/>
  <c r="C84" i="13" s="1"/>
  <c r="AZ84" i="13"/>
  <c r="AZ88" i="13"/>
  <c r="J95" i="13"/>
  <c r="J98" i="13"/>
  <c r="J101" i="13"/>
  <c r="D107" i="13"/>
  <c r="J108" i="13"/>
  <c r="J111" i="13"/>
  <c r="AC54" i="13"/>
  <c r="AC56" i="13"/>
  <c r="AR56" i="13"/>
  <c r="AJ57" i="13"/>
  <c r="AV58" i="13"/>
  <c r="P62" i="13"/>
  <c r="U62" i="13"/>
  <c r="J63" i="13"/>
  <c r="AN63" i="13"/>
  <c r="P64" i="13"/>
  <c r="Q65" i="13"/>
  <c r="U66" i="13"/>
  <c r="U68" i="13"/>
  <c r="P71" i="13"/>
  <c r="AT74" i="13"/>
  <c r="BB74" i="13"/>
  <c r="J86" i="13"/>
  <c r="AN88" i="13"/>
  <c r="N94" i="13"/>
  <c r="N110" i="13"/>
  <c r="D114" i="13"/>
  <c r="C114" i="13" s="1"/>
  <c r="K114" i="13" s="1"/>
  <c r="J53" i="13"/>
  <c r="T52" i="13"/>
  <c r="Y57" i="13"/>
  <c r="AA52" i="13"/>
  <c r="AR62" i="13"/>
  <c r="AZ62" i="13"/>
  <c r="J65" i="13"/>
  <c r="AF65" i="13"/>
  <c r="AN65" i="13"/>
  <c r="J67" i="13"/>
  <c r="AF67" i="13"/>
  <c r="AN67" i="13"/>
  <c r="D70" i="13"/>
  <c r="M70" i="13" s="1"/>
  <c r="D73" i="13"/>
  <c r="C73" i="13" s="1"/>
  <c r="J75" i="13"/>
  <c r="AP74" i="13"/>
  <c r="J78" i="13"/>
  <c r="AC79" i="13"/>
  <c r="AN80" i="13"/>
  <c r="D81" i="13"/>
  <c r="C81" i="13" s="1"/>
  <c r="AZ81" i="13"/>
  <c r="AC84" i="13"/>
  <c r="Y86" i="13"/>
  <c r="J87" i="13"/>
  <c r="J90" i="13"/>
  <c r="D99" i="13"/>
  <c r="C99" i="13" s="1"/>
  <c r="D102" i="13"/>
  <c r="C102" i="13" s="1"/>
  <c r="K102" i="13" s="1"/>
  <c r="D105" i="13"/>
  <c r="C105" i="13" s="1"/>
  <c r="J106" i="13"/>
  <c r="D108" i="13"/>
  <c r="C108" i="13" s="1"/>
  <c r="K108" i="13" s="1"/>
  <c r="D115" i="13"/>
  <c r="M115" i="13" s="1"/>
  <c r="J116" i="13"/>
  <c r="AQ31" i="13"/>
  <c r="J54" i="13"/>
  <c r="N56" i="13"/>
  <c r="AJ56" i="13"/>
  <c r="P57" i="13"/>
  <c r="N58" i="13"/>
  <c r="N60" i="13"/>
  <c r="I52" i="13"/>
  <c r="U63" i="13"/>
  <c r="Q64" i="13"/>
  <c r="U70" i="13"/>
  <c r="Q71" i="13"/>
  <c r="P73" i="13"/>
  <c r="AB74" i="13"/>
  <c r="AH74" i="13"/>
  <c r="W74" i="13"/>
  <c r="J79" i="13"/>
  <c r="N80" i="13"/>
  <c r="U80" i="13"/>
  <c r="J88" i="13"/>
  <c r="J91" i="13"/>
  <c r="N95" i="13"/>
  <c r="N98" i="13"/>
  <c r="N101" i="13"/>
  <c r="N104" i="13"/>
  <c r="AN51" i="13"/>
  <c r="X52" i="13"/>
  <c r="AX52" i="13"/>
  <c r="D54" i="13"/>
  <c r="M54" i="13" s="1"/>
  <c r="AN54" i="13"/>
  <c r="D55" i="13"/>
  <c r="AJ58" i="13"/>
  <c r="AF59" i="13"/>
  <c r="D61" i="13"/>
  <c r="M61" i="13" s="1"/>
  <c r="AY52" i="13"/>
  <c r="P63" i="13"/>
  <c r="AR63" i="13"/>
  <c r="J64" i="13"/>
  <c r="D69" i="13"/>
  <c r="BD69" i="13"/>
  <c r="AR70" i="13"/>
  <c r="J71" i="13"/>
  <c r="D72" i="13"/>
  <c r="AX74" i="13"/>
  <c r="X74" i="13"/>
  <c r="AZ78" i="13"/>
  <c r="D79" i="13"/>
  <c r="M79" i="13" s="1"/>
  <c r="AC81" i="13"/>
  <c r="AZ82" i="13"/>
  <c r="Y83" i="13"/>
  <c r="J84" i="13"/>
  <c r="AC85" i="13"/>
  <c r="AN86" i="13"/>
  <c r="D87" i="13"/>
  <c r="C87" i="13" s="1"/>
  <c r="AZ87" i="13"/>
  <c r="D91" i="13"/>
  <c r="C91" i="13" s="1"/>
  <c r="D93" i="13"/>
  <c r="D94" i="13"/>
  <c r="D106" i="13"/>
  <c r="J113" i="13"/>
  <c r="D116" i="13"/>
  <c r="C116" i="13" s="1"/>
  <c r="K116" i="13" s="1"/>
  <c r="M38" i="1"/>
  <c r="M24" i="2"/>
  <c r="C27" i="1"/>
  <c r="C26" i="1"/>
  <c r="K26" i="1" s="1"/>
  <c r="M26" i="1"/>
  <c r="G13" i="1"/>
  <c r="G52" i="1"/>
  <c r="P52" i="1" s="1"/>
  <c r="Z53" i="2"/>
  <c r="V52" i="2"/>
  <c r="D14" i="3"/>
  <c r="E13" i="3"/>
  <c r="G13" i="4"/>
  <c r="P14" i="4"/>
  <c r="N19" i="1"/>
  <c r="N20" i="1"/>
  <c r="AL13" i="2"/>
  <c r="AX13" i="2"/>
  <c r="X14" i="2"/>
  <c r="R31" i="2"/>
  <c r="J32" i="2"/>
  <c r="S31" i="2"/>
  <c r="Y31" i="2"/>
  <c r="AE31" i="2"/>
  <c r="AK31" i="2"/>
  <c r="AS31" i="2"/>
  <c r="AQ34" i="2"/>
  <c r="N49" i="2"/>
  <c r="I52" i="2"/>
  <c r="Q52" i="2" s="1"/>
  <c r="Q53" i="2"/>
  <c r="AQ53" i="2"/>
  <c r="AM52" i="2"/>
  <c r="T76" i="2"/>
  <c r="R74" i="2"/>
  <c r="N104" i="2"/>
  <c r="H13" i="3"/>
  <c r="J50" i="3"/>
  <c r="L31" i="3"/>
  <c r="G89" i="3"/>
  <c r="P95" i="3"/>
  <c r="U14" i="4"/>
  <c r="S13" i="4"/>
  <c r="AD14" i="4"/>
  <c r="AB13" i="4"/>
  <c r="C80" i="2"/>
  <c r="J78" i="3"/>
  <c r="L74" i="3"/>
  <c r="E89" i="1"/>
  <c r="E10" i="1" s="1"/>
  <c r="E9" i="1" s="1"/>
  <c r="N90" i="1"/>
  <c r="J93" i="1"/>
  <c r="I13" i="2"/>
  <c r="AM13" i="2"/>
  <c r="AW14" i="2"/>
  <c r="AO16" i="2"/>
  <c r="T20" i="2"/>
  <c r="Z20" i="2"/>
  <c r="AO20" i="2"/>
  <c r="N25" i="2"/>
  <c r="AL31" i="2"/>
  <c r="AU31" i="2"/>
  <c r="Z32" i="2"/>
  <c r="AO32" i="2"/>
  <c r="AO47" i="2"/>
  <c r="AO50" i="2"/>
  <c r="R52" i="2"/>
  <c r="J53" i="2"/>
  <c r="AB52" i="2"/>
  <c r="AH52" i="2"/>
  <c r="AN52" i="2"/>
  <c r="N55" i="2"/>
  <c r="N64" i="2"/>
  <c r="AO68" i="2"/>
  <c r="H74" i="2"/>
  <c r="AX74" i="2"/>
  <c r="AZ75" i="2"/>
  <c r="AQ76" i="2"/>
  <c r="AW76" i="2"/>
  <c r="AQ85" i="2"/>
  <c r="AW85" i="2"/>
  <c r="J93" i="2"/>
  <c r="J102" i="2"/>
  <c r="G74" i="3"/>
  <c r="P75" i="3"/>
  <c r="J15" i="4"/>
  <c r="T14" i="2"/>
  <c r="AW28" i="2"/>
  <c r="L31" i="2"/>
  <c r="AV31" i="2"/>
  <c r="AA31" i="2"/>
  <c r="AG31" i="2"/>
  <c r="AQ32" i="2"/>
  <c r="AM31" i="2"/>
  <c r="AQ33" i="2"/>
  <c r="N43" i="2"/>
  <c r="U52" i="2"/>
  <c r="X53" i="2"/>
  <c r="AX52" i="2"/>
  <c r="AW55" i="2"/>
  <c r="AR74" i="2"/>
  <c r="J76" i="2"/>
  <c r="L74" i="2"/>
  <c r="AV74" i="2"/>
  <c r="C113" i="2"/>
  <c r="K113" i="2" s="1"/>
  <c r="M113" i="2"/>
  <c r="M28" i="3"/>
  <c r="I31" i="3"/>
  <c r="D50" i="3"/>
  <c r="F31" i="3"/>
  <c r="L52" i="3"/>
  <c r="D56" i="3"/>
  <c r="E52" i="3"/>
  <c r="O13" i="4"/>
  <c r="Q90" i="1"/>
  <c r="L13" i="2"/>
  <c r="AW22" i="2"/>
  <c r="AQ29" i="2"/>
  <c r="AO33" i="2"/>
  <c r="AO41" i="2"/>
  <c r="AQ43" i="2"/>
  <c r="N45" i="2"/>
  <c r="D46" i="2"/>
  <c r="AW46" i="2"/>
  <c r="AW49" i="2"/>
  <c r="G52" i="2"/>
  <c r="P52" i="2" s="1"/>
  <c r="AZ53" i="2"/>
  <c r="AQ58" i="2"/>
  <c r="AW58" i="2"/>
  <c r="AQ70" i="2"/>
  <c r="N75" i="2"/>
  <c r="AF74" i="2"/>
  <c r="AL74" i="2"/>
  <c r="AO75" i="2"/>
  <c r="D76" i="2"/>
  <c r="F74" i="2"/>
  <c r="AD74" i="2"/>
  <c r="AJ74" i="2"/>
  <c r="AQ79" i="2"/>
  <c r="AW79" i="2"/>
  <c r="N82" i="2"/>
  <c r="P90" i="2"/>
  <c r="G89" i="2"/>
  <c r="D32" i="3"/>
  <c r="E31" i="3"/>
  <c r="N104" i="3"/>
  <c r="H11" i="3"/>
  <c r="N11" i="3" s="1"/>
  <c r="P15" i="4"/>
  <c r="N34" i="4"/>
  <c r="H31" i="4"/>
  <c r="M59" i="2"/>
  <c r="G13" i="2"/>
  <c r="AO26" i="2"/>
  <c r="I31" i="2"/>
  <c r="Q31" i="2" s="1"/>
  <c r="Q32" i="2"/>
  <c r="X32" i="2"/>
  <c r="AY31" i="2"/>
  <c r="AO35" i="2"/>
  <c r="D43" i="2"/>
  <c r="AW43" i="2"/>
  <c r="L52" i="2"/>
  <c r="AF52" i="2"/>
  <c r="AL52" i="2"/>
  <c r="AT52" i="2"/>
  <c r="N61" i="2"/>
  <c r="V74" i="2"/>
  <c r="AW82" i="2"/>
  <c r="J99" i="2"/>
  <c r="D78" i="3"/>
  <c r="F74" i="3"/>
  <c r="D91" i="3"/>
  <c r="E89" i="3"/>
  <c r="E10" i="3" s="1"/>
  <c r="E9" i="3" s="1"/>
  <c r="J33" i="4"/>
  <c r="L31" i="4"/>
  <c r="AO53" i="2"/>
  <c r="E89" i="2"/>
  <c r="E10" i="2" s="1"/>
  <c r="E9" i="2" s="1"/>
  <c r="O13" i="3"/>
  <c r="O31" i="3"/>
  <c r="H52" i="3"/>
  <c r="N52" i="3" s="1"/>
  <c r="D107" i="3"/>
  <c r="J107" i="3"/>
  <c r="D108" i="3"/>
  <c r="J108" i="3"/>
  <c r="N15" i="4"/>
  <c r="X17" i="4"/>
  <c r="J22" i="4"/>
  <c r="G31" i="4"/>
  <c r="X32" i="4"/>
  <c r="V31" i="4"/>
  <c r="H52" i="2"/>
  <c r="I74" i="3"/>
  <c r="O74" i="3"/>
  <c r="D90" i="3"/>
  <c r="J105" i="3"/>
  <c r="J106" i="3"/>
  <c r="X14" i="4"/>
  <c r="V13" i="4"/>
  <c r="Q15" i="4"/>
  <c r="D33" i="4"/>
  <c r="F31" i="4"/>
  <c r="J34" i="4"/>
  <c r="I52" i="3"/>
  <c r="O52" i="3"/>
  <c r="E74" i="3"/>
  <c r="J75" i="3"/>
  <c r="J104" i="3"/>
  <c r="D115" i="3"/>
  <c r="J115" i="3"/>
  <c r="D116" i="3"/>
  <c r="J116" i="3"/>
  <c r="E13" i="4"/>
  <c r="AA17" i="4"/>
  <c r="J25" i="4"/>
  <c r="N30" i="4"/>
  <c r="M29" i="6"/>
  <c r="C29" i="6"/>
  <c r="Q75" i="3"/>
  <c r="L89" i="3"/>
  <c r="J113" i="3"/>
  <c r="J114" i="3"/>
  <c r="AA14" i="4"/>
  <c r="Y13" i="4"/>
  <c r="J16" i="4"/>
  <c r="D32" i="4"/>
  <c r="J37" i="4"/>
  <c r="G13" i="3"/>
  <c r="G31" i="3"/>
  <c r="O89" i="3"/>
  <c r="O10" i="3" s="1"/>
  <c r="O9" i="3" s="1"/>
  <c r="D111" i="3"/>
  <c r="D112" i="3"/>
  <c r="U17" i="4"/>
  <c r="AD17" i="4"/>
  <c r="N18" i="4"/>
  <c r="AD32" i="4"/>
  <c r="AB31" i="4"/>
  <c r="N90" i="4"/>
  <c r="J93" i="4"/>
  <c r="H89" i="5"/>
  <c r="P32" i="6"/>
  <c r="G31" i="6"/>
  <c r="P31" i="6" s="1"/>
  <c r="J53" i="6"/>
  <c r="L52" i="6"/>
  <c r="E89" i="6"/>
  <c r="E10" i="6" s="1"/>
  <c r="E9" i="6" s="1"/>
  <c r="O89" i="6"/>
  <c r="O10" i="6" s="1"/>
  <c r="O9" i="6" s="1"/>
  <c r="P113" i="6"/>
  <c r="BV13" i="7"/>
  <c r="E13" i="7"/>
  <c r="Q16" i="7"/>
  <c r="I13" i="7"/>
  <c r="CJ20" i="7"/>
  <c r="CH13" i="7"/>
  <c r="AW63" i="7"/>
  <c r="AU52" i="7"/>
  <c r="G74" i="7"/>
  <c r="P74" i="7" s="1"/>
  <c r="P76" i="7"/>
  <c r="V52" i="4"/>
  <c r="AB52" i="4"/>
  <c r="F74" i="4"/>
  <c r="L74" i="4"/>
  <c r="Q93" i="4"/>
  <c r="S13" i="6"/>
  <c r="I31" i="6"/>
  <c r="Q31" i="6" s="1"/>
  <c r="U31" i="6"/>
  <c r="W31" i="6" s="1"/>
  <c r="N32" i="6"/>
  <c r="S31" i="6"/>
  <c r="J34" i="6"/>
  <c r="N35" i="6"/>
  <c r="D38" i="6"/>
  <c r="J54" i="6"/>
  <c r="J56" i="6"/>
  <c r="J58" i="6"/>
  <c r="J60" i="6"/>
  <c r="C62" i="6"/>
  <c r="J62" i="6"/>
  <c r="J64" i="6"/>
  <c r="J66" i="6"/>
  <c r="J68" i="6"/>
  <c r="J70" i="6"/>
  <c r="J72" i="6"/>
  <c r="U74" i="6"/>
  <c r="W74" i="6" s="1"/>
  <c r="J75" i="6"/>
  <c r="L74" i="6"/>
  <c r="J101" i="6"/>
  <c r="N14" i="7"/>
  <c r="CC13" i="7"/>
  <c r="CI13" i="7"/>
  <c r="CO13" i="7"/>
  <c r="AY31" i="7"/>
  <c r="AZ57" i="7"/>
  <c r="AX52" i="7"/>
  <c r="E52" i="4"/>
  <c r="G74" i="4"/>
  <c r="S74" i="4"/>
  <c r="Y74" i="4"/>
  <c r="G89" i="4"/>
  <c r="E13" i="6"/>
  <c r="D14" i="6"/>
  <c r="D53" i="6"/>
  <c r="F52" i="6"/>
  <c r="BX15" i="7"/>
  <c r="BW13" i="7"/>
  <c r="BG52" i="7"/>
  <c r="BI54" i="7"/>
  <c r="F52" i="4"/>
  <c r="L52" i="4"/>
  <c r="H74" i="4"/>
  <c r="J93" i="5"/>
  <c r="D98" i="5"/>
  <c r="J98" i="5"/>
  <c r="R13" i="6"/>
  <c r="T16" i="6"/>
  <c r="T20" i="6"/>
  <c r="T24" i="6"/>
  <c r="T28" i="6"/>
  <c r="L31" i="6"/>
  <c r="J32" i="6"/>
  <c r="N33" i="6"/>
  <c r="N36" i="6"/>
  <c r="N37" i="6"/>
  <c r="N39" i="6"/>
  <c r="N41" i="6"/>
  <c r="N43" i="6"/>
  <c r="N45" i="6"/>
  <c r="N49" i="6"/>
  <c r="N51" i="6"/>
  <c r="I52" i="6"/>
  <c r="Q52" i="6" s="1"/>
  <c r="R52" i="6"/>
  <c r="T53" i="6"/>
  <c r="D75" i="6"/>
  <c r="F74" i="6"/>
  <c r="J92" i="6"/>
  <c r="P107" i="6"/>
  <c r="BQ13" i="7"/>
  <c r="BR15" i="7"/>
  <c r="AI16" i="7"/>
  <c r="AG13" i="7"/>
  <c r="BS13" i="7"/>
  <c r="BU17" i="7"/>
  <c r="BT13" i="7"/>
  <c r="BU18" i="7"/>
  <c r="J22" i="7"/>
  <c r="L13" i="7"/>
  <c r="AR31" i="7"/>
  <c r="AT32" i="7"/>
  <c r="BJ31" i="7"/>
  <c r="BL32" i="7"/>
  <c r="CB31" i="7"/>
  <c r="CD32" i="7"/>
  <c r="J34" i="7"/>
  <c r="L31" i="7"/>
  <c r="AD31" i="7"/>
  <c r="AF34" i="7"/>
  <c r="BB52" i="7"/>
  <c r="BC53" i="7"/>
  <c r="S31" i="4"/>
  <c r="Y31" i="4"/>
  <c r="S52" i="4"/>
  <c r="Y52" i="4"/>
  <c r="I74" i="4"/>
  <c r="M112" i="5"/>
  <c r="P14" i="6"/>
  <c r="G13" i="6"/>
  <c r="W14" i="6"/>
  <c r="N38" i="6"/>
  <c r="N55" i="6"/>
  <c r="N57" i="6"/>
  <c r="N61" i="6"/>
  <c r="N63" i="6"/>
  <c r="N65" i="6"/>
  <c r="N67" i="6"/>
  <c r="N69" i="6"/>
  <c r="N71" i="6"/>
  <c r="R74" i="6"/>
  <c r="T75" i="6"/>
  <c r="I89" i="6"/>
  <c r="Q90" i="6"/>
  <c r="P109" i="6"/>
  <c r="BI14" i="7"/>
  <c r="BG13" i="7"/>
  <c r="BE13" i="7"/>
  <c r="BK13" i="7"/>
  <c r="BL15" i="7"/>
  <c r="X16" i="7"/>
  <c r="Z13" i="7"/>
  <c r="BZ13" i="7"/>
  <c r="AZ20" i="7"/>
  <c r="AX13" i="7"/>
  <c r="F52" i="7"/>
  <c r="D53" i="7"/>
  <c r="G89" i="5"/>
  <c r="L13" i="6"/>
  <c r="N14" i="6"/>
  <c r="N18" i="6"/>
  <c r="N22" i="6"/>
  <c r="W25" i="6"/>
  <c r="N26" i="6"/>
  <c r="D28" i="6"/>
  <c r="W29" i="6"/>
  <c r="N30" i="6"/>
  <c r="T30" i="6"/>
  <c r="W33" i="6"/>
  <c r="J37" i="6"/>
  <c r="J90" i="6"/>
  <c r="J95" i="6"/>
  <c r="P111" i="6"/>
  <c r="AJ13" i="7"/>
  <c r="D32" i="6"/>
  <c r="G89" i="6"/>
  <c r="D90" i="6"/>
  <c r="U13" i="7"/>
  <c r="AD13" i="7"/>
  <c r="AM13" i="7"/>
  <c r="AB13" i="7"/>
  <c r="AH13" i="7"/>
  <c r="AN13" i="7"/>
  <c r="W15" i="7"/>
  <c r="AF15" i="7"/>
  <c r="AO15" i="7"/>
  <c r="J16" i="7"/>
  <c r="AZ16" i="7"/>
  <c r="BI16" i="7"/>
  <c r="BR16" i="7"/>
  <c r="CA16" i="7"/>
  <c r="CJ16" i="7"/>
  <c r="X17" i="7"/>
  <c r="T18" i="7"/>
  <c r="BL19" i="7"/>
  <c r="BU19" i="7"/>
  <c r="CD19" i="7"/>
  <c r="CM19" i="7"/>
  <c r="T21" i="7"/>
  <c r="D22" i="7"/>
  <c r="P27" i="7"/>
  <c r="T27" i="7"/>
  <c r="W30" i="7"/>
  <c r="AG31" i="7"/>
  <c r="N32" i="7"/>
  <c r="P33" i="7"/>
  <c r="T33" i="7"/>
  <c r="D34" i="7"/>
  <c r="AV31" i="7"/>
  <c r="BN31" i="7"/>
  <c r="AW35" i="7"/>
  <c r="AU31" i="7"/>
  <c r="BO35" i="7"/>
  <c r="BM31" i="7"/>
  <c r="CG35" i="7"/>
  <c r="CE31" i="7"/>
  <c r="BR39" i="7"/>
  <c r="D45" i="7"/>
  <c r="AT46" i="7"/>
  <c r="BL46" i="7"/>
  <c r="AL47" i="7"/>
  <c r="CD51" i="7"/>
  <c r="AN52" i="7"/>
  <c r="AE52" i="7"/>
  <c r="BT52" i="7"/>
  <c r="BU53" i="7"/>
  <c r="CC52" i="7"/>
  <c r="CL52" i="7"/>
  <c r="CM53" i="7"/>
  <c r="AT54" i="7"/>
  <c r="AR52" i="7"/>
  <c r="N57" i="7"/>
  <c r="CO52" i="7"/>
  <c r="AM52" i="7"/>
  <c r="AO58" i="7"/>
  <c r="BF58" i="7"/>
  <c r="W63" i="7"/>
  <c r="AF65" i="7"/>
  <c r="N53" i="6"/>
  <c r="N75" i="6"/>
  <c r="AH31" i="7"/>
  <c r="BD31" i="7"/>
  <c r="BF32" i="7"/>
  <c r="BV31" i="7"/>
  <c r="BX32" i="7"/>
  <c r="CN31" i="7"/>
  <c r="AP31" i="7"/>
  <c r="D35" i="7"/>
  <c r="E31" i="7"/>
  <c r="AV52" i="7"/>
  <c r="AW53" i="7"/>
  <c r="AB52" i="7"/>
  <c r="AC55" i="7"/>
  <c r="CJ57" i="7"/>
  <c r="CH52" i="7"/>
  <c r="BO62" i="7"/>
  <c r="BM52" i="7"/>
  <c r="BE74" i="7"/>
  <c r="W14" i="7"/>
  <c r="BR25" i="7"/>
  <c r="AF33" i="7"/>
  <c r="R31" i="7"/>
  <c r="T34" i="7"/>
  <c r="BZ31" i="7"/>
  <c r="BI35" i="7"/>
  <c r="BG31" i="7"/>
  <c r="CA35" i="7"/>
  <c r="BY31" i="7"/>
  <c r="W36" i="7"/>
  <c r="BF46" i="7"/>
  <c r="AH52" i="7"/>
  <c r="BW52" i="7"/>
  <c r="CF52" i="7"/>
  <c r="CG53" i="7"/>
  <c r="CD54" i="7"/>
  <c r="CB52" i="7"/>
  <c r="BU57" i="7"/>
  <c r="BS52" i="7"/>
  <c r="AZ58" i="7"/>
  <c r="BR58" i="7"/>
  <c r="J59" i="7"/>
  <c r="BR63" i="7"/>
  <c r="L74" i="7"/>
  <c r="R13" i="7"/>
  <c r="AR13" i="7"/>
  <c r="BJ13" i="7"/>
  <c r="CB13" i="7"/>
  <c r="X14" i="7"/>
  <c r="Y13" i="7"/>
  <c r="AE13" i="7"/>
  <c r="AK13" i="7"/>
  <c r="AQ13" i="7"/>
  <c r="AL16" i="7"/>
  <c r="N22" i="7"/>
  <c r="AX31" i="7"/>
  <c r="AZ32" i="7"/>
  <c r="BP31" i="7"/>
  <c r="BR32" i="7"/>
  <c r="CH31" i="7"/>
  <c r="CJ32" i="7"/>
  <c r="N34" i="7"/>
  <c r="AJ31" i="7"/>
  <c r="AL34" i="7"/>
  <c r="N45" i="7"/>
  <c r="AC53" i="7"/>
  <c r="AA52" i="7"/>
  <c r="BH52" i="7"/>
  <c r="BI53" i="7"/>
  <c r="V52" i="7"/>
  <c r="W55" i="7"/>
  <c r="O52" i="7"/>
  <c r="P65" i="7"/>
  <c r="G52" i="7"/>
  <c r="P52" i="7" s="1"/>
  <c r="X76" i="7"/>
  <c r="Y74" i="7"/>
  <c r="AN74" i="7"/>
  <c r="AI77" i="7"/>
  <c r="AG74" i="7"/>
  <c r="T15" i="7"/>
  <c r="AC15" i="7"/>
  <c r="AW16" i="7"/>
  <c r="BF16" i="7"/>
  <c r="D19" i="7"/>
  <c r="J19" i="7"/>
  <c r="BI19" i="7"/>
  <c r="BR19" i="7"/>
  <c r="CA19" i="7"/>
  <c r="CJ19" i="7"/>
  <c r="BL25" i="7"/>
  <c r="D28" i="7"/>
  <c r="U31" i="7"/>
  <c r="X32" i="7"/>
  <c r="AE31" i="7"/>
  <c r="AK31" i="7"/>
  <c r="AQ31" i="7"/>
  <c r="CL31" i="7"/>
  <c r="BC35" i="7"/>
  <c r="BA31" i="7"/>
  <c r="BU35" i="7"/>
  <c r="BS31" i="7"/>
  <c r="CM35" i="7"/>
  <c r="CK31" i="7"/>
  <c r="P38" i="7"/>
  <c r="AI38" i="7"/>
  <c r="AZ46" i="7"/>
  <c r="BR46" i="7"/>
  <c r="J47" i="7"/>
  <c r="AT51" i="7"/>
  <c r="BJ52" i="7"/>
  <c r="BZ52" i="7"/>
  <c r="CA53" i="7"/>
  <c r="BE52" i="7"/>
  <c r="H52" i="7"/>
  <c r="AT58" i="7"/>
  <c r="BL58" i="7"/>
  <c r="N38" i="7"/>
  <c r="W41" i="7"/>
  <c r="AF44" i="7"/>
  <c r="BL48" i="7"/>
  <c r="BC51" i="7"/>
  <c r="CM51" i="7"/>
  <c r="BD52" i="7"/>
  <c r="BY52" i="7"/>
  <c r="W53" i="7"/>
  <c r="AJ52" i="7"/>
  <c r="AF56" i="7"/>
  <c r="BO57" i="7"/>
  <c r="BL60" i="7"/>
  <c r="BI62" i="7"/>
  <c r="W64" i="7"/>
  <c r="BR65" i="7"/>
  <c r="AO70" i="7"/>
  <c r="J71" i="7"/>
  <c r="AD74" i="7"/>
  <c r="AU74" i="7"/>
  <c r="AW75" i="7"/>
  <c r="BF75" i="7"/>
  <c r="BD74" i="7"/>
  <c r="BM74" i="7"/>
  <c r="BO75" i="7"/>
  <c r="BX75" i="7"/>
  <c r="BV74" i="7"/>
  <c r="CE74" i="7"/>
  <c r="CG74" i="7" s="1"/>
  <c r="CG75" i="7"/>
  <c r="CN74" i="7"/>
  <c r="AH74" i="7"/>
  <c r="C91" i="7"/>
  <c r="K91" i="7" s="1"/>
  <c r="AO47" i="7"/>
  <c r="BF48" i="7"/>
  <c r="AW51" i="7"/>
  <c r="AD52" i="7"/>
  <c r="BR54" i="7"/>
  <c r="T56" i="7"/>
  <c r="BI57" i="7"/>
  <c r="AO59" i="7"/>
  <c r="N61" i="7"/>
  <c r="BL65" i="7"/>
  <c r="AI70" i="7"/>
  <c r="J48" i="7"/>
  <c r="J60" i="7"/>
  <c r="J65" i="7"/>
  <c r="AZ75" i="7"/>
  <c r="AX74" i="7"/>
  <c r="BG74" i="7"/>
  <c r="BI75" i="7"/>
  <c r="BR75" i="7"/>
  <c r="BP74" i="7"/>
  <c r="BY74" i="7"/>
  <c r="CA75" i="7"/>
  <c r="CJ75" i="7"/>
  <c r="CH74" i="7"/>
  <c r="T76" i="7"/>
  <c r="S74" i="7"/>
  <c r="Y31" i="7"/>
  <c r="BR36" i="7"/>
  <c r="T38" i="7"/>
  <c r="BI39" i="7"/>
  <c r="AO41" i="7"/>
  <c r="CG45" i="7"/>
  <c r="X46" i="7"/>
  <c r="AC47" i="7"/>
  <c r="AT48" i="7"/>
  <c r="BU51" i="7"/>
  <c r="I52" i="7"/>
  <c r="Q52" i="7" s="1"/>
  <c r="BV52" i="7"/>
  <c r="R52" i="7"/>
  <c r="AF53" i="7"/>
  <c r="AO53" i="7"/>
  <c r="BR53" i="7"/>
  <c r="BF54" i="7"/>
  <c r="X58" i="7"/>
  <c r="AC59" i="7"/>
  <c r="CD60" i="7"/>
  <c r="AF61" i="7"/>
  <c r="BI68" i="7"/>
  <c r="AC70" i="7"/>
  <c r="U74" i="7"/>
  <c r="W76" i="7"/>
  <c r="N86" i="7"/>
  <c r="AI41" i="7"/>
  <c r="D42" i="7"/>
  <c r="J42" i="7"/>
  <c r="N44" i="7"/>
  <c r="CA45" i="7"/>
  <c r="W47" i="7"/>
  <c r="BX48" i="7"/>
  <c r="AF50" i="7"/>
  <c r="L52" i="7"/>
  <c r="AI53" i="7"/>
  <c r="D54" i="7"/>
  <c r="J54" i="7"/>
  <c r="AZ54" i="7"/>
  <c r="CJ54" i="7"/>
  <c r="N56" i="7"/>
  <c r="W59" i="7"/>
  <c r="T61" i="7"/>
  <c r="N62" i="7"/>
  <c r="BU62" i="7"/>
  <c r="N65" i="7"/>
  <c r="D66" i="7"/>
  <c r="AF67" i="7"/>
  <c r="J68" i="7"/>
  <c r="BR71" i="7"/>
  <c r="T73" i="7"/>
  <c r="D75" i="7"/>
  <c r="E74" i="7"/>
  <c r="Z74" i="7"/>
  <c r="X75" i="7"/>
  <c r="AT75" i="7"/>
  <c r="AR74" i="7"/>
  <c r="BA74" i="7"/>
  <c r="BC74" i="7" s="1"/>
  <c r="BC75" i="7"/>
  <c r="BL75" i="7"/>
  <c r="BJ74" i="7"/>
  <c r="BS74" i="7"/>
  <c r="BU75" i="7"/>
  <c r="CD75" i="7"/>
  <c r="CB74" i="7"/>
  <c r="CK74" i="7"/>
  <c r="CM75" i="7"/>
  <c r="AF76" i="7"/>
  <c r="AE74" i="7"/>
  <c r="AO76" i="7"/>
  <c r="J77" i="7"/>
  <c r="O89" i="7"/>
  <c r="O10" i="7" s="1"/>
  <c r="N80" i="7"/>
  <c r="N83" i="7"/>
  <c r="H89" i="7"/>
  <c r="BR80" i="7"/>
  <c r="T82" i="7"/>
  <c r="AO85" i="7"/>
  <c r="BF86" i="7"/>
  <c r="AF88" i="7"/>
  <c r="D92" i="7"/>
  <c r="J92" i="7"/>
  <c r="J101" i="7"/>
  <c r="M116" i="7"/>
  <c r="T15" i="8"/>
  <c r="E89" i="7"/>
  <c r="E10" i="7" s="1"/>
  <c r="E9" i="7" s="1"/>
  <c r="D90" i="7"/>
  <c r="X84" i="7"/>
  <c r="AT86" i="7"/>
  <c r="T88" i="7"/>
  <c r="L89" i="7"/>
  <c r="J95" i="7"/>
  <c r="J98" i="7"/>
  <c r="T14" i="8"/>
  <c r="D80" i="7"/>
  <c r="N82" i="7"/>
  <c r="W85" i="7"/>
  <c r="P90" i="7"/>
  <c r="G89" i="7"/>
  <c r="D98" i="7"/>
  <c r="H89" i="8"/>
  <c r="D90" i="8"/>
  <c r="N92" i="8"/>
  <c r="W14" i="9"/>
  <c r="V13" i="9"/>
  <c r="J15" i="9"/>
  <c r="O13" i="9"/>
  <c r="J96" i="8"/>
  <c r="J102" i="8"/>
  <c r="AB15" i="9"/>
  <c r="AA13" i="9"/>
  <c r="Z18" i="9"/>
  <c r="AB18" i="9"/>
  <c r="AE19" i="9"/>
  <c r="AG19" i="9"/>
  <c r="S13" i="9"/>
  <c r="N96" i="8"/>
  <c r="Q15" i="9"/>
  <c r="I13" i="9"/>
  <c r="W15" i="9"/>
  <c r="U13" i="9"/>
  <c r="H13" i="9"/>
  <c r="AE14" i="9"/>
  <c r="Z19" i="9"/>
  <c r="AE20" i="9"/>
  <c r="Z25" i="9"/>
  <c r="AE26" i="9"/>
  <c r="H31" i="9"/>
  <c r="AE32" i="9"/>
  <c r="Z37" i="9"/>
  <c r="AE38" i="9"/>
  <c r="Z43" i="9"/>
  <c r="AE44" i="9"/>
  <c r="Z49" i="9"/>
  <c r="AE50" i="9"/>
  <c r="E52" i="9"/>
  <c r="AC52" i="9"/>
  <c r="P53" i="9"/>
  <c r="Z55" i="9"/>
  <c r="AE56" i="9"/>
  <c r="Z61" i="9"/>
  <c r="AE62" i="9"/>
  <c r="Z67" i="9"/>
  <c r="AE68" i="9"/>
  <c r="Y74" i="9"/>
  <c r="AF74" i="9"/>
  <c r="W75" i="9"/>
  <c r="C76" i="9"/>
  <c r="K76" i="9" s="1"/>
  <c r="AB76" i="9"/>
  <c r="AE76" i="9"/>
  <c r="AE77" i="9"/>
  <c r="AB78" i="9"/>
  <c r="J81" i="9"/>
  <c r="D82" i="9"/>
  <c r="AB84" i="9"/>
  <c r="N96" i="9"/>
  <c r="Q14" i="10"/>
  <c r="I13" i="10"/>
  <c r="AB24" i="9"/>
  <c r="AG25" i="9"/>
  <c r="AB30" i="9"/>
  <c r="I31" i="9"/>
  <c r="Q31" i="9" s="1"/>
  <c r="O31" i="9"/>
  <c r="U31" i="9"/>
  <c r="AA31" i="9"/>
  <c r="D36" i="9"/>
  <c r="J36" i="9"/>
  <c r="AB36" i="9"/>
  <c r="AG37" i="9"/>
  <c r="AB42" i="9"/>
  <c r="AG43" i="9"/>
  <c r="AB48" i="9"/>
  <c r="AG49" i="9"/>
  <c r="F52" i="9"/>
  <c r="L52" i="9"/>
  <c r="R52" i="9"/>
  <c r="X52" i="9"/>
  <c r="AB54" i="9"/>
  <c r="AG55" i="9"/>
  <c r="AB60" i="9"/>
  <c r="AG61" i="9"/>
  <c r="AB66" i="9"/>
  <c r="AG67" i="9"/>
  <c r="AB72" i="9"/>
  <c r="AB73" i="9"/>
  <c r="L89" i="9"/>
  <c r="N90" i="9"/>
  <c r="C61" i="10"/>
  <c r="K61" i="10" s="1"/>
  <c r="T15" i="9"/>
  <c r="Z15" i="9"/>
  <c r="AE16" i="9"/>
  <c r="V31" i="9"/>
  <c r="T33" i="9"/>
  <c r="Z33" i="9"/>
  <c r="S52" i="9"/>
  <c r="Y52" i="9"/>
  <c r="E74" i="9"/>
  <c r="X74" i="9"/>
  <c r="D88" i="9"/>
  <c r="O89" i="9"/>
  <c r="O10" i="9" s="1"/>
  <c r="O9" i="9" s="1"/>
  <c r="J14" i="10"/>
  <c r="O13" i="10"/>
  <c r="F13" i="9"/>
  <c r="L13" i="9"/>
  <c r="X13" i="9"/>
  <c r="P15" i="9"/>
  <c r="R31" i="9"/>
  <c r="X31" i="9"/>
  <c r="AD31" i="9"/>
  <c r="I52" i="9"/>
  <c r="Q52" i="9" s="1"/>
  <c r="O52" i="9"/>
  <c r="U52" i="9"/>
  <c r="L74" i="9"/>
  <c r="AG84" i="9"/>
  <c r="Q90" i="9"/>
  <c r="I89" i="9"/>
  <c r="N93" i="9"/>
  <c r="U15" i="10"/>
  <c r="Y15" i="10"/>
  <c r="W15" i="10"/>
  <c r="AB15" i="10"/>
  <c r="AG73" i="9"/>
  <c r="I74" i="9"/>
  <c r="Q74" i="9" s="1"/>
  <c r="F74" i="9"/>
  <c r="T75" i="9"/>
  <c r="Z81" i="9"/>
  <c r="AE82" i="9"/>
  <c r="AG88" i="9"/>
  <c r="G89" i="9"/>
  <c r="J90" i="9"/>
  <c r="AB14" i="10"/>
  <c r="AA13" i="10"/>
  <c r="H13" i="10"/>
  <c r="AB18" i="10"/>
  <c r="AB21" i="10"/>
  <c r="AB24" i="10"/>
  <c r="AB27" i="10"/>
  <c r="AB30" i="10"/>
  <c r="H31" i="10"/>
  <c r="AB33" i="10"/>
  <c r="AB36" i="10"/>
  <c r="AB39" i="10"/>
  <c r="AB42" i="10"/>
  <c r="AB45" i="10"/>
  <c r="AB48" i="10"/>
  <c r="AB51" i="10"/>
  <c r="H52" i="10"/>
  <c r="AB54" i="10"/>
  <c r="AB57" i="10"/>
  <c r="AB60" i="10"/>
  <c r="AB63" i="10"/>
  <c r="W67" i="10"/>
  <c r="Y72" i="10"/>
  <c r="Y73" i="10"/>
  <c r="G74" i="10"/>
  <c r="P74" i="10" s="1"/>
  <c r="N75" i="10"/>
  <c r="U75" i="10"/>
  <c r="AB76" i="10"/>
  <c r="W79" i="10"/>
  <c r="J81" i="10"/>
  <c r="W82" i="10"/>
  <c r="J84" i="10"/>
  <c r="W85" i="10"/>
  <c r="Y88" i="10"/>
  <c r="O89" i="10"/>
  <c r="O10" i="10" s="1"/>
  <c r="O9" i="10" s="1"/>
  <c r="Y14" i="10"/>
  <c r="Y17" i="10"/>
  <c r="W18" i="10"/>
  <c r="Y20" i="10"/>
  <c r="W21" i="10"/>
  <c r="Y23" i="10"/>
  <c r="W24" i="10"/>
  <c r="Y26" i="10"/>
  <c r="W27" i="10"/>
  <c r="Y29" i="10"/>
  <c r="W30" i="10"/>
  <c r="I31" i="10"/>
  <c r="Q31" i="10" s="1"/>
  <c r="O31" i="10"/>
  <c r="Y32" i="10"/>
  <c r="W33" i="10"/>
  <c r="Y35" i="10"/>
  <c r="W36" i="10"/>
  <c r="Y38" i="10"/>
  <c r="W39" i="10"/>
  <c r="Y41" i="10"/>
  <c r="W42" i="10"/>
  <c r="Y44" i="10"/>
  <c r="W45" i="10"/>
  <c r="Y47" i="10"/>
  <c r="W48" i="10"/>
  <c r="Y50" i="10"/>
  <c r="W51" i="10"/>
  <c r="I52" i="10"/>
  <c r="Q52" i="10" s="1"/>
  <c r="O52" i="10"/>
  <c r="Y53" i="10"/>
  <c r="W54" i="10"/>
  <c r="Y56" i="10"/>
  <c r="W57" i="10"/>
  <c r="Y59" i="10"/>
  <c r="W60" i="10"/>
  <c r="Y62" i="10"/>
  <c r="W63" i="10"/>
  <c r="Y65" i="10"/>
  <c r="J68" i="10"/>
  <c r="F74" i="10"/>
  <c r="L89" i="10"/>
  <c r="J90" i="10"/>
  <c r="Y66" i="10"/>
  <c r="Y67" i="10"/>
  <c r="U70" i="10"/>
  <c r="J78" i="10"/>
  <c r="Y78" i="10"/>
  <c r="Y79" i="10"/>
  <c r="Y82" i="10"/>
  <c r="Y85" i="10"/>
  <c r="Y18" i="10"/>
  <c r="Y21" i="10"/>
  <c r="Y24" i="10"/>
  <c r="Y27" i="10"/>
  <c r="Y30" i="10"/>
  <c r="Y33" i="10"/>
  <c r="Y36" i="10"/>
  <c r="Y39" i="10"/>
  <c r="Y45" i="10"/>
  <c r="Y48" i="10"/>
  <c r="Y51" i="10"/>
  <c r="Y54" i="10"/>
  <c r="Y57" i="10"/>
  <c r="Y60" i="10"/>
  <c r="Y63" i="10"/>
  <c r="P53" i="10"/>
  <c r="AB53" i="10"/>
  <c r="AB56" i="10"/>
  <c r="AB59" i="10"/>
  <c r="AB62" i="10"/>
  <c r="AB65" i="10"/>
  <c r="W73" i="10"/>
  <c r="W75" i="10"/>
  <c r="S74" i="10"/>
  <c r="AB87" i="10"/>
  <c r="U87" i="10"/>
  <c r="W87" i="10"/>
  <c r="P90" i="10"/>
  <c r="G89" i="10"/>
  <c r="S13" i="10"/>
  <c r="S31" i="10"/>
  <c r="S52" i="10"/>
  <c r="U66" i="10"/>
  <c r="AB66" i="10"/>
  <c r="AB67" i="10"/>
  <c r="W70" i="10"/>
  <c r="U78" i="10"/>
  <c r="AB78" i="10"/>
  <c r="AB79" i="10"/>
  <c r="AB81" i="10"/>
  <c r="W81" i="10"/>
  <c r="N82" i="10"/>
  <c r="AB82" i="10"/>
  <c r="AB84" i="10"/>
  <c r="W84" i="10"/>
  <c r="AB85" i="10"/>
  <c r="U88" i="10"/>
  <c r="D90" i="10"/>
  <c r="H89" i="10"/>
  <c r="E13" i="11"/>
  <c r="J30" i="11"/>
  <c r="E31" i="11"/>
  <c r="R31" i="11"/>
  <c r="J36" i="11"/>
  <c r="R13" i="11"/>
  <c r="N20" i="11"/>
  <c r="L31" i="11"/>
  <c r="N32" i="11"/>
  <c r="I13" i="11"/>
  <c r="I31" i="11"/>
  <c r="Q31" i="11" s="1"/>
  <c r="H52" i="11"/>
  <c r="G89" i="11"/>
  <c r="D90" i="11"/>
  <c r="J90" i="11"/>
  <c r="D14" i="12"/>
  <c r="P14" i="12"/>
  <c r="L31" i="12"/>
  <c r="J33" i="12"/>
  <c r="N43" i="12"/>
  <c r="N46" i="12"/>
  <c r="J35" i="12"/>
  <c r="I89" i="11"/>
  <c r="O89" i="11"/>
  <c r="O10" i="11" s="1"/>
  <c r="O9" i="11" s="1"/>
  <c r="N48" i="12"/>
  <c r="M39" i="12"/>
  <c r="N14" i="12"/>
  <c r="C22" i="12"/>
  <c r="R31" i="12"/>
  <c r="I52" i="12"/>
  <c r="U52" i="12"/>
  <c r="W63" i="12"/>
  <c r="J64" i="12"/>
  <c r="W65" i="12"/>
  <c r="J66" i="12"/>
  <c r="W67" i="12"/>
  <c r="J68" i="12"/>
  <c r="W69" i="12"/>
  <c r="J70" i="12"/>
  <c r="W72" i="12"/>
  <c r="T87" i="12"/>
  <c r="E89" i="12"/>
  <c r="E10" i="12" s="1"/>
  <c r="E9" i="12" s="1"/>
  <c r="O89" i="12"/>
  <c r="O10" i="12" s="1"/>
  <c r="O9" i="12" s="1"/>
  <c r="D75" i="12"/>
  <c r="F74" i="12"/>
  <c r="C83" i="12"/>
  <c r="T64" i="12"/>
  <c r="T81" i="12"/>
  <c r="T83" i="12"/>
  <c r="T85" i="12"/>
  <c r="D98" i="12"/>
  <c r="G52" i="12"/>
  <c r="T72" i="12"/>
  <c r="T86" i="12"/>
  <c r="I74" i="12"/>
  <c r="Q74" i="12" s="1"/>
  <c r="R74" i="12"/>
  <c r="I89" i="12"/>
  <c r="L89" i="12"/>
  <c r="P16" i="13"/>
  <c r="G13" i="13"/>
  <c r="AR18" i="13"/>
  <c r="AO13" i="13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G89" i="12"/>
  <c r="N95" i="12"/>
  <c r="N14" i="13"/>
  <c r="AR14" i="13"/>
  <c r="N15" i="13"/>
  <c r="AR15" i="13"/>
  <c r="AE13" i="13"/>
  <c r="AT13" i="13"/>
  <c r="AJ17" i="13"/>
  <c r="Q18" i="13"/>
  <c r="AV22" i="13"/>
  <c r="J92" i="12"/>
  <c r="Q14" i="13"/>
  <c r="Q15" i="13"/>
  <c r="AW13" i="13"/>
  <c r="AN20" i="13"/>
  <c r="AK13" i="13"/>
  <c r="AQ13" i="13"/>
  <c r="J90" i="12"/>
  <c r="D92" i="12"/>
  <c r="H89" i="12"/>
  <c r="J95" i="12"/>
  <c r="O13" i="13"/>
  <c r="AA13" i="13"/>
  <c r="J14" i="13"/>
  <c r="J15" i="13"/>
  <c r="V13" i="13"/>
  <c r="AB13" i="13"/>
  <c r="BD21" i="13"/>
  <c r="BA13" i="13"/>
  <c r="D17" i="13"/>
  <c r="E13" i="13"/>
  <c r="J101" i="12"/>
  <c r="P18" i="13"/>
  <c r="AH13" i="13"/>
  <c r="AU13" i="13"/>
  <c r="AV21" i="13"/>
  <c r="D90" i="12"/>
  <c r="AJ16" i="13"/>
  <c r="AJ25" i="13"/>
  <c r="BD15" i="13"/>
  <c r="AR17" i="13"/>
  <c r="BD18" i="13"/>
  <c r="Y21" i="13"/>
  <c r="Q22" i="13"/>
  <c r="P24" i="13"/>
  <c r="Y24" i="13"/>
  <c r="J25" i="13"/>
  <c r="N16" i="13"/>
  <c r="Q19" i="13"/>
  <c r="J22" i="13"/>
  <c r="Q16" i="13"/>
  <c r="AF16" i="13"/>
  <c r="AF17" i="13"/>
  <c r="AJ19" i="13"/>
  <c r="BD19" i="13"/>
  <c r="AF23" i="13"/>
  <c r="BD24" i="13"/>
  <c r="AF22" i="13"/>
  <c r="AR23" i="13"/>
  <c r="AF25" i="13"/>
  <c r="AR26" i="13"/>
  <c r="Y28" i="13"/>
  <c r="AR29" i="13"/>
  <c r="BD30" i="13"/>
  <c r="AU31" i="13"/>
  <c r="D33" i="13"/>
  <c r="AR33" i="13"/>
  <c r="D36" i="13"/>
  <c r="AR36" i="13"/>
  <c r="D39" i="13"/>
  <c r="AR39" i="13"/>
  <c r="D42" i="13"/>
  <c r="AR42" i="13"/>
  <c r="D45" i="13"/>
  <c r="AR45" i="13"/>
  <c r="D48" i="13"/>
  <c r="AR48" i="13"/>
  <c r="N51" i="13"/>
  <c r="Z52" i="13"/>
  <c r="W52" i="13"/>
  <c r="AZ53" i="13"/>
  <c r="AW52" i="13"/>
  <c r="BD55" i="13"/>
  <c r="BA52" i="13"/>
  <c r="BB52" i="13"/>
  <c r="AR57" i="13"/>
  <c r="BD27" i="13"/>
  <c r="D29" i="13"/>
  <c r="Y29" i="13"/>
  <c r="AR30" i="13"/>
  <c r="Y33" i="13"/>
  <c r="Y36" i="13"/>
  <c r="AC49" i="13"/>
  <c r="Z31" i="13"/>
  <c r="AJ49" i="13"/>
  <c r="AG31" i="13"/>
  <c r="J50" i="13"/>
  <c r="N50" i="13"/>
  <c r="AD52" i="13"/>
  <c r="AF53" i="13"/>
  <c r="AN53" i="13"/>
  <c r="AK52" i="13"/>
  <c r="D43" i="13"/>
  <c r="AR43" i="13"/>
  <c r="D46" i="13"/>
  <c r="AR46" i="13"/>
  <c r="U49" i="13"/>
  <c r="D50" i="13"/>
  <c r="U53" i="13"/>
  <c r="R52" i="13"/>
  <c r="J55" i="13"/>
  <c r="N55" i="13"/>
  <c r="AN50" i="13"/>
  <c r="AK31" i="13"/>
  <c r="AZ51" i="13"/>
  <c r="AW31" i="13"/>
  <c r="N29" i="13"/>
  <c r="P49" i="13"/>
  <c r="G31" i="13"/>
  <c r="AY31" i="13"/>
  <c r="AF50" i="13"/>
  <c r="E52" i="13"/>
  <c r="N54" i="13"/>
  <c r="AL52" i="13"/>
  <c r="AS52" i="13"/>
  <c r="AV62" i="13"/>
  <c r="N17" i="13"/>
  <c r="BD17" i="13"/>
  <c r="N20" i="13"/>
  <c r="BD20" i="13"/>
  <c r="N23" i="13"/>
  <c r="BD23" i="13"/>
  <c r="N26" i="13"/>
  <c r="N27" i="13"/>
  <c r="D28" i="13"/>
  <c r="J28" i="13"/>
  <c r="AR28" i="13"/>
  <c r="BD29" i="13"/>
  <c r="N30" i="13"/>
  <c r="R31" i="13"/>
  <c r="AD31" i="13"/>
  <c r="D32" i="13"/>
  <c r="Y32" i="13"/>
  <c r="BD33" i="13"/>
  <c r="N34" i="13"/>
  <c r="Y35" i="13"/>
  <c r="BD36" i="13"/>
  <c r="N37" i="13"/>
  <c r="Y38" i="13"/>
  <c r="BD39" i="13"/>
  <c r="N40" i="13"/>
  <c r="Y41" i="13"/>
  <c r="BD42" i="13"/>
  <c r="N43" i="13"/>
  <c r="Y44" i="13"/>
  <c r="BD45" i="13"/>
  <c r="N46" i="13"/>
  <c r="Y47" i="13"/>
  <c r="BD48" i="13"/>
  <c r="AL31" i="13"/>
  <c r="AS31" i="13"/>
  <c r="AV49" i="13"/>
  <c r="S31" i="13"/>
  <c r="L52" i="13"/>
  <c r="AO52" i="13"/>
  <c r="AI52" i="13"/>
  <c r="AP52" i="13"/>
  <c r="BD56" i="13"/>
  <c r="U58" i="13"/>
  <c r="P51" i="13"/>
  <c r="G52" i="13"/>
  <c r="AZ56" i="13"/>
  <c r="U57" i="13"/>
  <c r="AN57" i="13"/>
  <c r="D58" i="13"/>
  <c r="AZ49" i="13"/>
  <c r="H52" i="13"/>
  <c r="AZ55" i="13"/>
  <c r="U56" i="13"/>
  <c r="AN56" i="13"/>
  <c r="D57" i="13"/>
  <c r="BD63" i="13"/>
  <c r="AF77" i="13"/>
  <c r="AD74" i="13"/>
  <c r="D49" i="13"/>
  <c r="AN49" i="13"/>
  <c r="AZ50" i="13"/>
  <c r="AZ54" i="13"/>
  <c r="U55" i="13"/>
  <c r="AN55" i="13"/>
  <c r="D56" i="13"/>
  <c r="AZ59" i="13"/>
  <c r="Y75" i="13"/>
  <c r="V74" i="13"/>
  <c r="AI74" i="13"/>
  <c r="AJ75" i="13"/>
  <c r="D76" i="13"/>
  <c r="N63" i="13"/>
  <c r="BD72" i="13"/>
  <c r="N73" i="13"/>
  <c r="H74" i="13"/>
  <c r="AL74" i="13"/>
  <c r="J105" i="13"/>
  <c r="D62" i="13"/>
  <c r="J62" i="13"/>
  <c r="D64" i="13"/>
  <c r="BD65" i="13"/>
  <c r="N66" i="13"/>
  <c r="AR66" i="13"/>
  <c r="BD68" i="13"/>
  <c r="N69" i="13"/>
  <c r="AR69" i="13"/>
  <c r="Z74" i="13"/>
  <c r="BA74" i="13"/>
  <c r="BD75" i="13"/>
  <c r="N76" i="13"/>
  <c r="BD77" i="13"/>
  <c r="N72" i="13"/>
  <c r="AU74" i="13"/>
  <c r="AV75" i="13"/>
  <c r="N91" i="13"/>
  <c r="H89" i="13"/>
  <c r="C95" i="13"/>
  <c r="D63" i="13"/>
  <c r="AF63" i="13"/>
  <c r="N65" i="13"/>
  <c r="AR65" i="13"/>
  <c r="BD67" i="13"/>
  <c r="N68" i="13"/>
  <c r="AR68" i="13"/>
  <c r="BD70" i="13"/>
  <c r="N71" i="13"/>
  <c r="E74" i="13"/>
  <c r="T74" i="13"/>
  <c r="AO74" i="13"/>
  <c r="AR75" i="13"/>
  <c r="D90" i="13"/>
  <c r="E89" i="13"/>
  <c r="E10" i="13" s="1"/>
  <c r="E9" i="13" s="1"/>
  <c r="U77" i="13"/>
  <c r="U78" i="13"/>
  <c r="U81" i="13"/>
  <c r="U84" i="13"/>
  <c r="U87" i="13"/>
  <c r="J97" i="13"/>
  <c r="J103" i="13"/>
  <c r="J109" i="13"/>
  <c r="J115" i="13"/>
  <c r="D75" i="13"/>
  <c r="Y76" i="13"/>
  <c r="D78" i="13"/>
  <c r="U75" i="13"/>
  <c r="U79" i="13"/>
  <c r="U82" i="13"/>
  <c r="U85" i="13"/>
  <c r="U88" i="13"/>
  <c r="I89" i="13"/>
  <c r="Y77" i="13"/>
  <c r="J100" i="13"/>
  <c r="O89" i="13"/>
  <c r="O10" i="13" s="1"/>
  <c r="O9" i="13" s="1"/>
  <c r="G89" i="13"/>
  <c r="M116" i="11" l="1"/>
  <c r="M21" i="5"/>
  <c r="M108" i="8"/>
  <c r="C56" i="5"/>
  <c r="K56" i="5" s="1"/>
  <c r="K61" i="7"/>
  <c r="M99" i="4"/>
  <c r="M49" i="2"/>
  <c r="M23" i="2"/>
  <c r="C103" i="12"/>
  <c r="K103" i="12" s="1"/>
  <c r="M20" i="11"/>
  <c r="M18" i="8"/>
  <c r="C42" i="1"/>
  <c r="K42" i="1" s="1"/>
  <c r="M27" i="5"/>
  <c r="K39" i="8"/>
  <c r="K87" i="7"/>
  <c r="M70" i="2"/>
  <c r="C59" i="5"/>
  <c r="K59" i="5" s="1"/>
  <c r="M19" i="6"/>
  <c r="K58" i="7"/>
  <c r="K50" i="7"/>
  <c r="M59" i="11"/>
  <c r="M95" i="1"/>
  <c r="M81" i="11"/>
  <c r="P74" i="13"/>
  <c r="M29" i="5"/>
  <c r="M96" i="13"/>
  <c r="K40" i="7"/>
  <c r="C113" i="11"/>
  <c r="K113" i="11" s="1"/>
  <c r="C81" i="8"/>
  <c r="K81" i="8" s="1"/>
  <c r="M112" i="6"/>
  <c r="C112" i="12"/>
  <c r="K112" i="12" s="1"/>
  <c r="M96" i="12"/>
  <c r="M116" i="10"/>
  <c r="M45" i="10"/>
  <c r="M57" i="8"/>
  <c r="C71" i="6"/>
  <c r="K71" i="6" s="1"/>
  <c r="C51" i="5"/>
  <c r="K51" i="5" s="1"/>
  <c r="M24" i="3"/>
  <c r="M58" i="2"/>
  <c r="K68" i="13"/>
  <c r="C87" i="10"/>
  <c r="K87" i="10" s="1"/>
  <c r="C40" i="11"/>
  <c r="K40" i="11" s="1"/>
  <c r="K24" i="8"/>
  <c r="C44" i="2"/>
  <c r="K44" i="2" s="1"/>
  <c r="C73" i="7"/>
  <c r="K73" i="7" s="1"/>
  <c r="M100" i="12"/>
  <c r="M66" i="11"/>
  <c r="C97" i="11"/>
  <c r="K97" i="11" s="1"/>
  <c r="M33" i="10"/>
  <c r="M60" i="10"/>
  <c r="M112" i="9"/>
  <c r="M77" i="9"/>
  <c r="C94" i="8"/>
  <c r="K94" i="8" s="1"/>
  <c r="M23" i="8"/>
  <c r="M95" i="8"/>
  <c r="M24" i="7"/>
  <c r="C33" i="7"/>
  <c r="K33" i="7" s="1"/>
  <c r="C48" i="11"/>
  <c r="K48" i="11" s="1"/>
  <c r="AQ74" i="2"/>
  <c r="K27" i="6"/>
  <c r="K24" i="7"/>
  <c r="M15" i="11"/>
  <c r="K18" i="8"/>
  <c r="C41" i="2"/>
  <c r="K41" i="2" s="1"/>
  <c r="C20" i="4"/>
  <c r="K20" i="4" s="1"/>
  <c r="C93" i="1"/>
  <c r="K93" i="1" s="1"/>
  <c r="K24" i="6"/>
  <c r="M40" i="5"/>
  <c r="M92" i="13"/>
  <c r="U74" i="13"/>
  <c r="M37" i="13"/>
  <c r="P31" i="13"/>
  <c r="J31" i="13"/>
  <c r="M29" i="1"/>
  <c r="M45" i="5"/>
  <c r="C98" i="6"/>
  <c r="K98" i="6" s="1"/>
  <c r="C38" i="10"/>
  <c r="K38" i="10" s="1"/>
  <c r="M116" i="5"/>
  <c r="C103" i="3"/>
  <c r="K103" i="3" s="1"/>
  <c r="AL74" i="1"/>
  <c r="CA74" i="7"/>
  <c r="C70" i="3"/>
  <c r="K70" i="3" s="1"/>
  <c r="C108" i="6"/>
  <c r="K108" i="6" s="1"/>
  <c r="C41" i="1"/>
  <c r="K41" i="1" s="1"/>
  <c r="C114" i="12"/>
  <c r="K114" i="12" s="1"/>
  <c r="C54" i="12"/>
  <c r="K54" i="12" s="1"/>
  <c r="C51" i="11"/>
  <c r="K51" i="11" s="1"/>
  <c r="M106" i="6"/>
  <c r="M91" i="4"/>
  <c r="C91" i="5"/>
  <c r="K91" i="5" s="1"/>
  <c r="M65" i="4"/>
  <c r="C61" i="3"/>
  <c r="K61" i="3" s="1"/>
  <c r="AW74" i="2"/>
  <c r="M47" i="10"/>
  <c r="C90" i="5"/>
  <c r="K90" i="5" s="1"/>
  <c r="C63" i="12"/>
  <c r="K63" i="12" s="1"/>
  <c r="C55" i="11"/>
  <c r="K55" i="11" s="1"/>
  <c r="C99" i="9"/>
  <c r="K99" i="9" s="1"/>
  <c r="C85" i="5"/>
  <c r="K85" i="5" s="1"/>
  <c r="C15" i="6"/>
  <c r="K15" i="6" s="1"/>
  <c r="C39" i="1"/>
  <c r="K39" i="1" s="1"/>
  <c r="N13" i="5"/>
  <c r="C109" i="13"/>
  <c r="K109" i="13" s="1"/>
  <c r="C58" i="12"/>
  <c r="K58" i="12" s="1"/>
  <c r="N13" i="12"/>
  <c r="C101" i="12"/>
  <c r="K101" i="12" s="1"/>
  <c r="M91" i="11"/>
  <c r="C107" i="2"/>
  <c r="K107" i="2" s="1"/>
  <c r="T31" i="12"/>
  <c r="M71" i="1"/>
  <c r="J74" i="10"/>
  <c r="C21" i="11"/>
  <c r="K21" i="11" s="1"/>
  <c r="C96" i="6"/>
  <c r="K96" i="6" s="1"/>
  <c r="C94" i="10"/>
  <c r="K94" i="10" s="1"/>
  <c r="K59" i="9"/>
  <c r="C34" i="12"/>
  <c r="K34" i="12" s="1"/>
  <c r="C37" i="8"/>
  <c r="K37" i="8" s="1"/>
  <c r="CJ74" i="7"/>
  <c r="C41" i="4"/>
  <c r="K41" i="4" s="1"/>
  <c r="C28" i="10"/>
  <c r="K28" i="10" s="1"/>
  <c r="M33" i="8"/>
  <c r="C109" i="2"/>
  <c r="K109" i="2" s="1"/>
  <c r="C101" i="9"/>
  <c r="K101" i="9" s="1"/>
  <c r="M92" i="11"/>
  <c r="M69" i="8"/>
  <c r="C33" i="11"/>
  <c r="K33" i="11" s="1"/>
  <c r="K67" i="6"/>
  <c r="C20" i="12"/>
  <c r="K20" i="12" s="1"/>
  <c r="C77" i="4"/>
  <c r="K77" i="4" s="1"/>
  <c r="C63" i="3"/>
  <c r="K63" i="3" s="1"/>
  <c r="C66" i="8"/>
  <c r="K66" i="8" s="1"/>
  <c r="C110" i="11"/>
  <c r="K110" i="11" s="1"/>
  <c r="C76" i="8"/>
  <c r="K76" i="8" s="1"/>
  <c r="C20" i="8"/>
  <c r="K20" i="8" s="1"/>
  <c r="C102" i="10"/>
  <c r="K102" i="10" s="1"/>
  <c r="C21" i="2"/>
  <c r="K21" i="2" s="1"/>
  <c r="C113" i="12"/>
  <c r="K113" i="12" s="1"/>
  <c r="M30" i="10"/>
  <c r="C30" i="9"/>
  <c r="K30" i="9" s="1"/>
  <c r="C63" i="7"/>
  <c r="K63" i="7" s="1"/>
  <c r="C83" i="5"/>
  <c r="K83" i="5" s="1"/>
  <c r="M66" i="3"/>
  <c r="M64" i="1"/>
  <c r="M46" i="1"/>
  <c r="C62" i="10"/>
  <c r="K62" i="10" s="1"/>
  <c r="C88" i="8"/>
  <c r="K88" i="8" s="1"/>
  <c r="C27" i="7"/>
  <c r="K27" i="7" s="1"/>
  <c r="C78" i="5"/>
  <c r="K78" i="5" s="1"/>
  <c r="W41" i="1"/>
  <c r="C47" i="7"/>
  <c r="K47" i="7" s="1"/>
  <c r="C72" i="5"/>
  <c r="K72" i="5" s="1"/>
  <c r="M47" i="1"/>
  <c r="C25" i="2"/>
  <c r="K25" i="2" s="1"/>
  <c r="K59" i="8"/>
  <c r="C57" i="12"/>
  <c r="K57" i="12" s="1"/>
  <c r="C71" i="13"/>
  <c r="K71" i="13" s="1"/>
  <c r="C115" i="7"/>
  <c r="K115" i="7" s="1"/>
  <c r="M15" i="10"/>
  <c r="M51" i="9"/>
  <c r="C105" i="11"/>
  <c r="K105" i="11" s="1"/>
  <c r="Q74" i="13"/>
  <c r="C29" i="12"/>
  <c r="K29" i="12" s="1"/>
  <c r="M55" i="10"/>
  <c r="N89" i="9"/>
  <c r="C113" i="1"/>
  <c r="K113" i="1" s="1"/>
  <c r="C25" i="13"/>
  <c r="K25" i="13" s="1"/>
  <c r="C34" i="13"/>
  <c r="K34" i="13" s="1"/>
  <c r="AF31" i="13"/>
  <c r="M16" i="11"/>
  <c r="K92" i="13"/>
  <c r="M49" i="12"/>
  <c r="M108" i="11"/>
  <c r="C85" i="8"/>
  <c r="K85" i="8" s="1"/>
  <c r="C43" i="8"/>
  <c r="K43" i="8" s="1"/>
  <c r="C102" i="8"/>
  <c r="K102" i="8" s="1"/>
  <c r="C93" i="7"/>
  <c r="K93" i="7" s="1"/>
  <c r="C81" i="7"/>
  <c r="K81" i="7" s="1"/>
  <c r="C83" i="13"/>
  <c r="K83" i="13" s="1"/>
  <c r="M107" i="12"/>
  <c r="C111" i="9"/>
  <c r="K111" i="9" s="1"/>
  <c r="C25" i="6"/>
  <c r="K25" i="6" s="1"/>
  <c r="M92" i="3"/>
  <c r="M83" i="1"/>
  <c r="M88" i="1"/>
  <c r="M23" i="13"/>
  <c r="C53" i="9"/>
  <c r="K53" i="9" s="1"/>
  <c r="M18" i="1"/>
  <c r="AL13" i="1"/>
  <c r="M93" i="9"/>
  <c r="C107" i="10"/>
  <c r="K107" i="10" s="1"/>
  <c r="C70" i="13"/>
  <c r="K70" i="13" s="1"/>
  <c r="M67" i="8"/>
  <c r="K33" i="8"/>
  <c r="M48" i="4"/>
  <c r="C71" i="10"/>
  <c r="K71" i="10" s="1"/>
  <c r="C108" i="7"/>
  <c r="K108" i="7" s="1"/>
  <c r="C36" i="12"/>
  <c r="K36" i="12" s="1"/>
  <c r="C86" i="10"/>
  <c r="K86" i="10" s="1"/>
  <c r="C71" i="9"/>
  <c r="K71" i="9" s="1"/>
  <c r="C16" i="9"/>
  <c r="K16" i="9" s="1"/>
  <c r="M58" i="9"/>
  <c r="C50" i="8"/>
  <c r="K50" i="8" s="1"/>
  <c r="C19" i="12"/>
  <c r="K19" i="12" s="1"/>
  <c r="M20" i="9"/>
  <c r="C51" i="8"/>
  <c r="K51" i="8" s="1"/>
  <c r="C26" i="11"/>
  <c r="K26" i="11" s="1"/>
  <c r="K45" i="9"/>
  <c r="C115" i="11"/>
  <c r="K115" i="11" s="1"/>
  <c r="K84" i="2"/>
  <c r="K17" i="2"/>
  <c r="J31" i="9"/>
  <c r="N31" i="9"/>
  <c r="C27" i="2"/>
  <c r="K27" i="2" s="1"/>
  <c r="M25" i="10"/>
  <c r="M81" i="10"/>
  <c r="C93" i="4"/>
  <c r="K93" i="4" s="1"/>
  <c r="P52" i="3"/>
  <c r="C81" i="1"/>
  <c r="K81" i="1" s="1"/>
  <c r="K53" i="5"/>
  <c r="C27" i="8"/>
  <c r="K27" i="8" s="1"/>
  <c r="C107" i="6"/>
  <c r="K107" i="6" s="1"/>
  <c r="K53" i="11"/>
  <c r="C57" i="7"/>
  <c r="K57" i="7" s="1"/>
  <c r="C69" i="6"/>
  <c r="K69" i="6" s="1"/>
  <c r="C58" i="5"/>
  <c r="K58" i="5" s="1"/>
  <c r="M42" i="4"/>
  <c r="C85" i="7"/>
  <c r="K85" i="7" s="1"/>
  <c r="M53" i="11"/>
  <c r="C79" i="6"/>
  <c r="K79" i="6" s="1"/>
  <c r="C100" i="3"/>
  <c r="K100" i="3" s="1"/>
  <c r="C41" i="3"/>
  <c r="K41" i="3" s="1"/>
  <c r="M115" i="8"/>
  <c r="C47" i="9"/>
  <c r="K47" i="9" s="1"/>
  <c r="M79" i="7"/>
  <c r="M112" i="8"/>
  <c r="C53" i="8"/>
  <c r="K53" i="8" s="1"/>
  <c r="M94" i="5"/>
  <c r="T74" i="12"/>
  <c r="C64" i="9"/>
  <c r="K64" i="9" s="1"/>
  <c r="C99" i="10"/>
  <c r="K99" i="10" s="1"/>
  <c r="C15" i="3"/>
  <c r="K15" i="3" s="1"/>
  <c r="M106" i="1"/>
  <c r="M95" i="4"/>
  <c r="C92" i="8"/>
  <c r="K92" i="8" s="1"/>
  <c r="C114" i="8"/>
  <c r="K114" i="8" s="1"/>
  <c r="M80" i="9"/>
  <c r="M110" i="6"/>
  <c r="K18" i="13"/>
  <c r="CG13" i="7"/>
  <c r="C115" i="10"/>
  <c r="K115" i="10" s="1"/>
  <c r="M100" i="10"/>
  <c r="M24" i="9"/>
  <c r="C46" i="8"/>
  <c r="K46" i="8" s="1"/>
  <c r="AA31" i="4"/>
  <c r="C49" i="3"/>
  <c r="K49" i="3" s="1"/>
  <c r="M68" i="3"/>
  <c r="M67" i="1"/>
  <c r="C68" i="1"/>
  <c r="K68" i="1" s="1"/>
  <c r="U57" i="1"/>
  <c r="K20" i="5"/>
  <c r="C73" i="12"/>
  <c r="K73" i="12" s="1"/>
  <c r="M63" i="11"/>
  <c r="M64" i="11"/>
  <c r="C77" i="10"/>
  <c r="K77" i="10" s="1"/>
  <c r="M24" i="10"/>
  <c r="M66" i="9"/>
  <c r="M70" i="8"/>
  <c r="AO74" i="7"/>
  <c r="M96" i="5"/>
  <c r="C38" i="2"/>
  <c r="K38" i="2" s="1"/>
  <c r="J74" i="2"/>
  <c r="C96" i="3"/>
  <c r="K96" i="3" s="1"/>
  <c r="AQ52" i="2"/>
  <c r="C93" i="10"/>
  <c r="K93" i="10" s="1"/>
  <c r="M95" i="5"/>
  <c r="C67" i="11"/>
  <c r="K67" i="11" s="1"/>
  <c r="M105" i="13"/>
  <c r="C72" i="12"/>
  <c r="K72" i="12" s="1"/>
  <c r="C96" i="8"/>
  <c r="K96" i="8" s="1"/>
  <c r="C111" i="6"/>
  <c r="K111" i="6" s="1"/>
  <c r="M32" i="1"/>
  <c r="C93" i="11"/>
  <c r="K93" i="11" s="1"/>
  <c r="AL31" i="1"/>
  <c r="K64" i="8"/>
  <c r="M55" i="8"/>
  <c r="O9" i="7"/>
  <c r="M94" i="1"/>
  <c r="AR31" i="13"/>
  <c r="C35" i="10"/>
  <c r="K35" i="10" s="1"/>
  <c r="S31" i="1"/>
  <c r="K17" i="8"/>
  <c r="M86" i="11"/>
  <c r="C87" i="8"/>
  <c r="K87" i="8" s="1"/>
  <c r="AA52" i="4"/>
  <c r="C65" i="2"/>
  <c r="K65" i="2" s="1"/>
  <c r="C115" i="5"/>
  <c r="K115" i="5" s="1"/>
  <c r="Y74" i="13"/>
  <c r="M72" i="1"/>
  <c r="C113" i="13"/>
  <c r="K113" i="13" s="1"/>
  <c r="M20" i="5"/>
  <c r="K33" i="2"/>
  <c r="C85" i="3"/>
  <c r="K85" i="3" s="1"/>
  <c r="C39" i="11"/>
  <c r="K39" i="11" s="1"/>
  <c r="C82" i="4"/>
  <c r="K82" i="4" s="1"/>
  <c r="M15" i="1"/>
  <c r="M15" i="12"/>
  <c r="C25" i="11"/>
  <c r="K25" i="11" s="1"/>
  <c r="M105" i="8"/>
  <c r="M35" i="8"/>
  <c r="C66" i="5"/>
  <c r="K66" i="5" s="1"/>
  <c r="M27" i="6"/>
  <c r="M95" i="3"/>
  <c r="C28" i="4"/>
  <c r="K28" i="4" s="1"/>
  <c r="C26" i="2"/>
  <c r="K26" i="2" s="1"/>
  <c r="M108" i="1"/>
  <c r="C64" i="7"/>
  <c r="K64" i="7" s="1"/>
  <c r="W40" i="1"/>
  <c r="C66" i="10"/>
  <c r="K66" i="10" s="1"/>
  <c r="C111" i="8"/>
  <c r="K111" i="8" s="1"/>
  <c r="M44" i="8"/>
  <c r="M85" i="6"/>
  <c r="C84" i="5"/>
  <c r="K84" i="5" s="1"/>
  <c r="C62" i="5"/>
  <c r="K62" i="5" s="1"/>
  <c r="M84" i="2"/>
  <c r="M20" i="3"/>
  <c r="C56" i="10"/>
  <c r="K56" i="10" s="1"/>
  <c r="T52" i="7"/>
  <c r="C111" i="12"/>
  <c r="K111" i="12" s="1"/>
  <c r="M85" i="11"/>
  <c r="M90" i="9"/>
  <c r="C18" i="9"/>
  <c r="K18" i="9" s="1"/>
  <c r="K67" i="8"/>
  <c r="M97" i="7"/>
  <c r="M39" i="4"/>
  <c r="J52" i="2"/>
  <c r="M16" i="3"/>
  <c r="M35" i="4"/>
  <c r="C61" i="2"/>
  <c r="K61" i="2" s="1"/>
  <c r="C99" i="11"/>
  <c r="K99" i="11" s="1"/>
  <c r="C26" i="9"/>
  <c r="K26" i="9" s="1"/>
  <c r="J31" i="8"/>
  <c r="K49" i="6"/>
  <c r="C22" i="5"/>
  <c r="K22" i="5" s="1"/>
  <c r="U33" i="1"/>
  <c r="C42" i="2"/>
  <c r="K42" i="2" s="1"/>
  <c r="K49" i="2"/>
  <c r="M84" i="11"/>
  <c r="C78" i="10"/>
  <c r="K78" i="10" s="1"/>
  <c r="M68" i="9"/>
  <c r="C84" i="8"/>
  <c r="K84" i="8" s="1"/>
  <c r="M64" i="8"/>
  <c r="BL74" i="7"/>
  <c r="C115" i="6"/>
  <c r="K115" i="6" s="1"/>
  <c r="C72" i="6"/>
  <c r="K72" i="6" s="1"/>
  <c r="M37" i="6"/>
  <c r="C82" i="5"/>
  <c r="K82" i="5" s="1"/>
  <c r="C113" i="6"/>
  <c r="K113" i="6" s="1"/>
  <c r="M69" i="4"/>
  <c r="M19" i="1"/>
  <c r="C33" i="9"/>
  <c r="K33" i="9" s="1"/>
  <c r="C102" i="7"/>
  <c r="K102" i="7" s="1"/>
  <c r="K80" i="8"/>
  <c r="M34" i="5"/>
  <c r="U15" i="1"/>
  <c r="K30" i="7"/>
  <c r="C41" i="12"/>
  <c r="K41" i="12" s="1"/>
  <c r="M55" i="12"/>
  <c r="F8" i="10"/>
  <c r="F7" i="10" s="1"/>
  <c r="C46" i="10"/>
  <c r="K46" i="10" s="1"/>
  <c r="M75" i="4"/>
  <c r="M30" i="3"/>
  <c r="U38" i="1"/>
  <c r="M82" i="8"/>
  <c r="M75" i="11"/>
  <c r="C70" i="5"/>
  <c r="K70" i="5" s="1"/>
  <c r="M16" i="6"/>
  <c r="K51" i="9"/>
  <c r="C20" i="6"/>
  <c r="K20" i="6" s="1"/>
  <c r="AJ74" i="13"/>
  <c r="P52" i="13"/>
  <c r="M20" i="13"/>
  <c r="M106" i="9"/>
  <c r="T31" i="9"/>
  <c r="M78" i="9"/>
  <c r="M71" i="8"/>
  <c r="M59" i="8"/>
  <c r="M59" i="6"/>
  <c r="K38" i="1"/>
  <c r="K16" i="6"/>
  <c r="C72" i="3"/>
  <c r="K72" i="3" s="1"/>
  <c r="M68" i="11"/>
  <c r="C85" i="9"/>
  <c r="K85" i="9" s="1"/>
  <c r="C46" i="7"/>
  <c r="K46" i="7" s="1"/>
  <c r="M49" i="7"/>
  <c r="CM52" i="7"/>
  <c r="M111" i="4"/>
  <c r="C28" i="1"/>
  <c r="K28" i="1" s="1"/>
  <c r="K44" i="8"/>
  <c r="U27" i="1"/>
  <c r="K76" i="11"/>
  <c r="C80" i="13"/>
  <c r="K80" i="13" s="1"/>
  <c r="M72" i="9"/>
  <c r="BU31" i="7"/>
  <c r="C17" i="6"/>
  <c r="K17" i="6" s="1"/>
  <c r="N52" i="8"/>
  <c r="K110" i="13"/>
  <c r="M80" i="4"/>
  <c r="M73" i="4"/>
  <c r="M77" i="1"/>
  <c r="U20" i="1"/>
  <c r="M116" i="13"/>
  <c r="M67" i="6"/>
  <c r="C99" i="2"/>
  <c r="K99" i="2" s="1"/>
  <c r="N74" i="10"/>
  <c r="U82" i="1"/>
  <c r="AI52" i="7"/>
  <c r="AD31" i="4"/>
  <c r="K87" i="6"/>
  <c r="T13" i="5"/>
  <c r="K106" i="6"/>
  <c r="K75" i="11"/>
  <c r="C105" i="9"/>
  <c r="K105" i="9" s="1"/>
  <c r="M107" i="8"/>
  <c r="C45" i="3"/>
  <c r="K45" i="3" s="1"/>
  <c r="C37" i="1"/>
  <c r="K37" i="1" s="1"/>
  <c r="C100" i="9"/>
  <c r="K100" i="9" s="1"/>
  <c r="AR74" i="13"/>
  <c r="C110" i="9"/>
  <c r="K110" i="9" s="1"/>
  <c r="C21" i="8"/>
  <c r="K21" i="8" s="1"/>
  <c r="K22" i="8"/>
  <c r="M45" i="9"/>
  <c r="K55" i="10"/>
  <c r="M50" i="4"/>
  <c r="K105" i="13"/>
  <c r="M116" i="12"/>
  <c r="M35" i="11"/>
  <c r="C40" i="10"/>
  <c r="K40" i="10" s="1"/>
  <c r="K20" i="9"/>
  <c r="C56" i="6"/>
  <c r="K56" i="6" s="1"/>
  <c r="M61" i="4"/>
  <c r="C19" i="4"/>
  <c r="K19" i="4" s="1"/>
  <c r="M88" i="4"/>
  <c r="C100" i="1"/>
  <c r="K100" i="1" s="1"/>
  <c r="C54" i="1"/>
  <c r="K54" i="1" s="1"/>
  <c r="M109" i="1"/>
  <c r="C91" i="10"/>
  <c r="K91" i="10" s="1"/>
  <c r="AK8" i="1"/>
  <c r="AK7" i="1" s="1"/>
  <c r="K16" i="2"/>
  <c r="K60" i="13"/>
  <c r="K96" i="10"/>
  <c r="M32" i="9"/>
  <c r="M23" i="9"/>
  <c r="C30" i="6"/>
  <c r="K30" i="6" s="1"/>
  <c r="M80" i="12"/>
  <c r="M87" i="11"/>
  <c r="C26" i="12"/>
  <c r="K26" i="12" s="1"/>
  <c r="M50" i="11"/>
  <c r="M88" i="10"/>
  <c r="M108" i="9"/>
  <c r="M110" i="7"/>
  <c r="C72" i="7"/>
  <c r="K72" i="7" s="1"/>
  <c r="C75" i="5"/>
  <c r="K75" i="5" s="1"/>
  <c r="K29" i="6"/>
  <c r="M71" i="4"/>
  <c r="M111" i="2"/>
  <c r="M92" i="5"/>
  <c r="C27" i="12"/>
  <c r="K27" i="12" s="1"/>
  <c r="M50" i="9"/>
  <c r="M60" i="9"/>
  <c r="M101" i="8"/>
  <c r="M103" i="7"/>
  <c r="BR74" i="7"/>
  <c r="BC52" i="7"/>
  <c r="M94" i="7"/>
  <c r="M60" i="2"/>
  <c r="C85" i="1"/>
  <c r="K85" i="1" s="1"/>
  <c r="T31" i="5"/>
  <c r="BO13" i="7"/>
  <c r="K88" i="4"/>
  <c r="C84" i="4"/>
  <c r="K84" i="4" s="1"/>
  <c r="M59" i="4"/>
  <c r="C25" i="3"/>
  <c r="K25" i="3" s="1"/>
  <c r="M78" i="4"/>
  <c r="M88" i="2"/>
  <c r="K88" i="1"/>
  <c r="M17" i="1"/>
  <c r="C53" i="10"/>
  <c r="K53" i="10" s="1"/>
  <c r="C32" i="10"/>
  <c r="K32" i="10" s="1"/>
  <c r="M84" i="13"/>
  <c r="C61" i="13"/>
  <c r="K61" i="13" s="1"/>
  <c r="C68" i="12"/>
  <c r="K68" i="12" s="1"/>
  <c r="M54" i="11"/>
  <c r="M107" i="11"/>
  <c r="C73" i="10"/>
  <c r="K73" i="10" s="1"/>
  <c r="N31" i="10"/>
  <c r="C75" i="9"/>
  <c r="K75" i="9" s="1"/>
  <c r="T13" i="9"/>
  <c r="K105" i="8"/>
  <c r="C60" i="8"/>
  <c r="K60" i="8" s="1"/>
  <c r="M40" i="8"/>
  <c r="CM74" i="7"/>
  <c r="M62" i="2"/>
  <c r="AQ31" i="2"/>
  <c r="M97" i="1"/>
  <c r="C49" i="1"/>
  <c r="K49" i="1" s="1"/>
  <c r="M24" i="1"/>
  <c r="K18" i="12"/>
  <c r="C50" i="10"/>
  <c r="K50" i="10" s="1"/>
  <c r="C23" i="10"/>
  <c r="K23" i="10" s="1"/>
  <c r="K28" i="5"/>
  <c r="M79" i="11"/>
  <c r="M110" i="13"/>
  <c r="AV74" i="13"/>
  <c r="BD74" i="13"/>
  <c r="C51" i="13"/>
  <c r="K51" i="13" s="1"/>
  <c r="C23" i="11"/>
  <c r="K23" i="11" s="1"/>
  <c r="M112" i="10"/>
  <c r="M18" i="10"/>
  <c r="C56" i="8"/>
  <c r="K56" i="8" s="1"/>
  <c r="C34" i="8"/>
  <c r="K34" i="8" s="1"/>
  <c r="M65" i="8"/>
  <c r="M63" i="6"/>
  <c r="M21" i="3"/>
  <c r="C114" i="2"/>
  <c r="K114" i="2" s="1"/>
  <c r="K66" i="13"/>
  <c r="M96" i="10"/>
  <c r="C83" i="8"/>
  <c r="K83" i="8" s="1"/>
  <c r="K51" i="12"/>
  <c r="K15" i="8"/>
  <c r="M60" i="13"/>
  <c r="J31" i="10"/>
  <c r="K33" i="10"/>
  <c r="AZ52" i="13"/>
  <c r="C79" i="10"/>
  <c r="K79" i="10" s="1"/>
  <c r="C79" i="8"/>
  <c r="K79" i="8" s="1"/>
  <c r="C81" i="6"/>
  <c r="K81" i="6" s="1"/>
  <c r="C79" i="4"/>
  <c r="K79" i="4" s="1"/>
  <c r="M72" i="4"/>
  <c r="M55" i="2"/>
  <c r="M16" i="2"/>
  <c r="C114" i="1"/>
  <c r="K114" i="1" s="1"/>
  <c r="M111" i="1"/>
  <c r="C38" i="11"/>
  <c r="K38" i="11" s="1"/>
  <c r="C35" i="5"/>
  <c r="K35" i="5" s="1"/>
  <c r="W19" i="1"/>
  <c r="C115" i="13"/>
  <c r="K115" i="13" s="1"/>
  <c r="M82" i="11"/>
  <c r="M106" i="8"/>
  <c r="M36" i="7"/>
  <c r="M30" i="7"/>
  <c r="C21" i="7"/>
  <c r="K21" i="7" s="1"/>
  <c r="M105" i="4"/>
  <c r="C115" i="2"/>
  <c r="K115" i="2" s="1"/>
  <c r="M48" i="2"/>
  <c r="F8" i="11"/>
  <c r="F7" i="11" s="1"/>
  <c r="K44" i="9"/>
  <c r="U47" i="1"/>
  <c r="AL52" i="1"/>
  <c r="M75" i="8"/>
  <c r="C84" i="7"/>
  <c r="K84" i="7" s="1"/>
  <c r="M87" i="6"/>
  <c r="M90" i="2"/>
  <c r="M68" i="2"/>
  <c r="M79" i="2"/>
  <c r="K80" i="2"/>
  <c r="M36" i="1"/>
  <c r="K106" i="10"/>
  <c r="C110" i="8"/>
  <c r="K110" i="8" s="1"/>
  <c r="K61" i="6"/>
  <c r="C44" i="5"/>
  <c r="K44" i="5" s="1"/>
  <c r="M18" i="5"/>
  <c r="M53" i="5"/>
  <c r="W48" i="1"/>
  <c r="K49" i="12"/>
  <c r="C111" i="7"/>
  <c r="K111" i="7" s="1"/>
  <c r="C77" i="11"/>
  <c r="K77" i="11" s="1"/>
  <c r="J13" i="13"/>
  <c r="M51" i="12"/>
  <c r="M109" i="9"/>
  <c r="C19" i="10"/>
  <c r="K19" i="10" s="1"/>
  <c r="M37" i="10"/>
  <c r="C114" i="9"/>
  <c r="K114" i="9" s="1"/>
  <c r="M73" i="8"/>
  <c r="C82" i="7"/>
  <c r="K82" i="7" s="1"/>
  <c r="AT8" i="2"/>
  <c r="AT7" i="2" s="1"/>
  <c r="M82" i="2"/>
  <c r="C109" i="3"/>
  <c r="K109" i="3" s="1"/>
  <c r="C70" i="1"/>
  <c r="K70" i="1" s="1"/>
  <c r="C86" i="8"/>
  <c r="K86" i="8" s="1"/>
  <c r="AW13" i="7"/>
  <c r="M37" i="5"/>
  <c r="C24" i="5"/>
  <c r="K24" i="5" s="1"/>
  <c r="M100" i="13"/>
  <c r="M67" i="13"/>
  <c r="C88" i="13"/>
  <c r="K88" i="13" s="1"/>
  <c r="C87" i="12"/>
  <c r="K87" i="12" s="1"/>
  <c r="M111" i="11"/>
  <c r="C114" i="11"/>
  <c r="K114" i="11" s="1"/>
  <c r="M110" i="10"/>
  <c r="C36" i="11"/>
  <c r="K36" i="11" s="1"/>
  <c r="C27" i="10"/>
  <c r="K27" i="10" s="1"/>
  <c r="M106" i="5"/>
  <c r="C16" i="4"/>
  <c r="K16" i="4" s="1"/>
  <c r="C39" i="3"/>
  <c r="K39" i="3" s="1"/>
  <c r="M64" i="2"/>
  <c r="M58" i="1"/>
  <c r="M40" i="1"/>
  <c r="C16" i="1"/>
  <c r="K16" i="1" s="1"/>
  <c r="C35" i="1"/>
  <c r="K35" i="1" s="1"/>
  <c r="M101" i="4"/>
  <c r="T31" i="8"/>
  <c r="AF52" i="13"/>
  <c r="C115" i="9"/>
  <c r="K115" i="9" s="1"/>
  <c r="M15" i="8"/>
  <c r="C97" i="13"/>
  <c r="K97" i="13" s="1"/>
  <c r="C85" i="13"/>
  <c r="K85" i="13" s="1"/>
  <c r="C53" i="13"/>
  <c r="K53" i="13" s="1"/>
  <c r="C16" i="13"/>
  <c r="K16" i="13" s="1"/>
  <c r="C50" i="12"/>
  <c r="K50" i="12" s="1"/>
  <c r="C22" i="10"/>
  <c r="K22" i="10" s="1"/>
  <c r="CD74" i="7"/>
  <c r="M57" i="6"/>
  <c r="C22" i="6"/>
  <c r="K22" i="6" s="1"/>
  <c r="C37" i="3"/>
  <c r="K37" i="3" s="1"/>
  <c r="AS8" i="2"/>
  <c r="AS7" i="2" s="1"/>
  <c r="P89" i="1"/>
  <c r="M44" i="12"/>
  <c r="C76" i="10"/>
  <c r="K76" i="10" s="1"/>
  <c r="C115" i="12"/>
  <c r="K115" i="12" s="1"/>
  <c r="C65" i="12"/>
  <c r="K65" i="12" s="1"/>
  <c r="C61" i="8"/>
  <c r="K61" i="8" s="1"/>
  <c r="CJ31" i="7"/>
  <c r="M18" i="7"/>
  <c r="M94" i="6"/>
  <c r="C65" i="6"/>
  <c r="K65" i="6" s="1"/>
  <c r="C60" i="5"/>
  <c r="K60" i="5" s="1"/>
  <c r="C35" i="3"/>
  <c r="K35" i="3" s="1"/>
  <c r="C72" i="2"/>
  <c r="K72" i="2" s="1"/>
  <c r="C71" i="2"/>
  <c r="K71" i="2" s="1"/>
  <c r="C33" i="1"/>
  <c r="K33" i="1" s="1"/>
  <c r="C27" i="9"/>
  <c r="K27" i="9" s="1"/>
  <c r="K109" i="7"/>
  <c r="K25" i="5"/>
  <c r="K45" i="5"/>
  <c r="P31" i="3"/>
  <c r="C44" i="13"/>
  <c r="K44" i="13" s="1"/>
  <c r="K37" i="13"/>
  <c r="C49" i="10"/>
  <c r="K49" i="10" s="1"/>
  <c r="M21" i="10"/>
  <c r="M59" i="9"/>
  <c r="C79" i="9"/>
  <c r="K79" i="9" s="1"/>
  <c r="C43" i="4"/>
  <c r="K43" i="4" s="1"/>
  <c r="I10" i="3"/>
  <c r="Q10" i="3" s="1"/>
  <c r="C15" i="4"/>
  <c r="K15" i="4" s="1"/>
  <c r="C93" i="8"/>
  <c r="K93" i="8" s="1"/>
  <c r="K41" i="6"/>
  <c r="J74" i="11"/>
  <c r="M103" i="4"/>
  <c r="AG13" i="9"/>
  <c r="T74" i="8"/>
  <c r="M106" i="10"/>
  <c r="C54" i="9"/>
  <c r="K54" i="9" s="1"/>
  <c r="C103" i="8"/>
  <c r="K103" i="8" s="1"/>
  <c r="M49" i="6"/>
  <c r="M103" i="2"/>
  <c r="M34" i="3"/>
  <c r="M30" i="1"/>
  <c r="C96" i="4"/>
  <c r="K96" i="4" s="1"/>
  <c r="K86" i="11"/>
  <c r="C111" i="10"/>
  <c r="K111" i="10" s="1"/>
  <c r="M70" i="10"/>
  <c r="C29" i="7"/>
  <c r="K29" i="7" s="1"/>
  <c r="C76" i="4"/>
  <c r="K76" i="4" s="1"/>
  <c r="K64" i="1"/>
  <c r="C115" i="1"/>
  <c r="K115" i="1" s="1"/>
  <c r="M23" i="1"/>
  <c r="K88" i="11"/>
  <c r="T74" i="7"/>
  <c r="K50" i="9"/>
  <c r="N74" i="11"/>
  <c r="W51" i="1"/>
  <c r="AP8" i="13"/>
  <c r="AP7" i="13" s="1"/>
  <c r="AT8" i="13"/>
  <c r="AT7" i="13" s="1"/>
  <c r="M114" i="13"/>
  <c r="M108" i="13"/>
  <c r="J31" i="11"/>
  <c r="M17" i="11"/>
  <c r="C81" i="12"/>
  <c r="K81" i="12" s="1"/>
  <c r="K84" i="13"/>
  <c r="AZ31" i="13"/>
  <c r="M58" i="8"/>
  <c r="J13" i="12"/>
  <c r="J52" i="11"/>
  <c r="K62" i="2"/>
  <c r="T13" i="8"/>
  <c r="AC8" i="1"/>
  <c r="AC7" i="1" s="1"/>
  <c r="K65" i="13"/>
  <c r="AJ13" i="13"/>
  <c r="K23" i="9"/>
  <c r="U51" i="1"/>
  <c r="U75" i="1"/>
  <c r="U45" i="1"/>
  <c r="K77" i="2"/>
  <c r="K18" i="7"/>
  <c r="K67" i="12"/>
  <c r="H10" i="6"/>
  <c r="H9" i="6" s="1"/>
  <c r="N89" i="6"/>
  <c r="M65" i="5"/>
  <c r="C65" i="5"/>
  <c r="K65" i="5" s="1"/>
  <c r="C59" i="1"/>
  <c r="K59" i="1" s="1"/>
  <c r="M59" i="1"/>
  <c r="M20" i="10"/>
  <c r="C20" i="10"/>
  <c r="K20" i="10" s="1"/>
  <c r="M106" i="7"/>
  <c r="C106" i="7"/>
  <c r="K106" i="7" s="1"/>
  <c r="M63" i="5"/>
  <c r="C63" i="5"/>
  <c r="K63" i="5" s="1"/>
  <c r="M47" i="3"/>
  <c r="C47" i="3"/>
  <c r="K47" i="3" s="1"/>
  <c r="C26" i="4"/>
  <c r="K26" i="4" s="1"/>
  <c r="M26" i="4"/>
  <c r="C82" i="1"/>
  <c r="K82" i="1" s="1"/>
  <c r="M82" i="1"/>
  <c r="C56" i="2"/>
  <c r="K56" i="2" s="1"/>
  <c r="M56" i="2"/>
  <c r="C110" i="12"/>
  <c r="K110" i="12" s="1"/>
  <c r="M17" i="9"/>
  <c r="M77" i="2"/>
  <c r="C113" i="5"/>
  <c r="K113" i="5" s="1"/>
  <c r="M113" i="5"/>
  <c r="K83" i="2"/>
  <c r="M110" i="1"/>
  <c r="C110" i="1"/>
  <c r="K110" i="1" s="1"/>
  <c r="C45" i="6"/>
  <c r="K45" i="6" s="1"/>
  <c r="M45" i="6"/>
  <c r="C93" i="6"/>
  <c r="K93" i="6" s="1"/>
  <c r="M93" i="6"/>
  <c r="C14" i="8"/>
  <c r="K14" i="8" s="1"/>
  <c r="M14" i="8"/>
  <c r="M34" i="11"/>
  <c r="C34" i="11"/>
  <c r="K34" i="11" s="1"/>
  <c r="C61" i="12"/>
  <c r="K61" i="12" s="1"/>
  <c r="C28" i="11"/>
  <c r="K28" i="11" s="1"/>
  <c r="C57" i="10"/>
  <c r="K57" i="10" s="1"/>
  <c r="K55" i="8"/>
  <c r="M41" i="6"/>
  <c r="C50" i="5"/>
  <c r="K50" i="5" s="1"/>
  <c r="C73" i="3"/>
  <c r="K73" i="3" s="1"/>
  <c r="AG8" i="2"/>
  <c r="AG7" i="2" s="1"/>
  <c r="M55" i="3"/>
  <c r="M73" i="1"/>
  <c r="M86" i="12"/>
  <c r="C86" i="12"/>
  <c r="K86" i="12" s="1"/>
  <c r="C39" i="10"/>
  <c r="K39" i="10" s="1"/>
  <c r="M39" i="10"/>
  <c r="C44" i="10"/>
  <c r="K44" i="10" s="1"/>
  <c r="M113" i="3"/>
  <c r="C113" i="3"/>
  <c r="K113" i="3" s="1"/>
  <c r="C48" i="3"/>
  <c r="K48" i="3" s="1"/>
  <c r="M48" i="3"/>
  <c r="M60" i="11"/>
  <c r="C60" i="11"/>
  <c r="K60" i="11" s="1"/>
  <c r="M77" i="12"/>
  <c r="C77" i="12"/>
  <c r="K77" i="12" s="1"/>
  <c r="M47" i="12"/>
  <c r="C47" i="12"/>
  <c r="K47" i="12" s="1"/>
  <c r="C76" i="12"/>
  <c r="K76" i="12" s="1"/>
  <c r="M76" i="12"/>
  <c r="C41" i="8"/>
  <c r="K41" i="8" s="1"/>
  <c r="M41" i="8"/>
  <c r="O10" i="5"/>
  <c r="O9" i="5" s="1"/>
  <c r="J89" i="5"/>
  <c r="Q31" i="4"/>
  <c r="M34" i="4"/>
  <c r="C34" i="4"/>
  <c r="K34" i="4" s="1"/>
  <c r="M77" i="3"/>
  <c r="C77" i="3"/>
  <c r="K77" i="3" s="1"/>
  <c r="C101" i="2"/>
  <c r="K101" i="2" s="1"/>
  <c r="M101" i="2"/>
  <c r="K82" i="2"/>
  <c r="C21" i="1"/>
  <c r="K21" i="1" s="1"/>
  <c r="M21" i="1"/>
  <c r="M107" i="1"/>
  <c r="C107" i="1"/>
  <c r="K107" i="1" s="1"/>
  <c r="P10" i="1"/>
  <c r="G9" i="1"/>
  <c r="P9" i="1" s="1"/>
  <c r="U68" i="1"/>
  <c r="R8" i="10"/>
  <c r="R7" i="10" s="1"/>
  <c r="C67" i="10"/>
  <c r="K67" i="10" s="1"/>
  <c r="M67" i="10"/>
  <c r="C17" i="12"/>
  <c r="K17" i="12" s="1"/>
  <c r="M17" i="12"/>
  <c r="M98" i="9"/>
  <c r="C98" i="9"/>
  <c r="K98" i="9" s="1"/>
  <c r="M102" i="11"/>
  <c r="C102" i="11"/>
  <c r="K102" i="11" s="1"/>
  <c r="C70" i="9"/>
  <c r="K70" i="9" s="1"/>
  <c r="M70" i="9"/>
  <c r="M42" i="9"/>
  <c r="C42" i="9"/>
  <c r="K42" i="9" s="1"/>
  <c r="C45" i="8"/>
  <c r="K45" i="8" s="1"/>
  <c r="M45" i="8"/>
  <c r="M105" i="7"/>
  <c r="C105" i="7"/>
  <c r="K105" i="7" s="1"/>
  <c r="M25" i="9"/>
  <c r="C25" i="9"/>
  <c r="K25" i="9" s="1"/>
  <c r="C39" i="6"/>
  <c r="K39" i="6" s="1"/>
  <c r="M39" i="6"/>
  <c r="M49" i="5"/>
  <c r="C49" i="5"/>
  <c r="K49" i="5" s="1"/>
  <c r="C19" i="11"/>
  <c r="K19" i="11" s="1"/>
  <c r="M19" i="11"/>
  <c r="M77" i="6"/>
  <c r="C77" i="6"/>
  <c r="K77" i="6" s="1"/>
  <c r="C66" i="4"/>
  <c r="K66" i="4" s="1"/>
  <c r="M66" i="4"/>
  <c r="C62" i="9"/>
  <c r="K62" i="9" s="1"/>
  <c r="M62" i="9"/>
  <c r="C114" i="5"/>
  <c r="K114" i="5" s="1"/>
  <c r="M114" i="5"/>
  <c r="C16" i="8"/>
  <c r="K16" i="8" s="1"/>
  <c r="M16" i="8"/>
  <c r="C60" i="4"/>
  <c r="K60" i="4" s="1"/>
  <c r="C76" i="1"/>
  <c r="K76" i="1" s="1"/>
  <c r="M35" i="6"/>
  <c r="C35" i="6"/>
  <c r="K35" i="6" s="1"/>
  <c r="AG31" i="9"/>
  <c r="C14" i="7"/>
  <c r="K14" i="7" s="1"/>
  <c r="M14" i="7"/>
  <c r="C29" i="2"/>
  <c r="K29" i="2" s="1"/>
  <c r="M29" i="2"/>
  <c r="C51" i="1"/>
  <c r="K51" i="1" s="1"/>
  <c r="M51" i="1"/>
  <c r="M37" i="4"/>
  <c r="C37" i="4"/>
  <c r="K37" i="4" s="1"/>
  <c r="M80" i="10"/>
  <c r="C80" i="10"/>
  <c r="K80" i="10" s="1"/>
  <c r="M100" i="8"/>
  <c r="C100" i="8"/>
  <c r="K100" i="8" s="1"/>
  <c r="C103" i="13"/>
  <c r="K103" i="13" s="1"/>
  <c r="C77" i="13"/>
  <c r="K77" i="13" s="1"/>
  <c r="M65" i="13"/>
  <c r="C83" i="7"/>
  <c r="K83" i="7" s="1"/>
  <c r="Q74" i="4"/>
  <c r="C108" i="4"/>
  <c r="K108" i="4" s="1"/>
  <c r="M97" i="3"/>
  <c r="M54" i="3"/>
  <c r="M33" i="2"/>
  <c r="M87" i="1"/>
  <c r="K72" i="1"/>
  <c r="C30" i="12"/>
  <c r="K30" i="12" s="1"/>
  <c r="M30" i="12"/>
  <c r="M34" i="10"/>
  <c r="C34" i="10"/>
  <c r="K34" i="10" s="1"/>
  <c r="M37" i="9"/>
  <c r="C37" i="9"/>
  <c r="K37" i="9" s="1"/>
  <c r="M93" i="5"/>
  <c r="C93" i="5"/>
  <c r="K93" i="5" s="1"/>
  <c r="C17" i="5"/>
  <c r="K17" i="5" s="1"/>
  <c r="C64" i="4"/>
  <c r="K64" i="4" s="1"/>
  <c r="M64" i="4"/>
  <c r="P52" i="4"/>
  <c r="M84" i="3"/>
  <c r="C84" i="3"/>
  <c r="K84" i="3" s="1"/>
  <c r="C40" i="2"/>
  <c r="K40" i="2" s="1"/>
  <c r="M40" i="2"/>
  <c r="M112" i="1"/>
  <c r="C112" i="1"/>
  <c r="K112" i="1" s="1"/>
  <c r="C101" i="11"/>
  <c r="K101" i="11" s="1"/>
  <c r="M101" i="11"/>
  <c r="C70" i="12"/>
  <c r="K70" i="12" s="1"/>
  <c r="M70" i="12"/>
  <c r="M25" i="12"/>
  <c r="C25" i="12"/>
  <c r="K25" i="12" s="1"/>
  <c r="M67" i="12"/>
  <c r="M45" i="12"/>
  <c r="C45" i="12"/>
  <c r="K45" i="12" s="1"/>
  <c r="C61" i="11"/>
  <c r="K61" i="11" s="1"/>
  <c r="M61" i="11"/>
  <c r="M16" i="12"/>
  <c r="M16" i="10"/>
  <c r="C16" i="10"/>
  <c r="K16" i="10" s="1"/>
  <c r="C82" i="10"/>
  <c r="K82" i="10" s="1"/>
  <c r="M82" i="10"/>
  <c r="M92" i="9"/>
  <c r="C92" i="9"/>
  <c r="K92" i="9" s="1"/>
  <c r="C92" i="10"/>
  <c r="K92" i="10" s="1"/>
  <c r="M92" i="10"/>
  <c r="M63" i="9"/>
  <c r="C63" i="9"/>
  <c r="K63" i="9" s="1"/>
  <c r="C21" i="9"/>
  <c r="K21" i="9" s="1"/>
  <c r="C69" i="11"/>
  <c r="K69" i="11" s="1"/>
  <c r="M69" i="11"/>
  <c r="M44" i="11"/>
  <c r="C44" i="11"/>
  <c r="K44" i="11" s="1"/>
  <c r="M76" i="7"/>
  <c r="C76" i="7"/>
  <c r="K76" i="7" s="1"/>
  <c r="C43" i="7"/>
  <c r="K43" i="7" s="1"/>
  <c r="M43" i="7"/>
  <c r="C41" i="7"/>
  <c r="K41" i="7" s="1"/>
  <c r="M41" i="7"/>
  <c r="M76" i="6"/>
  <c r="C76" i="6"/>
  <c r="K76" i="6" s="1"/>
  <c r="M48" i="7"/>
  <c r="C48" i="7"/>
  <c r="K48" i="7" s="1"/>
  <c r="C55" i="7"/>
  <c r="K55" i="7" s="1"/>
  <c r="M55" i="7"/>
  <c r="M55" i="5"/>
  <c r="C55" i="5"/>
  <c r="K55" i="5" s="1"/>
  <c r="M85" i="4"/>
  <c r="C85" i="4"/>
  <c r="K85" i="4" s="1"/>
  <c r="C62" i="8"/>
  <c r="K62" i="8" s="1"/>
  <c r="M62" i="8"/>
  <c r="M92" i="6"/>
  <c r="C92" i="6"/>
  <c r="K92" i="6" s="1"/>
  <c r="M87" i="2"/>
  <c r="C87" i="2"/>
  <c r="K87" i="2" s="1"/>
  <c r="C85" i="10"/>
  <c r="K85" i="10" s="1"/>
  <c r="M85" i="10"/>
  <c r="C109" i="8"/>
  <c r="K109" i="8" s="1"/>
  <c r="M109" i="8"/>
  <c r="M24" i="11"/>
  <c r="C24" i="11"/>
  <c r="K24" i="11" s="1"/>
  <c r="C97" i="5"/>
  <c r="K97" i="5" s="1"/>
  <c r="M97" i="5"/>
  <c r="C35" i="12"/>
  <c r="K35" i="12" s="1"/>
  <c r="M35" i="12"/>
  <c r="M86" i="7"/>
  <c r="C86" i="7"/>
  <c r="K86" i="7" s="1"/>
  <c r="C71" i="11"/>
  <c r="K71" i="11" s="1"/>
  <c r="M71" i="11"/>
  <c r="M83" i="10"/>
  <c r="C83" i="10"/>
  <c r="K83" i="10" s="1"/>
  <c r="AH8" i="13"/>
  <c r="AH7" i="13" s="1"/>
  <c r="M105" i="12"/>
  <c r="C102" i="2"/>
  <c r="K102" i="2" s="1"/>
  <c r="M23" i="7"/>
  <c r="C23" i="7"/>
  <c r="K23" i="7" s="1"/>
  <c r="M112" i="7"/>
  <c r="K105" i="4"/>
  <c r="M112" i="4"/>
  <c r="C112" i="4"/>
  <c r="K112" i="4" s="1"/>
  <c r="M46" i="3"/>
  <c r="C46" i="3"/>
  <c r="K46" i="3" s="1"/>
  <c r="M26" i="3"/>
  <c r="C26" i="3"/>
  <c r="K26" i="3" s="1"/>
  <c r="M116" i="2"/>
  <c r="C116" i="2"/>
  <c r="K116" i="2" s="1"/>
  <c r="M97" i="4"/>
  <c r="C97" i="4"/>
  <c r="K97" i="4" s="1"/>
  <c r="C67" i="4"/>
  <c r="K67" i="4" s="1"/>
  <c r="M67" i="4"/>
  <c r="C23" i="4"/>
  <c r="K23" i="4" s="1"/>
  <c r="M23" i="4"/>
  <c r="C60" i="3"/>
  <c r="K60" i="3" s="1"/>
  <c r="M60" i="3"/>
  <c r="C38" i="3"/>
  <c r="K38" i="3" s="1"/>
  <c r="M38" i="3"/>
  <c r="C98" i="2"/>
  <c r="K98" i="2" s="1"/>
  <c r="M98" i="2"/>
  <c r="J13" i="1"/>
  <c r="M55" i="1"/>
  <c r="C55" i="1"/>
  <c r="K55" i="1" s="1"/>
  <c r="K37" i="2"/>
  <c r="C22" i="2"/>
  <c r="K22" i="2" s="1"/>
  <c r="M22" i="2"/>
  <c r="M83" i="6"/>
  <c r="C83" i="6"/>
  <c r="K83" i="6" s="1"/>
  <c r="M88" i="5"/>
  <c r="C88" i="5"/>
  <c r="K88" i="5" s="1"/>
  <c r="C44" i="1"/>
  <c r="K44" i="1" s="1"/>
  <c r="M44" i="1"/>
  <c r="J31" i="1"/>
  <c r="M94" i="11"/>
  <c r="C94" i="11"/>
  <c r="K94" i="11" s="1"/>
  <c r="C51" i="10"/>
  <c r="K51" i="10" s="1"/>
  <c r="M51" i="10"/>
  <c r="C23" i="5"/>
  <c r="K23" i="5" s="1"/>
  <c r="M23" i="5"/>
  <c r="M110" i="3"/>
  <c r="C110" i="3"/>
  <c r="K110" i="3" s="1"/>
  <c r="M114" i="4"/>
  <c r="C114" i="4"/>
  <c r="K114" i="4" s="1"/>
  <c r="M59" i="3"/>
  <c r="C59" i="3"/>
  <c r="K59" i="3" s="1"/>
  <c r="C25" i="8"/>
  <c r="K25" i="8" s="1"/>
  <c r="M25" i="8"/>
  <c r="C48" i="10"/>
  <c r="K48" i="10" s="1"/>
  <c r="M48" i="10"/>
  <c r="M94" i="2"/>
  <c r="C94" i="2"/>
  <c r="K94" i="2" s="1"/>
  <c r="M69" i="1"/>
  <c r="C69" i="1"/>
  <c r="K69" i="1" s="1"/>
  <c r="C84" i="1"/>
  <c r="K84" i="1" s="1"/>
  <c r="M84" i="1"/>
  <c r="C72" i="8"/>
  <c r="K72" i="8" s="1"/>
  <c r="M72" i="8"/>
  <c r="C29" i="8"/>
  <c r="K29" i="8" s="1"/>
  <c r="M29" i="8"/>
  <c r="M109" i="6"/>
  <c r="C109" i="6"/>
  <c r="K109" i="6" s="1"/>
  <c r="M116" i="9"/>
  <c r="K35" i="8"/>
  <c r="BF31" i="7"/>
  <c r="M33" i="6"/>
  <c r="K59" i="2"/>
  <c r="C51" i="3"/>
  <c r="K51" i="3" s="1"/>
  <c r="K28" i="3"/>
  <c r="M100" i="2"/>
  <c r="M92" i="1"/>
  <c r="M97" i="10"/>
  <c r="C97" i="10"/>
  <c r="K97" i="10" s="1"/>
  <c r="C98" i="10"/>
  <c r="K98" i="10" s="1"/>
  <c r="M98" i="10"/>
  <c r="M48" i="8"/>
  <c r="C48" i="8"/>
  <c r="K48" i="8" s="1"/>
  <c r="M51" i="7"/>
  <c r="C51" i="7"/>
  <c r="K51" i="7" s="1"/>
  <c r="C30" i="5"/>
  <c r="K30" i="5" s="1"/>
  <c r="M98" i="3"/>
  <c r="C98" i="3"/>
  <c r="K98" i="3" s="1"/>
  <c r="M32" i="2"/>
  <c r="C32" i="2"/>
  <c r="K32" i="2" s="1"/>
  <c r="P52" i="12"/>
  <c r="W74" i="7"/>
  <c r="U52" i="4"/>
  <c r="U74" i="4"/>
  <c r="P31" i="4"/>
  <c r="K15" i="10"/>
  <c r="K58" i="8"/>
  <c r="U35" i="1"/>
  <c r="T74" i="6"/>
  <c r="J31" i="7"/>
  <c r="J31" i="2"/>
  <c r="K79" i="2"/>
  <c r="K109" i="1"/>
  <c r="J13" i="11"/>
  <c r="K40" i="8"/>
  <c r="K55" i="6"/>
  <c r="AW52" i="2"/>
  <c r="K19" i="6"/>
  <c r="K86" i="4"/>
  <c r="K80" i="12"/>
  <c r="K71" i="8"/>
  <c r="K57" i="8"/>
  <c r="U31" i="4"/>
  <c r="AT31" i="7"/>
  <c r="J52" i="4"/>
  <c r="K39" i="4"/>
  <c r="N13" i="11"/>
  <c r="K17" i="9"/>
  <c r="T52" i="8"/>
  <c r="K43" i="6"/>
  <c r="K92" i="2"/>
  <c r="W45" i="1"/>
  <c r="K50" i="1"/>
  <c r="N31" i="1"/>
  <c r="K32" i="9"/>
  <c r="K86" i="2"/>
  <c r="Q52" i="4"/>
  <c r="T31" i="11"/>
  <c r="K23" i="8"/>
  <c r="AZ74" i="7"/>
  <c r="BO52" i="7"/>
  <c r="BX31" i="7"/>
  <c r="O8" i="4"/>
  <c r="O7" i="4" s="1"/>
  <c r="K24" i="2"/>
  <c r="S8" i="11"/>
  <c r="S7" i="11" s="1"/>
  <c r="K38" i="8"/>
  <c r="K47" i="8"/>
  <c r="K48" i="2"/>
  <c r="M51" i="4"/>
  <c r="T8" i="10"/>
  <c r="T7" i="10" s="1"/>
  <c r="M92" i="4"/>
  <c r="J74" i="12"/>
  <c r="K20" i="13"/>
  <c r="AO31" i="7"/>
  <c r="K75" i="2"/>
  <c r="AF52" i="7"/>
  <c r="T13" i="2"/>
  <c r="U42" i="1"/>
  <c r="K72" i="9"/>
  <c r="K15" i="5"/>
  <c r="N31" i="7"/>
  <c r="K57" i="1"/>
  <c r="U76" i="1"/>
  <c r="W33" i="1"/>
  <c r="K87" i="13"/>
  <c r="K30" i="13"/>
  <c r="K63" i="10"/>
  <c r="K72" i="10"/>
  <c r="P74" i="11"/>
  <c r="K18" i="4"/>
  <c r="K58" i="2"/>
  <c r="C48" i="9"/>
  <c r="K48" i="9" s="1"/>
  <c r="M73" i="9"/>
  <c r="C16" i="7"/>
  <c r="K16" i="7" s="1"/>
  <c r="M86" i="4"/>
  <c r="C46" i="4"/>
  <c r="K46" i="4" s="1"/>
  <c r="M100" i="4"/>
  <c r="M94" i="4"/>
  <c r="C29" i="3"/>
  <c r="K29" i="3" s="1"/>
  <c r="M83" i="3"/>
  <c r="AZ74" i="2"/>
  <c r="M37" i="2"/>
  <c r="M25" i="1"/>
  <c r="M48" i="1"/>
  <c r="C45" i="1"/>
  <c r="K45" i="1" s="1"/>
  <c r="K99" i="13"/>
  <c r="D52" i="11"/>
  <c r="C52" i="11" s="1"/>
  <c r="C57" i="9"/>
  <c r="K57" i="9" s="1"/>
  <c r="J13" i="8"/>
  <c r="K103" i="6"/>
  <c r="J52" i="1"/>
  <c r="X13" i="2"/>
  <c r="K23" i="2"/>
  <c r="AJ52" i="13"/>
  <c r="M101" i="13"/>
  <c r="AQ8" i="13"/>
  <c r="AQ7" i="13" s="1"/>
  <c r="C32" i="12"/>
  <c r="K32" i="12" s="1"/>
  <c r="M38" i="8"/>
  <c r="M65" i="3"/>
  <c r="M29" i="4"/>
  <c r="C19" i="2"/>
  <c r="K19" i="2" s="1"/>
  <c r="M36" i="3"/>
  <c r="C28" i="2"/>
  <c r="K28" i="2" s="1"/>
  <c r="M76" i="3"/>
  <c r="C29" i="10"/>
  <c r="K29" i="10" s="1"/>
  <c r="C46" i="11"/>
  <c r="K46" i="11" s="1"/>
  <c r="K36" i="8"/>
  <c r="M109" i="5"/>
  <c r="M19" i="5"/>
  <c r="R74" i="1"/>
  <c r="W27" i="1"/>
  <c r="K26" i="8"/>
  <c r="AC74" i="13"/>
  <c r="M35" i="13"/>
  <c r="M102" i="12"/>
  <c r="M108" i="12"/>
  <c r="C56" i="12"/>
  <c r="K56" i="12" s="1"/>
  <c r="K22" i="12"/>
  <c r="M70" i="11"/>
  <c r="C37" i="11"/>
  <c r="K37" i="11" s="1"/>
  <c r="M101" i="10"/>
  <c r="K18" i="10"/>
  <c r="M38" i="9"/>
  <c r="M83" i="9"/>
  <c r="C69" i="7"/>
  <c r="K69" i="7" s="1"/>
  <c r="BI31" i="7"/>
  <c r="C39" i="7"/>
  <c r="K39" i="7" s="1"/>
  <c r="C64" i="5"/>
  <c r="K64" i="5" s="1"/>
  <c r="C47" i="5"/>
  <c r="K47" i="5" s="1"/>
  <c r="M114" i="6"/>
  <c r="M115" i="4"/>
  <c r="C25" i="4"/>
  <c r="K25" i="4" s="1"/>
  <c r="AA8" i="2"/>
  <c r="AA7" i="2" s="1"/>
  <c r="M108" i="2"/>
  <c r="M103" i="1"/>
  <c r="M62" i="1"/>
  <c r="C116" i="1"/>
  <c r="K116" i="1" s="1"/>
  <c r="M91" i="1"/>
  <c r="M14" i="1"/>
  <c r="K40" i="13"/>
  <c r="K56" i="9"/>
  <c r="K37" i="5"/>
  <c r="W30" i="1"/>
  <c r="W35" i="1"/>
  <c r="M94" i="12"/>
  <c r="C38" i="12"/>
  <c r="K38" i="12" s="1"/>
  <c r="M78" i="11"/>
  <c r="C103" i="10"/>
  <c r="K103" i="10" s="1"/>
  <c r="M54" i="10"/>
  <c r="K82" i="8"/>
  <c r="C61" i="9"/>
  <c r="K61" i="9" s="1"/>
  <c r="M51" i="6"/>
  <c r="C46" i="5"/>
  <c r="K46" i="5" s="1"/>
  <c r="M107" i="5"/>
  <c r="M82" i="3"/>
  <c r="Z74" i="2"/>
  <c r="M81" i="2"/>
  <c r="M86" i="1"/>
  <c r="M57" i="1"/>
  <c r="K40" i="1"/>
  <c r="M78" i="1"/>
  <c r="K91" i="13"/>
  <c r="M39" i="5"/>
  <c r="M15" i="5"/>
  <c r="U69" i="1"/>
  <c r="C94" i="3"/>
  <c r="K94" i="3" s="1"/>
  <c r="M102" i="13"/>
  <c r="AF74" i="13"/>
  <c r="C95" i="12"/>
  <c r="K95" i="12" s="1"/>
  <c r="K24" i="10"/>
  <c r="C60" i="6"/>
  <c r="K60" i="6" s="1"/>
  <c r="C71" i="5"/>
  <c r="K71" i="5" s="1"/>
  <c r="C114" i="3"/>
  <c r="K114" i="3" s="1"/>
  <c r="C33" i="3"/>
  <c r="K33" i="3" s="1"/>
  <c r="AJ8" i="2"/>
  <c r="AJ7" i="2" s="1"/>
  <c r="C45" i="2"/>
  <c r="K45" i="2" s="1"/>
  <c r="T13" i="12"/>
  <c r="C65" i="10"/>
  <c r="K65" i="10" s="1"/>
  <c r="U88" i="1"/>
  <c r="U48" i="1"/>
  <c r="C39" i="2"/>
  <c r="K39" i="2" s="1"/>
  <c r="M49" i="9"/>
  <c r="BU74" i="7"/>
  <c r="C87" i="3"/>
  <c r="K87" i="3" s="1"/>
  <c r="K40" i="9"/>
  <c r="U30" i="1"/>
  <c r="M61" i="7"/>
  <c r="K85" i="2"/>
  <c r="W47" i="1"/>
  <c r="AU8" i="2"/>
  <c r="AU7" i="2" s="1"/>
  <c r="K92" i="1"/>
  <c r="O8" i="1"/>
  <c r="O7" i="1" s="1"/>
  <c r="K35" i="9"/>
  <c r="K106" i="5"/>
  <c r="K59" i="13"/>
  <c r="K21" i="13"/>
  <c r="K28" i="12"/>
  <c r="S74" i="1"/>
  <c r="M85" i="12"/>
  <c r="M30" i="8"/>
  <c r="K73" i="8"/>
  <c r="K75" i="8"/>
  <c r="AC52" i="7"/>
  <c r="K85" i="6"/>
  <c r="T31" i="6"/>
  <c r="M108" i="5"/>
  <c r="C106" i="3"/>
  <c r="K106" i="3" s="1"/>
  <c r="C106" i="2"/>
  <c r="K106" i="2" s="1"/>
  <c r="M80" i="3"/>
  <c r="K55" i="12"/>
  <c r="C54" i="13"/>
  <c r="K54" i="13" s="1"/>
  <c r="M19" i="13"/>
  <c r="M22" i="9"/>
  <c r="C67" i="9"/>
  <c r="K67" i="9" s="1"/>
  <c r="C99" i="7"/>
  <c r="K99" i="7" s="1"/>
  <c r="M103" i="6"/>
  <c r="M101" i="5"/>
  <c r="C24" i="4"/>
  <c r="K24" i="4" s="1"/>
  <c r="M95" i="2"/>
  <c r="M79" i="1"/>
  <c r="I8" i="13"/>
  <c r="CM13" i="7"/>
  <c r="W20" i="1"/>
  <c r="K23" i="12"/>
  <c r="M91" i="9"/>
  <c r="AF8" i="9"/>
  <c r="AF7" i="9" s="1"/>
  <c r="X31" i="4"/>
  <c r="K64" i="2"/>
  <c r="Q89" i="1"/>
  <c r="K26" i="13"/>
  <c r="K77" i="7"/>
  <c r="X31" i="2"/>
  <c r="C86" i="13"/>
  <c r="K86" i="13" s="1"/>
  <c r="K19" i="13"/>
  <c r="M106" i="12"/>
  <c r="C65" i="11"/>
  <c r="K65" i="11" s="1"/>
  <c r="M40" i="9"/>
  <c r="C57" i="5"/>
  <c r="K57" i="5" s="1"/>
  <c r="C27" i="4"/>
  <c r="K27" i="4" s="1"/>
  <c r="C38" i="4"/>
  <c r="K38" i="4" s="1"/>
  <c r="M18" i="3"/>
  <c r="M75" i="2"/>
  <c r="F8" i="2"/>
  <c r="F7" i="2" s="1"/>
  <c r="M110" i="4"/>
  <c r="M19" i="3"/>
  <c r="AW13" i="2"/>
  <c r="K47" i="1"/>
  <c r="C22" i="1"/>
  <c r="K22" i="1" s="1"/>
  <c r="M60" i="1"/>
  <c r="M59" i="13"/>
  <c r="Y52" i="13"/>
  <c r="C15" i="13"/>
  <c r="K15" i="13" s="1"/>
  <c r="M21" i="13"/>
  <c r="C97" i="12"/>
  <c r="K97" i="12" s="1"/>
  <c r="M78" i="12"/>
  <c r="M28" i="12"/>
  <c r="C40" i="12"/>
  <c r="K40" i="12" s="1"/>
  <c r="M108" i="10"/>
  <c r="C58" i="10"/>
  <c r="K58" i="10" s="1"/>
  <c r="C43" i="10"/>
  <c r="K43" i="10" s="1"/>
  <c r="D13" i="10"/>
  <c r="C13" i="10" s="1"/>
  <c r="C68" i="8"/>
  <c r="K68" i="8" s="1"/>
  <c r="K65" i="8"/>
  <c r="C102" i="6"/>
  <c r="K102" i="6" s="1"/>
  <c r="T52" i="6"/>
  <c r="J31" i="6"/>
  <c r="M61" i="6"/>
  <c r="C87" i="5"/>
  <c r="K87" i="5" s="1"/>
  <c r="C80" i="5"/>
  <c r="K80" i="5" s="1"/>
  <c r="C48" i="5"/>
  <c r="K48" i="5" s="1"/>
  <c r="C15" i="7"/>
  <c r="K15" i="7" s="1"/>
  <c r="K96" i="5"/>
  <c r="M62" i="4"/>
  <c r="M62" i="3"/>
  <c r="C17" i="4"/>
  <c r="K17" i="4" s="1"/>
  <c r="M18" i="4"/>
  <c r="AZ52" i="2"/>
  <c r="M61" i="1"/>
  <c r="M43" i="1"/>
  <c r="M66" i="1"/>
  <c r="M34" i="2"/>
  <c r="C111" i="13"/>
  <c r="K111" i="13" s="1"/>
  <c r="M81" i="9"/>
  <c r="C86" i="9"/>
  <c r="K86" i="9" s="1"/>
  <c r="M36" i="5"/>
  <c r="M93" i="3"/>
  <c r="N11" i="8"/>
  <c r="CJ52" i="7"/>
  <c r="C81" i="5"/>
  <c r="K81" i="5" s="1"/>
  <c r="M40" i="13"/>
  <c r="C43" i="12"/>
  <c r="K43" i="12" s="1"/>
  <c r="M58" i="11"/>
  <c r="M35" i="9"/>
  <c r="C107" i="7"/>
  <c r="K107" i="7" s="1"/>
  <c r="C78" i="7"/>
  <c r="K78" i="7" s="1"/>
  <c r="AZ31" i="7"/>
  <c r="CF8" i="7"/>
  <c r="CF7" i="7" s="1"/>
  <c r="AZ52" i="7"/>
  <c r="C66" i="6"/>
  <c r="K66" i="6" s="1"/>
  <c r="C69" i="5"/>
  <c r="K69" i="5" s="1"/>
  <c r="N52" i="6"/>
  <c r="M107" i="4"/>
  <c r="C105" i="5"/>
  <c r="K105" i="5" s="1"/>
  <c r="C43" i="3"/>
  <c r="K43" i="3" s="1"/>
  <c r="M86" i="3"/>
  <c r="M75" i="3"/>
  <c r="C112" i="2"/>
  <c r="K112" i="2" s="1"/>
  <c r="C69" i="2"/>
  <c r="K69" i="2" s="1"/>
  <c r="M86" i="2"/>
  <c r="C63" i="2"/>
  <c r="K63" i="2" s="1"/>
  <c r="M80" i="1"/>
  <c r="M56" i="1"/>
  <c r="BD31" i="13"/>
  <c r="C96" i="11"/>
  <c r="K96" i="11" s="1"/>
  <c r="K28" i="8"/>
  <c r="M32" i="5"/>
  <c r="K81" i="2"/>
  <c r="J74" i="1"/>
  <c r="C102" i="4"/>
  <c r="K102" i="4" s="1"/>
  <c r="K60" i="2"/>
  <c r="K38" i="5"/>
  <c r="M88" i="11"/>
  <c r="C114" i="10"/>
  <c r="K114" i="10" s="1"/>
  <c r="C19" i="8"/>
  <c r="K19" i="8" s="1"/>
  <c r="M24" i="6"/>
  <c r="K35" i="13"/>
  <c r="M99" i="12"/>
  <c r="C32" i="11"/>
  <c r="K32" i="11" s="1"/>
  <c r="AY8" i="13"/>
  <c r="AY7" i="13" s="1"/>
  <c r="M26" i="13"/>
  <c r="C69" i="12"/>
  <c r="K69" i="12" s="1"/>
  <c r="C41" i="11"/>
  <c r="K41" i="11" s="1"/>
  <c r="M46" i="9"/>
  <c r="C17" i="7"/>
  <c r="K17" i="7" s="1"/>
  <c r="C36" i="6"/>
  <c r="K36" i="6" s="1"/>
  <c r="C18" i="6"/>
  <c r="K18" i="6" s="1"/>
  <c r="C77" i="5"/>
  <c r="K77" i="5" s="1"/>
  <c r="C68" i="5"/>
  <c r="K68" i="5" s="1"/>
  <c r="M102" i="5"/>
  <c r="C23" i="6"/>
  <c r="K23" i="6" s="1"/>
  <c r="M53" i="3"/>
  <c r="M40" i="3"/>
  <c r="D13" i="4"/>
  <c r="M13" i="4" s="1"/>
  <c r="Z52" i="2"/>
  <c r="M28" i="5"/>
  <c r="W23" i="1"/>
  <c r="W64" i="1"/>
  <c r="M24" i="13"/>
  <c r="M91" i="13"/>
  <c r="K101" i="13"/>
  <c r="C82" i="12"/>
  <c r="K82" i="12" s="1"/>
  <c r="M18" i="12"/>
  <c r="C95" i="11"/>
  <c r="K95" i="11" s="1"/>
  <c r="C36" i="10"/>
  <c r="K36" i="10" s="1"/>
  <c r="K45" i="10"/>
  <c r="M26" i="8"/>
  <c r="C70" i="7"/>
  <c r="K70" i="7" s="1"/>
  <c r="M77" i="7"/>
  <c r="CD52" i="7"/>
  <c r="M58" i="7"/>
  <c r="BN8" i="7"/>
  <c r="BN7" i="7" s="1"/>
  <c r="M100" i="6"/>
  <c r="CD31" i="7"/>
  <c r="M36" i="2"/>
  <c r="M85" i="2"/>
  <c r="M17" i="2"/>
  <c r="C70" i="4"/>
  <c r="K70" i="4" s="1"/>
  <c r="X8" i="12"/>
  <c r="X7" i="12" s="1"/>
  <c r="N31" i="8"/>
  <c r="M69" i="9"/>
  <c r="M38" i="5"/>
  <c r="K33" i="6"/>
  <c r="U19" i="1"/>
  <c r="C62" i="12"/>
  <c r="K62" i="12" s="1"/>
  <c r="CI8" i="7"/>
  <c r="CI7" i="7" s="1"/>
  <c r="AM8" i="13"/>
  <c r="AM7" i="13" s="1"/>
  <c r="N11" i="9"/>
  <c r="K27" i="5"/>
  <c r="U39" i="1"/>
  <c r="W57" i="1"/>
  <c r="AF8" i="1"/>
  <c r="AF7" i="1" s="1"/>
  <c r="AE8" i="1"/>
  <c r="AE7" i="1" s="1"/>
  <c r="H8" i="6"/>
  <c r="AI8" i="2"/>
  <c r="AI7" i="2" s="1"/>
  <c r="W42" i="1"/>
  <c r="W22" i="1"/>
  <c r="AH8" i="1"/>
  <c r="AH7" i="1" s="1"/>
  <c r="E8" i="1"/>
  <c r="E7" i="1" s="1"/>
  <c r="W69" i="1"/>
  <c r="K47" i="13"/>
  <c r="W39" i="1"/>
  <c r="Z13" i="2"/>
  <c r="K36" i="7"/>
  <c r="T52" i="5"/>
  <c r="N89" i="4"/>
  <c r="K46" i="9"/>
  <c r="W31" i="12"/>
  <c r="BR52" i="7"/>
  <c r="N74" i="4"/>
  <c r="K24" i="9"/>
  <c r="J9" i="2"/>
  <c r="K20" i="1"/>
  <c r="V8" i="12"/>
  <c r="V7" i="12" s="1"/>
  <c r="U44" i="1"/>
  <c r="K18" i="1"/>
  <c r="E8" i="2"/>
  <c r="E7" i="2" s="1"/>
  <c r="K41" i="9"/>
  <c r="K70" i="8"/>
  <c r="D52" i="8"/>
  <c r="C52" i="8" s="1"/>
  <c r="Y31" i="13"/>
  <c r="F8" i="8"/>
  <c r="F7" i="8" s="1"/>
  <c r="K29" i="9"/>
  <c r="N74" i="13"/>
  <c r="M66" i="13"/>
  <c r="AV31" i="13"/>
  <c r="M38" i="13"/>
  <c r="M18" i="13"/>
  <c r="K78" i="12"/>
  <c r="C60" i="12"/>
  <c r="K60" i="12" s="1"/>
  <c r="C105" i="10"/>
  <c r="K105" i="10" s="1"/>
  <c r="C68" i="10"/>
  <c r="K68" i="10" s="1"/>
  <c r="M103" i="9"/>
  <c r="K30" i="10"/>
  <c r="K14" i="10"/>
  <c r="M63" i="10"/>
  <c r="C19" i="9"/>
  <c r="K19" i="9" s="1"/>
  <c r="C101" i="7"/>
  <c r="K101" i="7" s="1"/>
  <c r="M113" i="7"/>
  <c r="AW74" i="7"/>
  <c r="F8" i="6"/>
  <c r="F7" i="6" s="1"/>
  <c r="C20" i="7"/>
  <c r="K20" i="7" s="1"/>
  <c r="M55" i="6"/>
  <c r="C76" i="5"/>
  <c r="K76" i="5" s="1"/>
  <c r="M110" i="5"/>
  <c r="M44" i="4"/>
  <c r="C49" i="4"/>
  <c r="K49" i="4" s="1"/>
  <c r="C57" i="3"/>
  <c r="K57" i="3" s="1"/>
  <c r="C14" i="4"/>
  <c r="K14" i="4" s="1"/>
  <c r="C93" i="2"/>
  <c r="K93" i="2" s="1"/>
  <c r="C78" i="2"/>
  <c r="K78" i="2" s="1"/>
  <c r="C96" i="1"/>
  <c r="K96" i="1" s="1"/>
  <c r="M65" i="1"/>
  <c r="M99" i="1"/>
  <c r="K81" i="13"/>
  <c r="D89" i="9"/>
  <c r="D10" i="9" s="1"/>
  <c r="D74" i="8"/>
  <c r="M74" i="8" s="1"/>
  <c r="K47" i="4"/>
  <c r="J89" i="1"/>
  <c r="S13" i="1"/>
  <c r="U49" i="1"/>
  <c r="U41" i="1"/>
  <c r="AI8" i="1"/>
  <c r="AI7" i="1" s="1"/>
  <c r="U72" i="1"/>
  <c r="W28" i="1"/>
  <c r="AL74" i="7"/>
  <c r="K63" i="4"/>
  <c r="T52" i="1"/>
  <c r="W50" i="1"/>
  <c r="V31" i="1"/>
  <c r="U23" i="1"/>
  <c r="U22" i="1"/>
  <c r="K55" i="2"/>
  <c r="W88" i="1"/>
  <c r="AV52" i="13"/>
  <c r="C88" i="12"/>
  <c r="K88" i="12" s="1"/>
  <c r="C37" i="12"/>
  <c r="K37" i="12" s="1"/>
  <c r="M23" i="12"/>
  <c r="M21" i="12"/>
  <c r="C49" i="11"/>
  <c r="K49" i="11" s="1"/>
  <c r="M41" i="9"/>
  <c r="M98" i="8"/>
  <c r="J52" i="7"/>
  <c r="BL52" i="7"/>
  <c r="BQ8" i="7"/>
  <c r="BQ7" i="7" s="1"/>
  <c r="C64" i="6"/>
  <c r="K64" i="6" s="1"/>
  <c r="C58" i="6"/>
  <c r="K58" i="6" s="1"/>
  <c r="C55" i="4"/>
  <c r="K55" i="4" s="1"/>
  <c r="M101" i="3"/>
  <c r="C17" i="3"/>
  <c r="K17" i="3" s="1"/>
  <c r="C99" i="3"/>
  <c r="K99" i="3" s="1"/>
  <c r="D13" i="2"/>
  <c r="M13" i="2" s="1"/>
  <c r="M26" i="5"/>
  <c r="T74" i="11"/>
  <c r="K95" i="13"/>
  <c r="M93" i="12"/>
  <c r="K16" i="12"/>
  <c r="M76" i="11"/>
  <c r="M56" i="11"/>
  <c r="M112" i="11"/>
  <c r="C103" i="11"/>
  <c r="K103" i="11" s="1"/>
  <c r="C113" i="10"/>
  <c r="K113" i="10" s="1"/>
  <c r="M72" i="10"/>
  <c r="C64" i="10"/>
  <c r="K64" i="10" s="1"/>
  <c r="C96" i="9"/>
  <c r="K96" i="9" s="1"/>
  <c r="M116" i="8"/>
  <c r="M54" i="8"/>
  <c r="K30" i="8"/>
  <c r="C49" i="8"/>
  <c r="K49" i="8" s="1"/>
  <c r="BO74" i="7"/>
  <c r="J74" i="7"/>
  <c r="K37" i="6"/>
  <c r="M91" i="6"/>
  <c r="J74" i="6"/>
  <c r="C73" i="5"/>
  <c r="K73" i="5" s="1"/>
  <c r="C67" i="5"/>
  <c r="K67" i="5" s="1"/>
  <c r="C54" i="5"/>
  <c r="K54" i="5" s="1"/>
  <c r="M53" i="4"/>
  <c r="I10" i="5"/>
  <c r="Q10" i="5" s="1"/>
  <c r="H8" i="2"/>
  <c r="C27" i="3"/>
  <c r="K27" i="3" s="1"/>
  <c r="M91" i="2"/>
  <c r="M44" i="3"/>
  <c r="K53" i="2"/>
  <c r="K48" i="1"/>
  <c r="C18" i="2"/>
  <c r="K18" i="2" s="1"/>
  <c r="D104" i="11"/>
  <c r="D11" i="11" s="1"/>
  <c r="C17" i="10"/>
  <c r="K17" i="10" s="1"/>
  <c r="C26" i="10"/>
  <c r="K26" i="10" s="1"/>
  <c r="C39" i="9"/>
  <c r="K39" i="9" s="1"/>
  <c r="D104" i="5"/>
  <c r="D11" i="5" s="1"/>
  <c r="W76" i="1"/>
  <c r="K88" i="2"/>
  <c r="U50" i="1"/>
  <c r="M87" i="13"/>
  <c r="C98" i="13"/>
  <c r="K98" i="13" s="1"/>
  <c r="M47" i="13"/>
  <c r="M57" i="11"/>
  <c r="M98" i="11"/>
  <c r="C56" i="11"/>
  <c r="K56" i="11" s="1"/>
  <c r="N52" i="10"/>
  <c r="R8" i="8"/>
  <c r="R7" i="8" s="1"/>
  <c r="M29" i="9"/>
  <c r="C54" i="8"/>
  <c r="K54" i="8" s="1"/>
  <c r="M28" i="8"/>
  <c r="M39" i="8"/>
  <c r="CA52" i="7"/>
  <c r="C65" i="7"/>
  <c r="K65" i="7" s="1"/>
  <c r="C68" i="6"/>
  <c r="K68" i="6" s="1"/>
  <c r="M47" i="6"/>
  <c r="C34" i="6"/>
  <c r="K34" i="6" s="1"/>
  <c r="K26" i="6"/>
  <c r="M45" i="4"/>
  <c r="M58" i="3"/>
  <c r="M53" i="2"/>
  <c r="M87" i="4"/>
  <c r="M92" i="2"/>
  <c r="K106" i="1"/>
  <c r="X8" i="10"/>
  <c r="X7" i="10" s="1"/>
  <c r="C84" i="9"/>
  <c r="K84" i="9" s="1"/>
  <c r="L8" i="10"/>
  <c r="BC13" i="7"/>
  <c r="K54" i="2"/>
  <c r="K36" i="2"/>
  <c r="N31" i="13"/>
  <c r="C42" i="12"/>
  <c r="K42" i="12" s="1"/>
  <c r="C53" i="12"/>
  <c r="K53" i="12" s="1"/>
  <c r="M80" i="11"/>
  <c r="C22" i="11"/>
  <c r="K22" i="11" s="1"/>
  <c r="J52" i="10"/>
  <c r="M14" i="10"/>
  <c r="M56" i="9"/>
  <c r="C59" i="7"/>
  <c r="K59" i="7" s="1"/>
  <c r="G8" i="5"/>
  <c r="P8" i="5" s="1"/>
  <c r="M113" i="4"/>
  <c r="M54" i="2"/>
  <c r="T52" i="2"/>
  <c r="AO31" i="2"/>
  <c r="M116" i="4"/>
  <c r="M54" i="4"/>
  <c r="M98" i="1"/>
  <c r="C91" i="12"/>
  <c r="K91" i="12" s="1"/>
  <c r="J52" i="12"/>
  <c r="W13" i="12"/>
  <c r="V8" i="10"/>
  <c r="V7" i="10" s="1"/>
  <c r="AE13" i="9"/>
  <c r="K42" i="8"/>
  <c r="C62" i="7"/>
  <c r="K62" i="7" s="1"/>
  <c r="U18" i="1"/>
  <c r="W44" i="1"/>
  <c r="K15" i="1"/>
  <c r="K23" i="1"/>
  <c r="W15" i="1"/>
  <c r="W49" i="1"/>
  <c r="U28" i="1"/>
  <c r="M72" i="13"/>
  <c r="C72" i="13"/>
  <c r="K72" i="13" s="1"/>
  <c r="C55" i="13"/>
  <c r="K55" i="13" s="1"/>
  <c r="M55" i="13"/>
  <c r="M100" i="11"/>
  <c r="C100" i="11"/>
  <c r="K100" i="11" s="1"/>
  <c r="M33" i="12"/>
  <c r="C33" i="12"/>
  <c r="K33" i="12" s="1"/>
  <c r="C105" i="1"/>
  <c r="K105" i="1" s="1"/>
  <c r="D104" i="1"/>
  <c r="M104" i="1" s="1"/>
  <c r="V74" i="1"/>
  <c r="M21" i="4"/>
  <c r="C21" i="4"/>
  <c r="K21" i="4" s="1"/>
  <c r="C30" i="2"/>
  <c r="K30" i="2" s="1"/>
  <c r="M30" i="2"/>
  <c r="D74" i="1"/>
  <c r="C74" i="1" s="1"/>
  <c r="C75" i="1"/>
  <c r="K75" i="1" s="1"/>
  <c r="M34" i="9"/>
  <c r="D31" i="9"/>
  <c r="C31" i="9" s="1"/>
  <c r="C34" i="9"/>
  <c r="K34" i="9" s="1"/>
  <c r="P31" i="8"/>
  <c r="G8" i="8"/>
  <c r="P8" i="8" s="1"/>
  <c r="M44" i="7"/>
  <c r="C44" i="7"/>
  <c r="K44" i="7" s="1"/>
  <c r="C42" i="3"/>
  <c r="K42" i="3" s="1"/>
  <c r="M42" i="3"/>
  <c r="M46" i="12"/>
  <c r="C46" i="12"/>
  <c r="K46" i="12" s="1"/>
  <c r="M48" i="12"/>
  <c r="C48" i="12"/>
  <c r="K48" i="12" s="1"/>
  <c r="C83" i="11"/>
  <c r="K83" i="11" s="1"/>
  <c r="M83" i="11"/>
  <c r="M29" i="11"/>
  <c r="C29" i="11"/>
  <c r="K29" i="11" s="1"/>
  <c r="C95" i="10"/>
  <c r="K95" i="10" s="1"/>
  <c r="M95" i="10"/>
  <c r="C107" i="9"/>
  <c r="K107" i="9" s="1"/>
  <c r="M107" i="9"/>
  <c r="C106" i="11"/>
  <c r="K106" i="11" s="1"/>
  <c r="M106" i="11"/>
  <c r="C63" i="8"/>
  <c r="K63" i="8" s="1"/>
  <c r="M63" i="8"/>
  <c r="M67" i="7"/>
  <c r="C67" i="7"/>
  <c r="K67" i="7" s="1"/>
  <c r="C14" i="9"/>
  <c r="K14" i="9" s="1"/>
  <c r="M14" i="9"/>
  <c r="Q13" i="8"/>
  <c r="I8" i="8"/>
  <c r="Q8" i="8" s="1"/>
  <c r="M69" i="3"/>
  <c r="C69" i="3"/>
  <c r="K69" i="3" s="1"/>
  <c r="C37" i="7"/>
  <c r="K37" i="7" s="1"/>
  <c r="M37" i="7"/>
  <c r="D89" i="4"/>
  <c r="M89" i="4" s="1"/>
  <c r="M90" i="4"/>
  <c r="M23" i="3"/>
  <c r="C23" i="3"/>
  <c r="K23" i="3" s="1"/>
  <c r="C101" i="1"/>
  <c r="K101" i="1" s="1"/>
  <c r="M101" i="1"/>
  <c r="AB8" i="1"/>
  <c r="AB7" i="1" s="1"/>
  <c r="M30" i="4"/>
  <c r="C30" i="4"/>
  <c r="K30" i="4" s="1"/>
  <c r="C90" i="1"/>
  <c r="K90" i="1" s="1"/>
  <c r="D89" i="1"/>
  <c r="D10" i="1" s="1"/>
  <c r="M90" i="1"/>
  <c r="C63" i="1"/>
  <c r="K63" i="1" s="1"/>
  <c r="M63" i="1"/>
  <c r="M93" i="13"/>
  <c r="C93" i="13"/>
  <c r="K93" i="13" s="1"/>
  <c r="C14" i="13"/>
  <c r="K14" i="13" s="1"/>
  <c r="M14" i="13"/>
  <c r="N74" i="12"/>
  <c r="H8" i="12"/>
  <c r="CA13" i="7"/>
  <c r="M88" i="3"/>
  <c r="C88" i="3"/>
  <c r="K88" i="3" s="1"/>
  <c r="M66" i="2"/>
  <c r="C66" i="2"/>
  <c r="K66" i="2" s="1"/>
  <c r="M14" i="2"/>
  <c r="C14" i="2"/>
  <c r="K14" i="2" s="1"/>
  <c r="K67" i="13"/>
  <c r="C41" i="13"/>
  <c r="K41" i="13" s="1"/>
  <c r="M41" i="13"/>
  <c r="M71" i="12"/>
  <c r="C71" i="12"/>
  <c r="K71" i="12" s="1"/>
  <c r="M84" i="12"/>
  <c r="C84" i="12"/>
  <c r="K84" i="12" s="1"/>
  <c r="M47" i="11"/>
  <c r="C47" i="11"/>
  <c r="K47" i="11" s="1"/>
  <c r="D31" i="8"/>
  <c r="M31" i="8" s="1"/>
  <c r="C32" i="8"/>
  <c r="K32" i="8" s="1"/>
  <c r="M71" i="7"/>
  <c r="C71" i="7"/>
  <c r="K71" i="7" s="1"/>
  <c r="C91" i="8"/>
  <c r="K91" i="8" s="1"/>
  <c r="M91" i="8"/>
  <c r="C114" i="7"/>
  <c r="K114" i="7" s="1"/>
  <c r="M114" i="7"/>
  <c r="M17" i="8"/>
  <c r="D13" i="8"/>
  <c r="C13" i="8" s="1"/>
  <c r="C88" i="7"/>
  <c r="K88" i="7" s="1"/>
  <c r="M88" i="7"/>
  <c r="M79" i="5"/>
  <c r="C79" i="5"/>
  <c r="K79" i="5" s="1"/>
  <c r="M79" i="3"/>
  <c r="C79" i="3"/>
  <c r="K79" i="3" s="1"/>
  <c r="C57" i="4"/>
  <c r="K57" i="4" s="1"/>
  <c r="M57" i="4"/>
  <c r="D104" i="2"/>
  <c r="C104" i="2" s="1"/>
  <c r="K104" i="2" s="1"/>
  <c r="C110" i="2"/>
  <c r="K110" i="2" s="1"/>
  <c r="C103" i="5"/>
  <c r="K103" i="5" s="1"/>
  <c r="M103" i="5"/>
  <c r="C42" i="5"/>
  <c r="K42" i="5" s="1"/>
  <c r="M42" i="5"/>
  <c r="C98" i="4"/>
  <c r="K98" i="4" s="1"/>
  <c r="M98" i="4"/>
  <c r="M45" i="11"/>
  <c r="C45" i="11"/>
  <c r="K45" i="11" s="1"/>
  <c r="C18" i="11"/>
  <c r="K18" i="11" s="1"/>
  <c r="M18" i="11"/>
  <c r="C14" i="11"/>
  <c r="K14" i="11" s="1"/>
  <c r="M14" i="11"/>
  <c r="C113" i="9"/>
  <c r="K113" i="9" s="1"/>
  <c r="M113" i="9"/>
  <c r="M32" i="7"/>
  <c r="C32" i="7"/>
  <c r="K32" i="7" s="1"/>
  <c r="D31" i="7"/>
  <c r="C31" i="7" s="1"/>
  <c r="C99" i="6"/>
  <c r="K99" i="6" s="1"/>
  <c r="M99" i="6"/>
  <c r="C100" i="5"/>
  <c r="K100" i="5" s="1"/>
  <c r="M100" i="5"/>
  <c r="C67" i="3"/>
  <c r="K67" i="3" s="1"/>
  <c r="M67" i="3"/>
  <c r="C81" i="4"/>
  <c r="K81" i="4" s="1"/>
  <c r="M81" i="4"/>
  <c r="Z8" i="4"/>
  <c r="Z7" i="4" s="1"/>
  <c r="N52" i="11"/>
  <c r="K88" i="10"/>
  <c r="C94" i="9"/>
  <c r="K94" i="9" s="1"/>
  <c r="M44" i="9"/>
  <c r="M36" i="8"/>
  <c r="E8" i="6"/>
  <c r="E7" i="6" s="1"/>
  <c r="K70" i="2"/>
  <c r="K34" i="2"/>
  <c r="K57" i="6"/>
  <c r="W8" i="4"/>
  <c r="W7" i="4" s="1"/>
  <c r="D89" i="2"/>
  <c r="D10" i="2" s="1"/>
  <c r="K67" i="2"/>
  <c r="D104" i="4"/>
  <c r="D11" i="4" s="1"/>
  <c r="L8" i="1"/>
  <c r="T13" i="1"/>
  <c r="R52" i="1"/>
  <c r="R31" i="1"/>
  <c r="Q31" i="13"/>
  <c r="K42" i="10"/>
  <c r="AG74" i="9"/>
  <c r="K28" i="9"/>
  <c r="D104" i="8"/>
  <c r="C104" i="8" s="1"/>
  <c r="K104" i="8" s="1"/>
  <c r="BR13" i="7"/>
  <c r="AD74" i="4"/>
  <c r="N13" i="4"/>
  <c r="D52" i="4"/>
  <c r="M52" i="4" s="1"/>
  <c r="AC31" i="7"/>
  <c r="O8" i="5"/>
  <c r="K105" i="2"/>
  <c r="W18" i="1"/>
  <c r="N13" i="13"/>
  <c r="X74" i="4"/>
  <c r="BB8" i="13"/>
  <c r="BB7" i="13" s="1"/>
  <c r="AC52" i="13"/>
  <c r="AB8" i="13"/>
  <c r="AB7" i="13" s="1"/>
  <c r="K44" i="12"/>
  <c r="K21" i="12"/>
  <c r="AD8" i="9"/>
  <c r="AD7" i="9" s="1"/>
  <c r="D104" i="9"/>
  <c r="C104" i="9" s="1"/>
  <c r="K104" i="9" s="1"/>
  <c r="M42" i="8"/>
  <c r="M22" i="8"/>
  <c r="M87" i="7"/>
  <c r="V8" i="7"/>
  <c r="V7" i="7" s="1"/>
  <c r="BU52" i="7"/>
  <c r="T31" i="7"/>
  <c r="M40" i="7"/>
  <c r="D89" i="5"/>
  <c r="M89" i="5" s="1"/>
  <c r="AY8" i="7"/>
  <c r="AY7" i="7" s="1"/>
  <c r="C54" i="6"/>
  <c r="K54" i="6" s="1"/>
  <c r="AB8" i="2"/>
  <c r="AB7" i="2" s="1"/>
  <c r="C58" i="4"/>
  <c r="K58" i="4" s="1"/>
  <c r="T74" i="2"/>
  <c r="S8" i="2"/>
  <c r="S7" i="2" s="1"/>
  <c r="D104" i="13"/>
  <c r="C104" i="13" s="1"/>
  <c r="K104" i="13" s="1"/>
  <c r="K73" i="13"/>
  <c r="F8" i="13"/>
  <c r="F7" i="13" s="1"/>
  <c r="K105" i="12"/>
  <c r="J74" i="8"/>
  <c r="V8" i="6"/>
  <c r="V7" i="6" s="1"/>
  <c r="T74" i="1"/>
  <c r="O8" i="2"/>
  <c r="O7" i="2" s="1"/>
  <c r="K68" i="9"/>
  <c r="F8" i="5"/>
  <c r="F7" i="5" s="1"/>
  <c r="J11" i="1"/>
  <c r="AN74" i="13"/>
  <c r="J52" i="13"/>
  <c r="O8" i="13"/>
  <c r="O7" i="13" s="1"/>
  <c r="F8" i="12"/>
  <c r="F7" i="12" s="1"/>
  <c r="L8" i="12"/>
  <c r="AA8" i="10"/>
  <c r="AA7" i="10" s="1"/>
  <c r="K69" i="8"/>
  <c r="AT74" i="7"/>
  <c r="BX74" i="7"/>
  <c r="AR8" i="2"/>
  <c r="AR7" i="2" s="1"/>
  <c r="K19" i="1"/>
  <c r="Z8" i="10"/>
  <c r="Z7" i="10" s="1"/>
  <c r="N74" i="8"/>
  <c r="L8" i="8"/>
  <c r="K36" i="5"/>
  <c r="V52" i="1"/>
  <c r="D52" i="1"/>
  <c r="M52" i="1" s="1"/>
  <c r="AE8" i="2"/>
  <c r="AE7" i="2" s="1"/>
  <c r="Y8" i="1"/>
  <c r="Y7" i="1" s="1"/>
  <c r="K15" i="12"/>
  <c r="T74" i="5"/>
  <c r="K15" i="2"/>
  <c r="AG8" i="1"/>
  <c r="AG7" i="1" s="1"/>
  <c r="AE8" i="13"/>
  <c r="AE7" i="13" s="1"/>
  <c r="K93" i="9"/>
  <c r="K22" i="9"/>
  <c r="AA74" i="4"/>
  <c r="AF8" i="2"/>
  <c r="AF7" i="2" s="1"/>
  <c r="X52" i="2"/>
  <c r="K19" i="3"/>
  <c r="C20" i="2"/>
  <c r="K20" i="2" s="1"/>
  <c r="Q52" i="13"/>
  <c r="O8" i="11"/>
  <c r="O7" i="11" s="1"/>
  <c r="K38" i="9"/>
  <c r="J31" i="5"/>
  <c r="T8" i="4"/>
  <c r="T7" i="4" s="1"/>
  <c r="Q74" i="11"/>
  <c r="K73" i="2"/>
  <c r="U13" i="13"/>
  <c r="C43" i="9"/>
  <c r="K43" i="9" s="1"/>
  <c r="AE31" i="9"/>
  <c r="C113" i="8"/>
  <c r="K113" i="8" s="1"/>
  <c r="C55" i="9"/>
  <c r="K55" i="9" s="1"/>
  <c r="H8" i="8"/>
  <c r="BI74" i="7"/>
  <c r="C95" i="6"/>
  <c r="K95" i="6" s="1"/>
  <c r="BK8" i="7"/>
  <c r="BK7" i="7" s="1"/>
  <c r="K63" i="6"/>
  <c r="P74" i="4"/>
  <c r="C70" i="6"/>
  <c r="K70" i="6" s="1"/>
  <c r="K51" i="6"/>
  <c r="C86" i="5"/>
  <c r="K86" i="5" s="1"/>
  <c r="C111" i="5"/>
  <c r="K111" i="5" s="1"/>
  <c r="D74" i="4"/>
  <c r="C74" i="4" s="1"/>
  <c r="C56" i="4"/>
  <c r="K56" i="4" s="1"/>
  <c r="M109" i="4"/>
  <c r="M105" i="2"/>
  <c r="AO74" i="2"/>
  <c r="C47" i="2"/>
  <c r="K47" i="2" s="1"/>
  <c r="M73" i="2"/>
  <c r="C53" i="1"/>
  <c r="K53" i="1" s="1"/>
  <c r="M20" i="1"/>
  <c r="M15" i="2"/>
  <c r="D13" i="1"/>
  <c r="M13" i="1" s="1"/>
  <c r="D52" i="10"/>
  <c r="M52" i="10" s="1"/>
  <c r="D74" i="11"/>
  <c r="C41" i="10"/>
  <c r="K41" i="10" s="1"/>
  <c r="M43" i="5"/>
  <c r="Q31" i="12"/>
  <c r="U40" i="1"/>
  <c r="AJ31" i="13"/>
  <c r="D52" i="12"/>
  <c r="M52" i="12" s="1"/>
  <c r="D13" i="11"/>
  <c r="C13" i="11" s="1"/>
  <c r="M81" i="13"/>
  <c r="M112" i="13"/>
  <c r="M99" i="13"/>
  <c r="M30" i="13"/>
  <c r="AF13" i="13"/>
  <c r="D31" i="12"/>
  <c r="M31" i="12" s="1"/>
  <c r="K39" i="12"/>
  <c r="M66" i="12"/>
  <c r="C62" i="11"/>
  <c r="K62" i="11" s="1"/>
  <c r="C24" i="12"/>
  <c r="K24" i="12" s="1"/>
  <c r="M109" i="11"/>
  <c r="K16" i="11"/>
  <c r="D31" i="10"/>
  <c r="M31" i="10" s="1"/>
  <c r="C69" i="10"/>
  <c r="K69" i="10" s="1"/>
  <c r="M42" i="10"/>
  <c r="W52" i="9"/>
  <c r="C102" i="9"/>
  <c r="K102" i="9" s="1"/>
  <c r="D52" i="9"/>
  <c r="M52" i="9" s="1"/>
  <c r="M65" i="9"/>
  <c r="C78" i="8"/>
  <c r="K78" i="8" s="1"/>
  <c r="M28" i="9"/>
  <c r="N74" i="7"/>
  <c r="C60" i="7"/>
  <c r="K60" i="7" s="1"/>
  <c r="AL52" i="7"/>
  <c r="C26" i="7"/>
  <c r="K26" i="7" s="1"/>
  <c r="O8" i="7"/>
  <c r="C56" i="7"/>
  <c r="K56" i="7" s="1"/>
  <c r="AV8" i="7"/>
  <c r="AV7" i="7" s="1"/>
  <c r="F8" i="7"/>
  <c r="F7" i="7" s="1"/>
  <c r="BB8" i="7"/>
  <c r="BB7" i="7" s="1"/>
  <c r="BL31" i="7"/>
  <c r="M73" i="6"/>
  <c r="M116" i="6"/>
  <c r="M43" i="6"/>
  <c r="C61" i="5"/>
  <c r="K61" i="5" s="1"/>
  <c r="J74" i="4"/>
  <c r="M105" i="6"/>
  <c r="J9" i="6"/>
  <c r="M111" i="5"/>
  <c r="M68" i="4"/>
  <c r="C36" i="4"/>
  <c r="K36" i="4" s="1"/>
  <c r="D52" i="3"/>
  <c r="C52" i="3" s="1"/>
  <c r="M105" i="3"/>
  <c r="M83" i="4"/>
  <c r="M63" i="4"/>
  <c r="M97" i="2"/>
  <c r="D31" i="2"/>
  <c r="C31" i="2" s="1"/>
  <c r="K68" i="2"/>
  <c r="AV8" i="2"/>
  <c r="AV7" i="2" s="1"/>
  <c r="M22" i="3"/>
  <c r="M81" i="3"/>
  <c r="AK8" i="2"/>
  <c r="AK7" i="2" s="1"/>
  <c r="M64" i="3"/>
  <c r="D31" i="1"/>
  <c r="C31" i="1" s="1"/>
  <c r="V13" i="1"/>
  <c r="M50" i="1"/>
  <c r="T31" i="1"/>
  <c r="W74" i="12"/>
  <c r="P31" i="12"/>
  <c r="O8" i="12"/>
  <c r="O7" i="12" s="1"/>
  <c r="G8" i="11"/>
  <c r="C42" i="11"/>
  <c r="K42" i="11" s="1"/>
  <c r="C59" i="10"/>
  <c r="K59" i="10" s="1"/>
  <c r="J52" i="8"/>
  <c r="N31" i="5"/>
  <c r="N52" i="1"/>
  <c r="C59" i="12"/>
  <c r="K59" i="12" s="1"/>
  <c r="C109" i="11"/>
  <c r="K109" i="11" s="1"/>
  <c r="C79" i="13"/>
  <c r="K79" i="13" s="1"/>
  <c r="C82" i="13"/>
  <c r="K82" i="13" s="1"/>
  <c r="U31" i="13"/>
  <c r="AU8" i="13"/>
  <c r="AU7" i="13" s="1"/>
  <c r="D31" i="11"/>
  <c r="M31" i="11" s="1"/>
  <c r="D74" i="10"/>
  <c r="C74" i="10" s="1"/>
  <c r="C109" i="10"/>
  <c r="K109" i="10" s="1"/>
  <c r="C30" i="11"/>
  <c r="K30" i="11" s="1"/>
  <c r="D13" i="9"/>
  <c r="M13" i="9" s="1"/>
  <c r="M24" i="8"/>
  <c r="C97" i="8"/>
  <c r="K97" i="8" s="1"/>
  <c r="X52" i="7"/>
  <c r="BX52" i="7"/>
  <c r="D104" i="7"/>
  <c r="C104" i="7" s="1"/>
  <c r="K104" i="7" s="1"/>
  <c r="C38" i="7"/>
  <c r="K38" i="7" s="1"/>
  <c r="BH8" i="7"/>
  <c r="BH7" i="7" s="1"/>
  <c r="CG52" i="7"/>
  <c r="CG31" i="7"/>
  <c r="N74" i="6"/>
  <c r="F8" i="4"/>
  <c r="F7" i="4" s="1"/>
  <c r="C21" i="6"/>
  <c r="K21" i="6" s="1"/>
  <c r="C22" i="4"/>
  <c r="K22" i="4" s="1"/>
  <c r="C97" i="2"/>
  <c r="K97" i="2" s="1"/>
  <c r="AY8" i="2"/>
  <c r="AY7" i="2" s="1"/>
  <c r="K36" i="3"/>
  <c r="M83" i="2"/>
  <c r="AD8" i="2"/>
  <c r="AD7" i="2" s="1"/>
  <c r="C57" i="2"/>
  <c r="K57" i="2" s="1"/>
  <c r="C51" i="2"/>
  <c r="K51" i="2" s="1"/>
  <c r="D52" i="2"/>
  <c r="M52" i="2" s="1"/>
  <c r="M47" i="4"/>
  <c r="N89" i="1"/>
  <c r="K30" i="1"/>
  <c r="K27" i="1"/>
  <c r="W74" i="9"/>
  <c r="C95" i="9"/>
  <c r="K95" i="9" s="1"/>
  <c r="C15" i="9"/>
  <c r="K15" i="9" s="1"/>
  <c r="J74" i="5"/>
  <c r="J52" i="5"/>
  <c r="M33" i="5"/>
  <c r="M25" i="5"/>
  <c r="M41" i="5"/>
  <c r="Z8" i="1"/>
  <c r="Z7" i="1" s="1"/>
  <c r="M95" i="7"/>
  <c r="C95" i="7"/>
  <c r="K95" i="7" s="1"/>
  <c r="Q89" i="10"/>
  <c r="I10" i="10"/>
  <c r="M73" i="11"/>
  <c r="D104" i="10"/>
  <c r="C104" i="10" s="1"/>
  <c r="K104" i="10" s="1"/>
  <c r="M106" i="13"/>
  <c r="M68" i="13"/>
  <c r="M73" i="13"/>
  <c r="S8" i="13"/>
  <c r="S7" i="13" s="1"/>
  <c r="K38" i="13"/>
  <c r="M79" i="12"/>
  <c r="M64" i="12"/>
  <c r="C43" i="11"/>
  <c r="K43" i="11" s="1"/>
  <c r="K70" i="10"/>
  <c r="AC8" i="9"/>
  <c r="AC7" i="9" s="1"/>
  <c r="M47" i="8"/>
  <c r="C100" i="7"/>
  <c r="K100" i="7" s="1"/>
  <c r="M109" i="7"/>
  <c r="W31" i="7"/>
  <c r="Y8" i="7"/>
  <c r="Y7" i="7" s="1"/>
  <c r="M50" i="7"/>
  <c r="AP8" i="7"/>
  <c r="AP7" i="7" s="1"/>
  <c r="AT52" i="7"/>
  <c r="C101" i="6"/>
  <c r="K101" i="6" s="1"/>
  <c r="AD52" i="4"/>
  <c r="J52" i="6"/>
  <c r="C40" i="4"/>
  <c r="K40" i="4" s="1"/>
  <c r="D74" i="3"/>
  <c r="C74" i="3" s="1"/>
  <c r="C50" i="2"/>
  <c r="K50" i="2" s="1"/>
  <c r="AN8" i="2"/>
  <c r="AN7" i="2" s="1"/>
  <c r="J89" i="4"/>
  <c r="K78" i="4"/>
  <c r="M67" i="2"/>
  <c r="Z31" i="2"/>
  <c r="L10" i="1"/>
  <c r="J10" i="1" s="1"/>
  <c r="M34" i="1"/>
  <c r="C102" i="1"/>
  <c r="K102" i="1" s="1"/>
  <c r="X8" i="13"/>
  <c r="X7" i="13" s="1"/>
  <c r="C27" i="11"/>
  <c r="K27" i="11" s="1"/>
  <c r="AE74" i="9"/>
  <c r="K79" i="7"/>
  <c r="D31" i="5"/>
  <c r="C31" i="5" s="1"/>
  <c r="K32" i="5"/>
  <c r="K18" i="5"/>
  <c r="J89" i="2"/>
  <c r="F8" i="1"/>
  <c r="F7" i="1" s="1"/>
  <c r="AP8" i="2"/>
  <c r="AP7" i="2" s="1"/>
  <c r="W72" i="1"/>
  <c r="C35" i="2"/>
  <c r="K35" i="2" s="1"/>
  <c r="J11" i="12"/>
  <c r="C106" i="13"/>
  <c r="K106" i="13" s="1"/>
  <c r="U52" i="13"/>
  <c r="K79" i="12"/>
  <c r="C75" i="10"/>
  <c r="K75" i="10" s="1"/>
  <c r="G8" i="9"/>
  <c r="P8" i="9" s="1"/>
  <c r="BF52" i="7"/>
  <c r="CL8" i="7"/>
  <c r="CL7" i="7" s="1"/>
  <c r="X52" i="4"/>
  <c r="K45" i="4"/>
  <c r="C106" i="4"/>
  <c r="K106" i="4" s="1"/>
  <c r="Q74" i="3"/>
  <c r="J31" i="4"/>
  <c r="AH8" i="2"/>
  <c r="AH7" i="2" s="1"/>
  <c r="AJ8" i="1"/>
  <c r="AJ7" i="1" s="1"/>
  <c r="J74" i="13"/>
  <c r="K24" i="13"/>
  <c r="BC8" i="13"/>
  <c r="BC7" i="13" s="1"/>
  <c r="Z8" i="12"/>
  <c r="Z7" i="12" s="1"/>
  <c r="E8" i="10"/>
  <c r="E7" i="10" s="1"/>
  <c r="D74" i="5"/>
  <c r="AC8" i="4"/>
  <c r="AC7" i="4" s="1"/>
  <c r="D52" i="5"/>
  <c r="C52" i="5" s="1"/>
  <c r="W38" i="1"/>
  <c r="AC8" i="2"/>
  <c r="AC7" i="2" s="1"/>
  <c r="AD8" i="1"/>
  <c r="AD7" i="1" s="1"/>
  <c r="Y8" i="9"/>
  <c r="Y7" i="9" s="1"/>
  <c r="E8" i="9"/>
  <c r="E7" i="9" s="1"/>
  <c r="J13" i="4"/>
  <c r="T31" i="2"/>
  <c r="M94" i="13"/>
  <c r="C94" i="13"/>
  <c r="K94" i="13" s="1"/>
  <c r="M22" i="13"/>
  <c r="C22" i="13"/>
  <c r="K22" i="13" s="1"/>
  <c r="Y8" i="12"/>
  <c r="Y7" i="12" s="1"/>
  <c r="S8" i="8"/>
  <c r="S7" i="8" s="1"/>
  <c r="O8" i="8"/>
  <c r="M44" i="6"/>
  <c r="C44" i="6"/>
  <c r="K44" i="6" s="1"/>
  <c r="N74" i="5"/>
  <c r="X74" i="2"/>
  <c r="Q89" i="4"/>
  <c r="I10" i="4"/>
  <c r="R8" i="4"/>
  <c r="R7" i="4" s="1"/>
  <c r="I8" i="5"/>
  <c r="Q8" i="5" s="1"/>
  <c r="Q13" i="5"/>
  <c r="Q13" i="1"/>
  <c r="I8" i="1"/>
  <c r="Q8" i="1" s="1"/>
  <c r="W8" i="2"/>
  <c r="W7" i="2" s="1"/>
  <c r="J89" i="13"/>
  <c r="AG8" i="13"/>
  <c r="AG7" i="13" s="1"/>
  <c r="J89" i="11"/>
  <c r="G8" i="10"/>
  <c r="P8" i="10" s="1"/>
  <c r="T52" i="9"/>
  <c r="AO52" i="7"/>
  <c r="AW31" i="7"/>
  <c r="AN8" i="7"/>
  <c r="AN7" i="7" s="1"/>
  <c r="N52" i="4"/>
  <c r="Q52" i="3"/>
  <c r="N52" i="2"/>
  <c r="AO52" i="2"/>
  <c r="AZ31" i="2"/>
  <c r="N31" i="2"/>
  <c r="C69" i="13"/>
  <c r="K69" i="13" s="1"/>
  <c r="M69" i="13"/>
  <c r="M107" i="13"/>
  <c r="C107" i="13"/>
  <c r="K107" i="13" s="1"/>
  <c r="T52" i="12"/>
  <c r="N52" i="12"/>
  <c r="M96" i="7"/>
  <c r="C96" i="7"/>
  <c r="K96" i="7" s="1"/>
  <c r="P89" i="8"/>
  <c r="G10" i="8"/>
  <c r="E8" i="8"/>
  <c r="E7" i="8" s="1"/>
  <c r="H9" i="9"/>
  <c r="M50" i="6"/>
  <c r="C50" i="6"/>
  <c r="K50" i="6" s="1"/>
  <c r="M88" i="6"/>
  <c r="C88" i="6"/>
  <c r="K88" i="6" s="1"/>
  <c r="M82" i="6"/>
  <c r="C82" i="6"/>
  <c r="K82" i="6" s="1"/>
  <c r="R8" i="5"/>
  <c r="Q89" i="2"/>
  <c r="I10" i="2"/>
  <c r="D104" i="6"/>
  <c r="C14" i="5"/>
  <c r="K14" i="5" s="1"/>
  <c r="D13" i="5"/>
  <c r="M14" i="5"/>
  <c r="N89" i="3"/>
  <c r="H10" i="3"/>
  <c r="H8" i="1"/>
  <c r="J10" i="13"/>
  <c r="Q13" i="13"/>
  <c r="J52" i="9"/>
  <c r="W52" i="7"/>
  <c r="AH8" i="7"/>
  <c r="AH7" i="7" s="1"/>
  <c r="E8" i="4"/>
  <c r="E7" i="4" s="1"/>
  <c r="Y8" i="2"/>
  <c r="Y7" i="2" s="1"/>
  <c r="AX8" i="13"/>
  <c r="AX7" i="13" s="1"/>
  <c r="M27" i="13"/>
  <c r="C27" i="13"/>
  <c r="K27" i="13" s="1"/>
  <c r="S8" i="12"/>
  <c r="S7" i="12" s="1"/>
  <c r="N89" i="11"/>
  <c r="H10" i="11"/>
  <c r="T52" i="11"/>
  <c r="T74" i="9"/>
  <c r="J89" i="8"/>
  <c r="L10" i="8"/>
  <c r="AC74" i="7"/>
  <c r="N52" i="5"/>
  <c r="M42" i="6"/>
  <c r="C42" i="6"/>
  <c r="K42" i="6" s="1"/>
  <c r="J13" i="5"/>
  <c r="L8" i="5"/>
  <c r="S8" i="5"/>
  <c r="S7" i="5" s="1"/>
  <c r="H8" i="5"/>
  <c r="AA8" i="1"/>
  <c r="AA7" i="1" s="1"/>
  <c r="S52" i="1"/>
  <c r="I8" i="6"/>
  <c r="Q8" i="6" s="1"/>
  <c r="M68" i="7"/>
  <c r="C68" i="7"/>
  <c r="K68" i="7" s="1"/>
  <c r="M25" i="7"/>
  <c r="C25" i="7"/>
  <c r="K25" i="7" s="1"/>
  <c r="M48" i="6"/>
  <c r="C48" i="6"/>
  <c r="K48" i="6" s="1"/>
  <c r="M99" i="5"/>
  <c r="C99" i="5"/>
  <c r="K99" i="5" s="1"/>
  <c r="M86" i="6"/>
  <c r="C86" i="6"/>
  <c r="K86" i="6" s="1"/>
  <c r="M80" i="6"/>
  <c r="C80" i="6"/>
  <c r="K80" i="6" s="1"/>
  <c r="X8" i="1"/>
  <c r="X7" i="1" s="1"/>
  <c r="R13" i="1"/>
  <c r="AS8" i="13"/>
  <c r="AS7" i="13" s="1"/>
  <c r="O8" i="10"/>
  <c r="O7" i="10" s="1"/>
  <c r="S8" i="9"/>
  <c r="S7" i="9" s="1"/>
  <c r="CO8" i="7"/>
  <c r="CO7" i="7" s="1"/>
  <c r="S8" i="6"/>
  <c r="S7" i="6" s="1"/>
  <c r="E8" i="12"/>
  <c r="E7" i="12" s="1"/>
  <c r="C109" i="12"/>
  <c r="K109" i="12" s="1"/>
  <c r="M109" i="12"/>
  <c r="D104" i="12"/>
  <c r="N13" i="8"/>
  <c r="Q89" i="7"/>
  <c r="I10" i="7"/>
  <c r="Q89" i="8"/>
  <c r="I10" i="8"/>
  <c r="M40" i="6"/>
  <c r="C40" i="6"/>
  <c r="K40" i="6" s="1"/>
  <c r="O8" i="6"/>
  <c r="O7" i="6" s="1"/>
  <c r="E8" i="5"/>
  <c r="E7" i="5" s="1"/>
  <c r="M71" i="3"/>
  <c r="C71" i="3"/>
  <c r="K71" i="3" s="1"/>
  <c r="N13" i="1"/>
  <c r="K96" i="2"/>
  <c r="W82" i="1"/>
  <c r="W75" i="1"/>
  <c r="N89" i="2"/>
  <c r="H10" i="2"/>
  <c r="K66" i="12"/>
  <c r="CN8" i="7"/>
  <c r="CN7" i="7" s="1"/>
  <c r="BO31" i="7"/>
  <c r="BZ8" i="7"/>
  <c r="BZ7" i="7" s="1"/>
  <c r="BD8" i="7"/>
  <c r="BD7" i="7" s="1"/>
  <c r="AZ74" i="13"/>
  <c r="C84" i="10"/>
  <c r="K84" i="10" s="1"/>
  <c r="M84" i="10"/>
  <c r="C87" i="9"/>
  <c r="K87" i="9" s="1"/>
  <c r="M87" i="9"/>
  <c r="K69" i="9"/>
  <c r="M99" i="8"/>
  <c r="C99" i="8"/>
  <c r="K99" i="8" s="1"/>
  <c r="M77" i="8"/>
  <c r="C77" i="8"/>
  <c r="K77" i="8" s="1"/>
  <c r="AS8" i="7"/>
  <c r="AS7" i="7" s="1"/>
  <c r="M46" i="6"/>
  <c r="C46" i="6"/>
  <c r="K46" i="6" s="1"/>
  <c r="M84" i="6"/>
  <c r="C84" i="6"/>
  <c r="K84" i="6" s="1"/>
  <c r="M78" i="6"/>
  <c r="C78" i="6"/>
  <c r="K78" i="6" s="1"/>
  <c r="C16" i="5"/>
  <c r="K16" i="5" s="1"/>
  <c r="M16" i="5"/>
  <c r="N74" i="1"/>
  <c r="W68" i="1"/>
  <c r="N52" i="13"/>
  <c r="H8" i="13"/>
  <c r="M92" i="12"/>
  <c r="C92" i="12"/>
  <c r="K92" i="12" s="1"/>
  <c r="P89" i="9"/>
  <c r="G10" i="9"/>
  <c r="J89" i="7"/>
  <c r="L10" i="7"/>
  <c r="P89" i="4"/>
  <c r="G10" i="4"/>
  <c r="G8" i="1"/>
  <c r="P13" i="1"/>
  <c r="P89" i="10"/>
  <c r="G10" i="10"/>
  <c r="J89" i="10"/>
  <c r="L10" i="10"/>
  <c r="W31" i="9"/>
  <c r="C82" i="9"/>
  <c r="K82" i="9" s="1"/>
  <c r="M82" i="9"/>
  <c r="H8" i="9"/>
  <c r="N13" i="9"/>
  <c r="AA8" i="9"/>
  <c r="AA7" i="9" s="1"/>
  <c r="V8" i="9"/>
  <c r="V7" i="9" s="1"/>
  <c r="P89" i="7"/>
  <c r="G10" i="7"/>
  <c r="M92" i="7"/>
  <c r="C92" i="7"/>
  <c r="K92" i="7" s="1"/>
  <c r="M66" i="7"/>
  <c r="C66" i="7"/>
  <c r="K66" i="7" s="1"/>
  <c r="N52" i="7"/>
  <c r="CM31" i="7"/>
  <c r="CK8" i="7"/>
  <c r="C28" i="7"/>
  <c r="K28" i="7" s="1"/>
  <c r="M28" i="7"/>
  <c r="X13" i="7"/>
  <c r="R8" i="7"/>
  <c r="T13" i="7"/>
  <c r="C35" i="7"/>
  <c r="K35" i="7" s="1"/>
  <c r="M35" i="7"/>
  <c r="M90" i="6"/>
  <c r="D89" i="6"/>
  <c r="C90" i="6"/>
  <c r="K90" i="6" s="1"/>
  <c r="H8" i="7"/>
  <c r="C28" i="6"/>
  <c r="K28" i="6" s="1"/>
  <c r="M28" i="6"/>
  <c r="J13" i="6"/>
  <c r="L8" i="6"/>
  <c r="BE8" i="7"/>
  <c r="BE7" i="7" s="1"/>
  <c r="Q89" i="6"/>
  <c r="I10" i="6"/>
  <c r="J13" i="7"/>
  <c r="L8" i="7"/>
  <c r="AI13" i="7"/>
  <c r="AG8" i="7"/>
  <c r="BF13" i="7"/>
  <c r="C75" i="6"/>
  <c r="K75" i="6" s="1"/>
  <c r="M75" i="6"/>
  <c r="D74" i="6"/>
  <c r="K62" i="6"/>
  <c r="CJ13" i="7"/>
  <c r="CH8" i="7"/>
  <c r="E8" i="7"/>
  <c r="E7" i="7" s="1"/>
  <c r="C90" i="3"/>
  <c r="K90" i="3" s="1"/>
  <c r="M90" i="3"/>
  <c r="D89" i="3"/>
  <c r="G8" i="2"/>
  <c r="P13" i="2"/>
  <c r="C32" i="3"/>
  <c r="K32" i="3" s="1"/>
  <c r="M32" i="3"/>
  <c r="D31" i="3"/>
  <c r="G10" i="2"/>
  <c r="P89" i="2"/>
  <c r="C76" i="2"/>
  <c r="K76" i="2" s="1"/>
  <c r="M76" i="2"/>
  <c r="D74" i="2"/>
  <c r="J13" i="2"/>
  <c r="L8" i="2"/>
  <c r="C56" i="3"/>
  <c r="K56" i="3" s="1"/>
  <c r="M56" i="3"/>
  <c r="AQ13" i="2"/>
  <c r="AM8" i="2"/>
  <c r="L9" i="4"/>
  <c r="J9" i="4" s="1"/>
  <c r="J10" i="4"/>
  <c r="E8" i="3"/>
  <c r="E7" i="3" s="1"/>
  <c r="Q89" i="13"/>
  <c r="I10" i="13"/>
  <c r="C29" i="13"/>
  <c r="K29" i="13" s="1"/>
  <c r="M29" i="13"/>
  <c r="Y74" i="10"/>
  <c r="W74" i="10"/>
  <c r="AB74" i="10"/>
  <c r="U74" i="10"/>
  <c r="AT13" i="7"/>
  <c r="AR8" i="7"/>
  <c r="L8" i="13"/>
  <c r="C90" i="13"/>
  <c r="K90" i="13" s="1"/>
  <c r="M90" i="13"/>
  <c r="D89" i="13"/>
  <c r="C56" i="13"/>
  <c r="K56" i="13" s="1"/>
  <c r="M56" i="13"/>
  <c r="C49" i="13"/>
  <c r="K49" i="13" s="1"/>
  <c r="M49" i="13"/>
  <c r="C57" i="13"/>
  <c r="K57" i="13" s="1"/>
  <c r="M57" i="13"/>
  <c r="C46" i="13"/>
  <c r="K46" i="13" s="1"/>
  <c r="M46" i="13"/>
  <c r="C45" i="13"/>
  <c r="K45" i="13" s="1"/>
  <c r="M45" i="13"/>
  <c r="C36" i="13"/>
  <c r="K36" i="13" s="1"/>
  <c r="M36" i="13"/>
  <c r="J9" i="13"/>
  <c r="W8" i="13"/>
  <c r="W7" i="13" s="1"/>
  <c r="J89" i="12"/>
  <c r="L10" i="12"/>
  <c r="M98" i="12"/>
  <c r="C98" i="12"/>
  <c r="K98" i="12" s="1"/>
  <c r="W52" i="12"/>
  <c r="U8" i="12"/>
  <c r="J9" i="11"/>
  <c r="N13" i="10"/>
  <c r="H8" i="10"/>
  <c r="AB13" i="9"/>
  <c r="Z13" i="9"/>
  <c r="X8" i="9"/>
  <c r="J13" i="10"/>
  <c r="D74" i="9"/>
  <c r="U8" i="9"/>
  <c r="W13" i="9"/>
  <c r="C90" i="8"/>
  <c r="K90" i="8" s="1"/>
  <c r="M90" i="8"/>
  <c r="D89" i="8"/>
  <c r="D89" i="7"/>
  <c r="M90" i="7"/>
  <c r="C90" i="7"/>
  <c r="K90" i="7" s="1"/>
  <c r="X74" i="7"/>
  <c r="C42" i="7"/>
  <c r="K42" i="7" s="1"/>
  <c r="M42" i="7"/>
  <c r="M19" i="7"/>
  <c r="C19" i="7"/>
  <c r="K19" i="7" s="1"/>
  <c r="AI74" i="7"/>
  <c r="AB8" i="7"/>
  <c r="AB7" i="7" s="1"/>
  <c r="AC13" i="7"/>
  <c r="G10" i="6"/>
  <c r="P89" i="6"/>
  <c r="G10" i="5"/>
  <c r="P89" i="5"/>
  <c r="S8" i="7"/>
  <c r="S7" i="7" s="1"/>
  <c r="J89" i="6"/>
  <c r="T13" i="6"/>
  <c r="R8" i="6"/>
  <c r="BW8" i="7"/>
  <c r="BW7" i="7" s="1"/>
  <c r="C53" i="6"/>
  <c r="K53" i="6" s="1"/>
  <c r="M53" i="6"/>
  <c r="D52" i="6"/>
  <c r="CC8" i="7"/>
  <c r="CC7" i="7" s="1"/>
  <c r="BX13" i="7"/>
  <c r="BV8" i="7"/>
  <c r="N31" i="6"/>
  <c r="N13" i="6"/>
  <c r="H9" i="4"/>
  <c r="N10" i="4"/>
  <c r="L8" i="4"/>
  <c r="J52" i="3"/>
  <c r="Q13" i="2"/>
  <c r="I8" i="2"/>
  <c r="J74" i="3"/>
  <c r="P13" i="4"/>
  <c r="G8" i="4"/>
  <c r="C14" i="3"/>
  <c r="K14" i="3" s="1"/>
  <c r="M14" i="3"/>
  <c r="D13" i="3"/>
  <c r="I9" i="1"/>
  <c r="Q10" i="1"/>
  <c r="U8" i="2"/>
  <c r="C58" i="13"/>
  <c r="K58" i="13" s="1"/>
  <c r="M58" i="13"/>
  <c r="M28" i="13"/>
  <c r="C28" i="13"/>
  <c r="K28" i="13" s="1"/>
  <c r="C48" i="13"/>
  <c r="K48" i="13" s="1"/>
  <c r="M48" i="13"/>
  <c r="C75" i="12"/>
  <c r="K75" i="12" s="1"/>
  <c r="D74" i="12"/>
  <c r="M75" i="12"/>
  <c r="J89" i="9"/>
  <c r="L10" i="9"/>
  <c r="R8" i="9"/>
  <c r="M98" i="7"/>
  <c r="C98" i="7"/>
  <c r="K98" i="7" s="1"/>
  <c r="M45" i="7"/>
  <c r="C45" i="7"/>
  <c r="K45" i="7" s="1"/>
  <c r="U13" i="4"/>
  <c r="S8" i="4"/>
  <c r="H9" i="1"/>
  <c r="M75" i="13"/>
  <c r="C75" i="13"/>
  <c r="K75" i="13" s="1"/>
  <c r="D74" i="13"/>
  <c r="AD8" i="13"/>
  <c r="P89" i="13"/>
  <c r="G10" i="13"/>
  <c r="C62" i="13"/>
  <c r="K62" i="13" s="1"/>
  <c r="M62" i="13"/>
  <c r="AN31" i="13"/>
  <c r="D13" i="13"/>
  <c r="E8" i="13"/>
  <c r="E7" i="13" s="1"/>
  <c r="R8" i="13"/>
  <c r="AZ13" i="13"/>
  <c r="AW8" i="13"/>
  <c r="AR13" i="13"/>
  <c r="AO8" i="13"/>
  <c r="Q89" i="12"/>
  <c r="I10" i="12"/>
  <c r="Q52" i="12"/>
  <c r="I8" i="12"/>
  <c r="Q89" i="11"/>
  <c r="I10" i="11"/>
  <c r="K64" i="12"/>
  <c r="C14" i="12"/>
  <c r="K14" i="12" s="1"/>
  <c r="M14" i="12"/>
  <c r="D13" i="12"/>
  <c r="Y52" i="10"/>
  <c r="W52" i="10"/>
  <c r="AB52" i="10"/>
  <c r="U52" i="10"/>
  <c r="H8" i="11"/>
  <c r="Q89" i="9"/>
  <c r="I10" i="9"/>
  <c r="J13" i="9"/>
  <c r="L8" i="9"/>
  <c r="N89" i="8"/>
  <c r="H10" i="8"/>
  <c r="AF74" i="7"/>
  <c r="BR31" i="7"/>
  <c r="BP8" i="7"/>
  <c r="AQ8" i="7"/>
  <c r="AQ7" i="7" s="1"/>
  <c r="CD13" i="7"/>
  <c r="CB8" i="7"/>
  <c r="BY8" i="7"/>
  <c r="AI31" i="7"/>
  <c r="AO13" i="7"/>
  <c r="AM8" i="7"/>
  <c r="M32" i="6"/>
  <c r="D31" i="6"/>
  <c r="C32" i="6"/>
  <c r="K32" i="6" s="1"/>
  <c r="C53" i="7"/>
  <c r="K53" i="7" s="1"/>
  <c r="M53" i="7"/>
  <c r="D52" i="7"/>
  <c r="AZ13" i="7"/>
  <c r="AX8" i="7"/>
  <c r="Z8" i="7"/>
  <c r="Z7" i="7" s="1"/>
  <c r="BI13" i="7"/>
  <c r="BG8" i="7"/>
  <c r="J10" i="6"/>
  <c r="M14" i="6"/>
  <c r="C14" i="6"/>
  <c r="K14" i="6" s="1"/>
  <c r="D13" i="6"/>
  <c r="AW52" i="7"/>
  <c r="Q13" i="7"/>
  <c r="I8" i="7"/>
  <c r="G8" i="3"/>
  <c r="P13" i="3"/>
  <c r="C32" i="4"/>
  <c r="K32" i="4" s="1"/>
  <c r="M32" i="4"/>
  <c r="D31" i="4"/>
  <c r="M116" i="3"/>
  <c r="C116" i="3"/>
  <c r="K116" i="3" s="1"/>
  <c r="C33" i="4"/>
  <c r="K33" i="4" s="1"/>
  <c r="M33" i="4"/>
  <c r="M108" i="3"/>
  <c r="C108" i="3"/>
  <c r="K108" i="3" s="1"/>
  <c r="O8" i="3"/>
  <c r="O7" i="3" s="1"/>
  <c r="F8" i="3"/>
  <c r="F7" i="3" s="1"/>
  <c r="I8" i="3"/>
  <c r="N74" i="2"/>
  <c r="Q13" i="4"/>
  <c r="G10" i="3"/>
  <c r="P89" i="3"/>
  <c r="V8" i="2"/>
  <c r="R8" i="2"/>
  <c r="N89" i="10"/>
  <c r="H10" i="10"/>
  <c r="N74" i="9"/>
  <c r="J74" i="9"/>
  <c r="I8" i="10"/>
  <c r="Q13" i="10"/>
  <c r="AJ8" i="7"/>
  <c r="AL13" i="7"/>
  <c r="M38" i="6"/>
  <c r="C38" i="6"/>
  <c r="K38" i="6" s="1"/>
  <c r="L9" i="5"/>
  <c r="L8" i="3"/>
  <c r="J31" i="3"/>
  <c r="C64" i="13"/>
  <c r="K64" i="13" s="1"/>
  <c r="M64" i="13"/>
  <c r="P89" i="11"/>
  <c r="G10" i="11"/>
  <c r="C63" i="13"/>
  <c r="K63" i="13" s="1"/>
  <c r="M63" i="13"/>
  <c r="AL8" i="13"/>
  <c r="AL7" i="13" s="1"/>
  <c r="D31" i="13"/>
  <c r="C32" i="13"/>
  <c r="K32" i="13" s="1"/>
  <c r="M32" i="13"/>
  <c r="C43" i="13"/>
  <c r="K43" i="13" s="1"/>
  <c r="M43" i="13"/>
  <c r="AN52" i="13"/>
  <c r="BD52" i="13"/>
  <c r="C42" i="13"/>
  <c r="K42" i="13" s="1"/>
  <c r="M42" i="13"/>
  <c r="C33" i="13"/>
  <c r="K33" i="13" s="1"/>
  <c r="M33" i="13"/>
  <c r="M90" i="12"/>
  <c r="D89" i="12"/>
  <c r="C90" i="12"/>
  <c r="K90" i="12" s="1"/>
  <c r="C17" i="13"/>
  <c r="K17" i="13" s="1"/>
  <c r="M17" i="13"/>
  <c r="T8" i="13"/>
  <c r="T7" i="13" s="1"/>
  <c r="Y13" i="13"/>
  <c r="V8" i="13"/>
  <c r="AC13" i="13"/>
  <c r="AA8" i="13"/>
  <c r="AA7" i="13" s="1"/>
  <c r="AN13" i="13"/>
  <c r="AK8" i="13"/>
  <c r="P89" i="12"/>
  <c r="G10" i="12"/>
  <c r="K85" i="12"/>
  <c r="Q13" i="11"/>
  <c r="I8" i="11"/>
  <c r="Y31" i="10"/>
  <c r="W31" i="10"/>
  <c r="AB31" i="10"/>
  <c r="U31" i="10"/>
  <c r="N31" i="11"/>
  <c r="F8" i="9"/>
  <c r="F7" i="9" s="1"/>
  <c r="C88" i="9"/>
  <c r="K88" i="9" s="1"/>
  <c r="M88" i="9"/>
  <c r="M36" i="9"/>
  <c r="C36" i="9"/>
  <c r="K36" i="9" s="1"/>
  <c r="I8" i="9"/>
  <c r="Q13" i="9"/>
  <c r="AL31" i="7"/>
  <c r="AK8" i="7"/>
  <c r="AK7" i="7" s="1"/>
  <c r="BL13" i="7"/>
  <c r="BJ8" i="7"/>
  <c r="C34" i="7"/>
  <c r="K34" i="7" s="1"/>
  <c r="M34" i="7"/>
  <c r="C22" i="7"/>
  <c r="K22" i="7" s="1"/>
  <c r="M22" i="7"/>
  <c r="AF13" i="7"/>
  <c r="AD8" i="7"/>
  <c r="AA8" i="7"/>
  <c r="G8" i="6"/>
  <c r="P13" i="6"/>
  <c r="AF31" i="7"/>
  <c r="BT8" i="7"/>
  <c r="BT7" i="7" s="1"/>
  <c r="G8" i="7"/>
  <c r="AU8" i="7"/>
  <c r="H10" i="5"/>
  <c r="N89" i="5"/>
  <c r="M112" i="3"/>
  <c r="C112" i="3"/>
  <c r="K112" i="3" s="1"/>
  <c r="BM8" i="7"/>
  <c r="L10" i="3"/>
  <c r="J89" i="3"/>
  <c r="U8" i="6"/>
  <c r="C43" i="2"/>
  <c r="K43" i="2" s="1"/>
  <c r="M43" i="2"/>
  <c r="C50" i="3"/>
  <c r="K50" i="3" s="1"/>
  <c r="M50" i="3"/>
  <c r="P74" i="3"/>
  <c r="Q13" i="3"/>
  <c r="AW31" i="2"/>
  <c r="I8" i="4"/>
  <c r="AD13" i="4"/>
  <c r="AB8" i="4"/>
  <c r="N13" i="3"/>
  <c r="H8" i="3"/>
  <c r="AX8" i="2"/>
  <c r="AZ13" i="2"/>
  <c r="J10" i="2"/>
  <c r="AC31" i="13"/>
  <c r="Z8" i="13"/>
  <c r="C39" i="13"/>
  <c r="K39" i="13" s="1"/>
  <c r="M39" i="13"/>
  <c r="K83" i="12"/>
  <c r="C90" i="11"/>
  <c r="K90" i="11" s="1"/>
  <c r="M90" i="11"/>
  <c r="D89" i="11"/>
  <c r="BU13" i="7"/>
  <c r="BS8" i="7"/>
  <c r="CE8" i="7"/>
  <c r="H8" i="4"/>
  <c r="N31" i="4"/>
  <c r="C90" i="10"/>
  <c r="K90" i="10" s="1"/>
  <c r="D89" i="10"/>
  <c r="M90" i="10"/>
  <c r="M78" i="13"/>
  <c r="C78" i="13"/>
  <c r="K78" i="13" s="1"/>
  <c r="K100" i="13"/>
  <c r="N89" i="13"/>
  <c r="H10" i="13"/>
  <c r="M76" i="13"/>
  <c r="C76" i="13"/>
  <c r="K76" i="13" s="1"/>
  <c r="D52" i="13"/>
  <c r="AR52" i="13"/>
  <c r="C50" i="13"/>
  <c r="K50" i="13" s="1"/>
  <c r="M50" i="13"/>
  <c r="AV13" i="13"/>
  <c r="AI8" i="13"/>
  <c r="AI7" i="13" s="1"/>
  <c r="BD13" i="13"/>
  <c r="BA8" i="13"/>
  <c r="N89" i="12"/>
  <c r="H10" i="12"/>
  <c r="P13" i="13"/>
  <c r="G8" i="13"/>
  <c r="R8" i="12"/>
  <c r="J31" i="12"/>
  <c r="N31" i="12"/>
  <c r="G8" i="12"/>
  <c r="T13" i="11"/>
  <c r="R8" i="11"/>
  <c r="E8" i="11"/>
  <c r="E7" i="11" s="1"/>
  <c r="J10" i="11"/>
  <c r="Y13" i="10"/>
  <c r="S8" i="10"/>
  <c r="AB13" i="10"/>
  <c r="U13" i="10"/>
  <c r="W13" i="10"/>
  <c r="L8" i="11"/>
  <c r="AB31" i="9"/>
  <c r="Z31" i="9"/>
  <c r="AB74" i="9"/>
  <c r="Z74" i="9"/>
  <c r="AB52" i="9"/>
  <c r="Z52" i="9"/>
  <c r="AG52" i="9"/>
  <c r="AE52" i="9"/>
  <c r="N52" i="9"/>
  <c r="O8" i="9"/>
  <c r="O7" i="9" s="1"/>
  <c r="C80" i="7"/>
  <c r="K80" i="7" s="1"/>
  <c r="M80" i="7"/>
  <c r="N89" i="7"/>
  <c r="H10" i="7"/>
  <c r="C75" i="7"/>
  <c r="K75" i="7" s="1"/>
  <c r="D74" i="7"/>
  <c r="M75" i="7"/>
  <c r="C54" i="7"/>
  <c r="K54" i="7" s="1"/>
  <c r="M54" i="7"/>
  <c r="BF74" i="7"/>
  <c r="BC31" i="7"/>
  <c r="BA8" i="7"/>
  <c r="X31" i="7"/>
  <c r="AE8" i="7"/>
  <c r="AE7" i="7" s="1"/>
  <c r="CA31" i="7"/>
  <c r="D13" i="7"/>
  <c r="U8" i="7"/>
  <c r="W13" i="7"/>
  <c r="N13" i="7"/>
  <c r="M98" i="5"/>
  <c r="C98" i="5"/>
  <c r="K98" i="5" s="1"/>
  <c r="BI52" i="7"/>
  <c r="M111" i="3"/>
  <c r="C111" i="3"/>
  <c r="K111" i="3" s="1"/>
  <c r="Y8" i="4"/>
  <c r="AA13" i="4"/>
  <c r="M115" i="3"/>
  <c r="C115" i="3"/>
  <c r="K115" i="3" s="1"/>
  <c r="X13" i="4"/>
  <c r="V8" i="4"/>
  <c r="D104" i="3"/>
  <c r="M107" i="3"/>
  <c r="C107" i="3"/>
  <c r="K107" i="3" s="1"/>
  <c r="C91" i="3"/>
  <c r="K91" i="3" s="1"/>
  <c r="M91" i="3"/>
  <c r="C78" i="3"/>
  <c r="K78" i="3" s="1"/>
  <c r="M78" i="3"/>
  <c r="C46" i="2"/>
  <c r="K46" i="2" s="1"/>
  <c r="M46" i="2"/>
  <c r="Q31" i="3"/>
  <c r="J13" i="3"/>
  <c r="AL8" i="2"/>
  <c r="AO13" i="2"/>
  <c r="N13" i="2"/>
  <c r="K31" i="7" l="1"/>
  <c r="K74" i="10"/>
  <c r="K31" i="9"/>
  <c r="O7" i="7"/>
  <c r="W31" i="1"/>
  <c r="M52" i="8"/>
  <c r="C104" i="4"/>
  <c r="K104" i="4" s="1"/>
  <c r="I9" i="3"/>
  <c r="Q9" i="3" s="1"/>
  <c r="U74" i="1"/>
  <c r="M13" i="11"/>
  <c r="C89" i="9"/>
  <c r="K89" i="9" s="1"/>
  <c r="K13" i="11"/>
  <c r="M31" i="9"/>
  <c r="N10" i="6"/>
  <c r="C52" i="4"/>
  <c r="K52" i="4" s="1"/>
  <c r="N8" i="6"/>
  <c r="J10" i="5"/>
  <c r="M52" i="11"/>
  <c r="C52" i="2"/>
  <c r="K52" i="2" s="1"/>
  <c r="O7" i="5"/>
  <c r="C104" i="5"/>
  <c r="K104" i="5" s="1"/>
  <c r="AL7" i="1"/>
  <c r="C13" i="4"/>
  <c r="K13" i="4" s="1"/>
  <c r="K31" i="1"/>
  <c r="C31" i="8"/>
  <c r="K31" i="8" s="1"/>
  <c r="K52" i="11"/>
  <c r="M74" i="10"/>
  <c r="W13" i="1"/>
  <c r="M104" i="13"/>
  <c r="C74" i="8"/>
  <c r="K74" i="8" s="1"/>
  <c r="M31" i="1"/>
  <c r="K13" i="8"/>
  <c r="N9" i="6"/>
  <c r="H7" i="6"/>
  <c r="K74" i="1"/>
  <c r="M104" i="2"/>
  <c r="M13" i="10"/>
  <c r="M89" i="2"/>
  <c r="C89" i="4"/>
  <c r="K89" i="4" s="1"/>
  <c r="M104" i="5"/>
  <c r="M104" i="11"/>
  <c r="C89" i="2"/>
  <c r="K89" i="2" s="1"/>
  <c r="C104" i="11"/>
  <c r="K104" i="11" s="1"/>
  <c r="C31" i="10"/>
  <c r="K31" i="10" s="1"/>
  <c r="D10" i="4"/>
  <c r="C10" i="4" s="1"/>
  <c r="K10" i="4" s="1"/>
  <c r="M31" i="7"/>
  <c r="D11" i="2"/>
  <c r="M11" i="2" s="1"/>
  <c r="M104" i="8"/>
  <c r="K31" i="2"/>
  <c r="C31" i="12"/>
  <c r="K31" i="12" s="1"/>
  <c r="C89" i="1"/>
  <c r="K89" i="1" s="1"/>
  <c r="C52" i="1"/>
  <c r="K52" i="1" s="1"/>
  <c r="D11" i="8"/>
  <c r="M11" i="8" s="1"/>
  <c r="AL8" i="1"/>
  <c r="D8" i="9"/>
  <c r="C8" i="9" s="1"/>
  <c r="N10" i="1"/>
  <c r="C13" i="9"/>
  <c r="K13" i="9" s="1"/>
  <c r="M31" i="5"/>
  <c r="N8" i="2"/>
  <c r="D11" i="1"/>
  <c r="D9" i="1" s="1"/>
  <c r="D11" i="9"/>
  <c r="C11" i="9" s="1"/>
  <c r="K11" i="9" s="1"/>
  <c r="M74" i="1"/>
  <c r="D11" i="7"/>
  <c r="M11" i="7" s="1"/>
  <c r="AW8" i="2"/>
  <c r="C104" i="1"/>
  <c r="K104" i="1" s="1"/>
  <c r="C52" i="12"/>
  <c r="M104" i="9"/>
  <c r="M104" i="7"/>
  <c r="U13" i="1"/>
  <c r="M104" i="4"/>
  <c r="U31" i="1"/>
  <c r="N8" i="12"/>
  <c r="C13" i="2"/>
  <c r="K13" i="2" s="1"/>
  <c r="W74" i="1"/>
  <c r="M31" i="2"/>
  <c r="AG8" i="9"/>
  <c r="J8" i="1"/>
  <c r="C52" i="9"/>
  <c r="K52" i="9" s="1"/>
  <c r="I9" i="5"/>
  <c r="I7" i="5" s="1"/>
  <c r="Q7" i="5" s="1"/>
  <c r="M89" i="9"/>
  <c r="L9" i="1"/>
  <c r="J9" i="1" s="1"/>
  <c r="K31" i="5"/>
  <c r="U52" i="1"/>
  <c r="M89" i="1"/>
  <c r="D8" i="10"/>
  <c r="M8" i="10" s="1"/>
  <c r="T7" i="8"/>
  <c r="M52" i="3"/>
  <c r="D10" i="5"/>
  <c r="D9" i="5" s="1"/>
  <c r="N8" i="8"/>
  <c r="K52" i="12"/>
  <c r="C89" i="5"/>
  <c r="K89" i="5" s="1"/>
  <c r="T8" i="8"/>
  <c r="J8" i="10"/>
  <c r="D11" i="13"/>
  <c r="M11" i="13" s="1"/>
  <c r="N8" i="1"/>
  <c r="P8" i="11"/>
  <c r="C31" i="11"/>
  <c r="K31" i="11" s="1"/>
  <c r="R8" i="1"/>
  <c r="R7" i="1" s="1"/>
  <c r="AW7" i="2"/>
  <c r="K74" i="4"/>
  <c r="V8" i="1"/>
  <c r="V7" i="1" s="1"/>
  <c r="Q8" i="13"/>
  <c r="J8" i="12"/>
  <c r="W52" i="1"/>
  <c r="S8" i="1"/>
  <c r="D8" i="8"/>
  <c r="C8" i="8" s="1"/>
  <c r="D11" i="10"/>
  <c r="C11" i="10" s="1"/>
  <c r="K11" i="10" s="1"/>
  <c r="D8" i="1"/>
  <c r="C8" i="1" s="1"/>
  <c r="D8" i="4"/>
  <c r="C8" i="4" s="1"/>
  <c r="K52" i="8"/>
  <c r="M74" i="3"/>
  <c r="M13" i="8"/>
  <c r="M74" i="4"/>
  <c r="M104" i="10"/>
  <c r="C13" i="1"/>
  <c r="K13" i="1" s="1"/>
  <c r="M52" i="5"/>
  <c r="J8" i="5"/>
  <c r="AE8" i="9"/>
  <c r="K52" i="5"/>
  <c r="K74" i="3"/>
  <c r="S7" i="1"/>
  <c r="BF8" i="7"/>
  <c r="BF7" i="7"/>
  <c r="AV7" i="13"/>
  <c r="D8" i="11"/>
  <c r="M8" i="11" s="1"/>
  <c r="C74" i="11"/>
  <c r="K74" i="11" s="1"/>
  <c r="M74" i="11"/>
  <c r="AV8" i="13"/>
  <c r="N9" i="4"/>
  <c r="C52" i="10"/>
  <c r="K52" i="10" s="1"/>
  <c r="M74" i="5"/>
  <c r="C74" i="5"/>
  <c r="K74" i="5" s="1"/>
  <c r="Q10" i="10"/>
  <c r="I9" i="10"/>
  <c r="Q9" i="10" s="1"/>
  <c r="T8" i="1"/>
  <c r="H9" i="2"/>
  <c r="N10" i="2"/>
  <c r="Q10" i="8"/>
  <c r="I9" i="8"/>
  <c r="C104" i="6"/>
  <c r="K104" i="6" s="1"/>
  <c r="D11" i="6"/>
  <c r="M104" i="6"/>
  <c r="G9" i="8"/>
  <c r="P10" i="8"/>
  <c r="Q10" i="7"/>
  <c r="I9" i="7"/>
  <c r="Q9" i="7" s="1"/>
  <c r="N8" i="5"/>
  <c r="N10" i="3"/>
  <c r="H9" i="3"/>
  <c r="N9" i="3" s="1"/>
  <c r="I9" i="2"/>
  <c r="Q9" i="2" s="1"/>
  <c r="Q10" i="2"/>
  <c r="AJ8" i="13"/>
  <c r="N10" i="11"/>
  <c r="H9" i="11"/>
  <c r="N9" i="11" s="1"/>
  <c r="Q10" i="4"/>
  <c r="I9" i="4"/>
  <c r="Q9" i="4" s="1"/>
  <c r="O7" i="8"/>
  <c r="J8" i="8"/>
  <c r="L9" i="8"/>
  <c r="J10" i="8"/>
  <c r="T8" i="5"/>
  <c r="R7" i="5"/>
  <c r="T7" i="5" s="1"/>
  <c r="C104" i="12"/>
  <c r="K104" i="12" s="1"/>
  <c r="D11" i="12"/>
  <c r="M104" i="12"/>
  <c r="D8" i="5"/>
  <c r="M13" i="5"/>
  <c r="C13" i="5"/>
  <c r="K13" i="5" s="1"/>
  <c r="M104" i="3"/>
  <c r="D11" i="3"/>
  <c r="C104" i="3"/>
  <c r="K104" i="3" s="1"/>
  <c r="W8" i="6"/>
  <c r="U7" i="6"/>
  <c r="W7" i="6" s="1"/>
  <c r="H7" i="1"/>
  <c r="X7" i="9"/>
  <c r="AB8" i="9"/>
  <c r="Z8" i="9"/>
  <c r="Q8" i="11"/>
  <c r="AX7" i="7"/>
  <c r="AZ7" i="7" s="1"/>
  <c r="AZ8" i="7"/>
  <c r="CB7" i="7"/>
  <c r="CD7" i="7" s="1"/>
  <c r="CD8" i="7"/>
  <c r="Q9" i="1"/>
  <c r="I7" i="1"/>
  <c r="Q7" i="1" s="1"/>
  <c r="M89" i="7"/>
  <c r="C89" i="7"/>
  <c r="K89" i="7" s="1"/>
  <c r="D10" i="7"/>
  <c r="AR7" i="7"/>
  <c r="AT7" i="7" s="1"/>
  <c r="AT8" i="7"/>
  <c r="C74" i="2"/>
  <c r="K74" i="2" s="1"/>
  <c r="M74" i="2"/>
  <c r="M89" i="3"/>
  <c r="D10" i="3"/>
  <c r="C89" i="3"/>
  <c r="K89" i="3" s="1"/>
  <c r="N8" i="7"/>
  <c r="N8" i="9"/>
  <c r="H7" i="9"/>
  <c r="J10" i="10"/>
  <c r="L9" i="10"/>
  <c r="Z8" i="2"/>
  <c r="V7" i="2"/>
  <c r="Z7" i="2" s="1"/>
  <c r="J8" i="9"/>
  <c r="R7" i="13"/>
  <c r="U7" i="13" s="1"/>
  <c r="U8" i="13"/>
  <c r="M52" i="6"/>
  <c r="C52" i="6"/>
  <c r="K52" i="6" s="1"/>
  <c r="Q10" i="6"/>
  <c r="I9" i="6"/>
  <c r="CM8" i="7"/>
  <c r="CK7" i="7"/>
  <c r="CM7" i="7" s="1"/>
  <c r="C10" i="1"/>
  <c r="K10" i="1" s="1"/>
  <c r="M10" i="1"/>
  <c r="AL7" i="2"/>
  <c r="AO7" i="2" s="1"/>
  <c r="AO8" i="2"/>
  <c r="M74" i="7"/>
  <c r="C74" i="7"/>
  <c r="K74" i="7" s="1"/>
  <c r="C10" i="2"/>
  <c r="K10" i="2" s="1"/>
  <c r="M10" i="2"/>
  <c r="AZ8" i="2"/>
  <c r="AX7" i="2"/>
  <c r="AZ7" i="2" s="1"/>
  <c r="AW8" i="7"/>
  <c r="AU7" i="7"/>
  <c r="AW7" i="7" s="1"/>
  <c r="AC8" i="7"/>
  <c r="AA7" i="7"/>
  <c r="AC7" i="7" s="1"/>
  <c r="J8" i="3"/>
  <c r="Q8" i="10"/>
  <c r="P8" i="3"/>
  <c r="M31" i="6"/>
  <c r="C31" i="6"/>
  <c r="K31" i="6" s="1"/>
  <c r="M13" i="12"/>
  <c r="D8" i="12"/>
  <c r="C13" i="12"/>
  <c r="K13" i="12" s="1"/>
  <c r="BA7" i="13"/>
  <c r="BD7" i="13" s="1"/>
  <c r="BD8" i="13"/>
  <c r="N8" i="3"/>
  <c r="Q8" i="4"/>
  <c r="J10" i="3"/>
  <c r="L9" i="3"/>
  <c r="J9" i="3" s="1"/>
  <c r="P8" i="7"/>
  <c r="AD7" i="7"/>
  <c r="AF7" i="7" s="1"/>
  <c r="AF8" i="7"/>
  <c r="BJ7" i="7"/>
  <c r="BL7" i="7" s="1"/>
  <c r="BL8" i="7"/>
  <c r="Q8" i="9"/>
  <c r="P10" i="11"/>
  <c r="G9" i="11"/>
  <c r="J9" i="5"/>
  <c r="L7" i="5"/>
  <c r="J7" i="5" s="1"/>
  <c r="Q8" i="3"/>
  <c r="Q8" i="7"/>
  <c r="Q10" i="9"/>
  <c r="I9" i="9"/>
  <c r="Q9" i="9" s="1"/>
  <c r="Q8" i="12"/>
  <c r="AO7" i="13"/>
  <c r="AR7" i="13" s="1"/>
  <c r="AR8" i="13"/>
  <c r="M13" i="13"/>
  <c r="C13" i="13"/>
  <c r="K13" i="13" s="1"/>
  <c r="D8" i="13"/>
  <c r="AD7" i="13"/>
  <c r="AF7" i="13" s="1"/>
  <c r="AF8" i="13"/>
  <c r="U8" i="4"/>
  <c r="S7" i="4"/>
  <c r="U7" i="4" s="1"/>
  <c r="X8" i="2"/>
  <c r="U7" i="2"/>
  <c r="X7" i="2" s="1"/>
  <c r="M89" i="8"/>
  <c r="C89" i="8"/>
  <c r="K89" i="8" s="1"/>
  <c r="D10" i="8"/>
  <c r="M89" i="13"/>
  <c r="C89" i="13"/>
  <c r="K89" i="13" s="1"/>
  <c r="D10" i="13"/>
  <c r="D8" i="2"/>
  <c r="AI8" i="7"/>
  <c r="AG7" i="7"/>
  <c r="AI7" i="7" s="1"/>
  <c r="R7" i="7"/>
  <c r="T7" i="7" s="1"/>
  <c r="T8" i="7"/>
  <c r="G9" i="7"/>
  <c r="P9" i="7" s="1"/>
  <c r="P10" i="7"/>
  <c r="P10" i="9"/>
  <c r="G9" i="9"/>
  <c r="N8" i="13"/>
  <c r="N10" i="5"/>
  <c r="H9" i="5"/>
  <c r="I9" i="11"/>
  <c r="Q9" i="11" s="1"/>
  <c r="Q10" i="11"/>
  <c r="X8" i="4"/>
  <c r="V7" i="4"/>
  <c r="X7" i="4" s="1"/>
  <c r="R7" i="11"/>
  <c r="T7" i="11" s="1"/>
  <c r="T8" i="11"/>
  <c r="R7" i="12"/>
  <c r="T7" i="12" s="1"/>
  <c r="T8" i="12"/>
  <c r="C52" i="13"/>
  <c r="K52" i="13" s="1"/>
  <c r="M52" i="13"/>
  <c r="CG8" i="7"/>
  <c r="CE7" i="7"/>
  <c r="CG7" i="7" s="1"/>
  <c r="M10" i="9"/>
  <c r="C10" i="9"/>
  <c r="M31" i="4"/>
  <c r="C31" i="4"/>
  <c r="K31" i="4" s="1"/>
  <c r="C52" i="7"/>
  <c r="K52" i="7" s="1"/>
  <c r="M52" i="7"/>
  <c r="AO8" i="7"/>
  <c r="AM7" i="7"/>
  <c r="AO7" i="7" s="1"/>
  <c r="H9" i="8"/>
  <c r="N10" i="8"/>
  <c r="C74" i="13"/>
  <c r="K74" i="13" s="1"/>
  <c r="M74" i="13"/>
  <c r="M74" i="12"/>
  <c r="C74" i="12"/>
  <c r="K74" i="12" s="1"/>
  <c r="M13" i="3"/>
  <c r="D8" i="3"/>
  <c r="C13" i="3"/>
  <c r="K13" i="3" s="1"/>
  <c r="BV7" i="7"/>
  <c r="BX7" i="7" s="1"/>
  <c r="BX8" i="7"/>
  <c r="P10" i="5"/>
  <c r="G9" i="5"/>
  <c r="W8" i="9"/>
  <c r="U7" i="9"/>
  <c r="W7" i="9" s="1"/>
  <c r="N8" i="10"/>
  <c r="J10" i="12"/>
  <c r="L9" i="12"/>
  <c r="Q10" i="13"/>
  <c r="I9" i="13"/>
  <c r="L7" i="6"/>
  <c r="J7" i="6" s="1"/>
  <c r="J8" i="6"/>
  <c r="C89" i="6"/>
  <c r="K89" i="6" s="1"/>
  <c r="M89" i="6"/>
  <c r="D10" i="6"/>
  <c r="X8" i="7"/>
  <c r="X7" i="7" s="1"/>
  <c r="P10" i="10"/>
  <c r="G9" i="10"/>
  <c r="C13" i="7"/>
  <c r="K13" i="7" s="1"/>
  <c r="D8" i="7"/>
  <c r="M13" i="7"/>
  <c r="BO8" i="7"/>
  <c r="BM7" i="7"/>
  <c r="BO7" i="7" s="1"/>
  <c r="AK7" i="13"/>
  <c r="AN7" i="13" s="1"/>
  <c r="AN8" i="13"/>
  <c r="CA8" i="7"/>
  <c r="BY7" i="7"/>
  <c r="CA7" i="7" s="1"/>
  <c r="I9" i="12"/>
  <c r="Q9" i="12" s="1"/>
  <c r="Q10" i="12"/>
  <c r="M31" i="3"/>
  <c r="C31" i="3"/>
  <c r="K31" i="3" s="1"/>
  <c r="L9" i="7"/>
  <c r="J9" i="7" s="1"/>
  <c r="J10" i="7"/>
  <c r="N10" i="7"/>
  <c r="H9" i="7"/>
  <c r="P8" i="12"/>
  <c r="P8" i="13"/>
  <c r="N10" i="13"/>
  <c r="H9" i="13"/>
  <c r="N9" i="13" s="1"/>
  <c r="C11" i="5"/>
  <c r="K11" i="5" s="1"/>
  <c r="M11" i="5"/>
  <c r="M89" i="12"/>
  <c r="C89" i="12"/>
  <c r="K89" i="12" s="1"/>
  <c r="D10" i="12"/>
  <c r="BI8" i="7"/>
  <c r="BG7" i="7"/>
  <c r="BI7" i="7" s="1"/>
  <c r="BP7" i="7"/>
  <c r="BR7" i="7" s="1"/>
  <c r="BR8" i="7"/>
  <c r="AW7" i="13"/>
  <c r="AZ7" i="13" s="1"/>
  <c r="AZ8" i="13"/>
  <c r="C11" i="4"/>
  <c r="K11" i="4" s="1"/>
  <c r="M11" i="4"/>
  <c r="Q8" i="2"/>
  <c r="L7" i="4"/>
  <c r="J7" i="4" s="1"/>
  <c r="J8" i="4"/>
  <c r="R7" i="6"/>
  <c r="T7" i="6" s="1"/>
  <c r="T8" i="6"/>
  <c r="M74" i="9"/>
  <c r="C74" i="9"/>
  <c r="K74" i="9" s="1"/>
  <c r="W8" i="12"/>
  <c r="U7" i="12"/>
  <c r="W7" i="12" s="1"/>
  <c r="P8" i="2"/>
  <c r="M74" i="6"/>
  <c r="C74" i="6"/>
  <c r="K74" i="6" s="1"/>
  <c r="J8" i="7"/>
  <c r="G7" i="1"/>
  <c r="P7" i="1" s="1"/>
  <c r="P8" i="1"/>
  <c r="G9" i="4"/>
  <c r="P9" i="4" s="1"/>
  <c r="P10" i="4"/>
  <c r="AA8" i="4"/>
  <c r="Y7" i="4"/>
  <c r="AA7" i="4" s="1"/>
  <c r="AD8" i="4"/>
  <c r="AB7" i="4"/>
  <c r="AD7" i="4" s="1"/>
  <c r="P8" i="6"/>
  <c r="N10" i="10"/>
  <c r="H9" i="10"/>
  <c r="M13" i="6"/>
  <c r="C13" i="6"/>
  <c r="K13" i="6" s="1"/>
  <c r="D8" i="6"/>
  <c r="P10" i="13"/>
  <c r="G9" i="13"/>
  <c r="P9" i="13" s="1"/>
  <c r="J10" i="9"/>
  <c r="L9" i="9"/>
  <c r="L7" i="9" s="1"/>
  <c r="J7" i="9" s="1"/>
  <c r="N10" i="9"/>
  <c r="P8" i="4"/>
  <c r="CH7" i="7"/>
  <c r="CJ7" i="7" s="1"/>
  <c r="CJ8" i="7"/>
  <c r="Y8" i="10"/>
  <c r="AB8" i="10"/>
  <c r="U8" i="10"/>
  <c r="S7" i="10"/>
  <c r="W8" i="10"/>
  <c r="M89" i="10"/>
  <c r="D10" i="10"/>
  <c r="C89" i="10"/>
  <c r="K89" i="10" s="1"/>
  <c r="BC8" i="7"/>
  <c r="BA7" i="7"/>
  <c r="BC7" i="7" s="1"/>
  <c r="BU8" i="7"/>
  <c r="BS7" i="7"/>
  <c r="BU7" i="7" s="1"/>
  <c r="M11" i="11"/>
  <c r="C11" i="11"/>
  <c r="K11" i="11" s="1"/>
  <c r="P10" i="12"/>
  <c r="G9" i="12"/>
  <c r="P9" i="12" s="1"/>
  <c r="Y8" i="13"/>
  <c r="V7" i="13"/>
  <c r="Y7" i="13" s="1"/>
  <c r="C31" i="13"/>
  <c r="K31" i="13" s="1"/>
  <c r="M31" i="13"/>
  <c r="W8" i="7"/>
  <c r="U7" i="7"/>
  <c r="W7" i="7" s="1"/>
  <c r="L7" i="11"/>
  <c r="J7" i="11" s="1"/>
  <c r="J8" i="11"/>
  <c r="N10" i="12"/>
  <c r="H9" i="12"/>
  <c r="H7" i="4"/>
  <c r="N8" i="4"/>
  <c r="C89" i="11"/>
  <c r="K89" i="11" s="1"/>
  <c r="M89" i="11"/>
  <c r="D10" i="11"/>
  <c r="AC8" i="13"/>
  <c r="Z7" i="13"/>
  <c r="AC7" i="13" s="1"/>
  <c r="AJ7" i="7"/>
  <c r="AL7" i="7" s="1"/>
  <c r="AL8" i="7"/>
  <c r="T8" i="2"/>
  <c r="R7" i="2"/>
  <c r="T7" i="2" s="1"/>
  <c r="P10" i="3"/>
  <c r="G9" i="3"/>
  <c r="P9" i="3" s="1"/>
  <c r="N8" i="11"/>
  <c r="R7" i="9"/>
  <c r="T7" i="9" s="1"/>
  <c r="T8" i="9"/>
  <c r="AJ7" i="13"/>
  <c r="P10" i="6"/>
  <c r="G9" i="6"/>
  <c r="P9" i="6" s="1"/>
  <c r="L7" i="13"/>
  <c r="J7" i="13" s="1"/>
  <c r="J8" i="13"/>
  <c r="AQ8" i="2"/>
  <c r="AM7" i="2"/>
  <c r="AQ7" i="2" s="1"/>
  <c r="J8" i="2"/>
  <c r="L7" i="2"/>
  <c r="J7" i="2" s="1"/>
  <c r="P10" i="2"/>
  <c r="G9" i="2"/>
  <c r="P9" i="2" s="1"/>
  <c r="K52" i="3"/>
  <c r="K13" i="10"/>
  <c r="AG7" i="9"/>
  <c r="AE7" i="9"/>
  <c r="I7" i="3" l="1"/>
  <c r="Q7" i="3" s="1"/>
  <c r="M10" i="4"/>
  <c r="D9" i="4"/>
  <c r="D7" i="4" s="1"/>
  <c r="M7" i="4" s="1"/>
  <c r="C10" i="5"/>
  <c r="K10" i="5" s="1"/>
  <c r="M11" i="1"/>
  <c r="M11" i="10"/>
  <c r="M8" i="9"/>
  <c r="M8" i="1"/>
  <c r="M10" i="5"/>
  <c r="C11" i="8"/>
  <c r="K11" i="8" s="1"/>
  <c r="D9" i="2"/>
  <c r="D7" i="2" s="1"/>
  <c r="C11" i="2"/>
  <c r="K11" i="2" s="1"/>
  <c r="D9" i="9"/>
  <c r="D7" i="9" s="1"/>
  <c r="M7" i="9" s="1"/>
  <c r="C11" i="1"/>
  <c r="K11" i="1" s="1"/>
  <c r="C11" i="7"/>
  <c r="K11" i="7" s="1"/>
  <c r="L7" i="1"/>
  <c r="J7" i="1" s="1"/>
  <c r="N9" i="1"/>
  <c r="M8" i="4"/>
  <c r="M11" i="9"/>
  <c r="M8" i="8"/>
  <c r="W8" i="1"/>
  <c r="K8" i="1"/>
  <c r="Q9" i="5"/>
  <c r="I7" i="7"/>
  <c r="Q7" i="7" s="1"/>
  <c r="C8" i="10"/>
  <c r="K8" i="10" s="1"/>
  <c r="W7" i="1"/>
  <c r="C11" i="13"/>
  <c r="K11" i="13" s="1"/>
  <c r="I7" i="4"/>
  <c r="Q7" i="4" s="1"/>
  <c r="N9" i="10"/>
  <c r="N7" i="4"/>
  <c r="I7" i="2"/>
  <c r="Q7" i="2" s="1"/>
  <c r="L7" i="7"/>
  <c r="J7" i="7" s="1"/>
  <c r="C8" i="11"/>
  <c r="K8" i="11" s="1"/>
  <c r="N9" i="7"/>
  <c r="I7" i="12"/>
  <c r="Q7" i="12" s="1"/>
  <c r="G7" i="4"/>
  <c r="P7" i="4" s="1"/>
  <c r="N7" i="6"/>
  <c r="H7" i="3"/>
  <c r="N7" i="3" s="1"/>
  <c r="I7" i="10"/>
  <c r="Q7" i="10" s="1"/>
  <c r="T7" i="1"/>
  <c r="U7" i="1" s="1"/>
  <c r="U8" i="1"/>
  <c r="G7" i="3"/>
  <c r="P7" i="3" s="1"/>
  <c r="Q9" i="8"/>
  <c r="I7" i="8"/>
  <c r="Q7" i="8" s="1"/>
  <c r="G7" i="2"/>
  <c r="P7" i="2" s="1"/>
  <c r="K8" i="8"/>
  <c r="P9" i="8"/>
  <c r="G7" i="8"/>
  <c r="P7" i="8" s="1"/>
  <c r="M8" i="5"/>
  <c r="C8" i="5"/>
  <c r="K8" i="5" s="1"/>
  <c r="N9" i="2"/>
  <c r="H7" i="2"/>
  <c r="N7" i="2" s="1"/>
  <c r="H7" i="11"/>
  <c r="N7" i="11" s="1"/>
  <c r="L7" i="3"/>
  <c r="J7" i="3" s="1"/>
  <c r="J9" i="8"/>
  <c r="L7" i="8"/>
  <c r="J7" i="8" s="1"/>
  <c r="M11" i="6"/>
  <c r="C11" i="6"/>
  <c r="K11" i="6" s="1"/>
  <c r="M11" i="12"/>
  <c r="C11" i="12"/>
  <c r="K11" i="12" s="1"/>
  <c r="K8" i="4"/>
  <c r="I7" i="9"/>
  <c r="Q7" i="9" s="1"/>
  <c r="M9" i="1"/>
  <c r="C9" i="1"/>
  <c r="K9" i="1" s="1"/>
  <c r="N7" i="9"/>
  <c r="I7" i="11"/>
  <c r="Q7" i="11" s="1"/>
  <c r="P9" i="5"/>
  <c r="G7" i="5"/>
  <c r="P7" i="5" s="1"/>
  <c r="P9" i="9"/>
  <c r="G7" i="9"/>
  <c r="P7" i="9" s="1"/>
  <c r="Q9" i="6"/>
  <c r="I7" i="6"/>
  <c r="Q7" i="6" s="1"/>
  <c r="P9" i="10"/>
  <c r="G7" i="10"/>
  <c r="P7" i="10" s="1"/>
  <c r="U7" i="10"/>
  <c r="W7" i="10"/>
  <c r="AB7" i="10"/>
  <c r="Y7" i="10"/>
  <c r="G7" i="6"/>
  <c r="P7" i="6" s="1"/>
  <c r="G7" i="13"/>
  <c r="P7" i="13" s="1"/>
  <c r="N9" i="8"/>
  <c r="H7" i="8"/>
  <c r="N9" i="5"/>
  <c r="H7" i="5"/>
  <c r="N7" i="5" s="1"/>
  <c r="C10" i="8"/>
  <c r="K10" i="8" s="1"/>
  <c r="M10" i="8"/>
  <c r="D9" i="8"/>
  <c r="D7" i="1"/>
  <c r="G7" i="7"/>
  <c r="P7" i="7" s="1"/>
  <c r="M8" i="12"/>
  <c r="C8" i="12"/>
  <c r="K8" i="12" s="1"/>
  <c r="M10" i="3"/>
  <c r="D9" i="3"/>
  <c r="D7" i="3" s="1"/>
  <c r="C10" i="3"/>
  <c r="K10" i="3" s="1"/>
  <c r="C10" i="7"/>
  <c r="K10" i="7" s="1"/>
  <c r="M10" i="7"/>
  <c r="D9" i="7"/>
  <c r="D7" i="7" s="1"/>
  <c r="AB7" i="9"/>
  <c r="Z7" i="9"/>
  <c r="C9" i="5"/>
  <c r="K9" i="5" s="1"/>
  <c r="M9" i="5"/>
  <c r="D7" i="5"/>
  <c r="J9" i="12"/>
  <c r="L7" i="12"/>
  <c r="J7" i="12" s="1"/>
  <c r="K10" i="9"/>
  <c r="C10" i="11"/>
  <c r="K10" i="11" s="1"/>
  <c r="M10" i="11"/>
  <c r="D9" i="11"/>
  <c r="C10" i="12"/>
  <c r="K10" i="12" s="1"/>
  <c r="M10" i="12"/>
  <c r="D9" i="12"/>
  <c r="C8" i="6"/>
  <c r="K8" i="6" s="1"/>
  <c r="M8" i="6"/>
  <c r="H7" i="10"/>
  <c r="M10" i="6"/>
  <c r="C10" i="6"/>
  <c r="K10" i="6" s="1"/>
  <c r="D9" i="6"/>
  <c r="D7" i="6" s="1"/>
  <c r="Q9" i="13"/>
  <c r="I7" i="13"/>
  <c r="Q7" i="13" s="1"/>
  <c r="K8" i="9"/>
  <c r="H7" i="13"/>
  <c r="N7" i="13" s="1"/>
  <c r="M8" i="2"/>
  <c r="C8" i="2"/>
  <c r="K8" i="2" s="1"/>
  <c r="H7" i="7"/>
  <c r="C11" i="3"/>
  <c r="K11" i="3" s="1"/>
  <c r="M11" i="3"/>
  <c r="N9" i="12"/>
  <c r="H7" i="12"/>
  <c r="D9" i="10"/>
  <c r="M10" i="10"/>
  <c r="C10" i="10"/>
  <c r="K10" i="10" s="1"/>
  <c r="J9" i="9"/>
  <c r="N9" i="9"/>
  <c r="G7" i="12"/>
  <c r="P7" i="12" s="1"/>
  <c r="M8" i="7"/>
  <c r="C8" i="7"/>
  <c r="K8" i="7" s="1"/>
  <c r="M8" i="3"/>
  <c r="C8" i="3"/>
  <c r="K8" i="3" s="1"/>
  <c r="M10" i="13"/>
  <c r="C10" i="13"/>
  <c r="K10" i="13" s="1"/>
  <c r="D9" i="13"/>
  <c r="D7" i="13" s="1"/>
  <c r="C8" i="13"/>
  <c r="K8" i="13" s="1"/>
  <c r="M8" i="13"/>
  <c r="P9" i="11"/>
  <c r="G7" i="11"/>
  <c r="P7" i="11" s="1"/>
  <c r="J9" i="10"/>
  <c r="L7" i="10"/>
  <c r="J7" i="10" s="1"/>
  <c r="M9" i="4" l="1"/>
  <c r="C9" i="4"/>
  <c r="K9" i="4" s="1"/>
  <c r="N7" i="8"/>
  <c r="M9" i="2"/>
  <c r="C9" i="2"/>
  <c r="K9" i="2" s="1"/>
  <c r="N7" i="1"/>
  <c r="M9" i="9"/>
  <c r="C9" i="9"/>
  <c r="K9" i="9" s="1"/>
  <c r="N7" i="7"/>
  <c r="C7" i="9"/>
  <c r="K7" i="9" s="1"/>
  <c r="C7" i="4"/>
  <c r="K7" i="4" s="1"/>
  <c r="C7" i="3"/>
  <c r="K7" i="3" s="1"/>
  <c r="M7" i="3"/>
  <c r="C7" i="13"/>
  <c r="K7" i="13" s="1"/>
  <c r="M7" i="13"/>
  <c r="M9" i="12"/>
  <c r="C9" i="12"/>
  <c r="K9" i="12" s="1"/>
  <c r="C7" i="1"/>
  <c r="K7" i="1" s="1"/>
  <c r="M7" i="1"/>
  <c r="C7" i="7"/>
  <c r="K7" i="7" s="1"/>
  <c r="M7" i="7"/>
  <c r="C9" i="8"/>
  <c r="K9" i="8" s="1"/>
  <c r="M9" i="8"/>
  <c r="D7" i="8"/>
  <c r="C9" i="13"/>
  <c r="K9" i="13" s="1"/>
  <c r="M9" i="13"/>
  <c r="N7" i="10"/>
  <c r="M9" i="7"/>
  <c r="C9" i="7"/>
  <c r="K9" i="7" s="1"/>
  <c r="N7" i="12"/>
  <c r="M7" i="6"/>
  <c r="C7" i="6"/>
  <c r="K7" i="6" s="1"/>
  <c r="M9" i="11"/>
  <c r="C9" i="11"/>
  <c r="K9" i="11" s="1"/>
  <c r="D7" i="11"/>
  <c r="C7" i="5"/>
  <c r="K7" i="5" s="1"/>
  <c r="M7" i="5"/>
  <c r="D7" i="12"/>
  <c r="M9" i="6"/>
  <c r="C9" i="6"/>
  <c r="K9" i="6" s="1"/>
  <c r="C7" i="2"/>
  <c r="K7" i="2" s="1"/>
  <c r="M7" i="2"/>
  <c r="C9" i="3"/>
  <c r="K9" i="3" s="1"/>
  <c r="M9" i="3"/>
  <c r="M9" i="10"/>
  <c r="C9" i="10"/>
  <c r="K9" i="10" s="1"/>
  <c r="D7" i="10"/>
  <c r="M7" i="12" l="1"/>
  <c r="C7" i="12"/>
  <c r="K7" i="12" s="1"/>
  <c r="C7" i="10"/>
  <c r="K7" i="10" s="1"/>
  <c r="M7" i="10"/>
  <c r="C7" i="8"/>
  <c r="K7" i="8" s="1"/>
  <c r="M7" i="8"/>
  <c r="M7" i="11"/>
  <c r="C7" i="11"/>
  <c r="K7" i="11" s="1"/>
</calcChain>
</file>

<file path=xl/sharedStrings.xml><?xml version="1.0" encoding="utf-8"?>
<sst xmlns="http://schemas.openxmlformats.org/spreadsheetml/2006/main" count="2214" uniqueCount="236">
  <si>
    <t>แผนงาน งบประมาณ และผลการดำเนินงาน รายกิจกรรม ตาม พรบ. งบประมาณ 2566</t>
  </si>
  <si>
    <t>จังหวัด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</si>
  <si>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</si>
  <si>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</si>
  <si>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</si>
  <si>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</si>
  <si>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</si>
  <si>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</si>
  <si>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</si>
  <si>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</si>
  <si>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(2566)</t>
  </si>
  <si>
    <t>แปลงใหญ่ปีที่ 2 (2565)</t>
  </si>
  <si>
    <t>แปลงใหญ่ปีที่ 3 (2564)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</si>
  <si>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</si>
  <si>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</si>
  <si>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</si>
  <si>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</si>
  <si>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</si>
  <si>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</si>
  <si>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</si>
  <si>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</si>
  <si>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</si>
  <si>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</si>
  <si>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</si>
  <si>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</si>
  <si>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</si>
  <si>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</si>
  <si>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</si>
  <si>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</si>
  <si>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</si>
  <si>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</si>
  <si>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</si>
  <si>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</si>
  <si>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</si>
  <si>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</si>
  <si>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</si>
  <si>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</si>
  <si>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</si>
  <si>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</si>
  <si>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</si>
  <si>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</si>
  <si>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</si>
  <si>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</si>
  <si>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</si>
  <si>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</si>
  <si>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</si>
  <si>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</si>
  <si>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</si>
  <si>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</si>
  <si>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</si>
  <si>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</si>
  <si>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</si>
  <si>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</si>
  <si>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</si>
  <si>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</si>
  <si>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</si>
  <si>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</si>
  <si>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</si>
  <si>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</si>
  <si>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</si>
  <si>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</si>
  <si>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</si>
  <si>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</si>
  <si>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</si>
  <si>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</si>
  <si>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</si>
  <si>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</si>
  <si>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</si>
  <si>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</si>
  <si>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</si>
  <si>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</si>
  <si>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</si>
  <si>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</si>
  <si>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</si>
  <si>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</si>
  <si>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</si>
  <si>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</si>
  <si>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</si>
  <si>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</si>
  <si>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</si>
  <si>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</si>
  <si>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</si>
  <si>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</si>
  <si>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</si>
  <si>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</si>
  <si>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</si>
  <si>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</si>
  <si>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</si>
  <si>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</si>
  <si>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</si>
  <si>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</si>
  <si>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</si>
  <si>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</si>
  <si>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</si>
  <si>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</si>
  <si>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</si>
  <si>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</si>
  <si>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</si>
  <si>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</si>
  <si>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</si>
  <si>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</si>
  <si>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</si>
  <si>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</si>
  <si>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</si>
  <si>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</si>
  <si>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</si>
  <si>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</si>
  <si>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</si>
  <si>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</si>
  <si>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</si>
  <si>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</si>
  <si>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</si>
  <si>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</si>
  <si>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</si>
  <si>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</si>
  <si>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</si>
  <si>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</si>
  <si>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</si>
  <si>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</si>
  <si>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</si>
  <si>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</si>
  <si>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</si>
  <si>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</si>
  <si>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</si>
  <si>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</si>
  <si>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</si>
  <si>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</si>
  <si>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</si>
  <si>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</si>
  <si>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</si>
  <si>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</si>
  <si>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</si>
  <si>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</si>
  <si>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</si>
  <si>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</si>
  <si>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</si>
  <si>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</si>
  <si>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</si>
  <si>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</si>
  <si>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กิจกรรมส่งเสริมและพัฒนาเกษตรทฤษฎีใหม่ในเขตปฏิรูปที่ดิน</t>
  </si>
  <si>
    <t>พื้นที่ที่ได้รับการส่งเสริมเป็นเกษตรทฤษฎีใหม่</t>
  </si>
  <si>
    <t>อบรมเกษตรกรโดย ส.ป.ก.จังหวัด</t>
  </si>
  <si>
    <t>รวม</t>
  </si>
  <si>
    <t>ขั้นที่ 1</t>
  </si>
  <si>
    <t>ขั้นที่ 2</t>
  </si>
  <si>
    <t>ขั้นที่ 3</t>
  </si>
  <si>
    <t>ไร่</t>
  </si>
  <si>
    <t>กลุ่ม</t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</si>
  <si>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</si>
  <si>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</si>
  <si>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</si>
  <si>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</si>
  <si>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</si>
  <si>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</si>
  <si>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</t>
    </r>
    <r>
      <rPr>
        <b/>
        <sz val="15"/>
        <color theme="1"/>
        <rFont val="Arial"/>
      </rPr>
      <t>ะที่ได้อบรม</t>
    </r>
  </si>
  <si>
    <t>กิจกรรมพัฒนาธุรกิจชุมชนในเขตปฏิรูปที่ดิน  (เฉพาะงบลงทุน)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</si>
  <si>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</si>
  <si>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จัดทำโรงอบ
(งบลงทุน)</t>
  </si>
  <si>
    <t>การ
เตรียมการ</t>
  </si>
  <si>
    <t>หลักสูตรการดูแลรักษาโรงอบพลังงานแสงอาทิตย์ต้นทุนต่ำ ฯ</t>
  </si>
  <si>
    <t>หลักสูตรการเพิ่มมูลค่าผลิตภัณฑ์สมุนไพร มาตรฐานสินค้า ฯ</t>
  </si>
  <si>
    <t>แห่ง</t>
  </si>
  <si>
    <t xml:space="preserve">กิจกรรมตรวจรับรองสินค้าเกษตรในเขตปฏิรูปที่ดินตามมาตรฐาน GAP </t>
  </si>
  <si>
    <t>เกษตรกรยื่นขอรับการรับรองมาตรฐานสินค้า 
(โดย ส.ป.ก.จังหวัด)</t>
  </si>
  <si>
    <t xml:space="preserve">กิจกรรมพัฒนาและส่งเสริมศิลปหัตถกรรม  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</si>
  <si>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</si>
  <si>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</si>
  <si>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</si>
  <si>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</si>
  <si>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</si>
  <si>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</si>
  <si>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</si>
  <si>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</si>
  <si>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</si>
  <si>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</si>
  <si>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</si>
  <si>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</si>
  <si>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งบประมาณ
งบอบรม</t>
  </si>
  <si>
    <t>งบประมาณ
วัสดุการเกษตร</t>
  </si>
  <si>
    <t>งบประมาณ
งบปัจจัยต้นแบบ/ศูนย์/กิจกรรม</t>
  </si>
  <si>
    <t>อบรม</t>
  </si>
  <si>
    <t>สนับสนุนวัสดุการเกษตร</t>
  </si>
  <si>
    <t>ฝึกอบรมเด็กและเยาวชน</t>
  </si>
  <si>
    <t>งบประมาณ
งบปลูกแฝก (ค่าขนกล้า)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</si>
  <si>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</si>
  <si>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</si>
  <si>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</si>
  <si>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งบปัจจัยรายบุคคล</t>
  </si>
  <si>
    <t>การฝึกอบรม</t>
  </si>
  <si>
    <t>ได้รับ</t>
  </si>
  <si>
    <t>เบิกจ่าย</t>
  </si>
  <si>
    <t>เบ็ดเสร็จ</t>
  </si>
  <si>
    <t>ต่อเนื่อง</t>
  </si>
  <si>
    <t>ครั้ง</t>
  </si>
  <si>
    <t>โรงเรียน</t>
  </si>
  <si>
    <t>กล้า</t>
  </si>
  <si>
    <t>กิจกรรมพัฒนาผู้แทนเกษตรกรในเขตปฏิรูปที่ดิน</t>
  </si>
  <si>
    <t>อบรม หลักสูตรการพัฒนาผู้แทนเกษตรกรในระดับพื้นที่
(โดย ส.ป.ก.จังหวัด)</t>
  </si>
  <si>
    <t>กิจกรรมเฝ้าระวังการเผาซากพืช วัชพืช และวัสดุทางการเกษตร ฯ</t>
  </si>
  <si>
    <t>พื้นที่ที่ได้รับการส่งเสริมและเฝ้าระวังให้มีการลดการเผา</t>
  </si>
  <si>
    <t>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</si>
  <si>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</si>
  <si>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t>หลักสูตร การบริหารจัดการเศษวัสดุเหลือใช้ฯ</t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</si>
  <si>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</si>
  <si>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</si>
  <si>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</si>
  <si>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</si>
  <si>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</t>
  </si>
  <si>
    <t>เตรียมความพร้อม</t>
  </si>
  <si>
    <r>
      <rPr>
        <b/>
        <sz val="15"/>
        <color theme="1"/>
        <rFont val="Arial"/>
      </rPr>
      <t xml:space="preserve">พัฒนาเกษตรกร
</t>
    </r>
    <r>
      <rPr>
        <sz val="15"/>
        <color theme="1"/>
        <rFont val="Arial"/>
      </rPr>
      <t>(ฝึกอบรมและขยายผลองค์ความรู้ฯ)</t>
    </r>
  </si>
  <si>
    <t>ศึกษาดูงาน</t>
  </si>
  <si>
    <t>สนับสนุน
ปัจจัยการผลิต</t>
  </si>
  <si>
    <t>คัดเลือกเกษตรกรปราดเปรื่องต้นแบบ</t>
  </si>
  <si>
    <t>กิจกรรมบริหารจัดการพื้นที่ที่ดินแปลงรวม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</si>
  <si>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</si>
  <si>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</si>
  <si>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</si>
  <si>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</si>
  <si>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</si>
  <si>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จำนวนผู้รับบริการจากระบบออนไลน์</t>
  </si>
  <si>
    <t>จำนวนผู้รับบริการจากการออกรับบริการร่วมกับหน่วยงานภายนอกอื่น ๆ</t>
  </si>
  <si>
    <t>จำนวนผู้มารับบริการ</t>
  </si>
  <si>
    <t>ตำบล</t>
  </si>
  <si>
    <t>กิจกรรมจัดที่ดิน</t>
  </si>
  <si>
    <r>
      <rPr>
        <b/>
        <sz val="15"/>
        <color rgb="FFFFFFFF"/>
        <rFont val="Arial"/>
      </rPr>
      <t xml:space="preserve">แผนงานตาม พรบ. 
</t>
    </r>
    <r>
      <rPr>
        <sz val="15"/>
        <color rgb="FFFFFFFF"/>
        <rFont val="Arial"/>
      </rPr>
      <t>พื้นที่คงค้างการจัดที่ดิน (X-Ray, 0-3) + จัดที่ดินแทนที่ กรณีสละสิทธิแบ่งแปลงและเสียชีวิตแบ่งแปลง</t>
    </r>
  </si>
  <si>
    <t>แผนงานตาม พ.ร.บ. + 
แผนงานแก้ไขปัญหาเร่งด่วน</t>
  </si>
  <si>
    <r>
      <rPr>
        <b/>
        <sz val="15"/>
        <color rgb="FF000000"/>
        <rFont val="Arial"/>
      </rPr>
      <t xml:space="preserve">แผนงานตาม พ.ร.บ. + แผนงานแก้ไขปัญหาเร่งด่วน
</t>
    </r>
    <r>
      <rPr>
        <sz val="15"/>
        <color rgb="FF000000"/>
        <rFont val="Arial"/>
      </rPr>
      <t>พื้นที่คงค้างการจัดที่ดิน (X-Ray, 0-3)</t>
    </r>
  </si>
  <si>
    <r>
      <rPr>
        <b/>
        <sz val="15"/>
        <color rgb="FF000000"/>
        <rFont val="Arial"/>
      </rPr>
      <t xml:space="preserve">แผนงานตาม พ.ร.บ. + แผนงานแก้ไขปัญหาเร่งด่วน
</t>
    </r>
    <r>
      <rPr>
        <sz val="15"/>
        <color rgb="FF000000"/>
        <rFont val="Arial"/>
      </rPr>
      <t>จัดที่ดินแทนที่ (กรณีสละสิทธิแบ่งแปลง เสียชีวิตแบ่งแปลง สละสิทธิเต็มแปลง เสียชีวิตเต็มแปลง)</t>
    </r>
  </si>
  <si>
    <t>รังวัด</t>
  </si>
  <si>
    <t>สอบสวนสิทธิ</t>
  </si>
  <si>
    <t>มอบ ส.ป.ก.4-01</t>
  </si>
  <si>
    <t>ร้อยละ (ไร่)</t>
  </si>
  <si>
    <t>ร้อยละ (ราย)</t>
  </si>
  <si>
    <t>รวมทั้งสิ้น</t>
  </si>
  <si>
    <t>2. รวมส่วนกลาง</t>
  </si>
  <si>
    <r>
      <t>เกษตรกรที่เข้าร่วม</t>
    </r>
    <r>
      <rPr>
        <b/>
        <sz val="15"/>
        <color rgb="FFFF0000"/>
        <rFont val="Arial"/>
      </rPr>
      <t>ทั้งหมด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</si>
</sst>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</numFmts>
  <fonts count="24" x14ac:knownFonts="1">
    <font>
      <sz val="10"/>
      <color rgb="FF000000"/>
      <name val="Arial"/>
      <scheme val="minor"/>
    </font>
    <font>
      <b/>
      <sz val="15"/>
      <color theme="1"/>
      <name val="Arial"/>
      <scheme val="minor"/>
    </font>
    <font>
      <sz val="10"/>
      <name val="Arial"/>
    </font>
    <font>
      <b/>
      <sz val="14"/>
      <color theme="1"/>
      <name val="Arial"/>
      <scheme val="minor"/>
    </font>
    <font>
      <b/>
      <sz val="13"/>
      <color theme="1"/>
      <name val="Arial"/>
      <scheme val="minor"/>
    </font>
    <font>
      <sz val="15"/>
      <color theme="1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b/>
      <sz val="15"/>
      <color rgb="FFFFFFFF"/>
      <name val="Arial"/>
      <scheme val="minor"/>
    </font>
    <font>
      <b/>
      <sz val="12"/>
      <color theme="1"/>
      <name val="Arial"/>
      <scheme val="minor"/>
    </font>
    <font>
      <b/>
      <sz val="15"/>
      <color rgb="FFFF0000"/>
      <name val="Arial"/>
    </font>
    <font>
      <b/>
      <sz val="15"/>
      <color rgb="FF000000"/>
      <name val="Arial"/>
    </font>
    <font>
      <sz val="15"/>
      <color theme="1"/>
      <name val="Arial"/>
    </font>
    <font>
      <b/>
      <sz val="15"/>
      <color rgb="FFFFFFFF"/>
      <name val="Arial"/>
    </font>
    <font>
      <sz val="15"/>
      <color rgb="FFFFFFFF"/>
      <name val="Arial"/>
    </font>
    <font>
      <sz val="15"/>
      <color rgb="FF000000"/>
      <name val="Arial"/>
    </font>
    <font>
      <sz val="15"/>
      <color theme="1"/>
      <name val="Arial"/>
      <family val="2"/>
    </font>
    <font>
      <b/>
      <sz val="15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46BDC6"/>
        <bgColor rgb="FF46BDC6"/>
      </patternFill>
    </fill>
    <fill>
      <patternFill patternType="solid">
        <fgColor rgb="FFFFFFFF"/>
        <bgColor rgb="FFFFFFFF"/>
      </patternFill>
    </fill>
    <fill>
      <patternFill patternType="solid">
        <fgColor rgb="FFCC4125"/>
        <bgColor rgb="FFCC4125"/>
      </patternFill>
    </fill>
    <fill>
      <patternFill patternType="solid">
        <fgColor rgb="FF38761D"/>
        <bgColor rgb="FF38761D"/>
      </patternFill>
    </fill>
    <fill>
      <patternFill patternType="solid">
        <fgColor rgb="FF93C47D"/>
        <bgColor rgb="FF93C47D"/>
      </patternFill>
    </fill>
    <fill>
      <patternFill patternType="solid">
        <fgColor rgb="FF76A5AF"/>
        <bgColor rgb="FF76A5AF"/>
      </patternFill>
    </fill>
  </fills>
  <borders count="73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71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7" borderId="22" xfId="0" applyNumberFormat="1" applyFont="1" applyFill="1" applyBorder="1" applyAlignment="1">
      <alignment horizontal="center" vertical="center" shrinkToFit="1"/>
    </xf>
    <xf numFmtId="187" fontId="1" fillId="14" borderId="27" xfId="0" applyNumberFormat="1" applyFont="1" applyFill="1" applyBorder="1" applyAlignment="1">
      <alignment horizontal="center" vertical="center" wrapText="1"/>
    </xf>
    <xf numFmtId="187" fontId="1" fillId="13" borderId="32" xfId="0" applyNumberFormat="1" applyFont="1" applyFill="1" applyBorder="1" applyAlignment="1">
      <alignment horizontal="center" vertical="center" shrinkToFit="1"/>
    </xf>
    <xf numFmtId="188" fontId="1" fillId="13" borderId="32" xfId="0" applyNumberFormat="1" applyFont="1" applyFill="1" applyBorder="1" applyAlignment="1">
      <alignment horizontal="center" vertical="center" shrinkToFit="1"/>
    </xf>
    <xf numFmtId="188" fontId="4" fillId="13" borderId="32" xfId="0" applyNumberFormat="1" applyFont="1" applyFill="1" applyBorder="1" applyAlignment="1">
      <alignment horizontal="center" vertical="center" shrinkToFit="1"/>
    </xf>
    <xf numFmtId="188" fontId="4" fillId="13" borderId="31" xfId="0" applyNumberFormat="1" applyFont="1" applyFill="1" applyBorder="1" applyAlignment="1">
      <alignment horizontal="center" vertical="center" shrinkToFit="1"/>
    </xf>
    <xf numFmtId="189" fontId="1" fillId="13" borderId="31" xfId="0" applyNumberFormat="1" applyFont="1" applyFill="1" applyBorder="1" applyAlignment="1">
      <alignment horizontal="center" vertical="center" shrinkToFit="1"/>
    </xf>
    <xf numFmtId="187" fontId="1" fillId="14" borderId="33" xfId="0" applyNumberFormat="1" applyFont="1" applyFill="1" applyBorder="1" applyAlignment="1">
      <alignment horizontal="center" vertical="center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9" borderId="32" xfId="0" applyNumberFormat="1" applyFont="1" applyFill="1" applyBorder="1" applyAlignment="1">
      <alignment horizontal="center" vertical="center" shrinkToFit="1"/>
    </xf>
    <xf numFmtId="187" fontId="1" fillId="6" borderId="35" xfId="0" applyNumberFormat="1" applyFont="1" applyFill="1" applyBorder="1" applyAlignment="1">
      <alignment horizontal="center" vertical="center" shrinkToFit="1"/>
    </xf>
    <xf numFmtId="187" fontId="1" fillId="10" borderId="36" xfId="0" applyNumberFormat="1" applyFont="1" applyFill="1" applyBorder="1" applyAlignment="1">
      <alignment horizontal="center" vertical="center" shrinkToFit="1"/>
    </xf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5" borderId="36" xfId="0" applyNumberFormat="1" applyFont="1" applyFill="1" applyBorder="1" applyAlignment="1">
      <alignment horizontal="center" vertical="center" shrinkToFit="1"/>
    </xf>
    <xf numFmtId="187" fontId="1" fillId="7" borderId="36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shrinkToFit="1"/>
    </xf>
    <xf numFmtId="190" fontId="1" fillId="16" borderId="36" xfId="0" applyNumberFormat="1" applyFont="1" applyFill="1" applyBorder="1" applyAlignment="1">
      <alignment horizontal="center" vertical="center" shrinkToFit="1"/>
    </xf>
    <xf numFmtId="188" fontId="1" fillId="16" borderId="36" xfId="0" applyNumberFormat="1" applyFont="1" applyFill="1" applyBorder="1" applyAlignment="1">
      <alignment horizontal="right" vertical="center" shrinkToFit="1"/>
    </xf>
    <xf numFmtId="189" fontId="1" fillId="16" borderId="36" xfId="0" applyNumberFormat="1" applyFont="1" applyFill="1" applyBorder="1" applyAlignment="1">
      <alignment horizontal="right" vertical="center" shrinkToFit="1"/>
    </xf>
    <xf numFmtId="187" fontId="1" fillId="14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right" vertical="center" shrinkToFit="1"/>
    </xf>
    <xf numFmtId="0" fontId="1" fillId="8" borderId="37" xfId="0" applyFont="1" applyFill="1" applyBorder="1" applyAlignment="1">
      <alignment horizontal="left" vertical="center"/>
    </xf>
    <xf numFmtId="0" fontId="1" fillId="8" borderId="38" xfId="0" applyFont="1" applyFill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8" borderId="16" xfId="0" applyNumberFormat="1" applyFont="1" applyFill="1" applyBorder="1" applyAlignment="1">
      <alignment vertical="center" shrinkToFit="1"/>
    </xf>
    <xf numFmtId="187" fontId="1" fillId="8" borderId="40" xfId="0" applyNumberFormat="1" applyFont="1" applyFill="1" applyBorder="1" applyAlignment="1">
      <alignment vertical="center" shrinkToFit="1"/>
    </xf>
    <xf numFmtId="190" fontId="1" fillId="8" borderId="40" xfId="0" applyNumberFormat="1" applyFont="1" applyFill="1" applyBorder="1" applyAlignment="1">
      <alignment vertical="center" shrinkToFit="1"/>
    </xf>
    <xf numFmtId="188" fontId="1" fillId="8" borderId="40" xfId="0" applyNumberFormat="1" applyFont="1" applyFill="1" applyBorder="1" applyAlignment="1">
      <alignment horizontal="right" vertical="center" shrinkToFit="1"/>
    </xf>
    <xf numFmtId="189" fontId="1" fillId="8" borderId="40" xfId="0" applyNumberFormat="1" applyFont="1" applyFill="1" applyBorder="1" applyAlignment="1">
      <alignment horizontal="righ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8" fontId="1" fillId="8" borderId="41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horizontal="left" vertical="center"/>
    </xf>
    <xf numFmtId="187" fontId="1" fillId="17" borderId="43" xfId="0" applyNumberFormat="1" applyFont="1" applyFill="1" applyBorder="1" applyAlignment="1">
      <alignment vertical="center" shrinkToFit="1"/>
    </xf>
    <xf numFmtId="187" fontId="1" fillId="17" borderId="10" xfId="0" applyNumberFormat="1" applyFont="1" applyFill="1" applyBorder="1" applyAlignment="1">
      <alignment vertical="center" shrinkToFit="1"/>
    </xf>
    <xf numFmtId="190" fontId="1" fillId="17" borderId="43" xfId="0" applyNumberFormat="1" applyFont="1" applyFill="1" applyBorder="1" applyAlignment="1">
      <alignment vertical="center" shrinkToFit="1"/>
    </xf>
    <xf numFmtId="188" fontId="1" fillId="17" borderId="43" xfId="0" applyNumberFormat="1" applyFont="1" applyFill="1" applyBorder="1" applyAlignment="1">
      <alignment horizontal="right" vertical="center" shrinkToFit="1"/>
    </xf>
    <xf numFmtId="189" fontId="1" fillId="17" borderId="43" xfId="0" applyNumberFormat="1" applyFont="1" applyFill="1" applyBorder="1" applyAlignment="1">
      <alignment horizontal="right" vertical="center" shrinkToFit="1"/>
    </xf>
    <xf numFmtId="187" fontId="1" fillId="17" borderId="44" xfId="0" applyNumberFormat="1" applyFont="1" applyFill="1" applyBorder="1" applyAlignment="1">
      <alignment vertical="center" shrinkToFit="1"/>
    </xf>
    <xf numFmtId="188" fontId="1" fillId="17" borderId="44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8" borderId="42" xfId="0" applyFont="1" applyFill="1" applyBorder="1" applyAlignment="1">
      <alignment horizontal="left" vertical="center"/>
    </xf>
    <xf numFmtId="0" fontId="1" fillId="18" borderId="26" xfId="0" applyFont="1" applyFill="1" applyBorder="1" applyAlignment="1">
      <alignment horizontal="left" vertical="center"/>
    </xf>
    <xf numFmtId="187" fontId="1" fillId="18" borderId="43" xfId="0" applyNumberFormat="1" applyFont="1" applyFill="1" applyBorder="1" applyAlignment="1">
      <alignment vertical="center" shrinkToFit="1"/>
    </xf>
    <xf numFmtId="187" fontId="1" fillId="18" borderId="45" xfId="0" applyNumberFormat="1" applyFont="1" applyFill="1" applyBorder="1" applyAlignment="1">
      <alignment vertical="center" shrinkToFit="1"/>
    </xf>
    <xf numFmtId="187" fontId="1" fillId="18" borderId="46" xfId="0" applyNumberFormat="1" applyFont="1" applyFill="1" applyBorder="1" applyAlignment="1">
      <alignment vertical="center" shrinkToFit="1"/>
    </xf>
    <xf numFmtId="190" fontId="1" fillId="18" borderId="46" xfId="0" applyNumberFormat="1" applyFont="1" applyFill="1" applyBorder="1" applyAlignment="1">
      <alignment vertical="center" shrinkToFit="1"/>
    </xf>
    <xf numFmtId="188" fontId="1" fillId="18" borderId="46" xfId="0" applyNumberFormat="1" applyFont="1" applyFill="1" applyBorder="1" applyAlignment="1">
      <alignment horizontal="right" vertical="center" shrinkToFit="1"/>
    </xf>
    <xf numFmtId="189" fontId="1" fillId="18" borderId="46" xfId="0" applyNumberFormat="1" applyFont="1" applyFill="1" applyBorder="1" applyAlignment="1">
      <alignment horizontal="right" vertical="center" shrinkToFit="1"/>
    </xf>
    <xf numFmtId="187" fontId="1" fillId="8" borderId="43" xfId="0" applyNumberFormat="1" applyFont="1" applyFill="1" applyBorder="1" applyAlignment="1">
      <alignment vertical="center" shrinkToFit="1"/>
    </xf>
    <xf numFmtId="187" fontId="1" fillId="8" borderId="4" xfId="0" applyNumberFormat="1" applyFont="1" applyFill="1" applyBorder="1" applyAlignment="1">
      <alignment vertical="center" shrinkToFit="1"/>
    </xf>
    <xf numFmtId="187" fontId="1" fillId="8" borderId="27" xfId="0" applyNumberFormat="1" applyFont="1" applyFill="1" applyBorder="1" applyAlignment="1">
      <alignment vertical="center" shrinkToFit="1"/>
    </xf>
    <xf numFmtId="190" fontId="1" fillId="8" borderId="27" xfId="0" applyNumberFormat="1" applyFont="1" applyFill="1" applyBorder="1" applyAlignment="1">
      <alignment vertical="center" shrinkToFit="1"/>
    </xf>
    <xf numFmtId="188" fontId="1" fillId="8" borderId="27" xfId="0" applyNumberFormat="1" applyFont="1" applyFill="1" applyBorder="1" applyAlignment="1">
      <alignment horizontal="right" vertical="center" shrinkToFit="1"/>
    </xf>
    <xf numFmtId="189" fontId="1" fillId="8" borderId="27" xfId="0" applyNumberFormat="1" applyFont="1" applyFill="1" applyBorder="1" applyAlignment="1">
      <alignment horizontal="right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9" xfId="0" applyFont="1" applyBorder="1" applyAlignment="1">
      <alignment horizontal="left" vertical="center" shrinkToFit="1"/>
    </xf>
    <xf numFmtId="187" fontId="1" fillId="9" borderId="50" xfId="0" applyNumberFormat="1" applyFont="1" applyFill="1" applyBorder="1" applyAlignment="1">
      <alignment vertical="center" shrinkToFit="1"/>
    </xf>
    <xf numFmtId="187" fontId="1" fillId="6" borderId="51" xfId="0" applyNumberFormat="1" applyFont="1" applyFill="1" applyBorder="1" applyAlignment="1">
      <alignment vertical="center" shrinkToFit="1"/>
    </xf>
    <xf numFmtId="187" fontId="1" fillId="0" borderId="51" xfId="0" applyNumberFormat="1" applyFont="1" applyBorder="1" applyAlignment="1">
      <alignment vertical="center" shrinkToFit="1"/>
    </xf>
    <xf numFmtId="187" fontId="1" fillId="13" borderId="51" xfId="0" applyNumberFormat="1" applyFont="1" applyFill="1" applyBorder="1" applyAlignment="1">
      <alignment vertical="center" shrinkToFit="1"/>
    </xf>
    <xf numFmtId="190" fontId="1" fillId="13" borderId="51" xfId="0" applyNumberFormat="1" applyFont="1" applyFill="1" applyBorder="1" applyAlignment="1">
      <alignment vertical="center" shrinkToFit="1"/>
    </xf>
    <xf numFmtId="188" fontId="1" fillId="0" borderId="51" xfId="0" applyNumberFormat="1" applyFont="1" applyBorder="1" applyAlignment="1">
      <alignment horizontal="right" vertical="center" shrinkToFit="1"/>
    </xf>
    <xf numFmtId="189" fontId="1" fillId="0" borderId="51" xfId="0" applyNumberFormat="1" applyFont="1" applyBorder="1" applyAlignment="1">
      <alignment horizontal="right" vertical="center" shrinkToFit="1"/>
    </xf>
    <xf numFmtId="188" fontId="1" fillId="13" borderId="51" xfId="0" applyNumberFormat="1" applyFont="1" applyFill="1" applyBorder="1" applyAlignment="1">
      <alignment horizontal="right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left" vertical="center" shrinkToFit="1"/>
    </xf>
    <xf numFmtId="187" fontId="1" fillId="9" borderId="53" xfId="0" applyNumberFormat="1" applyFont="1" applyFill="1" applyBorder="1" applyAlignment="1">
      <alignment vertical="center" shrinkToFit="1"/>
    </xf>
    <xf numFmtId="187" fontId="1" fillId="6" borderId="54" xfId="0" applyNumberFormat="1" applyFont="1" applyFill="1" applyBorder="1" applyAlignment="1">
      <alignment vertical="center" shrinkToFit="1"/>
    </xf>
    <xf numFmtId="187" fontId="1" fillId="0" borderId="54" xfId="0" applyNumberFormat="1" applyFont="1" applyBorder="1" applyAlignment="1">
      <alignment vertical="center" shrinkToFit="1"/>
    </xf>
    <xf numFmtId="190" fontId="1" fillId="0" borderId="54" xfId="0" applyNumberFormat="1" applyFont="1" applyBorder="1" applyAlignment="1">
      <alignment vertical="center" shrinkToFit="1"/>
    </xf>
    <xf numFmtId="188" fontId="1" fillId="0" borderId="54" xfId="0" applyNumberFormat="1" applyFont="1" applyBorder="1" applyAlignment="1">
      <alignment horizontal="right" vertical="center" shrinkToFit="1"/>
    </xf>
    <xf numFmtId="189" fontId="1" fillId="0" borderId="54" xfId="0" applyNumberFormat="1" applyFont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188" fontId="1" fillId="13" borderId="54" xfId="0" applyNumberFormat="1" applyFont="1" applyFill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56" xfId="0" applyFont="1" applyBorder="1" applyAlignment="1">
      <alignment horizontal="left" vertical="center" shrinkToFit="1"/>
    </xf>
    <xf numFmtId="187" fontId="1" fillId="9" borderId="56" xfId="0" applyNumberFormat="1" applyFont="1" applyFill="1" applyBorder="1" applyAlignment="1">
      <alignment vertical="center" shrinkToFit="1"/>
    </xf>
    <xf numFmtId="187" fontId="1" fillId="6" borderId="57" xfId="0" applyNumberFormat="1" applyFont="1" applyFill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90" fontId="1" fillId="0" borderId="57" xfId="0" applyNumberFormat="1" applyFont="1" applyBorder="1" applyAlignment="1">
      <alignment vertical="center" shrinkToFit="1"/>
    </xf>
    <xf numFmtId="188" fontId="1" fillId="0" borderId="57" xfId="0" applyNumberFormat="1" applyFont="1" applyBorder="1" applyAlignment="1">
      <alignment horizontal="right" vertical="center" shrinkToFit="1"/>
    </xf>
    <xf numFmtId="189" fontId="1" fillId="0" borderId="57" xfId="0" applyNumberFormat="1" applyFont="1" applyBorder="1" applyAlignment="1">
      <alignment horizontal="right" vertical="center" shrinkToFit="1"/>
    </xf>
    <xf numFmtId="187" fontId="1" fillId="13" borderId="57" xfId="0" applyNumberFormat="1" applyFont="1" applyFill="1" applyBorder="1" applyAlignment="1">
      <alignment vertical="center" shrinkToFit="1"/>
    </xf>
    <xf numFmtId="188" fontId="1" fillId="13" borderId="57" xfId="0" applyNumberFormat="1" applyFont="1" applyFill="1" applyBorder="1" applyAlignment="1">
      <alignment horizontal="right" vertical="center" shrinkToFit="1"/>
    </xf>
    <xf numFmtId="187" fontId="1" fillId="8" borderId="19" xfId="0" applyNumberFormat="1" applyFont="1" applyFill="1" applyBorder="1" applyAlignment="1">
      <alignment vertical="center" shrinkToFit="1"/>
    </xf>
    <xf numFmtId="190" fontId="1" fillId="8" borderId="43" xfId="0" applyNumberFormat="1" applyFont="1" applyFill="1" applyBorder="1" applyAlignment="1">
      <alignment vertical="center" shrinkToFit="1"/>
    </xf>
    <xf numFmtId="188" fontId="1" fillId="8" borderId="43" xfId="0" applyNumberFormat="1" applyFont="1" applyFill="1" applyBorder="1" applyAlignment="1">
      <alignment horizontal="right" vertical="center" shrinkToFit="1"/>
    </xf>
    <xf numFmtId="189" fontId="1" fillId="8" borderId="43" xfId="0" applyNumberFormat="1" applyFont="1" applyFill="1" applyBorder="1" applyAlignment="1">
      <alignment horizontal="right" vertical="center" shrinkToFit="1"/>
    </xf>
    <xf numFmtId="187" fontId="1" fillId="9" borderId="49" xfId="0" applyNumberFormat="1" applyFont="1" applyFill="1" applyBorder="1" applyAlignment="1">
      <alignment vertical="center" shrinkToFit="1"/>
    </xf>
    <xf numFmtId="187" fontId="1" fillId="8" borderId="7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90" fontId="1" fillId="0" borderId="60" xfId="0" applyNumberFormat="1" applyFont="1" applyBorder="1" applyAlignment="1">
      <alignment vertical="center" shrinkToFit="1"/>
    </xf>
    <xf numFmtId="187" fontId="1" fillId="17" borderId="7" xfId="0" applyNumberFormat="1" applyFont="1" applyFill="1" applyBorder="1" applyAlignment="1">
      <alignment vertical="center" shrinkToFit="1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190" fontId="1" fillId="0" borderId="51" xfId="0" applyNumberFormat="1" applyFont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187" fontId="1" fillId="9" borderId="51" xfId="0" applyNumberFormat="1" applyFont="1" applyFill="1" applyBorder="1" applyAlignment="1">
      <alignment vertical="center" shrinkToFit="1"/>
    </xf>
    <xf numFmtId="0" fontId="1" fillId="0" borderId="54" xfId="0" applyFont="1" applyBorder="1" applyAlignment="1">
      <alignment horizontal="left" vertical="center"/>
    </xf>
    <xf numFmtId="187" fontId="1" fillId="9" borderId="54" xfId="0" applyNumberFormat="1" applyFont="1" applyFill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5" fillId="0" borderId="0" xfId="0" applyFont="1"/>
    <xf numFmtId="188" fontId="5" fillId="0" borderId="0" xfId="0" applyNumberFormat="1" applyFont="1" applyAlignment="1">
      <alignment horizontal="right" vertical="center"/>
    </xf>
    <xf numFmtId="189" fontId="5" fillId="0" borderId="0" xfId="0" applyNumberFormat="1" applyFont="1" applyAlignment="1">
      <alignment horizontal="right" vertical="center"/>
    </xf>
    <xf numFmtId="0" fontId="6" fillId="0" borderId="19" xfId="0" applyFont="1" applyBorder="1" applyAlignment="1"/>
    <xf numFmtId="0" fontId="7" fillId="0" borderId="19" xfId="0" applyFont="1" applyBorder="1" applyAlignment="1"/>
    <xf numFmtId="187" fontId="7" fillId="0" borderId="19" xfId="0" applyNumberFormat="1" applyFont="1" applyBorder="1" applyAlignment="1"/>
    <xf numFmtId="188" fontId="7" fillId="0" borderId="19" xfId="0" applyNumberFormat="1" applyFont="1" applyBorder="1"/>
    <xf numFmtId="189" fontId="7" fillId="0" borderId="19" xfId="0" applyNumberFormat="1" applyFont="1" applyBorder="1"/>
    <xf numFmtId="187" fontId="6" fillId="19" borderId="24" xfId="0" applyNumberFormat="1" applyFont="1" applyFill="1" applyBorder="1" applyAlignment="1">
      <alignment horizontal="center"/>
    </xf>
    <xf numFmtId="187" fontId="6" fillId="14" borderId="20" xfId="0" applyNumberFormat="1" applyFont="1" applyFill="1" applyBorder="1" applyAlignment="1">
      <alignment horizontal="center" wrapText="1"/>
    </xf>
    <xf numFmtId="0" fontId="6" fillId="2" borderId="20" xfId="0" applyFont="1" applyFill="1" applyBorder="1" applyAlignment="1">
      <alignment horizontal="center"/>
    </xf>
    <xf numFmtId="187" fontId="6" fillId="14" borderId="24" xfId="0" applyNumberFormat="1" applyFont="1" applyFill="1" applyBorder="1" applyAlignment="1">
      <alignment horizontal="center" wrapText="1"/>
    </xf>
    <xf numFmtId="187" fontId="7" fillId="19" borderId="61" xfId="0" applyNumberFormat="1" applyFont="1" applyFill="1" applyBorder="1" applyAlignment="1">
      <alignment vertical="top"/>
    </xf>
    <xf numFmtId="187" fontId="6" fillId="20" borderId="61" xfId="0" applyNumberFormat="1" applyFont="1" applyFill="1" applyBorder="1" applyAlignment="1">
      <alignment horizontal="center" vertical="top"/>
    </xf>
    <xf numFmtId="188" fontId="6" fillId="20" borderId="61" xfId="0" applyNumberFormat="1" applyFont="1" applyFill="1" applyBorder="1" applyAlignment="1">
      <alignment horizontal="center" vertical="top"/>
    </xf>
    <xf numFmtId="187" fontId="6" fillId="14" borderId="61" xfId="0" applyNumberFormat="1" applyFont="1" applyFill="1" applyBorder="1" applyAlignment="1">
      <alignment horizontal="center" vertical="top"/>
    </xf>
    <xf numFmtId="187" fontId="6" fillId="2" borderId="61" xfId="0" applyNumberFormat="1" applyFont="1" applyFill="1" applyBorder="1" applyAlignment="1">
      <alignment horizontal="center" vertical="top"/>
    </xf>
    <xf numFmtId="187" fontId="6" fillId="14" borderId="61" xfId="0" applyNumberFormat="1" applyFont="1" applyFill="1" applyBorder="1" applyAlignment="1">
      <alignment horizontal="center" vertical="top" wrapText="1"/>
    </xf>
    <xf numFmtId="188" fontId="8" fillId="2" borderId="61" xfId="0" applyNumberFormat="1" applyFont="1" applyFill="1" applyBorder="1" applyAlignment="1">
      <alignment horizontal="center" vertical="top" wrapText="1"/>
    </xf>
    <xf numFmtId="187" fontId="6" fillId="2" borderId="61" xfId="0" applyNumberFormat="1" applyFont="1" applyFill="1" applyBorder="1" applyAlignment="1">
      <alignment horizontal="center" vertical="top" wrapText="1"/>
    </xf>
    <xf numFmtId="187" fontId="6" fillId="2" borderId="61" xfId="0" applyNumberFormat="1" applyFont="1" applyFill="1" applyBorder="1" applyAlignment="1">
      <alignment horizontal="center" vertical="top" wrapText="1"/>
    </xf>
    <xf numFmtId="187" fontId="7" fillId="14" borderId="61" xfId="0" applyNumberFormat="1" applyFont="1" applyFill="1" applyBorder="1" applyAlignment="1">
      <alignment vertical="top"/>
    </xf>
    <xf numFmtId="187" fontId="6" fillId="9" borderId="61" xfId="0" applyNumberFormat="1" applyFont="1" applyFill="1" applyBorder="1" applyAlignment="1">
      <alignment horizontal="center"/>
    </xf>
    <xf numFmtId="187" fontId="6" fillId="6" borderId="61" xfId="0" applyNumberFormat="1" applyFont="1" applyFill="1" applyBorder="1" applyAlignment="1">
      <alignment horizontal="center"/>
    </xf>
    <xf numFmtId="187" fontId="6" fillId="10" borderId="61" xfId="0" applyNumberFormat="1" applyFont="1" applyFill="1" applyBorder="1" applyAlignment="1">
      <alignment horizontal="center"/>
    </xf>
    <xf numFmtId="187" fontId="6" fillId="11" borderId="61" xfId="0" applyNumberFormat="1" applyFont="1" applyFill="1" applyBorder="1" applyAlignment="1">
      <alignment horizontal="center"/>
    </xf>
    <xf numFmtId="187" fontId="6" fillId="15" borderId="61" xfId="0" applyNumberFormat="1" applyFont="1" applyFill="1" applyBorder="1" applyAlignment="1">
      <alignment horizontal="center"/>
    </xf>
    <xf numFmtId="187" fontId="6" fillId="19" borderId="61" xfId="0" applyNumberFormat="1" applyFont="1" applyFill="1" applyBorder="1" applyAlignment="1">
      <alignment horizontal="center"/>
    </xf>
    <xf numFmtId="187" fontId="6" fillId="16" borderId="61" xfId="0" applyNumberFormat="1" applyFont="1" applyFill="1" applyBorder="1" applyAlignment="1">
      <alignment horizontal="center"/>
    </xf>
    <xf numFmtId="190" fontId="6" fillId="16" borderId="61" xfId="0" applyNumberFormat="1" applyFont="1" applyFill="1" applyBorder="1" applyAlignment="1">
      <alignment horizontal="center"/>
    </xf>
    <xf numFmtId="188" fontId="6" fillId="16" borderId="61" xfId="0" applyNumberFormat="1" applyFont="1" applyFill="1" applyBorder="1" applyAlignment="1">
      <alignment horizontal="right"/>
    </xf>
    <xf numFmtId="189" fontId="6" fillId="16" borderId="61" xfId="0" applyNumberFormat="1" applyFont="1" applyFill="1" applyBorder="1" applyAlignment="1">
      <alignment horizontal="right"/>
    </xf>
    <xf numFmtId="187" fontId="6" fillId="14" borderId="61" xfId="0" applyNumberFormat="1" applyFont="1" applyFill="1" applyBorder="1" applyAlignment="1">
      <alignment horizontal="center"/>
    </xf>
    <xf numFmtId="187" fontId="6" fillId="2" borderId="61" xfId="0" applyNumberFormat="1" applyFont="1" applyFill="1" applyBorder="1" applyAlignment="1">
      <alignment horizontal="center"/>
    </xf>
    <xf numFmtId="188" fontId="6" fillId="2" borderId="61" xfId="0" applyNumberFormat="1" applyFont="1" applyFill="1" applyBorder="1" applyAlignment="1">
      <alignment horizontal="right"/>
    </xf>
    <xf numFmtId="189" fontId="6" fillId="2" borderId="61" xfId="0" applyNumberFormat="1" applyFont="1" applyFill="1" applyBorder="1" applyAlignment="1">
      <alignment horizontal="right"/>
    </xf>
    <xf numFmtId="0" fontId="6" fillId="8" borderId="64" xfId="0" applyFont="1" applyFill="1" applyBorder="1" applyAlignment="1"/>
    <xf numFmtId="0" fontId="7" fillId="8" borderId="19" xfId="0" applyFont="1" applyFill="1" applyBorder="1"/>
    <xf numFmtId="187" fontId="6" fillId="8" borderId="20" xfId="0" applyNumberFormat="1" applyFont="1" applyFill="1" applyBorder="1" applyAlignment="1">
      <alignment horizontal="right"/>
    </xf>
    <xf numFmtId="190" fontId="6" fillId="8" borderId="20" xfId="0" applyNumberFormat="1" applyFont="1" applyFill="1" applyBorder="1" applyAlignment="1">
      <alignment horizontal="right"/>
    </xf>
    <xf numFmtId="188" fontId="6" fillId="8" borderId="20" xfId="0" applyNumberFormat="1" applyFont="1" applyFill="1" applyBorder="1" applyAlignment="1">
      <alignment horizontal="right"/>
    </xf>
    <xf numFmtId="189" fontId="6" fillId="8" borderId="20" xfId="0" applyNumberFormat="1" applyFont="1" applyFill="1" applyBorder="1" applyAlignment="1">
      <alignment horizontal="right"/>
    </xf>
    <xf numFmtId="0" fontId="6" fillId="17" borderId="64" xfId="0" applyFont="1" applyFill="1" applyBorder="1" applyAlignment="1"/>
    <xf numFmtId="0" fontId="7" fillId="17" borderId="19" xfId="0" applyFont="1" applyFill="1" applyBorder="1"/>
    <xf numFmtId="187" fontId="6" fillId="17" borderId="20" xfId="0" applyNumberFormat="1" applyFont="1" applyFill="1" applyBorder="1" applyAlignment="1">
      <alignment horizontal="right"/>
    </xf>
    <xf numFmtId="190" fontId="6" fillId="17" borderId="20" xfId="0" applyNumberFormat="1" applyFont="1" applyFill="1" applyBorder="1" applyAlignment="1">
      <alignment horizontal="right"/>
    </xf>
    <xf numFmtId="188" fontId="6" fillId="17" borderId="20" xfId="0" applyNumberFormat="1" applyFont="1" applyFill="1" applyBorder="1" applyAlignment="1">
      <alignment horizontal="right"/>
    </xf>
    <xf numFmtId="189" fontId="6" fillId="17" borderId="20" xfId="0" applyNumberFormat="1" applyFont="1" applyFill="1" applyBorder="1" applyAlignment="1">
      <alignment horizontal="right"/>
    </xf>
    <xf numFmtId="0" fontId="6" fillId="17" borderId="64" xfId="0" applyFont="1" applyFill="1" applyBorder="1" applyAlignment="1"/>
    <xf numFmtId="0" fontId="6" fillId="18" borderId="64" xfId="0" applyFont="1" applyFill="1" applyBorder="1" applyAlignment="1"/>
    <xf numFmtId="0" fontId="7" fillId="18" borderId="20" xfId="0" applyFont="1" applyFill="1" applyBorder="1"/>
    <xf numFmtId="187" fontId="6" fillId="18" borderId="20" xfId="0" applyNumberFormat="1" applyFont="1" applyFill="1" applyBorder="1" applyAlignment="1">
      <alignment horizontal="right"/>
    </xf>
    <xf numFmtId="190" fontId="6" fillId="18" borderId="20" xfId="0" applyNumberFormat="1" applyFont="1" applyFill="1" applyBorder="1" applyAlignment="1">
      <alignment horizontal="right"/>
    </xf>
    <xf numFmtId="188" fontId="6" fillId="18" borderId="20" xfId="0" applyNumberFormat="1" applyFont="1" applyFill="1" applyBorder="1" applyAlignment="1">
      <alignment horizontal="right"/>
    </xf>
    <xf numFmtId="189" fontId="6" fillId="18" borderId="20" xfId="0" applyNumberFormat="1" applyFont="1" applyFill="1" applyBorder="1" applyAlignment="1">
      <alignment horizontal="right"/>
    </xf>
    <xf numFmtId="187" fontId="7" fillId="18" borderId="20" xfId="0" applyNumberFormat="1" applyFont="1" applyFill="1" applyBorder="1"/>
    <xf numFmtId="0" fontId="6" fillId="0" borderId="66" xfId="0" applyFont="1" applyBorder="1" applyAlignment="1">
      <alignment horizontal="center"/>
    </xf>
    <xf numFmtId="0" fontId="6" fillId="0" borderId="67" xfId="0" applyFont="1" applyBorder="1"/>
    <xf numFmtId="187" fontId="6" fillId="9" borderId="67" xfId="0" applyNumberFormat="1" applyFont="1" applyFill="1" applyBorder="1" applyAlignment="1">
      <alignment horizontal="right"/>
    </xf>
    <xf numFmtId="187" fontId="6" fillId="6" borderId="67" xfId="0" applyNumberFormat="1" applyFont="1" applyFill="1" applyBorder="1" applyAlignment="1">
      <alignment horizontal="right"/>
    </xf>
    <xf numFmtId="187" fontId="6" fillId="0" borderId="67" xfId="0" applyNumberFormat="1" applyFont="1" applyBorder="1" applyAlignment="1">
      <alignment horizontal="right"/>
    </xf>
    <xf numFmtId="187" fontId="6" fillId="20" borderId="67" xfId="0" applyNumberFormat="1" applyFont="1" applyFill="1" applyBorder="1" applyAlignment="1">
      <alignment horizontal="right"/>
    </xf>
    <xf numFmtId="190" fontId="6" fillId="20" borderId="67" xfId="0" applyNumberFormat="1" applyFont="1" applyFill="1" applyBorder="1" applyAlignment="1">
      <alignment horizontal="right"/>
    </xf>
    <xf numFmtId="188" fontId="6" fillId="0" borderId="67" xfId="0" applyNumberFormat="1" applyFont="1" applyBorder="1" applyAlignment="1">
      <alignment horizontal="right"/>
    </xf>
    <xf numFmtId="189" fontId="6" fillId="0" borderId="67" xfId="0" applyNumberFormat="1" applyFont="1" applyBorder="1" applyAlignment="1">
      <alignment horizontal="right"/>
    </xf>
    <xf numFmtId="188" fontId="6" fillId="20" borderId="67" xfId="0" applyNumberFormat="1" applyFont="1" applyFill="1" applyBorder="1" applyAlignment="1">
      <alignment horizontal="right"/>
    </xf>
    <xf numFmtId="189" fontId="6" fillId="20" borderId="67" xfId="0" applyNumberFormat="1" applyFont="1" applyFill="1" applyBorder="1" applyAlignment="1">
      <alignment horizontal="right"/>
    </xf>
    <xf numFmtId="190" fontId="6" fillId="0" borderId="67" xfId="0" applyNumberFormat="1" applyFont="1" applyBorder="1" applyAlignment="1">
      <alignment horizontal="right"/>
    </xf>
    <xf numFmtId="0" fontId="6" fillId="0" borderId="68" xfId="0" applyFont="1" applyBorder="1" applyAlignment="1">
      <alignment horizontal="center"/>
    </xf>
    <xf numFmtId="0" fontId="6" fillId="0" borderId="20" xfId="0" applyFont="1" applyBorder="1"/>
    <xf numFmtId="187" fontId="6" fillId="9" borderId="20" xfId="0" applyNumberFormat="1" applyFont="1" applyFill="1" applyBorder="1" applyAlignment="1">
      <alignment horizontal="right"/>
    </xf>
    <xf numFmtId="187" fontId="6" fillId="6" borderId="20" xfId="0" applyNumberFormat="1" applyFont="1" applyFill="1" applyBorder="1" applyAlignment="1">
      <alignment horizontal="right"/>
    </xf>
    <xf numFmtId="187" fontId="6" fillId="0" borderId="20" xfId="0" applyNumberFormat="1" applyFont="1" applyBorder="1" applyAlignment="1">
      <alignment horizontal="right"/>
    </xf>
    <xf numFmtId="190" fontId="6" fillId="0" borderId="20" xfId="0" applyNumberFormat="1" applyFont="1" applyBorder="1" applyAlignment="1">
      <alignment horizontal="right"/>
    </xf>
    <xf numFmtId="188" fontId="6" fillId="0" borderId="20" xfId="0" applyNumberFormat="1" applyFont="1" applyBorder="1" applyAlignment="1">
      <alignment horizontal="right"/>
    </xf>
    <xf numFmtId="189" fontId="6" fillId="0" borderId="20" xfId="0" applyNumberFormat="1" applyFont="1" applyBorder="1" applyAlignment="1">
      <alignment horizontal="right"/>
    </xf>
    <xf numFmtId="187" fontId="6" fillId="20" borderId="20" xfId="0" applyNumberFormat="1" applyFont="1" applyFill="1" applyBorder="1" applyAlignment="1">
      <alignment horizontal="right"/>
    </xf>
    <xf numFmtId="188" fontId="6" fillId="20" borderId="20" xfId="0" applyNumberFormat="1" applyFont="1" applyFill="1" applyBorder="1" applyAlignment="1">
      <alignment horizontal="right"/>
    </xf>
    <xf numFmtId="189" fontId="6" fillId="20" borderId="20" xfId="0" applyNumberFormat="1" applyFont="1" applyFill="1" applyBorder="1" applyAlignment="1">
      <alignment horizontal="right"/>
    </xf>
    <xf numFmtId="187" fontId="7" fillId="20" borderId="67" xfId="0" applyNumberFormat="1" applyFont="1" applyFill="1" applyBorder="1"/>
    <xf numFmtId="187" fontId="7" fillId="20" borderId="20" xfId="0" applyNumberFormat="1" applyFont="1" applyFill="1" applyBorder="1"/>
    <xf numFmtId="187" fontId="7" fillId="0" borderId="20" xfId="0" applyNumberFormat="1" applyFont="1" applyBorder="1"/>
    <xf numFmtId="187" fontId="7" fillId="17" borderId="20" xfId="0" applyNumberFormat="1" applyFont="1" applyFill="1" applyBorder="1"/>
    <xf numFmtId="187" fontId="7" fillId="0" borderId="67" xfId="0" applyNumberFormat="1" applyFont="1" applyBorder="1"/>
    <xf numFmtId="0" fontId="6" fillId="0" borderId="67" xfId="0" applyFont="1" applyBorder="1"/>
    <xf numFmtId="0" fontId="6" fillId="0" borderId="66" xfId="0" applyFont="1" applyBorder="1" applyAlignment="1">
      <alignment horizontal="center"/>
    </xf>
    <xf numFmtId="0" fontId="7" fillId="0" borderId="0" xfId="0" applyFont="1" applyAlignment="1"/>
    <xf numFmtId="188" fontId="7" fillId="0" borderId="0" xfId="0" applyNumberFormat="1" applyFont="1"/>
    <xf numFmtId="189" fontId="7" fillId="0" borderId="0" xfId="0" applyNumberFormat="1" applyFont="1"/>
    <xf numFmtId="0" fontId="7" fillId="0" borderId="0" xfId="0" applyFont="1" applyAlignment="1"/>
    <xf numFmtId="187" fontId="1" fillId="9" borderId="35" xfId="0" applyNumberFormat="1" applyFont="1" applyFill="1" applyBorder="1" applyAlignment="1">
      <alignment horizontal="center" vertical="center" shrinkToFit="1"/>
    </xf>
    <xf numFmtId="187" fontId="1" fillId="6" borderId="36" xfId="0" applyNumberFormat="1" applyFont="1" applyFill="1" applyBorder="1" applyAlignment="1">
      <alignment horizontal="center" vertical="center" shrinkToFit="1"/>
    </xf>
    <xf numFmtId="0" fontId="1" fillId="18" borderId="44" xfId="0" applyFont="1" applyFill="1" applyBorder="1" applyAlignment="1">
      <alignment horizontal="left" vertical="center"/>
    </xf>
    <xf numFmtId="187" fontId="1" fillId="18" borderId="24" xfId="0" applyNumberFormat="1" applyFont="1" applyFill="1" applyBorder="1" applyAlignment="1">
      <alignment vertical="center" shrinkToFit="1"/>
    </xf>
    <xf numFmtId="187" fontId="1" fillId="8" borderId="13" xfId="0" applyNumberFormat="1" applyFont="1" applyFill="1" applyBorder="1" applyAlignment="1">
      <alignment vertical="center" shrinkToFit="1"/>
    </xf>
    <xf numFmtId="189" fontId="1" fillId="2" borderId="43" xfId="0" applyNumberFormat="1" applyFont="1" applyFill="1" applyBorder="1" applyAlignment="1">
      <alignment horizontal="center" vertical="top" wrapText="1"/>
    </xf>
    <xf numFmtId="187" fontId="1" fillId="14" borderId="4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8" fontId="7" fillId="0" borderId="19" xfId="0" applyNumberFormat="1" applyFont="1" applyBorder="1" applyAlignment="1"/>
    <xf numFmtId="189" fontId="7" fillId="0" borderId="19" xfId="0" applyNumberFormat="1" applyFont="1" applyBorder="1" applyAlignment="1"/>
    <xf numFmtId="187" fontId="6" fillId="19" borderId="24" xfId="0" applyNumberFormat="1" applyFont="1" applyFill="1" applyBorder="1" applyAlignment="1">
      <alignment horizontal="center"/>
    </xf>
    <xf numFmtId="187" fontId="6" fillId="14" borderId="20" xfId="0" applyNumberFormat="1" applyFont="1" applyFill="1" applyBorder="1" applyAlignment="1">
      <alignment horizontal="center" wrapText="1"/>
    </xf>
    <xf numFmtId="187" fontId="7" fillId="19" borderId="61" xfId="0" applyNumberFormat="1" applyFont="1" applyFill="1" applyBorder="1" applyAlignment="1"/>
    <xf numFmtId="187" fontId="6" fillId="20" borderId="61" xfId="0" applyNumberFormat="1" applyFont="1" applyFill="1" applyBorder="1" applyAlignment="1">
      <alignment horizontal="center"/>
    </xf>
    <xf numFmtId="188" fontId="6" fillId="20" borderId="61" xfId="0" applyNumberFormat="1" applyFont="1" applyFill="1" applyBorder="1" applyAlignment="1">
      <alignment horizontal="center"/>
    </xf>
    <xf numFmtId="187" fontId="6" fillId="14" borderId="61" xfId="0" applyNumberFormat="1" applyFont="1" applyFill="1" applyBorder="1" applyAlignment="1">
      <alignment horizontal="center" wrapText="1"/>
    </xf>
    <xf numFmtId="187" fontId="6" fillId="2" borderId="61" xfId="0" applyNumberFormat="1" applyFont="1" applyFill="1" applyBorder="1" applyAlignment="1">
      <alignment horizontal="center" wrapText="1"/>
    </xf>
    <xf numFmtId="188" fontId="8" fillId="2" borderId="61" xfId="0" applyNumberFormat="1" applyFont="1" applyFill="1" applyBorder="1" applyAlignment="1">
      <alignment horizontal="center" wrapText="1"/>
    </xf>
    <xf numFmtId="187" fontId="6" fillId="9" borderId="61" xfId="0" applyNumberFormat="1" applyFont="1" applyFill="1" applyBorder="1" applyAlignment="1">
      <alignment horizontal="center"/>
    </xf>
    <xf numFmtId="187" fontId="6" fillId="6" borderId="61" xfId="0" applyNumberFormat="1" applyFont="1" applyFill="1" applyBorder="1" applyAlignment="1">
      <alignment horizontal="center"/>
    </xf>
    <xf numFmtId="187" fontId="6" fillId="10" borderId="61" xfId="0" applyNumberFormat="1" applyFont="1" applyFill="1" applyBorder="1" applyAlignment="1">
      <alignment horizontal="center"/>
    </xf>
    <xf numFmtId="187" fontId="6" fillId="11" borderId="61" xfId="0" applyNumberFormat="1" applyFont="1" applyFill="1" applyBorder="1" applyAlignment="1">
      <alignment horizontal="center"/>
    </xf>
    <xf numFmtId="187" fontId="6" fillId="15" borderId="61" xfId="0" applyNumberFormat="1" applyFont="1" applyFill="1" applyBorder="1" applyAlignment="1">
      <alignment horizontal="center"/>
    </xf>
    <xf numFmtId="187" fontId="3" fillId="19" borderId="61" xfId="0" applyNumberFormat="1" applyFont="1" applyFill="1" applyBorder="1" applyAlignment="1"/>
    <xf numFmtId="187" fontId="6" fillId="16" borderId="61" xfId="0" applyNumberFormat="1" applyFont="1" applyFill="1" applyBorder="1" applyAlignment="1">
      <alignment horizontal="center"/>
    </xf>
    <xf numFmtId="190" fontId="6" fillId="16" borderId="61" xfId="0" applyNumberFormat="1" applyFont="1" applyFill="1" applyBorder="1" applyAlignment="1">
      <alignment horizontal="center"/>
    </xf>
    <xf numFmtId="188" fontId="6" fillId="16" borderId="61" xfId="0" applyNumberFormat="1" applyFont="1" applyFill="1" applyBorder="1" applyAlignment="1">
      <alignment horizontal="right"/>
    </xf>
    <xf numFmtId="189" fontId="6" fillId="16" borderId="61" xfId="0" applyNumberFormat="1" applyFont="1" applyFill="1" applyBorder="1" applyAlignment="1">
      <alignment horizontal="right"/>
    </xf>
    <xf numFmtId="187" fontId="6" fillId="14" borderId="61" xfId="0" applyNumberFormat="1" applyFont="1" applyFill="1" applyBorder="1" applyAlignment="1">
      <alignment horizontal="center"/>
    </xf>
    <xf numFmtId="187" fontId="6" fillId="2" borderId="61" xfId="0" applyNumberFormat="1" applyFont="1" applyFill="1" applyBorder="1" applyAlignment="1">
      <alignment horizontal="center"/>
    </xf>
    <xf numFmtId="188" fontId="6" fillId="2" borderId="61" xfId="0" applyNumberFormat="1" applyFont="1" applyFill="1" applyBorder="1" applyAlignment="1">
      <alignment horizontal="right"/>
    </xf>
    <xf numFmtId="0" fontId="6" fillId="8" borderId="64" xfId="0" applyFont="1" applyFill="1" applyBorder="1" applyAlignment="1"/>
    <xf numFmtId="0" fontId="7" fillId="8" borderId="20" xfId="0" applyFont="1" applyFill="1" applyBorder="1" applyAlignment="1"/>
    <xf numFmtId="187" fontId="6" fillId="8" borderId="20" xfId="0" applyNumberFormat="1" applyFont="1" applyFill="1" applyBorder="1" applyAlignment="1">
      <alignment horizontal="right"/>
    </xf>
    <xf numFmtId="190" fontId="6" fillId="8" borderId="20" xfId="0" applyNumberFormat="1" applyFont="1" applyFill="1" applyBorder="1" applyAlignment="1">
      <alignment horizontal="right"/>
    </xf>
    <xf numFmtId="188" fontId="6" fillId="8" borderId="20" xfId="0" applyNumberFormat="1" applyFont="1" applyFill="1" applyBorder="1" applyAlignment="1">
      <alignment horizontal="right"/>
    </xf>
    <xf numFmtId="189" fontId="6" fillId="8" borderId="20" xfId="0" applyNumberFormat="1" applyFont="1" applyFill="1" applyBorder="1" applyAlignment="1">
      <alignment horizontal="right"/>
    </xf>
    <xf numFmtId="0" fontId="6" fillId="17" borderId="64" xfId="0" applyFont="1" applyFill="1" applyBorder="1" applyAlignment="1"/>
    <xf numFmtId="0" fontId="7" fillId="17" borderId="20" xfId="0" applyFont="1" applyFill="1" applyBorder="1" applyAlignment="1"/>
    <xf numFmtId="187" fontId="6" fillId="17" borderId="20" xfId="0" applyNumberFormat="1" applyFont="1" applyFill="1" applyBorder="1" applyAlignment="1">
      <alignment horizontal="right"/>
    </xf>
    <xf numFmtId="190" fontId="6" fillId="17" borderId="20" xfId="0" applyNumberFormat="1" applyFont="1" applyFill="1" applyBorder="1" applyAlignment="1">
      <alignment horizontal="right"/>
    </xf>
    <xf numFmtId="188" fontId="6" fillId="17" borderId="20" xfId="0" applyNumberFormat="1" applyFont="1" applyFill="1" applyBorder="1" applyAlignment="1">
      <alignment horizontal="right"/>
    </xf>
    <xf numFmtId="189" fontId="6" fillId="17" borderId="20" xfId="0" applyNumberFormat="1" applyFont="1" applyFill="1" applyBorder="1" applyAlignment="1">
      <alignment horizontal="right"/>
    </xf>
    <xf numFmtId="187" fontId="7" fillId="17" borderId="20" xfId="0" applyNumberFormat="1" applyFont="1" applyFill="1" applyBorder="1" applyAlignment="1"/>
    <xf numFmtId="0" fontId="6" fillId="17" borderId="64" xfId="0" applyFont="1" applyFill="1" applyBorder="1" applyAlignment="1"/>
    <xf numFmtId="0" fontId="6" fillId="18" borderId="64" xfId="0" applyFont="1" applyFill="1" applyBorder="1" applyAlignment="1"/>
    <xf numFmtId="0" fontId="7" fillId="18" borderId="20" xfId="0" applyFont="1" applyFill="1" applyBorder="1" applyAlignment="1"/>
    <xf numFmtId="187" fontId="6" fillId="18" borderId="20" xfId="0" applyNumberFormat="1" applyFont="1" applyFill="1" applyBorder="1" applyAlignment="1">
      <alignment horizontal="right"/>
    </xf>
    <xf numFmtId="190" fontId="6" fillId="18" borderId="20" xfId="0" applyNumberFormat="1" applyFont="1" applyFill="1" applyBorder="1" applyAlignment="1">
      <alignment horizontal="right"/>
    </xf>
    <xf numFmtId="188" fontId="6" fillId="18" borderId="20" xfId="0" applyNumberFormat="1" applyFont="1" applyFill="1" applyBorder="1" applyAlignment="1">
      <alignment horizontal="right"/>
    </xf>
    <xf numFmtId="189" fontId="6" fillId="18" borderId="20" xfId="0" applyNumberFormat="1" applyFont="1" applyFill="1" applyBorder="1" applyAlignment="1">
      <alignment horizontal="right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/>
    <xf numFmtId="187" fontId="6" fillId="9" borderId="67" xfId="0" applyNumberFormat="1" applyFont="1" applyFill="1" applyBorder="1" applyAlignment="1">
      <alignment horizontal="right"/>
    </xf>
    <xf numFmtId="187" fontId="6" fillId="6" borderId="67" xfId="0" applyNumberFormat="1" applyFont="1" applyFill="1" applyBorder="1" applyAlignment="1">
      <alignment horizontal="right"/>
    </xf>
    <xf numFmtId="187" fontId="6" fillId="0" borderId="67" xfId="0" applyNumberFormat="1" applyFont="1" applyBorder="1" applyAlignment="1">
      <alignment horizontal="right"/>
    </xf>
    <xf numFmtId="187" fontId="6" fillId="20" borderId="67" xfId="0" applyNumberFormat="1" applyFont="1" applyFill="1" applyBorder="1" applyAlignment="1">
      <alignment horizontal="right"/>
    </xf>
    <xf numFmtId="190" fontId="6" fillId="20" borderId="67" xfId="0" applyNumberFormat="1" applyFont="1" applyFill="1" applyBorder="1" applyAlignment="1">
      <alignment horizontal="right"/>
    </xf>
    <xf numFmtId="188" fontId="6" fillId="0" borderId="67" xfId="0" applyNumberFormat="1" applyFont="1" applyBorder="1" applyAlignment="1">
      <alignment horizontal="right"/>
    </xf>
    <xf numFmtId="189" fontId="6" fillId="0" borderId="67" xfId="0" applyNumberFormat="1" applyFont="1" applyBorder="1" applyAlignment="1">
      <alignment horizontal="right"/>
    </xf>
    <xf numFmtId="188" fontId="6" fillId="20" borderId="67" xfId="0" applyNumberFormat="1" applyFont="1" applyFill="1" applyBorder="1" applyAlignment="1">
      <alignment horizontal="right"/>
    </xf>
    <xf numFmtId="187" fontId="7" fillId="20" borderId="67" xfId="0" applyNumberFormat="1" applyFont="1" applyFill="1" applyBorder="1" applyAlignment="1"/>
    <xf numFmtId="190" fontId="6" fillId="0" borderId="67" xfId="0" applyNumberFormat="1" applyFont="1" applyBorder="1" applyAlignment="1">
      <alignment horizontal="right"/>
    </xf>
    <xf numFmtId="0" fontId="6" fillId="0" borderId="68" xfId="0" applyFont="1" applyBorder="1" applyAlignment="1">
      <alignment horizontal="center"/>
    </xf>
    <xf numFmtId="0" fontId="6" fillId="0" borderId="20" xfId="0" applyFont="1" applyBorder="1" applyAlignment="1"/>
    <xf numFmtId="187" fontId="6" fillId="9" borderId="20" xfId="0" applyNumberFormat="1" applyFont="1" applyFill="1" applyBorder="1" applyAlignment="1">
      <alignment horizontal="right"/>
    </xf>
    <xf numFmtId="187" fontId="6" fillId="6" borderId="20" xfId="0" applyNumberFormat="1" applyFont="1" applyFill="1" applyBorder="1" applyAlignment="1">
      <alignment horizontal="right"/>
    </xf>
    <xf numFmtId="187" fontId="6" fillId="0" borderId="20" xfId="0" applyNumberFormat="1" applyFont="1" applyBorder="1" applyAlignment="1">
      <alignment horizontal="right"/>
    </xf>
    <xf numFmtId="190" fontId="6" fillId="0" borderId="20" xfId="0" applyNumberFormat="1" applyFont="1" applyBorder="1" applyAlignment="1">
      <alignment horizontal="right"/>
    </xf>
    <xf numFmtId="188" fontId="6" fillId="0" borderId="20" xfId="0" applyNumberFormat="1" applyFont="1" applyBorder="1" applyAlignment="1">
      <alignment horizontal="right"/>
    </xf>
    <xf numFmtId="189" fontId="6" fillId="0" borderId="20" xfId="0" applyNumberFormat="1" applyFont="1" applyBorder="1" applyAlignment="1">
      <alignment horizontal="right"/>
    </xf>
    <xf numFmtId="187" fontId="6" fillId="20" borderId="20" xfId="0" applyNumberFormat="1" applyFont="1" applyFill="1" applyBorder="1" applyAlignment="1">
      <alignment horizontal="right"/>
    </xf>
    <xf numFmtId="188" fontId="6" fillId="20" borderId="20" xfId="0" applyNumberFormat="1" applyFont="1" applyFill="1" applyBorder="1" applyAlignment="1">
      <alignment horizontal="right"/>
    </xf>
    <xf numFmtId="187" fontId="7" fillId="20" borderId="20" xfId="0" applyNumberFormat="1" applyFont="1" applyFill="1" applyBorder="1" applyAlignment="1"/>
    <xf numFmtId="187" fontId="7" fillId="0" borderId="67" xfId="0" applyNumberFormat="1" applyFont="1" applyBorder="1" applyAlignment="1"/>
    <xf numFmtId="187" fontId="7" fillId="0" borderId="20" xfId="0" applyNumberFormat="1" applyFont="1" applyBorder="1" applyAlignment="1"/>
    <xf numFmtId="0" fontId="6" fillId="0" borderId="67" xfId="0" applyFont="1" applyBorder="1" applyAlignment="1"/>
    <xf numFmtId="0" fontId="6" fillId="0" borderId="66" xfId="0" applyFont="1" applyBorder="1" applyAlignment="1">
      <alignment horizontal="center"/>
    </xf>
    <xf numFmtId="188" fontId="7" fillId="0" borderId="0" xfId="0" applyNumberFormat="1" applyFont="1" applyAlignment="1"/>
    <xf numFmtId="189" fontId="7" fillId="0" borderId="0" xfId="0" applyNumberFormat="1" applyFont="1" applyAlignment="1"/>
    <xf numFmtId="0" fontId="1" fillId="2" borderId="44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187" fontId="1" fillId="14" borderId="31" xfId="0" applyNumberFormat="1" applyFont="1" applyFill="1" applyBorder="1" applyAlignment="1">
      <alignment horizontal="center" vertical="center" wrapText="1"/>
    </xf>
    <xf numFmtId="187" fontId="1" fillId="14" borderId="31" xfId="0" applyNumberFormat="1" applyFont="1" applyFill="1" applyBorder="1" applyAlignment="1">
      <alignment horizontal="center" vertical="center"/>
    </xf>
    <xf numFmtId="187" fontId="6" fillId="2" borderId="36" xfId="0" applyNumberFormat="1" applyFont="1" applyFill="1" applyBorder="1" applyAlignment="1">
      <alignment horizontal="center"/>
    </xf>
    <xf numFmtId="187" fontId="6" fillId="8" borderId="39" xfId="0" applyNumberFormat="1" applyFont="1" applyFill="1" applyBorder="1" applyAlignment="1">
      <alignment horizontal="right"/>
    </xf>
    <xf numFmtId="187" fontId="7" fillId="17" borderId="39" xfId="0" applyNumberFormat="1" applyFont="1" applyFill="1" applyBorder="1"/>
    <xf numFmtId="187" fontId="6" fillId="18" borderId="39" xfId="0" applyNumberFormat="1" applyFont="1" applyFill="1" applyBorder="1" applyAlignment="1">
      <alignment horizontal="right"/>
    </xf>
    <xf numFmtId="187" fontId="6" fillId="20" borderId="60" xfId="0" applyNumberFormat="1" applyFont="1" applyFill="1" applyBorder="1" applyAlignment="1">
      <alignment horizontal="right"/>
    </xf>
    <xf numFmtId="187" fontId="6" fillId="20" borderId="39" xfId="0" applyNumberFormat="1" applyFont="1" applyFill="1" applyBorder="1" applyAlignment="1">
      <alignment horizontal="right"/>
    </xf>
    <xf numFmtId="187" fontId="7" fillId="0" borderId="60" xfId="0" applyNumberFormat="1" applyFont="1" applyBorder="1"/>
    <xf numFmtId="187" fontId="7" fillId="0" borderId="39" xfId="0" applyNumberFormat="1" applyFont="1" applyBorder="1"/>
    <xf numFmtId="0" fontId="10" fillId="0" borderId="0" xfId="0" applyFont="1"/>
    <xf numFmtId="0" fontId="11" fillId="0" borderId="0" xfId="0" applyFont="1"/>
    <xf numFmtId="187" fontId="10" fillId="14" borderId="43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7" fontId="10" fillId="2" borderId="31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8" fontId="12" fillId="2" borderId="32" xfId="0" applyNumberFormat="1" applyFont="1" applyFill="1" applyBorder="1" applyAlignment="1">
      <alignment horizontal="center" vertical="center" wrapText="1"/>
    </xf>
    <xf numFmtId="187" fontId="10" fillId="14" borderId="36" xfId="0" applyNumberFormat="1" applyFont="1" applyFill="1" applyBorder="1" applyAlignment="1">
      <alignment horizontal="center" vertical="center" shrinkToFit="1"/>
    </xf>
    <xf numFmtId="187" fontId="10" fillId="2" borderId="36" xfId="0" applyNumberFormat="1" applyFont="1" applyFill="1" applyBorder="1" applyAlignment="1">
      <alignment horizontal="center" vertical="center" shrinkToFit="1"/>
    </xf>
    <xf numFmtId="188" fontId="10" fillId="2" borderId="36" xfId="0" applyNumberFormat="1" applyFont="1" applyFill="1" applyBorder="1" applyAlignment="1">
      <alignment horizontal="right" vertical="center" shrinkToFit="1"/>
    </xf>
    <xf numFmtId="187" fontId="10" fillId="8" borderId="40" xfId="0" applyNumberFormat="1" applyFont="1" applyFill="1" applyBorder="1" applyAlignment="1">
      <alignment vertical="center" shrinkToFit="1"/>
    </xf>
    <xf numFmtId="188" fontId="10" fillId="8" borderId="40" xfId="0" applyNumberFormat="1" applyFont="1" applyFill="1" applyBorder="1" applyAlignment="1">
      <alignment horizontal="right" vertical="center" shrinkToFit="1"/>
    </xf>
    <xf numFmtId="187" fontId="10" fillId="17" borderId="43" xfId="0" applyNumberFormat="1" applyFont="1" applyFill="1" applyBorder="1" applyAlignment="1">
      <alignment vertical="center" shrinkToFit="1"/>
    </xf>
    <xf numFmtId="188" fontId="10" fillId="17" borderId="43" xfId="0" applyNumberFormat="1" applyFont="1" applyFill="1" applyBorder="1" applyAlignment="1">
      <alignment horizontal="right" vertical="center" shrinkToFit="1"/>
    </xf>
    <xf numFmtId="187" fontId="10" fillId="18" borderId="46" xfId="0" applyNumberFormat="1" applyFont="1" applyFill="1" applyBorder="1" applyAlignment="1">
      <alignment vertical="center" shrinkToFit="1"/>
    </xf>
    <xf numFmtId="188" fontId="10" fillId="18" borderId="46" xfId="0" applyNumberFormat="1" applyFont="1" applyFill="1" applyBorder="1" applyAlignment="1">
      <alignment horizontal="right" vertical="center" shrinkToFit="1"/>
    </xf>
    <xf numFmtId="187" fontId="10" fillId="8" borderId="27" xfId="0" applyNumberFormat="1" applyFont="1" applyFill="1" applyBorder="1" applyAlignment="1">
      <alignment vertical="center" shrinkToFit="1"/>
    </xf>
    <xf numFmtId="188" fontId="10" fillId="8" borderId="27" xfId="0" applyNumberFormat="1" applyFont="1" applyFill="1" applyBorder="1" applyAlignment="1">
      <alignment horizontal="right" vertical="center" shrinkToFit="1"/>
    </xf>
    <xf numFmtId="187" fontId="10" fillId="13" borderId="51" xfId="0" applyNumberFormat="1" applyFont="1" applyFill="1" applyBorder="1" applyAlignment="1">
      <alignment vertical="center" shrinkToFit="1"/>
    </xf>
    <xf numFmtId="188" fontId="10" fillId="13" borderId="51" xfId="0" applyNumberFormat="1" applyFont="1" applyFill="1" applyBorder="1" applyAlignment="1">
      <alignment horizontal="right" vertical="center" shrinkToFit="1"/>
    </xf>
    <xf numFmtId="187" fontId="10" fillId="13" borderId="54" xfId="0" applyNumberFormat="1" applyFont="1" applyFill="1" applyBorder="1" applyAlignment="1">
      <alignment vertical="center" shrinkToFit="1"/>
    </xf>
    <xf numFmtId="188" fontId="10" fillId="13" borderId="54" xfId="0" applyNumberFormat="1" applyFont="1" applyFill="1" applyBorder="1" applyAlignment="1">
      <alignment horizontal="right" vertical="center" shrinkToFit="1"/>
    </xf>
    <xf numFmtId="187" fontId="10" fillId="13" borderId="57" xfId="0" applyNumberFormat="1" applyFont="1" applyFill="1" applyBorder="1" applyAlignment="1">
      <alignment vertical="center" shrinkToFit="1"/>
    </xf>
    <xf numFmtId="188" fontId="10" fillId="13" borderId="57" xfId="0" applyNumberFormat="1" applyFont="1" applyFill="1" applyBorder="1" applyAlignment="1">
      <alignment horizontal="right" vertical="center" shrinkToFit="1"/>
    </xf>
    <xf numFmtId="187" fontId="10" fillId="8" borderId="43" xfId="0" applyNumberFormat="1" applyFont="1" applyFill="1" applyBorder="1" applyAlignment="1">
      <alignment vertical="center" shrinkToFit="1"/>
    </xf>
    <xf numFmtId="188" fontId="10" fillId="8" borderId="43" xfId="0" applyNumberFormat="1" applyFont="1" applyFill="1" applyBorder="1" applyAlignment="1">
      <alignment horizontal="right" vertical="center" shrinkToFit="1"/>
    </xf>
    <xf numFmtId="187" fontId="10" fillId="0" borderId="51" xfId="0" applyNumberFormat="1" applyFont="1" applyBorder="1" applyAlignment="1">
      <alignment vertical="center" shrinkToFit="1"/>
    </xf>
    <xf numFmtId="188" fontId="10" fillId="0" borderId="51" xfId="0" applyNumberFormat="1" applyFont="1" applyBorder="1" applyAlignment="1">
      <alignment horizontal="right" vertical="center" shrinkToFit="1"/>
    </xf>
    <xf numFmtId="187" fontId="10" fillId="0" borderId="54" xfId="0" applyNumberFormat="1" applyFont="1" applyBorder="1" applyAlignment="1">
      <alignment vertical="center" shrinkToFit="1"/>
    </xf>
    <xf numFmtId="188" fontId="10" fillId="0" borderId="54" xfId="0" applyNumberFormat="1" applyFont="1" applyBorder="1" applyAlignment="1">
      <alignment horizontal="right" vertical="center" shrinkToFit="1"/>
    </xf>
    <xf numFmtId="187" fontId="10" fillId="0" borderId="57" xfId="0" applyNumberFormat="1" applyFont="1" applyBorder="1" applyAlignment="1">
      <alignment vertical="center" shrinkToFit="1"/>
    </xf>
    <xf numFmtId="188" fontId="10" fillId="0" borderId="57" xfId="0" applyNumberFormat="1" applyFont="1" applyBorder="1" applyAlignment="1">
      <alignment horizontal="right" vertical="center" shrinkToFit="1"/>
    </xf>
    <xf numFmtId="0" fontId="13" fillId="0" borderId="0" xfId="0" applyFont="1"/>
    <xf numFmtId="0" fontId="7" fillId="0" borderId="19" xfId="0" applyFont="1" applyBorder="1" applyAlignment="1"/>
    <xf numFmtId="187" fontId="6" fillId="14" borderId="39" xfId="0" applyNumberFormat="1" applyFont="1" applyFill="1" applyBorder="1" applyAlignment="1">
      <alignment horizontal="center" wrapText="1"/>
    </xf>
    <xf numFmtId="187" fontId="6" fillId="14" borderId="31" xfId="0" applyNumberFormat="1" applyFont="1" applyFill="1" applyBorder="1" applyAlignment="1">
      <alignment horizontal="center" wrapText="1"/>
    </xf>
    <xf numFmtId="187" fontId="6" fillId="2" borderId="61" xfId="0" applyNumberFormat="1" applyFont="1" applyFill="1" applyBorder="1" applyAlignment="1">
      <alignment horizontal="center" wrapText="1"/>
    </xf>
    <xf numFmtId="188" fontId="8" fillId="2" borderId="61" xfId="0" applyNumberFormat="1" applyFont="1" applyFill="1" applyBorder="1" applyAlignment="1">
      <alignment horizontal="center" wrapText="1"/>
    </xf>
    <xf numFmtId="187" fontId="6" fillId="14" borderId="31" xfId="0" applyNumberFormat="1" applyFont="1" applyFill="1" applyBorder="1" applyAlignment="1">
      <alignment horizontal="center"/>
    </xf>
    <xf numFmtId="188" fontId="7" fillId="17" borderId="20" xfId="0" applyNumberFormat="1" applyFont="1" applyFill="1" applyBorder="1"/>
    <xf numFmtId="188" fontId="7" fillId="0" borderId="67" xfId="0" applyNumberFormat="1" applyFont="1" applyBorder="1"/>
    <xf numFmtId="188" fontId="7" fillId="0" borderId="20" xfId="0" applyNumberFormat="1" applyFont="1" applyBorder="1"/>
    <xf numFmtId="0" fontId="4" fillId="2" borderId="44" xfId="0" applyFont="1" applyFill="1" applyBorder="1" applyAlignment="1">
      <alignment horizontal="center"/>
    </xf>
    <xf numFmtId="189" fontId="1" fillId="3" borderId="0" xfId="0" applyNumberFormat="1" applyFont="1" applyFill="1" applyAlignment="1">
      <alignment horizontal="center" vertical="top" shrinkToFit="1"/>
    </xf>
    <xf numFmtId="187" fontId="1" fillId="2" borderId="31" xfId="0" applyNumberFormat="1" applyFont="1" applyFill="1" applyBorder="1" applyAlignment="1">
      <alignment horizontal="center" vertical="center" wrapText="1"/>
    </xf>
    <xf numFmtId="188" fontId="15" fillId="2" borderId="32" xfId="0" applyNumberFormat="1" applyFont="1" applyFill="1" applyBorder="1" applyAlignment="1">
      <alignment horizontal="center" vertical="center" wrapText="1"/>
    </xf>
    <xf numFmtId="189" fontId="1" fillId="5" borderId="14" xfId="0" applyNumberFormat="1" applyFont="1" applyFill="1" applyBorder="1" applyAlignment="1">
      <alignment horizontal="center" vertical="top" wrapText="1"/>
    </xf>
    <xf numFmtId="0" fontId="2" fillId="0" borderId="15" xfId="0" applyFont="1" applyBorder="1"/>
    <xf numFmtId="0" fontId="2" fillId="0" borderId="16" xfId="0" applyFont="1" applyBorder="1"/>
    <xf numFmtId="189" fontId="1" fillId="3" borderId="3" xfId="0" applyNumberFormat="1" applyFont="1" applyFill="1" applyBorder="1" applyAlignment="1">
      <alignment horizontal="center" vertical="top" shrinkToFit="1"/>
    </xf>
    <xf numFmtId="0" fontId="2" fillId="0" borderId="3" xfId="0" applyFont="1" applyBorder="1"/>
    <xf numFmtId="0" fontId="2" fillId="0" borderId="4" xfId="0" applyFont="1" applyBorder="1"/>
    <xf numFmtId="189" fontId="1" fillId="4" borderId="7" xfId="0" applyNumberFormat="1" applyFont="1" applyFill="1" applyBorder="1" applyAlignment="1">
      <alignment horizontal="center" vertical="top" shrinkToFit="1"/>
    </xf>
    <xf numFmtId="0" fontId="2" fillId="0" borderId="7" xfId="0" applyFont="1" applyBorder="1"/>
    <xf numFmtId="0" fontId="2" fillId="0" borderId="8" xfId="0" applyFont="1" applyBorder="1"/>
    <xf numFmtId="189" fontId="1" fillId="5" borderId="9" xfId="0" applyNumberFormat="1" applyFont="1" applyFill="1" applyBorder="1" applyAlignment="1">
      <alignment horizontal="center" vertical="top" wrapText="1"/>
    </xf>
    <xf numFmtId="0" fontId="2" fillId="0" borderId="10" xfId="0" applyFont="1" applyBorder="1"/>
    <xf numFmtId="187" fontId="1" fillId="5" borderId="11" xfId="0" applyNumberFormat="1" applyFont="1" applyFill="1" applyBorder="1" applyAlignment="1">
      <alignment horizontal="center" vertical="top" shrinkToFit="1"/>
    </xf>
    <xf numFmtId="0" fontId="2" fillId="0" borderId="12" xfId="0" applyFont="1" applyBorder="1"/>
    <xf numFmtId="0" fontId="2" fillId="0" borderId="13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187" fontId="1" fillId="6" borderId="7" xfId="0" applyNumberFormat="1" applyFont="1" applyFill="1" applyBorder="1" applyAlignment="1">
      <alignment horizontal="center" vertical="center" shrinkToFit="1"/>
    </xf>
    <xf numFmtId="187" fontId="1" fillId="7" borderId="9" xfId="0" applyNumberFormat="1" applyFont="1" applyFill="1" applyBorder="1" applyAlignment="1">
      <alignment horizontal="center" vertical="center" shrinkToFit="1"/>
    </xf>
    <xf numFmtId="189" fontId="1" fillId="5" borderId="17" xfId="0" applyNumberFormat="1" applyFont="1" applyFill="1" applyBorder="1" applyAlignment="1">
      <alignment horizontal="center" vertical="top" wrapText="1"/>
    </xf>
    <xf numFmtId="187" fontId="1" fillId="14" borderId="9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187" fontId="1" fillId="8" borderId="9" xfId="0" applyNumberFormat="1" applyFont="1" applyFill="1" applyBorder="1" applyAlignment="1">
      <alignment horizontal="center" vertical="center" shrinkToFit="1"/>
    </xf>
    <xf numFmtId="187" fontId="1" fillId="13" borderId="23" xfId="0" applyNumberFormat="1" applyFont="1" applyFill="1" applyBorder="1" applyAlignment="1">
      <alignment horizontal="center" vertical="center" shrinkToFit="1"/>
    </xf>
    <xf numFmtId="0" fontId="2" fillId="0" borderId="24" xfId="0" applyFont="1" applyBorder="1"/>
    <xf numFmtId="187" fontId="1" fillId="13" borderId="25" xfId="0" applyNumberFormat="1" applyFont="1" applyFill="1" applyBorder="1" applyAlignment="1">
      <alignment horizontal="center" vertical="center" shrinkToFit="1"/>
    </xf>
    <xf numFmtId="189" fontId="1" fillId="13" borderId="25" xfId="0" applyNumberFormat="1" applyFont="1" applyFill="1" applyBorder="1" applyAlignment="1">
      <alignment horizontal="center" vertical="center" shrinkToFit="1"/>
    </xf>
    <xf numFmtId="0" fontId="1" fillId="2" borderId="26" xfId="0" applyFont="1" applyFill="1" applyBorder="1" applyAlignment="1">
      <alignment horizontal="center"/>
    </xf>
    <xf numFmtId="0" fontId="1" fillId="8" borderId="47" xfId="0" applyFont="1" applyFill="1" applyBorder="1" applyAlignment="1">
      <alignment horizontal="left" vertical="center"/>
    </xf>
    <xf numFmtId="0" fontId="1" fillId="8" borderId="58" xfId="0" applyFont="1" applyFill="1" applyBorder="1" applyAlignment="1">
      <alignment horizontal="left" vertical="center"/>
    </xf>
    <xf numFmtId="0" fontId="2" fillId="0" borderId="59" xfId="0" applyFont="1" applyBorder="1"/>
    <xf numFmtId="49" fontId="1" fillId="8" borderId="58" xfId="0" applyNumberFormat="1" applyFont="1" applyFill="1" applyBorder="1" applyAlignment="1">
      <alignment horizontal="left" vertical="center"/>
    </xf>
    <xf numFmtId="187" fontId="1" fillId="17" borderId="47" xfId="0" applyNumberFormat="1" applyFont="1" applyFill="1" applyBorder="1" applyAlignment="1">
      <alignment horizontal="left" vertical="center"/>
    </xf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31" xfId="0" applyFont="1" applyBorder="1"/>
    <xf numFmtId="0" fontId="1" fillId="6" borderId="34" xfId="0" applyFont="1" applyFill="1" applyBorder="1" applyAlignment="1">
      <alignment horizontal="center" vertical="center"/>
    </xf>
    <xf numFmtId="0" fontId="2" fillId="0" borderId="35" xfId="0" applyFont="1" applyBorder="1"/>
    <xf numFmtId="187" fontId="6" fillId="19" borderId="19" xfId="0" applyNumberFormat="1" applyFont="1" applyFill="1" applyBorder="1" applyAlignment="1">
      <alignment horizontal="center"/>
    </xf>
    <xf numFmtId="187" fontId="6" fillId="8" borderId="19" xfId="0" applyNumberFormat="1" applyFont="1" applyFill="1" applyBorder="1" applyAlignment="1">
      <alignment horizontal="center"/>
    </xf>
    <xf numFmtId="189" fontId="6" fillId="5" borderId="19" xfId="0" applyNumberFormat="1" applyFont="1" applyFill="1" applyBorder="1" applyAlignment="1">
      <alignment horizontal="center" vertical="top" wrapText="1"/>
    </xf>
    <xf numFmtId="187" fontId="6" fillId="5" borderId="19" xfId="0" applyNumberFormat="1" applyFont="1" applyFill="1" applyBorder="1" applyAlignment="1">
      <alignment horizontal="center" vertical="top"/>
    </xf>
    <xf numFmtId="187" fontId="6" fillId="20" borderId="19" xfId="0" applyNumberFormat="1" applyFont="1" applyFill="1" applyBorder="1" applyAlignment="1">
      <alignment horizontal="center"/>
    </xf>
    <xf numFmtId="0" fontId="6" fillId="8" borderId="64" xfId="0" applyFont="1" applyFill="1" applyBorder="1"/>
    <xf numFmtId="0" fontId="2" fillId="0" borderId="65" xfId="0" applyFont="1" applyBorder="1"/>
    <xf numFmtId="49" fontId="6" fillId="8" borderId="64" xfId="0" applyNumberFormat="1" applyFont="1" applyFill="1" applyBorder="1"/>
    <xf numFmtId="187" fontId="6" fillId="17" borderId="64" xfId="0" applyNumberFormat="1" applyFont="1" applyFill="1" applyBorder="1"/>
    <xf numFmtId="187" fontId="6" fillId="2" borderId="5" xfId="0" applyNumberFormat="1" applyFont="1" applyFill="1" applyBorder="1" applyAlignment="1">
      <alignment horizontal="center"/>
    </xf>
    <xf numFmtId="189" fontId="6" fillId="3" borderId="19" xfId="0" applyNumberFormat="1" applyFont="1" applyFill="1" applyBorder="1" applyAlignment="1">
      <alignment horizontal="center" vertical="top"/>
    </xf>
    <xf numFmtId="189" fontId="6" fillId="4" borderId="19" xfId="0" applyNumberFormat="1" applyFont="1" applyFill="1" applyBorder="1" applyAlignment="1">
      <alignment horizontal="center" vertical="top"/>
    </xf>
    <xf numFmtId="189" fontId="6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187" fontId="6" fillId="6" borderId="19" xfId="0" applyNumberFormat="1" applyFont="1" applyFill="1" applyBorder="1" applyAlignment="1">
      <alignment horizontal="center"/>
    </xf>
    <xf numFmtId="0" fontId="6" fillId="6" borderId="62" xfId="0" applyFont="1" applyFill="1" applyBorder="1" applyAlignment="1">
      <alignment horizontal="center"/>
    </xf>
    <xf numFmtId="0" fontId="2" fillId="0" borderId="63" xfId="0" applyFont="1" applyBorder="1"/>
    <xf numFmtId="189" fontId="6" fillId="20" borderId="19" xfId="0" applyNumberFormat="1" applyFont="1" applyFill="1" applyBorder="1" applyAlignment="1">
      <alignment horizontal="center"/>
    </xf>
    <xf numFmtId="187" fontId="6" fillId="2" borderId="19" xfId="0" applyNumberFormat="1" applyFont="1" applyFill="1" applyBorder="1" applyAlignment="1">
      <alignment horizontal="center" wrapText="1"/>
    </xf>
    <xf numFmtId="187" fontId="6" fillId="14" borderId="19" xfId="0" applyNumberFormat="1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/>
    </xf>
    <xf numFmtId="189" fontId="1" fillId="2" borderId="21" xfId="0" applyNumberFormat="1" applyFont="1" applyFill="1" applyBorder="1" applyAlignment="1">
      <alignment horizontal="center" vertical="top" wrapText="1"/>
    </xf>
    <xf numFmtId="0" fontId="2" fillId="0" borderId="22" xfId="0" applyFont="1" applyBorder="1"/>
    <xf numFmtId="189" fontId="1" fillId="5" borderId="69" xfId="0" applyNumberFormat="1" applyFont="1" applyFill="1" applyBorder="1" applyAlignment="1">
      <alignment horizontal="center" vertical="top" wrapText="1"/>
    </xf>
    <xf numFmtId="0" fontId="2" fillId="0" borderId="25" xfId="0" applyFont="1" applyBorder="1"/>
    <xf numFmtId="0" fontId="6" fillId="8" borderId="64" xfId="0" applyFont="1" applyFill="1" applyBorder="1" applyAlignment="1"/>
    <xf numFmtId="49" fontId="6" fillId="8" borderId="64" xfId="0" applyNumberFormat="1" applyFont="1" applyFill="1" applyBorder="1" applyAlignment="1"/>
    <xf numFmtId="187" fontId="6" fillId="17" borderId="64" xfId="0" applyNumberFormat="1" applyFont="1" applyFill="1" applyBorder="1" applyAlignment="1"/>
    <xf numFmtId="0" fontId="1" fillId="2" borderId="7" xfId="0" applyFont="1" applyFill="1" applyBorder="1" applyAlignment="1">
      <alignment horizontal="center"/>
    </xf>
    <xf numFmtId="189" fontId="1" fillId="5" borderId="0" xfId="0" applyNumberFormat="1" applyFont="1" applyFill="1" applyAlignment="1">
      <alignment horizontal="center" vertical="top" wrapText="1"/>
    </xf>
    <xf numFmtId="189" fontId="10" fillId="5" borderId="69" xfId="0" applyNumberFormat="1" applyFont="1" applyFill="1" applyBorder="1" applyAlignment="1">
      <alignment horizontal="center" vertical="top" wrapText="1"/>
    </xf>
    <xf numFmtId="0" fontId="2" fillId="0" borderId="23" xfId="0" applyFont="1" applyBorder="1"/>
    <xf numFmtId="0" fontId="10" fillId="2" borderId="26" xfId="0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189" fontId="10" fillId="2" borderId="9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/>
    </xf>
    <xf numFmtId="189" fontId="1" fillId="5" borderId="21" xfId="0" applyNumberFormat="1" applyFont="1" applyFill="1" applyBorder="1" applyAlignment="1">
      <alignment horizontal="center" vertical="top" wrapText="1"/>
    </xf>
    <xf numFmtId="0" fontId="2" fillId="0" borderId="39" xfId="0" applyFont="1" applyBorder="1"/>
    <xf numFmtId="189" fontId="6" fillId="5" borderId="69" xfId="0" applyNumberFormat="1" applyFont="1" applyFill="1" applyBorder="1" applyAlignment="1">
      <alignment horizontal="center" vertical="top" wrapText="1"/>
    </xf>
    <xf numFmtId="0" fontId="6" fillId="5" borderId="69" xfId="0" applyFont="1" applyFill="1" applyBorder="1" applyAlignment="1">
      <alignment horizontal="center" vertical="top"/>
    </xf>
    <xf numFmtId="0" fontId="6" fillId="5" borderId="69" xfId="0" applyFont="1" applyFill="1" applyBorder="1" applyAlignment="1">
      <alignment horizontal="center" vertical="top" wrapText="1"/>
    </xf>
    <xf numFmtId="0" fontId="1" fillId="5" borderId="70" xfId="0" applyFont="1" applyFill="1" applyBorder="1" applyAlignment="1">
      <alignment horizontal="center" vertical="top" wrapText="1"/>
    </xf>
    <xf numFmtId="0" fontId="2" fillId="0" borderId="71" xfId="0" applyFont="1" applyBorder="1"/>
    <xf numFmtId="0" fontId="2" fillId="0" borderId="72" xfId="0" applyFont="1" applyBorder="1"/>
    <xf numFmtId="0" fontId="3" fillId="5" borderId="70" xfId="0" applyFont="1" applyFill="1" applyBorder="1" applyAlignment="1">
      <alignment horizontal="center" vertical="top" wrapText="1"/>
    </xf>
    <xf numFmtId="187" fontId="1" fillId="2" borderId="7" xfId="0" applyNumberFormat="1" applyFont="1" applyFill="1" applyBorder="1" applyAlignment="1">
      <alignment horizontal="center" vertical="center" wrapText="1"/>
    </xf>
    <xf numFmtId="187" fontId="1" fillId="9" borderId="0" xfId="0" applyNumberFormat="1" applyFont="1" applyFill="1" applyAlignment="1">
      <alignment horizontal="center" vertical="top" wrapText="1" shrinkToFit="1"/>
    </xf>
    <xf numFmtId="187" fontId="1" fillId="6" borderId="21" xfId="0" applyNumberFormat="1" applyFont="1" applyFill="1" applyBorder="1" applyAlignment="1">
      <alignment horizontal="center" vertical="top" wrapText="1" shrinkToFit="1"/>
    </xf>
    <xf numFmtId="187" fontId="3" fillId="10" borderId="21" xfId="0" applyNumberFormat="1" applyFont="1" applyFill="1" applyBorder="1" applyAlignment="1">
      <alignment horizontal="center" vertical="top" wrapText="1" shrinkToFit="1"/>
    </xf>
    <xf numFmtId="187" fontId="1" fillId="11" borderId="21" xfId="0" applyNumberFormat="1" applyFont="1" applyFill="1" applyBorder="1" applyAlignment="1">
      <alignment horizontal="center" vertical="top" wrapText="1" shrinkToFit="1"/>
    </xf>
    <xf numFmtId="187" fontId="1" fillId="12" borderId="21" xfId="0" applyNumberFormat="1" applyFont="1" applyFill="1" applyBorder="1" applyAlignment="1">
      <alignment horizontal="center" vertical="top" wrapText="1" shrinkToFit="1"/>
    </xf>
    <xf numFmtId="0" fontId="2" fillId="0" borderId="30" xfId="0" applyFont="1" applyBorder="1" applyAlignment="1">
      <alignment wrapText="1"/>
    </xf>
    <xf numFmtId="0" fontId="2" fillId="0" borderId="31" xfId="0" applyFont="1" applyBorder="1" applyAlignment="1">
      <alignment wrapText="1"/>
    </xf>
    <xf numFmtId="187" fontId="6" fillId="9" borderId="24" xfId="0" applyNumberFormat="1" applyFont="1" applyFill="1" applyBorder="1" applyAlignment="1">
      <alignment horizontal="center" vertical="top" wrapText="1"/>
    </xf>
    <xf numFmtId="187" fontId="6" fillId="6" borderId="24" xfId="0" applyNumberFormat="1" applyFont="1" applyFill="1" applyBorder="1" applyAlignment="1">
      <alignment horizontal="center" vertical="top" wrapText="1"/>
    </xf>
    <xf numFmtId="187" fontId="8" fillId="10" borderId="24" xfId="0" applyNumberFormat="1" applyFont="1" applyFill="1" applyBorder="1" applyAlignment="1">
      <alignment horizontal="center" vertical="top" wrapText="1"/>
    </xf>
    <xf numFmtId="187" fontId="6" fillId="11" borderId="24" xfId="0" applyNumberFormat="1" applyFont="1" applyFill="1" applyBorder="1" applyAlignment="1">
      <alignment horizontal="center" vertical="top" wrapText="1"/>
    </xf>
    <xf numFmtId="187" fontId="6" fillId="12" borderId="24" xfId="0" applyNumberFormat="1" applyFont="1" applyFill="1" applyBorder="1" applyAlignment="1">
      <alignment horizontal="center" vertical="top" wrapText="1"/>
    </xf>
    <xf numFmtId="0" fontId="2" fillId="0" borderId="61" xfId="0" applyFont="1" applyBorder="1" applyAlignment="1">
      <alignment wrapText="1"/>
    </xf>
    <xf numFmtId="188" fontId="4" fillId="13" borderId="32" xfId="0" applyNumberFormat="1" applyFont="1" applyFill="1" applyBorder="1" applyAlignment="1">
      <alignment horizontal="center" vertical="center" wrapText="1" shrinkToFit="1"/>
    </xf>
    <xf numFmtId="188" fontId="4" fillId="13" borderId="31" xfId="0" applyNumberFormat="1" applyFont="1" applyFill="1" applyBorder="1" applyAlignment="1">
      <alignment horizontal="center" vertical="center" wrapText="1" shrinkToFit="1"/>
    </xf>
    <xf numFmtId="189" fontId="1" fillId="13" borderId="31" xfId="0" applyNumberFormat="1" applyFont="1" applyFill="1" applyBorder="1" applyAlignment="1">
      <alignment horizontal="center" vertical="center" wrapText="1" shrinkToFit="1"/>
    </xf>
    <xf numFmtId="188" fontId="9" fillId="20" borderId="61" xfId="0" applyNumberFormat="1" applyFont="1" applyFill="1" applyBorder="1" applyAlignment="1">
      <alignment horizontal="center" vertical="top" wrapText="1"/>
    </xf>
    <xf numFmtId="189" fontId="6" fillId="20" borderId="61" xfId="0" applyNumberFormat="1" applyFont="1" applyFill="1" applyBorder="1" applyAlignment="1">
      <alignment horizontal="center" vertical="top" wrapText="1"/>
    </xf>
    <xf numFmtId="187" fontId="22" fillId="20" borderId="20" xfId="0" applyNumberFormat="1" applyFont="1" applyFill="1" applyBorder="1"/>
    <xf numFmtId="187" fontId="22" fillId="0" borderId="20" xfId="0" applyNumberFormat="1" applyFont="1" applyBorder="1"/>
    <xf numFmtId="187" fontId="23" fillId="20" borderId="20" xfId="0" applyNumberFormat="1" applyFont="1" applyFill="1" applyBorder="1"/>
    <xf numFmtId="187" fontId="22" fillId="20" borderId="67" xfId="0" applyNumberFormat="1" applyFont="1" applyFill="1" applyBorder="1" applyAlignment="1"/>
    <xf numFmtId="187" fontId="22" fillId="20" borderId="20" xfId="0" applyNumberFormat="1" applyFont="1" applyFill="1" applyBorder="1" applyAlignment="1"/>
    <xf numFmtId="188" fontId="9" fillId="20" borderId="61" xfId="0" applyNumberFormat="1" applyFont="1" applyFill="1" applyBorder="1" applyAlignment="1">
      <alignment horizontal="center" wrapText="1"/>
    </xf>
    <xf numFmtId="189" fontId="6" fillId="20" borderId="61" xfId="0" applyNumberFormat="1" applyFont="1" applyFill="1" applyBorder="1" applyAlignment="1">
      <alignment horizontal="center" wrapText="1"/>
    </xf>
    <xf numFmtId="0" fontId="2" fillId="0" borderId="13" xfId="0" applyFont="1" applyBorder="1" applyAlignment="1">
      <alignment wrapText="1"/>
    </xf>
    <xf numFmtId="0" fontId="2" fillId="0" borderId="12" xfId="0" applyFont="1" applyBorder="1" applyAlignment="1">
      <alignment wrapText="1"/>
    </xf>
    <xf numFmtId="0" fontId="2" fillId="0" borderId="25" xfId="0" applyFont="1" applyBorder="1" applyAlignment="1">
      <alignment wrapText="1"/>
    </xf>
    <xf numFmtId="0" fontId="2" fillId="0" borderId="20" xfId="0" applyFont="1" applyBorder="1" applyAlignment="1">
      <alignment wrapText="1"/>
    </xf>
    <xf numFmtId="0" fontId="2" fillId="0" borderId="19" xfId="0" applyFont="1" applyBorder="1" applyAlignment="1">
      <alignment wrapText="1"/>
    </xf>
    <xf numFmtId="189" fontId="14" fillId="21" borderId="69" xfId="0" applyNumberFormat="1" applyFont="1" applyFill="1" applyBorder="1" applyAlignment="1">
      <alignment horizontal="center" vertical="top" wrapText="1"/>
    </xf>
    <xf numFmtId="189" fontId="14" fillId="22" borderId="69" xfId="0" applyNumberFormat="1" applyFont="1" applyFill="1" applyBorder="1" applyAlignment="1">
      <alignment horizontal="center" vertical="top" wrapText="1"/>
    </xf>
    <xf numFmtId="189" fontId="10" fillId="23" borderId="69" xfId="0" applyNumberFormat="1" applyFont="1" applyFill="1" applyBorder="1" applyAlignment="1">
      <alignment horizontal="center" vertical="top" wrapText="1"/>
    </xf>
    <xf numFmtId="189" fontId="10" fillId="24" borderId="69" xfId="0" applyNumberFormat="1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  <pageSetUpPr fitToPage="1"/>
  </sheetPr>
  <dimension ref="A1:AL999"/>
  <sheetViews>
    <sheetView tabSelected="1" view="pageBreakPreview" zoomScale="60" zoomScaleNormal="100" workbookViewId="0">
      <pane xSplit="2" ySplit="7" topLeftCell="C8" activePane="bottomRight" state="frozen"/>
      <selection activeCell="J17" sqref="J17"/>
      <selection pane="topRight" activeCell="J17" sqref="J17"/>
      <selection pane="bottomLeft" activeCell="J17" sqref="J17"/>
      <selection pane="bottomRight" activeCell="U22" sqref="U22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1.42578125" customWidth="1"/>
    <col min="8" max="8" width="16.42578125" customWidth="1"/>
    <col min="9" max="9" width="11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9.42578125" customWidth="1"/>
    <col min="16" max="16" width="12.140625" customWidth="1"/>
    <col min="17" max="17" width="12" customWidth="1"/>
    <col min="18" max="18" width="7.5703125" customWidth="1"/>
    <col min="19" max="19" width="8.85546875" customWidth="1"/>
    <col min="20" max="20" width="7.5703125" customWidth="1"/>
    <col min="21" max="21" width="10.140625" customWidth="1"/>
    <col min="22" max="22" width="7.5703125" customWidth="1"/>
    <col min="23" max="23" width="10.140625" customWidth="1"/>
    <col min="24" max="35" width="7.5703125" customWidth="1"/>
    <col min="36" max="36" width="13.42578125" bestFit="1" customWidth="1"/>
    <col min="37" max="37" width="7.5703125" customWidth="1"/>
    <col min="38" max="38" width="8.8554687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/>
    </row>
    <row r="2" spans="1:38" ht="24" customHeight="1" x14ac:dyDescent="0.2">
      <c r="A2" s="382" t="s">
        <v>1</v>
      </c>
      <c r="B2" s="383"/>
      <c r="C2" s="352" t="s">
        <v>2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4"/>
    </row>
    <row r="3" spans="1:38" ht="30" customHeight="1" x14ac:dyDescent="0.2">
      <c r="A3" s="384"/>
      <c r="B3" s="385"/>
      <c r="C3" s="355" t="s">
        <v>3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358" t="s">
        <v>4</v>
      </c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9"/>
      <c r="AJ3" s="360" t="s">
        <v>5</v>
      </c>
      <c r="AK3" s="361"/>
      <c r="AL3" s="362"/>
    </row>
    <row r="4" spans="1:38" ht="30" customHeight="1" x14ac:dyDescent="0.2">
      <c r="A4" s="384"/>
      <c r="B4" s="385"/>
      <c r="C4" s="366" t="s">
        <v>6</v>
      </c>
      <c r="D4" s="356"/>
      <c r="E4" s="356"/>
      <c r="F4" s="356"/>
      <c r="G4" s="359"/>
      <c r="H4" s="367" t="s">
        <v>7</v>
      </c>
      <c r="I4" s="359"/>
      <c r="J4" s="371" t="s">
        <v>8</v>
      </c>
      <c r="K4" s="356"/>
      <c r="L4" s="356"/>
      <c r="M4" s="356"/>
      <c r="N4" s="356"/>
      <c r="O4" s="356"/>
      <c r="P4" s="356"/>
      <c r="Q4" s="359"/>
      <c r="R4" s="349" t="s">
        <v>9</v>
      </c>
      <c r="S4" s="350"/>
      <c r="T4" s="350"/>
      <c r="U4" s="350"/>
      <c r="V4" s="350"/>
      <c r="W4" s="351"/>
      <c r="X4" s="349" t="s">
        <v>10</v>
      </c>
      <c r="Y4" s="350"/>
      <c r="Z4" s="350"/>
      <c r="AA4" s="351"/>
      <c r="AB4" s="349" t="s">
        <v>11</v>
      </c>
      <c r="AC4" s="350"/>
      <c r="AD4" s="350"/>
      <c r="AE4" s="351"/>
      <c r="AF4" s="368" t="s">
        <v>12</v>
      </c>
      <c r="AG4" s="353"/>
      <c r="AH4" s="353"/>
      <c r="AI4" s="354"/>
      <c r="AJ4" s="363"/>
      <c r="AK4" s="364"/>
      <c r="AL4" s="365"/>
    </row>
    <row r="5" spans="1:38" ht="24" customHeight="1" x14ac:dyDescent="0.3">
      <c r="A5" s="384"/>
      <c r="B5" s="385"/>
      <c r="C5" s="437" t="s">
        <v>13</v>
      </c>
      <c r="D5" s="438" t="s">
        <v>14</v>
      </c>
      <c r="E5" s="439" t="s">
        <v>15</v>
      </c>
      <c r="F5" s="440" t="s">
        <v>16</v>
      </c>
      <c r="G5" s="441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64"/>
      <c r="N5" s="365"/>
      <c r="O5" s="375" t="s">
        <v>19</v>
      </c>
      <c r="P5" s="364"/>
      <c r="Q5" s="365"/>
      <c r="R5" s="369" t="s">
        <v>21</v>
      </c>
      <c r="S5" s="359"/>
      <c r="T5" s="376" t="s">
        <v>22</v>
      </c>
      <c r="U5" s="356"/>
      <c r="V5" s="356"/>
      <c r="W5" s="359"/>
      <c r="X5" s="369" t="s">
        <v>21</v>
      </c>
      <c r="Y5" s="359"/>
      <c r="Z5" s="370" t="s">
        <v>22</v>
      </c>
      <c r="AA5" s="359"/>
      <c r="AB5" s="369" t="s">
        <v>21</v>
      </c>
      <c r="AC5" s="359"/>
      <c r="AD5" s="370" t="s">
        <v>22</v>
      </c>
      <c r="AE5" s="359"/>
      <c r="AF5" s="369" t="s">
        <v>21</v>
      </c>
      <c r="AG5" s="359"/>
      <c r="AH5" s="370" t="s">
        <v>22</v>
      </c>
      <c r="AI5" s="359"/>
      <c r="AJ5" s="7" t="s">
        <v>21</v>
      </c>
      <c r="AK5" s="370" t="s">
        <v>22</v>
      </c>
      <c r="AL5" s="359"/>
    </row>
    <row r="6" spans="1:38" ht="42" customHeight="1" x14ac:dyDescent="0.2">
      <c r="A6" s="386"/>
      <c r="B6" s="387"/>
      <c r="C6" s="442"/>
      <c r="D6" s="443"/>
      <c r="E6" s="443"/>
      <c r="F6" s="443"/>
      <c r="G6" s="443"/>
      <c r="H6" s="6"/>
      <c r="I6" s="6"/>
      <c r="J6" s="8" t="s">
        <v>23</v>
      </c>
      <c r="K6" s="9" t="s">
        <v>24</v>
      </c>
      <c r="L6" s="8" t="s">
        <v>23</v>
      </c>
      <c r="M6" s="450" t="s">
        <v>25</v>
      </c>
      <c r="N6" s="451" t="s">
        <v>26</v>
      </c>
      <c r="O6" s="452" t="s">
        <v>23</v>
      </c>
      <c r="P6" s="450" t="s">
        <v>25</v>
      </c>
      <c r="Q6" s="451" t="s">
        <v>26</v>
      </c>
      <c r="R6" s="13" t="s">
        <v>27</v>
      </c>
      <c r="S6" s="14" t="s">
        <v>28</v>
      </c>
      <c r="T6" s="15" t="s">
        <v>27</v>
      </c>
      <c r="U6" s="16" t="s">
        <v>24</v>
      </c>
      <c r="V6" s="17" t="s">
        <v>28</v>
      </c>
      <c r="W6" s="16" t="s">
        <v>24</v>
      </c>
      <c r="X6" s="13" t="s">
        <v>27</v>
      </c>
      <c r="Y6" s="14" t="s">
        <v>28</v>
      </c>
      <c r="Z6" s="15" t="s">
        <v>27</v>
      </c>
      <c r="AA6" s="17" t="s">
        <v>28</v>
      </c>
      <c r="AB6" s="13" t="s">
        <v>27</v>
      </c>
      <c r="AC6" s="14" t="s">
        <v>28</v>
      </c>
      <c r="AD6" s="15" t="s">
        <v>27</v>
      </c>
      <c r="AE6" s="17" t="s">
        <v>28</v>
      </c>
      <c r="AF6" s="13" t="s">
        <v>27</v>
      </c>
      <c r="AG6" s="14" t="s">
        <v>28</v>
      </c>
      <c r="AH6" s="15" t="s">
        <v>27</v>
      </c>
      <c r="AI6" s="17" t="s">
        <v>28</v>
      </c>
      <c r="AJ6" s="18" t="s">
        <v>29</v>
      </c>
      <c r="AK6" s="19" t="s">
        <v>27</v>
      </c>
      <c r="AL6" s="20" t="s">
        <v>30</v>
      </c>
    </row>
    <row r="7" spans="1:38" ht="24" customHeight="1" x14ac:dyDescent="0.2">
      <c r="A7" s="389" t="s">
        <v>233</v>
      </c>
      <c r="B7" s="390"/>
      <c r="C7" s="21">
        <f t="shared" ref="C7:C116" ca="1" si="0">D7+G7</f>
        <v>34572700</v>
      </c>
      <c r="D7" s="22">
        <f t="shared" ref="D7:E7" ca="1" si="1">D8+D9+D12</f>
        <v>34572700</v>
      </c>
      <c r="E7" s="23">
        <f t="shared" ca="1" si="1"/>
        <v>15557700</v>
      </c>
      <c r="F7" s="24">
        <f ca="1">F8+F9</f>
        <v>19015000</v>
      </c>
      <c r="G7" s="25">
        <f t="shared" ref="G7:I7" ca="1" si="2">G8+G9+G12</f>
        <v>0</v>
      </c>
      <c r="H7" s="26">
        <f t="shared" ca="1" si="2"/>
        <v>25865500</v>
      </c>
      <c r="I7" s="26">
        <f t="shared" ca="1" si="2"/>
        <v>0</v>
      </c>
      <c r="J7" s="27">
        <f t="shared" ref="J7:J116" ca="1" si="3">L7+O7</f>
        <v>10883545.050000001</v>
      </c>
      <c r="K7" s="28">
        <f t="shared" ref="K7:K116" ca="1" si="4">IF(C7&gt;0,J7*100/C7,0)</f>
        <v>31.480170915201878</v>
      </c>
      <c r="L7" s="27">
        <f ca="1">L8+L9+L12</f>
        <v>10883545.050000001</v>
      </c>
      <c r="M7" s="29">
        <f t="shared" ref="M7:M116" ca="1" si="5">IF(D7&gt;0,L7*100/D7,0)</f>
        <v>31.480170915201878</v>
      </c>
      <c r="N7" s="29">
        <f t="shared" ref="N7:N116" ca="1" si="6">IF(H7&gt;0,L7*100/H7,0)</f>
        <v>42.077458583827877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1">
        <f ca="1">R8</f>
        <v>40</v>
      </c>
      <c r="S7" s="31">
        <f t="shared" ref="S7:S8" ca="1" si="9">+Y7+AC7+AG7</f>
        <v>1787</v>
      </c>
      <c r="T7" s="32">
        <f ca="1">T8+T9+T12</f>
        <v>31</v>
      </c>
      <c r="U7" s="33">
        <f t="shared" ref="U7:U8" ca="1" si="10">IF(R7&gt;0,T7*100/R7,0)</f>
        <v>77.5</v>
      </c>
      <c r="V7" s="32">
        <f ca="1">V8+V9+V12</f>
        <v>1374</v>
      </c>
      <c r="W7" s="33">
        <f t="shared" ref="W7:W8" ca="1" si="11">IF(S7&gt;0,V7*100/S7,0)</f>
        <v>76.888640179071075</v>
      </c>
      <c r="X7" s="31">
        <f t="shared" ref="X7:Y7" ca="1" si="12">X8</f>
        <v>13</v>
      </c>
      <c r="Y7" s="31">
        <f t="shared" ca="1" si="12"/>
        <v>497</v>
      </c>
      <c r="Z7" s="32">
        <f t="shared" ref="Z7:AA7" ca="1" si="13">Z8+Z9+Z12</f>
        <v>12</v>
      </c>
      <c r="AA7" s="32">
        <f t="shared" ca="1" si="13"/>
        <v>465</v>
      </c>
      <c r="AB7" s="31">
        <f t="shared" ref="AB7:AC7" ca="1" si="14">AB8</f>
        <v>13</v>
      </c>
      <c r="AC7" s="31">
        <f t="shared" ca="1" si="14"/>
        <v>607</v>
      </c>
      <c r="AD7" s="32">
        <f t="shared" ref="AD7:AE7" ca="1" si="15">AD8+AD9+AD12</f>
        <v>10</v>
      </c>
      <c r="AE7" s="32">
        <f t="shared" ca="1" si="15"/>
        <v>427</v>
      </c>
      <c r="AF7" s="31">
        <f t="shared" ref="AF7:AG7" ca="1" si="16">AF8</f>
        <v>14</v>
      </c>
      <c r="AG7" s="31">
        <f t="shared" ca="1" si="16"/>
        <v>683</v>
      </c>
      <c r="AH7" s="32">
        <f t="shared" ref="AH7:AI7" ca="1" si="17">AH8+AH9+AH12</f>
        <v>9</v>
      </c>
      <c r="AI7" s="32">
        <f t="shared" ca="1" si="17"/>
        <v>482</v>
      </c>
      <c r="AJ7" s="31">
        <f ca="1">AJ8</f>
        <v>40</v>
      </c>
      <c r="AK7" s="32">
        <f ca="1">AK8+AK9+AK12</f>
        <v>1</v>
      </c>
      <c r="AL7" s="33">
        <f t="shared" ref="AL7:AL8" ca="1" si="18">IF(AJ7&gt;0,AK7*100/AJ7,0)</f>
        <v>2.5</v>
      </c>
    </row>
    <row r="8" spans="1:38" ht="28.5" customHeight="1" x14ac:dyDescent="0.2">
      <c r="A8" s="34" t="s">
        <v>31</v>
      </c>
      <c r="B8" s="35"/>
      <c r="C8" s="36">
        <f t="shared" ca="1" si="0"/>
        <v>28942900</v>
      </c>
      <c r="D8" s="37">
        <f t="shared" ref="D8:I8" ca="1" si="19">+D13+D31+D52+D74</f>
        <v>28942900</v>
      </c>
      <c r="E8" s="38">
        <f t="shared" ca="1" si="19"/>
        <v>10980700</v>
      </c>
      <c r="F8" s="38">
        <f t="shared" ca="1" si="19"/>
        <v>17962200</v>
      </c>
      <c r="G8" s="38">
        <f t="shared" ca="1" si="19"/>
        <v>0</v>
      </c>
      <c r="H8" s="38">
        <f t="shared" ca="1" si="19"/>
        <v>17108400</v>
      </c>
      <c r="I8" s="38">
        <f t="shared" ca="1" si="19"/>
        <v>0</v>
      </c>
      <c r="J8" s="38">
        <f t="shared" ca="1" si="3"/>
        <v>9551871.4700000007</v>
      </c>
      <c r="K8" s="39">
        <f t="shared" ca="1" si="4"/>
        <v>33.002468550145288</v>
      </c>
      <c r="L8" s="38">
        <f ca="1">+L13+L31+L52+L74</f>
        <v>9551871.4700000007</v>
      </c>
      <c r="M8" s="40">
        <f t="shared" ca="1" si="5"/>
        <v>33.002468550145288</v>
      </c>
      <c r="N8" s="40">
        <f t="shared" ca="1" si="6"/>
        <v>55.831471499380427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8">
        <f ca="1">+R13+R31+R52+R74</f>
        <v>40</v>
      </c>
      <c r="S8" s="38">
        <f t="shared" ca="1" si="9"/>
        <v>1787</v>
      </c>
      <c r="T8" s="38">
        <f ca="1">+T13+T31+T52+T74</f>
        <v>31</v>
      </c>
      <c r="U8" s="40">
        <f t="shared" ca="1" si="10"/>
        <v>77.5</v>
      </c>
      <c r="V8" s="38">
        <f ca="1">+V13+V31+V52+V74</f>
        <v>1374</v>
      </c>
      <c r="W8" s="40">
        <f t="shared" ca="1" si="11"/>
        <v>76.888640179071075</v>
      </c>
      <c r="X8" s="38">
        <f t="shared" ref="X8:AK8" ca="1" si="20">+X13+X31+X52+X74</f>
        <v>13</v>
      </c>
      <c r="Y8" s="38">
        <f t="shared" ca="1" si="20"/>
        <v>497</v>
      </c>
      <c r="Z8" s="38">
        <f t="shared" ca="1" si="20"/>
        <v>12</v>
      </c>
      <c r="AA8" s="38">
        <f t="shared" ca="1" si="20"/>
        <v>465</v>
      </c>
      <c r="AB8" s="38">
        <f t="shared" ca="1" si="20"/>
        <v>13</v>
      </c>
      <c r="AC8" s="38">
        <f t="shared" ca="1" si="20"/>
        <v>607</v>
      </c>
      <c r="AD8" s="38">
        <f t="shared" ca="1" si="20"/>
        <v>10</v>
      </c>
      <c r="AE8" s="38">
        <f t="shared" ca="1" si="20"/>
        <v>427</v>
      </c>
      <c r="AF8" s="38">
        <f t="shared" ca="1" si="20"/>
        <v>14</v>
      </c>
      <c r="AG8" s="38">
        <f t="shared" ca="1" si="20"/>
        <v>683</v>
      </c>
      <c r="AH8" s="38">
        <f t="shared" ca="1" si="20"/>
        <v>9</v>
      </c>
      <c r="AI8" s="38">
        <f t="shared" ca="1" si="20"/>
        <v>482</v>
      </c>
      <c r="AJ8" s="38">
        <f t="shared" ca="1" si="20"/>
        <v>40</v>
      </c>
      <c r="AK8" s="42">
        <f t="shared" ca="1" si="20"/>
        <v>1</v>
      </c>
      <c r="AL8" s="43">
        <f t="shared" ca="1" si="18"/>
        <v>2.5</v>
      </c>
    </row>
    <row r="9" spans="1:38" ht="28.5" customHeight="1" x14ac:dyDescent="0.2">
      <c r="A9" s="44" t="s">
        <v>234</v>
      </c>
      <c r="B9" s="45"/>
      <c r="C9" s="46">
        <f t="shared" ca="1" si="0"/>
        <v>5629800</v>
      </c>
      <c r="D9" s="47">
        <f t="shared" ref="D9:I9" ca="1" si="21">+D10+D11</f>
        <v>5629800</v>
      </c>
      <c r="E9" s="46">
        <f t="shared" ca="1" si="21"/>
        <v>4577000</v>
      </c>
      <c r="F9" s="46">
        <f t="shared" ca="1" si="21"/>
        <v>1052800</v>
      </c>
      <c r="G9" s="46">
        <f t="shared" ca="1" si="21"/>
        <v>0</v>
      </c>
      <c r="H9" s="46">
        <f t="shared" ca="1" si="21"/>
        <v>8757100</v>
      </c>
      <c r="I9" s="46">
        <f t="shared" ca="1" si="21"/>
        <v>0</v>
      </c>
      <c r="J9" s="46">
        <f t="shared" ca="1" si="3"/>
        <v>1331673.58</v>
      </c>
      <c r="K9" s="48">
        <f t="shared" ca="1" si="4"/>
        <v>23.654012220682795</v>
      </c>
      <c r="L9" s="46">
        <f ca="1">+L10+L11</f>
        <v>1331673.58</v>
      </c>
      <c r="M9" s="49">
        <f t="shared" ca="1" si="5"/>
        <v>23.654012220682795</v>
      </c>
      <c r="N9" s="49">
        <f t="shared" ca="1" si="6"/>
        <v>15.206787406789919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6"/>
      <c r="U9" s="49"/>
      <c r="V9" s="46"/>
      <c r="W9" s="49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51"/>
      <c r="AL9" s="52"/>
    </row>
    <row r="10" spans="1:38" ht="28.5" hidden="1" customHeight="1" x14ac:dyDescent="0.2">
      <c r="A10" s="44" t="s">
        <v>32</v>
      </c>
      <c r="B10" s="45"/>
      <c r="C10" s="46">
        <f t="shared" ca="1" si="0"/>
        <v>4776600</v>
      </c>
      <c r="D10" s="47">
        <f t="shared" ref="D10:I10" ca="1" si="22">+D89</f>
        <v>4776600</v>
      </c>
      <c r="E10" s="46">
        <f t="shared" ca="1" si="22"/>
        <v>3723800</v>
      </c>
      <c r="F10" s="46">
        <f t="shared" ca="1" si="22"/>
        <v>1052800</v>
      </c>
      <c r="G10" s="46">
        <f t="shared" ca="1" si="22"/>
        <v>0</v>
      </c>
      <c r="H10" s="46">
        <f t="shared" ca="1" si="22"/>
        <v>8407100</v>
      </c>
      <c r="I10" s="46">
        <f t="shared" ca="1" si="22"/>
        <v>0</v>
      </c>
      <c r="J10" s="46">
        <f t="shared" ca="1" si="3"/>
        <v>1331673.58</v>
      </c>
      <c r="K10" s="48">
        <f t="shared" ca="1" si="4"/>
        <v>27.879110245781519</v>
      </c>
      <c r="L10" s="46">
        <f ca="1">+L89</f>
        <v>1331673.58</v>
      </c>
      <c r="M10" s="49">
        <f t="shared" ca="1" si="5"/>
        <v>27.879110245781519</v>
      </c>
      <c r="N10" s="49">
        <f t="shared" ca="1" si="6"/>
        <v>15.83986844452903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6"/>
      <c r="U10" s="49"/>
      <c r="V10" s="46"/>
      <c r="W10" s="49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51"/>
      <c r="AL10" s="52"/>
    </row>
    <row r="11" spans="1:38" ht="28.5" hidden="1" customHeight="1" x14ac:dyDescent="0.2">
      <c r="A11" s="53" t="s">
        <v>33</v>
      </c>
      <c r="B11" s="45"/>
      <c r="C11" s="46">
        <f t="shared" ca="1" si="0"/>
        <v>853200</v>
      </c>
      <c r="D11" s="47">
        <f t="shared" ref="D11:I11" ca="1" si="23">+D104</f>
        <v>853200</v>
      </c>
      <c r="E11" s="46">
        <f t="shared" ca="1" si="23"/>
        <v>853200</v>
      </c>
      <c r="F11" s="46">
        <f t="shared" ca="1" si="23"/>
        <v>0</v>
      </c>
      <c r="G11" s="46">
        <f t="shared" ca="1" si="23"/>
        <v>0</v>
      </c>
      <c r="H11" s="46">
        <f t="shared" ca="1" si="23"/>
        <v>350000</v>
      </c>
      <c r="I11" s="46">
        <f t="shared" ca="1" si="23"/>
        <v>0</v>
      </c>
      <c r="J11" s="46">
        <f t="shared" ca="1" si="3"/>
        <v>0</v>
      </c>
      <c r="K11" s="48">
        <f t="shared" ca="1" si="4"/>
        <v>0</v>
      </c>
      <c r="L11" s="46">
        <f ca="1">+L104</f>
        <v>0</v>
      </c>
      <c r="M11" s="49">
        <f t="shared" ca="1" si="5"/>
        <v>0</v>
      </c>
      <c r="N11" s="49">
        <f t="shared" ca="1" si="6"/>
        <v>0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6"/>
      <c r="U11" s="49"/>
      <c r="V11" s="46"/>
      <c r="W11" s="49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51"/>
      <c r="AL11" s="52"/>
    </row>
    <row r="12" spans="1:38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f t="shared" ref="S12:S88" si="24">+Y12+AC12+AG12</f>
        <v>0</v>
      </c>
      <c r="T12" s="58">
        <v>0</v>
      </c>
      <c r="U12" s="60">
        <f t="shared" ref="U12:U88" si="25">IF(R12&gt;0,T12*100/R12,0)</f>
        <v>0</v>
      </c>
      <c r="V12" s="58">
        <v>0</v>
      </c>
      <c r="W12" s="60">
        <f t="shared" ref="W12:W88" si="26">IF(S12&gt;0,V12*100/S12,0)</f>
        <v>0</v>
      </c>
      <c r="X12" s="58">
        <v>0</v>
      </c>
      <c r="Y12" s="58">
        <v>0</v>
      </c>
      <c r="Z12" s="58">
        <v>0</v>
      </c>
      <c r="AA12" s="58">
        <v>0</v>
      </c>
      <c r="AB12" s="58">
        <v>0</v>
      </c>
      <c r="AC12" s="58">
        <v>0</v>
      </c>
      <c r="AD12" s="58">
        <v>0</v>
      </c>
      <c r="AE12" s="58">
        <v>0</v>
      </c>
      <c r="AF12" s="58">
        <v>0</v>
      </c>
      <c r="AG12" s="58">
        <v>0</v>
      </c>
      <c r="AH12" s="58">
        <v>0</v>
      </c>
      <c r="AI12" s="58">
        <v>0</v>
      </c>
      <c r="AJ12" s="58">
        <v>0</v>
      </c>
      <c r="AK12" s="58">
        <v>0</v>
      </c>
      <c r="AL12" s="60">
        <f t="shared" ref="AL12:AL88" si="27">IF(AJ12&gt;0,AK12*100/AJ12,0)</f>
        <v>0</v>
      </c>
    </row>
    <row r="13" spans="1:38" ht="28.5" customHeight="1" x14ac:dyDescent="0.2">
      <c r="A13" s="377" t="s">
        <v>35</v>
      </c>
      <c r="B13" s="359"/>
      <c r="C13" s="62">
        <f t="shared" ca="1" si="0"/>
        <v>7464600</v>
      </c>
      <c r="D13" s="63">
        <f t="shared" ref="D13:I13" ca="1" si="28">SUM(D14:D30)</f>
        <v>7464600</v>
      </c>
      <c r="E13" s="64">
        <f t="shared" ca="1" si="28"/>
        <v>2831400</v>
      </c>
      <c r="F13" s="64">
        <f t="shared" ca="1" si="28"/>
        <v>4633200</v>
      </c>
      <c r="G13" s="64">
        <f t="shared" ca="1" si="28"/>
        <v>0</v>
      </c>
      <c r="H13" s="64">
        <f t="shared" ca="1" si="28"/>
        <v>4364050</v>
      </c>
      <c r="I13" s="64">
        <f t="shared" ca="1" si="28"/>
        <v>0</v>
      </c>
      <c r="J13" s="64">
        <f t="shared" ca="1" si="3"/>
        <v>2081040.17</v>
      </c>
      <c r="K13" s="65">
        <f t="shared" ca="1" si="4"/>
        <v>27.878790156203948</v>
      </c>
      <c r="L13" s="64">
        <f ca="1">SUM(L14:L30)</f>
        <v>2081040.17</v>
      </c>
      <c r="M13" s="66">
        <f t="shared" ca="1" si="5"/>
        <v>27.878790156203948</v>
      </c>
      <c r="N13" s="66">
        <f t="shared" ca="1" si="6"/>
        <v>47.685983661965373</v>
      </c>
      <c r="O13" s="67">
        <f ca="1">SUM(O14:O30)</f>
        <v>0</v>
      </c>
      <c r="P13" s="67">
        <f t="shared" ref="P13:P116" ca="1" si="29">IF(G13&gt;0,O13*100/G13,0)</f>
        <v>0</v>
      </c>
      <c r="Q13" s="66">
        <f t="shared" ca="1" si="8"/>
        <v>0</v>
      </c>
      <c r="R13" s="64">
        <f t="shared" ref="R13:R88" ca="1" si="30">SUM(X13+AB13+AF13)</f>
        <v>11</v>
      </c>
      <c r="S13" s="64">
        <f t="shared" ca="1" si="24"/>
        <v>457</v>
      </c>
      <c r="T13" s="64">
        <f ca="1">SUM(T14:T30)</f>
        <v>9</v>
      </c>
      <c r="U13" s="66">
        <f t="shared" ca="1" si="25"/>
        <v>81.818181818181813</v>
      </c>
      <c r="V13" s="64">
        <f ca="1">SUM(V14:V30)</f>
        <v>413</v>
      </c>
      <c r="W13" s="66">
        <f t="shared" ca="1" si="26"/>
        <v>90.371991247264774</v>
      </c>
      <c r="X13" s="64">
        <f t="shared" ref="X13:AK13" ca="1" si="31">SUM(X14:X30)</f>
        <v>4</v>
      </c>
      <c r="Y13" s="64">
        <f t="shared" ca="1" si="31"/>
        <v>150</v>
      </c>
      <c r="Z13" s="64">
        <f t="shared" ca="1" si="31"/>
        <v>4</v>
      </c>
      <c r="AA13" s="64">
        <f t="shared" ca="1" si="31"/>
        <v>150</v>
      </c>
      <c r="AB13" s="64">
        <f t="shared" ca="1" si="31"/>
        <v>4</v>
      </c>
      <c r="AC13" s="64">
        <f t="shared" ca="1" si="31"/>
        <v>157</v>
      </c>
      <c r="AD13" s="64">
        <f t="shared" ca="1" si="31"/>
        <v>4</v>
      </c>
      <c r="AE13" s="64">
        <f t="shared" ca="1" si="31"/>
        <v>157</v>
      </c>
      <c r="AF13" s="64">
        <f t="shared" ca="1" si="31"/>
        <v>3</v>
      </c>
      <c r="AG13" s="64">
        <f t="shared" ca="1" si="31"/>
        <v>150</v>
      </c>
      <c r="AH13" s="64">
        <f t="shared" ca="1" si="31"/>
        <v>1</v>
      </c>
      <c r="AI13" s="64">
        <f t="shared" ca="1" si="31"/>
        <v>106</v>
      </c>
      <c r="AJ13" s="64">
        <f t="shared" ca="1" si="31"/>
        <v>11</v>
      </c>
      <c r="AK13" s="64">
        <f t="shared" ca="1" si="31"/>
        <v>0</v>
      </c>
      <c r="AL13" s="66">
        <f t="shared" ca="1" si="27"/>
        <v>0</v>
      </c>
    </row>
    <row r="14" spans="1:38" ht="24" customHeight="1" x14ac:dyDescent="0.2">
      <c r="A14" s="68">
        <v>1</v>
      </c>
      <c r="B14" s="69" t="s">
        <v>36</v>
      </c>
      <c r="C14" s="70">
        <f t="shared" ca="1" si="0"/>
        <v>0</v>
      </c>
      <c r="D14" s="71">
        <f t="shared" ref="D14:D30" ca="1" si="32">+E14+F14</f>
        <v>0</v>
      </c>
      <c r="E14" s="72">
        <f ca="1">IFERROR(__xludf.DUMMYFUNCTION("IMPORTRANGE(""https://docs.google.com/spreadsheets/d/1MeEWN-I1oV_STSDYn1IFDPWt_1FKiwhDph83XaGc0o0/edit?usp=sharing"",""งบพรบ!AH14"")"),0)</f>
        <v>0</v>
      </c>
      <c r="F14" s="72">
        <f ca="1">IFERROR(__xludf.DUMMYFUNCTION("IMPORTRANGE(""https://docs.google.com/spreadsheets/d/1MeEWN-I1oV_STSDYn1IFDPWt_1FKiwhDph83XaGc0o0/edit?usp=sharing"",""งบพรบ!AI14"")"),0)</f>
        <v>0</v>
      </c>
      <c r="G14" s="73">
        <f ca="1">IFERROR(__xludf.DUMMYFUNCTION("IMPORTRANGE(""https://docs.google.com/spreadsheets/d/1MeEWN-I1oV_STSDYn1IFDPWt_1FKiwhDph83XaGc0o0/edit?usp=sharing"",""งบพรบ!AJ14"")"),0)</f>
        <v>0</v>
      </c>
      <c r="H14" s="73">
        <f ca="1">IFERROR(__xludf.DUMMYFUNCTION("IMPORTRANGE(""https://docs.google.com/spreadsheets/d/1MeEWN-I1oV_STSDYn1IFDPWt_1FKiwhDph83XaGc0o0/edit?usp=sharing"",""งบพรบ!AL14"")"),0)</f>
        <v>0</v>
      </c>
      <c r="I14" s="73">
        <f ca="1">IFERROR(__xludf.DUMMYFUNCTION("IMPORTRANGE(""https://docs.google.com/spreadsheets/d/1MeEWN-I1oV_STSDYn1IFDPWt_1FKiwhDph83XaGc0o0/edit?usp=sharing"",""งบพรบ!AM14"")"),0)</f>
        <v>0</v>
      </c>
      <c r="J14" s="73">
        <f t="shared" ca="1" si="3"/>
        <v>0</v>
      </c>
      <c r="K14" s="74">
        <f t="shared" ca="1" si="4"/>
        <v>0</v>
      </c>
      <c r="L14" s="73">
        <f ca="1">IFERROR(__xludf.DUMMYFUNCTION("IMPORTRANGE(""https://docs.google.com/spreadsheets/d/1MeEWN-I1oV_STSDYn1IFDPWt_1FKiwhDph83XaGc0o0/edit?usp=sharing"",""งบพรบ!AN14"")"),0)</f>
        <v>0</v>
      </c>
      <c r="M14" s="75">
        <f t="shared" ca="1" si="5"/>
        <v>0</v>
      </c>
      <c r="N14" s="75">
        <f t="shared" ca="1" si="6"/>
        <v>0</v>
      </c>
      <c r="O14" s="76">
        <f ca="1">IFERROR(__xludf.DUMMYFUNCTION("IMPORTRANGE(""https://docs.google.com/spreadsheets/d/1MeEWN-I1oV_STSDYn1IFDPWt_1FKiwhDph83XaGc0o0/edit?usp=sharing"",""งบพรบ!AO14"")"),0)</f>
        <v>0</v>
      </c>
      <c r="P14" s="76">
        <f t="shared" ca="1" si="29"/>
        <v>0</v>
      </c>
      <c r="Q14" s="75">
        <f t="shared" ca="1" si="8"/>
        <v>0</v>
      </c>
      <c r="R14" s="73">
        <f t="shared" ca="1" si="30"/>
        <v>0</v>
      </c>
      <c r="S14" s="73">
        <f t="shared" ca="1" si="24"/>
        <v>0</v>
      </c>
      <c r="T14" s="73">
        <f t="shared" ref="T14:T30" ca="1" si="33">Z14+AD14+AH14</f>
        <v>0</v>
      </c>
      <c r="U14" s="77">
        <f t="shared" ca="1" si="25"/>
        <v>0</v>
      </c>
      <c r="V14" s="73">
        <f t="shared" ref="V14:V30" ca="1" si="34">AA14+AE14+AI14</f>
        <v>0</v>
      </c>
      <c r="W14" s="77">
        <f t="shared" ca="1" si="26"/>
        <v>0</v>
      </c>
      <c r="X14" s="72">
        <f ca="1">IFERROR(__xludf.DUMMYFUNCTION("IMPORTRANGE(""https://docs.google.com/spreadsheets/d/1KxicF4apzSqm0-jIpmueT4kyZtE-Cwn5zskl7GD4loQ/edit?usp=sharing"",""กำแพงเพชร!I78"")"),0)</f>
        <v>0</v>
      </c>
      <c r="Y14" s="72">
        <f ca="1">IFERROR(__xludf.DUMMYFUNCTION("IMPORTRANGE(""https://docs.google.com/spreadsheets/d/1KxicF4apzSqm0-jIpmueT4kyZtE-Cwn5zskl7GD4loQ/edit?usp=sharing"",""กำแพงเพชร!I79"")"),0)</f>
        <v>0</v>
      </c>
      <c r="Z14" s="73">
        <f ca="1">IFERROR(__xludf.DUMMYFUNCTION("IMPORTRANGE(""https://docs.google.com/spreadsheets/d/1KxicF4apzSqm0-jIpmueT4kyZtE-Cwn5zskl7GD4loQ/edit?usp=sharing"",""กำแพงเพชร!J78"")"),0)</f>
        <v>0</v>
      </c>
      <c r="AA14" s="73">
        <f ca="1">IFERROR(__xludf.DUMMYFUNCTION("IMPORTRANGE(""https://docs.google.com/spreadsheets/d/1KxicF4apzSqm0-jIpmueT4kyZtE-Cwn5zskl7GD4loQ/edit?usp=sharing"",""กำแพงเพชร!J79"")"),0)</f>
        <v>0</v>
      </c>
      <c r="AB14" s="72">
        <f ca="1">IFERROR(__xludf.DUMMYFUNCTION("IMPORTRANGE(""https://docs.google.com/spreadsheets/d/1KxicF4apzSqm0-jIpmueT4kyZtE-Cwn5zskl7GD4loQ/edit?usp=sharing"",""กำแพงเพชร!I80"")"),0)</f>
        <v>0</v>
      </c>
      <c r="AC14" s="72">
        <f ca="1">IFERROR(__xludf.DUMMYFUNCTION("IMPORTRANGE(""https://docs.google.com/spreadsheets/d/1KxicF4apzSqm0-jIpmueT4kyZtE-Cwn5zskl7GD4loQ/edit?usp=sharing"",""กำแพงเพชร!I81"")"),0)</f>
        <v>0</v>
      </c>
      <c r="AD14" s="73">
        <f ca="1">IFERROR(__xludf.DUMMYFUNCTION("IMPORTRANGE(""https://docs.google.com/spreadsheets/d/1KxicF4apzSqm0-jIpmueT4kyZtE-Cwn5zskl7GD4loQ/edit?usp=sharing"",""กำแพงเพชร!J80"")"),0)</f>
        <v>0</v>
      </c>
      <c r="AE14" s="73">
        <f ca="1">IFERROR(__xludf.DUMMYFUNCTION("IMPORTRANGE(""https://docs.google.com/spreadsheets/d/1KxicF4apzSqm0-jIpmueT4kyZtE-Cwn5zskl7GD4loQ/edit?usp=sharing"",""กำแพงเพชร!J81"")"),0)</f>
        <v>0</v>
      </c>
      <c r="AF14" s="72">
        <f ca="1">IFERROR(__xludf.DUMMYFUNCTION("IMPORTRANGE(""https://docs.google.com/spreadsheets/d/1KxicF4apzSqm0-jIpmueT4kyZtE-Cwn5zskl7GD4loQ/edit?usp=sharing"",""กำแพงเพชร!I82"")"),0)</f>
        <v>0</v>
      </c>
      <c r="AG14" s="72">
        <f ca="1">IFERROR(__xludf.DUMMYFUNCTION("IMPORTRANGE(""https://docs.google.com/spreadsheets/d/1KxicF4apzSqm0-jIpmueT4kyZtE-Cwn5zskl7GD4loQ/edit?usp=sharing"",""กำแพงเพชร!I83"")"),0)</f>
        <v>0</v>
      </c>
      <c r="AH14" s="73">
        <f ca="1">IFERROR(__xludf.DUMMYFUNCTION("IMPORTRANGE(""https://docs.google.com/spreadsheets/d/1KxicF4apzSqm0-jIpmueT4kyZtE-Cwn5zskl7GD4loQ/edit?usp=sharing"",""กำแพงเพชร!J82"")"),0)</f>
        <v>0</v>
      </c>
      <c r="AI14" s="73">
        <f ca="1">IFERROR(__xludf.DUMMYFUNCTION("IMPORTRANGE(""https://docs.google.com/spreadsheets/d/1KxicF4apzSqm0-jIpmueT4kyZtE-Cwn5zskl7GD4loQ/edit?usp=sharing"",""กำแพงเพชร!J83"")"),0)</f>
        <v>0</v>
      </c>
      <c r="AJ14" s="72">
        <f ca="1">IFERROR(__xludf.DUMMYFUNCTION("IMPORTRANGE(""https://docs.google.com/spreadsheets/d/1KxicF4apzSqm0-jIpmueT4kyZtE-Cwn5zskl7GD4loQ/edit?usp=sharing"",""กำแพงเพชร!I84"")"),0)</f>
        <v>0</v>
      </c>
      <c r="AK14" s="73">
        <f ca="1">IFERROR(__xludf.DUMMYFUNCTION("IMPORTRANGE(""https://docs.google.com/spreadsheets/d/1KxicF4apzSqm0-jIpmueT4kyZtE-Cwn5zskl7GD4loQ/edit?usp=sharing"",""กำแพงเพชร!J84"")"),0)</f>
        <v>0</v>
      </c>
      <c r="AL14" s="75">
        <f t="shared" ca="1" si="27"/>
        <v>0</v>
      </c>
    </row>
    <row r="15" spans="1:38" ht="24" customHeight="1" x14ac:dyDescent="0.2">
      <c r="A15" s="78">
        <v>2</v>
      </c>
      <c r="B15" s="79" t="s">
        <v>37</v>
      </c>
      <c r="C15" s="80">
        <f t="shared" ca="1" si="0"/>
        <v>552000</v>
      </c>
      <c r="D15" s="81">
        <f t="shared" ca="1" si="32"/>
        <v>552000</v>
      </c>
      <c r="E15" s="82">
        <f ca="1">IFERROR(__xludf.DUMMYFUNCTION("IMPORTRANGE(""https://docs.google.com/spreadsheets/d/1MeEWN-I1oV_STSDYn1IFDPWt_1FKiwhDph83XaGc0o0/edit?usp=sharing"",""งบพรบ!AH15"")"),0)</f>
        <v>0</v>
      </c>
      <c r="F15" s="82">
        <f ca="1">IFERROR(__xludf.DUMMYFUNCTION("IMPORTRANGE(""https://docs.google.com/spreadsheets/d/1MeEWN-I1oV_STSDYn1IFDPWt_1FKiwhDph83XaGc0o0/edit?usp=sharing"",""งบพรบ!AI15"")"),552000)</f>
        <v>552000</v>
      </c>
      <c r="G15" s="82">
        <f ca="1">IFERROR(__xludf.DUMMYFUNCTION("IMPORTRANGE(""https://docs.google.com/spreadsheets/d/1MeEWN-I1oV_STSDYn1IFDPWt_1FKiwhDph83XaGc0o0/edit?usp=sharing"",""งบพรบ!AJ15"")"),0)</f>
        <v>0</v>
      </c>
      <c r="H15" s="82">
        <f ca="1">IFERROR(__xludf.DUMMYFUNCTION("IMPORTRANGE(""https://docs.google.com/spreadsheets/d/1MeEWN-I1oV_STSDYn1IFDPWt_1FKiwhDph83XaGc0o0/edit?usp=sharing"",""งบพรบ!AL15"")"),270000)</f>
        <v>270000</v>
      </c>
      <c r="I15" s="82">
        <f ca="1">IFERROR(__xludf.DUMMYFUNCTION("IMPORTRANGE(""https://docs.google.com/spreadsheets/d/1MeEWN-I1oV_STSDYn1IFDPWt_1FKiwhDph83XaGc0o0/edit?usp=sharing"",""งบพรบ!AM15"")"),0)</f>
        <v>0</v>
      </c>
      <c r="J15" s="82">
        <f t="shared" ca="1" si="3"/>
        <v>137626.66</v>
      </c>
      <c r="K15" s="83">
        <f t="shared" ca="1" si="4"/>
        <v>24.932365942028987</v>
      </c>
      <c r="L15" s="82">
        <f ca="1">IFERROR(__xludf.DUMMYFUNCTION("IMPORTRANGE(""https://docs.google.com/spreadsheets/d/1MeEWN-I1oV_STSDYn1IFDPWt_1FKiwhDph83XaGc0o0/edit?usp=sharing"",""งบพรบ!AN15"")"),137626.66)</f>
        <v>137626.66</v>
      </c>
      <c r="M15" s="84">
        <f t="shared" ca="1" si="5"/>
        <v>24.932365942028987</v>
      </c>
      <c r="N15" s="84">
        <f t="shared" ca="1" si="6"/>
        <v>50.972837037037038</v>
      </c>
      <c r="O15" s="85">
        <f ca="1">IFERROR(__xludf.DUMMYFUNCTION("IMPORTRANGE(""https://docs.google.com/spreadsheets/d/1MeEWN-I1oV_STSDYn1IFDPWt_1FKiwhDph83XaGc0o0/edit?usp=sharing"",""งบพรบ!AO15"")"),0)</f>
        <v>0</v>
      </c>
      <c r="P15" s="85">
        <f t="shared" ca="1" si="29"/>
        <v>0</v>
      </c>
      <c r="Q15" s="84">
        <f t="shared" ca="1" si="8"/>
        <v>0</v>
      </c>
      <c r="R15" s="86">
        <f t="shared" ca="1" si="30"/>
        <v>1</v>
      </c>
      <c r="S15" s="86">
        <f t="shared" ca="1" si="24"/>
        <v>60</v>
      </c>
      <c r="T15" s="86">
        <f t="shared" ca="1" si="33"/>
        <v>1</v>
      </c>
      <c r="U15" s="87">
        <f t="shared" ca="1" si="25"/>
        <v>100</v>
      </c>
      <c r="V15" s="86">
        <f t="shared" ca="1" si="34"/>
        <v>60</v>
      </c>
      <c r="W15" s="87">
        <f t="shared" ca="1" si="26"/>
        <v>100</v>
      </c>
      <c r="X15" s="88">
        <f ca="1">IFERROR(__xludf.DUMMYFUNCTION("IMPORTRANGE(""https://docs.google.com/spreadsheets/d/1ZNYWeiFoFA1K1U4xKWqRX29MBvEyRHXORjo734Gnq_c/edit?usp=sharing"",""เชียงราย!I78"")"),0)</f>
        <v>0</v>
      </c>
      <c r="Y15" s="88">
        <f ca="1">IFERROR(__xludf.DUMMYFUNCTION("IMPORTRANGE(""https://docs.google.com/spreadsheets/d/1ZNYWeiFoFA1K1U4xKWqRX29MBvEyRHXORjo734Gnq_c/edit?usp=sharing"",""เชียงราย!I79"")"),0)</f>
        <v>0</v>
      </c>
      <c r="Z15" s="86">
        <f ca="1">IFERROR(__xludf.DUMMYFUNCTION("IMPORTRANGE(""https://docs.google.com/spreadsheets/d/1ZNYWeiFoFA1K1U4xKWqRX29MBvEyRHXORjo734Gnq_c/edit?usp=sharing"",""เชียงราย!J78"")"),0)</f>
        <v>0</v>
      </c>
      <c r="AA15" s="86">
        <f ca="1">IFERROR(__xludf.DUMMYFUNCTION("IMPORTRANGE(""https://docs.google.com/spreadsheets/d/1ZNYWeiFoFA1K1U4xKWqRX29MBvEyRHXORjo734Gnq_c/edit?usp=sharing"",""เชียงราย!J79"")"),0)</f>
        <v>0</v>
      </c>
      <c r="AB15" s="88">
        <f ca="1">IFERROR(__xludf.DUMMYFUNCTION("IMPORTRANGE(""https://docs.google.com/spreadsheets/d/1ZNYWeiFoFA1K1U4xKWqRX29MBvEyRHXORjo734Gnq_c/edit?usp=sharing"",""เชียงราย!I80"")"),1)</f>
        <v>1</v>
      </c>
      <c r="AC15" s="88">
        <f ca="1">IFERROR(__xludf.DUMMYFUNCTION("IMPORTRANGE(""https://docs.google.com/spreadsheets/d/1ZNYWeiFoFA1K1U4xKWqRX29MBvEyRHXORjo734Gnq_c/edit?usp=sharing"",""เชียงราย!I81"")"),60)</f>
        <v>60</v>
      </c>
      <c r="AD15" s="86">
        <f ca="1">IFERROR(__xludf.DUMMYFUNCTION("IMPORTRANGE(""https://docs.google.com/spreadsheets/d/1ZNYWeiFoFA1K1U4xKWqRX29MBvEyRHXORjo734Gnq_c/edit?usp=sharing"",""เชียงราย!J80"")"),1)</f>
        <v>1</v>
      </c>
      <c r="AE15" s="86">
        <f ca="1">IFERROR(__xludf.DUMMYFUNCTION("IMPORTRANGE(""https://docs.google.com/spreadsheets/d/1ZNYWeiFoFA1K1U4xKWqRX29MBvEyRHXORjo734Gnq_c/edit?usp=sharing"",""เชียงราย!J81"")"),60)</f>
        <v>60</v>
      </c>
      <c r="AF15" s="88">
        <f ca="1">IFERROR(__xludf.DUMMYFUNCTION("IMPORTRANGE(""https://docs.google.com/spreadsheets/d/1ZNYWeiFoFA1K1U4xKWqRX29MBvEyRHXORjo734Gnq_c/edit?usp=sharing"",""เชียงราย!I82"")"),0)</f>
        <v>0</v>
      </c>
      <c r="AG15" s="88">
        <f ca="1">IFERROR(__xludf.DUMMYFUNCTION("IMPORTRANGE(""https://docs.google.com/spreadsheets/d/1ZNYWeiFoFA1K1U4xKWqRX29MBvEyRHXORjo734Gnq_c/edit?usp=sharing"",""เชียงราย!I83"")"),0)</f>
        <v>0</v>
      </c>
      <c r="AH15" s="86">
        <f ca="1">IFERROR(__xludf.DUMMYFUNCTION("IMPORTRANGE(""https://docs.google.com/spreadsheets/d/1ZNYWeiFoFA1K1U4xKWqRX29MBvEyRHXORjo734Gnq_c/edit?usp=sharing"",""เชียงราย!J82"")"),0)</f>
        <v>0</v>
      </c>
      <c r="AI15" s="86">
        <f ca="1">IFERROR(__xludf.DUMMYFUNCTION("IMPORTRANGE(""https://docs.google.com/spreadsheets/d/1ZNYWeiFoFA1K1U4xKWqRX29MBvEyRHXORjo734Gnq_c/edit?usp=sharing"",""เชียงราย!J83"")"),0)</f>
        <v>0</v>
      </c>
      <c r="AJ15" s="88">
        <f ca="1">IFERROR(__xludf.DUMMYFUNCTION("IMPORTRANGE(""https://docs.google.com/spreadsheets/d/1ZNYWeiFoFA1K1U4xKWqRX29MBvEyRHXORjo734Gnq_c/edit?usp=sharing"",""เชียงราย!I84"")"),1)</f>
        <v>1</v>
      </c>
      <c r="AK15" s="86">
        <f ca="1">IFERROR(__xludf.DUMMYFUNCTION("IMPORTRANGE(""https://docs.google.com/spreadsheets/d/1ZNYWeiFoFA1K1U4xKWqRX29MBvEyRHXORjo734Gnq_c/edit?usp=sharing"",""เชียงราย!J84"")"),0)</f>
        <v>0</v>
      </c>
      <c r="AL15" s="87">
        <f t="shared" ca="1" si="27"/>
        <v>0</v>
      </c>
    </row>
    <row r="16" spans="1:38" ht="24" customHeight="1" x14ac:dyDescent="0.2">
      <c r="A16" s="78">
        <v>3</v>
      </c>
      <c r="B16" s="79" t="s">
        <v>38</v>
      </c>
      <c r="C16" s="80">
        <f t="shared" ca="1" si="0"/>
        <v>0</v>
      </c>
      <c r="D16" s="81">
        <f t="shared" ca="1" si="32"/>
        <v>0</v>
      </c>
      <c r="E16" s="82">
        <f ca="1">IFERROR(__xludf.DUMMYFUNCTION("IMPORTRANGE(""https://docs.google.com/spreadsheets/d/1MeEWN-I1oV_STSDYn1IFDPWt_1FKiwhDph83XaGc0o0/edit?usp=sharing"",""งบพรบ!AH16"")"),0)</f>
        <v>0</v>
      </c>
      <c r="F16" s="82">
        <f ca="1">IFERROR(__xludf.DUMMYFUNCTION("IMPORTRANGE(""https://docs.google.com/spreadsheets/d/1MeEWN-I1oV_STSDYn1IFDPWt_1FKiwhDph83XaGc0o0/edit?usp=sharing"",""งบพรบ!AI16"")"),0)</f>
        <v>0</v>
      </c>
      <c r="G16" s="82">
        <f ca="1">IFERROR(__xludf.DUMMYFUNCTION("IMPORTRANGE(""https://docs.google.com/spreadsheets/d/1MeEWN-I1oV_STSDYn1IFDPWt_1FKiwhDph83XaGc0o0/edit?usp=sharing"",""งบพรบ!AJ16"")"),0)</f>
        <v>0</v>
      </c>
      <c r="H16" s="82">
        <f ca="1">IFERROR(__xludf.DUMMYFUNCTION("IMPORTRANGE(""https://docs.google.com/spreadsheets/d/1MeEWN-I1oV_STSDYn1IFDPWt_1FKiwhDph83XaGc0o0/edit?usp=sharing"",""งบพรบ!AL16"")"),0)</f>
        <v>0</v>
      </c>
      <c r="I16" s="82">
        <f ca="1">IFERROR(__xludf.DUMMYFUNCTION("IMPORTRANGE(""https://docs.google.com/spreadsheets/d/1MeEWN-I1oV_STSDYn1IFDPWt_1FKiwhDph83XaGc0o0/edit?usp=sharing"",""งบพรบ!AM16"")"),0)</f>
        <v>0</v>
      </c>
      <c r="J16" s="82">
        <f t="shared" ca="1" si="3"/>
        <v>0</v>
      </c>
      <c r="K16" s="83">
        <f t="shared" ca="1" si="4"/>
        <v>0</v>
      </c>
      <c r="L16" s="82">
        <f ca="1">IFERROR(__xludf.DUMMYFUNCTION("IMPORTRANGE(""https://docs.google.com/spreadsheets/d/1MeEWN-I1oV_STSDYn1IFDPWt_1FKiwhDph83XaGc0o0/edit?usp=sharing"",""งบพรบ!AN16"")"),0)</f>
        <v>0</v>
      </c>
      <c r="M16" s="84">
        <f t="shared" ca="1" si="5"/>
        <v>0</v>
      </c>
      <c r="N16" s="84">
        <f t="shared" ca="1" si="6"/>
        <v>0</v>
      </c>
      <c r="O16" s="85">
        <f ca="1">IFERROR(__xludf.DUMMYFUNCTION("IMPORTRANGE(""https://docs.google.com/spreadsheets/d/1MeEWN-I1oV_STSDYn1IFDPWt_1FKiwhDph83XaGc0o0/edit?usp=sharing"",""งบพรบ!AO16"")"),0)</f>
        <v>0</v>
      </c>
      <c r="P16" s="85">
        <f t="shared" ca="1" si="29"/>
        <v>0</v>
      </c>
      <c r="Q16" s="84">
        <f t="shared" ca="1" si="8"/>
        <v>0</v>
      </c>
      <c r="R16" s="86">
        <f t="shared" ca="1" si="30"/>
        <v>0</v>
      </c>
      <c r="S16" s="86">
        <f t="shared" ca="1" si="24"/>
        <v>0</v>
      </c>
      <c r="T16" s="86">
        <f t="shared" ca="1" si="33"/>
        <v>0</v>
      </c>
      <c r="U16" s="87">
        <f t="shared" ca="1" si="25"/>
        <v>0</v>
      </c>
      <c r="V16" s="86">
        <f t="shared" ca="1" si="34"/>
        <v>0</v>
      </c>
      <c r="W16" s="87">
        <f t="shared" ca="1" si="26"/>
        <v>0</v>
      </c>
      <c r="X16" s="82">
        <f ca="1">IFERROR(__xludf.DUMMYFUNCTION("IMPORTRANGE(""https://docs.google.com/spreadsheets/d/1Jgv0Y7YlHDtsiDawwp-uvifEJ8HVaSn0k2aGHG8-hwM/edit?usp=sharing"",""เชียงใหม่!I78"")"),0)</f>
        <v>0</v>
      </c>
      <c r="Y16" s="82">
        <f ca="1">IFERROR(__xludf.DUMMYFUNCTION("IMPORTRANGE(""https://docs.google.com/spreadsheets/d/1Jgv0Y7YlHDtsiDawwp-uvifEJ8HVaSn0k2aGHG8-hwM/edit?usp=sharing"",""เชียงใหม่!I79"")"),0)</f>
        <v>0</v>
      </c>
      <c r="Z16" s="86">
        <f ca="1">IFERROR(__xludf.DUMMYFUNCTION("IMPORTRANGE(""https://docs.google.com/spreadsheets/d/1Jgv0Y7YlHDtsiDawwp-uvifEJ8HVaSn0k2aGHG8-hwM/edit?usp=sharing"",""เชียงใหม่!J78"")"),0)</f>
        <v>0</v>
      </c>
      <c r="AA16" s="86">
        <f ca="1">IFERROR(__xludf.DUMMYFUNCTION("IMPORTRANGE(""https://docs.google.com/spreadsheets/d/1Jgv0Y7YlHDtsiDawwp-uvifEJ8HVaSn0k2aGHG8-hwM/edit?usp=sharing"",""เชียงใหม่!J79"")"),0)</f>
        <v>0</v>
      </c>
      <c r="AB16" s="82">
        <f ca="1">IFERROR(__xludf.DUMMYFUNCTION("IMPORTRANGE(""https://docs.google.com/spreadsheets/d/1Jgv0Y7YlHDtsiDawwp-uvifEJ8HVaSn0k2aGHG8-hwM/edit?usp=sharing"",""เชียงใหม่!I80"")"),0)</f>
        <v>0</v>
      </c>
      <c r="AC16" s="82">
        <f ca="1">IFERROR(__xludf.DUMMYFUNCTION("IMPORTRANGE(""https://docs.google.com/spreadsheets/d/1Jgv0Y7YlHDtsiDawwp-uvifEJ8HVaSn0k2aGHG8-hwM/edit?usp=sharing"",""เชียงใหม่!I81"")"),0)</f>
        <v>0</v>
      </c>
      <c r="AD16" s="86">
        <f ca="1">IFERROR(__xludf.DUMMYFUNCTION("IMPORTRANGE(""https://docs.google.com/spreadsheets/d/1Jgv0Y7YlHDtsiDawwp-uvifEJ8HVaSn0k2aGHG8-hwM/edit?usp=sharing"",""เชียงใหม่!J80"")"),0)</f>
        <v>0</v>
      </c>
      <c r="AE16" s="86">
        <f ca="1">IFERROR(__xludf.DUMMYFUNCTION("IMPORTRANGE(""https://docs.google.com/spreadsheets/d/1Jgv0Y7YlHDtsiDawwp-uvifEJ8HVaSn0k2aGHG8-hwM/edit?usp=sharing"",""เชียงใหม่!J81"")"),0)</f>
        <v>0</v>
      </c>
      <c r="AF16" s="82">
        <f ca="1">IFERROR(__xludf.DUMMYFUNCTION("IMPORTRANGE(""https://docs.google.com/spreadsheets/d/1Jgv0Y7YlHDtsiDawwp-uvifEJ8HVaSn0k2aGHG8-hwM/edit?usp=sharing"",""เชียงใหม่!I82"")"),0)</f>
        <v>0</v>
      </c>
      <c r="AG16" s="82">
        <f ca="1">IFERROR(__xludf.DUMMYFUNCTION("IMPORTRANGE(""https://docs.google.com/spreadsheets/d/1Jgv0Y7YlHDtsiDawwp-uvifEJ8HVaSn0k2aGHG8-hwM/edit?usp=sharing"",""เชียงใหม่!I83"")"),0)</f>
        <v>0</v>
      </c>
      <c r="AH16" s="86">
        <f ca="1">IFERROR(__xludf.DUMMYFUNCTION("IMPORTRANGE(""https://docs.google.com/spreadsheets/d/1Jgv0Y7YlHDtsiDawwp-uvifEJ8HVaSn0k2aGHG8-hwM/edit?usp=sharing"",""เชียงใหม่!J82"")"),0)</f>
        <v>0</v>
      </c>
      <c r="AI16" s="86">
        <f ca="1">IFERROR(__xludf.DUMMYFUNCTION("IMPORTRANGE(""https://docs.google.com/spreadsheets/d/1Jgv0Y7YlHDtsiDawwp-uvifEJ8HVaSn0k2aGHG8-hwM/edit?usp=sharing"",""เชียงใหม่!J83"")"),0)</f>
        <v>0</v>
      </c>
      <c r="AJ16" s="82">
        <f ca="1">IFERROR(__xludf.DUMMYFUNCTION("IMPORTRANGE(""https://docs.google.com/spreadsheets/d/1Jgv0Y7YlHDtsiDawwp-uvifEJ8HVaSn0k2aGHG8-hwM/edit?usp=sharing"",""เชียงใหม่!I84"")"),0)</f>
        <v>0</v>
      </c>
      <c r="AK16" s="86">
        <f ca="1">IFERROR(__xludf.DUMMYFUNCTION("IMPORTRANGE(""https://docs.google.com/spreadsheets/d/1Jgv0Y7YlHDtsiDawwp-uvifEJ8HVaSn0k2aGHG8-hwM/edit?usp=sharing"",""เชียงใหม่!J84"")"),0)</f>
        <v>0</v>
      </c>
      <c r="AL16" s="84">
        <f t="shared" ca="1" si="27"/>
        <v>0</v>
      </c>
    </row>
    <row r="17" spans="1:38" ht="24" customHeight="1" x14ac:dyDescent="0.2">
      <c r="A17" s="78">
        <v>4</v>
      </c>
      <c r="B17" s="79" t="s">
        <v>39</v>
      </c>
      <c r="C17" s="80">
        <f t="shared" ca="1" si="0"/>
        <v>0</v>
      </c>
      <c r="D17" s="81">
        <f t="shared" ca="1" si="32"/>
        <v>0</v>
      </c>
      <c r="E17" s="82">
        <f ca="1">IFERROR(__xludf.DUMMYFUNCTION("IMPORTRANGE(""https://docs.google.com/spreadsheets/d/1MeEWN-I1oV_STSDYn1IFDPWt_1FKiwhDph83XaGc0o0/edit?usp=sharing"",""งบพรบ!AH17"")"),0)</f>
        <v>0</v>
      </c>
      <c r="F17" s="82">
        <f ca="1">IFERROR(__xludf.DUMMYFUNCTION("IMPORTRANGE(""https://docs.google.com/spreadsheets/d/1MeEWN-I1oV_STSDYn1IFDPWt_1FKiwhDph83XaGc0o0/edit?usp=sharing"",""งบพรบ!AI17"")"),0)</f>
        <v>0</v>
      </c>
      <c r="G17" s="82">
        <f ca="1">IFERROR(__xludf.DUMMYFUNCTION("IMPORTRANGE(""https://docs.google.com/spreadsheets/d/1MeEWN-I1oV_STSDYn1IFDPWt_1FKiwhDph83XaGc0o0/edit?usp=sharing"",""งบพรบ!AJ17"")"),0)</f>
        <v>0</v>
      </c>
      <c r="H17" s="82">
        <f ca="1">IFERROR(__xludf.DUMMYFUNCTION("IMPORTRANGE(""https://docs.google.com/spreadsheets/d/1MeEWN-I1oV_STSDYn1IFDPWt_1FKiwhDph83XaGc0o0/edit?usp=sharing"",""งบพรบ!AL17"")"),0)</f>
        <v>0</v>
      </c>
      <c r="I17" s="82">
        <f ca="1">IFERROR(__xludf.DUMMYFUNCTION("IMPORTRANGE(""https://docs.google.com/spreadsheets/d/1MeEWN-I1oV_STSDYn1IFDPWt_1FKiwhDph83XaGc0o0/edit?usp=sharing"",""งบพรบ!AM17"")"),0)</f>
        <v>0</v>
      </c>
      <c r="J17" s="82">
        <f t="shared" ca="1" si="3"/>
        <v>0</v>
      </c>
      <c r="K17" s="83">
        <f t="shared" ca="1" si="4"/>
        <v>0</v>
      </c>
      <c r="L17" s="82">
        <f ca="1">IFERROR(__xludf.DUMMYFUNCTION("IMPORTRANGE(""https://docs.google.com/spreadsheets/d/1MeEWN-I1oV_STSDYn1IFDPWt_1FKiwhDph83XaGc0o0/edit?usp=sharing"",""งบพรบ!AN17"")"),0)</f>
        <v>0</v>
      </c>
      <c r="M17" s="84">
        <f t="shared" ca="1" si="5"/>
        <v>0</v>
      </c>
      <c r="N17" s="84">
        <f t="shared" ca="1" si="6"/>
        <v>0</v>
      </c>
      <c r="O17" s="85">
        <f ca="1">IFERROR(__xludf.DUMMYFUNCTION("IMPORTRANGE(""https://docs.google.com/spreadsheets/d/1MeEWN-I1oV_STSDYn1IFDPWt_1FKiwhDph83XaGc0o0/edit?usp=sharing"",""งบพรบ!AO17"")"),0)</f>
        <v>0</v>
      </c>
      <c r="P17" s="85">
        <f t="shared" ca="1" si="29"/>
        <v>0</v>
      </c>
      <c r="Q17" s="84">
        <f t="shared" ca="1" si="8"/>
        <v>0</v>
      </c>
      <c r="R17" s="86">
        <f t="shared" ca="1" si="30"/>
        <v>0</v>
      </c>
      <c r="S17" s="86">
        <f t="shared" ca="1" si="24"/>
        <v>0</v>
      </c>
      <c r="T17" s="86">
        <f t="shared" ca="1" si="33"/>
        <v>0</v>
      </c>
      <c r="U17" s="87">
        <f t="shared" ca="1" si="25"/>
        <v>0</v>
      </c>
      <c r="V17" s="86">
        <f t="shared" ca="1" si="34"/>
        <v>0</v>
      </c>
      <c r="W17" s="87">
        <f t="shared" ca="1" si="26"/>
        <v>0</v>
      </c>
      <c r="X17" s="82">
        <f ca="1">IFERROR(__xludf.DUMMYFUNCTION("IMPORTRANGE(""https://docs.google.com/spreadsheets/d/1JWG2rZePOz9pe-f-ObA-yDr0VoOX2kSb0qIix2mTUo8/edit?usp=sharing"",""ตาก!I78"")"),0)</f>
        <v>0</v>
      </c>
      <c r="Y17" s="82">
        <f ca="1">IFERROR(__xludf.DUMMYFUNCTION("IMPORTRANGE(""https://docs.google.com/spreadsheets/d/1JWG2rZePOz9pe-f-ObA-yDr0VoOX2kSb0qIix2mTUo8/edit?usp=sharing"",""ตาก!I79"")"),0)</f>
        <v>0</v>
      </c>
      <c r="Z17" s="86">
        <f ca="1">IFERROR(__xludf.DUMMYFUNCTION("IMPORTRANGE(""https://docs.google.com/spreadsheets/d/1JWG2rZePOz9pe-f-ObA-yDr0VoOX2kSb0qIix2mTUo8/edit?usp=sharing"",""ตาก!J78"")"),0)</f>
        <v>0</v>
      </c>
      <c r="AA17" s="86">
        <f ca="1">IFERROR(__xludf.DUMMYFUNCTION("IMPORTRANGE(""https://docs.google.com/spreadsheets/d/1JWG2rZePOz9pe-f-ObA-yDr0VoOX2kSb0qIix2mTUo8/edit?usp=sharing"",""ตาก!J79"")"),0)</f>
        <v>0</v>
      </c>
      <c r="AB17" s="82">
        <f ca="1">IFERROR(__xludf.DUMMYFUNCTION("IMPORTRANGE(""https://docs.google.com/spreadsheets/d/1JWG2rZePOz9pe-f-ObA-yDr0VoOX2kSb0qIix2mTUo8/edit?usp=sharing"",""ตาก!I80"")"),0)</f>
        <v>0</v>
      </c>
      <c r="AC17" s="82">
        <f ca="1">IFERROR(__xludf.DUMMYFUNCTION("IMPORTRANGE(""https://docs.google.com/spreadsheets/d/1JWG2rZePOz9pe-f-ObA-yDr0VoOX2kSb0qIix2mTUo8/edit?usp=sharing"",""ตาก!I81"")"),0)</f>
        <v>0</v>
      </c>
      <c r="AD17" s="86">
        <f ca="1">IFERROR(__xludf.DUMMYFUNCTION("IMPORTRANGE(""https://docs.google.com/spreadsheets/d/1JWG2rZePOz9pe-f-ObA-yDr0VoOX2kSb0qIix2mTUo8/edit?usp=sharing"",""ตาก!J80"")"),0)</f>
        <v>0</v>
      </c>
      <c r="AE17" s="86">
        <f ca="1">IFERROR(__xludf.DUMMYFUNCTION("IMPORTRANGE(""https://docs.google.com/spreadsheets/d/1JWG2rZePOz9pe-f-ObA-yDr0VoOX2kSb0qIix2mTUo8/edit?usp=sharing"",""ตาก!J81"")"),0)</f>
        <v>0</v>
      </c>
      <c r="AF17" s="82">
        <f ca="1">IFERROR(__xludf.DUMMYFUNCTION("IMPORTRANGE(""https://docs.google.com/spreadsheets/d/1JWG2rZePOz9pe-f-ObA-yDr0VoOX2kSb0qIix2mTUo8/edit?usp=sharing"",""ตาก!I82"")"),0)</f>
        <v>0</v>
      </c>
      <c r="AG17" s="82">
        <f ca="1">IFERROR(__xludf.DUMMYFUNCTION("IMPORTRANGE(""https://docs.google.com/spreadsheets/d/1JWG2rZePOz9pe-f-ObA-yDr0VoOX2kSb0qIix2mTUo8/edit?usp=sharing"",""ตาก!I83"")"),0)</f>
        <v>0</v>
      </c>
      <c r="AH17" s="86">
        <f ca="1">IFERROR(__xludf.DUMMYFUNCTION("IMPORTRANGE(""https://docs.google.com/spreadsheets/d/1JWG2rZePOz9pe-f-ObA-yDr0VoOX2kSb0qIix2mTUo8/edit?usp=sharing"",""ตาก!J82"")"),0)</f>
        <v>0</v>
      </c>
      <c r="AI17" s="86">
        <f ca="1">IFERROR(__xludf.DUMMYFUNCTION("IMPORTRANGE(""https://docs.google.com/spreadsheets/d/1JWG2rZePOz9pe-f-ObA-yDr0VoOX2kSb0qIix2mTUo8/edit?usp=sharing"",""ตาก!J83"")"),0)</f>
        <v>0</v>
      </c>
      <c r="AJ17" s="82">
        <f ca="1">IFERROR(__xludf.DUMMYFUNCTION("IMPORTRANGE(""https://docs.google.com/spreadsheets/d/1JWG2rZePOz9pe-f-ObA-yDr0VoOX2kSb0qIix2mTUo8/edit?usp=sharing"",""ตาก!I84"")"),0)</f>
        <v>0</v>
      </c>
      <c r="AK17" s="86">
        <f ca="1">IFERROR(__xludf.DUMMYFUNCTION("IMPORTRANGE(""https://docs.google.com/spreadsheets/d/1JWG2rZePOz9pe-f-ObA-yDr0VoOX2kSb0qIix2mTUo8/edit?usp=sharing"",""ตาก!J84"")"),0)</f>
        <v>0</v>
      </c>
      <c r="AL17" s="84">
        <f t="shared" ca="1" si="27"/>
        <v>0</v>
      </c>
    </row>
    <row r="18" spans="1:38" ht="24" customHeight="1" x14ac:dyDescent="0.2">
      <c r="A18" s="78">
        <v>5</v>
      </c>
      <c r="B18" s="79" t="s">
        <v>40</v>
      </c>
      <c r="C18" s="80">
        <f t="shared" ca="1" si="0"/>
        <v>1039000</v>
      </c>
      <c r="D18" s="81">
        <f t="shared" ca="1" si="32"/>
        <v>1039000</v>
      </c>
      <c r="E18" s="82">
        <f ca="1">IFERROR(__xludf.DUMMYFUNCTION("IMPORTRANGE(""https://docs.google.com/spreadsheets/d/1MeEWN-I1oV_STSDYn1IFDPWt_1FKiwhDph83XaGc0o0/edit?usp=sharing"",""งบพรบ!AH18"")"),599000)</f>
        <v>599000</v>
      </c>
      <c r="F18" s="82">
        <f ca="1">IFERROR(__xludf.DUMMYFUNCTION("IMPORTRANGE(""https://docs.google.com/spreadsheets/d/1MeEWN-I1oV_STSDYn1IFDPWt_1FKiwhDph83XaGc0o0/edit?usp=sharing"",""งบพรบ!AI18"")"),440000)</f>
        <v>440000</v>
      </c>
      <c r="G18" s="82">
        <f ca="1">IFERROR(__xludf.DUMMYFUNCTION("IMPORTRANGE(""https://docs.google.com/spreadsheets/d/1MeEWN-I1oV_STSDYn1IFDPWt_1FKiwhDph83XaGc0o0/edit?usp=sharing"",""งบพรบ!AJ18"")"),0)</f>
        <v>0</v>
      </c>
      <c r="H18" s="82">
        <f ca="1">IFERROR(__xludf.DUMMYFUNCTION("IMPORTRANGE(""https://docs.google.com/spreadsheets/d/1MeEWN-I1oV_STSDYn1IFDPWt_1FKiwhDph83XaGc0o0/edit?usp=sharing"",""งบพรบ!AL18"")"),659000)</f>
        <v>659000</v>
      </c>
      <c r="I18" s="82">
        <f ca="1">IFERROR(__xludf.DUMMYFUNCTION("IMPORTRANGE(""https://docs.google.com/spreadsheets/d/1MeEWN-I1oV_STSDYn1IFDPWt_1FKiwhDph83XaGc0o0/edit?usp=sharing"",""งบพรบ!AM18"")"),0)</f>
        <v>0</v>
      </c>
      <c r="J18" s="82">
        <f t="shared" ca="1" si="3"/>
        <v>275052.03999999998</v>
      </c>
      <c r="K18" s="83">
        <f t="shared" ca="1" si="4"/>
        <v>26.47276612127045</v>
      </c>
      <c r="L18" s="82">
        <f ca="1">IFERROR(__xludf.DUMMYFUNCTION("IMPORTRANGE(""https://docs.google.com/spreadsheets/d/1MeEWN-I1oV_STSDYn1IFDPWt_1FKiwhDph83XaGc0o0/edit?usp=sharing"",""งบพรบ!AN18"")"),275052.04)</f>
        <v>275052.03999999998</v>
      </c>
      <c r="M18" s="84">
        <f t="shared" ca="1" si="5"/>
        <v>26.47276612127045</v>
      </c>
      <c r="N18" s="84">
        <f t="shared" ca="1" si="6"/>
        <v>41.737790591805762</v>
      </c>
      <c r="O18" s="85">
        <f ca="1">IFERROR(__xludf.DUMMYFUNCTION("IMPORTRANGE(""https://docs.google.com/spreadsheets/d/1MeEWN-I1oV_STSDYn1IFDPWt_1FKiwhDph83XaGc0o0/edit?usp=sharing"",""งบพรบ!AO18"")"),0)</f>
        <v>0</v>
      </c>
      <c r="P18" s="85">
        <f t="shared" ca="1" si="29"/>
        <v>0</v>
      </c>
      <c r="Q18" s="84">
        <f t="shared" ca="1" si="8"/>
        <v>0</v>
      </c>
      <c r="R18" s="86">
        <f t="shared" ca="1" si="30"/>
        <v>1</v>
      </c>
      <c r="S18" s="86">
        <f t="shared" ca="1" si="24"/>
        <v>40</v>
      </c>
      <c r="T18" s="86">
        <f t="shared" ca="1" si="33"/>
        <v>0</v>
      </c>
      <c r="U18" s="87">
        <f t="shared" ca="1" si="25"/>
        <v>0</v>
      </c>
      <c r="V18" s="86">
        <f t="shared" ca="1" si="34"/>
        <v>31</v>
      </c>
      <c r="W18" s="87">
        <f t="shared" ca="1" si="26"/>
        <v>77.5</v>
      </c>
      <c r="X18" s="82">
        <f ca="1">IFERROR(__xludf.DUMMYFUNCTION("IMPORTRANGE(""https://docs.google.com/spreadsheets/d/10nSRjK08hx8Y6HgSOQKNw81lyY46Zc7U_Cj72hBMp9U/edit?usp=sharing"",""นครสวรรค์!I78"")"),0)</f>
        <v>0</v>
      </c>
      <c r="Y18" s="82">
        <f ca="1">IFERROR(__xludf.DUMMYFUNCTION("IMPORTRANGE(""https://docs.google.com/spreadsheets/d/10nSRjK08hx8Y6HgSOQKNw81lyY46Zc7U_Cj72hBMp9U/edit?usp=sharing"",""นครสวรรค์!I79"")"),0)</f>
        <v>0</v>
      </c>
      <c r="Z18" s="86">
        <f ca="1">IFERROR(__xludf.DUMMYFUNCTION("IMPORTRANGE(""https://docs.google.com/spreadsheets/d/10nSRjK08hx8Y6HgSOQKNw81lyY46Zc7U_Cj72hBMp9U/edit?usp=sharing"",""นครสวรรค์!J78"")"),0)</f>
        <v>0</v>
      </c>
      <c r="AA18" s="86">
        <f ca="1">IFERROR(__xludf.DUMMYFUNCTION("IMPORTRANGE(""https://docs.google.com/spreadsheets/d/10nSRjK08hx8Y6HgSOQKNw81lyY46Zc7U_Cj72hBMp9U/edit?usp=sharing"",""นครสวรรค์!J79"")"),0)</f>
        <v>0</v>
      </c>
      <c r="AB18" s="82">
        <f ca="1">IFERROR(__xludf.DUMMYFUNCTION("IMPORTRANGE(""https://docs.google.com/spreadsheets/d/10nSRjK08hx8Y6HgSOQKNw81lyY46Zc7U_Cj72hBMp9U/edit?usp=sharing"",""นครสวรรค์!I80"")"),0)</f>
        <v>0</v>
      </c>
      <c r="AC18" s="82">
        <f ca="1">IFERROR(__xludf.DUMMYFUNCTION("IMPORTRANGE(""https://docs.google.com/spreadsheets/d/10nSRjK08hx8Y6HgSOQKNw81lyY46Zc7U_Cj72hBMp9U/edit?usp=sharing"",""นครสวรรค์!I81"")"),0)</f>
        <v>0</v>
      </c>
      <c r="AD18" s="86">
        <f ca="1">IFERROR(__xludf.DUMMYFUNCTION("IMPORTRANGE(""https://docs.google.com/spreadsheets/d/10nSRjK08hx8Y6HgSOQKNw81lyY46Zc7U_Cj72hBMp9U/edit?usp=sharing"",""นครสวรรค์!J80"")"),0)</f>
        <v>0</v>
      </c>
      <c r="AE18" s="86">
        <f ca="1">IFERROR(__xludf.DUMMYFUNCTION("IMPORTRANGE(""https://docs.google.com/spreadsheets/d/10nSRjK08hx8Y6HgSOQKNw81lyY46Zc7U_Cj72hBMp9U/edit?usp=sharing"",""นครสวรรค์!J81"")"),0)</f>
        <v>0</v>
      </c>
      <c r="AF18" s="82">
        <f ca="1">IFERROR(__xludf.DUMMYFUNCTION("IMPORTRANGE(""https://docs.google.com/spreadsheets/d/10nSRjK08hx8Y6HgSOQKNw81lyY46Zc7U_Cj72hBMp9U/edit?usp=sharing"",""นครสวรรค์!I82"")"),1)</f>
        <v>1</v>
      </c>
      <c r="AG18" s="82">
        <f ca="1">IFERROR(__xludf.DUMMYFUNCTION("IMPORTRANGE(""https://docs.google.com/spreadsheets/d/10nSRjK08hx8Y6HgSOQKNw81lyY46Zc7U_Cj72hBMp9U/edit?usp=sharing"",""นครสวรรค์!I83"")"),40)</f>
        <v>40</v>
      </c>
      <c r="AH18" s="86">
        <f ca="1">IFERROR(__xludf.DUMMYFUNCTION("IMPORTRANGE(""https://docs.google.com/spreadsheets/d/10nSRjK08hx8Y6HgSOQKNw81lyY46Zc7U_Cj72hBMp9U/edit?usp=sharing"",""นครสวรรค์!J82"")"),0)</f>
        <v>0</v>
      </c>
      <c r="AI18" s="86">
        <f ca="1">IFERROR(__xludf.DUMMYFUNCTION("IMPORTRANGE(""https://docs.google.com/spreadsheets/d/10nSRjK08hx8Y6HgSOQKNw81lyY46Zc7U_Cj72hBMp9U/edit?usp=sharing"",""นครสวรรค์!J83"")"),31)</f>
        <v>31</v>
      </c>
      <c r="AJ18" s="82">
        <f ca="1">IFERROR(__xludf.DUMMYFUNCTION("IMPORTRANGE(""https://docs.google.com/spreadsheets/d/10nSRjK08hx8Y6HgSOQKNw81lyY46Zc7U_Cj72hBMp9U/edit?usp=sharing"",""นครสวรรค์!I84"")"),1)</f>
        <v>1</v>
      </c>
      <c r="AK18" s="86">
        <f ca="1">IFERROR(__xludf.DUMMYFUNCTION("IMPORTRANGE(""https://docs.google.com/spreadsheets/d/10nSRjK08hx8Y6HgSOQKNw81lyY46Zc7U_Cj72hBMp9U/edit?usp=sharing"",""นครสวรรค์!J84"")"),0)</f>
        <v>0</v>
      </c>
      <c r="AL18" s="84">
        <f t="shared" ca="1" si="27"/>
        <v>0</v>
      </c>
    </row>
    <row r="19" spans="1:38" ht="24" customHeight="1" x14ac:dyDescent="0.2">
      <c r="A19" s="78">
        <v>6</v>
      </c>
      <c r="B19" s="79" t="s">
        <v>41</v>
      </c>
      <c r="C19" s="80">
        <f t="shared" ca="1" si="0"/>
        <v>440000</v>
      </c>
      <c r="D19" s="81">
        <f t="shared" ca="1" si="32"/>
        <v>440000</v>
      </c>
      <c r="E19" s="82">
        <f ca="1">IFERROR(__xludf.DUMMYFUNCTION("IMPORTRANGE(""https://docs.google.com/spreadsheets/d/1MeEWN-I1oV_STSDYn1IFDPWt_1FKiwhDph83XaGc0o0/edit?usp=sharing"",""งบพรบ!AH19"")"),0)</f>
        <v>0</v>
      </c>
      <c r="F19" s="82">
        <f ca="1">IFERROR(__xludf.DUMMYFUNCTION("IMPORTRANGE(""https://docs.google.com/spreadsheets/d/1MeEWN-I1oV_STSDYn1IFDPWt_1FKiwhDph83XaGc0o0/edit?usp=sharing"",""งบพรบ!AI19"")"),440000)</f>
        <v>440000</v>
      </c>
      <c r="G19" s="82">
        <f ca="1">IFERROR(__xludf.DUMMYFUNCTION("IMPORTRANGE(""https://docs.google.com/spreadsheets/d/1MeEWN-I1oV_STSDYn1IFDPWt_1FKiwhDph83XaGc0o0/edit?usp=sharing"",""งบพรบ!AJ19"")"),0)</f>
        <v>0</v>
      </c>
      <c r="H19" s="82">
        <f ca="1">IFERROR(__xludf.DUMMYFUNCTION("IMPORTRANGE(""https://docs.google.com/spreadsheets/d/1MeEWN-I1oV_STSDYn1IFDPWt_1FKiwhDph83XaGc0o0/edit?usp=sharing"",""งบพรบ!AL19"")"),213000)</f>
        <v>213000</v>
      </c>
      <c r="I19" s="82">
        <f ca="1">IFERROR(__xludf.DUMMYFUNCTION("IMPORTRANGE(""https://docs.google.com/spreadsheets/d/1MeEWN-I1oV_STSDYn1IFDPWt_1FKiwhDph83XaGc0o0/edit?usp=sharing"",""งบพรบ!AM19"")"),0)</f>
        <v>0</v>
      </c>
      <c r="J19" s="82">
        <f t="shared" ca="1" si="3"/>
        <v>86866</v>
      </c>
      <c r="K19" s="83">
        <f t="shared" ca="1" si="4"/>
        <v>19.742272727272727</v>
      </c>
      <c r="L19" s="82">
        <f ca="1">IFERROR(__xludf.DUMMYFUNCTION("IMPORTRANGE(""https://docs.google.com/spreadsheets/d/1MeEWN-I1oV_STSDYn1IFDPWt_1FKiwhDph83XaGc0o0/edit?usp=sharing"",""งบพรบ!AN19"")"),86866)</f>
        <v>86866</v>
      </c>
      <c r="M19" s="84">
        <f t="shared" ca="1" si="5"/>
        <v>19.742272727272727</v>
      </c>
      <c r="N19" s="84">
        <f t="shared" ca="1" si="6"/>
        <v>40.782159624413147</v>
      </c>
      <c r="O19" s="85">
        <f ca="1">IFERROR(__xludf.DUMMYFUNCTION("IMPORTRANGE(""https://docs.google.com/spreadsheets/d/1MeEWN-I1oV_STSDYn1IFDPWt_1FKiwhDph83XaGc0o0/edit?usp=sharing"",""งบพรบ!AO19"")"),0)</f>
        <v>0</v>
      </c>
      <c r="P19" s="85">
        <f t="shared" ca="1" si="29"/>
        <v>0</v>
      </c>
      <c r="Q19" s="84">
        <f t="shared" ca="1" si="8"/>
        <v>0</v>
      </c>
      <c r="R19" s="86">
        <f t="shared" ca="1" si="30"/>
        <v>1</v>
      </c>
      <c r="S19" s="86">
        <f t="shared" ca="1" si="24"/>
        <v>40</v>
      </c>
      <c r="T19" s="86">
        <f t="shared" ca="1" si="33"/>
        <v>1</v>
      </c>
      <c r="U19" s="87">
        <f t="shared" ca="1" si="25"/>
        <v>100</v>
      </c>
      <c r="V19" s="86">
        <f t="shared" ca="1" si="34"/>
        <v>40</v>
      </c>
      <c r="W19" s="87">
        <f t="shared" ca="1" si="26"/>
        <v>100</v>
      </c>
      <c r="X19" s="82">
        <f ca="1">IFERROR(__xludf.DUMMYFUNCTION("IMPORTRANGE(""https://docs.google.com/spreadsheets/d/1gFVb7qd7amutrIxAAoM7lcy35hllxznovot8lyOfvDo/edit?usp=sharing"",""น่าน!I78"")"),1)</f>
        <v>1</v>
      </c>
      <c r="Y19" s="82">
        <f ca="1">IFERROR(__xludf.DUMMYFUNCTION("IMPORTRANGE(""https://docs.google.com/spreadsheets/d/1gFVb7qd7amutrIxAAoM7lcy35hllxznovot8lyOfvDo/edit?usp=sharing"",""น่าน!I79"")"),40)</f>
        <v>40</v>
      </c>
      <c r="Z19" s="86">
        <f ca="1">IFERROR(__xludf.DUMMYFUNCTION("IMPORTRANGE(""https://docs.google.com/spreadsheets/d/1gFVb7qd7amutrIxAAoM7lcy35hllxznovot8lyOfvDo/edit?usp=sharing"",""น่าน!J78"")"),1)</f>
        <v>1</v>
      </c>
      <c r="AA19" s="86">
        <f ca="1">IFERROR(__xludf.DUMMYFUNCTION("IMPORTRANGE(""https://docs.google.com/spreadsheets/d/1gFVb7qd7amutrIxAAoM7lcy35hllxznovot8lyOfvDo/edit?usp=sharing"",""น่าน!J79"")"),40)</f>
        <v>40</v>
      </c>
      <c r="AB19" s="82">
        <f ca="1">IFERROR(__xludf.DUMMYFUNCTION("IMPORTRANGE(""https://docs.google.com/spreadsheets/d/1gFVb7qd7amutrIxAAoM7lcy35hllxznovot8lyOfvDo/edit?usp=sharing"",""น่าน!I80"")"),0)</f>
        <v>0</v>
      </c>
      <c r="AC19" s="82">
        <f ca="1">IFERROR(__xludf.DUMMYFUNCTION("IMPORTRANGE(""https://docs.google.com/spreadsheets/d/1gFVb7qd7amutrIxAAoM7lcy35hllxznovot8lyOfvDo/edit?usp=sharing"",""น่าน!I81"")"),0)</f>
        <v>0</v>
      </c>
      <c r="AD19" s="86">
        <f ca="1">IFERROR(__xludf.DUMMYFUNCTION("IMPORTRANGE(""https://docs.google.com/spreadsheets/d/1gFVb7qd7amutrIxAAoM7lcy35hllxznovot8lyOfvDo/edit?usp=sharing"",""น่าน!J80"")"),0)</f>
        <v>0</v>
      </c>
      <c r="AE19" s="86">
        <f ca="1">IFERROR(__xludf.DUMMYFUNCTION("IMPORTRANGE(""https://docs.google.com/spreadsheets/d/1gFVb7qd7amutrIxAAoM7lcy35hllxznovot8lyOfvDo/edit?usp=sharing"",""น่าน!J81"")"),0)</f>
        <v>0</v>
      </c>
      <c r="AF19" s="82">
        <f ca="1">IFERROR(__xludf.DUMMYFUNCTION("IMPORTRANGE(""https://docs.google.com/spreadsheets/d/1gFVb7qd7amutrIxAAoM7lcy35hllxznovot8lyOfvDo/edit?usp=sharing"",""น่าน!I82"")"),0)</f>
        <v>0</v>
      </c>
      <c r="AG19" s="82">
        <f ca="1">IFERROR(__xludf.DUMMYFUNCTION("IMPORTRANGE(""https://docs.google.com/spreadsheets/d/1gFVb7qd7amutrIxAAoM7lcy35hllxznovot8lyOfvDo/edit?usp=sharing"",""น่าน!I83"")"),0)</f>
        <v>0</v>
      </c>
      <c r="AH19" s="86">
        <f ca="1">IFERROR(__xludf.DUMMYFUNCTION("IMPORTRANGE(""https://docs.google.com/spreadsheets/d/1gFVb7qd7amutrIxAAoM7lcy35hllxznovot8lyOfvDo/edit?usp=sharing"",""น่าน!J82"")"),0)</f>
        <v>0</v>
      </c>
      <c r="AI19" s="86">
        <f ca="1">IFERROR(__xludf.DUMMYFUNCTION("IMPORTRANGE(""https://docs.google.com/spreadsheets/d/1gFVb7qd7amutrIxAAoM7lcy35hllxznovot8lyOfvDo/edit?usp=sharing"",""น่าน!J83"")"),0)</f>
        <v>0</v>
      </c>
      <c r="AJ19" s="82">
        <f ca="1">IFERROR(__xludf.DUMMYFUNCTION("IMPORTRANGE(""https://docs.google.com/spreadsheets/d/1gFVb7qd7amutrIxAAoM7lcy35hllxznovot8lyOfvDo/edit?usp=sharing"",""น่าน!I84"")"),1)</f>
        <v>1</v>
      </c>
      <c r="AK19" s="86">
        <f ca="1">IFERROR(__xludf.DUMMYFUNCTION("IMPORTRANGE(""https://docs.google.com/spreadsheets/d/1gFVb7qd7amutrIxAAoM7lcy35hllxznovot8lyOfvDo/edit?usp=sharing"",""น่าน!J84"")"),0)</f>
        <v>0</v>
      </c>
      <c r="AL19" s="84">
        <f t="shared" ca="1" si="27"/>
        <v>0</v>
      </c>
    </row>
    <row r="20" spans="1:38" ht="24" customHeight="1" x14ac:dyDescent="0.2">
      <c r="A20" s="78">
        <v>7</v>
      </c>
      <c r="B20" s="79" t="s">
        <v>42</v>
      </c>
      <c r="C20" s="80">
        <f t="shared" ca="1" si="0"/>
        <v>384000</v>
      </c>
      <c r="D20" s="81">
        <f t="shared" ca="1" si="32"/>
        <v>384000</v>
      </c>
      <c r="E20" s="82">
        <f ca="1">IFERROR(__xludf.DUMMYFUNCTION("IMPORTRANGE(""https://docs.google.com/spreadsheets/d/1MeEWN-I1oV_STSDYn1IFDPWt_1FKiwhDph83XaGc0o0/edit?usp=sharing"",""งบพรบ!AH20"")"),0)</f>
        <v>0</v>
      </c>
      <c r="F20" s="82">
        <f ca="1">IFERROR(__xludf.DUMMYFUNCTION("IMPORTRANGE(""https://docs.google.com/spreadsheets/d/1MeEWN-I1oV_STSDYn1IFDPWt_1FKiwhDph83XaGc0o0/edit?usp=sharing"",""งบพรบ!AI20"")"),384000)</f>
        <v>384000</v>
      </c>
      <c r="G20" s="82">
        <f ca="1">IFERROR(__xludf.DUMMYFUNCTION("IMPORTRANGE(""https://docs.google.com/spreadsheets/d/1MeEWN-I1oV_STSDYn1IFDPWt_1FKiwhDph83XaGc0o0/edit?usp=sharing"",""งบพรบ!AJ20"")"),0)</f>
        <v>0</v>
      </c>
      <c r="H20" s="82">
        <f ca="1">IFERROR(__xludf.DUMMYFUNCTION("IMPORTRANGE(""https://docs.google.com/spreadsheets/d/1MeEWN-I1oV_STSDYn1IFDPWt_1FKiwhDph83XaGc0o0/edit?usp=sharing"",""งบพรบ!AL20"")"),185000)</f>
        <v>185000</v>
      </c>
      <c r="I20" s="82">
        <f ca="1">IFERROR(__xludf.DUMMYFUNCTION("IMPORTRANGE(""https://docs.google.com/spreadsheets/d/1MeEWN-I1oV_STSDYn1IFDPWt_1FKiwhDph83XaGc0o0/edit?usp=sharing"",""งบพรบ!AM20"")"),0)</f>
        <v>0</v>
      </c>
      <c r="J20" s="82">
        <f t="shared" ca="1" si="3"/>
        <v>72985</v>
      </c>
      <c r="K20" s="83">
        <f t="shared" ca="1" si="4"/>
        <v>19.006510416666668</v>
      </c>
      <c r="L20" s="82">
        <f ca="1">IFERROR(__xludf.DUMMYFUNCTION("IMPORTRANGE(""https://docs.google.com/spreadsheets/d/1MeEWN-I1oV_STSDYn1IFDPWt_1FKiwhDph83XaGc0o0/edit?usp=sharing"",""งบพรบ!AN20"")"),72985)</f>
        <v>72985</v>
      </c>
      <c r="M20" s="84">
        <f t="shared" ca="1" si="5"/>
        <v>19.006510416666668</v>
      </c>
      <c r="N20" s="84">
        <f t="shared" ca="1" si="6"/>
        <v>39.451351351351349</v>
      </c>
      <c r="O20" s="85">
        <f ca="1">IFERROR(__xludf.DUMMYFUNCTION("IMPORTRANGE(""https://docs.google.com/spreadsheets/d/1MeEWN-I1oV_STSDYn1IFDPWt_1FKiwhDph83XaGc0o0/edit?usp=sharing"",""งบพรบ!AO20"")"),0)</f>
        <v>0</v>
      </c>
      <c r="P20" s="85">
        <f t="shared" ca="1" si="29"/>
        <v>0</v>
      </c>
      <c r="Q20" s="84">
        <f t="shared" ca="1" si="8"/>
        <v>0</v>
      </c>
      <c r="R20" s="86">
        <f t="shared" ca="1" si="30"/>
        <v>1</v>
      </c>
      <c r="S20" s="86">
        <f t="shared" ca="1" si="24"/>
        <v>30</v>
      </c>
      <c r="T20" s="86">
        <f t="shared" ca="1" si="33"/>
        <v>1</v>
      </c>
      <c r="U20" s="87">
        <f t="shared" ca="1" si="25"/>
        <v>100</v>
      </c>
      <c r="V20" s="86">
        <f t="shared" ca="1" si="34"/>
        <v>30</v>
      </c>
      <c r="W20" s="87">
        <f t="shared" ca="1" si="26"/>
        <v>100</v>
      </c>
      <c r="X20" s="82">
        <f ca="1">IFERROR(__xludf.DUMMYFUNCTION("IMPORTRANGE(""https://docs.google.com/spreadsheets/d/1K0Aa9s-6EuHE5M0FG1F9aHLXRCOV917xvycTdLdct0w/edit?usp=sharing"",""พะเยา!I78"")"),0)</f>
        <v>0</v>
      </c>
      <c r="Y20" s="82">
        <f ca="1">IFERROR(__xludf.DUMMYFUNCTION("IMPORTRANGE(""https://docs.google.com/spreadsheets/d/1K0Aa9s-6EuHE5M0FG1F9aHLXRCOV917xvycTdLdct0w/edit?usp=sharing"",""พะเยา!I79"")"),0)</f>
        <v>0</v>
      </c>
      <c r="Z20" s="86">
        <f ca="1">IFERROR(__xludf.DUMMYFUNCTION("IMPORTRANGE(""https://docs.google.com/spreadsheets/d/1K0Aa9s-6EuHE5M0FG1F9aHLXRCOV917xvycTdLdct0w/edit?usp=sharing"",""พะเยา!J78"")"),0)</f>
        <v>0</v>
      </c>
      <c r="AA20" s="86">
        <f ca="1">IFERROR(__xludf.DUMMYFUNCTION("IMPORTRANGE(""https://docs.google.com/spreadsheets/d/1K0Aa9s-6EuHE5M0FG1F9aHLXRCOV917xvycTdLdct0w/edit?usp=sharing"",""พะเยา!J79"")"),0)</f>
        <v>0</v>
      </c>
      <c r="AB20" s="82">
        <f ca="1">IFERROR(__xludf.DUMMYFUNCTION("IMPORTRANGE(""https://docs.google.com/spreadsheets/d/1K0Aa9s-6EuHE5M0FG1F9aHLXRCOV917xvycTdLdct0w/edit?usp=sharing"",""พะเยา!I80"")"),1)</f>
        <v>1</v>
      </c>
      <c r="AC20" s="82">
        <f ca="1">IFERROR(__xludf.DUMMYFUNCTION("IMPORTRANGE(""https://docs.google.com/spreadsheets/d/1K0Aa9s-6EuHE5M0FG1F9aHLXRCOV917xvycTdLdct0w/edit?usp=sharing"",""พะเยา!I81"")"),30)</f>
        <v>30</v>
      </c>
      <c r="AD20" s="86">
        <f ca="1">IFERROR(__xludf.DUMMYFUNCTION("IMPORTRANGE(""https://docs.google.com/spreadsheets/d/1K0Aa9s-6EuHE5M0FG1F9aHLXRCOV917xvycTdLdct0w/edit?usp=sharing"",""พะเยา!J80"")"),1)</f>
        <v>1</v>
      </c>
      <c r="AE20" s="86">
        <f ca="1">IFERROR(__xludf.DUMMYFUNCTION("IMPORTRANGE(""https://docs.google.com/spreadsheets/d/1K0Aa9s-6EuHE5M0FG1F9aHLXRCOV917xvycTdLdct0w/edit?usp=sharing"",""พะเยา!J81"")"),30)</f>
        <v>30</v>
      </c>
      <c r="AF20" s="82">
        <f ca="1">IFERROR(__xludf.DUMMYFUNCTION("IMPORTRANGE(""https://docs.google.com/spreadsheets/d/1K0Aa9s-6EuHE5M0FG1F9aHLXRCOV917xvycTdLdct0w/edit?usp=sharing"",""พะเยา!I82"")"),0)</f>
        <v>0</v>
      </c>
      <c r="AG20" s="82">
        <f ca="1">IFERROR(__xludf.DUMMYFUNCTION("IMPORTRANGE(""https://docs.google.com/spreadsheets/d/1K0Aa9s-6EuHE5M0FG1F9aHLXRCOV917xvycTdLdct0w/edit?usp=sharing"",""พะเยา!I83"")"),0)</f>
        <v>0</v>
      </c>
      <c r="AH20" s="86">
        <f ca="1">IFERROR(__xludf.DUMMYFUNCTION("IMPORTRANGE(""https://docs.google.com/spreadsheets/d/1K0Aa9s-6EuHE5M0FG1F9aHLXRCOV917xvycTdLdct0w/edit?usp=sharing"",""พะเยา!J82"")"),0)</f>
        <v>0</v>
      </c>
      <c r="AI20" s="86">
        <f ca="1">IFERROR(__xludf.DUMMYFUNCTION("IMPORTRANGE(""https://docs.google.com/spreadsheets/d/1K0Aa9s-6EuHE5M0FG1F9aHLXRCOV917xvycTdLdct0w/edit?usp=sharing"",""พะเยา!J83"")"),0)</f>
        <v>0</v>
      </c>
      <c r="AJ20" s="82">
        <f ca="1">IFERROR(__xludf.DUMMYFUNCTION("IMPORTRANGE(""https://docs.google.com/spreadsheets/d/1K0Aa9s-6EuHE5M0FG1F9aHLXRCOV917xvycTdLdct0w/edit?usp=sharing"",""พะเยา!I84"")"),1)</f>
        <v>1</v>
      </c>
      <c r="AK20" s="86">
        <f ca="1">IFERROR(__xludf.DUMMYFUNCTION("IMPORTRANGE(""https://docs.google.com/spreadsheets/d/1K0Aa9s-6EuHE5M0FG1F9aHLXRCOV917xvycTdLdct0w/edit?usp=sharing"",""พะเยา!J84"")"),0)</f>
        <v>0</v>
      </c>
      <c r="AL20" s="84">
        <f t="shared" ca="1" si="27"/>
        <v>0</v>
      </c>
    </row>
    <row r="21" spans="1:38" ht="24" customHeight="1" x14ac:dyDescent="0.2">
      <c r="A21" s="78">
        <v>8</v>
      </c>
      <c r="B21" s="79" t="s">
        <v>43</v>
      </c>
      <c r="C21" s="80">
        <f t="shared" ca="1" si="0"/>
        <v>0</v>
      </c>
      <c r="D21" s="81">
        <f t="shared" ca="1" si="32"/>
        <v>0</v>
      </c>
      <c r="E21" s="82">
        <f ca="1">IFERROR(__xludf.DUMMYFUNCTION("IMPORTRANGE(""https://docs.google.com/spreadsheets/d/1MeEWN-I1oV_STSDYn1IFDPWt_1FKiwhDph83XaGc0o0/edit?usp=sharing"",""งบพรบ!AH21"")"),0)</f>
        <v>0</v>
      </c>
      <c r="F21" s="82">
        <f ca="1">IFERROR(__xludf.DUMMYFUNCTION("IMPORTRANGE(""https://docs.google.com/spreadsheets/d/1MeEWN-I1oV_STSDYn1IFDPWt_1FKiwhDph83XaGc0o0/edit?usp=sharing"",""งบพรบ!AI21"")"),0)</f>
        <v>0</v>
      </c>
      <c r="G21" s="82">
        <f ca="1">IFERROR(__xludf.DUMMYFUNCTION("IMPORTRANGE(""https://docs.google.com/spreadsheets/d/1MeEWN-I1oV_STSDYn1IFDPWt_1FKiwhDph83XaGc0o0/edit?usp=sharing"",""งบพรบ!AJ21"")"),0)</f>
        <v>0</v>
      </c>
      <c r="H21" s="82">
        <f ca="1">IFERROR(__xludf.DUMMYFUNCTION("IMPORTRANGE(""https://docs.google.com/spreadsheets/d/1MeEWN-I1oV_STSDYn1IFDPWt_1FKiwhDph83XaGc0o0/edit?usp=sharing"",""งบพรบ!AL21"")"),0)</f>
        <v>0</v>
      </c>
      <c r="I21" s="82">
        <f ca="1">IFERROR(__xludf.DUMMYFUNCTION("IMPORTRANGE(""https://docs.google.com/spreadsheets/d/1MeEWN-I1oV_STSDYn1IFDPWt_1FKiwhDph83XaGc0o0/edit?usp=sharing"",""งบพรบ!AM21"")"),0)</f>
        <v>0</v>
      </c>
      <c r="J21" s="82">
        <f t="shared" ca="1" si="3"/>
        <v>0</v>
      </c>
      <c r="K21" s="83">
        <f t="shared" ca="1" si="4"/>
        <v>0</v>
      </c>
      <c r="L21" s="82">
        <f ca="1">IFERROR(__xludf.DUMMYFUNCTION("IMPORTRANGE(""https://docs.google.com/spreadsheets/d/1MeEWN-I1oV_STSDYn1IFDPWt_1FKiwhDph83XaGc0o0/edit?usp=sharing"",""งบพรบ!AN21"")"),0)</f>
        <v>0</v>
      </c>
      <c r="M21" s="84">
        <f t="shared" ca="1" si="5"/>
        <v>0</v>
      </c>
      <c r="N21" s="84">
        <f t="shared" ca="1" si="6"/>
        <v>0</v>
      </c>
      <c r="O21" s="85">
        <f ca="1">IFERROR(__xludf.DUMMYFUNCTION("IMPORTRANGE(""https://docs.google.com/spreadsheets/d/1MeEWN-I1oV_STSDYn1IFDPWt_1FKiwhDph83XaGc0o0/edit?usp=sharing"",""งบพรบ!AO21"")"),0)</f>
        <v>0</v>
      </c>
      <c r="P21" s="85">
        <f t="shared" ca="1" si="29"/>
        <v>0</v>
      </c>
      <c r="Q21" s="84">
        <f t="shared" ca="1" si="8"/>
        <v>0</v>
      </c>
      <c r="R21" s="86">
        <f t="shared" ca="1" si="30"/>
        <v>0</v>
      </c>
      <c r="S21" s="86">
        <f t="shared" ca="1" si="24"/>
        <v>0</v>
      </c>
      <c r="T21" s="86">
        <f t="shared" ca="1" si="33"/>
        <v>0</v>
      </c>
      <c r="U21" s="87">
        <f t="shared" ca="1" si="25"/>
        <v>0</v>
      </c>
      <c r="V21" s="86">
        <f t="shared" ca="1" si="34"/>
        <v>0</v>
      </c>
      <c r="W21" s="87">
        <f t="shared" ca="1" si="26"/>
        <v>0</v>
      </c>
      <c r="X21" s="82">
        <f ca="1">IFERROR(__xludf.DUMMYFUNCTION("IMPORTRANGE(""https://docs.google.com/spreadsheets/d/1Y9LPKx95PyL5OKy09d-KbKJSuuEZCFdkhYjwC0XQjBA/edit?usp=sharing"",""พิจิตร!I78"")"),0)</f>
        <v>0</v>
      </c>
      <c r="Y21" s="82">
        <f ca="1">IFERROR(__xludf.DUMMYFUNCTION("IMPORTRANGE(""https://docs.google.com/spreadsheets/d/1Y9LPKx95PyL5OKy09d-KbKJSuuEZCFdkhYjwC0XQjBA/edit?usp=sharing"",""พิจิตร!I79"")"),0)</f>
        <v>0</v>
      </c>
      <c r="Z21" s="86">
        <f ca="1">IFERROR(__xludf.DUMMYFUNCTION("IMPORTRANGE(""https://docs.google.com/spreadsheets/d/1Y9LPKx95PyL5OKy09d-KbKJSuuEZCFdkhYjwC0XQjBA/edit?usp=sharing"",""พิจิตร!J78"")"),0)</f>
        <v>0</v>
      </c>
      <c r="AA21" s="86">
        <f ca="1">IFERROR(__xludf.DUMMYFUNCTION("IMPORTRANGE(""https://docs.google.com/spreadsheets/d/1Y9LPKx95PyL5OKy09d-KbKJSuuEZCFdkhYjwC0XQjBA/edit?usp=sharing"",""พิจิตร!J79"")"),0)</f>
        <v>0</v>
      </c>
      <c r="AB21" s="82">
        <f ca="1">IFERROR(__xludf.DUMMYFUNCTION("IMPORTRANGE(""https://docs.google.com/spreadsheets/d/1Y9LPKx95PyL5OKy09d-KbKJSuuEZCFdkhYjwC0XQjBA/edit?usp=sharing"",""พิจิตร!I80"")"),0)</f>
        <v>0</v>
      </c>
      <c r="AC21" s="82">
        <f ca="1">IFERROR(__xludf.DUMMYFUNCTION("IMPORTRANGE(""https://docs.google.com/spreadsheets/d/1Y9LPKx95PyL5OKy09d-KbKJSuuEZCFdkhYjwC0XQjBA/edit?usp=sharing"",""พิจิตร!I81"")"),0)</f>
        <v>0</v>
      </c>
      <c r="AD21" s="86">
        <f ca="1">IFERROR(__xludf.DUMMYFUNCTION("IMPORTRANGE(""https://docs.google.com/spreadsheets/d/1Y9LPKx95PyL5OKy09d-KbKJSuuEZCFdkhYjwC0XQjBA/edit?usp=sharing"",""พิจิตร!J80"")"),0)</f>
        <v>0</v>
      </c>
      <c r="AE21" s="86">
        <f ca="1">IFERROR(__xludf.DUMMYFUNCTION("IMPORTRANGE(""https://docs.google.com/spreadsheets/d/1Y9LPKx95PyL5OKy09d-KbKJSuuEZCFdkhYjwC0XQjBA/edit?usp=sharing"",""พิจิตร!J81"")"),0)</f>
        <v>0</v>
      </c>
      <c r="AF21" s="82">
        <f ca="1">IFERROR(__xludf.DUMMYFUNCTION("IMPORTRANGE(""https://docs.google.com/spreadsheets/d/1Y9LPKx95PyL5OKy09d-KbKJSuuEZCFdkhYjwC0XQjBA/edit?usp=sharing"",""พิจิตร!I82"")"),0)</f>
        <v>0</v>
      </c>
      <c r="AG21" s="82">
        <f ca="1">IFERROR(__xludf.DUMMYFUNCTION("IMPORTRANGE(""https://docs.google.com/spreadsheets/d/1Y9LPKx95PyL5OKy09d-KbKJSuuEZCFdkhYjwC0XQjBA/edit?usp=sharing"",""พิจิตร!I83"")"),0)</f>
        <v>0</v>
      </c>
      <c r="AH21" s="86">
        <f ca="1">IFERROR(__xludf.DUMMYFUNCTION("IMPORTRANGE(""https://docs.google.com/spreadsheets/d/1Y9LPKx95PyL5OKy09d-KbKJSuuEZCFdkhYjwC0XQjBA/edit?usp=sharing"",""พิจิตร!J82"")"),0)</f>
        <v>0</v>
      </c>
      <c r="AI21" s="86">
        <f ca="1">IFERROR(__xludf.DUMMYFUNCTION("IMPORTRANGE(""https://docs.google.com/spreadsheets/d/1Y9LPKx95PyL5OKy09d-KbKJSuuEZCFdkhYjwC0XQjBA/edit?usp=sharing"",""พิจิตร!J83"")"),0)</f>
        <v>0</v>
      </c>
      <c r="AJ21" s="82">
        <f ca="1">IFERROR(__xludf.DUMMYFUNCTION("IMPORTRANGE(""https://docs.google.com/spreadsheets/d/1Y9LPKx95PyL5OKy09d-KbKJSuuEZCFdkhYjwC0XQjBA/edit?usp=sharing"",""พิจิตร!I84"")"),0)</f>
        <v>0</v>
      </c>
      <c r="AK21" s="86">
        <f ca="1">IFERROR(__xludf.DUMMYFUNCTION("IMPORTRANGE(""https://docs.google.com/spreadsheets/d/1Y9LPKx95PyL5OKy09d-KbKJSuuEZCFdkhYjwC0XQjBA/edit?usp=sharing"",""พิจิตร!J84"")"),0)</f>
        <v>0</v>
      </c>
      <c r="AL21" s="84">
        <f t="shared" ca="1" si="27"/>
        <v>0</v>
      </c>
    </row>
    <row r="22" spans="1:38" ht="24" customHeight="1" x14ac:dyDescent="0.2">
      <c r="A22" s="78">
        <v>9</v>
      </c>
      <c r="B22" s="79" t="s">
        <v>44</v>
      </c>
      <c r="C22" s="80">
        <f t="shared" ca="1" si="0"/>
        <v>1116400</v>
      </c>
      <c r="D22" s="81">
        <f t="shared" ca="1" si="32"/>
        <v>1116400</v>
      </c>
      <c r="E22" s="82">
        <f ca="1">IFERROR(__xludf.DUMMYFUNCTION("IMPORTRANGE(""https://docs.google.com/spreadsheets/d/1MeEWN-I1oV_STSDYn1IFDPWt_1FKiwhDph83XaGc0o0/edit?usp=sharing"",""งบพรบ!AH22"")"),392400)</f>
        <v>392400</v>
      </c>
      <c r="F22" s="82">
        <f ca="1">IFERROR(__xludf.DUMMYFUNCTION("IMPORTRANGE(""https://docs.google.com/spreadsheets/d/1MeEWN-I1oV_STSDYn1IFDPWt_1FKiwhDph83XaGc0o0/edit?usp=sharing"",""งบพรบ!AI22"")"),724000)</f>
        <v>724000</v>
      </c>
      <c r="G22" s="82">
        <f ca="1">IFERROR(__xludf.DUMMYFUNCTION("IMPORTRANGE(""https://docs.google.com/spreadsheets/d/1MeEWN-I1oV_STSDYn1IFDPWt_1FKiwhDph83XaGc0o0/edit?usp=sharing"",""งบพรบ!AJ22"")"),0)</f>
        <v>0</v>
      </c>
      <c r="H22" s="82">
        <f ca="1">IFERROR(__xludf.DUMMYFUNCTION("IMPORTRANGE(""https://docs.google.com/spreadsheets/d/1MeEWN-I1oV_STSDYn1IFDPWt_1FKiwhDph83XaGc0o0/edit?usp=sharing"",""งบพรบ!AL22"")"),642300)</f>
        <v>642300</v>
      </c>
      <c r="I22" s="82">
        <f ca="1">IFERROR(__xludf.DUMMYFUNCTION("IMPORTRANGE(""https://docs.google.com/spreadsheets/d/1MeEWN-I1oV_STSDYn1IFDPWt_1FKiwhDph83XaGc0o0/edit?usp=sharing"",""งบพรบ!AM22"")"),0)</f>
        <v>0</v>
      </c>
      <c r="J22" s="82">
        <f t="shared" ca="1" si="3"/>
        <v>454742.77</v>
      </c>
      <c r="K22" s="83">
        <f t="shared" ca="1" si="4"/>
        <v>40.732960408455753</v>
      </c>
      <c r="L22" s="82">
        <f ca="1">IFERROR(__xludf.DUMMYFUNCTION("IMPORTRANGE(""https://docs.google.com/spreadsheets/d/1MeEWN-I1oV_STSDYn1IFDPWt_1FKiwhDph83XaGc0o0/edit?usp=sharing"",""งบพรบ!AN22"")"),454742.77)</f>
        <v>454742.77</v>
      </c>
      <c r="M22" s="84">
        <f t="shared" ca="1" si="5"/>
        <v>40.732960408455753</v>
      </c>
      <c r="N22" s="84">
        <f t="shared" ca="1" si="6"/>
        <v>70.799123462556437</v>
      </c>
      <c r="O22" s="85">
        <f ca="1">IFERROR(__xludf.DUMMYFUNCTION("IMPORTRANGE(""https://docs.google.com/spreadsheets/d/1MeEWN-I1oV_STSDYn1IFDPWt_1FKiwhDph83XaGc0o0/edit?usp=sharing"",""งบพรบ!AO22"")"),0)</f>
        <v>0</v>
      </c>
      <c r="P22" s="85">
        <f t="shared" ca="1" si="29"/>
        <v>0</v>
      </c>
      <c r="Q22" s="84">
        <f t="shared" ca="1" si="8"/>
        <v>0</v>
      </c>
      <c r="R22" s="86">
        <f t="shared" ca="1" si="30"/>
        <v>2</v>
      </c>
      <c r="S22" s="86">
        <f t="shared" ca="1" si="24"/>
        <v>80</v>
      </c>
      <c r="T22" s="86">
        <f t="shared" ca="1" si="33"/>
        <v>2</v>
      </c>
      <c r="U22" s="87">
        <f t="shared" ca="1" si="25"/>
        <v>100</v>
      </c>
      <c r="V22" s="86">
        <f t="shared" ca="1" si="34"/>
        <v>80</v>
      </c>
      <c r="W22" s="87">
        <f t="shared" ca="1" si="26"/>
        <v>100</v>
      </c>
      <c r="X22" s="82">
        <f ca="1">IFERROR(__xludf.DUMMYFUNCTION("IMPORTRANGE(""https://docs.google.com/spreadsheets/d/16OMuOwy2eVqZcYWOouQtTpa8X1L23h4660uVHc0C8os/edit?usp=sharing"",""พิษณุโลก!I78"")"),2)</f>
        <v>2</v>
      </c>
      <c r="Y22" s="82">
        <f ca="1">IFERROR(__xludf.DUMMYFUNCTION("IMPORTRANGE(""https://docs.google.com/spreadsheets/d/16OMuOwy2eVqZcYWOouQtTpa8X1L23h4660uVHc0C8os/edit?usp=sharing"",""พิษณุโลก!I79"")"),80)</f>
        <v>80</v>
      </c>
      <c r="Z22" s="86">
        <f ca="1">IFERROR(__xludf.DUMMYFUNCTION("IMPORTRANGE(""https://docs.google.com/spreadsheets/d/16OMuOwy2eVqZcYWOouQtTpa8X1L23h4660uVHc0C8os/edit?usp=sharing"",""พิษณุโลก!J78"")"),2)</f>
        <v>2</v>
      </c>
      <c r="AA22" s="86">
        <f ca="1">IFERROR(__xludf.DUMMYFUNCTION("IMPORTRANGE(""https://docs.google.com/spreadsheets/d/16OMuOwy2eVqZcYWOouQtTpa8X1L23h4660uVHc0C8os/edit?usp=sharing"",""พิษณุโลก!J79"")"),80)</f>
        <v>80</v>
      </c>
      <c r="AB22" s="82">
        <f ca="1">IFERROR(__xludf.DUMMYFUNCTION("IMPORTRANGE(""https://docs.google.com/spreadsheets/d/16OMuOwy2eVqZcYWOouQtTpa8X1L23h4660uVHc0C8os/edit?usp=sharing"",""พิษณุโลก!I80"")"),0)</f>
        <v>0</v>
      </c>
      <c r="AC22" s="82">
        <f ca="1">IFERROR(__xludf.DUMMYFUNCTION("IMPORTRANGE(""https://docs.google.com/spreadsheets/d/16OMuOwy2eVqZcYWOouQtTpa8X1L23h4660uVHc0C8os/edit?usp=sharing"",""พิษณุโลก!I81"")"),0)</f>
        <v>0</v>
      </c>
      <c r="AD22" s="86">
        <f ca="1">IFERROR(__xludf.DUMMYFUNCTION("IMPORTRANGE(""https://docs.google.com/spreadsheets/d/16OMuOwy2eVqZcYWOouQtTpa8X1L23h4660uVHc0C8os/edit?usp=sharing"",""พิษณุโลก!J80"")"),0)</f>
        <v>0</v>
      </c>
      <c r="AE22" s="86">
        <f ca="1">IFERROR(__xludf.DUMMYFUNCTION("IMPORTRANGE(""https://docs.google.com/spreadsheets/d/16OMuOwy2eVqZcYWOouQtTpa8X1L23h4660uVHc0C8os/edit?usp=sharing"",""พิษณุโลก!J81"")"),0)</f>
        <v>0</v>
      </c>
      <c r="AF22" s="82">
        <f ca="1">IFERROR(__xludf.DUMMYFUNCTION("IMPORTRANGE(""https://docs.google.com/spreadsheets/d/16OMuOwy2eVqZcYWOouQtTpa8X1L23h4660uVHc0C8os/edit?usp=sharing"",""พิษณุโลก!I82"")"),0)</f>
        <v>0</v>
      </c>
      <c r="AG22" s="82">
        <f ca="1">IFERROR(__xludf.DUMMYFUNCTION("IMPORTRANGE(""https://docs.google.com/spreadsheets/d/16OMuOwy2eVqZcYWOouQtTpa8X1L23h4660uVHc0C8os/edit?usp=sharing"",""พิษณุโลก!I83"")"),0)</f>
        <v>0</v>
      </c>
      <c r="AH22" s="86">
        <f ca="1">IFERROR(__xludf.DUMMYFUNCTION("IMPORTRANGE(""https://docs.google.com/spreadsheets/d/16OMuOwy2eVqZcYWOouQtTpa8X1L23h4660uVHc0C8os/edit?usp=sharing"",""พิษณุโลก!J82"")"),0)</f>
        <v>0</v>
      </c>
      <c r="AI22" s="86">
        <f ca="1">IFERROR(__xludf.DUMMYFUNCTION("IMPORTRANGE(""https://docs.google.com/spreadsheets/d/16OMuOwy2eVqZcYWOouQtTpa8X1L23h4660uVHc0C8os/edit?usp=sharing"",""พิษณุโลก!J83"")"),0)</f>
        <v>0</v>
      </c>
      <c r="AJ22" s="82">
        <f ca="1">IFERROR(__xludf.DUMMYFUNCTION("IMPORTRANGE(""https://docs.google.com/spreadsheets/d/16OMuOwy2eVqZcYWOouQtTpa8X1L23h4660uVHc0C8os/edit?usp=sharing"",""พิษณุโลก!I84"")"),2)</f>
        <v>2</v>
      </c>
      <c r="AK22" s="86">
        <f ca="1">IFERROR(__xludf.DUMMYFUNCTION("IMPORTRANGE(""https://docs.google.com/spreadsheets/d/16OMuOwy2eVqZcYWOouQtTpa8X1L23h4660uVHc0C8os/edit?usp=sharing"",""พิษณุโลก!J84"")"),0)</f>
        <v>0</v>
      </c>
      <c r="AL22" s="84">
        <f t="shared" ca="1" si="27"/>
        <v>0</v>
      </c>
    </row>
    <row r="23" spans="1:38" ht="24" customHeight="1" x14ac:dyDescent="0.2">
      <c r="A23" s="78">
        <v>10</v>
      </c>
      <c r="B23" s="79" t="s">
        <v>45</v>
      </c>
      <c r="C23" s="80">
        <f t="shared" ca="1" si="0"/>
        <v>640000</v>
      </c>
      <c r="D23" s="81">
        <f t="shared" ca="1" si="32"/>
        <v>640000</v>
      </c>
      <c r="E23" s="82">
        <f ca="1">IFERROR(__xludf.DUMMYFUNCTION("IMPORTRANGE(""https://docs.google.com/spreadsheets/d/1MeEWN-I1oV_STSDYn1IFDPWt_1FKiwhDph83XaGc0o0/edit?usp=sharing"",""งบพรบ!AH23"")"),228000)</f>
        <v>228000</v>
      </c>
      <c r="F23" s="82">
        <f ca="1">IFERROR(__xludf.DUMMYFUNCTION("IMPORTRANGE(""https://docs.google.com/spreadsheets/d/1MeEWN-I1oV_STSDYn1IFDPWt_1FKiwhDph83XaGc0o0/edit?usp=sharing"",""งบพรบ!AI23"")"),412000)</f>
        <v>412000</v>
      </c>
      <c r="G23" s="82">
        <f ca="1">IFERROR(__xludf.DUMMYFUNCTION("IMPORTRANGE(""https://docs.google.com/spreadsheets/d/1MeEWN-I1oV_STSDYn1IFDPWt_1FKiwhDph83XaGc0o0/edit?usp=sharing"",""งบพรบ!AJ23"")"),0)</f>
        <v>0</v>
      </c>
      <c r="H23" s="82">
        <f ca="1">IFERROR(__xludf.DUMMYFUNCTION("IMPORTRANGE(""https://docs.google.com/spreadsheets/d/1MeEWN-I1oV_STSDYn1IFDPWt_1FKiwhDph83XaGc0o0/edit?usp=sharing"",""งบพรบ!AL23"")"),371000)</f>
        <v>371000</v>
      </c>
      <c r="I23" s="82">
        <f ca="1">IFERROR(__xludf.DUMMYFUNCTION("IMPORTRANGE(""https://docs.google.com/spreadsheets/d/1MeEWN-I1oV_STSDYn1IFDPWt_1FKiwhDph83XaGc0o0/edit?usp=sharing"",""งบพรบ!AM23"")"),0)</f>
        <v>0</v>
      </c>
      <c r="J23" s="82">
        <f t="shared" ca="1" si="3"/>
        <v>119129</v>
      </c>
      <c r="K23" s="83">
        <f t="shared" ca="1" si="4"/>
        <v>18.613906249999999</v>
      </c>
      <c r="L23" s="82">
        <f ca="1">IFERROR(__xludf.DUMMYFUNCTION("IMPORTRANGE(""https://docs.google.com/spreadsheets/d/1MeEWN-I1oV_STSDYn1IFDPWt_1FKiwhDph83XaGc0o0/edit?usp=sharing"",""งบพรบ!AN23"")"),119129)</f>
        <v>119129</v>
      </c>
      <c r="M23" s="84">
        <f t="shared" ca="1" si="5"/>
        <v>18.613906249999999</v>
      </c>
      <c r="N23" s="84">
        <f t="shared" ca="1" si="6"/>
        <v>32.110242587601078</v>
      </c>
      <c r="O23" s="85">
        <f ca="1">IFERROR(__xludf.DUMMYFUNCTION("IMPORTRANGE(""https://docs.google.com/spreadsheets/d/1MeEWN-I1oV_STSDYn1IFDPWt_1FKiwhDph83XaGc0o0/edit?usp=sharing"",""งบพรบ!AO23"")"),0)</f>
        <v>0</v>
      </c>
      <c r="P23" s="85">
        <f t="shared" ca="1" si="29"/>
        <v>0</v>
      </c>
      <c r="Q23" s="84">
        <f t="shared" ca="1" si="8"/>
        <v>0</v>
      </c>
      <c r="R23" s="86">
        <f t="shared" ca="1" si="30"/>
        <v>1</v>
      </c>
      <c r="S23" s="86">
        <f t="shared" ca="1" si="24"/>
        <v>35</v>
      </c>
      <c r="T23" s="86">
        <f t="shared" ca="1" si="33"/>
        <v>0</v>
      </c>
      <c r="U23" s="87">
        <f t="shared" ca="1" si="25"/>
        <v>0</v>
      </c>
      <c r="V23" s="86">
        <f t="shared" ca="1" si="34"/>
        <v>0</v>
      </c>
      <c r="W23" s="87">
        <f t="shared" ca="1" si="26"/>
        <v>0</v>
      </c>
      <c r="X23" s="82">
        <f ca="1">IFERROR(__xludf.DUMMYFUNCTION("IMPORTRANGE(""https://docs.google.com/spreadsheets/d/1GfgTldLG6k77HXaMQzaafODklYuucJZQNs_GAPEfZyY/edit?usp=sharing"",""เพชรบูรณ์!I78"")"),0)</f>
        <v>0</v>
      </c>
      <c r="Y23" s="82">
        <f ca="1">IFERROR(__xludf.DUMMYFUNCTION("IMPORTRANGE(""https://docs.google.com/spreadsheets/d/1GfgTldLG6k77HXaMQzaafODklYuucJZQNs_GAPEfZyY/edit?usp=sharing"",""เพชรบูรณ์!I79"")"),0)</f>
        <v>0</v>
      </c>
      <c r="Z23" s="86">
        <f ca="1">IFERROR(__xludf.DUMMYFUNCTION("IMPORTRANGE(""https://docs.google.com/spreadsheets/d/1GfgTldLG6k77HXaMQzaafODklYuucJZQNs_GAPEfZyY/edit?usp=sharing"",""เพชรบูรณ์!J78"")"),0)</f>
        <v>0</v>
      </c>
      <c r="AA23" s="86">
        <f ca="1">IFERROR(__xludf.DUMMYFUNCTION("IMPORTRANGE(""https://docs.google.com/spreadsheets/d/1GfgTldLG6k77HXaMQzaafODklYuucJZQNs_GAPEfZyY/edit?usp=sharing"",""เพชรบูรณ์!J79"")"),0)</f>
        <v>0</v>
      </c>
      <c r="AB23" s="82">
        <f ca="1">IFERROR(__xludf.DUMMYFUNCTION("IMPORTRANGE(""https://docs.google.com/spreadsheets/d/1GfgTldLG6k77HXaMQzaafODklYuucJZQNs_GAPEfZyY/edit?usp=sharing"",""เพชรบูรณ์!I80"")"),0)</f>
        <v>0</v>
      </c>
      <c r="AC23" s="82">
        <f ca="1">IFERROR(__xludf.DUMMYFUNCTION("IMPORTRANGE(""https://docs.google.com/spreadsheets/d/1GfgTldLG6k77HXaMQzaafODklYuucJZQNs_GAPEfZyY/edit?usp=sharing"",""เพชรบูรณ์!I81"")"),0)</f>
        <v>0</v>
      </c>
      <c r="AD23" s="86">
        <f ca="1">IFERROR(__xludf.DUMMYFUNCTION("IMPORTRANGE(""https://docs.google.com/spreadsheets/d/1GfgTldLG6k77HXaMQzaafODklYuucJZQNs_GAPEfZyY/edit?usp=sharing"",""เพชรบูรณ์!J80"")"),0)</f>
        <v>0</v>
      </c>
      <c r="AE23" s="86">
        <f ca="1">IFERROR(__xludf.DUMMYFUNCTION("IMPORTRANGE(""https://docs.google.com/spreadsheets/d/1GfgTldLG6k77HXaMQzaafODklYuucJZQNs_GAPEfZyY/edit?usp=sharing"",""เพชรบูรณ์!J81"")"),0)</f>
        <v>0</v>
      </c>
      <c r="AF23" s="82">
        <f ca="1">IFERROR(__xludf.DUMMYFUNCTION("IMPORTRANGE(""https://docs.google.com/spreadsheets/d/1GfgTldLG6k77HXaMQzaafODklYuucJZQNs_GAPEfZyY/edit?usp=sharing"",""เพชรบูรณ์!I82"")"),1)</f>
        <v>1</v>
      </c>
      <c r="AG23" s="82">
        <f ca="1">IFERROR(__xludf.DUMMYFUNCTION("IMPORTRANGE(""https://docs.google.com/spreadsheets/d/1GfgTldLG6k77HXaMQzaafODklYuucJZQNs_GAPEfZyY/edit?usp=sharing"",""เพชรบูรณ์!I83"")"),35)</f>
        <v>35</v>
      </c>
      <c r="AH23" s="86">
        <f ca="1">IFERROR(__xludf.DUMMYFUNCTION("IMPORTRANGE(""https://docs.google.com/spreadsheets/d/1GfgTldLG6k77HXaMQzaafODklYuucJZQNs_GAPEfZyY/edit?usp=sharing"",""เพชรบูรณ์!J82"")"),0)</f>
        <v>0</v>
      </c>
      <c r="AI23" s="86">
        <f ca="1">IFERROR(__xludf.DUMMYFUNCTION("IMPORTRANGE(""https://docs.google.com/spreadsheets/d/1GfgTldLG6k77HXaMQzaafODklYuucJZQNs_GAPEfZyY/edit?usp=sharing"",""เพชรบูรณ์!J83"")"),0)</f>
        <v>0</v>
      </c>
      <c r="AJ23" s="82">
        <f ca="1">IFERROR(__xludf.DUMMYFUNCTION("IMPORTRANGE(""https://docs.google.com/spreadsheets/d/1GfgTldLG6k77HXaMQzaafODklYuucJZQNs_GAPEfZyY/edit?usp=sharing"",""เพชรบูรณ์!I84"")"),1)</f>
        <v>1</v>
      </c>
      <c r="AK23" s="86">
        <f ca="1">IFERROR(__xludf.DUMMYFUNCTION("IMPORTRANGE(""https://docs.google.com/spreadsheets/d/1GfgTldLG6k77HXaMQzaafODklYuucJZQNs_GAPEfZyY/edit?usp=sharing"",""เพชรบูรณ์!J84"")"),0)</f>
        <v>0</v>
      </c>
      <c r="AL23" s="84">
        <f t="shared" ca="1" si="27"/>
        <v>0</v>
      </c>
    </row>
    <row r="24" spans="1:38" ht="24" customHeight="1" x14ac:dyDescent="0.2">
      <c r="A24" s="78">
        <v>11</v>
      </c>
      <c r="B24" s="79" t="s">
        <v>46</v>
      </c>
      <c r="C24" s="80">
        <f t="shared" ca="1" si="0"/>
        <v>0</v>
      </c>
      <c r="D24" s="81">
        <f t="shared" ca="1" si="32"/>
        <v>0</v>
      </c>
      <c r="E24" s="82">
        <f ca="1">IFERROR(__xludf.DUMMYFUNCTION("IMPORTRANGE(""https://docs.google.com/spreadsheets/d/1MeEWN-I1oV_STSDYn1IFDPWt_1FKiwhDph83XaGc0o0/edit?usp=sharing"",""งบพรบ!AH24"")"),0)</f>
        <v>0</v>
      </c>
      <c r="F24" s="82">
        <f ca="1">IFERROR(__xludf.DUMMYFUNCTION("IMPORTRANGE(""https://docs.google.com/spreadsheets/d/1MeEWN-I1oV_STSDYn1IFDPWt_1FKiwhDph83XaGc0o0/edit?usp=sharing"",""งบพรบ!AI24"")"),0)</f>
        <v>0</v>
      </c>
      <c r="G24" s="82">
        <f ca="1">IFERROR(__xludf.DUMMYFUNCTION("IMPORTRANGE(""https://docs.google.com/spreadsheets/d/1MeEWN-I1oV_STSDYn1IFDPWt_1FKiwhDph83XaGc0o0/edit?usp=sharing"",""งบพรบ!AJ24"")"),0)</f>
        <v>0</v>
      </c>
      <c r="H24" s="82">
        <f ca="1">IFERROR(__xludf.DUMMYFUNCTION("IMPORTRANGE(""https://docs.google.com/spreadsheets/d/1MeEWN-I1oV_STSDYn1IFDPWt_1FKiwhDph83XaGc0o0/edit?usp=sharing"",""งบพรบ!AL24"")"),0)</f>
        <v>0</v>
      </c>
      <c r="I24" s="82">
        <f ca="1">IFERROR(__xludf.DUMMYFUNCTION("IMPORTRANGE(""https://docs.google.com/spreadsheets/d/1MeEWN-I1oV_STSDYn1IFDPWt_1FKiwhDph83XaGc0o0/edit?usp=sharing"",""งบพรบ!AM24"")"),0)</f>
        <v>0</v>
      </c>
      <c r="J24" s="82">
        <f t="shared" ca="1" si="3"/>
        <v>0</v>
      </c>
      <c r="K24" s="83">
        <f t="shared" ca="1" si="4"/>
        <v>0</v>
      </c>
      <c r="L24" s="82">
        <f ca="1">IFERROR(__xludf.DUMMYFUNCTION("IMPORTRANGE(""https://docs.google.com/spreadsheets/d/1MeEWN-I1oV_STSDYn1IFDPWt_1FKiwhDph83XaGc0o0/edit?usp=sharing"",""งบพรบ!AN24"")"),0)</f>
        <v>0</v>
      </c>
      <c r="M24" s="84">
        <f t="shared" ca="1" si="5"/>
        <v>0</v>
      </c>
      <c r="N24" s="84">
        <f t="shared" ca="1" si="6"/>
        <v>0</v>
      </c>
      <c r="O24" s="85">
        <f ca="1">IFERROR(__xludf.DUMMYFUNCTION("IMPORTRANGE(""https://docs.google.com/spreadsheets/d/1MeEWN-I1oV_STSDYn1IFDPWt_1FKiwhDph83XaGc0o0/edit?usp=sharing"",""งบพรบ!AO24"")"),0)</f>
        <v>0</v>
      </c>
      <c r="P24" s="85">
        <f t="shared" ca="1" si="29"/>
        <v>0</v>
      </c>
      <c r="Q24" s="84">
        <f t="shared" ca="1" si="8"/>
        <v>0</v>
      </c>
      <c r="R24" s="86">
        <f t="shared" ca="1" si="30"/>
        <v>0</v>
      </c>
      <c r="S24" s="86">
        <f t="shared" ca="1" si="24"/>
        <v>0</v>
      </c>
      <c r="T24" s="86">
        <f t="shared" ca="1" si="33"/>
        <v>0</v>
      </c>
      <c r="U24" s="87">
        <f t="shared" ca="1" si="25"/>
        <v>0</v>
      </c>
      <c r="V24" s="86">
        <f t="shared" ca="1" si="34"/>
        <v>0</v>
      </c>
      <c r="W24" s="87">
        <f t="shared" ca="1" si="26"/>
        <v>0</v>
      </c>
      <c r="X24" s="82">
        <f ca="1">IFERROR(__xludf.DUMMYFUNCTION("IMPORTRANGE(""https://docs.google.com/spreadsheets/d/1gvTMYAnm7v1yG1BKWFtr0DnaTsq59oW9dwWvFgq6hs0/edit?usp=sharing"",""แพร่!I78"")"),0)</f>
        <v>0</v>
      </c>
      <c r="Y24" s="82">
        <f ca="1">IFERROR(__xludf.DUMMYFUNCTION("IMPORTRANGE(""https://docs.google.com/spreadsheets/d/1gvTMYAnm7v1yG1BKWFtr0DnaTsq59oW9dwWvFgq6hs0/edit?usp=sharing"",""แพร่!I79"")"),0)</f>
        <v>0</v>
      </c>
      <c r="Z24" s="86">
        <f ca="1">IFERROR(__xludf.DUMMYFUNCTION("IMPORTRANGE(""https://docs.google.com/spreadsheets/d/1gvTMYAnm7v1yG1BKWFtr0DnaTsq59oW9dwWvFgq6hs0/edit?usp=sharing"",""แพร่!J78"")"),0)</f>
        <v>0</v>
      </c>
      <c r="AA24" s="86">
        <f ca="1">IFERROR(__xludf.DUMMYFUNCTION("IMPORTRANGE(""https://docs.google.com/spreadsheets/d/1gvTMYAnm7v1yG1BKWFtr0DnaTsq59oW9dwWvFgq6hs0/edit?usp=sharing"",""แพร่!J79"")"),0)</f>
        <v>0</v>
      </c>
      <c r="AB24" s="82">
        <f ca="1">IFERROR(__xludf.DUMMYFUNCTION("IMPORTRANGE(""https://docs.google.com/spreadsheets/d/1gvTMYAnm7v1yG1BKWFtr0DnaTsq59oW9dwWvFgq6hs0/edit?usp=sharing"",""แพร่!I80"")"),0)</f>
        <v>0</v>
      </c>
      <c r="AC24" s="82">
        <f ca="1">IFERROR(__xludf.DUMMYFUNCTION("IMPORTRANGE(""https://docs.google.com/spreadsheets/d/1gvTMYAnm7v1yG1BKWFtr0DnaTsq59oW9dwWvFgq6hs0/edit?usp=sharing"",""แพร่!I81"")"),0)</f>
        <v>0</v>
      </c>
      <c r="AD24" s="86">
        <f ca="1">IFERROR(__xludf.DUMMYFUNCTION("IMPORTRANGE(""https://docs.google.com/spreadsheets/d/1gvTMYAnm7v1yG1BKWFtr0DnaTsq59oW9dwWvFgq6hs0/edit?usp=sharing"",""แพร่!J80"")"),0)</f>
        <v>0</v>
      </c>
      <c r="AE24" s="86">
        <f ca="1">IFERROR(__xludf.DUMMYFUNCTION("IMPORTRANGE(""https://docs.google.com/spreadsheets/d/1gvTMYAnm7v1yG1BKWFtr0DnaTsq59oW9dwWvFgq6hs0/edit?usp=sharing"",""แพร่!J81"")"),0)</f>
        <v>0</v>
      </c>
      <c r="AF24" s="82">
        <f ca="1">IFERROR(__xludf.DUMMYFUNCTION("IMPORTRANGE(""https://docs.google.com/spreadsheets/d/1gvTMYAnm7v1yG1BKWFtr0DnaTsq59oW9dwWvFgq6hs0/edit?usp=sharing"",""แพร่!I82"")"),0)</f>
        <v>0</v>
      </c>
      <c r="AG24" s="82">
        <f ca="1">IFERROR(__xludf.DUMMYFUNCTION("IMPORTRANGE(""https://docs.google.com/spreadsheets/d/1gvTMYAnm7v1yG1BKWFtr0DnaTsq59oW9dwWvFgq6hs0/edit?usp=sharing"",""แพร่!I83"")"),0)</f>
        <v>0</v>
      </c>
      <c r="AH24" s="86">
        <f ca="1">IFERROR(__xludf.DUMMYFUNCTION("IMPORTRANGE(""https://docs.google.com/spreadsheets/d/1gvTMYAnm7v1yG1BKWFtr0DnaTsq59oW9dwWvFgq6hs0/edit?usp=sharing"",""แพร่!J82"")"),0)</f>
        <v>0</v>
      </c>
      <c r="AI24" s="86">
        <f ca="1">IFERROR(__xludf.DUMMYFUNCTION("IMPORTRANGE(""https://docs.google.com/spreadsheets/d/1gvTMYAnm7v1yG1BKWFtr0DnaTsq59oW9dwWvFgq6hs0/edit?usp=sharing"",""แพร่!J83"")"),0)</f>
        <v>0</v>
      </c>
      <c r="AJ24" s="82">
        <f ca="1">IFERROR(__xludf.DUMMYFUNCTION("IMPORTRANGE(""https://docs.google.com/spreadsheets/d/1gvTMYAnm7v1yG1BKWFtr0DnaTsq59oW9dwWvFgq6hs0/edit?usp=sharing"",""แพร่!I84"")"),0)</f>
        <v>0</v>
      </c>
      <c r="AK24" s="86">
        <f ca="1">IFERROR(__xludf.DUMMYFUNCTION("IMPORTRANGE(""https://docs.google.com/spreadsheets/d/1gvTMYAnm7v1yG1BKWFtr0DnaTsq59oW9dwWvFgq6hs0/edit?usp=sharing"",""แพร่!J84"")"),0)</f>
        <v>0</v>
      </c>
      <c r="AL24" s="84">
        <f t="shared" ca="1" si="27"/>
        <v>0</v>
      </c>
    </row>
    <row r="25" spans="1:38" ht="24" customHeight="1" x14ac:dyDescent="0.2">
      <c r="A25" s="78">
        <v>12</v>
      </c>
      <c r="B25" s="79" t="s">
        <v>47</v>
      </c>
      <c r="C25" s="80">
        <f t="shared" ca="1" si="0"/>
        <v>0</v>
      </c>
      <c r="D25" s="81">
        <f t="shared" ca="1" si="32"/>
        <v>0</v>
      </c>
      <c r="E25" s="82">
        <f ca="1">IFERROR(__xludf.DUMMYFUNCTION("IMPORTRANGE(""https://docs.google.com/spreadsheets/d/1MeEWN-I1oV_STSDYn1IFDPWt_1FKiwhDph83XaGc0o0/edit?usp=sharing"",""งบพรบ!AH25"")"),0)</f>
        <v>0</v>
      </c>
      <c r="F25" s="82">
        <f ca="1">IFERROR(__xludf.DUMMYFUNCTION("IMPORTRANGE(""https://docs.google.com/spreadsheets/d/1MeEWN-I1oV_STSDYn1IFDPWt_1FKiwhDph83XaGc0o0/edit?usp=sharing"",""งบพรบ!AI25"")"),0)</f>
        <v>0</v>
      </c>
      <c r="G25" s="82">
        <f ca="1">IFERROR(__xludf.DUMMYFUNCTION("IMPORTRANGE(""https://docs.google.com/spreadsheets/d/1MeEWN-I1oV_STSDYn1IFDPWt_1FKiwhDph83XaGc0o0/edit?usp=sharing"",""งบพรบ!AJ25"")"),0)</f>
        <v>0</v>
      </c>
      <c r="H25" s="82">
        <f ca="1">IFERROR(__xludf.DUMMYFUNCTION("IMPORTRANGE(""https://docs.google.com/spreadsheets/d/1MeEWN-I1oV_STSDYn1IFDPWt_1FKiwhDph83XaGc0o0/edit?usp=sharing"",""งบพรบ!AL25"")"),0)</f>
        <v>0</v>
      </c>
      <c r="I25" s="82">
        <f ca="1">IFERROR(__xludf.DUMMYFUNCTION("IMPORTRANGE(""https://docs.google.com/spreadsheets/d/1MeEWN-I1oV_STSDYn1IFDPWt_1FKiwhDph83XaGc0o0/edit?usp=sharing"",""งบพรบ!AM25"")"),0)</f>
        <v>0</v>
      </c>
      <c r="J25" s="82">
        <f t="shared" ca="1" si="3"/>
        <v>0</v>
      </c>
      <c r="K25" s="83">
        <f t="shared" ca="1" si="4"/>
        <v>0</v>
      </c>
      <c r="L25" s="82">
        <f ca="1">IFERROR(__xludf.DUMMYFUNCTION("IMPORTRANGE(""https://docs.google.com/spreadsheets/d/1MeEWN-I1oV_STSDYn1IFDPWt_1FKiwhDph83XaGc0o0/edit?usp=sharing"",""งบพรบ!AN25"")"),0)</f>
        <v>0</v>
      </c>
      <c r="M25" s="84">
        <f t="shared" ca="1" si="5"/>
        <v>0</v>
      </c>
      <c r="N25" s="84">
        <f t="shared" ca="1" si="6"/>
        <v>0</v>
      </c>
      <c r="O25" s="85">
        <f ca="1">IFERROR(__xludf.DUMMYFUNCTION("IMPORTRANGE(""https://docs.google.com/spreadsheets/d/1MeEWN-I1oV_STSDYn1IFDPWt_1FKiwhDph83XaGc0o0/edit?usp=sharing"",""งบพรบ!AO25"")"),0)</f>
        <v>0</v>
      </c>
      <c r="P25" s="85">
        <f t="shared" ca="1" si="29"/>
        <v>0</v>
      </c>
      <c r="Q25" s="84">
        <f t="shared" ca="1" si="8"/>
        <v>0</v>
      </c>
      <c r="R25" s="86">
        <f t="shared" ca="1" si="30"/>
        <v>0</v>
      </c>
      <c r="S25" s="86">
        <f t="shared" ca="1" si="24"/>
        <v>0</v>
      </c>
      <c r="T25" s="86">
        <f t="shared" ca="1" si="33"/>
        <v>0</v>
      </c>
      <c r="U25" s="87">
        <f t="shared" ca="1" si="25"/>
        <v>0</v>
      </c>
      <c r="V25" s="86">
        <f t="shared" ca="1" si="34"/>
        <v>0</v>
      </c>
      <c r="W25" s="87">
        <f t="shared" ca="1" si="26"/>
        <v>0</v>
      </c>
      <c r="X25" s="82">
        <f ca="1">IFERROR(__xludf.DUMMYFUNCTION("IMPORTRANGE(""https://docs.google.com/spreadsheets/d/1Wbcosgy-Xa1xXUArJSOenub6EfZHUSzc_bpJFWwQUf0/edit?usp=sharing"",""แม่ฮ่องสอน!I78"")"),0)</f>
        <v>0</v>
      </c>
      <c r="Y25" s="82">
        <f ca="1">IFERROR(__xludf.DUMMYFUNCTION("IMPORTRANGE(""https://docs.google.com/spreadsheets/d/1Wbcosgy-Xa1xXUArJSOenub6EfZHUSzc_bpJFWwQUf0/edit?usp=sharing"",""แม่ฮ่องสอน!I79"")"),0)</f>
        <v>0</v>
      </c>
      <c r="Z25" s="86">
        <f ca="1">IFERROR(__xludf.DUMMYFUNCTION("IMPORTRANGE(""https://docs.google.com/spreadsheets/d/1Wbcosgy-Xa1xXUArJSOenub6EfZHUSzc_bpJFWwQUf0/edit?usp=sharing"",""แม่ฮ่องสอน!J78"")"),0)</f>
        <v>0</v>
      </c>
      <c r="AA25" s="86">
        <f ca="1">IFERROR(__xludf.DUMMYFUNCTION("IMPORTRANGE(""https://docs.google.com/spreadsheets/d/1Wbcosgy-Xa1xXUArJSOenub6EfZHUSzc_bpJFWwQUf0/edit?usp=sharing"",""แม่ฮ่องสอน!J79"")"),0)</f>
        <v>0</v>
      </c>
      <c r="AB25" s="82">
        <f ca="1">IFERROR(__xludf.DUMMYFUNCTION("IMPORTRANGE(""https://docs.google.com/spreadsheets/d/1Wbcosgy-Xa1xXUArJSOenub6EfZHUSzc_bpJFWwQUf0/edit?usp=sharing"",""แม่ฮ่องสอน!I80"")"),0)</f>
        <v>0</v>
      </c>
      <c r="AC25" s="82">
        <f ca="1">IFERROR(__xludf.DUMMYFUNCTION("IMPORTRANGE(""https://docs.google.com/spreadsheets/d/1Wbcosgy-Xa1xXUArJSOenub6EfZHUSzc_bpJFWwQUf0/edit?usp=sharing"",""แม่ฮ่องสอน!I81"")"),0)</f>
        <v>0</v>
      </c>
      <c r="AD25" s="86">
        <f ca="1">IFERROR(__xludf.DUMMYFUNCTION("IMPORTRANGE(""https://docs.google.com/spreadsheets/d/1Wbcosgy-Xa1xXUArJSOenub6EfZHUSzc_bpJFWwQUf0/edit?usp=sharing"",""แม่ฮ่องสอน!J80"")"),0)</f>
        <v>0</v>
      </c>
      <c r="AE25" s="86">
        <f ca="1">IFERROR(__xludf.DUMMYFUNCTION("IMPORTRANGE(""https://docs.google.com/spreadsheets/d/1Wbcosgy-Xa1xXUArJSOenub6EfZHUSzc_bpJFWwQUf0/edit?usp=sharing"",""แม่ฮ่องสอน!J81"")"),0)</f>
        <v>0</v>
      </c>
      <c r="AF25" s="82">
        <f ca="1">IFERROR(__xludf.DUMMYFUNCTION("IMPORTRANGE(""https://docs.google.com/spreadsheets/d/1Wbcosgy-Xa1xXUArJSOenub6EfZHUSzc_bpJFWwQUf0/edit?usp=sharing"",""แม่ฮ่องสอน!I82"")"),0)</f>
        <v>0</v>
      </c>
      <c r="AG25" s="82">
        <f ca="1">IFERROR(__xludf.DUMMYFUNCTION("IMPORTRANGE(""https://docs.google.com/spreadsheets/d/1Wbcosgy-Xa1xXUArJSOenub6EfZHUSzc_bpJFWwQUf0/edit?usp=sharing"",""แม่ฮ่องสอน!I83"")"),0)</f>
        <v>0</v>
      </c>
      <c r="AH25" s="86">
        <f ca="1">IFERROR(__xludf.DUMMYFUNCTION("IMPORTRANGE(""https://docs.google.com/spreadsheets/d/1Wbcosgy-Xa1xXUArJSOenub6EfZHUSzc_bpJFWwQUf0/edit?usp=sharing"",""แม่ฮ่องสอน!J82"")"),0)</f>
        <v>0</v>
      </c>
      <c r="AI25" s="86">
        <f ca="1">IFERROR(__xludf.DUMMYFUNCTION("IMPORTRANGE(""https://docs.google.com/spreadsheets/d/1Wbcosgy-Xa1xXUArJSOenub6EfZHUSzc_bpJFWwQUf0/edit?usp=sharing"",""แม่ฮ่องสอน!J83"")"),0)</f>
        <v>0</v>
      </c>
      <c r="AJ25" s="82">
        <f ca="1">IFERROR(__xludf.DUMMYFUNCTION("IMPORTRANGE(""https://docs.google.com/spreadsheets/d/1Wbcosgy-Xa1xXUArJSOenub6EfZHUSzc_bpJFWwQUf0/edit?usp=sharing"",""แม่ฮ่องสอน!I84"")"),0)</f>
        <v>0</v>
      </c>
      <c r="AK25" s="86">
        <f ca="1">IFERROR(__xludf.DUMMYFUNCTION("IMPORTRANGE(""https://docs.google.com/spreadsheets/d/1Wbcosgy-Xa1xXUArJSOenub6EfZHUSzc_bpJFWwQUf0/edit?usp=sharing"",""แม่ฮ่องสอน!J84"")"),0)</f>
        <v>0</v>
      </c>
      <c r="AL25" s="84">
        <f t="shared" ca="1" si="27"/>
        <v>0</v>
      </c>
    </row>
    <row r="26" spans="1:38" ht="24" customHeight="1" x14ac:dyDescent="0.2">
      <c r="A26" s="78">
        <v>13</v>
      </c>
      <c r="B26" s="79" t="s">
        <v>48</v>
      </c>
      <c r="C26" s="80">
        <f t="shared" ca="1" si="0"/>
        <v>0</v>
      </c>
      <c r="D26" s="81">
        <f t="shared" ca="1" si="32"/>
        <v>0</v>
      </c>
      <c r="E26" s="82">
        <f ca="1">IFERROR(__xludf.DUMMYFUNCTION("IMPORTRANGE(""https://docs.google.com/spreadsheets/d/1MeEWN-I1oV_STSDYn1IFDPWt_1FKiwhDph83XaGc0o0/edit?usp=sharing"",""งบพรบ!AH26"")"),0)</f>
        <v>0</v>
      </c>
      <c r="F26" s="82">
        <f ca="1">IFERROR(__xludf.DUMMYFUNCTION("IMPORTRANGE(""https://docs.google.com/spreadsheets/d/1MeEWN-I1oV_STSDYn1IFDPWt_1FKiwhDph83XaGc0o0/edit?usp=sharing"",""งบพรบ!AI26"")"),0)</f>
        <v>0</v>
      </c>
      <c r="G26" s="82">
        <f ca="1">IFERROR(__xludf.DUMMYFUNCTION("IMPORTRANGE(""https://docs.google.com/spreadsheets/d/1MeEWN-I1oV_STSDYn1IFDPWt_1FKiwhDph83XaGc0o0/edit?usp=sharing"",""งบพรบ!AJ26"")"),0)</f>
        <v>0</v>
      </c>
      <c r="H26" s="82">
        <f ca="1">IFERROR(__xludf.DUMMYFUNCTION("IMPORTRANGE(""https://docs.google.com/spreadsheets/d/1MeEWN-I1oV_STSDYn1IFDPWt_1FKiwhDph83XaGc0o0/edit?usp=sharing"",""งบพรบ!AL26"")"),0)</f>
        <v>0</v>
      </c>
      <c r="I26" s="82">
        <f ca="1">IFERROR(__xludf.DUMMYFUNCTION("IMPORTRANGE(""https://docs.google.com/spreadsheets/d/1MeEWN-I1oV_STSDYn1IFDPWt_1FKiwhDph83XaGc0o0/edit?usp=sharing"",""งบพรบ!AM26"")"),0)</f>
        <v>0</v>
      </c>
      <c r="J26" s="82">
        <f t="shared" ca="1" si="3"/>
        <v>0</v>
      </c>
      <c r="K26" s="83">
        <f t="shared" ca="1" si="4"/>
        <v>0</v>
      </c>
      <c r="L26" s="82">
        <f ca="1">IFERROR(__xludf.DUMMYFUNCTION("IMPORTRANGE(""https://docs.google.com/spreadsheets/d/1MeEWN-I1oV_STSDYn1IFDPWt_1FKiwhDph83XaGc0o0/edit?usp=sharing"",""งบพรบ!AN26"")"),0)</f>
        <v>0</v>
      </c>
      <c r="M26" s="84">
        <f t="shared" ca="1" si="5"/>
        <v>0</v>
      </c>
      <c r="N26" s="84">
        <f t="shared" ca="1" si="6"/>
        <v>0</v>
      </c>
      <c r="O26" s="85">
        <f ca="1">IFERROR(__xludf.DUMMYFUNCTION("IMPORTRANGE(""https://docs.google.com/spreadsheets/d/1MeEWN-I1oV_STSDYn1IFDPWt_1FKiwhDph83XaGc0o0/edit?usp=sharing"",""งบพรบ!AO26"")"),0)</f>
        <v>0</v>
      </c>
      <c r="P26" s="85">
        <f t="shared" ca="1" si="29"/>
        <v>0</v>
      </c>
      <c r="Q26" s="84">
        <f t="shared" ca="1" si="8"/>
        <v>0</v>
      </c>
      <c r="R26" s="86">
        <f t="shared" ca="1" si="30"/>
        <v>0</v>
      </c>
      <c r="S26" s="86">
        <f t="shared" ca="1" si="24"/>
        <v>0</v>
      </c>
      <c r="T26" s="86">
        <f t="shared" ca="1" si="33"/>
        <v>0</v>
      </c>
      <c r="U26" s="87">
        <f t="shared" ca="1" si="25"/>
        <v>0</v>
      </c>
      <c r="V26" s="86">
        <f t="shared" ca="1" si="34"/>
        <v>0</v>
      </c>
      <c r="W26" s="87">
        <f t="shared" ca="1" si="26"/>
        <v>0</v>
      </c>
      <c r="X26" s="82">
        <f ca="1">IFERROR(__xludf.DUMMYFUNCTION("IMPORTRANGE(""https://docs.google.com/spreadsheets/d/1p7ERhsr0qZeSn-KSOdeHS9r0heI-lHtkcn2OH7hP0jQ/edit?usp=sharing"",""ลำปาง!I78"")"),0)</f>
        <v>0</v>
      </c>
      <c r="Y26" s="82">
        <f ca="1">IFERROR(__xludf.DUMMYFUNCTION("IMPORTRANGE(""https://docs.google.com/spreadsheets/d/1p7ERhsr0qZeSn-KSOdeHS9r0heI-lHtkcn2OH7hP0jQ/edit?usp=sharing"",""ลำปาง!I79"")"),0)</f>
        <v>0</v>
      </c>
      <c r="Z26" s="86">
        <f ca="1">IFERROR(__xludf.DUMMYFUNCTION("IMPORTRANGE(""https://docs.google.com/spreadsheets/d/1p7ERhsr0qZeSn-KSOdeHS9r0heI-lHtkcn2OH7hP0jQ/edit?usp=sharing"",""ลำปาง!J78"")"),0)</f>
        <v>0</v>
      </c>
      <c r="AA26" s="86">
        <f ca="1">IFERROR(__xludf.DUMMYFUNCTION("IMPORTRANGE(""https://docs.google.com/spreadsheets/d/1p7ERhsr0qZeSn-KSOdeHS9r0heI-lHtkcn2OH7hP0jQ/edit?usp=sharing"",""ลำปาง!J79"")"),0)</f>
        <v>0</v>
      </c>
      <c r="AB26" s="82">
        <f ca="1">IFERROR(__xludf.DUMMYFUNCTION("IMPORTRANGE(""https://docs.google.com/spreadsheets/d/1p7ERhsr0qZeSn-KSOdeHS9r0heI-lHtkcn2OH7hP0jQ/edit?usp=sharing"",""ลำปาง!I80"")"),0)</f>
        <v>0</v>
      </c>
      <c r="AC26" s="82">
        <f ca="1">IFERROR(__xludf.DUMMYFUNCTION("IMPORTRANGE(""https://docs.google.com/spreadsheets/d/1p7ERhsr0qZeSn-KSOdeHS9r0heI-lHtkcn2OH7hP0jQ/edit?usp=sharing"",""ลำปาง!I81"")"),0)</f>
        <v>0</v>
      </c>
      <c r="AD26" s="86">
        <f ca="1">IFERROR(__xludf.DUMMYFUNCTION("IMPORTRANGE(""https://docs.google.com/spreadsheets/d/1p7ERhsr0qZeSn-KSOdeHS9r0heI-lHtkcn2OH7hP0jQ/edit?usp=sharing"",""ลำปาง!J80"")"),0)</f>
        <v>0</v>
      </c>
      <c r="AE26" s="86">
        <f ca="1">IFERROR(__xludf.DUMMYFUNCTION("IMPORTRANGE(""https://docs.google.com/spreadsheets/d/1p7ERhsr0qZeSn-KSOdeHS9r0heI-lHtkcn2OH7hP0jQ/edit?usp=sharing"",""ลำปาง!J81"")"),0)</f>
        <v>0</v>
      </c>
      <c r="AF26" s="82">
        <f ca="1">IFERROR(__xludf.DUMMYFUNCTION("IMPORTRANGE(""https://docs.google.com/spreadsheets/d/1p7ERhsr0qZeSn-KSOdeHS9r0heI-lHtkcn2OH7hP0jQ/edit?usp=sharing"",""ลำปาง!I82"")"),0)</f>
        <v>0</v>
      </c>
      <c r="AG26" s="82">
        <f ca="1">IFERROR(__xludf.DUMMYFUNCTION("IMPORTRANGE(""https://docs.google.com/spreadsheets/d/1p7ERhsr0qZeSn-KSOdeHS9r0heI-lHtkcn2OH7hP0jQ/edit?usp=sharing"",""ลำปาง!I83"")"),0)</f>
        <v>0</v>
      </c>
      <c r="AH26" s="86">
        <f ca="1">IFERROR(__xludf.DUMMYFUNCTION("IMPORTRANGE(""https://docs.google.com/spreadsheets/d/1p7ERhsr0qZeSn-KSOdeHS9r0heI-lHtkcn2OH7hP0jQ/edit?usp=sharing"",""ลำปาง!J82"")"),0)</f>
        <v>0</v>
      </c>
      <c r="AI26" s="86">
        <f ca="1">IFERROR(__xludf.DUMMYFUNCTION("IMPORTRANGE(""https://docs.google.com/spreadsheets/d/1p7ERhsr0qZeSn-KSOdeHS9r0heI-lHtkcn2OH7hP0jQ/edit?usp=sharing"",""ลำปาง!J83"")"),0)</f>
        <v>0</v>
      </c>
      <c r="AJ26" s="82">
        <f ca="1">IFERROR(__xludf.DUMMYFUNCTION("IMPORTRANGE(""https://docs.google.com/spreadsheets/d/1p7ERhsr0qZeSn-KSOdeHS9r0heI-lHtkcn2OH7hP0jQ/edit?usp=sharing"",""ลำปาง!I84"")"),0)</f>
        <v>0</v>
      </c>
      <c r="AK26" s="86">
        <f ca="1">IFERROR(__xludf.DUMMYFUNCTION("IMPORTRANGE(""https://docs.google.com/spreadsheets/d/1p7ERhsr0qZeSn-KSOdeHS9r0heI-lHtkcn2OH7hP0jQ/edit?usp=sharing"",""ลำปาง!J84"")"),0)</f>
        <v>0</v>
      </c>
      <c r="AL26" s="84">
        <f t="shared" ca="1" si="27"/>
        <v>0</v>
      </c>
    </row>
    <row r="27" spans="1:38" ht="24" customHeight="1" x14ac:dyDescent="0.2">
      <c r="A27" s="78">
        <v>14</v>
      </c>
      <c r="B27" s="79" t="s">
        <v>49</v>
      </c>
      <c r="C27" s="80">
        <f t="shared" ca="1" si="0"/>
        <v>919600</v>
      </c>
      <c r="D27" s="81">
        <f t="shared" ca="1" si="32"/>
        <v>919600</v>
      </c>
      <c r="E27" s="82">
        <f ca="1">IFERROR(__xludf.DUMMYFUNCTION("IMPORTRANGE(""https://docs.google.com/spreadsheets/d/1MeEWN-I1oV_STSDYn1IFDPWt_1FKiwhDph83XaGc0o0/edit?usp=sharing"",""งบพรบ!AH27"")"),507600)</f>
        <v>507600</v>
      </c>
      <c r="F27" s="82">
        <f ca="1">IFERROR(__xludf.DUMMYFUNCTION("IMPORTRANGE(""https://docs.google.com/spreadsheets/d/1MeEWN-I1oV_STSDYn1IFDPWt_1FKiwhDph83XaGc0o0/edit?usp=sharing"",""งบพรบ!AI27"")"),412000)</f>
        <v>412000</v>
      </c>
      <c r="G27" s="82">
        <f ca="1">IFERROR(__xludf.DUMMYFUNCTION("IMPORTRANGE(""https://docs.google.com/spreadsheets/d/1MeEWN-I1oV_STSDYn1IFDPWt_1FKiwhDph83XaGc0o0/edit?usp=sharing"",""งบพรบ!AJ27"")"),0)</f>
        <v>0</v>
      </c>
      <c r="H27" s="82">
        <f ca="1">IFERROR(__xludf.DUMMYFUNCTION("IMPORTRANGE(""https://docs.google.com/spreadsheets/d/1MeEWN-I1oV_STSDYn1IFDPWt_1FKiwhDph83XaGc0o0/edit?usp=sharing"",""งบพรบ!AL27"")"),580700)</f>
        <v>580700</v>
      </c>
      <c r="I27" s="82">
        <f ca="1">IFERROR(__xludf.DUMMYFUNCTION("IMPORTRANGE(""https://docs.google.com/spreadsheets/d/1MeEWN-I1oV_STSDYn1IFDPWt_1FKiwhDph83XaGc0o0/edit?usp=sharing"",""งบพรบ!AM27"")"),0)</f>
        <v>0</v>
      </c>
      <c r="J27" s="82">
        <f t="shared" ca="1" si="3"/>
        <v>335995.43</v>
      </c>
      <c r="K27" s="83">
        <f t="shared" ca="1" si="4"/>
        <v>36.53712809917355</v>
      </c>
      <c r="L27" s="82">
        <f ca="1">IFERROR(__xludf.DUMMYFUNCTION("IMPORTRANGE(""https://docs.google.com/spreadsheets/d/1MeEWN-I1oV_STSDYn1IFDPWt_1FKiwhDph83XaGc0o0/edit?usp=sharing"",""งบพรบ!AN27"")"),335995.43)</f>
        <v>335995.43</v>
      </c>
      <c r="M27" s="84">
        <f t="shared" ca="1" si="5"/>
        <v>36.53712809917355</v>
      </c>
      <c r="N27" s="84">
        <f t="shared" ca="1" si="6"/>
        <v>57.860415016359568</v>
      </c>
      <c r="O27" s="85">
        <f ca="1">IFERROR(__xludf.DUMMYFUNCTION("IMPORTRANGE(""https://docs.google.com/spreadsheets/d/1MeEWN-I1oV_STSDYn1IFDPWt_1FKiwhDph83XaGc0o0/edit?usp=sharing"",""งบพรบ!AO27"")"),0)</f>
        <v>0</v>
      </c>
      <c r="P27" s="85">
        <f t="shared" ca="1" si="29"/>
        <v>0</v>
      </c>
      <c r="Q27" s="84">
        <f t="shared" ca="1" si="8"/>
        <v>0</v>
      </c>
      <c r="R27" s="86">
        <f t="shared" ca="1" si="30"/>
        <v>1</v>
      </c>
      <c r="S27" s="86">
        <f t="shared" ca="1" si="24"/>
        <v>35</v>
      </c>
      <c r="T27" s="86">
        <f t="shared" ca="1" si="33"/>
        <v>1</v>
      </c>
      <c r="U27" s="87">
        <f t="shared" ca="1" si="25"/>
        <v>100</v>
      </c>
      <c r="V27" s="86">
        <f t="shared" ca="1" si="34"/>
        <v>35</v>
      </c>
      <c r="W27" s="87">
        <f t="shared" ca="1" si="26"/>
        <v>100</v>
      </c>
      <c r="X27" s="82">
        <f ca="1">IFERROR(__xludf.DUMMYFUNCTION("IMPORTRANGE(""https://docs.google.com/spreadsheets/d/1-uUXvimVhiU2U0bMN-xi2te0tS4X7DI2GLPnMjzl8cA/edit?usp=sharing"",""ลำพูน!I78"")"),0)</f>
        <v>0</v>
      </c>
      <c r="Y27" s="82">
        <f ca="1">IFERROR(__xludf.DUMMYFUNCTION("IMPORTRANGE(""https://docs.google.com/spreadsheets/d/1-uUXvimVhiU2U0bMN-xi2te0tS4X7DI2GLPnMjzl8cA/edit?usp=sharing"",""ลำพูน!I79"")"),0)</f>
        <v>0</v>
      </c>
      <c r="Z27" s="86">
        <f ca="1">IFERROR(__xludf.DUMMYFUNCTION("IMPORTRANGE(""https://docs.google.com/spreadsheets/d/1-uUXvimVhiU2U0bMN-xi2te0tS4X7DI2GLPnMjzl8cA/edit?usp=sharing"",""ลำพูน!J78"")"),0)</f>
        <v>0</v>
      </c>
      <c r="AA27" s="86">
        <f ca="1">IFERROR(__xludf.DUMMYFUNCTION("IMPORTRANGE(""https://docs.google.com/spreadsheets/d/1-uUXvimVhiU2U0bMN-xi2te0tS4X7DI2GLPnMjzl8cA/edit?usp=sharing"",""ลำพูน!J79"")"),0)</f>
        <v>0</v>
      </c>
      <c r="AB27" s="82">
        <f ca="1">IFERROR(__xludf.DUMMYFUNCTION("IMPORTRANGE(""https://docs.google.com/spreadsheets/d/1-uUXvimVhiU2U0bMN-xi2te0tS4X7DI2GLPnMjzl8cA/edit?usp=sharing"",""ลำพูน!I80"")"),1)</f>
        <v>1</v>
      </c>
      <c r="AC27" s="82">
        <f ca="1">IFERROR(__xludf.DUMMYFUNCTION("IMPORTRANGE(""https://docs.google.com/spreadsheets/d/1-uUXvimVhiU2U0bMN-xi2te0tS4X7DI2GLPnMjzl8cA/edit?usp=sharing"",""ลำพูน!I81"")"),35)</f>
        <v>35</v>
      </c>
      <c r="AD27" s="86">
        <f ca="1">IFERROR(__xludf.DUMMYFUNCTION("IMPORTRANGE(""https://docs.google.com/spreadsheets/d/1-uUXvimVhiU2U0bMN-xi2te0tS4X7DI2GLPnMjzl8cA/edit?usp=sharing"",""ลำพูน!J80"")"),1)</f>
        <v>1</v>
      </c>
      <c r="AE27" s="86">
        <f ca="1">IFERROR(__xludf.DUMMYFUNCTION("IMPORTRANGE(""https://docs.google.com/spreadsheets/d/1-uUXvimVhiU2U0bMN-xi2te0tS4X7DI2GLPnMjzl8cA/edit?usp=sharing"",""ลำพูน!J81"")"),35)</f>
        <v>35</v>
      </c>
      <c r="AF27" s="82">
        <f ca="1">IFERROR(__xludf.DUMMYFUNCTION("IMPORTRANGE(""https://docs.google.com/spreadsheets/d/1-uUXvimVhiU2U0bMN-xi2te0tS4X7DI2GLPnMjzl8cA/edit?usp=sharing"",""ลำพูน!I82"")"),0)</f>
        <v>0</v>
      </c>
      <c r="AG27" s="82">
        <f ca="1">IFERROR(__xludf.DUMMYFUNCTION("IMPORTRANGE(""https://docs.google.com/spreadsheets/d/1-uUXvimVhiU2U0bMN-xi2te0tS4X7DI2GLPnMjzl8cA/edit?usp=sharing"",""ลำพูน!I83"")"),0)</f>
        <v>0</v>
      </c>
      <c r="AH27" s="86">
        <f ca="1">IFERROR(__xludf.DUMMYFUNCTION("IMPORTRANGE(""https://docs.google.com/spreadsheets/d/1-uUXvimVhiU2U0bMN-xi2te0tS4X7DI2GLPnMjzl8cA/edit?usp=sharing"",""ลำพูน!J82"")"),0)</f>
        <v>0</v>
      </c>
      <c r="AI27" s="86">
        <f ca="1">IFERROR(__xludf.DUMMYFUNCTION("IMPORTRANGE(""https://docs.google.com/spreadsheets/d/1-uUXvimVhiU2U0bMN-xi2te0tS4X7DI2GLPnMjzl8cA/edit?usp=sharing"",""ลำพูน!J83"")"),0)</f>
        <v>0</v>
      </c>
      <c r="AJ27" s="82">
        <f ca="1">IFERROR(__xludf.DUMMYFUNCTION("IMPORTRANGE(""https://docs.google.com/spreadsheets/d/1-uUXvimVhiU2U0bMN-xi2te0tS4X7DI2GLPnMjzl8cA/edit?usp=sharing"",""ลำพูน!I84"")"),1)</f>
        <v>1</v>
      </c>
      <c r="AK27" s="86">
        <f ca="1">IFERROR(__xludf.DUMMYFUNCTION("IMPORTRANGE(""https://docs.google.com/spreadsheets/d/1-uUXvimVhiU2U0bMN-xi2te0tS4X7DI2GLPnMjzl8cA/edit?usp=sharing"",""ลำพูน!J84"")"),0)</f>
        <v>0</v>
      </c>
      <c r="AL27" s="84">
        <f t="shared" ca="1" si="27"/>
        <v>0</v>
      </c>
    </row>
    <row r="28" spans="1:38" ht="24" customHeight="1" x14ac:dyDescent="0.2">
      <c r="A28" s="78">
        <v>15</v>
      </c>
      <c r="B28" s="79" t="s">
        <v>50</v>
      </c>
      <c r="C28" s="80">
        <f t="shared" ca="1" si="0"/>
        <v>1493400</v>
      </c>
      <c r="D28" s="81">
        <f t="shared" ca="1" si="32"/>
        <v>1493400</v>
      </c>
      <c r="E28" s="82">
        <f ca="1">IFERROR(__xludf.DUMMYFUNCTION("IMPORTRANGE(""https://docs.google.com/spreadsheets/d/1MeEWN-I1oV_STSDYn1IFDPWt_1FKiwhDph83XaGc0o0/edit?usp=sharing"",""งบพรบ!AH28"")"),619400)</f>
        <v>619400</v>
      </c>
      <c r="F28" s="82">
        <f ca="1">IFERROR(__xludf.DUMMYFUNCTION("IMPORTRANGE(""https://docs.google.com/spreadsheets/d/1MeEWN-I1oV_STSDYn1IFDPWt_1FKiwhDph83XaGc0o0/edit?usp=sharing"",""งบพรบ!AI28"")"),874000)</f>
        <v>874000</v>
      </c>
      <c r="G28" s="82">
        <f ca="1">IFERROR(__xludf.DUMMYFUNCTION("IMPORTRANGE(""https://docs.google.com/spreadsheets/d/1MeEWN-I1oV_STSDYn1IFDPWt_1FKiwhDph83XaGc0o0/edit?usp=sharing"",""งบพรบ!AJ28"")"),0)</f>
        <v>0</v>
      </c>
      <c r="H28" s="82">
        <f ca="1">IFERROR(__xludf.DUMMYFUNCTION("IMPORTRANGE(""https://docs.google.com/spreadsheets/d/1MeEWN-I1oV_STSDYn1IFDPWt_1FKiwhDph83XaGc0o0/edit?usp=sharing"",""งบพรบ!AL28"")"),882550)</f>
        <v>882550</v>
      </c>
      <c r="I28" s="82">
        <f ca="1">IFERROR(__xludf.DUMMYFUNCTION("IMPORTRANGE(""https://docs.google.com/spreadsheets/d/1MeEWN-I1oV_STSDYn1IFDPWt_1FKiwhDph83XaGc0o0/edit?usp=sharing"",""งบพรบ!AM28"")"),0)</f>
        <v>0</v>
      </c>
      <c r="J28" s="82">
        <f t="shared" ca="1" si="3"/>
        <v>381407.27</v>
      </c>
      <c r="K28" s="83">
        <f t="shared" ca="1" si="4"/>
        <v>25.539525244408733</v>
      </c>
      <c r="L28" s="82">
        <f ca="1">IFERROR(__xludf.DUMMYFUNCTION("IMPORTRANGE(""https://docs.google.com/spreadsheets/d/1MeEWN-I1oV_STSDYn1IFDPWt_1FKiwhDph83XaGc0o0/edit?usp=sharing"",""งบพรบ!AN28"")"),381407.27)</f>
        <v>381407.27</v>
      </c>
      <c r="M28" s="84">
        <f t="shared" ca="1" si="5"/>
        <v>25.539525244408733</v>
      </c>
      <c r="N28" s="84">
        <f t="shared" ca="1" si="6"/>
        <v>43.216505580420375</v>
      </c>
      <c r="O28" s="85">
        <f ca="1">IFERROR(__xludf.DUMMYFUNCTION("IMPORTRANGE(""https://docs.google.com/spreadsheets/d/1MeEWN-I1oV_STSDYn1IFDPWt_1FKiwhDph83XaGc0o0/edit?usp=sharing"",""งบพรบ!AO28"")"),0)</f>
        <v>0</v>
      </c>
      <c r="P28" s="85">
        <f t="shared" ca="1" si="29"/>
        <v>0</v>
      </c>
      <c r="Q28" s="84">
        <f t="shared" ca="1" si="8"/>
        <v>0</v>
      </c>
      <c r="R28" s="86">
        <f t="shared" ca="1" si="30"/>
        <v>2</v>
      </c>
      <c r="S28" s="86">
        <f t="shared" ca="1" si="24"/>
        <v>105</v>
      </c>
      <c r="T28" s="86">
        <f t="shared" ca="1" si="33"/>
        <v>2</v>
      </c>
      <c r="U28" s="87">
        <f t="shared" ca="1" si="25"/>
        <v>100</v>
      </c>
      <c r="V28" s="86">
        <f t="shared" ca="1" si="34"/>
        <v>105</v>
      </c>
      <c r="W28" s="87">
        <f t="shared" ca="1" si="26"/>
        <v>100</v>
      </c>
      <c r="X28" s="82">
        <f ca="1">IFERROR(__xludf.DUMMYFUNCTION("IMPORTRANGE(""https://docs.google.com/spreadsheets/d/17HrOaa5pBUI1onckFfumXB8xlg35qb2uBAFfF1D-Myo/edit?usp=sharing"",""สุโขทัย!I78"")"),1)</f>
        <v>1</v>
      </c>
      <c r="Y28" s="82">
        <f ca="1">IFERROR(__xludf.DUMMYFUNCTION("IMPORTRANGE(""https://docs.google.com/spreadsheets/d/17HrOaa5pBUI1onckFfumXB8xlg35qb2uBAFfF1D-Myo/edit?usp=sharing"",""สุโขทัย!I79"")"),30)</f>
        <v>30</v>
      </c>
      <c r="Z28" s="86">
        <f ca="1">IFERROR(__xludf.DUMMYFUNCTION("IMPORTRANGE(""https://docs.google.com/spreadsheets/d/17HrOaa5pBUI1onckFfumXB8xlg35qb2uBAFfF1D-Myo/edit?usp=sharing"",""สุโขทัย!J78"")"),1)</f>
        <v>1</v>
      </c>
      <c r="AA28" s="86">
        <f ca="1">IFERROR(__xludf.DUMMYFUNCTION("IMPORTRANGE(""https://docs.google.com/spreadsheets/d/17HrOaa5pBUI1onckFfumXB8xlg35qb2uBAFfF1D-Myo/edit?usp=sharing"",""สุโขทัย!J79"")"),30)</f>
        <v>30</v>
      </c>
      <c r="AB28" s="82">
        <f ca="1">IFERROR(__xludf.DUMMYFUNCTION("IMPORTRANGE(""https://docs.google.com/spreadsheets/d/17HrOaa5pBUI1onckFfumXB8xlg35qb2uBAFfF1D-Myo/edit?usp=sharing"",""สุโขทัย!I80"")"),0)</f>
        <v>0</v>
      </c>
      <c r="AC28" s="82">
        <f ca="1">IFERROR(__xludf.DUMMYFUNCTION("IMPORTRANGE(""https://docs.google.com/spreadsheets/d/17HrOaa5pBUI1onckFfumXB8xlg35qb2uBAFfF1D-Myo/edit?usp=sharing"",""สุโขทัย!I81"")"),0)</f>
        <v>0</v>
      </c>
      <c r="AD28" s="86">
        <f ca="1">IFERROR(__xludf.DUMMYFUNCTION("IMPORTRANGE(""https://docs.google.com/spreadsheets/d/17HrOaa5pBUI1onckFfumXB8xlg35qb2uBAFfF1D-Myo/edit?usp=sharing"",""สุโขทัย!J80"")"),0)</f>
        <v>0</v>
      </c>
      <c r="AE28" s="86">
        <f ca="1">IFERROR(__xludf.DUMMYFUNCTION("IMPORTRANGE(""https://docs.google.com/spreadsheets/d/17HrOaa5pBUI1onckFfumXB8xlg35qb2uBAFfF1D-Myo/edit?usp=sharing"",""สุโขทัย!J81"")"),0)</f>
        <v>0</v>
      </c>
      <c r="AF28" s="82">
        <f ca="1">IFERROR(__xludf.DUMMYFUNCTION("IMPORTRANGE(""https://docs.google.com/spreadsheets/d/17HrOaa5pBUI1onckFfumXB8xlg35qb2uBAFfF1D-Myo/edit?usp=sharing"",""สุโขทัย!I82"")"),1)</f>
        <v>1</v>
      </c>
      <c r="AG28" s="82">
        <f ca="1">IFERROR(__xludf.DUMMYFUNCTION("IMPORTRANGE(""https://docs.google.com/spreadsheets/d/17HrOaa5pBUI1onckFfumXB8xlg35qb2uBAFfF1D-Myo/edit?usp=sharing"",""สุโขทัย!I83"")"),75)</f>
        <v>75</v>
      </c>
      <c r="AH28" s="86">
        <f ca="1">IFERROR(__xludf.DUMMYFUNCTION("IMPORTRANGE(""https://docs.google.com/spreadsheets/d/17HrOaa5pBUI1onckFfumXB8xlg35qb2uBAFfF1D-Myo/edit?usp=sharing"",""สุโขทัย!J82"")"),1)</f>
        <v>1</v>
      </c>
      <c r="AI28" s="86">
        <f ca="1">IFERROR(__xludf.DUMMYFUNCTION("IMPORTRANGE(""https://docs.google.com/spreadsheets/d/17HrOaa5pBUI1onckFfumXB8xlg35qb2uBAFfF1D-Myo/edit?usp=sharing"",""สุโขทัย!J83"")"),75)</f>
        <v>75</v>
      </c>
      <c r="AJ28" s="82">
        <f ca="1">IFERROR(__xludf.DUMMYFUNCTION("IMPORTRANGE(""https://docs.google.com/spreadsheets/d/17HrOaa5pBUI1onckFfumXB8xlg35qb2uBAFfF1D-Myo/edit?usp=sharing"",""สุโขทัย!I84"")"),2)</f>
        <v>2</v>
      </c>
      <c r="AK28" s="86">
        <f ca="1">IFERROR(__xludf.DUMMYFUNCTION("IMPORTRANGE(""https://docs.google.com/spreadsheets/d/17HrOaa5pBUI1onckFfumXB8xlg35qb2uBAFfF1D-Myo/edit?usp=sharing"",""สุโขทัย!J84"")"),0)</f>
        <v>0</v>
      </c>
      <c r="AL28" s="84">
        <f t="shared" ca="1" si="27"/>
        <v>0</v>
      </c>
    </row>
    <row r="29" spans="1:38" ht="24" customHeight="1" x14ac:dyDescent="0.2">
      <c r="A29" s="78">
        <v>16</v>
      </c>
      <c r="B29" s="79" t="s">
        <v>51</v>
      </c>
      <c r="C29" s="80">
        <f t="shared" ca="1" si="0"/>
        <v>0</v>
      </c>
      <c r="D29" s="81">
        <f t="shared" ca="1" si="32"/>
        <v>0</v>
      </c>
      <c r="E29" s="82">
        <f ca="1">IFERROR(__xludf.DUMMYFUNCTION("IMPORTRANGE(""https://docs.google.com/spreadsheets/d/1MeEWN-I1oV_STSDYn1IFDPWt_1FKiwhDph83XaGc0o0/edit?usp=sharing"",""งบพรบ!AH29"")"),0)</f>
        <v>0</v>
      </c>
      <c r="F29" s="82">
        <f ca="1">IFERROR(__xludf.DUMMYFUNCTION("IMPORTRANGE(""https://docs.google.com/spreadsheets/d/1MeEWN-I1oV_STSDYn1IFDPWt_1FKiwhDph83XaGc0o0/edit?usp=sharing"",""งบพรบ!AI29"")"),0)</f>
        <v>0</v>
      </c>
      <c r="G29" s="82">
        <f ca="1">IFERROR(__xludf.DUMMYFUNCTION("IMPORTRANGE(""https://docs.google.com/spreadsheets/d/1MeEWN-I1oV_STSDYn1IFDPWt_1FKiwhDph83XaGc0o0/edit?usp=sharing"",""งบพรบ!AJ29"")"),0)</f>
        <v>0</v>
      </c>
      <c r="H29" s="82">
        <f ca="1">IFERROR(__xludf.DUMMYFUNCTION("IMPORTRANGE(""https://docs.google.com/spreadsheets/d/1MeEWN-I1oV_STSDYn1IFDPWt_1FKiwhDph83XaGc0o0/edit?usp=sharing"",""งบพรบ!AL29"")"),0)</f>
        <v>0</v>
      </c>
      <c r="I29" s="82">
        <f ca="1">IFERROR(__xludf.DUMMYFUNCTION("IMPORTRANGE(""https://docs.google.com/spreadsheets/d/1MeEWN-I1oV_STSDYn1IFDPWt_1FKiwhDph83XaGc0o0/edit?usp=sharing"",""งบพรบ!AM29"")"),0)</f>
        <v>0</v>
      </c>
      <c r="J29" s="82">
        <f t="shared" ca="1" si="3"/>
        <v>0</v>
      </c>
      <c r="K29" s="83">
        <f t="shared" ca="1" si="4"/>
        <v>0</v>
      </c>
      <c r="L29" s="82">
        <f ca="1">IFERROR(__xludf.DUMMYFUNCTION("IMPORTRANGE(""https://docs.google.com/spreadsheets/d/1MeEWN-I1oV_STSDYn1IFDPWt_1FKiwhDph83XaGc0o0/edit?usp=sharing"",""งบพรบ!AN29"")"),0)</f>
        <v>0</v>
      </c>
      <c r="M29" s="84">
        <f t="shared" ca="1" si="5"/>
        <v>0</v>
      </c>
      <c r="N29" s="84">
        <f t="shared" ca="1" si="6"/>
        <v>0</v>
      </c>
      <c r="O29" s="85">
        <f ca="1">IFERROR(__xludf.DUMMYFUNCTION("IMPORTRANGE(""https://docs.google.com/spreadsheets/d/1MeEWN-I1oV_STSDYn1IFDPWt_1FKiwhDph83XaGc0o0/edit?usp=sharing"",""งบพรบ!AO29"")"),0)</f>
        <v>0</v>
      </c>
      <c r="P29" s="85">
        <f t="shared" ca="1" si="29"/>
        <v>0</v>
      </c>
      <c r="Q29" s="84">
        <f t="shared" ca="1" si="8"/>
        <v>0</v>
      </c>
      <c r="R29" s="86">
        <f t="shared" ca="1" si="30"/>
        <v>0</v>
      </c>
      <c r="S29" s="86">
        <f t="shared" ca="1" si="24"/>
        <v>0</v>
      </c>
      <c r="T29" s="86">
        <f t="shared" ca="1" si="33"/>
        <v>0</v>
      </c>
      <c r="U29" s="87">
        <f t="shared" ca="1" si="25"/>
        <v>0</v>
      </c>
      <c r="V29" s="86">
        <f t="shared" ca="1" si="34"/>
        <v>0</v>
      </c>
      <c r="W29" s="87">
        <f t="shared" ca="1" si="26"/>
        <v>0</v>
      </c>
      <c r="X29" s="82">
        <f ca="1">IFERROR(__xludf.DUMMYFUNCTION("IMPORTRANGE(""https://docs.google.com/spreadsheets/d/1ubs5cl16eYL9gHbdHTJtmtYb9MGzHBs7CAphn8kNCgM/edit?usp=sharing"",""อุตรดิตถ์!I78"")"),0)</f>
        <v>0</v>
      </c>
      <c r="Y29" s="82">
        <f ca="1">IFERROR(__xludf.DUMMYFUNCTION("IMPORTRANGE(""https://docs.google.com/spreadsheets/d/1ubs5cl16eYL9gHbdHTJtmtYb9MGzHBs7CAphn8kNCgM/edit?usp=sharing"",""อุตรดิตถ์!I79"")"),0)</f>
        <v>0</v>
      </c>
      <c r="Z29" s="86">
        <f ca="1">IFERROR(__xludf.DUMMYFUNCTION("IMPORTRANGE(""https://docs.google.com/spreadsheets/d/1ubs5cl16eYL9gHbdHTJtmtYb9MGzHBs7CAphn8kNCgM/edit?usp=sharing"",""อุตรดิตถ์!J78"")"),0)</f>
        <v>0</v>
      </c>
      <c r="AA29" s="86">
        <f ca="1">IFERROR(__xludf.DUMMYFUNCTION("IMPORTRANGE(""https://docs.google.com/spreadsheets/d/1ubs5cl16eYL9gHbdHTJtmtYb9MGzHBs7CAphn8kNCgM/edit?usp=sharing"",""อุตรดิตถ์!J79"")"),0)</f>
        <v>0</v>
      </c>
      <c r="AB29" s="82">
        <f ca="1">IFERROR(__xludf.DUMMYFUNCTION("IMPORTRANGE(""https://docs.google.com/spreadsheets/d/1ubs5cl16eYL9gHbdHTJtmtYb9MGzHBs7CAphn8kNCgM/edit?usp=sharing"",""อุตรดิตถ์!I80"")"),0)</f>
        <v>0</v>
      </c>
      <c r="AC29" s="82">
        <f ca="1">IFERROR(__xludf.DUMMYFUNCTION("IMPORTRANGE(""https://docs.google.com/spreadsheets/d/1ubs5cl16eYL9gHbdHTJtmtYb9MGzHBs7CAphn8kNCgM/edit?usp=sharing"",""อุตรดิตถ์!I81"")"),0)</f>
        <v>0</v>
      </c>
      <c r="AD29" s="86">
        <f ca="1">IFERROR(__xludf.DUMMYFUNCTION("IMPORTRANGE(""https://docs.google.com/spreadsheets/d/1ubs5cl16eYL9gHbdHTJtmtYb9MGzHBs7CAphn8kNCgM/edit?usp=sharing"",""อุตรดิตถ์!J80"")"),0)</f>
        <v>0</v>
      </c>
      <c r="AE29" s="86">
        <f ca="1">IFERROR(__xludf.DUMMYFUNCTION("IMPORTRANGE(""https://docs.google.com/spreadsheets/d/1ubs5cl16eYL9gHbdHTJtmtYb9MGzHBs7CAphn8kNCgM/edit?usp=sharing"",""อุตรดิตถ์!J81"")"),0)</f>
        <v>0</v>
      </c>
      <c r="AF29" s="82">
        <f ca="1">IFERROR(__xludf.DUMMYFUNCTION("IMPORTRANGE(""https://docs.google.com/spreadsheets/d/1ubs5cl16eYL9gHbdHTJtmtYb9MGzHBs7CAphn8kNCgM/edit?usp=sharing"",""อุตรดิตถ์!I82"")"),0)</f>
        <v>0</v>
      </c>
      <c r="AG29" s="82">
        <f ca="1">IFERROR(__xludf.DUMMYFUNCTION("IMPORTRANGE(""https://docs.google.com/spreadsheets/d/1ubs5cl16eYL9gHbdHTJtmtYb9MGzHBs7CAphn8kNCgM/edit?usp=sharing"",""อุตรดิตถ์!I83"")"),0)</f>
        <v>0</v>
      </c>
      <c r="AH29" s="86">
        <f ca="1">IFERROR(__xludf.DUMMYFUNCTION("IMPORTRANGE(""https://docs.google.com/spreadsheets/d/1ubs5cl16eYL9gHbdHTJtmtYb9MGzHBs7CAphn8kNCgM/edit?usp=sharing"",""อุตรดิตถ์!J82"")"),0)</f>
        <v>0</v>
      </c>
      <c r="AI29" s="86">
        <f ca="1">IFERROR(__xludf.DUMMYFUNCTION("IMPORTRANGE(""https://docs.google.com/spreadsheets/d/1ubs5cl16eYL9gHbdHTJtmtYb9MGzHBs7CAphn8kNCgM/edit?usp=sharing"",""อุตรดิตถ์!J83"")"),0)</f>
        <v>0</v>
      </c>
      <c r="AJ29" s="82">
        <f ca="1">IFERROR(__xludf.DUMMYFUNCTION("IMPORTRANGE(""https://docs.google.com/spreadsheets/d/1ubs5cl16eYL9gHbdHTJtmtYb9MGzHBs7CAphn8kNCgM/edit?usp=sharing"",""อุตรดิตถ์!I84"")"),0)</f>
        <v>0</v>
      </c>
      <c r="AK29" s="86">
        <f ca="1">IFERROR(__xludf.DUMMYFUNCTION("IMPORTRANGE(""https://docs.google.com/spreadsheets/d/1ubs5cl16eYL9gHbdHTJtmtYb9MGzHBs7CAphn8kNCgM/edit?usp=sharing"",""อุตรดิตถ์!J84"")"),0)</f>
        <v>0</v>
      </c>
      <c r="AL29" s="84">
        <f t="shared" ca="1" si="27"/>
        <v>0</v>
      </c>
    </row>
    <row r="30" spans="1:38" ht="24" customHeight="1" x14ac:dyDescent="0.2">
      <c r="A30" s="89">
        <v>17</v>
      </c>
      <c r="B30" s="90" t="s">
        <v>52</v>
      </c>
      <c r="C30" s="91">
        <f t="shared" ca="1" si="0"/>
        <v>880200</v>
      </c>
      <c r="D30" s="92">
        <f t="shared" ca="1" si="32"/>
        <v>880200</v>
      </c>
      <c r="E30" s="93">
        <f ca="1">IFERROR(__xludf.DUMMYFUNCTION("IMPORTRANGE(""https://docs.google.com/spreadsheets/d/1MeEWN-I1oV_STSDYn1IFDPWt_1FKiwhDph83XaGc0o0/edit?usp=sharing"",""งบพรบ!AH30"")"),485000)</f>
        <v>485000</v>
      </c>
      <c r="F30" s="93">
        <f ca="1">IFERROR(__xludf.DUMMYFUNCTION("IMPORTRANGE(""https://docs.google.com/spreadsheets/d/1MeEWN-I1oV_STSDYn1IFDPWt_1FKiwhDph83XaGc0o0/edit?usp=sharing"",""งบพรบ!AI30"")"),395200)</f>
        <v>395200</v>
      </c>
      <c r="G30" s="93">
        <f ca="1">IFERROR(__xludf.DUMMYFUNCTION("IMPORTRANGE(""https://docs.google.com/spreadsheets/d/1MeEWN-I1oV_STSDYn1IFDPWt_1FKiwhDph83XaGc0o0/edit?usp=sharing"",""งบพรบ!AJ30"")"),0)</f>
        <v>0</v>
      </c>
      <c r="H30" s="93">
        <f ca="1">IFERROR(__xludf.DUMMYFUNCTION("IMPORTRANGE(""https://docs.google.com/spreadsheets/d/1MeEWN-I1oV_STSDYn1IFDPWt_1FKiwhDph83XaGc0o0/edit?usp=sharing"",""งบพรบ!AL30"")"),560500)</f>
        <v>560500</v>
      </c>
      <c r="I30" s="93">
        <f ca="1">IFERROR(__xludf.DUMMYFUNCTION("IMPORTRANGE(""https://docs.google.com/spreadsheets/d/1MeEWN-I1oV_STSDYn1IFDPWt_1FKiwhDph83XaGc0o0/edit?usp=sharing"",""งบพรบ!AM30"")"),0)</f>
        <v>0</v>
      </c>
      <c r="J30" s="93">
        <f t="shared" ca="1" si="3"/>
        <v>217236</v>
      </c>
      <c r="K30" s="94">
        <f t="shared" ca="1" si="4"/>
        <v>24.680299931833673</v>
      </c>
      <c r="L30" s="93">
        <f ca="1">IFERROR(__xludf.DUMMYFUNCTION("IMPORTRANGE(""https://docs.google.com/spreadsheets/d/1MeEWN-I1oV_STSDYn1IFDPWt_1FKiwhDph83XaGc0o0/edit?usp=sharing"",""งบพรบ!AN30"")"),217236)</f>
        <v>217236</v>
      </c>
      <c r="M30" s="95">
        <f t="shared" ca="1" si="5"/>
        <v>24.680299931833673</v>
      </c>
      <c r="N30" s="95">
        <f t="shared" ca="1" si="6"/>
        <v>38.757537912578059</v>
      </c>
      <c r="O30" s="96">
        <f ca="1">IFERROR(__xludf.DUMMYFUNCTION("IMPORTRANGE(""https://docs.google.com/spreadsheets/d/1MeEWN-I1oV_STSDYn1IFDPWt_1FKiwhDph83XaGc0o0/edit?usp=sharing"",""งบพรบ!AO30"")"),0)</f>
        <v>0</v>
      </c>
      <c r="P30" s="96">
        <f t="shared" ca="1" si="29"/>
        <v>0</v>
      </c>
      <c r="Q30" s="95">
        <f t="shared" ca="1" si="8"/>
        <v>0</v>
      </c>
      <c r="R30" s="97">
        <f t="shared" ca="1" si="30"/>
        <v>1</v>
      </c>
      <c r="S30" s="97">
        <f t="shared" ca="1" si="24"/>
        <v>32</v>
      </c>
      <c r="T30" s="97">
        <f t="shared" ca="1" si="33"/>
        <v>1</v>
      </c>
      <c r="U30" s="98">
        <f t="shared" ca="1" si="25"/>
        <v>100</v>
      </c>
      <c r="V30" s="97">
        <f t="shared" ca="1" si="34"/>
        <v>32</v>
      </c>
      <c r="W30" s="98">
        <f t="shared" ca="1" si="26"/>
        <v>100</v>
      </c>
      <c r="X30" s="93">
        <f ca="1">IFERROR(__xludf.DUMMYFUNCTION("IMPORTRANGE(""https://docs.google.com/spreadsheets/d/1kII0BjS6CtVrBvI8IrytgPdxDrlyQDyigzMsohRtDMs/edit?usp=sharing"",""อุทัยธานี!I78"")"),0)</f>
        <v>0</v>
      </c>
      <c r="Y30" s="93">
        <f ca="1">IFERROR(__xludf.DUMMYFUNCTION("IMPORTRANGE(""https://docs.google.com/spreadsheets/d/1kII0BjS6CtVrBvI8IrytgPdxDrlyQDyigzMsohRtDMs/edit?usp=sharing"",""อุทัยธานี!I79"")"),0)</f>
        <v>0</v>
      </c>
      <c r="Z30" s="97">
        <f ca="1">IFERROR(__xludf.DUMMYFUNCTION("IMPORTRANGE(""https://docs.google.com/spreadsheets/d/1kII0BjS6CtVrBvI8IrytgPdxDrlyQDyigzMsohRtDMs/edit?usp=sharing"",""อุทัยธานี!J78"")"),0)</f>
        <v>0</v>
      </c>
      <c r="AA30" s="97">
        <f ca="1">IFERROR(__xludf.DUMMYFUNCTION("IMPORTRANGE(""https://docs.google.com/spreadsheets/d/1kII0BjS6CtVrBvI8IrytgPdxDrlyQDyigzMsohRtDMs/edit?usp=sharing"",""อุทัยธานี!J79"")"),0)</f>
        <v>0</v>
      </c>
      <c r="AB30" s="93">
        <f ca="1">IFERROR(__xludf.DUMMYFUNCTION("IMPORTRANGE(""https://docs.google.com/spreadsheets/d/1kII0BjS6CtVrBvI8IrytgPdxDrlyQDyigzMsohRtDMs/edit?usp=sharing"",""อุทัยธานี!I80"")"),1)</f>
        <v>1</v>
      </c>
      <c r="AC30" s="93">
        <f ca="1">IFERROR(__xludf.DUMMYFUNCTION("IMPORTRANGE(""https://docs.google.com/spreadsheets/d/1kII0BjS6CtVrBvI8IrytgPdxDrlyQDyigzMsohRtDMs/edit?usp=sharing"",""อุทัยธานี!I81"")"),32)</f>
        <v>32</v>
      </c>
      <c r="AD30" s="97">
        <f ca="1">IFERROR(__xludf.DUMMYFUNCTION("IMPORTRANGE(""https://docs.google.com/spreadsheets/d/1kII0BjS6CtVrBvI8IrytgPdxDrlyQDyigzMsohRtDMs/edit?usp=sharing"",""อุทัยธานี!J80"")"),1)</f>
        <v>1</v>
      </c>
      <c r="AE30" s="97">
        <f ca="1">IFERROR(__xludf.DUMMYFUNCTION("IMPORTRANGE(""https://docs.google.com/spreadsheets/d/1kII0BjS6CtVrBvI8IrytgPdxDrlyQDyigzMsohRtDMs/edit?usp=sharing"",""อุทัยธานี!J81"")"),32)</f>
        <v>32</v>
      </c>
      <c r="AF30" s="93">
        <f ca="1">IFERROR(__xludf.DUMMYFUNCTION("IMPORTRANGE(""https://docs.google.com/spreadsheets/d/1kII0BjS6CtVrBvI8IrytgPdxDrlyQDyigzMsohRtDMs/edit?usp=sharing"",""อุทัยธานี!I82"")"),0)</f>
        <v>0</v>
      </c>
      <c r="AG30" s="93">
        <f ca="1">IFERROR(__xludf.DUMMYFUNCTION("IMPORTRANGE(""https://docs.google.com/spreadsheets/d/1kII0BjS6CtVrBvI8IrytgPdxDrlyQDyigzMsohRtDMs/edit?usp=sharing"",""อุทัยธานี!I83"")"),0)</f>
        <v>0</v>
      </c>
      <c r="AH30" s="97">
        <f ca="1">IFERROR(__xludf.DUMMYFUNCTION("IMPORTRANGE(""https://docs.google.com/spreadsheets/d/1kII0BjS6CtVrBvI8IrytgPdxDrlyQDyigzMsohRtDMs/edit?usp=sharing"",""อุทัยธานี!J82"")"),0)</f>
        <v>0</v>
      </c>
      <c r="AI30" s="97">
        <f ca="1">IFERROR(__xludf.DUMMYFUNCTION("IMPORTRANGE(""https://docs.google.com/spreadsheets/d/1kII0BjS6CtVrBvI8IrytgPdxDrlyQDyigzMsohRtDMs/edit?usp=sharing"",""อุทัยธานี!J83"")"),0)</f>
        <v>0</v>
      </c>
      <c r="AJ30" s="93">
        <f ca="1">IFERROR(__xludf.DUMMYFUNCTION("IMPORTRANGE(""https://docs.google.com/spreadsheets/d/1kII0BjS6CtVrBvI8IrytgPdxDrlyQDyigzMsohRtDMs/edit?usp=sharing"",""อุทัยธานี!I84"")"),1)</f>
        <v>1</v>
      </c>
      <c r="AK30" s="97">
        <f ca="1">IFERROR(__xludf.DUMMYFUNCTION("IMPORTRANGE(""https://docs.google.com/spreadsheets/d/1kII0BjS6CtVrBvI8IrytgPdxDrlyQDyigzMsohRtDMs/edit?usp=sharing"",""อุทัยธานี!J84"")"),0)</f>
        <v>0</v>
      </c>
      <c r="AL30" s="95">
        <f t="shared" ca="1" si="27"/>
        <v>0</v>
      </c>
    </row>
    <row r="31" spans="1:38" ht="21" customHeight="1" x14ac:dyDescent="0.2">
      <c r="A31" s="378" t="s">
        <v>53</v>
      </c>
      <c r="B31" s="379"/>
      <c r="C31" s="99">
        <f t="shared" ca="1" si="0"/>
        <v>12933000</v>
      </c>
      <c r="D31" s="62">
        <f t="shared" ref="D31:I31" ca="1" si="35">SUM(D32:D51)</f>
        <v>12933000</v>
      </c>
      <c r="E31" s="62">
        <f t="shared" ca="1" si="35"/>
        <v>5136000</v>
      </c>
      <c r="F31" s="62">
        <f t="shared" ca="1" si="35"/>
        <v>7797000</v>
      </c>
      <c r="G31" s="62">
        <f t="shared" ca="1" si="35"/>
        <v>0</v>
      </c>
      <c r="H31" s="62">
        <f t="shared" ca="1" si="35"/>
        <v>7592850</v>
      </c>
      <c r="I31" s="62">
        <f t="shared" ca="1" si="35"/>
        <v>0</v>
      </c>
      <c r="J31" s="62">
        <f t="shared" ca="1" si="3"/>
        <v>4594133.5500000007</v>
      </c>
      <c r="K31" s="100">
        <f t="shared" ca="1" si="4"/>
        <v>35.522566689863147</v>
      </c>
      <c r="L31" s="62">
        <f ca="1">SUM(L32:L51)</f>
        <v>4594133.5500000007</v>
      </c>
      <c r="M31" s="101">
        <f t="shared" ca="1" si="5"/>
        <v>35.522566689863147</v>
      </c>
      <c r="N31" s="101">
        <f t="shared" ca="1" si="6"/>
        <v>60.506049111993526</v>
      </c>
      <c r="O31" s="102">
        <f ca="1">SUM(O32:O51)</f>
        <v>0</v>
      </c>
      <c r="P31" s="102">
        <f t="shared" ca="1" si="29"/>
        <v>0</v>
      </c>
      <c r="Q31" s="101">
        <f t="shared" ca="1" si="8"/>
        <v>0</v>
      </c>
      <c r="R31" s="62">
        <f t="shared" ca="1" si="30"/>
        <v>17</v>
      </c>
      <c r="S31" s="62">
        <f t="shared" ca="1" si="24"/>
        <v>760</v>
      </c>
      <c r="T31" s="62">
        <f ca="1">SUM(T32:T51)</f>
        <v>13</v>
      </c>
      <c r="U31" s="101">
        <f t="shared" ca="1" si="25"/>
        <v>76.470588235294116</v>
      </c>
      <c r="V31" s="62">
        <f ca="1">SUM(V32:V51)</f>
        <v>618</v>
      </c>
      <c r="W31" s="101">
        <f t="shared" ca="1" si="26"/>
        <v>81.315789473684205</v>
      </c>
      <c r="X31" s="62">
        <f t="shared" ref="X31:AK31" ca="1" si="36">SUM(X32:X51)</f>
        <v>3</v>
      </c>
      <c r="Y31" s="62">
        <f t="shared" ca="1" si="36"/>
        <v>117</v>
      </c>
      <c r="Z31" s="62">
        <f t="shared" ca="1" si="36"/>
        <v>2</v>
      </c>
      <c r="AA31" s="62">
        <f t="shared" ca="1" si="36"/>
        <v>85</v>
      </c>
      <c r="AB31" s="62">
        <f t="shared" ca="1" si="36"/>
        <v>6</v>
      </c>
      <c r="AC31" s="62">
        <f t="shared" ca="1" si="36"/>
        <v>270</v>
      </c>
      <c r="AD31" s="62">
        <f t="shared" ca="1" si="36"/>
        <v>5</v>
      </c>
      <c r="AE31" s="62">
        <f t="shared" ca="1" si="36"/>
        <v>240</v>
      </c>
      <c r="AF31" s="62">
        <f t="shared" ca="1" si="36"/>
        <v>8</v>
      </c>
      <c r="AG31" s="62">
        <f t="shared" ca="1" si="36"/>
        <v>373</v>
      </c>
      <c r="AH31" s="62">
        <f t="shared" ca="1" si="36"/>
        <v>6</v>
      </c>
      <c r="AI31" s="62">
        <f t="shared" ca="1" si="36"/>
        <v>293</v>
      </c>
      <c r="AJ31" s="62">
        <f t="shared" ca="1" si="36"/>
        <v>17</v>
      </c>
      <c r="AK31" s="62">
        <f t="shared" ca="1" si="36"/>
        <v>1</v>
      </c>
      <c r="AL31" s="101">
        <f t="shared" ca="1" si="27"/>
        <v>5.882352941176471</v>
      </c>
    </row>
    <row r="32" spans="1:38" ht="21" customHeight="1" x14ac:dyDescent="0.2">
      <c r="A32" s="68">
        <v>1</v>
      </c>
      <c r="B32" s="69" t="s">
        <v>54</v>
      </c>
      <c r="C32" s="103">
        <f t="shared" ca="1" si="0"/>
        <v>0</v>
      </c>
      <c r="D32" s="71">
        <f t="shared" ref="D32:D51" ca="1" si="37">+E32+F32</f>
        <v>0</v>
      </c>
      <c r="E32" s="72">
        <f ca="1">IFERROR(__xludf.DUMMYFUNCTION("IMPORTRANGE(""https://docs.google.com/spreadsheets/d/1MeEWN-I1oV_STSDYn1IFDPWt_1FKiwhDph83XaGc0o0/edit?usp=sharing"",""งบพรบ!AH32"")"),0)</f>
        <v>0</v>
      </c>
      <c r="F32" s="72">
        <f ca="1">IFERROR(__xludf.DUMMYFUNCTION("IMPORTRANGE(""https://docs.google.com/spreadsheets/d/1MeEWN-I1oV_STSDYn1IFDPWt_1FKiwhDph83XaGc0o0/edit?usp=sharing"",""งบพรบ!AI32"")"),0)</f>
        <v>0</v>
      </c>
      <c r="G32" s="73">
        <f ca="1">IFERROR(__xludf.DUMMYFUNCTION("IMPORTRANGE(""https://docs.google.com/spreadsheets/d/1MeEWN-I1oV_STSDYn1IFDPWt_1FKiwhDph83XaGc0o0/edit?usp=sharing"",""งบพรบ!AJ32"")"),0)</f>
        <v>0</v>
      </c>
      <c r="H32" s="73">
        <f ca="1">IFERROR(__xludf.DUMMYFUNCTION("IMPORTRANGE(""https://docs.google.com/spreadsheets/d/1MeEWN-I1oV_STSDYn1IFDPWt_1FKiwhDph83XaGc0o0/edit?usp=sharing"",""งบพรบ!AL32"")"),0)</f>
        <v>0</v>
      </c>
      <c r="I32" s="73">
        <f ca="1">IFERROR(__xludf.DUMMYFUNCTION("IMPORTRANGE(""https://docs.google.com/spreadsheets/d/1MeEWN-I1oV_STSDYn1IFDPWt_1FKiwhDph83XaGc0o0/edit?usp=sharing"",""งบพรบ!AM32"")"),0)</f>
        <v>0</v>
      </c>
      <c r="J32" s="73">
        <f t="shared" ca="1" si="3"/>
        <v>0</v>
      </c>
      <c r="K32" s="74">
        <f t="shared" ca="1" si="4"/>
        <v>0</v>
      </c>
      <c r="L32" s="73">
        <f ca="1">IFERROR(__xludf.DUMMYFUNCTION("IMPORTRANGE(""https://docs.google.com/spreadsheets/d/1MeEWN-I1oV_STSDYn1IFDPWt_1FKiwhDph83XaGc0o0/edit?usp=sharing"",""งบพรบ!AN32"")"),0)</f>
        <v>0</v>
      </c>
      <c r="M32" s="75">
        <f t="shared" ca="1" si="5"/>
        <v>0</v>
      </c>
      <c r="N32" s="75">
        <f t="shared" ca="1" si="6"/>
        <v>0</v>
      </c>
      <c r="O32" s="76">
        <f ca="1">IFERROR(__xludf.DUMMYFUNCTION("IMPORTRANGE(""https://docs.google.com/spreadsheets/d/1MeEWN-I1oV_STSDYn1IFDPWt_1FKiwhDph83XaGc0o0/edit?usp=sharing"",""งบพรบ!AO32"")"),0)</f>
        <v>0</v>
      </c>
      <c r="P32" s="76">
        <f t="shared" ca="1" si="29"/>
        <v>0</v>
      </c>
      <c r="Q32" s="75">
        <f t="shared" ca="1" si="8"/>
        <v>0</v>
      </c>
      <c r="R32" s="73">
        <f t="shared" ca="1" si="30"/>
        <v>0</v>
      </c>
      <c r="S32" s="73">
        <f t="shared" ca="1" si="24"/>
        <v>0</v>
      </c>
      <c r="T32" s="73">
        <f t="shared" ref="T32:T51" ca="1" si="38">Z32+AD32+AH32</f>
        <v>0</v>
      </c>
      <c r="U32" s="77">
        <f t="shared" ca="1" si="25"/>
        <v>0</v>
      </c>
      <c r="V32" s="73">
        <f t="shared" ref="V32:V51" ca="1" si="39">AA32+AE32+AI32</f>
        <v>0</v>
      </c>
      <c r="W32" s="77">
        <f t="shared" ca="1" si="26"/>
        <v>0</v>
      </c>
      <c r="X32" s="72">
        <f ca="1">IFERROR(__xludf.DUMMYFUNCTION("IMPORTRANGE(""https://docs.google.com/spreadsheets/d/1fb2B9NLcpJgjIieIJvenUTNPn0TimZDUi0OtYeiSQ_s/edit?usp=sharing"",""กาฬสินธุ์!I78"")"),0)</f>
        <v>0</v>
      </c>
      <c r="Y32" s="72">
        <f ca="1">IFERROR(__xludf.DUMMYFUNCTION("IMPORTRANGE(""https://docs.google.com/spreadsheets/d/1fb2B9NLcpJgjIieIJvenUTNPn0TimZDUi0OtYeiSQ_s/edit?usp=sharing"",""กาฬสินธุ์!I79"")"),0)</f>
        <v>0</v>
      </c>
      <c r="Z32" s="73">
        <f ca="1">IFERROR(__xludf.DUMMYFUNCTION("IMPORTRANGE(""https://docs.google.com/spreadsheets/d/1fb2B9NLcpJgjIieIJvenUTNPn0TimZDUi0OtYeiSQ_s/edit?usp=sharing"",""กาฬสินธุ์!J78"")"),0)</f>
        <v>0</v>
      </c>
      <c r="AA32" s="73">
        <f ca="1">IFERROR(__xludf.DUMMYFUNCTION("IMPORTRANGE(""https://docs.google.com/spreadsheets/d/1fb2B9NLcpJgjIieIJvenUTNPn0TimZDUi0OtYeiSQ_s/edit?usp=sharing"",""กาฬสินธุ์!J79"")"),0)</f>
        <v>0</v>
      </c>
      <c r="AB32" s="72">
        <f ca="1">IFERROR(__xludf.DUMMYFUNCTION("IMPORTRANGE(""https://docs.google.com/spreadsheets/d/1fb2B9NLcpJgjIieIJvenUTNPn0TimZDUi0OtYeiSQ_s/edit?usp=sharing"",""กาฬสินธุ์!I80"")"),0)</f>
        <v>0</v>
      </c>
      <c r="AC32" s="72">
        <f ca="1">IFERROR(__xludf.DUMMYFUNCTION("IMPORTRANGE(""https://docs.google.com/spreadsheets/d/1fb2B9NLcpJgjIieIJvenUTNPn0TimZDUi0OtYeiSQ_s/edit?usp=sharing"",""กาฬสินธุ์!I81"")"),0)</f>
        <v>0</v>
      </c>
      <c r="AD32" s="73">
        <f ca="1">IFERROR(__xludf.DUMMYFUNCTION("IMPORTRANGE(""https://docs.google.com/spreadsheets/d/1fb2B9NLcpJgjIieIJvenUTNPn0TimZDUi0OtYeiSQ_s/edit?usp=sharing"",""กาฬสินธุ์!J80"")"),0)</f>
        <v>0</v>
      </c>
      <c r="AE32" s="73">
        <f ca="1">IFERROR(__xludf.DUMMYFUNCTION("IMPORTRANGE(""https://docs.google.com/spreadsheets/d/1fb2B9NLcpJgjIieIJvenUTNPn0TimZDUi0OtYeiSQ_s/edit?usp=sharing"",""กาฬสินธุ์!J81"")"),0)</f>
        <v>0</v>
      </c>
      <c r="AF32" s="72">
        <f ca="1">IFERROR(__xludf.DUMMYFUNCTION("IMPORTRANGE(""https://docs.google.com/spreadsheets/d/1fb2B9NLcpJgjIieIJvenUTNPn0TimZDUi0OtYeiSQ_s/edit?usp=sharing"",""กาฬสินธุ์!I82"")"),0)</f>
        <v>0</v>
      </c>
      <c r="AG32" s="72">
        <f ca="1">IFERROR(__xludf.DUMMYFUNCTION("IMPORTRANGE(""https://docs.google.com/spreadsheets/d/1fb2B9NLcpJgjIieIJvenUTNPn0TimZDUi0OtYeiSQ_s/edit?usp=sharing"",""กาฬสินธุ์!I83"")"),0)</f>
        <v>0</v>
      </c>
      <c r="AH32" s="73">
        <f ca="1">IFERROR(__xludf.DUMMYFUNCTION("IMPORTRANGE(""https://docs.google.com/spreadsheets/d/1fb2B9NLcpJgjIieIJvenUTNPn0TimZDUi0OtYeiSQ_s/edit?usp=sharing"",""กาฬสินธุ์!J82"")"),0)</f>
        <v>0</v>
      </c>
      <c r="AI32" s="73">
        <f ca="1">IFERROR(__xludf.DUMMYFUNCTION("IMPORTRANGE(""https://docs.google.com/spreadsheets/d/1fb2B9NLcpJgjIieIJvenUTNPn0TimZDUi0OtYeiSQ_s/edit?usp=sharing"",""กาฬสินธุ์!J83"")"),0)</f>
        <v>0</v>
      </c>
      <c r="AJ32" s="72">
        <f ca="1">IFERROR(__xludf.DUMMYFUNCTION("IMPORTRANGE(""https://docs.google.com/spreadsheets/d/1fb2B9NLcpJgjIieIJvenUTNPn0TimZDUi0OtYeiSQ_s/edit?usp=sharing"",""กาฬสินธุ์!I84"")"),0)</f>
        <v>0</v>
      </c>
      <c r="AK32" s="73">
        <f ca="1">IFERROR(__xludf.DUMMYFUNCTION("IMPORTRANGE(""https://docs.google.com/spreadsheets/d/1fb2B9NLcpJgjIieIJvenUTNPn0TimZDUi0OtYeiSQ_s/edit?usp=sharing"",""กาฬสินธุ์!J84"")"),0)</f>
        <v>0</v>
      </c>
      <c r="AL32" s="75">
        <f t="shared" ca="1" si="27"/>
        <v>0</v>
      </c>
    </row>
    <row r="33" spans="1:38" ht="21" customHeight="1" x14ac:dyDescent="0.2">
      <c r="A33" s="78">
        <v>2</v>
      </c>
      <c r="B33" s="79" t="s">
        <v>55</v>
      </c>
      <c r="C33" s="80">
        <f t="shared" ca="1" si="0"/>
        <v>1012000</v>
      </c>
      <c r="D33" s="81">
        <f t="shared" ca="1" si="37"/>
        <v>1012000</v>
      </c>
      <c r="E33" s="82">
        <f ca="1">IFERROR(__xludf.DUMMYFUNCTION("IMPORTRANGE(""https://docs.google.com/spreadsheets/d/1MeEWN-I1oV_STSDYn1IFDPWt_1FKiwhDph83XaGc0o0/edit?usp=sharing"",""งบพรบ!AH33"")"),628000)</f>
        <v>628000</v>
      </c>
      <c r="F33" s="82">
        <f ca="1">IFERROR(__xludf.DUMMYFUNCTION("IMPORTRANGE(""https://docs.google.com/spreadsheets/d/1MeEWN-I1oV_STSDYn1IFDPWt_1FKiwhDph83XaGc0o0/edit?usp=sharing"",""งบพรบ!AI33"")"),384000)</f>
        <v>384000</v>
      </c>
      <c r="G33" s="82">
        <f ca="1">IFERROR(__xludf.DUMMYFUNCTION("IMPORTRANGE(""https://docs.google.com/spreadsheets/d/1MeEWN-I1oV_STSDYn1IFDPWt_1FKiwhDph83XaGc0o0/edit?usp=sharing"",""งบพรบ!AJ33"")"),0)</f>
        <v>0</v>
      </c>
      <c r="H33" s="82">
        <f ca="1">IFERROR(__xludf.DUMMYFUNCTION("IMPORTRANGE(""https://docs.google.com/spreadsheets/d/1MeEWN-I1oV_STSDYn1IFDPWt_1FKiwhDph83XaGc0o0/edit?usp=sharing"",""งบพรบ!AL33"")"),668700)</f>
        <v>668700</v>
      </c>
      <c r="I33" s="82">
        <f ca="1">IFERROR(__xludf.DUMMYFUNCTION("IMPORTRANGE(""https://docs.google.com/spreadsheets/d/1MeEWN-I1oV_STSDYn1IFDPWt_1FKiwhDph83XaGc0o0/edit?usp=sharing"",""งบพรบ!AM33"")"),0)</f>
        <v>0</v>
      </c>
      <c r="J33" s="82">
        <f t="shared" ca="1" si="3"/>
        <v>424287.98</v>
      </c>
      <c r="K33" s="83">
        <f t="shared" ca="1" si="4"/>
        <v>41.925689723320161</v>
      </c>
      <c r="L33" s="82">
        <f ca="1">IFERROR(__xludf.DUMMYFUNCTION("IMPORTRANGE(""https://docs.google.com/spreadsheets/d/1MeEWN-I1oV_STSDYn1IFDPWt_1FKiwhDph83XaGc0o0/edit?usp=sharing"",""งบพรบ!AN33"")"),424287.98)</f>
        <v>424287.98</v>
      </c>
      <c r="M33" s="84">
        <f t="shared" ca="1" si="5"/>
        <v>41.925689723320161</v>
      </c>
      <c r="N33" s="84">
        <f t="shared" ca="1" si="6"/>
        <v>63.449675489756245</v>
      </c>
      <c r="O33" s="85">
        <f ca="1">IFERROR(__xludf.DUMMYFUNCTION("IMPORTRANGE(""https://docs.google.com/spreadsheets/d/1MeEWN-I1oV_STSDYn1IFDPWt_1FKiwhDph83XaGc0o0/edit?usp=sharing"",""งบพรบ!AO33"")"),0)</f>
        <v>0</v>
      </c>
      <c r="P33" s="85">
        <f t="shared" ca="1" si="29"/>
        <v>0</v>
      </c>
      <c r="Q33" s="84">
        <f t="shared" ca="1" si="8"/>
        <v>0</v>
      </c>
      <c r="R33" s="86">
        <f t="shared" ca="1" si="30"/>
        <v>1</v>
      </c>
      <c r="S33" s="86">
        <f t="shared" ca="1" si="24"/>
        <v>30</v>
      </c>
      <c r="T33" s="86">
        <f t="shared" ca="1" si="38"/>
        <v>1</v>
      </c>
      <c r="U33" s="87">
        <f t="shared" ca="1" si="25"/>
        <v>100</v>
      </c>
      <c r="V33" s="86">
        <f t="shared" ca="1" si="39"/>
        <v>30</v>
      </c>
      <c r="W33" s="87">
        <f t="shared" ca="1" si="26"/>
        <v>100</v>
      </c>
      <c r="X33" s="82">
        <f ca="1">IFERROR(__xludf.DUMMYFUNCTION("IMPORTRANGE(""https://docs.google.com/spreadsheets/d/1SaMnqrwRGmFYNR0MhpWmHuL5niYUd5E7vDq8X7whAlI/edit?usp=sharing"",""ขอนแก่น!I78"")"),0)</f>
        <v>0</v>
      </c>
      <c r="Y33" s="82">
        <f ca="1">IFERROR(__xludf.DUMMYFUNCTION("IMPORTRANGE(""https://docs.google.com/spreadsheets/d/1SaMnqrwRGmFYNR0MhpWmHuL5niYUd5E7vDq8X7whAlI/edit?usp=sharing"",""ขอนแก่น!I79"")"),0)</f>
        <v>0</v>
      </c>
      <c r="Z33" s="86">
        <f ca="1">IFERROR(__xludf.DUMMYFUNCTION("IMPORTRANGE(""https://docs.google.com/spreadsheets/d/1SaMnqrwRGmFYNR0MhpWmHuL5niYUd5E7vDq8X7whAlI/edit?usp=sharing"",""ขอนแก่น!J78"")"),0)</f>
        <v>0</v>
      </c>
      <c r="AA33" s="86">
        <f ca="1">IFERROR(__xludf.DUMMYFUNCTION("IMPORTRANGE(""https://docs.google.com/spreadsheets/d/1SaMnqrwRGmFYNR0MhpWmHuL5niYUd5E7vDq8X7whAlI/edit?usp=sharing"",""ขอนแก่น!J79"")"),0)</f>
        <v>0</v>
      </c>
      <c r="AB33" s="82">
        <f ca="1">IFERROR(__xludf.DUMMYFUNCTION("IMPORTRANGE(""https://docs.google.com/spreadsheets/d/1SaMnqrwRGmFYNR0MhpWmHuL5niYUd5E7vDq8X7whAlI/edit?usp=sharing"",""ขอนแก่น!I80"")"),1)</f>
        <v>1</v>
      </c>
      <c r="AC33" s="82">
        <f ca="1">IFERROR(__xludf.DUMMYFUNCTION("IMPORTRANGE(""https://docs.google.com/spreadsheets/d/1SaMnqrwRGmFYNR0MhpWmHuL5niYUd5E7vDq8X7whAlI/edit?usp=sharing"",""ขอนแก่น!I81"")"),30)</f>
        <v>30</v>
      </c>
      <c r="AD33" s="86">
        <f ca="1">IFERROR(__xludf.DUMMYFUNCTION("IMPORTRANGE(""https://docs.google.com/spreadsheets/d/1SaMnqrwRGmFYNR0MhpWmHuL5niYUd5E7vDq8X7whAlI/edit?usp=sharing"",""ขอนแก่น!J80"")"),1)</f>
        <v>1</v>
      </c>
      <c r="AE33" s="86">
        <f ca="1">IFERROR(__xludf.DUMMYFUNCTION("IMPORTRANGE(""https://docs.google.com/spreadsheets/d/1SaMnqrwRGmFYNR0MhpWmHuL5niYUd5E7vDq8X7whAlI/edit?usp=sharing"",""ขอนแก่น!J81"")"),30)</f>
        <v>30</v>
      </c>
      <c r="AF33" s="82">
        <f ca="1">IFERROR(__xludf.DUMMYFUNCTION("IMPORTRANGE(""https://docs.google.com/spreadsheets/d/1SaMnqrwRGmFYNR0MhpWmHuL5niYUd5E7vDq8X7whAlI/edit?usp=sharing"",""ขอนแก่น!I82"")"),0)</f>
        <v>0</v>
      </c>
      <c r="AG33" s="82">
        <f ca="1">IFERROR(__xludf.DUMMYFUNCTION("IMPORTRANGE(""https://docs.google.com/spreadsheets/d/1SaMnqrwRGmFYNR0MhpWmHuL5niYUd5E7vDq8X7whAlI/edit?usp=sharing"",""ขอนแก่น!I83"")"),0)</f>
        <v>0</v>
      </c>
      <c r="AH33" s="86">
        <f ca="1">IFERROR(__xludf.DUMMYFUNCTION("IMPORTRANGE(""https://docs.google.com/spreadsheets/d/1SaMnqrwRGmFYNR0MhpWmHuL5niYUd5E7vDq8X7whAlI/edit?usp=sharing"",""ขอนแก่น!J82"")"),0)</f>
        <v>0</v>
      </c>
      <c r="AI33" s="86">
        <f ca="1">IFERROR(__xludf.DUMMYFUNCTION("IMPORTRANGE(""https://docs.google.com/spreadsheets/d/1SaMnqrwRGmFYNR0MhpWmHuL5niYUd5E7vDq8X7whAlI/edit?usp=sharing"",""ขอนแก่น!J83"")"),0)</f>
        <v>0</v>
      </c>
      <c r="AJ33" s="82">
        <f ca="1">IFERROR(__xludf.DUMMYFUNCTION("IMPORTRANGE(""https://docs.google.com/spreadsheets/d/1SaMnqrwRGmFYNR0MhpWmHuL5niYUd5E7vDq8X7whAlI/edit?usp=sharing"",""ขอนแก่น!I84"")"),1)</f>
        <v>1</v>
      </c>
      <c r="AK33" s="86">
        <f ca="1">IFERROR(__xludf.DUMMYFUNCTION("IMPORTRANGE(""https://docs.google.com/spreadsheets/d/1SaMnqrwRGmFYNR0MhpWmHuL5niYUd5E7vDq8X7whAlI/edit?usp=sharing"",""ขอนแก่น!J84"")"),0)</f>
        <v>0</v>
      </c>
      <c r="AL33" s="84">
        <f t="shared" ca="1" si="27"/>
        <v>0</v>
      </c>
    </row>
    <row r="34" spans="1:38" ht="21" customHeight="1" x14ac:dyDescent="0.2">
      <c r="A34" s="78">
        <v>3</v>
      </c>
      <c r="B34" s="79" t="s">
        <v>56</v>
      </c>
      <c r="C34" s="80">
        <f t="shared" ca="1" si="0"/>
        <v>0</v>
      </c>
      <c r="D34" s="81">
        <f t="shared" ca="1" si="37"/>
        <v>0</v>
      </c>
      <c r="E34" s="82">
        <f ca="1">IFERROR(__xludf.DUMMYFUNCTION("IMPORTRANGE(""https://docs.google.com/spreadsheets/d/1MeEWN-I1oV_STSDYn1IFDPWt_1FKiwhDph83XaGc0o0/edit?usp=sharing"",""งบพรบ!AH34"")"),0)</f>
        <v>0</v>
      </c>
      <c r="F34" s="82">
        <f ca="1">IFERROR(__xludf.DUMMYFUNCTION("IMPORTRANGE(""https://docs.google.com/spreadsheets/d/1MeEWN-I1oV_STSDYn1IFDPWt_1FKiwhDph83XaGc0o0/edit?usp=sharing"",""งบพรบ!AI34"")"),0)</f>
        <v>0</v>
      </c>
      <c r="G34" s="82">
        <f ca="1">IFERROR(__xludf.DUMMYFUNCTION("IMPORTRANGE(""https://docs.google.com/spreadsheets/d/1MeEWN-I1oV_STSDYn1IFDPWt_1FKiwhDph83XaGc0o0/edit?usp=sharing"",""งบพรบ!AJ34"")"),0)</f>
        <v>0</v>
      </c>
      <c r="H34" s="82">
        <f ca="1">IFERROR(__xludf.DUMMYFUNCTION("IMPORTRANGE(""https://docs.google.com/spreadsheets/d/1MeEWN-I1oV_STSDYn1IFDPWt_1FKiwhDph83XaGc0o0/edit?usp=sharing"",""งบพรบ!AL34"")"),0)</f>
        <v>0</v>
      </c>
      <c r="I34" s="82">
        <f ca="1">IFERROR(__xludf.DUMMYFUNCTION("IMPORTRANGE(""https://docs.google.com/spreadsheets/d/1MeEWN-I1oV_STSDYn1IFDPWt_1FKiwhDph83XaGc0o0/edit?usp=sharing"",""งบพรบ!AM34"")"),0)</f>
        <v>0</v>
      </c>
      <c r="J34" s="82">
        <f t="shared" ca="1" si="3"/>
        <v>0</v>
      </c>
      <c r="K34" s="83">
        <f t="shared" ca="1" si="4"/>
        <v>0</v>
      </c>
      <c r="L34" s="82">
        <f ca="1">IFERROR(__xludf.DUMMYFUNCTION("IMPORTRANGE(""https://docs.google.com/spreadsheets/d/1MeEWN-I1oV_STSDYn1IFDPWt_1FKiwhDph83XaGc0o0/edit?usp=sharing"",""งบพรบ!AN34"")"),0)</f>
        <v>0</v>
      </c>
      <c r="M34" s="84">
        <f t="shared" ca="1" si="5"/>
        <v>0</v>
      </c>
      <c r="N34" s="84">
        <f t="shared" ca="1" si="6"/>
        <v>0</v>
      </c>
      <c r="O34" s="85">
        <f ca="1">IFERROR(__xludf.DUMMYFUNCTION("IMPORTRANGE(""https://docs.google.com/spreadsheets/d/1MeEWN-I1oV_STSDYn1IFDPWt_1FKiwhDph83XaGc0o0/edit?usp=sharing"",""งบพรบ!AO34"")"),0)</f>
        <v>0</v>
      </c>
      <c r="P34" s="85">
        <f t="shared" ca="1" si="29"/>
        <v>0</v>
      </c>
      <c r="Q34" s="84">
        <f t="shared" ca="1" si="8"/>
        <v>0</v>
      </c>
      <c r="R34" s="86">
        <f t="shared" ca="1" si="30"/>
        <v>0</v>
      </c>
      <c r="S34" s="86">
        <f t="shared" ca="1" si="24"/>
        <v>0</v>
      </c>
      <c r="T34" s="86">
        <f t="shared" ca="1" si="38"/>
        <v>0</v>
      </c>
      <c r="U34" s="87">
        <f t="shared" ca="1" si="25"/>
        <v>0</v>
      </c>
      <c r="V34" s="86">
        <f t="shared" ca="1" si="39"/>
        <v>0</v>
      </c>
      <c r="W34" s="87">
        <f t="shared" ca="1" si="26"/>
        <v>0</v>
      </c>
      <c r="X34" s="82">
        <f ca="1">IFERROR(__xludf.DUMMYFUNCTION("IMPORTRANGE(""https://docs.google.com/spreadsheets/d/1xQzEtGHhTTgxHh6YUkKY1P4dRyjVhS74dGswLfAASA4/edit?usp=sharing"",""ชัยภูมิ!I78"")"),0)</f>
        <v>0</v>
      </c>
      <c r="Y34" s="82">
        <f ca="1">IFERROR(__xludf.DUMMYFUNCTION("IMPORTRANGE(""https://docs.google.com/spreadsheets/d/1xQzEtGHhTTgxHh6YUkKY1P4dRyjVhS74dGswLfAASA4/edit?usp=sharing"",""ชัยภูมิ!I79"")"),0)</f>
        <v>0</v>
      </c>
      <c r="Z34" s="86">
        <f ca="1">IFERROR(__xludf.DUMMYFUNCTION("IMPORTRANGE(""https://docs.google.com/spreadsheets/d/1xQzEtGHhTTgxHh6YUkKY1P4dRyjVhS74dGswLfAASA4/edit?usp=sharing"",""ชัยภูมิ!J78"")"),0)</f>
        <v>0</v>
      </c>
      <c r="AA34" s="86">
        <f ca="1">IFERROR(__xludf.DUMMYFUNCTION("IMPORTRANGE(""https://docs.google.com/spreadsheets/d/1xQzEtGHhTTgxHh6YUkKY1P4dRyjVhS74dGswLfAASA4/edit?usp=sharing"",""ชัยภูมิ!J79"")"),0)</f>
        <v>0</v>
      </c>
      <c r="AB34" s="82">
        <f ca="1">IFERROR(__xludf.DUMMYFUNCTION("IMPORTRANGE(""https://docs.google.com/spreadsheets/d/1xQzEtGHhTTgxHh6YUkKY1P4dRyjVhS74dGswLfAASA4/edit?usp=sharing"",""ชัยภูมิ!I80"")"),0)</f>
        <v>0</v>
      </c>
      <c r="AC34" s="82">
        <f ca="1">IFERROR(__xludf.DUMMYFUNCTION("IMPORTRANGE(""https://docs.google.com/spreadsheets/d/1xQzEtGHhTTgxHh6YUkKY1P4dRyjVhS74dGswLfAASA4/edit?usp=sharing"",""ชัยภูมิ!I81"")"),0)</f>
        <v>0</v>
      </c>
      <c r="AD34" s="86">
        <f ca="1">IFERROR(__xludf.DUMMYFUNCTION("IMPORTRANGE(""https://docs.google.com/spreadsheets/d/1xQzEtGHhTTgxHh6YUkKY1P4dRyjVhS74dGswLfAASA4/edit?usp=sharing"",""ชัยภูมิ!J80"")"),0)</f>
        <v>0</v>
      </c>
      <c r="AE34" s="86">
        <f ca="1">IFERROR(__xludf.DUMMYFUNCTION("IMPORTRANGE(""https://docs.google.com/spreadsheets/d/1xQzEtGHhTTgxHh6YUkKY1P4dRyjVhS74dGswLfAASA4/edit?usp=sharing"",""ชัยภูมิ!J81"")"),0)</f>
        <v>0</v>
      </c>
      <c r="AF34" s="82">
        <f ca="1">IFERROR(__xludf.DUMMYFUNCTION("IMPORTRANGE(""https://docs.google.com/spreadsheets/d/1xQzEtGHhTTgxHh6YUkKY1P4dRyjVhS74dGswLfAASA4/edit?usp=sharing"",""ชัยภูมิ!I82"")"),0)</f>
        <v>0</v>
      </c>
      <c r="AG34" s="82">
        <f ca="1">IFERROR(__xludf.DUMMYFUNCTION("IMPORTRANGE(""https://docs.google.com/spreadsheets/d/1xQzEtGHhTTgxHh6YUkKY1P4dRyjVhS74dGswLfAASA4/edit?usp=sharing"",""ชัยภูมิ!I83"")"),0)</f>
        <v>0</v>
      </c>
      <c r="AH34" s="86">
        <f ca="1">IFERROR(__xludf.DUMMYFUNCTION("IMPORTRANGE(""https://docs.google.com/spreadsheets/d/1xQzEtGHhTTgxHh6YUkKY1P4dRyjVhS74dGswLfAASA4/edit?usp=sharing"",""ชัยภูมิ!J82"")"),0)</f>
        <v>0</v>
      </c>
      <c r="AI34" s="86">
        <f ca="1">IFERROR(__xludf.DUMMYFUNCTION("IMPORTRANGE(""https://docs.google.com/spreadsheets/d/1xQzEtGHhTTgxHh6YUkKY1P4dRyjVhS74dGswLfAASA4/edit?usp=sharing"",""ชัยภูมิ!J83"")"),0)</f>
        <v>0</v>
      </c>
      <c r="AJ34" s="82">
        <f ca="1">IFERROR(__xludf.DUMMYFUNCTION("IMPORTRANGE(""https://docs.google.com/spreadsheets/d/1xQzEtGHhTTgxHh6YUkKY1P4dRyjVhS74dGswLfAASA4/edit?usp=sharing"",""ชัยภูมิ!I84"")"),0)</f>
        <v>0</v>
      </c>
      <c r="AK34" s="86">
        <f ca="1">IFERROR(__xludf.DUMMYFUNCTION("IMPORTRANGE(""https://docs.google.com/spreadsheets/d/1xQzEtGHhTTgxHh6YUkKY1P4dRyjVhS74dGswLfAASA4/edit?usp=sharing"",""ชัยภูมิ!J84"")"),0)</f>
        <v>0</v>
      </c>
      <c r="AL34" s="84">
        <f t="shared" ca="1" si="27"/>
        <v>0</v>
      </c>
    </row>
    <row r="35" spans="1:38" ht="21" customHeight="1" x14ac:dyDescent="0.2">
      <c r="A35" s="78">
        <v>4</v>
      </c>
      <c r="B35" s="79" t="s">
        <v>57</v>
      </c>
      <c r="C35" s="80">
        <f t="shared" ca="1" si="0"/>
        <v>885100</v>
      </c>
      <c r="D35" s="81">
        <f t="shared" ca="1" si="37"/>
        <v>885100</v>
      </c>
      <c r="E35" s="82">
        <f ca="1">IFERROR(__xludf.DUMMYFUNCTION("IMPORTRANGE(""https://docs.google.com/spreadsheets/d/1MeEWN-I1oV_STSDYn1IFDPWt_1FKiwhDph83XaGc0o0/edit?usp=sharing"",""งบพรบ!AH35"")"),389100)</f>
        <v>389100</v>
      </c>
      <c r="F35" s="82">
        <f ca="1">IFERROR(__xludf.DUMMYFUNCTION("IMPORTRANGE(""https://docs.google.com/spreadsheets/d/1MeEWN-I1oV_STSDYn1IFDPWt_1FKiwhDph83XaGc0o0/edit?usp=sharing"",""งบพรบ!AI35"")"),496000)</f>
        <v>496000</v>
      </c>
      <c r="G35" s="82">
        <f ca="1">IFERROR(__xludf.DUMMYFUNCTION("IMPORTRANGE(""https://docs.google.com/spreadsheets/d/1MeEWN-I1oV_STSDYn1IFDPWt_1FKiwhDph83XaGc0o0/edit?usp=sharing"",""งบพรบ!AJ35"")"),0)</f>
        <v>0</v>
      </c>
      <c r="H35" s="82">
        <f ca="1">IFERROR(__xludf.DUMMYFUNCTION("IMPORTRANGE(""https://docs.google.com/spreadsheets/d/1MeEWN-I1oV_STSDYn1IFDPWt_1FKiwhDph83XaGc0o0/edit?usp=sharing"",""งบพรบ!AL35"")"),532850)</f>
        <v>532850</v>
      </c>
      <c r="I35" s="82">
        <f ca="1">IFERROR(__xludf.DUMMYFUNCTION("IMPORTRANGE(""https://docs.google.com/spreadsheets/d/1MeEWN-I1oV_STSDYn1IFDPWt_1FKiwhDph83XaGc0o0/edit?usp=sharing"",""งบพรบ!AM35"")"),0)</f>
        <v>0</v>
      </c>
      <c r="J35" s="82">
        <f t="shared" ca="1" si="3"/>
        <v>155183.89000000001</v>
      </c>
      <c r="K35" s="83">
        <f t="shared" ca="1" si="4"/>
        <v>17.532921703762288</v>
      </c>
      <c r="L35" s="82">
        <f ca="1">IFERROR(__xludf.DUMMYFUNCTION("IMPORTRANGE(""https://docs.google.com/spreadsheets/d/1MeEWN-I1oV_STSDYn1IFDPWt_1FKiwhDph83XaGc0o0/edit?usp=sharing"",""งบพรบ!AN35"")"),155183.89)</f>
        <v>155183.89000000001</v>
      </c>
      <c r="M35" s="84">
        <f t="shared" ca="1" si="5"/>
        <v>17.532921703762288</v>
      </c>
      <c r="N35" s="84">
        <f t="shared" ca="1" si="6"/>
        <v>29.123372431265839</v>
      </c>
      <c r="O35" s="85">
        <f ca="1">IFERROR(__xludf.DUMMYFUNCTION("IMPORTRANGE(""https://docs.google.com/spreadsheets/d/1MeEWN-I1oV_STSDYn1IFDPWt_1FKiwhDph83XaGc0o0/edit?usp=sharing"",""งบพรบ!AO35"")"),0)</f>
        <v>0</v>
      </c>
      <c r="P35" s="85">
        <f t="shared" ca="1" si="29"/>
        <v>0</v>
      </c>
      <c r="Q35" s="84">
        <f t="shared" ca="1" si="8"/>
        <v>0</v>
      </c>
      <c r="R35" s="86">
        <f t="shared" ca="1" si="30"/>
        <v>1</v>
      </c>
      <c r="S35" s="86">
        <f t="shared" ca="1" si="24"/>
        <v>50</v>
      </c>
      <c r="T35" s="86">
        <f t="shared" ca="1" si="38"/>
        <v>0</v>
      </c>
      <c r="U35" s="87">
        <f t="shared" ca="1" si="25"/>
        <v>0</v>
      </c>
      <c r="V35" s="86">
        <f t="shared" ca="1" si="39"/>
        <v>0</v>
      </c>
      <c r="W35" s="87">
        <f t="shared" ca="1" si="26"/>
        <v>0</v>
      </c>
      <c r="X35" s="82">
        <f ca="1">IFERROR(__xludf.DUMMYFUNCTION("IMPORTRANGE(""https://docs.google.com/spreadsheets/d/1EXMBoBxU3OFbjT2TRpneM33qFjqDzrKmn9ydcflfI0o/edit?usp=sharing"",""นครพนม!I78"")"),0)</f>
        <v>0</v>
      </c>
      <c r="Y35" s="82">
        <f ca="1">IFERROR(__xludf.DUMMYFUNCTION("IMPORTRANGE(""https://docs.google.com/spreadsheets/d/1EXMBoBxU3OFbjT2TRpneM33qFjqDzrKmn9ydcflfI0o/edit?usp=sharing"",""นครพนม!I79"")"),0)</f>
        <v>0</v>
      </c>
      <c r="Z35" s="86">
        <f ca="1">IFERROR(__xludf.DUMMYFUNCTION("IMPORTRANGE(""https://docs.google.com/spreadsheets/d/1EXMBoBxU3OFbjT2TRpneM33qFjqDzrKmn9ydcflfI0o/edit?usp=sharing"",""นครพนม!J78"")"),0)</f>
        <v>0</v>
      </c>
      <c r="AA35" s="86">
        <f ca="1">IFERROR(__xludf.DUMMYFUNCTION("IMPORTRANGE(""https://docs.google.com/spreadsheets/d/1EXMBoBxU3OFbjT2TRpneM33qFjqDzrKmn9ydcflfI0o/edit?usp=sharing"",""นครพนม!J79"")"),0)</f>
        <v>0</v>
      </c>
      <c r="AB35" s="82">
        <f ca="1">IFERROR(__xludf.DUMMYFUNCTION("IMPORTRANGE(""https://docs.google.com/spreadsheets/d/1EXMBoBxU3OFbjT2TRpneM33qFjqDzrKmn9ydcflfI0o/edit?usp=sharing"",""นครพนม!I80"")"),0)</f>
        <v>0</v>
      </c>
      <c r="AC35" s="82">
        <f ca="1">IFERROR(__xludf.DUMMYFUNCTION("IMPORTRANGE(""https://docs.google.com/spreadsheets/d/1EXMBoBxU3OFbjT2TRpneM33qFjqDzrKmn9ydcflfI0o/edit?usp=sharing"",""นครพนม!I81"")"),0)</f>
        <v>0</v>
      </c>
      <c r="AD35" s="86">
        <f ca="1">IFERROR(__xludf.DUMMYFUNCTION("IMPORTRANGE(""https://docs.google.com/spreadsheets/d/1EXMBoBxU3OFbjT2TRpneM33qFjqDzrKmn9ydcflfI0o/edit?usp=sharing"",""นครพนม!J80"")"),0)</f>
        <v>0</v>
      </c>
      <c r="AE35" s="86">
        <f ca="1">IFERROR(__xludf.DUMMYFUNCTION("IMPORTRANGE(""https://docs.google.com/spreadsheets/d/1EXMBoBxU3OFbjT2TRpneM33qFjqDzrKmn9ydcflfI0o/edit?usp=sharing"",""นครพนม!J81"")"),0)</f>
        <v>0</v>
      </c>
      <c r="AF35" s="82">
        <f ca="1">IFERROR(__xludf.DUMMYFUNCTION("IMPORTRANGE(""https://docs.google.com/spreadsheets/d/1EXMBoBxU3OFbjT2TRpneM33qFjqDzrKmn9ydcflfI0o/edit?usp=sharing"",""นครพนม!I82"")"),1)</f>
        <v>1</v>
      </c>
      <c r="AG35" s="82">
        <f ca="1">IFERROR(__xludf.DUMMYFUNCTION("IMPORTRANGE(""https://docs.google.com/spreadsheets/d/1EXMBoBxU3OFbjT2TRpneM33qFjqDzrKmn9ydcflfI0o/edit?usp=sharing"",""นครพนม!I83"")"),50)</f>
        <v>50</v>
      </c>
      <c r="AH35" s="86">
        <f ca="1">IFERROR(__xludf.DUMMYFUNCTION("IMPORTRANGE(""https://docs.google.com/spreadsheets/d/1EXMBoBxU3OFbjT2TRpneM33qFjqDzrKmn9ydcflfI0o/edit?usp=sharing"",""นครพนม!J82"")"),0)</f>
        <v>0</v>
      </c>
      <c r="AI35" s="86">
        <f ca="1">IFERROR(__xludf.DUMMYFUNCTION("IMPORTRANGE(""https://docs.google.com/spreadsheets/d/1EXMBoBxU3OFbjT2TRpneM33qFjqDzrKmn9ydcflfI0o/edit?usp=sharing"",""นครพนม!J83"")"),0)</f>
        <v>0</v>
      </c>
      <c r="AJ35" s="82">
        <f ca="1">IFERROR(__xludf.DUMMYFUNCTION("IMPORTRANGE(""https://docs.google.com/spreadsheets/d/1EXMBoBxU3OFbjT2TRpneM33qFjqDzrKmn9ydcflfI0o/edit?usp=sharing"",""นครพนม!I84"")"),1)</f>
        <v>1</v>
      </c>
      <c r="AK35" s="86">
        <f ca="1">IFERROR(__xludf.DUMMYFUNCTION("IMPORTRANGE(""https://docs.google.com/spreadsheets/d/1EXMBoBxU3OFbjT2TRpneM33qFjqDzrKmn9ydcflfI0o/edit?usp=sharing"",""นครพนม!J84"")"),0)</f>
        <v>0</v>
      </c>
      <c r="AL35" s="84">
        <f t="shared" ca="1" si="27"/>
        <v>0</v>
      </c>
    </row>
    <row r="36" spans="1:38" ht="21" customHeight="1" x14ac:dyDescent="0.2">
      <c r="A36" s="78">
        <v>5</v>
      </c>
      <c r="B36" s="79" t="s">
        <v>58</v>
      </c>
      <c r="C36" s="80">
        <f t="shared" ca="1" si="0"/>
        <v>0</v>
      </c>
      <c r="D36" s="81">
        <f t="shared" ca="1" si="37"/>
        <v>0</v>
      </c>
      <c r="E36" s="82">
        <f ca="1">IFERROR(__xludf.DUMMYFUNCTION("IMPORTRANGE(""https://docs.google.com/spreadsheets/d/1MeEWN-I1oV_STSDYn1IFDPWt_1FKiwhDph83XaGc0o0/edit?usp=sharing"",""งบพรบ!AH36"")"),0)</f>
        <v>0</v>
      </c>
      <c r="F36" s="82">
        <f ca="1">IFERROR(__xludf.DUMMYFUNCTION("IMPORTRANGE(""https://docs.google.com/spreadsheets/d/1MeEWN-I1oV_STSDYn1IFDPWt_1FKiwhDph83XaGc0o0/edit?usp=sharing"",""งบพรบ!AI36"")"),0)</f>
        <v>0</v>
      </c>
      <c r="G36" s="82">
        <f ca="1">IFERROR(__xludf.DUMMYFUNCTION("IMPORTRANGE(""https://docs.google.com/spreadsheets/d/1MeEWN-I1oV_STSDYn1IFDPWt_1FKiwhDph83XaGc0o0/edit?usp=sharing"",""งบพรบ!AJ36"")"),0)</f>
        <v>0</v>
      </c>
      <c r="H36" s="82">
        <f ca="1">IFERROR(__xludf.DUMMYFUNCTION("IMPORTRANGE(""https://docs.google.com/spreadsheets/d/1MeEWN-I1oV_STSDYn1IFDPWt_1FKiwhDph83XaGc0o0/edit?usp=sharing"",""งบพรบ!AL36"")"),0)</f>
        <v>0</v>
      </c>
      <c r="I36" s="82">
        <f ca="1">IFERROR(__xludf.DUMMYFUNCTION("IMPORTRANGE(""https://docs.google.com/spreadsheets/d/1MeEWN-I1oV_STSDYn1IFDPWt_1FKiwhDph83XaGc0o0/edit?usp=sharing"",""งบพรบ!AM36"")"),0)</f>
        <v>0</v>
      </c>
      <c r="J36" s="82">
        <f t="shared" ca="1" si="3"/>
        <v>0</v>
      </c>
      <c r="K36" s="83">
        <f t="shared" ca="1" si="4"/>
        <v>0</v>
      </c>
      <c r="L36" s="82">
        <f ca="1">IFERROR(__xludf.DUMMYFUNCTION("IMPORTRANGE(""https://docs.google.com/spreadsheets/d/1MeEWN-I1oV_STSDYn1IFDPWt_1FKiwhDph83XaGc0o0/edit?usp=sharing"",""งบพรบ!AN36"")"),0)</f>
        <v>0</v>
      </c>
      <c r="M36" s="84">
        <f t="shared" ca="1" si="5"/>
        <v>0</v>
      </c>
      <c r="N36" s="84">
        <f t="shared" ca="1" si="6"/>
        <v>0</v>
      </c>
      <c r="O36" s="85">
        <f ca="1">IFERROR(__xludf.DUMMYFUNCTION("IMPORTRANGE(""https://docs.google.com/spreadsheets/d/1MeEWN-I1oV_STSDYn1IFDPWt_1FKiwhDph83XaGc0o0/edit?usp=sharing"",""งบพรบ!AO36"")"),0)</f>
        <v>0</v>
      </c>
      <c r="P36" s="85">
        <f t="shared" ca="1" si="29"/>
        <v>0</v>
      </c>
      <c r="Q36" s="84">
        <f t="shared" ca="1" si="8"/>
        <v>0</v>
      </c>
      <c r="R36" s="86">
        <f t="shared" ca="1" si="30"/>
        <v>0</v>
      </c>
      <c r="S36" s="86">
        <f t="shared" ca="1" si="24"/>
        <v>0</v>
      </c>
      <c r="T36" s="86">
        <f t="shared" ca="1" si="38"/>
        <v>0</v>
      </c>
      <c r="U36" s="87">
        <f t="shared" ca="1" si="25"/>
        <v>0</v>
      </c>
      <c r="V36" s="86">
        <f t="shared" ca="1" si="39"/>
        <v>0</v>
      </c>
      <c r="W36" s="87">
        <f t="shared" ca="1" si="26"/>
        <v>0</v>
      </c>
      <c r="X36" s="82">
        <f ca="1">IFERROR(__xludf.DUMMYFUNCTION("IMPORTRANGE(""https://docs.google.com/spreadsheets/d/1bDQrolntRWtHumK8W-x-HXKntwxB9S3sF5aDeRS66Ko/edit?usp=sharing"",""นครราชสีมา!I78"")"),0)</f>
        <v>0</v>
      </c>
      <c r="Y36" s="82">
        <f ca="1">IFERROR(__xludf.DUMMYFUNCTION("IMPORTRANGE(""https://docs.google.com/spreadsheets/d/1bDQrolntRWtHumK8W-x-HXKntwxB9S3sF5aDeRS66Ko/edit?usp=sharing"",""นครราชสีมา!I79"")"),0)</f>
        <v>0</v>
      </c>
      <c r="Z36" s="86">
        <f ca="1">IFERROR(__xludf.DUMMYFUNCTION("IMPORTRANGE(""https://docs.google.com/spreadsheets/d/1bDQrolntRWtHumK8W-x-HXKntwxB9S3sF5aDeRS66Ko/edit?usp=sharing"",""นครราชสีมา!J78"")"),0)</f>
        <v>0</v>
      </c>
      <c r="AA36" s="86">
        <f ca="1">IFERROR(__xludf.DUMMYFUNCTION("IMPORTRANGE(""https://docs.google.com/spreadsheets/d/1bDQrolntRWtHumK8W-x-HXKntwxB9S3sF5aDeRS66Ko/edit?usp=sharing"",""นครราชสีมา!J79"")"),0)</f>
        <v>0</v>
      </c>
      <c r="AB36" s="82">
        <f ca="1">IFERROR(__xludf.DUMMYFUNCTION("IMPORTRANGE(""https://docs.google.com/spreadsheets/d/1bDQrolntRWtHumK8W-x-HXKntwxB9S3sF5aDeRS66Ko/edit?usp=sharing"",""นครราชสีมา!I80"")"),0)</f>
        <v>0</v>
      </c>
      <c r="AC36" s="82">
        <f ca="1">IFERROR(__xludf.DUMMYFUNCTION("IMPORTRANGE(""https://docs.google.com/spreadsheets/d/1bDQrolntRWtHumK8W-x-HXKntwxB9S3sF5aDeRS66Ko/edit?usp=sharing"",""นครราชสีมา!I81"")"),0)</f>
        <v>0</v>
      </c>
      <c r="AD36" s="86">
        <f ca="1">IFERROR(__xludf.DUMMYFUNCTION("IMPORTRANGE(""https://docs.google.com/spreadsheets/d/1bDQrolntRWtHumK8W-x-HXKntwxB9S3sF5aDeRS66Ko/edit?usp=sharing"",""นครราชสีมา!J80"")"),0)</f>
        <v>0</v>
      </c>
      <c r="AE36" s="86">
        <f ca="1">IFERROR(__xludf.DUMMYFUNCTION("IMPORTRANGE(""https://docs.google.com/spreadsheets/d/1bDQrolntRWtHumK8W-x-HXKntwxB9S3sF5aDeRS66Ko/edit?usp=sharing"",""นครราชสีมา!J81"")"),0)</f>
        <v>0</v>
      </c>
      <c r="AF36" s="82">
        <f ca="1">IFERROR(__xludf.DUMMYFUNCTION("IMPORTRANGE(""https://docs.google.com/spreadsheets/d/1bDQrolntRWtHumK8W-x-HXKntwxB9S3sF5aDeRS66Ko/edit?usp=sharing"",""นครราชสีมา!I82"")"),0)</f>
        <v>0</v>
      </c>
      <c r="AG36" s="82">
        <f ca="1">IFERROR(__xludf.DUMMYFUNCTION("IMPORTRANGE(""https://docs.google.com/spreadsheets/d/1bDQrolntRWtHumK8W-x-HXKntwxB9S3sF5aDeRS66Ko/edit?usp=sharing"",""นครราชสีมา!I83"")"),0)</f>
        <v>0</v>
      </c>
      <c r="AH36" s="86">
        <f ca="1">IFERROR(__xludf.DUMMYFUNCTION("IMPORTRANGE(""https://docs.google.com/spreadsheets/d/1bDQrolntRWtHumK8W-x-HXKntwxB9S3sF5aDeRS66Ko/edit?usp=sharing"",""นครราชสีมา!J82"")"),0)</f>
        <v>0</v>
      </c>
      <c r="AI36" s="86">
        <f ca="1">IFERROR(__xludf.DUMMYFUNCTION("IMPORTRANGE(""https://docs.google.com/spreadsheets/d/1bDQrolntRWtHumK8W-x-HXKntwxB9S3sF5aDeRS66Ko/edit?usp=sharing"",""นครราชสีมา!J83"")"),0)</f>
        <v>0</v>
      </c>
      <c r="AJ36" s="82">
        <f ca="1">IFERROR(__xludf.DUMMYFUNCTION("IMPORTRANGE(""https://docs.google.com/spreadsheets/d/1bDQrolntRWtHumK8W-x-HXKntwxB9S3sF5aDeRS66Ko/edit?usp=sharing"",""นครราชสีมา!I84"")"),0)</f>
        <v>0</v>
      </c>
      <c r="AK36" s="86">
        <f ca="1">IFERROR(__xludf.DUMMYFUNCTION("IMPORTRANGE(""https://docs.google.com/spreadsheets/d/1bDQrolntRWtHumK8W-x-HXKntwxB9S3sF5aDeRS66Ko/edit?usp=sharing"",""นครราชสีมา!J84"")"),0)</f>
        <v>0</v>
      </c>
      <c r="AL36" s="84">
        <f t="shared" ca="1" si="27"/>
        <v>0</v>
      </c>
    </row>
    <row r="37" spans="1:38" ht="21" customHeight="1" x14ac:dyDescent="0.2">
      <c r="A37" s="78">
        <v>6</v>
      </c>
      <c r="B37" s="79" t="s">
        <v>59</v>
      </c>
      <c r="C37" s="80">
        <f t="shared" ca="1" si="0"/>
        <v>0</v>
      </c>
      <c r="D37" s="81">
        <f t="shared" ca="1" si="37"/>
        <v>0</v>
      </c>
      <c r="E37" s="82">
        <f ca="1">IFERROR(__xludf.DUMMYFUNCTION("IMPORTRANGE(""https://docs.google.com/spreadsheets/d/1MeEWN-I1oV_STSDYn1IFDPWt_1FKiwhDph83XaGc0o0/edit?usp=sharing"",""งบพรบ!AH37"")"),0)</f>
        <v>0</v>
      </c>
      <c r="F37" s="82">
        <f ca="1">IFERROR(__xludf.DUMMYFUNCTION("IMPORTRANGE(""https://docs.google.com/spreadsheets/d/1MeEWN-I1oV_STSDYn1IFDPWt_1FKiwhDph83XaGc0o0/edit?usp=sharing"",""งบพรบ!AI37"")"),0)</f>
        <v>0</v>
      </c>
      <c r="G37" s="82">
        <f ca="1">IFERROR(__xludf.DUMMYFUNCTION("IMPORTRANGE(""https://docs.google.com/spreadsheets/d/1MeEWN-I1oV_STSDYn1IFDPWt_1FKiwhDph83XaGc0o0/edit?usp=sharing"",""งบพรบ!AJ37"")"),0)</f>
        <v>0</v>
      </c>
      <c r="H37" s="82">
        <f ca="1">IFERROR(__xludf.DUMMYFUNCTION("IMPORTRANGE(""https://docs.google.com/spreadsheets/d/1MeEWN-I1oV_STSDYn1IFDPWt_1FKiwhDph83XaGc0o0/edit?usp=sharing"",""งบพรบ!AL37"")"),0)</f>
        <v>0</v>
      </c>
      <c r="I37" s="82">
        <f ca="1">IFERROR(__xludf.DUMMYFUNCTION("IMPORTRANGE(""https://docs.google.com/spreadsheets/d/1MeEWN-I1oV_STSDYn1IFDPWt_1FKiwhDph83XaGc0o0/edit?usp=sharing"",""งบพรบ!AM37"")"),0)</f>
        <v>0</v>
      </c>
      <c r="J37" s="82">
        <f t="shared" ca="1" si="3"/>
        <v>0</v>
      </c>
      <c r="K37" s="83">
        <f t="shared" ca="1" si="4"/>
        <v>0</v>
      </c>
      <c r="L37" s="82">
        <f ca="1">IFERROR(__xludf.DUMMYFUNCTION("IMPORTRANGE(""https://docs.google.com/spreadsheets/d/1MeEWN-I1oV_STSDYn1IFDPWt_1FKiwhDph83XaGc0o0/edit?usp=sharing"",""งบพรบ!AN37"")"),0)</f>
        <v>0</v>
      </c>
      <c r="M37" s="84">
        <f t="shared" ca="1" si="5"/>
        <v>0</v>
      </c>
      <c r="N37" s="84">
        <f t="shared" ca="1" si="6"/>
        <v>0</v>
      </c>
      <c r="O37" s="85">
        <f ca="1">IFERROR(__xludf.DUMMYFUNCTION("IMPORTRANGE(""https://docs.google.com/spreadsheets/d/1MeEWN-I1oV_STSDYn1IFDPWt_1FKiwhDph83XaGc0o0/edit?usp=sharing"",""งบพรบ!AO37"")"),0)</f>
        <v>0</v>
      </c>
      <c r="P37" s="85">
        <f t="shared" ca="1" si="29"/>
        <v>0</v>
      </c>
      <c r="Q37" s="84">
        <f t="shared" ca="1" si="8"/>
        <v>0</v>
      </c>
      <c r="R37" s="86">
        <f t="shared" ca="1" si="30"/>
        <v>0</v>
      </c>
      <c r="S37" s="86">
        <f t="shared" ca="1" si="24"/>
        <v>0</v>
      </c>
      <c r="T37" s="86">
        <f t="shared" ca="1" si="38"/>
        <v>0</v>
      </c>
      <c r="U37" s="87">
        <f t="shared" ca="1" si="25"/>
        <v>0</v>
      </c>
      <c r="V37" s="86">
        <f t="shared" ca="1" si="39"/>
        <v>0</v>
      </c>
      <c r="W37" s="87">
        <f t="shared" ca="1" si="26"/>
        <v>0</v>
      </c>
      <c r="X37" s="82">
        <f ca="1">IFERROR(__xludf.DUMMYFUNCTION("IMPORTRANGE(""https://docs.google.com/spreadsheets/d/1_MzZ-2gVPiCW-d2VcafoCmFJQTSrZ6SQyFcMqRRQQ2w/edit?usp=sharing"",""บึงกาฬ!I78"")"),0)</f>
        <v>0</v>
      </c>
      <c r="Y37" s="82">
        <f ca="1">IFERROR(__xludf.DUMMYFUNCTION("IMPORTRANGE(""https://docs.google.com/spreadsheets/d/1_MzZ-2gVPiCW-d2VcafoCmFJQTSrZ6SQyFcMqRRQQ2w/edit?usp=sharing"",""บึงกาฬ!I79"")"),0)</f>
        <v>0</v>
      </c>
      <c r="Z37" s="86">
        <f ca="1">IFERROR(__xludf.DUMMYFUNCTION("IMPORTRANGE(""https://docs.google.com/spreadsheets/d/1_MzZ-2gVPiCW-d2VcafoCmFJQTSrZ6SQyFcMqRRQQ2w/edit?usp=sharing"",""บึงกาฬ!J78"")"),0)</f>
        <v>0</v>
      </c>
      <c r="AA37" s="86">
        <f ca="1">IFERROR(__xludf.DUMMYFUNCTION("IMPORTRANGE(""https://docs.google.com/spreadsheets/d/1_MzZ-2gVPiCW-d2VcafoCmFJQTSrZ6SQyFcMqRRQQ2w/edit?usp=sharing"",""บึงกาฬ!J79"")"),0)</f>
        <v>0</v>
      </c>
      <c r="AB37" s="82">
        <f ca="1">IFERROR(__xludf.DUMMYFUNCTION("IMPORTRANGE(""https://docs.google.com/spreadsheets/d/1_MzZ-2gVPiCW-d2VcafoCmFJQTSrZ6SQyFcMqRRQQ2w/edit?usp=sharing"",""บึงกาฬ!I80"")"),0)</f>
        <v>0</v>
      </c>
      <c r="AC37" s="82">
        <f ca="1">IFERROR(__xludf.DUMMYFUNCTION("IMPORTRANGE(""https://docs.google.com/spreadsheets/d/1_MzZ-2gVPiCW-d2VcafoCmFJQTSrZ6SQyFcMqRRQQ2w/edit?usp=sharing"",""บึงกาฬ!I81"")"),0)</f>
        <v>0</v>
      </c>
      <c r="AD37" s="86">
        <f ca="1">IFERROR(__xludf.DUMMYFUNCTION("IMPORTRANGE(""https://docs.google.com/spreadsheets/d/1_MzZ-2gVPiCW-d2VcafoCmFJQTSrZ6SQyFcMqRRQQ2w/edit?usp=sharing"",""บึงกาฬ!J80"")"),0)</f>
        <v>0</v>
      </c>
      <c r="AE37" s="86">
        <f ca="1">IFERROR(__xludf.DUMMYFUNCTION("IMPORTRANGE(""https://docs.google.com/spreadsheets/d/1_MzZ-2gVPiCW-d2VcafoCmFJQTSrZ6SQyFcMqRRQQ2w/edit?usp=sharing"",""บึงกาฬ!J81"")"),0)</f>
        <v>0</v>
      </c>
      <c r="AF37" s="82">
        <f ca="1">IFERROR(__xludf.DUMMYFUNCTION("IMPORTRANGE(""https://docs.google.com/spreadsheets/d/1_MzZ-2gVPiCW-d2VcafoCmFJQTSrZ6SQyFcMqRRQQ2w/edit?usp=sharing"",""บึงกาฬ!I82"")"),0)</f>
        <v>0</v>
      </c>
      <c r="AG37" s="82">
        <f ca="1">IFERROR(__xludf.DUMMYFUNCTION("IMPORTRANGE(""https://docs.google.com/spreadsheets/d/1_MzZ-2gVPiCW-d2VcafoCmFJQTSrZ6SQyFcMqRRQQ2w/edit?usp=sharing"",""บึงกาฬ!I83"")"),0)</f>
        <v>0</v>
      </c>
      <c r="AH37" s="86">
        <f ca="1">IFERROR(__xludf.DUMMYFUNCTION("IMPORTRANGE(""https://docs.google.com/spreadsheets/d/1_MzZ-2gVPiCW-d2VcafoCmFJQTSrZ6SQyFcMqRRQQ2w/edit?usp=sharing"",""บึงกาฬ!J82"")"),0)</f>
        <v>0</v>
      </c>
      <c r="AI37" s="86">
        <f ca="1">IFERROR(__xludf.DUMMYFUNCTION("IMPORTRANGE(""https://docs.google.com/spreadsheets/d/1_MzZ-2gVPiCW-d2VcafoCmFJQTSrZ6SQyFcMqRRQQ2w/edit?usp=sharing"",""บึงกาฬ!J83"")"),0)</f>
        <v>0</v>
      </c>
      <c r="AJ37" s="82">
        <f ca="1">IFERROR(__xludf.DUMMYFUNCTION("IMPORTRANGE(""https://docs.google.com/spreadsheets/d/1_MzZ-2gVPiCW-d2VcafoCmFJQTSrZ6SQyFcMqRRQQ2w/edit?usp=sharing"",""บึงกาฬ!I84"")"),0)</f>
        <v>0</v>
      </c>
      <c r="AK37" s="86">
        <f ca="1">IFERROR(__xludf.DUMMYFUNCTION("IMPORTRANGE(""https://docs.google.com/spreadsheets/d/1_MzZ-2gVPiCW-d2VcafoCmFJQTSrZ6SQyFcMqRRQQ2w/edit?usp=sharing"",""บึงกาฬ!J84"")"),0)</f>
        <v>0</v>
      </c>
      <c r="AL37" s="84">
        <f t="shared" ca="1" si="27"/>
        <v>0</v>
      </c>
    </row>
    <row r="38" spans="1:38" ht="21" customHeight="1" x14ac:dyDescent="0.2">
      <c r="A38" s="78">
        <v>7</v>
      </c>
      <c r="B38" s="79" t="s">
        <v>60</v>
      </c>
      <c r="C38" s="80">
        <f t="shared" ca="1" si="0"/>
        <v>855000</v>
      </c>
      <c r="D38" s="81">
        <f t="shared" ca="1" si="37"/>
        <v>855000</v>
      </c>
      <c r="E38" s="82">
        <f ca="1">IFERROR(__xludf.DUMMYFUNCTION("IMPORTRANGE(""https://docs.google.com/spreadsheets/d/1MeEWN-I1oV_STSDYn1IFDPWt_1FKiwhDph83XaGc0o0/edit?usp=sharing"",""งบพรบ!AH38"")"),276200)</f>
        <v>276200</v>
      </c>
      <c r="F38" s="82">
        <f ca="1">IFERROR(__xludf.DUMMYFUNCTION("IMPORTRANGE(""https://docs.google.com/spreadsheets/d/1MeEWN-I1oV_STSDYn1IFDPWt_1FKiwhDph83XaGc0o0/edit?usp=sharing"",""งบพรบ!AI38"")"),578800)</f>
        <v>578800</v>
      </c>
      <c r="G38" s="82">
        <f ca="1">IFERROR(__xludf.DUMMYFUNCTION("IMPORTRANGE(""https://docs.google.com/spreadsheets/d/1MeEWN-I1oV_STSDYn1IFDPWt_1FKiwhDph83XaGc0o0/edit?usp=sharing"",""งบพรบ!AJ38"")"),0)</f>
        <v>0</v>
      </c>
      <c r="H38" s="82">
        <f ca="1">IFERROR(__xludf.DUMMYFUNCTION("IMPORTRANGE(""https://docs.google.com/spreadsheets/d/1MeEWN-I1oV_STSDYn1IFDPWt_1FKiwhDph83XaGc0o0/edit?usp=sharing"",""งบพรบ!AL38"")"),484150)</f>
        <v>484150</v>
      </c>
      <c r="I38" s="82">
        <f ca="1">IFERROR(__xludf.DUMMYFUNCTION("IMPORTRANGE(""https://docs.google.com/spreadsheets/d/1MeEWN-I1oV_STSDYn1IFDPWt_1FKiwhDph83XaGc0o0/edit?usp=sharing"",""งบพรบ!AM38"")"),0)</f>
        <v>0</v>
      </c>
      <c r="J38" s="82">
        <f t="shared" ca="1" si="3"/>
        <v>349050</v>
      </c>
      <c r="K38" s="83">
        <f t="shared" ca="1" si="4"/>
        <v>40.824561403508774</v>
      </c>
      <c r="L38" s="82">
        <f ca="1">IFERROR(__xludf.DUMMYFUNCTION("IMPORTRANGE(""https://docs.google.com/spreadsheets/d/1MeEWN-I1oV_STSDYn1IFDPWt_1FKiwhDph83XaGc0o0/edit?usp=sharing"",""งบพรบ!AN38"")"),349050)</f>
        <v>349050</v>
      </c>
      <c r="M38" s="84">
        <f t="shared" ca="1" si="5"/>
        <v>40.824561403508774</v>
      </c>
      <c r="N38" s="84">
        <f t="shared" ca="1" si="6"/>
        <v>72.095424971599712</v>
      </c>
      <c r="O38" s="85">
        <f ca="1">IFERROR(__xludf.DUMMYFUNCTION("IMPORTRANGE(""https://docs.google.com/spreadsheets/d/1MeEWN-I1oV_STSDYn1IFDPWt_1FKiwhDph83XaGc0o0/edit?usp=sharing"",""งบพรบ!AO38"")"),0)</f>
        <v>0</v>
      </c>
      <c r="P38" s="85">
        <f t="shared" ca="1" si="29"/>
        <v>0</v>
      </c>
      <c r="Q38" s="84">
        <f t="shared" ca="1" si="8"/>
        <v>0</v>
      </c>
      <c r="R38" s="86">
        <f t="shared" ca="1" si="30"/>
        <v>1</v>
      </c>
      <c r="S38" s="86">
        <f t="shared" ca="1" si="24"/>
        <v>63</v>
      </c>
      <c r="T38" s="86">
        <f t="shared" ca="1" si="38"/>
        <v>1</v>
      </c>
      <c r="U38" s="87">
        <f t="shared" ca="1" si="25"/>
        <v>100</v>
      </c>
      <c r="V38" s="86">
        <f t="shared" ca="1" si="39"/>
        <v>63</v>
      </c>
      <c r="W38" s="87">
        <f t="shared" ca="1" si="26"/>
        <v>100</v>
      </c>
      <c r="X38" s="86">
        <f ca="1">IFERROR(__xludf.DUMMYFUNCTION("IMPORTRANGE(""https://docs.google.com/spreadsheets/d/1B3lPpzOuaNwVItLwLEZYl_qEblfcx7dRnbRkAw0l-pE/edit?usp=sharing"",""บุรีรัมย์!I78"")"),0)</f>
        <v>0</v>
      </c>
      <c r="Y38" s="86">
        <f ca="1">IFERROR(__xludf.DUMMYFUNCTION("IMPORTRANGE(""https://docs.google.com/spreadsheets/d/1B3lPpzOuaNwVItLwLEZYl_qEblfcx7dRnbRkAw0l-pE/edit?usp=sharing"",""บุรีรัมย์!I79"")"),0)</f>
        <v>0</v>
      </c>
      <c r="Z38" s="86">
        <f ca="1">IFERROR(__xludf.DUMMYFUNCTION("IMPORTRANGE(""https://docs.google.com/spreadsheets/d/1B3lPpzOuaNwVItLwLEZYl_qEblfcx7dRnbRkAw0l-pE/edit?usp=sharing"",""บุรีรัมย์!J78"")"),0)</f>
        <v>0</v>
      </c>
      <c r="AA38" s="86">
        <f ca="1">IFERROR(__xludf.DUMMYFUNCTION("IMPORTRANGE(""https://docs.google.com/spreadsheets/d/1B3lPpzOuaNwVItLwLEZYl_qEblfcx7dRnbRkAw0l-pE/edit?usp=sharing"",""บุรีรัมย์!J79"")"),0)</f>
        <v>0</v>
      </c>
      <c r="AB38" s="86">
        <f ca="1">IFERROR(__xludf.DUMMYFUNCTION("IMPORTRANGE(""https://docs.google.com/spreadsheets/d/1B3lPpzOuaNwVItLwLEZYl_qEblfcx7dRnbRkAw0l-pE/edit?usp=sharing"",""บุรีรัมย์!I80"")"),1)</f>
        <v>1</v>
      </c>
      <c r="AC38" s="86">
        <f ca="1">IFERROR(__xludf.DUMMYFUNCTION("IMPORTRANGE(""https://docs.google.com/spreadsheets/d/1B3lPpzOuaNwVItLwLEZYl_qEblfcx7dRnbRkAw0l-pE/edit?usp=sharing"",""บุรีรัมย์!I81"")"),63)</f>
        <v>63</v>
      </c>
      <c r="AD38" s="86">
        <f ca="1">IFERROR(__xludf.DUMMYFUNCTION("IMPORTRANGE(""https://docs.google.com/spreadsheets/d/1B3lPpzOuaNwVItLwLEZYl_qEblfcx7dRnbRkAw0l-pE/edit?usp=sharing"",""บุรีรัมย์!J80"")"),1)</f>
        <v>1</v>
      </c>
      <c r="AE38" s="86">
        <f ca="1">IFERROR(__xludf.DUMMYFUNCTION("IMPORTRANGE(""https://docs.google.com/spreadsheets/d/1B3lPpzOuaNwVItLwLEZYl_qEblfcx7dRnbRkAw0l-pE/edit?usp=sharing"",""บุรีรัมย์!J81"")"),63)</f>
        <v>63</v>
      </c>
      <c r="AF38" s="86">
        <f ca="1">IFERROR(__xludf.DUMMYFUNCTION("IMPORTRANGE(""https://docs.google.com/spreadsheets/d/1B3lPpzOuaNwVItLwLEZYl_qEblfcx7dRnbRkAw0l-pE/edit?usp=sharing"",""บุรีรัมย์!I82"")"),0)</f>
        <v>0</v>
      </c>
      <c r="AG38" s="82">
        <f ca="1">IFERROR(__xludf.DUMMYFUNCTION("IMPORTRANGE(""https://docs.google.com/spreadsheets/d/1B3lPpzOuaNwVItLwLEZYl_qEblfcx7dRnbRkAw0l-pE/edit?usp=sharing"",""บุรีรัมย์!I83"")"),0)</f>
        <v>0</v>
      </c>
      <c r="AH38" s="86">
        <f ca="1">IFERROR(__xludf.DUMMYFUNCTION("IMPORTRANGE(""https://docs.google.com/spreadsheets/d/1B3lPpzOuaNwVItLwLEZYl_qEblfcx7dRnbRkAw0l-pE/edit?usp=sharing"",""บุรีรัมย์!J82"")"),0)</f>
        <v>0</v>
      </c>
      <c r="AI38" s="86">
        <f ca="1">IFERROR(__xludf.DUMMYFUNCTION("IMPORTRANGE(""https://docs.google.com/spreadsheets/d/1B3lPpzOuaNwVItLwLEZYl_qEblfcx7dRnbRkAw0l-pE/edit?usp=sharing"",""บุรีรัมย์!J83"")"),0)</f>
        <v>0</v>
      </c>
      <c r="AJ38" s="86">
        <f ca="1">IFERROR(__xludf.DUMMYFUNCTION("IMPORTRANGE(""https://docs.google.com/spreadsheets/d/1B3lPpzOuaNwVItLwLEZYl_qEblfcx7dRnbRkAw0l-pE/edit?usp=sharing"",""บุรีรัมย์!I84"")"),1)</f>
        <v>1</v>
      </c>
      <c r="AK38" s="86">
        <f ca="1">IFERROR(__xludf.DUMMYFUNCTION("IMPORTRANGE(""https://docs.google.com/spreadsheets/d/1B3lPpzOuaNwVItLwLEZYl_qEblfcx7dRnbRkAw0l-pE/edit?usp=sharing"",""บุรีรัมย์!J84"")"),0)</f>
        <v>0</v>
      </c>
      <c r="AL38" s="87">
        <f t="shared" ca="1" si="27"/>
        <v>0</v>
      </c>
    </row>
    <row r="39" spans="1:38" ht="21" customHeight="1" x14ac:dyDescent="0.2">
      <c r="A39" s="78">
        <v>8</v>
      </c>
      <c r="B39" s="79" t="s">
        <v>61</v>
      </c>
      <c r="C39" s="80">
        <f t="shared" ca="1" si="0"/>
        <v>1621800</v>
      </c>
      <c r="D39" s="81">
        <f t="shared" ca="1" si="37"/>
        <v>1621800</v>
      </c>
      <c r="E39" s="82">
        <f ca="1">IFERROR(__xludf.DUMMYFUNCTION("IMPORTRANGE(""https://docs.google.com/spreadsheets/d/1MeEWN-I1oV_STSDYn1IFDPWt_1FKiwhDph83XaGc0o0/edit?usp=sharing"",""งบพรบ!AH39"")"),534400)</f>
        <v>534400</v>
      </c>
      <c r="F39" s="82">
        <f ca="1">IFERROR(__xludf.DUMMYFUNCTION("IMPORTRANGE(""https://docs.google.com/spreadsheets/d/1MeEWN-I1oV_STSDYn1IFDPWt_1FKiwhDph83XaGc0o0/edit?usp=sharing"",""งบพรบ!AI39"")"),1087400)</f>
        <v>1087400</v>
      </c>
      <c r="G39" s="82">
        <f ca="1">IFERROR(__xludf.DUMMYFUNCTION("IMPORTRANGE(""https://docs.google.com/spreadsheets/d/1MeEWN-I1oV_STSDYn1IFDPWt_1FKiwhDph83XaGc0o0/edit?usp=sharing"",""งบพรบ!AJ39"")"),0)</f>
        <v>0</v>
      </c>
      <c r="H39" s="82">
        <f ca="1">IFERROR(__xludf.DUMMYFUNCTION("IMPORTRANGE(""https://docs.google.com/spreadsheets/d/1MeEWN-I1oV_STSDYn1IFDPWt_1FKiwhDph83XaGc0o0/edit?usp=sharing"",""งบพรบ!AL39"")"),927550)</f>
        <v>927550</v>
      </c>
      <c r="I39" s="82">
        <f ca="1">IFERROR(__xludf.DUMMYFUNCTION("IMPORTRANGE(""https://docs.google.com/spreadsheets/d/1MeEWN-I1oV_STSDYn1IFDPWt_1FKiwhDph83XaGc0o0/edit?usp=sharing"",""งบพรบ!AM39"")"),0)</f>
        <v>0</v>
      </c>
      <c r="J39" s="82">
        <f t="shared" ca="1" si="3"/>
        <v>407611.23</v>
      </c>
      <c r="K39" s="83">
        <f t="shared" ca="1" si="4"/>
        <v>25.133261191268961</v>
      </c>
      <c r="L39" s="82">
        <f ca="1">IFERROR(__xludf.DUMMYFUNCTION("IMPORTRANGE(""https://docs.google.com/spreadsheets/d/1MeEWN-I1oV_STSDYn1IFDPWt_1FKiwhDph83XaGc0o0/edit?usp=sharing"",""งบพรบ!AN39"")"),407611.23)</f>
        <v>407611.23</v>
      </c>
      <c r="M39" s="84">
        <f t="shared" ca="1" si="5"/>
        <v>25.133261191268961</v>
      </c>
      <c r="N39" s="84">
        <f t="shared" ca="1" si="6"/>
        <v>43.944933426769445</v>
      </c>
      <c r="O39" s="85">
        <f ca="1">IFERROR(__xludf.DUMMYFUNCTION("IMPORTRANGE(""https://docs.google.com/spreadsheets/d/1MeEWN-I1oV_STSDYn1IFDPWt_1FKiwhDph83XaGc0o0/edit?usp=sharing"",""งบพรบ!AO39"")"),0)</f>
        <v>0</v>
      </c>
      <c r="P39" s="85">
        <f t="shared" ca="1" si="29"/>
        <v>0</v>
      </c>
      <c r="Q39" s="84">
        <f t="shared" ca="1" si="8"/>
        <v>0</v>
      </c>
      <c r="R39" s="86">
        <f t="shared" ca="1" si="30"/>
        <v>3</v>
      </c>
      <c r="S39" s="86">
        <f t="shared" ca="1" si="24"/>
        <v>109</v>
      </c>
      <c r="T39" s="86">
        <f t="shared" ca="1" si="38"/>
        <v>2</v>
      </c>
      <c r="U39" s="87">
        <f t="shared" ca="1" si="25"/>
        <v>66.666666666666671</v>
      </c>
      <c r="V39" s="86">
        <f t="shared" ca="1" si="39"/>
        <v>77</v>
      </c>
      <c r="W39" s="87">
        <f t="shared" ca="1" si="26"/>
        <v>70.642201834862391</v>
      </c>
      <c r="X39" s="86">
        <f ca="1">IFERROR(__xludf.DUMMYFUNCTION("IMPORTRANGE(""https://docs.google.com/spreadsheets/d/19GOkiOqnzYbevLYWrMk4qFOXe3rX14BkSA8X-mq-a40/edit?usp=sharing"",""มหาสารคาม!I78"")"),1)</f>
        <v>1</v>
      </c>
      <c r="Y39" s="86">
        <f ca="1">IFERROR(__xludf.DUMMYFUNCTION("IMPORTRANGE(""https://docs.google.com/spreadsheets/d/19GOkiOqnzYbevLYWrMk4qFOXe3rX14BkSA8X-mq-a40/edit?usp=sharing"",""มหาสารคาม!I79"")"),32)</f>
        <v>32</v>
      </c>
      <c r="Z39" s="86">
        <f ca="1">IFERROR(__xludf.DUMMYFUNCTION("IMPORTRANGE(""https://docs.google.com/spreadsheets/d/19GOkiOqnzYbevLYWrMk4qFOXe3rX14BkSA8X-mq-a40/edit?usp=sharing"",""มหาสารคาม!J78"")"),0)</f>
        <v>0</v>
      </c>
      <c r="AA39" s="86">
        <f ca="1">IFERROR(__xludf.DUMMYFUNCTION("IMPORTRANGE(""https://docs.google.com/spreadsheets/d/19GOkiOqnzYbevLYWrMk4qFOXe3rX14BkSA8X-mq-a40/edit?usp=sharing"",""มหาสารคาม!J79"")"),0)</f>
        <v>0</v>
      </c>
      <c r="AB39" s="86">
        <f ca="1">IFERROR(__xludf.DUMMYFUNCTION("IMPORTRANGE(""https://docs.google.com/spreadsheets/d/19GOkiOqnzYbevLYWrMk4qFOXe3rX14BkSA8X-mq-a40/edit?usp=sharing"",""มหาสารคาม!I80"")"),1)</f>
        <v>1</v>
      </c>
      <c r="AC39" s="86">
        <f ca="1">IFERROR(__xludf.DUMMYFUNCTION("IMPORTRANGE(""https://docs.google.com/spreadsheets/d/19GOkiOqnzYbevLYWrMk4qFOXe3rX14BkSA8X-mq-a40/edit?usp=sharing"",""มหาสารคาม!I81"")"),37)</f>
        <v>37</v>
      </c>
      <c r="AD39" s="86">
        <f ca="1">IFERROR(__xludf.DUMMYFUNCTION("IMPORTRANGE(""https://docs.google.com/spreadsheets/d/19GOkiOqnzYbevLYWrMk4qFOXe3rX14BkSA8X-mq-a40/edit?usp=sharing"",""มหาสารคาม!J80"")"),1)</f>
        <v>1</v>
      </c>
      <c r="AE39" s="86">
        <f ca="1">IFERROR(__xludf.DUMMYFUNCTION("IMPORTRANGE(""https://docs.google.com/spreadsheets/d/19GOkiOqnzYbevLYWrMk4qFOXe3rX14BkSA8X-mq-a40/edit?usp=sharing"",""มหาสารคาม!J81"")"),37)</f>
        <v>37</v>
      </c>
      <c r="AF39" s="86">
        <f ca="1">IFERROR(__xludf.DUMMYFUNCTION("IMPORTRANGE(""https://docs.google.com/spreadsheets/d/19GOkiOqnzYbevLYWrMk4qFOXe3rX14BkSA8X-mq-a40/edit?usp=sharing"",""มหาสารคาม!I82"")"),1)</f>
        <v>1</v>
      </c>
      <c r="AG39" s="82">
        <f ca="1">IFERROR(__xludf.DUMMYFUNCTION("IMPORTRANGE(""https://docs.google.com/spreadsheets/d/19GOkiOqnzYbevLYWrMk4qFOXe3rX14BkSA8X-mq-a40/edit?usp=sharing"",""มหาสารคาม!I83"")"),40)</f>
        <v>40</v>
      </c>
      <c r="AH39" s="86">
        <f ca="1">IFERROR(__xludf.DUMMYFUNCTION("IMPORTRANGE(""https://docs.google.com/spreadsheets/d/19GOkiOqnzYbevLYWrMk4qFOXe3rX14BkSA8X-mq-a40/edit?usp=sharing"",""มหาสารคาม!J82"")"),1)</f>
        <v>1</v>
      </c>
      <c r="AI39" s="86">
        <f ca="1">IFERROR(__xludf.DUMMYFUNCTION("IMPORTRANGE(""https://docs.google.com/spreadsheets/d/19GOkiOqnzYbevLYWrMk4qFOXe3rX14BkSA8X-mq-a40/edit?usp=sharing"",""มหาสารคาม!J83"")"),40)</f>
        <v>40</v>
      </c>
      <c r="AJ39" s="86">
        <f ca="1">IFERROR(__xludf.DUMMYFUNCTION("IMPORTRANGE(""https://docs.google.com/spreadsheets/d/19GOkiOqnzYbevLYWrMk4qFOXe3rX14BkSA8X-mq-a40/edit?usp=sharing"",""มหาสารคาม!I84"")"),3)</f>
        <v>3</v>
      </c>
      <c r="AK39" s="86">
        <f ca="1">IFERROR(__xludf.DUMMYFUNCTION("IMPORTRANGE(""https://docs.google.com/spreadsheets/d/19GOkiOqnzYbevLYWrMk4qFOXe3rX14BkSA8X-mq-a40/edit?usp=sharing"",""มหาสารคาม!J84"")"),0)</f>
        <v>0</v>
      </c>
      <c r="AL39" s="87">
        <f t="shared" ca="1" si="27"/>
        <v>0</v>
      </c>
    </row>
    <row r="40" spans="1:38" ht="21" customHeight="1" x14ac:dyDescent="0.2">
      <c r="A40" s="78">
        <v>9</v>
      </c>
      <c r="B40" s="79" t="s">
        <v>62</v>
      </c>
      <c r="C40" s="80">
        <f t="shared" ca="1" si="0"/>
        <v>920900</v>
      </c>
      <c r="D40" s="81">
        <f t="shared" ca="1" si="37"/>
        <v>920900</v>
      </c>
      <c r="E40" s="82">
        <f ca="1">IFERROR(__xludf.DUMMYFUNCTION("IMPORTRANGE(""https://docs.google.com/spreadsheets/d/1MeEWN-I1oV_STSDYn1IFDPWt_1FKiwhDph83XaGc0o0/edit?usp=sharing"",""งบพรบ!AH40"")"),536900)</f>
        <v>536900</v>
      </c>
      <c r="F40" s="82">
        <f ca="1">IFERROR(__xludf.DUMMYFUNCTION("IMPORTRANGE(""https://docs.google.com/spreadsheets/d/1MeEWN-I1oV_STSDYn1IFDPWt_1FKiwhDph83XaGc0o0/edit?usp=sharing"",""งบพรบ!AI40"")"),384000)</f>
        <v>384000</v>
      </c>
      <c r="G40" s="82">
        <f ca="1">IFERROR(__xludf.DUMMYFUNCTION("IMPORTRANGE(""https://docs.google.com/spreadsheets/d/1MeEWN-I1oV_STSDYn1IFDPWt_1FKiwhDph83XaGc0o0/edit?usp=sharing"",""งบพรบ!AJ40"")"),0)</f>
        <v>0</v>
      </c>
      <c r="H40" s="82">
        <f ca="1">IFERROR(__xludf.DUMMYFUNCTION("IMPORTRANGE(""https://docs.google.com/spreadsheets/d/1MeEWN-I1oV_STSDYn1IFDPWt_1FKiwhDph83XaGc0o0/edit?usp=sharing"",""งบพรบ!AL40"")"),584450)</f>
        <v>584450</v>
      </c>
      <c r="I40" s="82">
        <f ca="1">IFERROR(__xludf.DUMMYFUNCTION("IMPORTRANGE(""https://docs.google.com/spreadsheets/d/1MeEWN-I1oV_STSDYn1IFDPWt_1FKiwhDph83XaGc0o0/edit?usp=sharing"",""งบพรบ!AM40"")"),0)</f>
        <v>0</v>
      </c>
      <c r="J40" s="82">
        <f t="shared" ca="1" si="3"/>
        <v>331655</v>
      </c>
      <c r="K40" s="83">
        <f t="shared" ca="1" si="4"/>
        <v>36.014225214464112</v>
      </c>
      <c r="L40" s="82">
        <f ca="1">IFERROR(__xludf.DUMMYFUNCTION("IMPORTRANGE(""https://docs.google.com/spreadsheets/d/1MeEWN-I1oV_STSDYn1IFDPWt_1FKiwhDph83XaGc0o0/edit?usp=sharing"",""งบพรบ!AN40"")"),331655)</f>
        <v>331655</v>
      </c>
      <c r="M40" s="84">
        <f t="shared" ca="1" si="5"/>
        <v>36.014225214464112</v>
      </c>
      <c r="N40" s="84">
        <f t="shared" ca="1" si="6"/>
        <v>56.746513816408587</v>
      </c>
      <c r="O40" s="85">
        <f ca="1">IFERROR(__xludf.DUMMYFUNCTION("IMPORTRANGE(""https://docs.google.com/spreadsheets/d/1MeEWN-I1oV_STSDYn1IFDPWt_1FKiwhDph83XaGc0o0/edit?usp=sharing"",""งบพรบ!AO40"")"),0)</f>
        <v>0</v>
      </c>
      <c r="P40" s="85">
        <f t="shared" ca="1" si="29"/>
        <v>0</v>
      </c>
      <c r="Q40" s="84">
        <f t="shared" ca="1" si="8"/>
        <v>0</v>
      </c>
      <c r="R40" s="86">
        <f t="shared" ca="1" si="30"/>
        <v>1</v>
      </c>
      <c r="S40" s="86">
        <f t="shared" ca="1" si="24"/>
        <v>30</v>
      </c>
      <c r="T40" s="86">
        <f t="shared" ca="1" si="38"/>
        <v>1</v>
      </c>
      <c r="U40" s="87">
        <f t="shared" ca="1" si="25"/>
        <v>100</v>
      </c>
      <c r="V40" s="86">
        <f t="shared" ca="1" si="39"/>
        <v>30</v>
      </c>
      <c r="W40" s="87">
        <f t="shared" ca="1" si="26"/>
        <v>100</v>
      </c>
      <c r="X40" s="86">
        <f ca="1">IFERROR(__xludf.DUMMYFUNCTION("IMPORTRANGE(""https://docs.google.com/spreadsheets/d/1uMKqWwuNQ-TCKboGA3Bb1qXb5uj2-faACNUINCz8PN4/edit?usp=sharing"",""มุกดาหาร!I78"")"),0)</f>
        <v>0</v>
      </c>
      <c r="Y40" s="86">
        <f ca="1">IFERROR(__xludf.DUMMYFUNCTION("IMPORTRANGE(""https://docs.google.com/spreadsheets/d/1uMKqWwuNQ-TCKboGA3Bb1qXb5uj2-faACNUINCz8PN4/edit?usp=sharing"",""มุกดาหาร!I79"")"),0)</f>
        <v>0</v>
      </c>
      <c r="Z40" s="86">
        <f ca="1">IFERROR(__xludf.DUMMYFUNCTION("IMPORTRANGE(""https://docs.google.com/spreadsheets/d/1uMKqWwuNQ-TCKboGA3Bb1qXb5uj2-faACNUINCz8PN4/edit?usp=sharing"",""มุกดาหาร!J78"")"),0)</f>
        <v>0</v>
      </c>
      <c r="AA40" s="86">
        <f ca="1">IFERROR(__xludf.DUMMYFUNCTION("IMPORTRANGE(""https://docs.google.com/spreadsheets/d/1uMKqWwuNQ-TCKboGA3Bb1qXb5uj2-faACNUINCz8PN4/edit?usp=sharing"",""มุกดาหาร!J79"")"),0)</f>
        <v>0</v>
      </c>
      <c r="AB40" s="86">
        <f ca="1">IFERROR(__xludf.DUMMYFUNCTION("IMPORTRANGE(""https://docs.google.com/spreadsheets/d/1uMKqWwuNQ-TCKboGA3Bb1qXb5uj2-faACNUINCz8PN4/edit?usp=sharing"",""มุกดาหาร!I80"")"),0)</f>
        <v>0</v>
      </c>
      <c r="AC40" s="86">
        <f ca="1">IFERROR(__xludf.DUMMYFUNCTION("IMPORTRANGE(""https://docs.google.com/spreadsheets/d/1uMKqWwuNQ-TCKboGA3Bb1qXb5uj2-faACNUINCz8PN4/edit?usp=sharing"",""มุกดาหาร!I81"")"),0)</f>
        <v>0</v>
      </c>
      <c r="AD40" s="86">
        <f ca="1">IFERROR(__xludf.DUMMYFUNCTION("IMPORTRANGE(""https://docs.google.com/spreadsheets/d/1uMKqWwuNQ-TCKboGA3Bb1qXb5uj2-faACNUINCz8PN4/edit?usp=sharing"",""มุกดาหาร!J80"")"),0)</f>
        <v>0</v>
      </c>
      <c r="AE40" s="86">
        <f ca="1">IFERROR(__xludf.DUMMYFUNCTION("IMPORTRANGE(""https://docs.google.com/spreadsheets/d/1uMKqWwuNQ-TCKboGA3Bb1qXb5uj2-faACNUINCz8PN4/edit?usp=sharing"",""มุกดาหาร!J81"")"),0)</f>
        <v>0</v>
      </c>
      <c r="AF40" s="86">
        <f ca="1">IFERROR(__xludf.DUMMYFUNCTION("IMPORTRANGE(""https://docs.google.com/spreadsheets/d/1uMKqWwuNQ-TCKboGA3Bb1qXb5uj2-faACNUINCz8PN4/edit?usp=sharing"",""มุกดาหาร!I82"")"),1)</f>
        <v>1</v>
      </c>
      <c r="AG40" s="82">
        <f ca="1">IFERROR(__xludf.DUMMYFUNCTION("IMPORTRANGE(""https://docs.google.com/spreadsheets/d/1uMKqWwuNQ-TCKboGA3Bb1qXb5uj2-faACNUINCz8PN4/edit?usp=sharing"",""มุกดาหาร!I83"")"),30)</f>
        <v>30</v>
      </c>
      <c r="AH40" s="86">
        <f ca="1">IFERROR(__xludf.DUMMYFUNCTION("IMPORTRANGE(""https://docs.google.com/spreadsheets/d/1uMKqWwuNQ-TCKboGA3Bb1qXb5uj2-faACNUINCz8PN4/edit?usp=sharing"",""มุกดาหาร!J82"")"),1)</f>
        <v>1</v>
      </c>
      <c r="AI40" s="86">
        <f ca="1">IFERROR(__xludf.DUMMYFUNCTION("IMPORTRANGE(""https://docs.google.com/spreadsheets/d/1uMKqWwuNQ-TCKboGA3Bb1qXb5uj2-faACNUINCz8PN4/edit?usp=sharing"",""มุกดาหาร!J83"")"),30)</f>
        <v>30</v>
      </c>
      <c r="AJ40" s="86">
        <f ca="1">IFERROR(__xludf.DUMMYFUNCTION("IMPORTRANGE(""https://docs.google.com/spreadsheets/d/1uMKqWwuNQ-TCKboGA3Bb1qXb5uj2-faACNUINCz8PN4/edit?usp=sharing"",""มุกดาหาร!I84"")"),1)</f>
        <v>1</v>
      </c>
      <c r="AK40" s="86">
        <f ca="1">IFERROR(__xludf.DUMMYFUNCTION("IMPORTRANGE(""https://docs.google.com/spreadsheets/d/1uMKqWwuNQ-TCKboGA3Bb1qXb5uj2-faACNUINCz8PN4/edit?usp=sharing"",""มุกดาหาร!J84"")"),0)</f>
        <v>0</v>
      </c>
      <c r="AL40" s="87">
        <f t="shared" ca="1" si="27"/>
        <v>0</v>
      </c>
    </row>
    <row r="41" spans="1:38" ht="21" customHeight="1" x14ac:dyDescent="0.2">
      <c r="A41" s="78">
        <v>10</v>
      </c>
      <c r="B41" s="79" t="s">
        <v>63</v>
      </c>
      <c r="C41" s="80">
        <f t="shared" ca="1" si="0"/>
        <v>697000</v>
      </c>
      <c r="D41" s="81">
        <f t="shared" ca="1" si="37"/>
        <v>697000</v>
      </c>
      <c r="E41" s="82">
        <f ca="1">IFERROR(__xludf.DUMMYFUNCTION("IMPORTRANGE(""https://docs.google.com/spreadsheets/d/1MeEWN-I1oV_STSDYn1IFDPWt_1FKiwhDph83XaGc0o0/edit?usp=sharing"",""งบพรบ!AH41"")"),257000)</f>
        <v>257000</v>
      </c>
      <c r="F41" s="82">
        <f ca="1">IFERROR(__xludf.DUMMYFUNCTION("IMPORTRANGE(""https://docs.google.com/spreadsheets/d/1MeEWN-I1oV_STSDYn1IFDPWt_1FKiwhDph83XaGc0o0/edit?usp=sharing"",""งบพรบ!AI41"")"),440000)</f>
        <v>440000</v>
      </c>
      <c r="G41" s="82">
        <f ca="1">IFERROR(__xludf.DUMMYFUNCTION("IMPORTRANGE(""https://docs.google.com/spreadsheets/d/1MeEWN-I1oV_STSDYn1IFDPWt_1FKiwhDph83XaGc0o0/edit?usp=sharing"",""งบพรบ!AJ41"")"),0)</f>
        <v>0</v>
      </c>
      <c r="H41" s="82">
        <f ca="1">IFERROR(__xludf.DUMMYFUNCTION("IMPORTRANGE(""https://docs.google.com/spreadsheets/d/1MeEWN-I1oV_STSDYn1IFDPWt_1FKiwhDph83XaGc0o0/edit?usp=sharing"",""งบพรบ!AL41"")"),402500)</f>
        <v>402500</v>
      </c>
      <c r="I41" s="82">
        <f ca="1">IFERROR(__xludf.DUMMYFUNCTION("IMPORTRANGE(""https://docs.google.com/spreadsheets/d/1MeEWN-I1oV_STSDYn1IFDPWt_1FKiwhDph83XaGc0o0/edit?usp=sharing"",""งบพรบ!AM41"")"),0)</f>
        <v>0</v>
      </c>
      <c r="J41" s="82">
        <f t="shared" ca="1" si="3"/>
        <v>322510</v>
      </c>
      <c r="K41" s="83">
        <f t="shared" ca="1" si="4"/>
        <v>46.271162123385942</v>
      </c>
      <c r="L41" s="82">
        <f ca="1">IFERROR(__xludf.DUMMYFUNCTION("IMPORTRANGE(""https://docs.google.com/spreadsheets/d/1MeEWN-I1oV_STSDYn1IFDPWt_1FKiwhDph83XaGc0o0/edit?usp=sharing"",""งบพรบ!AN41"")"),322510)</f>
        <v>322510</v>
      </c>
      <c r="M41" s="84">
        <f t="shared" ca="1" si="5"/>
        <v>46.271162123385942</v>
      </c>
      <c r="N41" s="84">
        <f t="shared" ca="1" si="6"/>
        <v>80.126708074534164</v>
      </c>
      <c r="O41" s="85">
        <f ca="1">IFERROR(__xludf.DUMMYFUNCTION("IMPORTRANGE(""https://docs.google.com/spreadsheets/d/1MeEWN-I1oV_STSDYn1IFDPWt_1FKiwhDph83XaGc0o0/edit?usp=sharing"",""งบพรบ!AO41"")"),0)</f>
        <v>0</v>
      </c>
      <c r="P41" s="85">
        <f t="shared" ca="1" si="29"/>
        <v>0</v>
      </c>
      <c r="Q41" s="84">
        <f t="shared" ca="1" si="8"/>
        <v>0</v>
      </c>
      <c r="R41" s="86">
        <f t="shared" ca="1" si="30"/>
        <v>1</v>
      </c>
      <c r="S41" s="86">
        <f t="shared" ca="1" si="24"/>
        <v>40</v>
      </c>
      <c r="T41" s="86">
        <f t="shared" ca="1" si="38"/>
        <v>1</v>
      </c>
      <c r="U41" s="87">
        <f t="shared" ca="1" si="25"/>
        <v>100</v>
      </c>
      <c r="V41" s="86">
        <f t="shared" ca="1" si="39"/>
        <v>40</v>
      </c>
      <c r="W41" s="87">
        <f t="shared" ca="1" si="26"/>
        <v>100</v>
      </c>
      <c r="X41" s="86">
        <f ca="1">IFERROR(__xludf.DUMMYFUNCTION("IMPORTRANGE(""https://docs.google.com/spreadsheets/d/1oKaccgDdQABndOzGr688Dbfxb_V3YcF67VqEPBtdzsc/edit?usp=sharing"",""ยโสธร!I78"")"),0)</f>
        <v>0</v>
      </c>
      <c r="Y41" s="86">
        <f ca="1">IFERROR(__xludf.DUMMYFUNCTION("IMPORTRANGE(""https://docs.google.com/spreadsheets/d/1oKaccgDdQABndOzGr688Dbfxb_V3YcF67VqEPBtdzsc/edit?usp=sharing"",""ยโสธร!I79"")"),0)</f>
        <v>0</v>
      </c>
      <c r="Z41" s="86">
        <f ca="1">IFERROR(__xludf.DUMMYFUNCTION("IMPORTRANGE(""https://docs.google.com/spreadsheets/d/1oKaccgDdQABndOzGr688Dbfxb_V3YcF67VqEPBtdzsc/edit?usp=sharing"",""ยโสธร!J78"")"),0)</f>
        <v>0</v>
      </c>
      <c r="AA41" s="86">
        <f ca="1">IFERROR(__xludf.DUMMYFUNCTION("IMPORTRANGE(""https://docs.google.com/spreadsheets/d/1oKaccgDdQABndOzGr688Dbfxb_V3YcF67VqEPBtdzsc/edit?usp=sharing"",""ยโสธร!J79"")"),0)</f>
        <v>0</v>
      </c>
      <c r="AB41" s="86">
        <f ca="1">IFERROR(__xludf.DUMMYFUNCTION("IMPORTRANGE(""https://docs.google.com/spreadsheets/d/1oKaccgDdQABndOzGr688Dbfxb_V3YcF67VqEPBtdzsc/edit?usp=sharing"",""ยโสธร!I80"")"),1)</f>
        <v>1</v>
      </c>
      <c r="AC41" s="86">
        <f ca="1">IFERROR(__xludf.DUMMYFUNCTION("IMPORTRANGE(""https://docs.google.com/spreadsheets/d/1oKaccgDdQABndOzGr688Dbfxb_V3YcF67VqEPBtdzsc/edit?usp=sharing"",""ยโสธร!I81"")"),40)</f>
        <v>40</v>
      </c>
      <c r="AD41" s="86">
        <f ca="1">IFERROR(__xludf.DUMMYFUNCTION("IMPORTRANGE(""https://docs.google.com/spreadsheets/d/1oKaccgDdQABndOzGr688Dbfxb_V3YcF67VqEPBtdzsc/edit?usp=sharing"",""ยโสธร!J80"")"),1)</f>
        <v>1</v>
      </c>
      <c r="AE41" s="86">
        <f ca="1">IFERROR(__xludf.DUMMYFUNCTION("IMPORTRANGE(""https://docs.google.com/spreadsheets/d/1oKaccgDdQABndOzGr688Dbfxb_V3YcF67VqEPBtdzsc/edit?usp=sharing"",""ยโสธร!J81"")"),40)</f>
        <v>40</v>
      </c>
      <c r="AF41" s="86">
        <f ca="1">IFERROR(__xludf.DUMMYFUNCTION("IMPORTRANGE(""https://docs.google.com/spreadsheets/d/1oKaccgDdQABndOzGr688Dbfxb_V3YcF67VqEPBtdzsc/edit?usp=sharing"",""ยโสธร!I82"")"),0)</f>
        <v>0</v>
      </c>
      <c r="AG41" s="82">
        <f ca="1">IFERROR(__xludf.DUMMYFUNCTION("IMPORTRANGE(""https://docs.google.com/spreadsheets/d/1oKaccgDdQABndOzGr688Dbfxb_V3YcF67VqEPBtdzsc/edit?usp=sharing"",""ยโสธร!I83"")"),0)</f>
        <v>0</v>
      </c>
      <c r="AH41" s="86">
        <f ca="1">IFERROR(__xludf.DUMMYFUNCTION("IMPORTRANGE(""https://docs.google.com/spreadsheets/d/1oKaccgDdQABndOzGr688Dbfxb_V3YcF67VqEPBtdzsc/edit?usp=sharing"",""ยโสธร!J82"")"),0)</f>
        <v>0</v>
      </c>
      <c r="AI41" s="86">
        <f ca="1">IFERROR(__xludf.DUMMYFUNCTION("IMPORTRANGE(""https://docs.google.com/spreadsheets/d/1oKaccgDdQABndOzGr688Dbfxb_V3YcF67VqEPBtdzsc/edit?usp=sharing"",""ยโสธร!J83"")"),0)</f>
        <v>0</v>
      </c>
      <c r="AJ41" s="86">
        <f ca="1">IFERROR(__xludf.DUMMYFUNCTION("IMPORTRANGE(""https://docs.google.com/spreadsheets/d/1oKaccgDdQABndOzGr688Dbfxb_V3YcF67VqEPBtdzsc/edit?usp=sharing"",""ยโสธร!I84"")"),1)</f>
        <v>1</v>
      </c>
      <c r="AK41" s="86">
        <f ca="1">IFERROR(__xludf.DUMMYFUNCTION("IMPORTRANGE(""https://docs.google.com/spreadsheets/d/1oKaccgDdQABndOzGr688Dbfxb_V3YcF67VqEPBtdzsc/edit?usp=sharing"",""ยโสธร!J84"")"),0)</f>
        <v>0</v>
      </c>
      <c r="AL41" s="87">
        <f t="shared" ca="1" si="27"/>
        <v>0</v>
      </c>
    </row>
    <row r="42" spans="1:38" ht="21" customHeight="1" x14ac:dyDescent="0.2">
      <c r="A42" s="78">
        <v>11</v>
      </c>
      <c r="B42" s="79" t="s">
        <v>64</v>
      </c>
      <c r="C42" s="80">
        <f t="shared" ca="1" si="0"/>
        <v>954000</v>
      </c>
      <c r="D42" s="81">
        <f t="shared" ca="1" si="37"/>
        <v>954000</v>
      </c>
      <c r="E42" s="82">
        <f ca="1">IFERROR(__xludf.DUMMYFUNCTION("IMPORTRANGE(""https://docs.google.com/spreadsheets/d/1MeEWN-I1oV_STSDYn1IFDPWt_1FKiwhDph83XaGc0o0/edit?usp=sharing"",""งบพรบ!AH42"")"),514000)</f>
        <v>514000</v>
      </c>
      <c r="F42" s="82">
        <f ca="1">IFERROR(__xludf.DUMMYFUNCTION("IMPORTRANGE(""https://docs.google.com/spreadsheets/d/1MeEWN-I1oV_STSDYn1IFDPWt_1FKiwhDph83XaGc0o0/edit?usp=sharing"",""งบพรบ!AI42"")"),440000)</f>
        <v>440000</v>
      </c>
      <c r="G42" s="82">
        <f ca="1">IFERROR(__xludf.DUMMYFUNCTION("IMPORTRANGE(""https://docs.google.com/spreadsheets/d/1MeEWN-I1oV_STSDYn1IFDPWt_1FKiwhDph83XaGc0o0/edit?usp=sharing"",""งบพรบ!AJ42"")"),0)</f>
        <v>0</v>
      </c>
      <c r="H42" s="82">
        <f ca="1">IFERROR(__xludf.DUMMYFUNCTION("IMPORTRANGE(""https://docs.google.com/spreadsheets/d/1MeEWN-I1oV_STSDYn1IFDPWt_1FKiwhDph83XaGc0o0/edit?usp=sharing"",""งบพรบ!AL42"")"),592000)</f>
        <v>592000</v>
      </c>
      <c r="I42" s="82">
        <f ca="1">IFERROR(__xludf.DUMMYFUNCTION("IMPORTRANGE(""https://docs.google.com/spreadsheets/d/1MeEWN-I1oV_STSDYn1IFDPWt_1FKiwhDph83XaGc0o0/edit?usp=sharing"",""งบพรบ!AM42"")"),0)</f>
        <v>0</v>
      </c>
      <c r="J42" s="82">
        <f t="shared" ca="1" si="3"/>
        <v>447315.35</v>
      </c>
      <c r="K42" s="83">
        <f t="shared" ca="1" si="4"/>
        <v>46.88840146750524</v>
      </c>
      <c r="L42" s="82">
        <f ca="1">IFERROR(__xludf.DUMMYFUNCTION("IMPORTRANGE(""https://docs.google.com/spreadsheets/d/1MeEWN-I1oV_STSDYn1IFDPWt_1FKiwhDph83XaGc0o0/edit?usp=sharing"",""งบพรบ!AN42"")"),447315.35)</f>
        <v>447315.35</v>
      </c>
      <c r="M42" s="84">
        <f t="shared" ca="1" si="5"/>
        <v>46.88840146750524</v>
      </c>
      <c r="N42" s="84">
        <f t="shared" ca="1" si="6"/>
        <v>75.560025337837843</v>
      </c>
      <c r="O42" s="85">
        <f ca="1">IFERROR(__xludf.DUMMYFUNCTION("IMPORTRANGE(""https://docs.google.com/spreadsheets/d/1MeEWN-I1oV_STSDYn1IFDPWt_1FKiwhDph83XaGc0o0/edit?usp=sharing"",""งบพรบ!AO42"")"),0)</f>
        <v>0</v>
      </c>
      <c r="P42" s="85">
        <f t="shared" ca="1" si="29"/>
        <v>0</v>
      </c>
      <c r="Q42" s="84">
        <f t="shared" ca="1" si="8"/>
        <v>0</v>
      </c>
      <c r="R42" s="86">
        <f t="shared" ca="1" si="30"/>
        <v>1</v>
      </c>
      <c r="S42" s="86">
        <f t="shared" ca="1" si="24"/>
        <v>40</v>
      </c>
      <c r="T42" s="86">
        <f t="shared" ca="1" si="38"/>
        <v>1</v>
      </c>
      <c r="U42" s="87">
        <f t="shared" ca="1" si="25"/>
        <v>100</v>
      </c>
      <c r="V42" s="86">
        <f t="shared" ca="1" si="39"/>
        <v>40</v>
      </c>
      <c r="W42" s="87">
        <f t="shared" ca="1" si="26"/>
        <v>100</v>
      </c>
      <c r="X42" s="82">
        <f ca="1">IFERROR(__xludf.DUMMYFUNCTION("IMPORTRANGE(""https://docs.google.com/spreadsheets/d/1BRgc8xKpxZ0PX-gauieMVkV_IOxKSotf0yW8MabGprQ/edit?usp=sharing"",""ร้อยเอ็ด!I78"")"),0)</f>
        <v>0</v>
      </c>
      <c r="Y42" s="82">
        <f ca="1">IFERROR(__xludf.DUMMYFUNCTION("IMPORTRANGE(""https://docs.google.com/spreadsheets/d/1BRgc8xKpxZ0PX-gauieMVkV_IOxKSotf0yW8MabGprQ/edit?usp=sharing"",""ร้อยเอ็ด!I79"")"),0)</f>
        <v>0</v>
      </c>
      <c r="Z42" s="86">
        <f ca="1">IFERROR(__xludf.DUMMYFUNCTION("IMPORTRANGE(""https://docs.google.com/spreadsheets/d/1BRgc8xKpxZ0PX-gauieMVkV_IOxKSotf0yW8MabGprQ/edit?usp=sharing"",""ร้อยเอ็ด!J78"")"),0)</f>
        <v>0</v>
      </c>
      <c r="AA42" s="86">
        <f ca="1">IFERROR(__xludf.DUMMYFUNCTION("IMPORTRANGE(""https://docs.google.com/spreadsheets/d/1BRgc8xKpxZ0PX-gauieMVkV_IOxKSotf0yW8MabGprQ/edit?usp=sharing"",""ร้อยเอ็ด!J79"")"),0)</f>
        <v>0</v>
      </c>
      <c r="AB42" s="82">
        <f ca="1">IFERROR(__xludf.DUMMYFUNCTION("IMPORTRANGE(""https://docs.google.com/spreadsheets/d/1BRgc8xKpxZ0PX-gauieMVkV_IOxKSotf0yW8MabGprQ/edit?usp=sharing"",""ร้อยเอ็ด!I80"")"),0)</f>
        <v>0</v>
      </c>
      <c r="AC42" s="82">
        <f ca="1">IFERROR(__xludf.DUMMYFUNCTION("IMPORTRANGE(""https://docs.google.com/spreadsheets/d/1BRgc8xKpxZ0PX-gauieMVkV_IOxKSotf0yW8MabGprQ/edit?usp=sharing"",""ร้อยเอ็ด!I81"")"),0)</f>
        <v>0</v>
      </c>
      <c r="AD42" s="86">
        <f ca="1">IFERROR(__xludf.DUMMYFUNCTION("IMPORTRANGE(""https://docs.google.com/spreadsheets/d/1BRgc8xKpxZ0PX-gauieMVkV_IOxKSotf0yW8MabGprQ/edit?usp=sharing"",""ร้อยเอ็ด!J80"")"),0)</f>
        <v>0</v>
      </c>
      <c r="AE42" s="86">
        <f ca="1">IFERROR(__xludf.DUMMYFUNCTION("IMPORTRANGE(""https://docs.google.com/spreadsheets/d/1BRgc8xKpxZ0PX-gauieMVkV_IOxKSotf0yW8MabGprQ/edit?usp=sharing"",""ร้อยเอ็ด!J81"")"),0)</f>
        <v>0</v>
      </c>
      <c r="AF42" s="82">
        <f ca="1">IFERROR(__xludf.DUMMYFUNCTION("IMPORTRANGE(""https://docs.google.com/spreadsheets/d/1BRgc8xKpxZ0PX-gauieMVkV_IOxKSotf0yW8MabGprQ/edit?usp=sharing"",""ร้อยเอ็ด!I82"")"),1)</f>
        <v>1</v>
      </c>
      <c r="AG42" s="82">
        <f ca="1">IFERROR(__xludf.DUMMYFUNCTION("IMPORTRANGE(""https://docs.google.com/spreadsheets/d/1BRgc8xKpxZ0PX-gauieMVkV_IOxKSotf0yW8MabGprQ/edit?usp=sharing"",""ร้อยเอ็ด!I83"")"),40)</f>
        <v>40</v>
      </c>
      <c r="AH42" s="86">
        <f ca="1">IFERROR(__xludf.DUMMYFUNCTION("IMPORTRANGE(""https://docs.google.com/spreadsheets/d/1BRgc8xKpxZ0PX-gauieMVkV_IOxKSotf0yW8MabGprQ/edit?usp=sharing"",""ร้อยเอ็ด!J82"")"),1)</f>
        <v>1</v>
      </c>
      <c r="AI42" s="86">
        <f ca="1">IFERROR(__xludf.DUMMYFUNCTION("IMPORTRANGE(""https://docs.google.com/spreadsheets/d/1BRgc8xKpxZ0PX-gauieMVkV_IOxKSotf0yW8MabGprQ/edit?usp=sharing"",""ร้อยเอ็ด!J83"")"),40)</f>
        <v>40</v>
      </c>
      <c r="AJ42" s="82">
        <f ca="1">IFERROR(__xludf.DUMMYFUNCTION("IMPORTRANGE(""https://docs.google.com/spreadsheets/d/1BRgc8xKpxZ0PX-gauieMVkV_IOxKSotf0yW8MabGprQ/edit?usp=sharing"",""ร้อยเอ็ด!I84"")"),1)</f>
        <v>1</v>
      </c>
      <c r="AK42" s="86">
        <f ca="1">IFERROR(__xludf.DUMMYFUNCTION("IMPORTRANGE(""https://docs.google.com/spreadsheets/d/1BRgc8xKpxZ0PX-gauieMVkV_IOxKSotf0yW8MabGprQ/edit?usp=sharing"",""ร้อยเอ็ด!J84"")"),0)</f>
        <v>0</v>
      </c>
      <c r="AL42" s="84">
        <f t="shared" ca="1" si="27"/>
        <v>0</v>
      </c>
    </row>
    <row r="43" spans="1:38" ht="21" customHeight="1" x14ac:dyDescent="0.2">
      <c r="A43" s="78">
        <v>12</v>
      </c>
      <c r="B43" s="79" t="s">
        <v>65</v>
      </c>
      <c r="C43" s="80">
        <f t="shared" ca="1" si="0"/>
        <v>0</v>
      </c>
      <c r="D43" s="81">
        <f t="shared" ca="1" si="37"/>
        <v>0</v>
      </c>
      <c r="E43" s="82">
        <f ca="1">IFERROR(__xludf.DUMMYFUNCTION("IMPORTRANGE(""https://docs.google.com/spreadsheets/d/1MeEWN-I1oV_STSDYn1IFDPWt_1FKiwhDph83XaGc0o0/edit?usp=sharing"",""งบพรบ!AH43"")"),0)</f>
        <v>0</v>
      </c>
      <c r="F43" s="82">
        <f ca="1">IFERROR(__xludf.DUMMYFUNCTION("IMPORTRANGE(""https://docs.google.com/spreadsheets/d/1MeEWN-I1oV_STSDYn1IFDPWt_1FKiwhDph83XaGc0o0/edit?usp=sharing"",""งบพรบ!AI43"")"),0)</f>
        <v>0</v>
      </c>
      <c r="G43" s="82">
        <f ca="1">IFERROR(__xludf.DUMMYFUNCTION("IMPORTRANGE(""https://docs.google.com/spreadsheets/d/1MeEWN-I1oV_STSDYn1IFDPWt_1FKiwhDph83XaGc0o0/edit?usp=sharing"",""งบพรบ!AJ43"")"),0)</f>
        <v>0</v>
      </c>
      <c r="H43" s="82">
        <f ca="1">IFERROR(__xludf.DUMMYFUNCTION("IMPORTRANGE(""https://docs.google.com/spreadsheets/d/1MeEWN-I1oV_STSDYn1IFDPWt_1FKiwhDph83XaGc0o0/edit?usp=sharing"",""งบพรบ!AL43"")"),0)</f>
        <v>0</v>
      </c>
      <c r="I43" s="82">
        <f ca="1">IFERROR(__xludf.DUMMYFUNCTION("IMPORTRANGE(""https://docs.google.com/spreadsheets/d/1MeEWN-I1oV_STSDYn1IFDPWt_1FKiwhDph83XaGc0o0/edit?usp=sharing"",""งบพรบ!AM43"")"),0)</f>
        <v>0</v>
      </c>
      <c r="J43" s="82">
        <f t="shared" ca="1" si="3"/>
        <v>0</v>
      </c>
      <c r="K43" s="83">
        <f t="shared" ca="1" si="4"/>
        <v>0</v>
      </c>
      <c r="L43" s="82">
        <f ca="1">IFERROR(__xludf.DUMMYFUNCTION("IMPORTRANGE(""https://docs.google.com/spreadsheets/d/1MeEWN-I1oV_STSDYn1IFDPWt_1FKiwhDph83XaGc0o0/edit?usp=sharing"",""งบพรบ!AN43"")"),0)</f>
        <v>0</v>
      </c>
      <c r="M43" s="84">
        <f t="shared" ca="1" si="5"/>
        <v>0</v>
      </c>
      <c r="N43" s="84">
        <f t="shared" ca="1" si="6"/>
        <v>0</v>
      </c>
      <c r="O43" s="85">
        <f ca="1">IFERROR(__xludf.DUMMYFUNCTION("IMPORTRANGE(""https://docs.google.com/spreadsheets/d/1MeEWN-I1oV_STSDYn1IFDPWt_1FKiwhDph83XaGc0o0/edit?usp=sharing"",""งบพรบ!AO43"")"),0)</f>
        <v>0</v>
      </c>
      <c r="P43" s="85">
        <f t="shared" ca="1" si="29"/>
        <v>0</v>
      </c>
      <c r="Q43" s="84">
        <f t="shared" ca="1" si="8"/>
        <v>0</v>
      </c>
      <c r="R43" s="86">
        <f t="shared" ca="1" si="30"/>
        <v>0</v>
      </c>
      <c r="S43" s="86">
        <f t="shared" ca="1" si="24"/>
        <v>0</v>
      </c>
      <c r="T43" s="86">
        <f t="shared" ca="1" si="38"/>
        <v>0</v>
      </c>
      <c r="U43" s="87">
        <f t="shared" ca="1" si="25"/>
        <v>0</v>
      </c>
      <c r="V43" s="86">
        <f t="shared" ca="1" si="39"/>
        <v>0</v>
      </c>
      <c r="W43" s="87">
        <f t="shared" ca="1" si="26"/>
        <v>0</v>
      </c>
      <c r="X43" s="82">
        <f ca="1">IFERROR(__xludf.DUMMYFUNCTION("IMPORTRANGE(""https://docs.google.com/spreadsheets/d/1IdolZc-dfdgMwAm_KZxYJl1sUOcIgnbGQzbWOlddedo/edit?usp=sharing"",""เลย!I78"")"),0)</f>
        <v>0</v>
      </c>
      <c r="Y43" s="82">
        <f ca="1">IFERROR(__xludf.DUMMYFUNCTION("IMPORTRANGE(""https://docs.google.com/spreadsheets/d/1IdolZc-dfdgMwAm_KZxYJl1sUOcIgnbGQzbWOlddedo/edit?usp=sharing"",""เลย!I79"")"),0)</f>
        <v>0</v>
      </c>
      <c r="Z43" s="86">
        <f ca="1">IFERROR(__xludf.DUMMYFUNCTION("IMPORTRANGE(""https://docs.google.com/spreadsheets/d/1IdolZc-dfdgMwAm_KZxYJl1sUOcIgnbGQzbWOlddedo/edit?usp=sharing"",""เลย!J78"")"),0)</f>
        <v>0</v>
      </c>
      <c r="AA43" s="86">
        <f ca="1">IFERROR(__xludf.DUMMYFUNCTION("IMPORTRANGE(""https://docs.google.com/spreadsheets/d/1IdolZc-dfdgMwAm_KZxYJl1sUOcIgnbGQzbWOlddedo/edit?usp=sharing"",""เลย!J79"")"),0)</f>
        <v>0</v>
      </c>
      <c r="AB43" s="82">
        <f ca="1">IFERROR(__xludf.DUMMYFUNCTION("IMPORTRANGE(""https://docs.google.com/spreadsheets/d/1IdolZc-dfdgMwAm_KZxYJl1sUOcIgnbGQzbWOlddedo/edit?usp=sharing"",""เลย!I80"")"),0)</f>
        <v>0</v>
      </c>
      <c r="AC43" s="82">
        <f ca="1">IFERROR(__xludf.DUMMYFUNCTION("IMPORTRANGE(""https://docs.google.com/spreadsheets/d/1IdolZc-dfdgMwAm_KZxYJl1sUOcIgnbGQzbWOlddedo/edit?usp=sharing"",""เลย!I81"")"),0)</f>
        <v>0</v>
      </c>
      <c r="AD43" s="86">
        <f ca="1">IFERROR(__xludf.DUMMYFUNCTION("IMPORTRANGE(""https://docs.google.com/spreadsheets/d/1IdolZc-dfdgMwAm_KZxYJl1sUOcIgnbGQzbWOlddedo/edit?usp=sharing"",""เลย!J80"")"),0)</f>
        <v>0</v>
      </c>
      <c r="AE43" s="86">
        <f ca="1">IFERROR(__xludf.DUMMYFUNCTION("IMPORTRANGE(""https://docs.google.com/spreadsheets/d/1IdolZc-dfdgMwAm_KZxYJl1sUOcIgnbGQzbWOlddedo/edit?usp=sharing"",""เลย!J81"")"),0)</f>
        <v>0</v>
      </c>
      <c r="AF43" s="82">
        <f ca="1">IFERROR(__xludf.DUMMYFUNCTION("IMPORTRANGE(""https://docs.google.com/spreadsheets/d/1IdolZc-dfdgMwAm_KZxYJl1sUOcIgnbGQzbWOlddedo/edit?usp=sharing"",""เลย!I82"")"),0)</f>
        <v>0</v>
      </c>
      <c r="AG43" s="82">
        <f ca="1">IFERROR(__xludf.DUMMYFUNCTION("IMPORTRANGE(""https://docs.google.com/spreadsheets/d/1IdolZc-dfdgMwAm_KZxYJl1sUOcIgnbGQzbWOlddedo/edit?usp=sharing"",""เลย!I83"")"),0)</f>
        <v>0</v>
      </c>
      <c r="AH43" s="86">
        <f ca="1">IFERROR(__xludf.DUMMYFUNCTION("IMPORTRANGE(""https://docs.google.com/spreadsheets/d/1IdolZc-dfdgMwAm_KZxYJl1sUOcIgnbGQzbWOlddedo/edit?usp=sharing"",""เลย!J82"")"),0)</f>
        <v>0</v>
      </c>
      <c r="AI43" s="86">
        <f ca="1">IFERROR(__xludf.DUMMYFUNCTION("IMPORTRANGE(""https://docs.google.com/spreadsheets/d/1IdolZc-dfdgMwAm_KZxYJl1sUOcIgnbGQzbWOlddedo/edit?usp=sharing"",""เลย!J83"")"),0)</f>
        <v>0</v>
      </c>
      <c r="AJ43" s="82">
        <f ca="1">IFERROR(__xludf.DUMMYFUNCTION("IMPORTRANGE(""https://docs.google.com/spreadsheets/d/1IdolZc-dfdgMwAm_KZxYJl1sUOcIgnbGQzbWOlddedo/edit?usp=sharing"",""เลย!I84"")"),0)</f>
        <v>0</v>
      </c>
      <c r="AK43" s="86">
        <f ca="1">IFERROR(__xludf.DUMMYFUNCTION("IMPORTRANGE(""https://docs.google.com/spreadsheets/d/1IdolZc-dfdgMwAm_KZxYJl1sUOcIgnbGQzbWOlddedo/edit?usp=sharing"",""เลย!J84"")"),0)</f>
        <v>0</v>
      </c>
      <c r="AL43" s="84">
        <f t="shared" ca="1" si="27"/>
        <v>0</v>
      </c>
    </row>
    <row r="44" spans="1:38" ht="21" customHeight="1" x14ac:dyDescent="0.2">
      <c r="A44" s="78">
        <v>13</v>
      </c>
      <c r="B44" s="79" t="s">
        <v>66</v>
      </c>
      <c r="C44" s="80">
        <f t="shared" ca="1" si="0"/>
        <v>937300</v>
      </c>
      <c r="D44" s="81">
        <f t="shared" ca="1" si="37"/>
        <v>937300</v>
      </c>
      <c r="E44" s="82">
        <f ca="1">IFERROR(__xludf.DUMMYFUNCTION("IMPORTRANGE(""https://docs.google.com/spreadsheets/d/1MeEWN-I1oV_STSDYn1IFDPWt_1FKiwhDph83XaGc0o0/edit?usp=sharing"",""งบพรบ!AH44"")"),313700)</f>
        <v>313700</v>
      </c>
      <c r="F44" s="82">
        <f ca="1">IFERROR(__xludf.DUMMYFUNCTION("IMPORTRANGE(""https://docs.google.com/spreadsheets/d/1MeEWN-I1oV_STSDYn1IFDPWt_1FKiwhDph83XaGc0o0/edit?usp=sharing"",""งบพรบ!AI44"")"),623600)</f>
        <v>623600</v>
      </c>
      <c r="G44" s="82">
        <f ca="1">IFERROR(__xludf.DUMMYFUNCTION("IMPORTRANGE(""https://docs.google.com/spreadsheets/d/1MeEWN-I1oV_STSDYn1IFDPWt_1FKiwhDph83XaGc0o0/edit?usp=sharing"",""งบพรบ!AJ44"")"),0)</f>
        <v>0</v>
      </c>
      <c r="H44" s="82">
        <f ca="1">IFERROR(__xludf.DUMMYFUNCTION("IMPORTRANGE(""https://docs.google.com/spreadsheets/d/1MeEWN-I1oV_STSDYn1IFDPWt_1FKiwhDph83XaGc0o0/edit?usp=sharing"",""งบพรบ!AL44"")"),532050)</f>
        <v>532050</v>
      </c>
      <c r="I44" s="82">
        <f ca="1">IFERROR(__xludf.DUMMYFUNCTION("IMPORTRANGE(""https://docs.google.com/spreadsheets/d/1MeEWN-I1oV_STSDYn1IFDPWt_1FKiwhDph83XaGc0o0/edit?usp=sharing"",""งบพรบ!AM44"")"),0)</f>
        <v>0</v>
      </c>
      <c r="J44" s="82">
        <f t="shared" ca="1" si="3"/>
        <v>418711.93</v>
      </c>
      <c r="K44" s="83">
        <f t="shared" ca="1" si="4"/>
        <v>44.672135922330099</v>
      </c>
      <c r="L44" s="82">
        <f ca="1">IFERROR(__xludf.DUMMYFUNCTION("IMPORTRANGE(""https://docs.google.com/spreadsheets/d/1MeEWN-I1oV_STSDYn1IFDPWt_1FKiwhDph83XaGc0o0/edit?usp=sharing"",""งบพรบ!AN44"")"),418711.93)</f>
        <v>418711.93</v>
      </c>
      <c r="M44" s="84">
        <f t="shared" ca="1" si="5"/>
        <v>44.672135922330099</v>
      </c>
      <c r="N44" s="84">
        <f t="shared" ca="1" si="6"/>
        <v>78.697853585189364</v>
      </c>
      <c r="O44" s="85">
        <f ca="1">IFERROR(__xludf.DUMMYFUNCTION("IMPORTRANGE(""https://docs.google.com/spreadsheets/d/1MeEWN-I1oV_STSDYn1IFDPWt_1FKiwhDph83XaGc0o0/edit?usp=sharing"",""งบพรบ!AO44"")"),0)</f>
        <v>0</v>
      </c>
      <c r="P44" s="85">
        <f t="shared" ca="1" si="29"/>
        <v>0</v>
      </c>
      <c r="Q44" s="84">
        <f t="shared" ca="1" si="8"/>
        <v>0</v>
      </c>
      <c r="R44" s="86">
        <f t="shared" ca="1" si="30"/>
        <v>1</v>
      </c>
      <c r="S44" s="86">
        <f t="shared" ca="1" si="24"/>
        <v>71</v>
      </c>
      <c r="T44" s="86">
        <f t="shared" ca="1" si="38"/>
        <v>1</v>
      </c>
      <c r="U44" s="87">
        <f t="shared" ca="1" si="25"/>
        <v>100</v>
      </c>
      <c r="V44" s="86">
        <f t="shared" ca="1" si="39"/>
        <v>71</v>
      </c>
      <c r="W44" s="87">
        <f t="shared" ca="1" si="26"/>
        <v>100</v>
      </c>
      <c r="X44" s="82">
        <f ca="1">IFERROR(__xludf.DUMMYFUNCTION("IMPORTRANGE(""https://docs.google.com/spreadsheets/d/1tZ0nmtGuIRCaGAMXHlQU8EpR9LOAJvyKfc4f7EFmE34/edit?usp=sharing"",""ศรีสะเกษ!I78"")"),0)</f>
        <v>0</v>
      </c>
      <c r="Y44" s="82">
        <f ca="1">IFERROR(__xludf.DUMMYFUNCTION("IMPORTRANGE(""https://docs.google.com/spreadsheets/d/1tZ0nmtGuIRCaGAMXHlQU8EpR9LOAJvyKfc4f7EFmE34/edit?usp=sharing"",""ศรีสะเกษ!I79"")"),0)</f>
        <v>0</v>
      </c>
      <c r="Z44" s="86">
        <f ca="1">IFERROR(__xludf.DUMMYFUNCTION("IMPORTRANGE(""https://docs.google.com/spreadsheets/d/1tZ0nmtGuIRCaGAMXHlQU8EpR9LOAJvyKfc4f7EFmE34/edit?usp=sharing"",""ศรีสะเกษ!J78"")"),0)</f>
        <v>0</v>
      </c>
      <c r="AA44" s="86">
        <f ca="1">IFERROR(__xludf.DUMMYFUNCTION("IMPORTRANGE(""https://docs.google.com/spreadsheets/d/1tZ0nmtGuIRCaGAMXHlQU8EpR9LOAJvyKfc4f7EFmE34/edit?usp=sharing"",""ศรีสะเกษ!J79"")"),0)</f>
        <v>0</v>
      </c>
      <c r="AB44" s="82">
        <f ca="1">IFERROR(__xludf.DUMMYFUNCTION("IMPORTRANGE(""https://docs.google.com/spreadsheets/d/1tZ0nmtGuIRCaGAMXHlQU8EpR9LOAJvyKfc4f7EFmE34/edit?usp=sharing"",""ศรีสะเกษ!I80"")"),0)</f>
        <v>0</v>
      </c>
      <c r="AC44" s="82">
        <f ca="1">IFERROR(__xludf.DUMMYFUNCTION("IMPORTRANGE(""https://docs.google.com/spreadsheets/d/1tZ0nmtGuIRCaGAMXHlQU8EpR9LOAJvyKfc4f7EFmE34/edit?usp=sharing"",""ศรีสะเกษ!I81"")"),0)</f>
        <v>0</v>
      </c>
      <c r="AD44" s="86">
        <f ca="1">IFERROR(__xludf.DUMMYFUNCTION("IMPORTRANGE(""https://docs.google.com/spreadsheets/d/1tZ0nmtGuIRCaGAMXHlQU8EpR9LOAJvyKfc4f7EFmE34/edit?usp=sharing"",""ศรีสะเกษ!J80"")"),0)</f>
        <v>0</v>
      </c>
      <c r="AE44" s="86">
        <f ca="1">IFERROR(__xludf.DUMMYFUNCTION("IMPORTRANGE(""https://docs.google.com/spreadsheets/d/1tZ0nmtGuIRCaGAMXHlQU8EpR9LOAJvyKfc4f7EFmE34/edit?usp=sharing"",""ศรีสะเกษ!J81"")"),0)</f>
        <v>0</v>
      </c>
      <c r="AF44" s="82">
        <f ca="1">IFERROR(__xludf.DUMMYFUNCTION("IMPORTRANGE(""https://docs.google.com/spreadsheets/d/1tZ0nmtGuIRCaGAMXHlQU8EpR9LOAJvyKfc4f7EFmE34/edit?usp=sharing"",""ศรีสะเกษ!I82"")"),1)</f>
        <v>1</v>
      </c>
      <c r="AG44" s="82">
        <f ca="1">IFERROR(__xludf.DUMMYFUNCTION("IMPORTRANGE(""https://docs.google.com/spreadsheets/d/1tZ0nmtGuIRCaGAMXHlQU8EpR9LOAJvyKfc4f7EFmE34/edit?usp=sharing"",""ศรีสะเกษ!I83"")"),71)</f>
        <v>71</v>
      </c>
      <c r="AH44" s="86">
        <f ca="1">IFERROR(__xludf.DUMMYFUNCTION("IMPORTRANGE(""https://docs.google.com/spreadsheets/d/1tZ0nmtGuIRCaGAMXHlQU8EpR9LOAJvyKfc4f7EFmE34/edit?usp=sharing"",""ศรีสะเกษ!J82"")"),1)</f>
        <v>1</v>
      </c>
      <c r="AI44" s="86">
        <f ca="1">IFERROR(__xludf.DUMMYFUNCTION("IMPORTRANGE(""https://docs.google.com/spreadsheets/d/1tZ0nmtGuIRCaGAMXHlQU8EpR9LOAJvyKfc4f7EFmE34/edit?usp=sharing"",""ศรีสะเกษ!J83"")"),71)</f>
        <v>71</v>
      </c>
      <c r="AJ44" s="82">
        <f ca="1">IFERROR(__xludf.DUMMYFUNCTION("IMPORTRANGE(""https://docs.google.com/spreadsheets/d/1tZ0nmtGuIRCaGAMXHlQU8EpR9LOAJvyKfc4f7EFmE34/edit?usp=sharing"",""ศรีสะเกษ!I84"")"),1)</f>
        <v>1</v>
      </c>
      <c r="AK44" s="86">
        <f ca="1">IFERROR(__xludf.DUMMYFUNCTION("IMPORTRANGE(""https://docs.google.com/spreadsheets/d/1tZ0nmtGuIRCaGAMXHlQU8EpR9LOAJvyKfc4f7EFmE34/edit?usp=sharing"",""ศรีสะเกษ!J84"")"),0)</f>
        <v>0</v>
      </c>
      <c r="AL44" s="84">
        <f t="shared" ca="1" si="27"/>
        <v>0</v>
      </c>
    </row>
    <row r="45" spans="1:38" ht="21" customHeight="1" x14ac:dyDescent="0.2">
      <c r="A45" s="78">
        <v>14</v>
      </c>
      <c r="B45" s="79" t="s">
        <v>67</v>
      </c>
      <c r="C45" s="80">
        <f t="shared" ca="1" si="0"/>
        <v>1012000</v>
      </c>
      <c r="D45" s="81">
        <f t="shared" ca="1" si="37"/>
        <v>1012000</v>
      </c>
      <c r="E45" s="82">
        <f ca="1">IFERROR(__xludf.DUMMYFUNCTION("IMPORTRANGE(""https://docs.google.com/spreadsheets/d/1MeEWN-I1oV_STSDYn1IFDPWt_1FKiwhDph83XaGc0o0/edit?usp=sharing"",""งบพรบ!AH45"")"),628000)</f>
        <v>628000</v>
      </c>
      <c r="F45" s="82">
        <f ca="1">IFERROR(__xludf.DUMMYFUNCTION("IMPORTRANGE(""https://docs.google.com/spreadsheets/d/1MeEWN-I1oV_STSDYn1IFDPWt_1FKiwhDph83XaGc0o0/edit?usp=sharing"",""งบพรบ!AI45"")"),384000)</f>
        <v>384000</v>
      </c>
      <c r="G45" s="82">
        <f ca="1">IFERROR(__xludf.DUMMYFUNCTION("IMPORTRANGE(""https://docs.google.com/spreadsheets/d/1MeEWN-I1oV_STSDYn1IFDPWt_1FKiwhDph83XaGc0o0/edit?usp=sharing"",""งบพรบ!AJ45"")"),0)</f>
        <v>0</v>
      </c>
      <c r="H45" s="82">
        <f ca="1">IFERROR(__xludf.DUMMYFUNCTION("IMPORTRANGE(""https://docs.google.com/spreadsheets/d/1MeEWN-I1oV_STSDYn1IFDPWt_1FKiwhDph83XaGc0o0/edit?usp=sharing"",""งบพรบ!AL45"")"),649500)</f>
        <v>649500</v>
      </c>
      <c r="I45" s="82">
        <f ca="1">IFERROR(__xludf.DUMMYFUNCTION("IMPORTRANGE(""https://docs.google.com/spreadsheets/d/1MeEWN-I1oV_STSDYn1IFDPWt_1FKiwhDph83XaGc0o0/edit?usp=sharing"",""งบพรบ!AM45"")"),0)</f>
        <v>0</v>
      </c>
      <c r="J45" s="82">
        <f t="shared" ca="1" si="3"/>
        <v>273000</v>
      </c>
      <c r="K45" s="83">
        <f t="shared" ca="1" si="4"/>
        <v>26.976284584980238</v>
      </c>
      <c r="L45" s="82">
        <f ca="1">IFERROR(__xludf.DUMMYFUNCTION("IMPORTRANGE(""https://docs.google.com/spreadsheets/d/1MeEWN-I1oV_STSDYn1IFDPWt_1FKiwhDph83XaGc0o0/edit?usp=sharing"",""งบพรบ!AN45"")"),273000)</f>
        <v>273000</v>
      </c>
      <c r="M45" s="84">
        <f t="shared" ca="1" si="5"/>
        <v>26.976284584980238</v>
      </c>
      <c r="N45" s="84">
        <f t="shared" ca="1" si="6"/>
        <v>42.032332563510394</v>
      </c>
      <c r="O45" s="85">
        <f ca="1">IFERROR(__xludf.DUMMYFUNCTION("IMPORTRANGE(""https://docs.google.com/spreadsheets/d/1MeEWN-I1oV_STSDYn1IFDPWt_1FKiwhDph83XaGc0o0/edit?usp=sharing"",""งบพรบ!AO45"")"),0)</f>
        <v>0</v>
      </c>
      <c r="P45" s="85">
        <f t="shared" ca="1" si="29"/>
        <v>0</v>
      </c>
      <c r="Q45" s="84">
        <f t="shared" ca="1" si="8"/>
        <v>0</v>
      </c>
      <c r="R45" s="86">
        <f t="shared" ca="1" si="30"/>
        <v>1</v>
      </c>
      <c r="S45" s="86">
        <f t="shared" ca="1" si="24"/>
        <v>30</v>
      </c>
      <c r="T45" s="86">
        <f t="shared" ca="1" si="38"/>
        <v>0</v>
      </c>
      <c r="U45" s="87">
        <f t="shared" ca="1" si="25"/>
        <v>0</v>
      </c>
      <c r="V45" s="86">
        <f t="shared" ca="1" si="39"/>
        <v>0</v>
      </c>
      <c r="W45" s="87">
        <f t="shared" ca="1" si="26"/>
        <v>0</v>
      </c>
      <c r="X45" s="82">
        <f ca="1">IFERROR(__xludf.DUMMYFUNCTION("IMPORTRANGE(""https://docs.google.com/spreadsheets/d/1QC8psz9w0f9IVE9Xuc2FT_btkaOzZbbUSgYObpBuetM/edit?usp=sharing"",""สกลนคร!I78"")"),0)</f>
        <v>0</v>
      </c>
      <c r="Y45" s="82">
        <f ca="1">IFERROR(__xludf.DUMMYFUNCTION("IMPORTRANGE(""https://docs.google.com/spreadsheets/d/1QC8psz9w0f9IVE9Xuc2FT_btkaOzZbbUSgYObpBuetM/edit?usp=sharing"",""สกลนคร!I79"")"),0)</f>
        <v>0</v>
      </c>
      <c r="Z45" s="86">
        <f ca="1">IFERROR(__xludf.DUMMYFUNCTION("IMPORTRANGE(""https://docs.google.com/spreadsheets/d/1QC8psz9w0f9IVE9Xuc2FT_btkaOzZbbUSgYObpBuetM/edit?usp=sharing"",""สกลนคร!J78"")"),0)</f>
        <v>0</v>
      </c>
      <c r="AA45" s="86">
        <f ca="1">IFERROR(__xludf.DUMMYFUNCTION("IMPORTRANGE(""https://docs.google.com/spreadsheets/d/1QC8psz9w0f9IVE9Xuc2FT_btkaOzZbbUSgYObpBuetM/edit?usp=sharing"",""สกลนคร!J79"")"),0)</f>
        <v>0</v>
      </c>
      <c r="AB45" s="82">
        <f ca="1">IFERROR(__xludf.DUMMYFUNCTION("IMPORTRANGE(""https://docs.google.com/spreadsheets/d/1QC8psz9w0f9IVE9Xuc2FT_btkaOzZbbUSgYObpBuetM/edit?usp=sharing"",""สกลนคร!I80"")"),0)</f>
        <v>0</v>
      </c>
      <c r="AC45" s="82">
        <f ca="1">IFERROR(__xludf.DUMMYFUNCTION("IMPORTRANGE(""https://docs.google.com/spreadsheets/d/1QC8psz9w0f9IVE9Xuc2FT_btkaOzZbbUSgYObpBuetM/edit?usp=sharing"",""สกลนคร!I81"")"),0)</f>
        <v>0</v>
      </c>
      <c r="AD45" s="86">
        <f ca="1">IFERROR(__xludf.DUMMYFUNCTION("IMPORTRANGE(""https://docs.google.com/spreadsheets/d/1QC8psz9w0f9IVE9Xuc2FT_btkaOzZbbUSgYObpBuetM/edit?usp=sharing"",""สกลนคร!J80"")"),0)</f>
        <v>0</v>
      </c>
      <c r="AE45" s="86">
        <f ca="1">IFERROR(__xludf.DUMMYFUNCTION("IMPORTRANGE(""https://docs.google.com/spreadsheets/d/1QC8psz9w0f9IVE9Xuc2FT_btkaOzZbbUSgYObpBuetM/edit?usp=sharing"",""สกลนคร!J81"")"),0)</f>
        <v>0</v>
      </c>
      <c r="AF45" s="82">
        <f ca="1">IFERROR(__xludf.DUMMYFUNCTION("IMPORTRANGE(""https://docs.google.com/spreadsheets/d/1QC8psz9w0f9IVE9Xuc2FT_btkaOzZbbUSgYObpBuetM/edit?usp=sharing"",""สกลนคร!I82"")"),1)</f>
        <v>1</v>
      </c>
      <c r="AG45" s="82">
        <f ca="1">IFERROR(__xludf.DUMMYFUNCTION("IMPORTRANGE(""https://docs.google.com/spreadsheets/d/1QC8psz9w0f9IVE9Xuc2FT_btkaOzZbbUSgYObpBuetM/edit?usp=sharing"",""สกลนคร!I83"")"),30)</f>
        <v>30</v>
      </c>
      <c r="AH45" s="86">
        <f ca="1">IFERROR(__xludf.DUMMYFUNCTION("IMPORTRANGE(""https://docs.google.com/spreadsheets/d/1QC8psz9w0f9IVE9Xuc2FT_btkaOzZbbUSgYObpBuetM/edit?usp=sharing"",""สกลนคร!J82"")"),0)</f>
        <v>0</v>
      </c>
      <c r="AI45" s="86">
        <f ca="1">IFERROR(__xludf.DUMMYFUNCTION("IMPORTRANGE(""https://docs.google.com/spreadsheets/d/1QC8psz9w0f9IVE9Xuc2FT_btkaOzZbbUSgYObpBuetM/edit?usp=sharing"",""สกลนคร!J83"")"),0)</f>
        <v>0</v>
      </c>
      <c r="AJ45" s="82">
        <f ca="1">IFERROR(__xludf.DUMMYFUNCTION("IMPORTRANGE(""https://docs.google.com/spreadsheets/d/1QC8psz9w0f9IVE9Xuc2FT_btkaOzZbbUSgYObpBuetM/edit?usp=sharing"",""สกลนคร!I84"")"),1)</f>
        <v>1</v>
      </c>
      <c r="AK45" s="86">
        <f ca="1">IFERROR(__xludf.DUMMYFUNCTION("IMPORTRANGE(""https://docs.google.com/spreadsheets/d/1QC8psz9w0f9IVE9Xuc2FT_btkaOzZbbUSgYObpBuetM/edit?usp=sharing"",""สกลนคร!J84"")"),0)</f>
        <v>0</v>
      </c>
      <c r="AL45" s="84">
        <f t="shared" ca="1" si="27"/>
        <v>0</v>
      </c>
    </row>
    <row r="46" spans="1:38" ht="21" customHeight="1" x14ac:dyDescent="0.2">
      <c r="A46" s="78">
        <v>15</v>
      </c>
      <c r="B46" s="79" t="s">
        <v>68</v>
      </c>
      <c r="C46" s="80">
        <f t="shared" ca="1" si="0"/>
        <v>0</v>
      </c>
      <c r="D46" s="81">
        <f t="shared" ca="1" si="37"/>
        <v>0</v>
      </c>
      <c r="E46" s="82">
        <f ca="1">IFERROR(__xludf.DUMMYFUNCTION("IMPORTRANGE(""https://docs.google.com/spreadsheets/d/1MeEWN-I1oV_STSDYn1IFDPWt_1FKiwhDph83XaGc0o0/edit?usp=sharing"",""งบพรบ!AH46"")"),0)</f>
        <v>0</v>
      </c>
      <c r="F46" s="82">
        <f ca="1">IFERROR(__xludf.DUMMYFUNCTION("IMPORTRANGE(""https://docs.google.com/spreadsheets/d/1MeEWN-I1oV_STSDYn1IFDPWt_1FKiwhDph83XaGc0o0/edit?usp=sharing"",""งบพรบ!AI46"")"),0)</f>
        <v>0</v>
      </c>
      <c r="G46" s="82">
        <f ca="1">IFERROR(__xludf.DUMMYFUNCTION("IMPORTRANGE(""https://docs.google.com/spreadsheets/d/1MeEWN-I1oV_STSDYn1IFDPWt_1FKiwhDph83XaGc0o0/edit?usp=sharing"",""งบพรบ!AJ46"")"),0)</f>
        <v>0</v>
      </c>
      <c r="H46" s="82">
        <f ca="1">IFERROR(__xludf.DUMMYFUNCTION("IMPORTRANGE(""https://docs.google.com/spreadsheets/d/1MeEWN-I1oV_STSDYn1IFDPWt_1FKiwhDph83XaGc0o0/edit?usp=sharing"",""งบพรบ!AL46"")"),0)</f>
        <v>0</v>
      </c>
      <c r="I46" s="82">
        <f ca="1">IFERROR(__xludf.DUMMYFUNCTION("IMPORTRANGE(""https://docs.google.com/spreadsheets/d/1MeEWN-I1oV_STSDYn1IFDPWt_1FKiwhDph83XaGc0o0/edit?usp=sharing"",""งบพรบ!AM46"")"),0)</f>
        <v>0</v>
      </c>
      <c r="J46" s="82">
        <f t="shared" ca="1" si="3"/>
        <v>0</v>
      </c>
      <c r="K46" s="83">
        <f t="shared" ca="1" si="4"/>
        <v>0</v>
      </c>
      <c r="L46" s="82">
        <f ca="1">IFERROR(__xludf.DUMMYFUNCTION("IMPORTRANGE(""https://docs.google.com/spreadsheets/d/1MeEWN-I1oV_STSDYn1IFDPWt_1FKiwhDph83XaGc0o0/edit?usp=sharing"",""งบพรบ!AN46"")"),0)</f>
        <v>0</v>
      </c>
      <c r="M46" s="84">
        <f t="shared" ca="1" si="5"/>
        <v>0</v>
      </c>
      <c r="N46" s="84">
        <f t="shared" ca="1" si="6"/>
        <v>0</v>
      </c>
      <c r="O46" s="85">
        <f ca="1">IFERROR(__xludf.DUMMYFUNCTION("IMPORTRANGE(""https://docs.google.com/spreadsheets/d/1MeEWN-I1oV_STSDYn1IFDPWt_1FKiwhDph83XaGc0o0/edit?usp=sharing"",""งบพรบ!AO46"")"),0)</f>
        <v>0</v>
      </c>
      <c r="P46" s="85">
        <f t="shared" ca="1" si="29"/>
        <v>0</v>
      </c>
      <c r="Q46" s="84">
        <f t="shared" ca="1" si="8"/>
        <v>0</v>
      </c>
      <c r="R46" s="86">
        <f t="shared" ca="1" si="30"/>
        <v>0</v>
      </c>
      <c r="S46" s="86">
        <f t="shared" ca="1" si="24"/>
        <v>0</v>
      </c>
      <c r="T46" s="86">
        <f t="shared" ca="1" si="38"/>
        <v>0</v>
      </c>
      <c r="U46" s="87">
        <f t="shared" ca="1" si="25"/>
        <v>0</v>
      </c>
      <c r="V46" s="86">
        <f t="shared" ca="1" si="39"/>
        <v>0</v>
      </c>
      <c r="W46" s="87">
        <f t="shared" ca="1" si="26"/>
        <v>0</v>
      </c>
      <c r="X46" s="82">
        <f ca="1">IFERROR(__xludf.DUMMYFUNCTION("IMPORTRANGE(""https://docs.google.com/spreadsheets/d/1wPdvRbu02d33MYVlbsCnyTiZpefEBs9NNktAnT1HZvw/edit?usp=sharing"",""สุรินทร์!I78"")"),0)</f>
        <v>0</v>
      </c>
      <c r="Y46" s="82">
        <f ca="1">IFERROR(__xludf.DUMMYFUNCTION("IMPORTRANGE(""https://docs.google.com/spreadsheets/d/1wPdvRbu02d33MYVlbsCnyTiZpefEBs9NNktAnT1HZvw/edit?usp=sharing"",""สุรินทร์!I79"")"),0)</f>
        <v>0</v>
      </c>
      <c r="Z46" s="86">
        <f ca="1">IFERROR(__xludf.DUMMYFUNCTION("IMPORTRANGE(""https://docs.google.com/spreadsheets/d/1wPdvRbu02d33MYVlbsCnyTiZpefEBs9NNktAnT1HZvw/edit?usp=sharing"",""สุรินทร์!J78"")"),0)</f>
        <v>0</v>
      </c>
      <c r="AA46" s="86">
        <f ca="1">IFERROR(__xludf.DUMMYFUNCTION("IMPORTRANGE(""https://docs.google.com/spreadsheets/d/1wPdvRbu02d33MYVlbsCnyTiZpefEBs9NNktAnT1HZvw/edit?usp=sharing"",""สุรินทร์!J79"")"),0)</f>
        <v>0</v>
      </c>
      <c r="AB46" s="82">
        <f ca="1">IFERROR(__xludf.DUMMYFUNCTION("IMPORTRANGE(""https://docs.google.com/spreadsheets/d/1wPdvRbu02d33MYVlbsCnyTiZpefEBs9NNktAnT1HZvw/edit?usp=sharing"",""สุรินทร์!I80"")"),0)</f>
        <v>0</v>
      </c>
      <c r="AC46" s="82">
        <f ca="1">IFERROR(__xludf.DUMMYFUNCTION("IMPORTRANGE(""https://docs.google.com/spreadsheets/d/1wPdvRbu02d33MYVlbsCnyTiZpefEBs9NNktAnT1HZvw/edit?usp=sharing"",""สุรินทร์!I81"")"),0)</f>
        <v>0</v>
      </c>
      <c r="AD46" s="86">
        <f ca="1">IFERROR(__xludf.DUMMYFUNCTION("IMPORTRANGE(""https://docs.google.com/spreadsheets/d/1wPdvRbu02d33MYVlbsCnyTiZpefEBs9NNktAnT1HZvw/edit?usp=sharing"",""สุรินทร์!J80"")"),0)</f>
        <v>0</v>
      </c>
      <c r="AE46" s="86">
        <f ca="1">IFERROR(__xludf.DUMMYFUNCTION("IMPORTRANGE(""https://docs.google.com/spreadsheets/d/1wPdvRbu02d33MYVlbsCnyTiZpefEBs9NNktAnT1HZvw/edit?usp=sharing"",""สุรินทร์!J81"")"),0)</f>
        <v>0</v>
      </c>
      <c r="AF46" s="82">
        <f ca="1">IFERROR(__xludf.DUMMYFUNCTION("IMPORTRANGE(""https://docs.google.com/spreadsheets/d/1wPdvRbu02d33MYVlbsCnyTiZpefEBs9NNktAnT1HZvw/edit?usp=sharing"",""สุรินทร์!I82"")"),0)</f>
        <v>0</v>
      </c>
      <c r="AG46" s="82">
        <f ca="1">IFERROR(__xludf.DUMMYFUNCTION("IMPORTRANGE(""https://docs.google.com/spreadsheets/d/1wPdvRbu02d33MYVlbsCnyTiZpefEBs9NNktAnT1HZvw/edit?usp=sharing"",""สุรินทร์!I83"")"),0)</f>
        <v>0</v>
      </c>
      <c r="AH46" s="86">
        <f ca="1">IFERROR(__xludf.DUMMYFUNCTION("IMPORTRANGE(""https://docs.google.com/spreadsheets/d/1wPdvRbu02d33MYVlbsCnyTiZpefEBs9NNktAnT1HZvw/edit?usp=sharing"",""สุรินทร์!J82"")"),0)</f>
        <v>0</v>
      </c>
      <c r="AI46" s="86">
        <f ca="1">IFERROR(__xludf.DUMMYFUNCTION("IMPORTRANGE(""https://docs.google.com/spreadsheets/d/1wPdvRbu02d33MYVlbsCnyTiZpefEBs9NNktAnT1HZvw/edit?usp=sharing"",""สุรินทร์!J83"")"),0)</f>
        <v>0</v>
      </c>
      <c r="AJ46" s="82">
        <f ca="1">IFERROR(__xludf.DUMMYFUNCTION("IMPORTRANGE(""https://docs.google.com/spreadsheets/d/1wPdvRbu02d33MYVlbsCnyTiZpefEBs9NNktAnT1HZvw/edit?usp=sharing"",""สุรินทร์!I84"")"),0)</f>
        <v>0</v>
      </c>
      <c r="AK46" s="86">
        <f ca="1">IFERROR(__xludf.DUMMYFUNCTION("IMPORTRANGE(""https://docs.google.com/spreadsheets/d/1wPdvRbu02d33MYVlbsCnyTiZpefEBs9NNktAnT1HZvw/edit?usp=sharing"",""สุรินทร์!J84"")"),0)</f>
        <v>0</v>
      </c>
      <c r="AL46" s="84">
        <f t="shared" ca="1" si="27"/>
        <v>0</v>
      </c>
    </row>
    <row r="47" spans="1:38" ht="21" customHeight="1" x14ac:dyDescent="0.2">
      <c r="A47" s="78">
        <v>16</v>
      </c>
      <c r="B47" s="79" t="s">
        <v>69</v>
      </c>
      <c r="C47" s="80">
        <f t="shared" ca="1" si="0"/>
        <v>1380900</v>
      </c>
      <c r="D47" s="81">
        <f t="shared" ca="1" si="37"/>
        <v>1380900</v>
      </c>
      <c r="E47" s="82">
        <f ca="1">IFERROR(__xludf.DUMMYFUNCTION("IMPORTRANGE(""https://docs.google.com/spreadsheets/d/1MeEWN-I1oV_STSDYn1IFDPWt_1FKiwhDph83XaGc0o0/edit?usp=sharing"",""งบพรบ!AH47"")"),300500)</f>
        <v>300500</v>
      </c>
      <c r="F47" s="82">
        <f ca="1">IFERROR(__xludf.DUMMYFUNCTION("IMPORTRANGE(""https://docs.google.com/spreadsheets/d/1MeEWN-I1oV_STSDYn1IFDPWt_1FKiwhDph83XaGc0o0/edit?usp=sharing"",""งบพรบ!AI47"")"),1080400)</f>
        <v>1080400</v>
      </c>
      <c r="G47" s="82">
        <f ca="1">IFERROR(__xludf.DUMMYFUNCTION("IMPORTRANGE(""https://docs.google.com/spreadsheets/d/1MeEWN-I1oV_STSDYn1IFDPWt_1FKiwhDph83XaGc0o0/edit?usp=sharing"",""งบพรบ!AJ47"")"),0)</f>
        <v>0</v>
      </c>
      <c r="H47" s="82">
        <f ca="1">IFERROR(__xludf.DUMMYFUNCTION("IMPORTRANGE(""https://docs.google.com/spreadsheets/d/1MeEWN-I1oV_STSDYn1IFDPWt_1FKiwhDph83XaGc0o0/edit?usp=sharing"",""งบพรบ!AL47"")"),743150)</f>
        <v>743150</v>
      </c>
      <c r="I47" s="82">
        <f ca="1">IFERROR(__xludf.DUMMYFUNCTION("IMPORTRANGE(""https://docs.google.com/spreadsheets/d/1MeEWN-I1oV_STSDYn1IFDPWt_1FKiwhDph83XaGc0o0/edit?usp=sharing"",""งบพรบ!AM47"")"),0)</f>
        <v>0</v>
      </c>
      <c r="J47" s="82">
        <f t="shared" ca="1" si="3"/>
        <v>572456.35</v>
      </c>
      <c r="K47" s="83">
        <f t="shared" ca="1" si="4"/>
        <v>41.455308132377432</v>
      </c>
      <c r="L47" s="82">
        <f ca="1">IFERROR(__xludf.DUMMYFUNCTION("IMPORTRANGE(""https://docs.google.com/spreadsheets/d/1MeEWN-I1oV_STSDYn1IFDPWt_1FKiwhDph83XaGc0o0/edit?usp=sharing"",""งบพรบ!AN47"")"),572456.35)</f>
        <v>572456.35</v>
      </c>
      <c r="M47" s="84">
        <f t="shared" ca="1" si="5"/>
        <v>41.455308132377432</v>
      </c>
      <c r="N47" s="84">
        <f t="shared" ca="1" si="6"/>
        <v>77.0310637152661</v>
      </c>
      <c r="O47" s="85">
        <f ca="1">IFERROR(__xludf.DUMMYFUNCTION("IMPORTRANGE(""https://docs.google.com/spreadsheets/d/1MeEWN-I1oV_STSDYn1IFDPWt_1FKiwhDph83XaGc0o0/edit?usp=sharing"",""งบพรบ!AO47"")"),0)</f>
        <v>0</v>
      </c>
      <c r="P47" s="85">
        <f t="shared" ca="1" si="29"/>
        <v>0</v>
      </c>
      <c r="Q47" s="84">
        <f t="shared" ca="1" si="8"/>
        <v>0</v>
      </c>
      <c r="R47" s="86">
        <f t="shared" ca="1" si="30"/>
        <v>2</v>
      </c>
      <c r="S47" s="86">
        <f t="shared" ca="1" si="24"/>
        <v>114</v>
      </c>
      <c r="T47" s="86">
        <f t="shared" ca="1" si="38"/>
        <v>2</v>
      </c>
      <c r="U47" s="87">
        <f t="shared" ca="1" si="25"/>
        <v>100</v>
      </c>
      <c r="V47" s="86">
        <f t="shared" ca="1" si="39"/>
        <v>114</v>
      </c>
      <c r="W47" s="87">
        <f t="shared" ca="1" si="26"/>
        <v>100</v>
      </c>
      <c r="X47" s="82">
        <f ca="1">IFERROR(__xludf.DUMMYFUNCTION("IMPORTRANGE(""https://docs.google.com/spreadsheets/d/1GVExpf-Exi_2gmuqTYH28fseTB9MoKPXWcXCbSt_YrM/edit?usp=sharing"",""หนองคาย!I78"")"),1)</f>
        <v>1</v>
      </c>
      <c r="Y47" s="82">
        <f ca="1">IFERROR(__xludf.DUMMYFUNCTION("IMPORTRANGE(""https://docs.google.com/spreadsheets/d/1GVExpf-Exi_2gmuqTYH28fseTB9MoKPXWcXCbSt_YrM/edit?usp=sharing"",""หนองคาย!I79"")"),50)</f>
        <v>50</v>
      </c>
      <c r="Z47" s="86">
        <f ca="1">IFERROR(__xludf.DUMMYFUNCTION("IMPORTRANGE(""https://docs.google.com/spreadsheets/d/1GVExpf-Exi_2gmuqTYH28fseTB9MoKPXWcXCbSt_YrM/edit?usp=sharing"",""หนองคาย!J78"")"),1)</f>
        <v>1</v>
      </c>
      <c r="AA47" s="86">
        <f ca="1">IFERROR(__xludf.DUMMYFUNCTION("IMPORTRANGE(""https://docs.google.com/spreadsheets/d/1GVExpf-Exi_2gmuqTYH28fseTB9MoKPXWcXCbSt_YrM/edit?usp=sharing"",""หนองคาย!J79"")"),50)</f>
        <v>50</v>
      </c>
      <c r="AB47" s="82">
        <f ca="1">IFERROR(__xludf.DUMMYFUNCTION("IMPORTRANGE(""https://docs.google.com/spreadsheets/d/1GVExpf-Exi_2gmuqTYH28fseTB9MoKPXWcXCbSt_YrM/edit?usp=sharing"",""หนองคาย!I80"")"),0)</f>
        <v>0</v>
      </c>
      <c r="AC47" s="82">
        <f ca="1">IFERROR(__xludf.DUMMYFUNCTION("IMPORTRANGE(""https://docs.google.com/spreadsheets/d/1GVExpf-Exi_2gmuqTYH28fseTB9MoKPXWcXCbSt_YrM/edit?usp=sharing"",""หนองคาย!I81"")"),0)</f>
        <v>0</v>
      </c>
      <c r="AD47" s="86">
        <f ca="1">IFERROR(__xludf.DUMMYFUNCTION("IMPORTRANGE(""https://docs.google.com/spreadsheets/d/1GVExpf-Exi_2gmuqTYH28fseTB9MoKPXWcXCbSt_YrM/edit?usp=sharing"",""หนองคาย!J80"")"),0)</f>
        <v>0</v>
      </c>
      <c r="AE47" s="86">
        <f ca="1">IFERROR(__xludf.DUMMYFUNCTION("IMPORTRANGE(""https://docs.google.com/spreadsheets/d/1GVExpf-Exi_2gmuqTYH28fseTB9MoKPXWcXCbSt_YrM/edit?usp=sharing"",""หนองคาย!J81"")"),0)</f>
        <v>0</v>
      </c>
      <c r="AF47" s="82">
        <f ca="1">IFERROR(__xludf.DUMMYFUNCTION("IMPORTRANGE(""https://docs.google.com/spreadsheets/d/1GVExpf-Exi_2gmuqTYH28fseTB9MoKPXWcXCbSt_YrM/edit?usp=sharing"",""หนองคาย!I82"")"),1)</f>
        <v>1</v>
      </c>
      <c r="AG47" s="82">
        <f ca="1">IFERROR(__xludf.DUMMYFUNCTION("IMPORTRANGE(""https://docs.google.com/spreadsheets/d/1GVExpf-Exi_2gmuqTYH28fseTB9MoKPXWcXCbSt_YrM/edit?usp=sharing"",""หนองคาย!I83"")"),64)</f>
        <v>64</v>
      </c>
      <c r="AH47" s="86">
        <f ca="1">IFERROR(__xludf.DUMMYFUNCTION("IMPORTRANGE(""https://docs.google.com/spreadsheets/d/1GVExpf-Exi_2gmuqTYH28fseTB9MoKPXWcXCbSt_YrM/edit?usp=sharing"",""หนองคาย!J82"")"),1)</f>
        <v>1</v>
      </c>
      <c r="AI47" s="86">
        <f ca="1">IFERROR(__xludf.DUMMYFUNCTION("IMPORTRANGE(""https://docs.google.com/spreadsheets/d/1GVExpf-Exi_2gmuqTYH28fseTB9MoKPXWcXCbSt_YrM/edit?usp=sharing"",""หนองคาย!J83"")"),64)</f>
        <v>64</v>
      </c>
      <c r="AJ47" s="82">
        <f ca="1">IFERROR(__xludf.DUMMYFUNCTION("IMPORTRANGE(""https://docs.google.com/spreadsheets/d/1GVExpf-Exi_2gmuqTYH28fseTB9MoKPXWcXCbSt_YrM/edit?usp=sharing"",""หนองคาย!I84"")"),2)</f>
        <v>2</v>
      </c>
      <c r="AK47" s="86">
        <f ca="1">IFERROR(__xludf.DUMMYFUNCTION("IMPORTRANGE(""https://docs.google.com/spreadsheets/d/1GVExpf-Exi_2gmuqTYH28fseTB9MoKPXWcXCbSt_YrM/edit?usp=sharing"",""หนองคาย!J84"")"),0)</f>
        <v>0</v>
      </c>
      <c r="AL47" s="84">
        <f t="shared" ca="1" si="27"/>
        <v>0</v>
      </c>
    </row>
    <row r="48" spans="1:38" ht="21" customHeight="1" x14ac:dyDescent="0.2">
      <c r="A48" s="78">
        <v>17</v>
      </c>
      <c r="B48" s="79" t="s">
        <v>70</v>
      </c>
      <c r="C48" s="80">
        <f t="shared" ca="1" si="0"/>
        <v>384000</v>
      </c>
      <c r="D48" s="81">
        <f t="shared" ca="1" si="37"/>
        <v>384000</v>
      </c>
      <c r="E48" s="82">
        <f ca="1">IFERROR(__xludf.DUMMYFUNCTION("IMPORTRANGE(""https://docs.google.com/spreadsheets/d/1MeEWN-I1oV_STSDYn1IFDPWt_1FKiwhDph83XaGc0o0/edit?usp=sharing"",""งบพรบ!AH48"")"),0)</f>
        <v>0</v>
      </c>
      <c r="F48" s="82">
        <f ca="1">IFERROR(__xludf.DUMMYFUNCTION("IMPORTRANGE(""https://docs.google.com/spreadsheets/d/1MeEWN-I1oV_STSDYn1IFDPWt_1FKiwhDph83XaGc0o0/edit?usp=sharing"",""งบพรบ!AI48"")"),384000)</f>
        <v>384000</v>
      </c>
      <c r="G48" s="82">
        <f ca="1">IFERROR(__xludf.DUMMYFUNCTION("IMPORTRANGE(""https://docs.google.com/spreadsheets/d/1MeEWN-I1oV_STSDYn1IFDPWt_1FKiwhDph83XaGc0o0/edit?usp=sharing"",""งบพรบ!AJ48"")"),0)</f>
        <v>0</v>
      </c>
      <c r="H48" s="82">
        <f ca="1">IFERROR(__xludf.DUMMYFUNCTION("IMPORTRANGE(""https://docs.google.com/spreadsheets/d/1MeEWN-I1oV_STSDYn1IFDPWt_1FKiwhDph83XaGc0o0/edit?usp=sharing"",""งบพรบ!AL48"")"),185000)</f>
        <v>185000</v>
      </c>
      <c r="I48" s="82">
        <f ca="1">IFERROR(__xludf.DUMMYFUNCTION("IMPORTRANGE(""https://docs.google.com/spreadsheets/d/1MeEWN-I1oV_STSDYn1IFDPWt_1FKiwhDph83XaGc0o0/edit?usp=sharing"",""งบพรบ!AM48"")"),0)</f>
        <v>0</v>
      </c>
      <c r="J48" s="82">
        <f t="shared" ca="1" si="3"/>
        <v>148281</v>
      </c>
      <c r="K48" s="83">
        <f t="shared" ca="1" si="4"/>
        <v>38.614843749999999</v>
      </c>
      <c r="L48" s="82">
        <f ca="1">IFERROR(__xludf.DUMMYFUNCTION("IMPORTRANGE(""https://docs.google.com/spreadsheets/d/1MeEWN-I1oV_STSDYn1IFDPWt_1FKiwhDph83XaGc0o0/edit?usp=sharing"",""งบพรบ!AN48"")"),148281)</f>
        <v>148281</v>
      </c>
      <c r="M48" s="84">
        <f t="shared" ca="1" si="5"/>
        <v>38.614843749999999</v>
      </c>
      <c r="N48" s="84">
        <f t="shared" ca="1" si="6"/>
        <v>80.151891891891893</v>
      </c>
      <c r="O48" s="85">
        <f ca="1">IFERROR(__xludf.DUMMYFUNCTION("IMPORTRANGE(""https://docs.google.com/spreadsheets/d/1MeEWN-I1oV_STSDYn1IFDPWt_1FKiwhDph83XaGc0o0/edit?usp=sharing"",""งบพรบ!AO48"")"),0)</f>
        <v>0</v>
      </c>
      <c r="P48" s="85">
        <f t="shared" ca="1" si="29"/>
        <v>0</v>
      </c>
      <c r="Q48" s="84">
        <f t="shared" ca="1" si="8"/>
        <v>0</v>
      </c>
      <c r="R48" s="86">
        <f t="shared" ca="1" si="30"/>
        <v>1</v>
      </c>
      <c r="S48" s="86">
        <f t="shared" ca="1" si="24"/>
        <v>30</v>
      </c>
      <c r="T48" s="86">
        <f t="shared" ca="1" si="38"/>
        <v>1</v>
      </c>
      <c r="U48" s="87">
        <f t="shared" ca="1" si="25"/>
        <v>100</v>
      </c>
      <c r="V48" s="86">
        <f t="shared" ca="1" si="39"/>
        <v>30</v>
      </c>
      <c r="W48" s="87">
        <f t="shared" ca="1" si="26"/>
        <v>100</v>
      </c>
      <c r="X48" s="82">
        <f ca="1">IFERROR(__xludf.DUMMYFUNCTION("IMPORTRANGE(""https://docs.google.com/spreadsheets/d/16UeMz0UgOB5BZcoxP75eYGcLFtGYRn9GoesD4OX9m5U/edit?usp=sharing"",""หนองบัวลำภู!I78"")"),0)</f>
        <v>0</v>
      </c>
      <c r="Y48" s="82">
        <f ca="1">IFERROR(__xludf.DUMMYFUNCTION("IMPORTRANGE(""https://docs.google.com/spreadsheets/d/16UeMz0UgOB5BZcoxP75eYGcLFtGYRn9GoesD4OX9m5U/edit?usp=sharing"",""หนองบัวลำภู!I79"")"),0)</f>
        <v>0</v>
      </c>
      <c r="Z48" s="86">
        <f ca="1">IFERROR(__xludf.DUMMYFUNCTION("IMPORTRANGE(""https://docs.google.com/spreadsheets/d/16UeMz0UgOB5BZcoxP75eYGcLFtGYRn9GoesD4OX9m5U/edit?usp=sharing"",""หนองบัวลำภู!J78"")"),0)</f>
        <v>0</v>
      </c>
      <c r="AA48" s="86">
        <f ca="1">IFERROR(__xludf.DUMMYFUNCTION("IMPORTRANGE(""https://docs.google.com/spreadsheets/d/16UeMz0UgOB5BZcoxP75eYGcLFtGYRn9GoesD4OX9m5U/edit?usp=sharing"",""หนองบัวลำภู!J79"")"),0)</f>
        <v>0</v>
      </c>
      <c r="AB48" s="82">
        <f ca="1">IFERROR(__xludf.DUMMYFUNCTION("IMPORTRANGE(""https://docs.google.com/spreadsheets/d/16UeMz0UgOB5BZcoxP75eYGcLFtGYRn9GoesD4OX9m5U/edit?usp=sharing"",""หนองบัวลำภู!I80"")"),1)</f>
        <v>1</v>
      </c>
      <c r="AC48" s="82">
        <f ca="1">IFERROR(__xludf.DUMMYFUNCTION("IMPORTRANGE(""https://docs.google.com/spreadsheets/d/16UeMz0UgOB5BZcoxP75eYGcLFtGYRn9GoesD4OX9m5U/edit?usp=sharing"",""หนองบัวลำภู!I81"")"),30)</f>
        <v>30</v>
      </c>
      <c r="AD48" s="86">
        <f ca="1">IFERROR(__xludf.DUMMYFUNCTION("IMPORTRANGE(""https://docs.google.com/spreadsheets/d/16UeMz0UgOB5BZcoxP75eYGcLFtGYRn9GoesD4OX9m5U/edit?usp=sharing"",""หนองบัวลำภู!J80"")"),1)</f>
        <v>1</v>
      </c>
      <c r="AE48" s="86">
        <f ca="1">IFERROR(__xludf.DUMMYFUNCTION("IMPORTRANGE(""https://docs.google.com/spreadsheets/d/16UeMz0UgOB5BZcoxP75eYGcLFtGYRn9GoesD4OX9m5U/edit?usp=sharing"",""หนองบัวลำภู!J81"")"),30)</f>
        <v>30</v>
      </c>
      <c r="AF48" s="82">
        <f ca="1">IFERROR(__xludf.DUMMYFUNCTION("IMPORTRANGE(""https://docs.google.com/spreadsheets/d/16UeMz0UgOB5BZcoxP75eYGcLFtGYRn9GoesD4OX9m5U/edit?usp=sharing"",""หนองบัวลำภู!I82"")"),0)</f>
        <v>0</v>
      </c>
      <c r="AG48" s="82">
        <f ca="1">IFERROR(__xludf.DUMMYFUNCTION("IMPORTRANGE(""https://docs.google.com/spreadsheets/d/16UeMz0UgOB5BZcoxP75eYGcLFtGYRn9GoesD4OX9m5U/edit?usp=sharing"",""หนองบัวลำภู!I83"")"),0)</f>
        <v>0</v>
      </c>
      <c r="AH48" s="86">
        <f ca="1">IFERROR(__xludf.DUMMYFUNCTION("IMPORTRANGE(""https://docs.google.com/spreadsheets/d/16UeMz0UgOB5BZcoxP75eYGcLFtGYRn9GoesD4OX9m5U/edit?usp=sharing"",""หนองบัวลำภู!J82"")"),0)</f>
        <v>0</v>
      </c>
      <c r="AI48" s="86">
        <f ca="1">IFERROR(__xludf.DUMMYFUNCTION("IMPORTRANGE(""https://docs.google.com/spreadsheets/d/16UeMz0UgOB5BZcoxP75eYGcLFtGYRn9GoesD4OX9m5U/edit?usp=sharing"",""หนองบัวลำภู!J83"")"),0)</f>
        <v>0</v>
      </c>
      <c r="AJ48" s="82">
        <f ca="1">IFERROR(__xludf.DUMMYFUNCTION("IMPORTRANGE(""https://docs.google.com/spreadsheets/d/16UeMz0UgOB5BZcoxP75eYGcLFtGYRn9GoesD4OX9m5U/edit?usp=sharing"",""หนองบัวลำภู!I84"")"),1)</f>
        <v>1</v>
      </c>
      <c r="AK48" s="86">
        <f ca="1">IFERROR(__xludf.DUMMYFUNCTION("IMPORTRANGE(""https://docs.google.com/spreadsheets/d/16UeMz0UgOB5BZcoxP75eYGcLFtGYRn9GoesD4OX9m5U/edit?usp=sharing"",""หนองบัวลำภู!J84"")"),1)</f>
        <v>1</v>
      </c>
      <c r="AL48" s="84">
        <f t="shared" ca="1" si="27"/>
        <v>100</v>
      </c>
    </row>
    <row r="49" spans="1:38" ht="21" customHeight="1" x14ac:dyDescent="0.2">
      <c r="A49" s="78">
        <v>18</v>
      </c>
      <c r="B49" s="79" t="s">
        <v>71</v>
      </c>
      <c r="C49" s="80">
        <f t="shared" ca="1" si="0"/>
        <v>781500</v>
      </c>
      <c r="D49" s="81">
        <f t="shared" ca="1" si="37"/>
        <v>781500</v>
      </c>
      <c r="E49" s="82">
        <f ca="1">IFERROR(__xludf.DUMMYFUNCTION("IMPORTRANGE(""https://docs.google.com/spreadsheets/d/1MeEWN-I1oV_STSDYn1IFDPWt_1FKiwhDph83XaGc0o0/edit?usp=sharing"",""งบพรบ!AH49"")"),296700)</f>
        <v>296700</v>
      </c>
      <c r="F49" s="82">
        <f ca="1">IFERROR(__xludf.DUMMYFUNCTION("IMPORTRANGE(""https://docs.google.com/spreadsheets/d/1MeEWN-I1oV_STSDYn1IFDPWt_1FKiwhDph83XaGc0o0/edit?usp=sharing"",""งบพรบ!AI49"")"),484800)</f>
        <v>484800</v>
      </c>
      <c r="G49" s="82">
        <f ca="1">IFERROR(__xludf.DUMMYFUNCTION("IMPORTRANGE(""https://docs.google.com/spreadsheets/d/1MeEWN-I1oV_STSDYn1IFDPWt_1FKiwhDph83XaGc0o0/edit?usp=sharing"",""งบพรบ!AJ49"")"),0)</f>
        <v>0</v>
      </c>
      <c r="H49" s="82">
        <f ca="1">IFERROR(__xludf.DUMMYFUNCTION("IMPORTRANGE(""https://docs.google.com/spreadsheets/d/1MeEWN-I1oV_STSDYn1IFDPWt_1FKiwhDph83XaGc0o0/edit?usp=sharing"",""งบพรบ!AL49"")"),454300)</f>
        <v>454300</v>
      </c>
      <c r="I49" s="82">
        <f ca="1">IFERROR(__xludf.DUMMYFUNCTION("IMPORTRANGE(""https://docs.google.com/spreadsheets/d/1MeEWN-I1oV_STSDYn1IFDPWt_1FKiwhDph83XaGc0o0/edit?usp=sharing"",""งบพรบ!AM49"")"),0)</f>
        <v>0</v>
      </c>
      <c r="J49" s="82">
        <f t="shared" ca="1" si="3"/>
        <v>153365</v>
      </c>
      <c r="K49" s="83">
        <f t="shared" ca="1" si="4"/>
        <v>19.624440179142674</v>
      </c>
      <c r="L49" s="82">
        <f ca="1">IFERROR(__xludf.DUMMYFUNCTION("IMPORTRANGE(""https://docs.google.com/spreadsheets/d/1MeEWN-I1oV_STSDYn1IFDPWt_1FKiwhDph83XaGc0o0/edit?usp=sharing"",""งบพรบ!AN49"")"),153365)</f>
        <v>153365</v>
      </c>
      <c r="M49" s="84">
        <f t="shared" ca="1" si="5"/>
        <v>19.624440179142674</v>
      </c>
      <c r="N49" s="84">
        <f t="shared" ca="1" si="6"/>
        <v>33.758529605987235</v>
      </c>
      <c r="O49" s="85">
        <f ca="1">IFERROR(__xludf.DUMMYFUNCTION("IMPORTRANGE(""https://docs.google.com/spreadsheets/d/1MeEWN-I1oV_STSDYn1IFDPWt_1FKiwhDph83XaGc0o0/edit?usp=sharing"",""งบพรบ!AO49"")"),0)</f>
        <v>0</v>
      </c>
      <c r="P49" s="85">
        <f t="shared" ca="1" si="29"/>
        <v>0</v>
      </c>
      <c r="Q49" s="84">
        <f t="shared" ca="1" si="8"/>
        <v>0</v>
      </c>
      <c r="R49" s="86">
        <f t="shared" ca="1" si="30"/>
        <v>1</v>
      </c>
      <c r="S49" s="86">
        <f t="shared" ca="1" si="24"/>
        <v>48</v>
      </c>
      <c r="T49" s="86">
        <f t="shared" ca="1" si="38"/>
        <v>1</v>
      </c>
      <c r="U49" s="87">
        <f t="shared" ca="1" si="25"/>
        <v>100</v>
      </c>
      <c r="V49" s="86">
        <f t="shared" ca="1" si="39"/>
        <v>48</v>
      </c>
      <c r="W49" s="87">
        <f t="shared" ca="1" si="26"/>
        <v>100</v>
      </c>
      <c r="X49" s="82">
        <f ca="1">IFERROR(__xludf.DUMMYFUNCTION("IMPORTRANGE(""https://docs.google.com/spreadsheets/d/1uUP8Zo1-qaJLuIkRU0qlwLSE3DHkbdrrj2JGJiWBQZE/edit?usp=sharing"",""อำนาจเจริญ!I78"")"),0)</f>
        <v>0</v>
      </c>
      <c r="Y49" s="82">
        <f ca="1">IFERROR(__xludf.DUMMYFUNCTION("IMPORTRANGE(""https://docs.google.com/spreadsheets/d/1uUP8Zo1-qaJLuIkRU0qlwLSE3DHkbdrrj2JGJiWBQZE/edit?usp=sharing"",""อำนาจเจริญ!I79"")"),0)</f>
        <v>0</v>
      </c>
      <c r="Z49" s="86">
        <f ca="1">IFERROR(__xludf.DUMMYFUNCTION("IMPORTRANGE(""https://docs.google.com/spreadsheets/d/1uUP8Zo1-qaJLuIkRU0qlwLSE3DHkbdrrj2JGJiWBQZE/edit?usp=sharing"",""อำนาจเจริญ!J78"")"),0)</f>
        <v>0</v>
      </c>
      <c r="AA49" s="86">
        <f ca="1">IFERROR(__xludf.DUMMYFUNCTION("IMPORTRANGE(""https://docs.google.com/spreadsheets/d/1uUP8Zo1-qaJLuIkRU0qlwLSE3DHkbdrrj2JGJiWBQZE/edit?usp=sharing"",""อำนาจเจริญ!J79"")"),0)</f>
        <v>0</v>
      </c>
      <c r="AB49" s="82">
        <f ca="1">IFERROR(__xludf.DUMMYFUNCTION("IMPORTRANGE(""https://docs.google.com/spreadsheets/d/1uUP8Zo1-qaJLuIkRU0qlwLSE3DHkbdrrj2JGJiWBQZE/edit?usp=sharing"",""อำนาจเจริญ!I80"")"),0)</f>
        <v>0</v>
      </c>
      <c r="AC49" s="82">
        <f ca="1">IFERROR(__xludf.DUMMYFUNCTION("IMPORTRANGE(""https://docs.google.com/spreadsheets/d/1uUP8Zo1-qaJLuIkRU0qlwLSE3DHkbdrrj2JGJiWBQZE/edit?usp=sharing"",""อำนาจเจริญ!I81"")"),0)</f>
        <v>0</v>
      </c>
      <c r="AD49" s="86">
        <f ca="1">IFERROR(__xludf.DUMMYFUNCTION("IMPORTRANGE(""https://docs.google.com/spreadsheets/d/1uUP8Zo1-qaJLuIkRU0qlwLSE3DHkbdrrj2JGJiWBQZE/edit?usp=sharing"",""อำนาจเจริญ!J80"")"),0)</f>
        <v>0</v>
      </c>
      <c r="AE49" s="86">
        <f ca="1">IFERROR(__xludf.DUMMYFUNCTION("IMPORTRANGE(""https://docs.google.com/spreadsheets/d/1uUP8Zo1-qaJLuIkRU0qlwLSE3DHkbdrrj2JGJiWBQZE/edit?usp=sharing"",""อำนาจเจริญ!J81"")"),0)</f>
        <v>0</v>
      </c>
      <c r="AF49" s="82">
        <f ca="1">IFERROR(__xludf.DUMMYFUNCTION("IMPORTRANGE(""https://docs.google.com/spreadsheets/d/1uUP8Zo1-qaJLuIkRU0qlwLSE3DHkbdrrj2JGJiWBQZE/edit?usp=sharing"",""อำนาจเจริญ!I82"")"),1)</f>
        <v>1</v>
      </c>
      <c r="AG49" s="82">
        <f ca="1">IFERROR(__xludf.DUMMYFUNCTION("IMPORTRANGE(""https://docs.google.com/spreadsheets/d/1uUP8Zo1-qaJLuIkRU0qlwLSE3DHkbdrrj2JGJiWBQZE/edit?usp=sharing"",""อำนาจเจริญ!I83"")"),48)</f>
        <v>48</v>
      </c>
      <c r="AH49" s="86">
        <f ca="1">IFERROR(__xludf.DUMMYFUNCTION("IMPORTRANGE(""https://docs.google.com/spreadsheets/d/1uUP8Zo1-qaJLuIkRU0qlwLSE3DHkbdrrj2JGJiWBQZE/edit?usp=sharing"",""อำนาจเจริญ!J82"")"),1)</f>
        <v>1</v>
      </c>
      <c r="AI49" s="86">
        <f ca="1">IFERROR(__xludf.DUMMYFUNCTION("IMPORTRANGE(""https://docs.google.com/spreadsheets/d/1uUP8Zo1-qaJLuIkRU0qlwLSE3DHkbdrrj2JGJiWBQZE/edit?usp=sharing"",""อำนาจเจริญ!J83"")"),48)</f>
        <v>48</v>
      </c>
      <c r="AJ49" s="82">
        <f ca="1">IFERROR(__xludf.DUMMYFUNCTION("IMPORTRANGE(""https://docs.google.com/spreadsheets/d/1uUP8Zo1-qaJLuIkRU0qlwLSE3DHkbdrrj2JGJiWBQZE/edit?usp=sharing"",""อำนาจเจริญ!I84"")"),1)</f>
        <v>1</v>
      </c>
      <c r="AK49" s="86">
        <f ca="1">IFERROR(__xludf.DUMMYFUNCTION("IMPORTRANGE(""https://docs.google.com/spreadsheets/d/1uUP8Zo1-qaJLuIkRU0qlwLSE3DHkbdrrj2JGJiWBQZE/edit?usp=sharing"",""อำนาจเจริญ!J84"")"),0)</f>
        <v>0</v>
      </c>
      <c r="AL49" s="84">
        <f t="shared" ca="1" si="27"/>
        <v>0</v>
      </c>
    </row>
    <row r="50" spans="1:38" ht="21" customHeight="1" x14ac:dyDescent="0.2">
      <c r="A50" s="78">
        <v>19</v>
      </c>
      <c r="B50" s="79" t="s">
        <v>72</v>
      </c>
      <c r="C50" s="80">
        <f t="shared" ca="1" si="0"/>
        <v>1079500</v>
      </c>
      <c r="D50" s="81">
        <f t="shared" ca="1" si="37"/>
        <v>1079500</v>
      </c>
      <c r="E50" s="82">
        <f ca="1">IFERROR(__xludf.DUMMYFUNCTION("IMPORTRANGE(""https://docs.google.com/spreadsheets/d/1MeEWN-I1oV_STSDYn1IFDPWt_1FKiwhDph83XaGc0o0/edit?usp=sharing"",""งบพรบ!AH50"")"),461500)</f>
        <v>461500</v>
      </c>
      <c r="F50" s="82">
        <f ca="1">IFERROR(__xludf.DUMMYFUNCTION("IMPORTRANGE(""https://docs.google.com/spreadsheets/d/1MeEWN-I1oV_STSDYn1IFDPWt_1FKiwhDph83XaGc0o0/edit?usp=sharing"",""งบพรบ!AI50"")"),618000)</f>
        <v>618000</v>
      </c>
      <c r="G50" s="82">
        <f ca="1">IFERROR(__xludf.DUMMYFUNCTION("IMPORTRANGE(""https://docs.google.com/spreadsheets/d/1MeEWN-I1oV_STSDYn1IFDPWt_1FKiwhDph83XaGc0o0/edit?usp=sharing"",""งบพรบ!AJ50"")"),0)</f>
        <v>0</v>
      </c>
      <c r="H50" s="82">
        <f ca="1">IFERROR(__xludf.DUMMYFUNCTION("IMPORTRANGE(""https://docs.google.com/spreadsheets/d/1MeEWN-I1oV_STSDYn1IFDPWt_1FKiwhDph83XaGc0o0/edit?usp=sharing"",""งบพรบ!AL50"")"),636650)</f>
        <v>636650</v>
      </c>
      <c r="I50" s="82">
        <f ca="1">IFERROR(__xludf.DUMMYFUNCTION("IMPORTRANGE(""https://docs.google.com/spreadsheets/d/1MeEWN-I1oV_STSDYn1IFDPWt_1FKiwhDph83XaGc0o0/edit?usp=sharing"",""งบพรบ!AM50"")"),0)</f>
        <v>0</v>
      </c>
      <c r="J50" s="82">
        <f t="shared" ca="1" si="3"/>
        <v>454087.82</v>
      </c>
      <c r="K50" s="83">
        <f t="shared" ca="1" si="4"/>
        <v>42.064642890226956</v>
      </c>
      <c r="L50" s="82">
        <f ca="1">IFERROR(__xludf.DUMMYFUNCTION("IMPORTRANGE(""https://docs.google.com/spreadsheets/d/1MeEWN-I1oV_STSDYn1IFDPWt_1FKiwhDph83XaGc0o0/edit?usp=sharing"",""งบพรบ!AN50"")"),454087.82)</f>
        <v>454087.82</v>
      </c>
      <c r="M50" s="84">
        <f t="shared" ca="1" si="5"/>
        <v>42.064642890226956</v>
      </c>
      <c r="N50" s="84">
        <f t="shared" ca="1" si="6"/>
        <v>71.324561375952257</v>
      </c>
      <c r="O50" s="85">
        <f ca="1">IFERROR(__xludf.DUMMYFUNCTION("IMPORTRANGE(""https://docs.google.com/spreadsheets/d/1MeEWN-I1oV_STSDYn1IFDPWt_1FKiwhDph83XaGc0o0/edit?usp=sharing"",""งบพรบ!AO50"")"),0)</f>
        <v>0</v>
      </c>
      <c r="P50" s="85">
        <f t="shared" ca="1" si="29"/>
        <v>0</v>
      </c>
      <c r="Q50" s="84">
        <f t="shared" ca="1" si="8"/>
        <v>0</v>
      </c>
      <c r="R50" s="86">
        <f t="shared" ca="1" si="30"/>
        <v>1</v>
      </c>
      <c r="S50" s="86">
        <f t="shared" ca="1" si="24"/>
        <v>70</v>
      </c>
      <c r="T50" s="86">
        <f t="shared" ca="1" si="38"/>
        <v>0</v>
      </c>
      <c r="U50" s="87">
        <f t="shared" ca="1" si="25"/>
        <v>0</v>
      </c>
      <c r="V50" s="86">
        <f t="shared" ca="1" si="39"/>
        <v>40</v>
      </c>
      <c r="W50" s="87">
        <f t="shared" ca="1" si="26"/>
        <v>57.142857142857146</v>
      </c>
      <c r="X50" s="82">
        <f ca="1">IFERROR(__xludf.DUMMYFUNCTION("IMPORTRANGE(""https://docs.google.com/spreadsheets/d/1hb_taSOHanzRjqfzWPiFo8yiT83VV1L7vvUCLhOiHKc/edit?usp=sharing"",""อุดรธานี!I78"")"),0)</f>
        <v>0</v>
      </c>
      <c r="Y50" s="82">
        <f ca="1">IFERROR(__xludf.DUMMYFUNCTION("IMPORTRANGE(""https://docs.google.com/spreadsheets/d/1hb_taSOHanzRjqfzWPiFo8yiT83VV1L7vvUCLhOiHKc/edit?usp=sharing"",""อุดรธานี!I79"")"),0)</f>
        <v>0</v>
      </c>
      <c r="Z50" s="86">
        <f ca="1">IFERROR(__xludf.DUMMYFUNCTION("IMPORTRANGE(""https://docs.google.com/spreadsheets/d/1hb_taSOHanzRjqfzWPiFo8yiT83VV1L7vvUCLhOiHKc/edit?usp=sharing"",""อุดรธานี!J78"")"),0)</f>
        <v>0</v>
      </c>
      <c r="AA50" s="86">
        <f ca="1">IFERROR(__xludf.DUMMYFUNCTION("IMPORTRANGE(""https://docs.google.com/spreadsheets/d/1hb_taSOHanzRjqfzWPiFo8yiT83VV1L7vvUCLhOiHKc/edit?usp=sharing"",""อุดรธานี!J79"")"),0)</f>
        <v>0</v>
      </c>
      <c r="AB50" s="82">
        <f ca="1">IFERROR(__xludf.DUMMYFUNCTION("IMPORTRANGE(""https://docs.google.com/spreadsheets/d/1hb_taSOHanzRjqfzWPiFo8yiT83VV1L7vvUCLhOiHKc/edit?usp=sharing"",""อุดรธานี!I80"")"),1)</f>
        <v>1</v>
      </c>
      <c r="AC50" s="82">
        <f ca="1">IFERROR(__xludf.DUMMYFUNCTION("IMPORTRANGE(""https://docs.google.com/spreadsheets/d/1hb_taSOHanzRjqfzWPiFo8yiT83VV1L7vvUCLhOiHKc/edit?usp=sharing"",""อุดรธานี!I81"")"),70)</f>
        <v>70</v>
      </c>
      <c r="AD50" s="86">
        <f ca="1">IFERROR(__xludf.DUMMYFUNCTION("IMPORTRANGE(""https://docs.google.com/spreadsheets/d/1hb_taSOHanzRjqfzWPiFo8yiT83VV1L7vvUCLhOiHKc/edit?usp=sharing"",""อุดรธานี!J80"")"),0)</f>
        <v>0</v>
      </c>
      <c r="AE50" s="86">
        <f ca="1">IFERROR(__xludf.DUMMYFUNCTION("IMPORTRANGE(""https://docs.google.com/spreadsheets/d/1hb_taSOHanzRjqfzWPiFo8yiT83VV1L7vvUCLhOiHKc/edit?usp=sharing"",""อุดรธานี!J81"")"),40)</f>
        <v>40</v>
      </c>
      <c r="AF50" s="82">
        <f ca="1">IFERROR(__xludf.DUMMYFUNCTION("IMPORTRANGE(""https://docs.google.com/spreadsheets/d/1hb_taSOHanzRjqfzWPiFo8yiT83VV1L7vvUCLhOiHKc/edit?usp=sharing"",""อุดรธานี!I82"")"),0)</f>
        <v>0</v>
      </c>
      <c r="AG50" s="82">
        <f ca="1">IFERROR(__xludf.DUMMYFUNCTION("IMPORTRANGE(""https://docs.google.com/spreadsheets/d/1hb_taSOHanzRjqfzWPiFo8yiT83VV1L7vvUCLhOiHKc/edit?usp=sharing"",""อุดรธานี!I83"")"),0)</f>
        <v>0</v>
      </c>
      <c r="AH50" s="86">
        <f ca="1">IFERROR(__xludf.DUMMYFUNCTION("IMPORTRANGE(""https://docs.google.com/spreadsheets/d/1hb_taSOHanzRjqfzWPiFo8yiT83VV1L7vvUCLhOiHKc/edit?usp=sharing"",""อุดรธานี!J82"")"),0)</f>
        <v>0</v>
      </c>
      <c r="AI50" s="86">
        <f ca="1">IFERROR(__xludf.DUMMYFUNCTION("IMPORTRANGE(""https://docs.google.com/spreadsheets/d/1hb_taSOHanzRjqfzWPiFo8yiT83VV1L7vvUCLhOiHKc/edit?usp=sharing"",""อุดรธานี!J83"")"),0)</f>
        <v>0</v>
      </c>
      <c r="AJ50" s="82">
        <f ca="1">IFERROR(__xludf.DUMMYFUNCTION("IMPORTRANGE(""https://docs.google.com/spreadsheets/d/1hb_taSOHanzRjqfzWPiFo8yiT83VV1L7vvUCLhOiHKc/edit?usp=sharing"",""อุดรธานี!I84"")"),1)</f>
        <v>1</v>
      </c>
      <c r="AK50" s="86">
        <f ca="1">IFERROR(__xludf.DUMMYFUNCTION("IMPORTRANGE(""https://docs.google.com/spreadsheets/d/1hb_taSOHanzRjqfzWPiFo8yiT83VV1L7vvUCLhOiHKc/edit?usp=sharing"",""อุดรธานี!J84"")"),0)</f>
        <v>0</v>
      </c>
      <c r="AL50" s="84">
        <f t="shared" ca="1" si="27"/>
        <v>0</v>
      </c>
    </row>
    <row r="51" spans="1:38" ht="21" customHeight="1" x14ac:dyDescent="0.2">
      <c r="A51" s="89">
        <v>20</v>
      </c>
      <c r="B51" s="90" t="s">
        <v>73</v>
      </c>
      <c r="C51" s="91">
        <f t="shared" ca="1" si="0"/>
        <v>412000</v>
      </c>
      <c r="D51" s="92">
        <f t="shared" ca="1" si="37"/>
        <v>412000</v>
      </c>
      <c r="E51" s="93">
        <f ca="1">IFERROR(__xludf.DUMMYFUNCTION("IMPORTRANGE(""https://docs.google.com/spreadsheets/d/1MeEWN-I1oV_STSDYn1IFDPWt_1FKiwhDph83XaGc0o0/edit?usp=sharing"",""งบพรบ!AH51"")"),0)</f>
        <v>0</v>
      </c>
      <c r="F51" s="93">
        <f ca="1">IFERROR(__xludf.DUMMYFUNCTION("IMPORTRANGE(""https://docs.google.com/spreadsheets/d/1MeEWN-I1oV_STSDYn1IFDPWt_1FKiwhDph83XaGc0o0/edit?usp=sharing"",""งบพรบ!AI51"")"),412000)</f>
        <v>412000</v>
      </c>
      <c r="G51" s="93">
        <f ca="1">IFERROR(__xludf.DUMMYFUNCTION("IMPORTRANGE(""https://docs.google.com/spreadsheets/d/1MeEWN-I1oV_STSDYn1IFDPWt_1FKiwhDph83XaGc0o0/edit?usp=sharing"",""งบพรบ!AJ51"")"),0)</f>
        <v>0</v>
      </c>
      <c r="H51" s="93">
        <f ca="1">IFERROR(__xludf.DUMMYFUNCTION("IMPORTRANGE(""https://docs.google.com/spreadsheets/d/1MeEWN-I1oV_STSDYn1IFDPWt_1FKiwhDph83XaGc0o0/edit?usp=sharing"",""งบพรบ!AL51"")"),200000)</f>
        <v>200000</v>
      </c>
      <c r="I51" s="93">
        <f ca="1">IFERROR(__xludf.DUMMYFUNCTION("IMPORTRANGE(""https://docs.google.com/spreadsheets/d/1MeEWN-I1oV_STSDYn1IFDPWt_1FKiwhDph83XaGc0o0/edit?usp=sharing"",""งบพรบ!AM51"")"),0)</f>
        <v>0</v>
      </c>
      <c r="J51" s="93">
        <f t="shared" ca="1" si="3"/>
        <v>136618</v>
      </c>
      <c r="K51" s="94">
        <f t="shared" ca="1" si="4"/>
        <v>33.159708737864079</v>
      </c>
      <c r="L51" s="93">
        <f ca="1">IFERROR(__xludf.DUMMYFUNCTION("IMPORTRANGE(""https://docs.google.com/spreadsheets/d/1MeEWN-I1oV_STSDYn1IFDPWt_1FKiwhDph83XaGc0o0/edit?usp=sharing"",""งบพรบ!AN51"")"),136618)</f>
        <v>136618</v>
      </c>
      <c r="M51" s="95">
        <f t="shared" ca="1" si="5"/>
        <v>33.159708737864079</v>
      </c>
      <c r="N51" s="95">
        <f t="shared" ca="1" si="6"/>
        <v>68.308999999999997</v>
      </c>
      <c r="O51" s="96">
        <f ca="1">IFERROR(__xludf.DUMMYFUNCTION("IMPORTRANGE(""https://docs.google.com/spreadsheets/d/1MeEWN-I1oV_STSDYn1IFDPWt_1FKiwhDph83XaGc0o0/edit?usp=sharing"",""งบพรบ!AO51"")"),0)</f>
        <v>0</v>
      </c>
      <c r="P51" s="96">
        <f t="shared" ca="1" si="29"/>
        <v>0</v>
      </c>
      <c r="Q51" s="95">
        <f t="shared" ca="1" si="8"/>
        <v>0</v>
      </c>
      <c r="R51" s="97">
        <f t="shared" ca="1" si="30"/>
        <v>1</v>
      </c>
      <c r="S51" s="97">
        <f t="shared" ca="1" si="24"/>
        <v>35</v>
      </c>
      <c r="T51" s="97">
        <f t="shared" ca="1" si="38"/>
        <v>1</v>
      </c>
      <c r="U51" s="98">
        <f t="shared" ca="1" si="25"/>
        <v>100</v>
      </c>
      <c r="V51" s="97">
        <f t="shared" ca="1" si="39"/>
        <v>35</v>
      </c>
      <c r="W51" s="98">
        <f t="shared" ca="1" si="26"/>
        <v>100</v>
      </c>
      <c r="X51" s="93">
        <f ca="1">IFERROR(__xludf.DUMMYFUNCTION("IMPORTRANGE(""https://docs.google.com/spreadsheets/d/17IOkEwkUd63EGNfyNDnM5de9YlZ7rwzTiW6-dokVjKI/edit?usp=sharing"",""อุบลราชธานี!I78"")"),1)</f>
        <v>1</v>
      </c>
      <c r="Y51" s="93">
        <f ca="1">IFERROR(__xludf.DUMMYFUNCTION("IMPORTRANGE(""https://docs.google.com/spreadsheets/d/17IOkEwkUd63EGNfyNDnM5de9YlZ7rwzTiW6-dokVjKI/edit?usp=sharing"",""อุบลราชธานี!I79"")"),35)</f>
        <v>35</v>
      </c>
      <c r="Z51" s="97">
        <f ca="1">IFERROR(__xludf.DUMMYFUNCTION("IMPORTRANGE(""https://docs.google.com/spreadsheets/d/17IOkEwkUd63EGNfyNDnM5de9YlZ7rwzTiW6-dokVjKI/edit?usp=sharing"",""อุบลราชธานี!J78"")"),1)</f>
        <v>1</v>
      </c>
      <c r="AA51" s="97">
        <f ca="1">IFERROR(__xludf.DUMMYFUNCTION("IMPORTRANGE(""https://docs.google.com/spreadsheets/d/17IOkEwkUd63EGNfyNDnM5de9YlZ7rwzTiW6-dokVjKI/edit?usp=sharing"",""อุบลราชธานี!J79"")"),35)</f>
        <v>35</v>
      </c>
      <c r="AB51" s="93">
        <f ca="1">IFERROR(__xludf.DUMMYFUNCTION("IMPORTRANGE(""https://docs.google.com/spreadsheets/d/17IOkEwkUd63EGNfyNDnM5de9YlZ7rwzTiW6-dokVjKI/edit?usp=sharing"",""อุบลราชธานี!I80"")"),0)</f>
        <v>0</v>
      </c>
      <c r="AC51" s="93">
        <f ca="1">IFERROR(__xludf.DUMMYFUNCTION("IMPORTRANGE(""https://docs.google.com/spreadsheets/d/17IOkEwkUd63EGNfyNDnM5de9YlZ7rwzTiW6-dokVjKI/edit?usp=sharing"",""อุบลราชธานี!I81"")"),0)</f>
        <v>0</v>
      </c>
      <c r="AD51" s="97">
        <f ca="1">IFERROR(__xludf.DUMMYFUNCTION("IMPORTRANGE(""https://docs.google.com/spreadsheets/d/17IOkEwkUd63EGNfyNDnM5de9YlZ7rwzTiW6-dokVjKI/edit?usp=sharing"",""อุบลราชธานี!J80"")"),0)</f>
        <v>0</v>
      </c>
      <c r="AE51" s="97">
        <f ca="1">IFERROR(__xludf.DUMMYFUNCTION("IMPORTRANGE(""https://docs.google.com/spreadsheets/d/17IOkEwkUd63EGNfyNDnM5de9YlZ7rwzTiW6-dokVjKI/edit?usp=sharing"",""อุบลราชธานี!J81"")"),0)</f>
        <v>0</v>
      </c>
      <c r="AF51" s="93">
        <f ca="1">IFERROR(__xludf.DUMMYFUNCTION("IMPORTRANGE(""https://docs.google.com/spreadsheets/d/17IOkEwkUd63EGNfyNDnM5de9YlZ7rwzTiW6-dokVjKI/edit?usp=sharing"",""อุบลราชธานี!I82"")"),0)</f>
        <v>0</v>
      </c>
      <c r="AG51" s="93">
        <f ca="1">IFERROR(__xludf.DUMMYFUNCTION("IMPORTRANGE(""https://docs.google.com/spreadsheets/d/17IOkEwkUd63EGNfyNDnM5de9YlZ7rwzTiW6-dokVjKI/edit?usp=sharing"",""อุบลราชธานี!I83"")"),0)</f>
        <v>0</v>
      </c>
      <c r="AH51" s="97">
        <f ca="1">IFERROR(__xludf.DUMMYFUNCTION("IMPORTRANGE(""https://docs.google.com/spreadsheets/d/17IOkEwkUd63EGNfyNDnM5de9YlZ7rwzTiW6-dokVjKI/edit?usp=sharing"",""อุบลราชธานี!J82"")"),0)</f>
        <v>0</v>
      </c>
      <c r="AI51" s="97">
        <f ca="1">IFERROR(__xludf.DUMMYFUNCTION("IMPORTRANGE(""https://docs.google.com/spreadsheets/d/17IOkEwkUd63EGNfyNDnM5de9YlZ7rwzTiW6-dokVjKI/edit?usp=sharing"",""อุบลราชธานี!J83"")"),0)</f>
        <v>0</v>
      </c>
      <c r="AJ51" s="93">
        <f ca="1">IFERROR(__xludf.DUMMYFUNCTION("IMPORTRANGE(""https://docs.google.com/spreadsheets/d/17IOkEwkUd63EGNfyNDnM5de9YlZ7rwzTiW6-dokVjKI/edit?usp=sharing"",""อุบลราชธานี!I84"")"),1)</f>
        <v>1</v>
      </c>
      <c r="AK51" s="97">
        <f ca="1">IFERROR(__xludf.DUMMYFUNCTION("IMPORTRANGE(""https://docs.google.com/spreadsheets/d/17IOkEwkUd63EGNfyNDnM5de9YlZ7rwzTiW6-dokVjKI/edit?usp=sharing"",""อุบลราชธานี!J84"")"),0)</f>
        <v>0</v>
      </c>
      <c r="AL51" s="95">
        <f t="shared" ca="1" si="27"/>
        <v>0</v>
      </c>
    </row>
    <row r="52" spans="1:38" ht="21" customHeight="1" x14ac:dyDescent="0.2">
      <c r="A52" s="380" t="s">
        <v>74</v>
      </c>
      <c r="B52" s="379"/>
      <c r="C52" s="99">
        <f t="shared" ca="1" si="0"/>
        <v>5761100</v>
      </c>
      <c r="D52" s="62">
        <f t="shared" ref="D52:I52" ca="1" si="40">SUM(D53:D73)</f>
        <v>5761100</v>
      </c>
      <c r="E52" s="62">
        <f t="shared" ca="1" si="40"/>
        <v>1765100</v>
      </c>
      <c r="F52" s="62">
        <f t="shared" ca="1" si="40"/>
        <v>3996000</v>
      </c>
      <c r="G52" s="62">
        <f t="shared" ca="1" si="40"/>
        <v>0</v>
      </c>
      <c r="H52" s="62">
        <f t="shared" ca="1" si="40"/>
        <v>3225100</v>
      </c>
      <c r="I52" s="62">
        <f t="shared" ca="1" si="40"/>
        <v>0</v>
      </c>
      <c r="J52" s="62">
        <f t="shared" ca="1" si="3"/>
        <v>1819609.1600000001</v>
      </c>
      <c r="K52" s="100">
        <f t="shared" ca="1" si="4"/>
        <v>31.584405061533388</v>
      </c>
      <c r="L52" s="62">
        <f ca="1">SUM(L53:L73)</f>
        <v>1819609.1600000001</v>
      </c>
      <c r="M52" s="101">
        <f t="shared" ca="1" si="5"/>
        <v>31.584405061533388</v>
      </c>
      <c r="N52" s="101">
        <f t="shared" ca="1" si="6"/>
        <v>56.420239992558372</v>
      </c>
      <c r="O52" s="102">
        <f ca="1">SUM(O53:O73)</f>
        <v>0</v>
      </c>
      <c r="P52" s="102">
        <f t="shared" ca="1" si="29"/>
        <v>0</v>
      </c>
      <c r="Q52" s="101">
        <f t="shared" ca="1" si="8"/>
        <v>0</v>
      </c>
      <c r="R52" s="62">
        <f t="shared" ca="1" si="30"/>
        <v>8</v>
      </c>
      <c r="S52" s="62">
        <f t="shared" ca="1" si="24"/>
        <v>450</v>
      </c>
      <c r="T52" s="62">
        <f ca="1">SUM(T53:T73)</f>
        <v>6</v>
      </c>
      <c r="U52" s="101">
        <f t="shared" ca="1" si="25"/>
        <v>75</v>
      </c>
      <c r="V52" s="62">
        <f ca="1">SUM(V53:V73)</f>
        <v>253</v>
      </c>
      <c r="W52" s="101">
        <f t="shared" ca="1" si="26"/>
        <v>56.222222222222221</v>
      </c>
      <c r="X52" s="62">
        <f t="shared" ref="X52:AK52" ca="1" si="41">SUM(X53:X73)</f>
        <v>4</v>
      </c>
      <c r="Y52" s="62">
        <f t="shared" ca="1" si="41"/>
        <v>170</v>
      </c>
      <c r="Z52" s="62">
        <f t="shared" ca="1" si="41"/>
        <v>4</v>
      </c>
      <c r="AA52" s="62">
        <f t="shared" ca="1" si="41"/>
        <v>170</v>
      </c>
      <c r="AB52" s="62">
        <f t="shared" ca="1" si="41"/>
        <v>2</v>
      </c>
      <c r="AC52" s="62">
        <f t="shared" ca="1" si="41"/>
        <v>150</v>
      </c>
      <c r="AD52" s="62">
        <f t="shared" ca="1" si="41"/>
        <v>0</v>
      </c>
      <c r="AE52" s="62">
        <f t="shared" ca="1" si="41"/>
        <v>0</v>
      </c>
      <c r="AF52" s="62">
        <f t="shared" ca="1" si="41"/>
        <v>2</v>
      </c>
      <c r="AG52" s="62">
        <f t="shared" ca="1" si="41"/>
        <v>130</v>
      </c>
      <c r="AH52" s="62">
        <f t="shared" ca="1" si="41"/>
        <v>2</v>
      </c>
      <c r="AI52" s="62">
        <f t="shared" ca="1" si="41"/>
        <v>83</v>
      </c>
      <c r="AJ52" s="62">
        <f t="shared" ca="1" si="41"/>
        <v>8</v>
      </c>
      <c r="AK52" s="62">
        <f t="shared" ca="1" si="41"/>
        <v>0</v>
      </c>
      <c r="AL52" s="101">
        <f t="shared" ca="1" si="27"/>
        <v>0</v>
      </c>
    </row>
    <row r="53" spans="1:38" ht="21" customHeight="1" x14ac:dyDescent="0.2">
      <c r="A53" s="68">
        <v>1</v>
      </c>
      <c r="B53" s="69" t="s">
        <v>75</v>
      </c>
      <c r="C53" s="103">
        <f t="shared" ca="1" si="0"/>
        <v>0</v>
      </c>
      <c r="D53" s="71">
        <f t="shared" ref="D53:D73" ca="1" si="42">+E53+F53</f>
        <v>0</v>
      </c>
      <c r="E53" s="72">
        <f ca="1">IFERROR(__xludf.DUMMYFUNCTION("IMPORTRANGE(""https://docs.google.com/spreadsheets/d/1MeEWN-I1oV_STSDYn1IFDPWt_1FKiwhDph83XaGc0o0/edit?usp=sharing"",""งบพรบ!AH53"")"),0)</f>
        <v>0</v>
      </c>
      <c r="F53" s="72">
        <f ca="1">IFERROR(__xludf.DUMMYFUNCTION("IMPORTRANGE(""https://docs.google.com/spreadsheets/d/1MeEWN-I1oV_STSDYn1IFDPWt_1FKiwhDph83XaGc0o0/edit?usp=sharing"",""งบพรบ!AI53"")"),0)</f>
        <v>0</v>
      </c>
      <c r="G53" s="73">
        <f ca="1">IFERROR(__xludf.DUMMYFUNCTION("IMPORTRANGE(""https://docs.google.com/spreadsheets/d/1MeEWN-I1oV_STSDYn1IFDPWt_1FKiwhDph83XaGc0o0/edit?usp=sharing"",""งบพรบ!AJ53"")"),0)</f>
        <v>0</v>
      </c>
      <c r="H53" s="73">
        <f ca="1">IFERROR(__xludf.DUMMYFUNCTION("IMPORTRANGE(""https://docs.google.com/spreadsheets/d/1MeEWN-I1oV_STSDYn1IFDPWt_1FKiwhDph83XaGc0o0/edit?usp=sharing"",""งบพรบ!AL53"")"),0)</f>
        <v>0</v>
      </c>
      <c r="I53" s="73">
        <f ca="1">IFERROR(__xludf.DUMMYFUNCTION("IMPORTRANGE(""https://docs.google.com/spreadsheets/d/1MeEWN-I1oV_STSDYn1IFDPWt_1FKiwhDph83XaGc0o0/edit?usp=sharing"",""งบพรบ!AM53"")"),0)</f>
        <v>0</v>
      </c>
      <c r="J53" s="73">
        <f t="shared" ca="1" si="3"/>
        <v>0</v>
      </c>
      <c r="K53" s="74">
        <f t="shared" ca="1" si="4"/>
        <v>0</v>
      </c>
      <c r="L53" s="73">
        <f ca="1">IFERROR(__xludf.DUMMYFUNCTION("IMPORTRANGE(""https://docs.google.com/spreadsheets/d/1MeEWN-I1oV_STSDYn1IFDPWt_1FKiwhDph83XaGc0o0/edit?usp=sharing"",""งบพรบ!AN53"")"),0)</f>
        <v>0</v>
      </c>
      <c r="M53" s="75">
        <f t="shared" ca="1" si="5"/>
        <v>0</v>
      </c>
      <c r="N53" s="75">
        <f t="shared" ca="1" si="6"/>
        <v>0</v>
      </c>
      <c r="O53" s="76">
        <f ca="1">IFERROR(__xludf.DUMMYFUNCTION("IMPORTRANGE(""https://docs.google.com/spreadsheets/d/1MeEWN-I1oV_STSDYn1IFDPWt_1FKiwhDph83XaGc0o0/edit?usp=sharing"",""งบพรบ!AO53"")"),0)</f>
        <v>0</v>
      </c>
      <c r="P53" s="76">
        <f t="shared" ca="1" si="29"/>
        <v>0</v>
      </c>
      <c r="Q53" s="75">
        <f t="shared" ca="1" si="8"/>
        <v>0</v>
      </c>
      <c r="R53" s="73">
        <f t="shared" ca="1" si="30"/>
        <v>0</v>
      </c>
      <c r="S53" s="73">
        <f t="shared" ca="1" si="24"/>
        <v>0</v>
      </c>
      <c r="T53" s="73">
        <f t="shared" ref="T53:T73" ca="1" si="43">Z53+AD53+AH53</f>
        <v>0</v>
      </c>
      <c r="U53" s="77">
        <f t="shared" ca="1" si="25"/>
        <v>0</v>
      </c>
      <c r="V53" s="73">
        <f t="shared" ref="V53:V73" ca="1" si="44">AA53+AE53+AI53</f>
        <v>0</v>
      </c>
      <c r="W53" s="77">
        <f t="shared" ca="1" si="26"/>
        <v>0</v>
      </c>
      <c r="X53" s="72">
        <f ca="1">IFERROR(__xludf.DUMMYFUNCTION("IMPORTRANGE(""https://docs.google.com/spreadsheets/d/1hKO5uv94SSRZWOvrh72HRcpyoEQF9TsE_Cvxl77XNU4/edit?usp=sharing"",""กาญจนบุรี!I78"")"),0)</f>
        <v>0</v>
      </c>
      <c r="Y53" s="72">
        <f ca="1">IFERROR(__xludf.DUMMYFUNCTION("IMPORTRANGE(""https://docs.google.com/spreadsheets/d/1hKO5uv94SSRZWOvrh72HRcpyoEQF9TsE_Cvxl77XNU4/edit?usp=sharing"",""กาญจนบุรี!I79"")"),0)</f>
        <v>0</v>
      </c>
      <c r="Z53" s="73">
        <f ca="1">IFERROR(__xludf.DUMMYFUNCTION("IMPORTRANGE(""https://docs.google.com/spreadsheets/d/1hKO5uv94SSRZWOvrh72HRcpyoEQF9TsE_Cvxl77XNU4/edit?usp=sharing"",""กาญจนบุรี!J78"")"),0)</f>
        <v>0</v>
      </c>
      <c r="AA53" s="73">
        <f ca="1">IFERROR(__xludf.DUMMYFUNCTION("IMPORTRANGE(""https://docs.google.com/spreadsheets/d/1hKO5uv94SSRZWOvrh72HRcpyoEQF9TsE_Cvxl77XNU4/edit?usp=sharing"",""กาญจนบุรี!J79"")"),0)</f>
        <v>0</v>
      </c>
      <c r="AB53" s="72">
        <f ca="1">IFERROR(__xludf.DUMMYFUNCTION("IMPORTRANGE(""https://docs.google.com/spreadsheets/d/1hKO5uv94SSRZWOvrh72HRcpyoEQF9TsE_Cvxl77XNU4/edit?usp=sharing"",""กาญจนบุรี!I80"")"),0)</f>
        <v>0</v>
      </c>
      <c r="AC53" s="72">
        <f ca="1">IFERROR(__xludf.DUMMYFUNCTION("IMPORTRANGE(""https://docs.google.com/spreadsheets/d/1hKO5uv94SSRZWOvrh72HRcpyoEQF9TsE_Cvxl77XNU4/edit?usp=sharing"",""กาญจนบุรี!I81"")"),0)</f>
        <v>0</v>
      </c>
      <c r="AD53" s="73">
        <f ca="1">IFERROR(__xludf.DUMMYFUNCTION("IMPORTRANGE(""https://docs.google.com/spreadsheets/d/1hKO5uv94SSRZWOvrh72HRcpyoEQF9TsE_Cvxl77XNU4/edit?usp=sharing"",""กาญจนบุรี!J80"")"),0)</f>
        <v>0</v>
      </c>
      <c r="AE53" s="73">
        <f ca="1">IFERROR(__xludf.DUMMYFUNCTION("IMPORTRANGE(""https://docs.google.com/spreadsheets/d/1hKO5uv94SSRZWOvrh72HRcpyoEQF9TsE_Cvxl77XNU4/edit?usp=sharing"",""กาญจนบุรี!J81"")"),0)</f>
        <v>0</v>
      </c>
      <c r="AF53" s="72">
        <f ca="1">IFERROR(__xludf.DUMMYFUNCTION("IMPORTRANGE(""https://docs.google.com/spreadsheets/d/1hKO5uv94SSRZWOvrh72HRcpyoEQF9TsE_Cvxl77XNU4/edit?usp=sharing"",""กาญจนบุรี!I82"")"),0)</f>
        <v>0</v>
      </c>
      <c r="AG53" s="72">
        <f ca="1">IFERROR(__xludf.DUMMYFUNCTION("IMPORTRANGE(""https://docs.google.com/spreadsheets/d/1hKO5uv94SSRZWOvrh72HRcpyoEQF9TsE_Cvxl77XNU4/edit?usp=sharing"",""กาญจนบุรี!I83"")"),0)</f>
        <v>0</v>
      </c>
      <c r="AH53" s="73">
        <f ca="1">IFERROR(__xludf.DUMMYFUNCTION("IMPORTRANGE(""https://docs.google.com/spreadsheets/d/1hKO5uv94SSRZWOvrh72HRcpyoEQF9TsE_Cvxl77XNU4/edit?usp=sharing"",""กาญจนบุรี!J82"")"),0)</f>
        <v>0</v>
      </c>
      <c r="AI53" s="73">
        <f ca="1">IFERROR(__xludf.DUMMYFUNCTION("IMPORTRANGE(""https://docs.google.com/spreadsheets/d/1hKO5uv94SSRZWOvrh72HRcpyoEQF9TsE_Cvxl77XNU4/edit?usp=sharing"",""กาญจนบุรี!J83"")"),0)</f>
        <v>0</v>
      </c>
      <c r="AJ53" s="72">
        <f ca="1">IFERROR(__xludf.DUMMYFUNCTION("IMPORTRANGE(""https://docs.google.com/spreadsheets/d/1hKO5uv94SSRZWOvrh72HRcpyoEQF9TsE_Cvxl77XNU4/edit?usp=sharing"",""กาญจนบุรี!I84"")"),0)</f>
        <v>0</v>
      </c>
      <c r="AK53" s="73">
        <f ca="1">IFERROR(__xludf.DUMMYFUNCTION("IMPORTRANGE(""https://docs.google.com/spreadsheets/d/1hKO5uv94SSRZWOvrh72HRcpyoEQF9TsE_Cvxl77XNU4/edit?usp=sharing"",""กาญจนบุรี!J84"")"),0)</f>
        <v>0</v>
      </c>
      <c r="AL53" s="75">
        <f t="shared" ca="1" si="27"/>
        <v>0</v>
      </c>
    </row>
    <row r="54" spans="1:38" ht="21" customHeight="1" x14ac:dyDescent="0.2">
      <c r="A54" s="78">
        <v>2</v>
      </c>
      <c r="B54" s="79" t="s">
        <v>76</v>
      </c>
      <c r="C54" s="80">
        <f t="shared" ca="1" si="0"/>
        <v>0</v>
      </c>
      <c r="D54" s="81">
        <f t="shared" ca="1" si="42"/>
        <v>0</v>
      </c>
      <c r="E54" s="82">
        <f ca="1">IFERROR(__xludf.DUMMYFUNCTION("IMPORTRANGE(""https://docs.google.com/spreadsheets/d/1MeEWN-I1oV_STSDYn1IFDPWt_1FKiwhDph83XaGc0o0/edit?usp=sharing"",""งบพรบ!AH54"")"),0)</f>
        <v>0</v>
      </c>
      <c r="F54" s="82">
        <f ca="1">IFERROR(__xludf.DUMMYFUNCTION("IMPORTRANGE(""https://docs.google.com/spreadsheets/d/1MeEWN-I1oV_STSDYn1IFDPWt_1FKiwhDph83XaGc0o0/edit?usp=sharing"",""งบพรบ!AI54"")"),0)</f>
        <v>0</v>
      </c>
      <c r="G54" s="82">
        <f ca="1">IFERROR(__xludf.DUMMYFUNCTION("IMPORTRANGE(""https://docs.google.com/spreadsheets/d/1MeEWN-I1oV_STSDYn1IFDPWt_1FKiwhDph83XaGc0o0/edit?usp=sharing"",""งบพรบ!AJ54"")"),0)</f>
        <v>0</v>
      </c>
      <c r="H54" s="82">
        <f ca="1">IFERROR(__xludf.DUMMYFUNCTION("IMPORTRANGE(""https://docs.google.com/spreadsheets/d/1MeEWN-I1oV_STSDYn1IFDPWt_1FKiwhDph83XaGc0o0/edit?usp=sharing"",""งบพรบ!AL54"")"),0)</f>
        <v>0</v>
      </c>
      <c r="I54" s="82">
        <f ca="1">IFERROR(__xludf.DUMMYFUNCTION("IMPORTRANGE(""https://docs.google.com/spreadsheets/d/1MeEWN-I1oV_STSDYn1IFDPWt_1FKiwhDph83XaGc0o0/edit?usp=sharing"",""งบพรบ!AM54"")"),0)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IFERROR(__xludf.DUMMYFUNCTION("IMPORTRANGE(""https://docs.google.com/spreadsheets/d/1MeEWN-I1oV_STSDYn1IFDPWt_1FKiwhDph83XaGc0o0/edit?usp=sharing"",""งบพรบ!AN54"")"),0)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IFERROR(__xludf.DUMMYFUNCTION("IMPORTRANGE(""https://docs.google.com/spreadsheets/d/1MeEWN-I1oV_STSDYn1IFDPWt_1FKiwhDph83XaGc0o0/edit?usp=sharing"",""งบพรบ!AO54"")"),0)</f>
        <v>0</v>
      </c>
      <c r="P54" s="85">
        <f t="shared" ca="1" si="29"/>
        <v>0</v>
      </c>
      <c r="Q54" s="84">
        <f t="shared" ca="1" si="8"/>
        <v>0</v>
      </c>
      <c r="R54" s="86">
        <f t="shared" ca="1" si="30"/>
        <v>0</v>
      </c>
      <c r="S54" s="86">
        <f t="shared" ca="1" si="24"/>
        <v>0</v>
      </c>
      <c r="T54" s="86">
        <f t="shared" ca="1" si="43"/>
        <v>0</v>
      </c>
      <c r="U54" s="87">
        <f t="shared" ca="1" si="25"/>
        <v>0</v>
      </c>
      <c r="V54" s="86">
        <f t="shared" ca="1" si="44"/>
        <v>0</v>
      </c>
      <c r="W54" s="87">
        <f t="shared" ca="1" si="26"/>
        <v>0</v>
      </c>
      <c r="X54" s="82">
        <f ca="1">IFERROR(__xludf.DUMMYFUNCTION("IMPORTRANGE(""https://docs.google.com/spreadsheets/d/1njBaP_xXd-Uotvo2D9zb01TTCFkLJLDK97Tk1l9Qux0/edit?usp=sharing"",""จันทบุรี!I78"")"),0)</f>
        <v>0</v>
      </c>
      <c r="Y54" s="82">
        <f ca="1">IFERROR(__xludf.DUMMYFUNCTION("IMPORTRANGE(""https://docs.google.com/spreadsheets/d/1njBaP_xXd-Uotvo2D9zb01TTCFkLJLDK97Tk1l9Qux0/edit?usp=sharing"",""จันทบุรี!I79"")"),0)</f>
        <v>0</v>
      </c>
      <c r="Z54" s="86">
        <f ca="1">IFERROR(__xludf.DUMMYFUNCTION("IMPORTRANGE(""https://docs.google.com/spreadsheets/d/1njBaP_xXd-Uotvo2D9zb01TTCFkLJLDK97Tk1l9Qux0/edit?usp=sharing"",""จันทบุรี!J78"")"),0)</f>
        <v>0</v>
      </c>
      <c r="AA54" s="86">
        <f ca="1">IFERROR(__xludf.DUMMYFUNCTION("IMPORTRANGE(""https://docs.google.com/spreadsheets/d/1njBaP_xXd-Uotvo2D9zb01TTCFkLJLDK97Tk1l9Qux0/edit?usp=sharing"",""จันทบุรี!J79"")"),0)</f>
        <v>0</v>
      </c>
      <c r="AB54" s="82">
        <f ca="1">IFERROR(__xludf.DUMMYFUNCTION("IMPORTRANGE(""https://docs.google.com/spreadsheets/d/1njBaP_xXd-Uotvo2D9zb01TTCFkLJLDK97Tk1l9Qux0/edit?usp=sharing"",""จันทบุรี!I80"")"),0)</f>
        <v>0</v>
      </c>
      <c r="AC54" s="82">
        <f ca="1">IFERROR(__xludf.DUMMYFUNCTION("IMPORTRANGE(""https://docs.google.com/spreadsheets/d/1njBaP_xXd-Uotvo2D9zb01TTCFkLJLDK97Tk1l9Qux0/edit?usp=sharing"",""จันทบุรี!I81"")"),0)</f>
        <v>0</v>
      </c>
      <c r="AD54" s="86">
        <f ca="1">IFERROR(__xludf.DUMMYFUNCTION("IMPORTRANGE(""https://docs.google.com/spreadsheets/d/1njBaP_xXd-Uotvo2D9zb01TTCFkLJLDK97Tk1l9Qux0/edit?usp=sharing"",""จันทบุรี!J80"")"),0)</f>
        <v>0</v>
      </c>
      <c r="AE54" s="86">
        <f ca="1">IFERROR(__xludf.DUMMYFUNCTION("IMPORTRANGE(""https://docs.google.com/spreadsheets/d/1njBaP_xXd-Uotvo2D9zb01TTCFkLJLDK97Tk1l9Qux0/edit?usp=sharing"",""จันทบุรี!J81"")"),0)</f>
        <v>0</v>
      </c>
      <c r="AF54" s="82">
        <f ca="1">IFERROR(__xludf.DUMMYFUNCTION("IMPORTRANGE(""https://docs.google.com/spreadsheets/d/1njBaP_xXd-Uotvo2D9zb01TTCFkLJLDK97Tk1l9Qux0/edit?usp=sharing"",""จันทบุรี!I82"")"),0)</f>
        <v>0</v>
      </c>
      <c r="AG54" s="82">
        <f ca="1">IFERROR(__xludf.DUMMYFUNCTION("IMPORTRANGE(""https://docs.google.com/spreadsheets/d/1njBaP_xXd-Uotvo2D9zb01TTCFkLJLDK97Tk1l9Qux0/edit?usp=sharing"",""จันทบุรี!I83"")"),0)</f>
        <v>0</v>
      </c>
      <c r="AH54" s="86">
        <f ca="1">IFERROR(__xludf.DUMMYFUNCTION("IMPORTRANGE(""https://docs.google.com/spreadsheets/d/1njBaP_xXd-Uotvo2D9zb01TTCFkLJLDK97Tk1l9Qux0/edit?usp=sharing"",""จันทบุรี!J82"")"),0)</f>
        <v>0</v>
      </c>
      <c r="AI54" s="86">
        <f ca="1">IFERROR(__xludf.DUMMYFUNCTION("IMPORTRANGE(""https://docs.google.com/spreadsheets/d/1njBaP_xXd-Uotvo2D9zb01TTCFkLJLDK97Tk1l9Qux0/edit?usp=sharing"",""จันทบุรี!J83"")"),0)</f>
        <v>0</v>
      </c>
      <c r="AJ54" s="82">
        <f ca="1">IFERROR(__xludf.DUMMYFUNCTION("IMPORTRANGE(""https://docs.google.com/spreadsheets/d/1njBaP_xXd-Uotvo2D9zb01TTCFkLJLDK97Tk1l9Qux0/edit?usp=sharing"",""จันทบุรี!I84"")"),0)</f>
        <v>0</v>
      </c>
      <c r="AK54" s="86">
        <f ca="1">IFERROR(__xludf.DUMMYFUNCTION("IMPORTRANGE(""https://docs.google.com/spreadsheets/d/1njBaP_xXd-Uotvo2D9zb01TTCFkLJLDK97Tk1l9Qux0/edit?usp=sharing"",""จันทบุรี!J84"")"),0)</f>
        <v>0</v>
      </c>
      <c r="AL54" s="84">
        <f t="shared" ca="1" si="27"/>
        <v>0</v>
      </c>
    </row>
    <row r="55" spans="1:38" ht="21" customHeight="1" x14ac:dyDescent="0.2">
      <c r="A55" s="78">
        <v>3</v>
      </c>
      <c r="B55" s="79" t="s">
        <v>77</v>
      </c>
      <c r="C55" s="80">
        <f t="shared" ca="1" si="0"/>
        <v>0</v>
      </c>
      <c r="D55" s="81">
        <f t="shared" ca="1" si="42"/>
        <v>0</v>
      </c>
      <c r="E55" s="82">
        <f ca="1">IFERROR(__xludf.DUMMYFUNCTION("IMPORTRANGE(""https://docs.google.com/spreadsheets/d/1MeEWN-I1oV_STSDYn1IFDPWt_1FKiwhDph83XaGc0o0/edit?usp=sharing"",""งบพรบ!AH55"")"),0)</f>
        <v>0</v>
      </c>
      <c r="F55" s="82">
        <f ca="1">IFERROR(__xludf.DUMMYFUNCTION("IMPORTRANGE(""https://docs.google.com/spreadsheets/d/1MeEWN-I1oV_STSDYn1IFDPWt_1FKiwhDph83XaGc0o0/edit?usp=sharing"",""งบพรบ!AI55"")"),0)</f>
        <v>0</v>
      </c>
      <c r="G55" s="82">
        <f ca="1">IFERROR(__xludf.DUMMYFUNCTION("IMPORTRANGE(""https://docs.google.com/spreadsheets/d/1MeEWN-I1oV_STSDYn1IFDPWt_1FKiwhDph83XaGc0o0/edit?usp=sharing"",""งบพรบ!AJ55"")"),0)</f>
        <v>0</v>
      </c>
      <c r="H55" s="82">
        <f ca="1">IFERROR(__xludf.DUMMYFUNCTION("IMPORTRANGE(""https://docs.google.com/spreadsheets/d/1MeEWN-I1oV_STSDYn1IFDPWt_1FKiwhDph83XaGc0o0/edit?usp=sharing"",""งบพรบ!AL55"")"),0)</f>
        <v>0</v>
      </c>
      <c r="I55" s="82">
        <f ca="1">IFERROR(__xludf.DUMMYFUNCTION("IMPORTRANGE(""https://docs.google.com/spreadsheets/d/1MeEWN-I1oV_STSDYn1IFDPWt_1FKiwhDph83XaGc0o0/edit?usp=sharing"",""งบพรบ!AM55"")"),0)</f>
        <v>0</v>
      </c>
      <c r="J55" s="82">
        <f t="shared" ca="1" si="3"/>
        <v>0</v>
      </c>
      <c r="K55" s="83">
        <f t="shared" ca="1" si="4"/>
        <v>0</v>
      </c>
      <c r="L55" s="82">
        <f ca="1">IFERROR(__xludf.DUMMYFUNCTION("IMPORTRANGE(""https://docs.google.com/spreadsheets/d/1MeEWN-I1oV_STSDYn1IFDPWt_1FKiwhDph83XaGc0o0/edit?usp=sharing"",""งบพรบ!AN55"")"),0)</f>
        <v>0</v>
      </c>
      <c r="M55" s="84">
        <f t="shared" ca="1" si="5"/>
        <v>0</v>
      </c>
      <c r="N55" s="84">
        <f t="shared" ca="1" si="6"/>
        <v>0</v>
      </c>
      <c r="O55" s="85">
        <f ca="1">IFERROR(__xludf.DUMMYFUNCTION("IMPORTRANGE(""https://docs.google.com/spreadsheets/d/1MeEWN-I1oV_STSDYn1IFDPWt_1FKiwhDph83XaGc0o0/edit?usp=sharing"",""งบพรบ!AO55"")"),0)</f>
        <v>0</v>
      </c>
      <c r="P55" s="85">
        <f t="shared" ca="1" si="29"/>
        <v>0</v>
      </c>
      <c r="Q55" s="84">
        <f t="shared" ca="1" si="8"/>
        <v>0</v>
      </c>
      <c r="R55" s="86">
        <f t="shared" ca="1" si="30"/>
        <v>0</v>
      </c>
      <c r="S55" s="86">
        <f t="shared" ca="1" si="24"/>
        <v>0</v>
      </c>
      <c r="T55" s="86">
        <f t="shared" ca="1" si="43"/>
        <v>0</v>
      </c>
      <c r="U55" s="87">
        <f t="shared" ca="1" si="25"/>
        <v>0</v>
      </c>
      <c r="V55" s="86">
        <f t="shared" ca="1" si="44"/>
        <v>0</v>
      </c>
      <c r="W55" s="87">
        <f t="shared" ca="1" si="26"/>
        <v>0</v>
      </c>
      <c r="X55" s="82">
        <f ca="1">IFERROR(__xludf.DUMMYFUNCTION("IMPORTRANGE(""https://docs.google.com/spreadsheets/d/14xp6qUzrGFnUk_qnc1eEmfiaNRd4_grkhpfQH_46fa8/edit?usp=sharing"",""ฉะเชิงเทรา!I78"")"),0)</f>
        <v>0</v>
      </c>
      <c r="Y55" s="82">
        <f ca="1">IFERROR(__xludf.DUMMYFUNCTION("IMPORTRANGE(""https://docs.google.com/spreadsheets/d/14xp6qUzrGFnUk_qnc1eEmfiaNRd4_grkhpfQH_46fa8/edit?usp=sharing"",""ฉะเชิงเทรา!I79"")"),0)</f>
        <v>0</v>
      </c>
      <c r="Z55" s="86">
        <f ca="1">IFERROR(__xludf.DUMMYFUNCTION("IMPORTRANGE(""https://docs.google.com/spreadsheets/d/14xp6qUzrGFnUk_qnc1eEmfiaNRd4_grkhpfQH_46fa8/edit?usp=sharing"",""ฉะเชิงเทรา!J78"")"),0)</f>
        <v>0</v>
      </c>
      <c r="AA55" s="86">
        <f ca="1">IFERROR(__xludf.DUMMYFUNCTION("IMPORTRANGE(""https://docs.google.com/spreadsheets/d/14xp6qUzrGFnUk_qnc1eEmfiaNRd4_grkhpfQH_46fa8/edit?usp=sharing"",""ฉะเชิงเทรา!J79"")"),0)</f>
        <v>0</v>
      </c>
      <c r="AB55" s="82">
        <f ca="1">IFERROR(__xludf.DUMMYFUNCTION("IMPORTRANGE(""https://docs.google.com/spreadsheets/d/14xp6qUzrGFnUk_qnc1eEmfiaNRd4_grkhpfQH_46fa8/edit?usp=sharing"",""ฉะเชิงเทรา!I80"")"),0)</f>
        <v>0</v>
      </c>
      <c r="AC55" s="82">
        <f ca="1">IFERROR(__xludf.DUMMYFUNCTION("IMPORTRANGE(""https://docs.google.com/spreadsheets/d/14xp6qUzrGFnUk_qnc1eEmfiaNRd4_grkhpfQH_46fa8/edit?usp=sharing"",""ฉะเชิงเทรา!I81"")"),0)</f>
        <v>0</v>
      </c>
      <c r="AD55" s="86">
        <f ca="1">IFERROR(__xludf.DUMMYFUNCTION("IMPORTRANGE(""https://docs.google.com/spreadsheets/d/14xp6qUzrGFnUk_qnc1eEmfiaNRd4_grkhpfQH_46fa8/edit?usp=sharing"",""ฉะเชิงเทรา!J80"")"),0)</f>
        <v>0</v>
      </c>
      <c r="AE55" s="86">
        <f ca="1">IFERROR(__xludf.DUMMYFUNCTION("IMPORTRANGE(""https://docs.google.com/spreadsheets/d/14xp6qUzrGFnUk_qnc1eEmfiaNRd4_grkhpfQH_46fa8/edit?usp=sharing"",""ฉะเชิงเทรา!J81"")"),0)</f>
        <v>0</v>
      </c>
      <c r="AF55" s="82">
        <f ca="1">IFERROR(__xludf.DUMMYFUNCTION("IMPORTRANGE(""https://docs.google.com/spreadsheets/d/14xp6qUzrGFnUk_qnc1eEmfiaNRd4_grkhpfQH_46fa8/edit?usp=sharing"",""ฉะเชิงเทรา!I82"")"),0)</f>
        <v>0</v>
      </c>
      <c r="AG55" s="82">
        <f ca="1">IFERROR(__xludf.DUMMYFUNCTION("IMPORTRANGE(""https://docs.google.com/spreadsheets/d/14xp6qUzrGFnUk_qnc1eEmfiaNRd4_grkhpfQH_46fa8/edit?usp=sharing"",""ฉะเชิงเทรา!I83"")"),0)</f>
        <v>0</v>
      </c>
      <c r="AH55" s="86">
        <f ca="1">IFERROR(__xludf.DUMMYFUNCTION("IMPORTRANGE(""https://docs.google.com/spreadsheets/d/14xp6qUzrGFnUk_qnc1eEmfiaNRd4_grkhpfQH_46fa8/edit?usp=sharing"",""ฉะเชิงเทรา!J82"")"),0)</f>
        <v>0</v>
      </c>
      <c r="AI55" s="86">
        <f ca="1">IFERROR(__xludf.DUMMYFUNCTION("IMPORTRANGE(""https://docs.google.com/spreadsheets/d/14xp6qUzrGFnUk_qnc1eEmfiaNRd4_grkhpfQH_46fa8/edit?usp=sharing"",""ฉะเชิงเทรา!J83"")"),0)</f>
        <v>0</v>
      </c>
      <c r="AJ55" s="82">
        <f ca="1">IFERROR(__xludf.DUMMYFUNCTION("IMPORTRANGE(""https://docs.google.com/spreadsheets/d/14xp6qUzrGFnUk_qnc1eEmfiaNRd4_grkhpfQH_46fa8/edit?usp=sharing"",""ฉะเชิงเทรา!I84"")"),0)</f>
        <v>0</v>
      </c>
      <c r="AK55" s="86">
        <f ca="1">IFERROR(__xludf.DUMMYFUNCTION("IMPORTRANGE(""https://docs.google.com/spreadsheets/d/14xp6qUzrGFnUk_qnc1eEmfiaNRd4_grkhpfQH_46fa8/edit?usp=sharing"",""ฉะเชิงเทรา!J84"")"),0)</f>
        <v>0</v>
      </c>
      <c r="AL55" s="84">
        <f t="shared" ca="1" si="27"/>
        <v>0</v>
      </c>
    </row>
    <row r="56" spans="1:38" ht="21" customHeight="1" x14ac:dyDescent="0.2">
      <c r="A56" s="78">
        <v>4</v>
      </c>
      <c r="B56" s="79" t="s">
        <v>78</v>
      </c>
      <c r="C56" s="80">
        <f t="shared" ca="1" si="0"/>
        <v>0</v>
      </c>
      <c r="D56" s="81">
        <f t="shared" ca="1" si="42"/>
        <v>0</v>
      </c>
      <c r="E56" s="82">
        <f ca="1">IFERROR(__xludf.DUMMYFUNCTION("IMPORTRANGE(""https://docs.google.com/spreadsheets/d/1MeEWN-I1oV_STSDYn1IFDPWt_1FKiwhDph83XaGc0o0/edit?usp=sharing"",""งบพรบ!AH56"")"),0)</f>
        <v>0</v>
      </c>
      <c r="F56" s="82">
        <f ca="1">IFERROR(__xludf.DUMMYFUNCTION("IMPORTRANGE(""https://docs.google.com/spreadsheets/d/1MeEWN-I1oV_STSDYn1IFDPWt_1FKiwhDph83XaGc0o0/edit?usp=sharing"",""งบพรบ!AI56"")"),0)</f>
        <v>0</v>
      </c>
      <c r="G56" s="82">
        <f ca="1">IFERROR(__xludf.DUMMYFUNCTION("IMPORTRANGE(""https://docs.google.com/spreadsheets/d/1MeEWN-I1oV_STSDYn1IFDPWt_1FKiwhDph83XaGc0o0/edit?usp=sharing"",""งบพรบ!AJ56"")"),0)</f>
        <v>0</v>
      </c>
      <c r="H56" s="82">
        <f ca="1">IFERROR(__xludf.DUMMYFUNCTION("IMPORTRANGE(""https://docs.google.com/spreadsheets/d/1MeEWN-I1oV_STSDYn1IFDPWt_1FKiwhDph83XaGc0o0/edit?usp=sharing"",""งบพรบ!AL56"")"),0)</f>
        <v>0</v>
      </c>
      <c r="I56" s="82">
        <f ca="1">IFERROR(__xludf.DUMMYFUNCTION("IMPORTRANGE(""https://docs.google.com/spreadsheets/d/1MeEWN-I1oV_STSDYn1IFDPWt_1FKiwhDph83XaGc0o0/edit?usp=sharing"",""งบพรบ!AM56"")"),0)</f>
        <v>0</v>
      </c>
      <c r="J56" s="82">
        <f t="shared" ca="1" si="3"/>
        <v>0</v>
      </c>
      <c r="K56" s="83">
        <f t="shared" ca="1" si="4"/>
        <v>0</v>
      </c>
      <c r="L56" s="82">
        <f ca="1">IFERROR(__xludf.DUMMYFUNCTION("IMPORTRANGE(""https://docs.google.com/spreadsheets/d/1MeEWN-I1oV_STSDYn1IFDPWt_1FKiwhDph83XaGc0o0/edit?usp=sharing"",""งบพรบ!AN56"")"),0)</f>
        <v>0</v>
      </c>
      <c r="M56" s="84">
        <f t="shared" ca="1" si="5"/>
        <v>0</v>
      </c>
      <c r="N56" s="84">
        <f t="shared" ca="1" si="6"/>
        <v>0</v>
      </c>
      <c r="O56" s="85">
        <f ca="1">IFERROR(__xludf.DUMMYFUNCTION("IMPORTRANGE(""https://docs.google.com/spreadsheets/d/1MeEWN-I1oV_STSDYn1IFDPWt_1FKiwhDph83XaGc0o0/edit?usp=sharing"",""งบพรบ!AO56"")"),0)</f>
        <v>0</v>
      </c>
      <c r="P56" s="85">
        <f t="shared" ca="1" si="29"/>
        <v>0</v>
      </c>
      <c r="Q56" s="84">
        <f t="shared" ca="1" si="8"/>
        <v>0</v>
      </c>
      <c r="R56" s="86">
        <f t="shared" ca="1" si="30"/>
        <v>0</v>
      </c>
      <c r="S56" s="86">
        <f t="shared" ca="1" si="24"/>
        <v>0</v>
      </c>
      <c r="T56" s="86">
        <f t="shared" ca="1" si="43"/>
        <v>0</v>
      </c>
      <c r="U56" s="87">
        <f t="shared" ca="1" si="25"/>
        <v>0</v>
      </c>
      <c r="V56" s="86">
        <f t="shared" ca="1" si="44"/>
        <v>0</v>
      </c>
      <c r="W56" s="87">
        <f t="shared" ca="1" si="26"/>
        <v>0</v>
      </c>
      <c r="X56" s="82">
        <f ca="1">IFERROR(__xludf.DUMMYFUNCTION("IMPORTRANGE(""https://docs.google.com/spreadsheets/d/1_Zwps30dlVa-pZFsorjVf1Pil6WXwzCsJU0U2whO3NI/edit?usp=sharing"",""ชลบุรี!I78"")"),0)</f>
        <v>0</v>
      </c>
      <c r="Y56" s="82">
        <f ca="1">IFERROR(__xludf.DUMMYFUNCTION("IMPORTRANGE(""https://docs.google.com/spreadsheets/d/1_Zwps30dlVa-pZFsorjVf1Pil6WXwzCsJU0U2whO3NI/edit?usp=sharing"",""ชลบุรี!I79"")"),0)</f>
        <v>0</v>
      </c>
      <c r="Z56" s="86">
        <f ca="1">IFERROR(__xludf.DUMMYFUNCTION("IMPORTRANGE(""https://docs.google.com/spreadsheets/d/1_Zwps30dlVa-pZFsorjVf1Pil6WXwzCsJU0U2whO3NI/edit?usp=sharing"",""ชลบุรี!J78"")"),0)</f>
        <v>0</v>
      </c>
      <c r="AA56" s="86">
        <f ca="1">IFERROR(__xludf.DUMMYFUNCTION("IMPORTRANGE(""https://docs.google.com/spreadsheets/d/1_Zwps30dlVa-pZFsorjVf1Pil6WXwzCsJU0U2whO3NI/edit?usp=sharing"",""ชลบุรี!J79"")"),0)</f>
        <v>0</v>
      </c>
      <c r="AB56" s="82">
        <f ca="1">IFERROR(__xludf.DUMMYFUNCTION("IMPORTRANGE(""https://docs.google.com/spreadsheets/d/1_Zwps30dlVa-pZFsorjVf1Pil6WXwzCsJU0U2whO3NI/edit?usp=sharing"",""ชลบุรี!I80"")"),0)</f>
        <v>0</v>
      </c>
      <c r="AC56" s="82">
        <f ca="1">IFERROR(__xludf.DUMMYFUNCTION("IMPORTRANGE(""https://docs.google.com/spreadsheets/d/1_Zwps30dlVa-pZFsorjVf1Pil6WXwzCsJU0U2whO3NI/edit?usp=sharing"",""ชลบุรี!I81"")"),0)</f>
        <v>0</v>
      </c>
      <c r="AD56" s="86">
        <f ca="1">IFERROR(__xludf.DUMMYFUNCTION("IMPORTRANGE(""https://docs.google.com/spreadsheets/d/1_Zwps30dlVa-pZFsorjVf1Pil6WXwzCsJU0U2whO3NI/edit?usp=sharing"",""ชลบุรี!J80"")"),0)</f>
        <v>0</v>
      </c>
      <c r="AE56" s="86">
        <f ca="1">IFERROR(__xludf.DUMMYFUNCTION("IMPORTRANGE(""https://docs.google.com/spreadsheets/d/1_Zwps30dlVa-pZFsorjVf1Pil6WXwzCsJU0U2whO3NI/edit?usp=sharing"",""ชลบุรี!J81"")"),0)</f>
        <v>0</v>
      </c>
      <c r="AF56" s="82">
        <f ca="1">IFERROR(__xludf.DUMMYFUNCTION("IMPORTRANGE(""https://docs.google.com/spreadsheets/d/1_Zwps30dlVa-pZFsorjVf1Pil6WXwzCsJU0U2whO3NI/edit?usp=sharing"",""ชลบุรี!I82"")"),0)</f>
        <v>0</v>
      </c>
      <c r="AG56" s="82">
        <f ca="1">IFERROR(__xludf.DUMMYFUNCTION("IMPORTRANGE(""https://docs.google.com/spreadsheets/d/1_Zwps30dlVa-pZFsorjVf1Pil6WXwzCsJU0U2whO3NI/edit?usp=sharing"",""ชลบุรี!I83"")"),0)</f>
        <v>0</v>
      </c>
      <c r="AH56" s="86">
        <f ca="1">IFERROR(__xludf.DUMMYFUNCTION("IMPORTRANGE(""https://docs.google.com/spreadsheets/d/1_Zwps30dlVa-pZFsorjVf1Pil6WXwzCsJU0U2whO3NI/edit?usp=sharing"",""ชลบุรี!J82"")"),0)</f>
        <v>0</v>
      </c>
      <c r="AI56" s="86">
        <f ca="1">IFERROR(__xludf.DUMMYFUNCTION("IMPORTRANGE(""https://docs.google.com/spreadsheets/d/1_Zwps30dlVa-pZFsorjVf1Pil6WXwzCsJU0U2whO3NI/edit?usp=sharing"",""ชลบุรี!J83"")"),0)</f>
        <v>0</v>
      </c>
      <c r="AJ56" s="82">
        <f ca="1">IFERROR(__xludf.DUMMYFUNCTION("IMPORTRANGE(""https://docs.google.com/spreadsheets/d/1_Zwps30dlVa-pZFsorjVf1Pil6WXwzCsJU0U2whO3NI/edit?usp=sharing"",""ชลบุรี!I84"")"),0)</f>
        <v>0</v>
      </c>
      <c r="AK56" s="86">
        <f ca="1">IFERROR(__xludf.DUMMYFUNCTION("IMPORTRANGE(""https://docs.google.com/spreadsheets/d/1_Zwps30dlVa-pZFsorjVf1Pil6WXwzCsJU0U2whO3NI/edit?usp=sharing"",""ชลบุรี!J84"")"),0)</f>
        <v>0</v>
      </c>
      <c r="AL56" s="84">
        <f t="shared" ca="1" si="27"/>
        <v>0</v>
      </c>
    </row>
    <row r="57" spans="1:38" ht="21" customHeight="1" x14ac:dyDescent="0.2">
      <c r="A57" s="78">
        <v>5</v>
      </c>
      <c r="B57" s="79" t="s">
        <v>79</v>
      </c>
      <c r="C57" s="80">
        <f t="shared" ca="1" si="0"/>
        <v>1150600</v>
      </c>
      <c r="D57" s="81">
        <f t="shared" ca="1" si="42"/>
        <v>1150600</v>
      </c>
      <c r="E57" s="82">
        <f ca="1">IFERROR(__xludf.DUMMYFUNCTION("IMPORTRANGE(""https://docs.google.com/spreadsheets/d/1MeEWN-I1oV_STSDYn1IFDPWt_1FKiwhDph83XaGc0o0/edit?usp=sharing"",""งบพรบ!AH57"")"),516200)</f>
        <v>516200</v>
      </c>
      <c r="F57" s="82">
        <f ca="1">IFERROR(__xludf.DUMMYFUNCTION("IMPORTRANGE(""https://docs.google.com/spreadsheets/d/1MeEWN-I1oV_STSDYn1IFDPWt_1FKiwhDph83XaGc0o0/edit?usp=sharing"",""งบพรบ!AI57"")"),634400)</f>
        <v>634400</v>
      </c>
      <c r="G57" s="82">
        <f ca="1">IFERROR(__xludf.DUMMYFUNCTION("IMPORTRANGE(""https://docs.google.com/spreadsheets/d/1MeEWN-I1oV_STSDYn1IFDPWt_1FKiwhDph83XaGc0o0/edit?usp=sharing"",""งบพรบ!AJ57"")"),0)</f>
        <v>0</v>
      </c>
      <c r="H57" s="82">
        <f ca="1">IFERROR(__xludf.DUMMYFUNCTION("IMPORTRANGE(""https://docs.google.com/spreadsheets/d/1MeEWN-I1oV_STSDYn1IFDPWt_1FKiwhDph83XaGc0o0/edit?usp=sharing"",""งบพรบ!AL57"")"),686900)</f>
        <v>686900</v>
      </c>
      <c r="I57" s="82">
        <f ca="1">IFERROR(__xludf.DUMMYFUNCTION("IMPORTRANGE(""https://docs.google.com/spreadsheets/d/1MeEWN-I1oV_STSDYn1IFDPWt_1FKiwhDph83XaGc0o0/edit?usp=sharing"",""งบพรบ!AM57"")"),0)</f>
        <v>0</v>
      </c>
      <c r="J57" s="82">
        <f t="shared" ca="1" si="3"/>
        <v>433328.51</v>
      </c>
      <c r="K57" s="83">
        <f t="shared" ca="1" si="4"/>
        <v>37.661090735268559</v>
      </c>
      <c r="L57" s="82">
        <f ca="1">IFERROR(__xludf.DUMMYFUNCTION("IMPORTRANGE(""https://docs.google.com/spreadsheets/d/1MeEWN-I1oV_STSDYn1IFDPWt_1FKiwhDph83XaGc0o0/edit?usp=sharing"",""งบพรบ!AN57"")"),433328.51)</f>
        <v>433328.51</v>
      </c>
      <c r="M57" s="84">
        <f t="shared" ca="1" si="5"/>
        <v>37.661090735268559</v>
      </c>
      <c r="N57" s="84">
        <f t="shared" ca="1" si="6"/>
        <v>63.084657155335563</v>
      </c>
      <c r="O57" s="85">
        <f ca="1">IFERROR(__xludf.DUMMYFUNCTION("IMPORTRANGE(""https://docs.google.com/spreadsheets/d/1MeEWN-I1oV_STSDYn1IFDPWt_1FKiwhDph83XaGc0o0/edit?usp=sharing"",""งบพรบ!AO57"")"),0)</f>
        <v>0</v>
      </c>
      <c r="P57" s="85">
        <f t="shared" ca="1" si="29"/>
        <v>0</v>
      </c>
      <c r="Q57" s="84">
        <f t="shared" ca="1" si="8"/>
        <v>0</v>
      </c>
      <c r="R57" s="86">
        <f t="shared" ca="1" si="30"/>
        <v>2</v>
      </c>
      <c r="S57" s="86">
        <f t="shared" ca="1" si="24"/>
        <v>64</v>
      </c>
      <c r="T57" s="86">
        <f t="shared" ca="1" si="43"/>
        <v>2</v>
      </c>
      <c r="U57" s="87">
        <f t="shared" ca="1" si="25"/>
        <v>100</v>
      </c>
      <c r="V57" s="86">
        <f t="shared" ca="1" si="44"/>
        <v>64</v>
      </c>
      <c r="W57" s="87">
        <f t="shared" ca="1" si="26"/>
        <v>100</v>
      </c>
      <c r="X57" s="82">
        <f ca="1">IFERROR(__xludf.DUMMYFUNCTION("IMPORTRANGE(""https://docs.google.com/spreadsheets/d/1xAsT4sUbBlom7l0acStESh_15nvjZcXjZM7fK5uZSq8/edit?usp=sharing"",""ชัยนาท!I78"")"),1)</f>
        <v>1</v>
      </c>
      <c r="Y57" s="82">
        <f ca="1">IFERROR(__xludf.DUMMYFUNCTION("IMPORTRANGE(""https://docs.google.com/spreadsheets/d/1xAsT4sUbBlom7l0acStESh_15nvjZcXjZM7fK5uZSq8/edit?usp=sharing"",""ชัยนาท!I79"")"),34)</f>
        <v>34</v>
      </c>
      <c r="Z57" s="86">
        <f ca="1">IFERROR(__xludf.DUMMYFUNCTION("IMPORTRANGE(""https://docs.google.com/spreadsheets/d/1xAsT4sUbBlom7l0acStESh_15nvjZcXjZM7fK5uZSq8/edit?usp=sharing"",""ชัยนาท!J78"")"),1)</f>
        <v>1</v>
      </c>
      <c r="AA57" s="86">
        <f ca="1">IFERROR(__xludf.DUMMYFUNCTION("IMPORTRANGE(""https://docs.google.com/spreadsheets/d/1xAsT4sUbBlom7l0acStESh_15nvjZcXjZM7fK5uZSq8/edit?usp=sharing"",""ชัยนาท!J79"")"),34)</f>
        <v>34</v>
      </c>
      <c r="AB57" s="82">
        <f ca="1">IFERROR(__xludf.DUMMYFUNCTION("IMPORTRANGE(""https://docs.google.com/spreadsheets/d/1xAsT4sUbBlom7l0acStESh_15nvjZcXjZM7fK5uZSq8/edit?usp=sharing"",""ชัยนาท!I80"")"),0)</f>
        <v>0</v>
      </c>
      <c r="AC57" s="82">
        <f ca="1">IFERROR(__xludf.DUMMYFUNCTION("IMPORTRANGE(""https://docs.google.com/spreadsheets/d/1xAsT4sUbBlom7l0acStESh_15nvjZcXjZM7fK5uZSq8/edit?usp=sharing"",""ชัยนาท!I81"")"),0)</f>
        <v>0</v>
      </c>
      <c r="AD57" s="86">
        <f ca="1">IFERROR(__xludf.DUMMYFUNCTION("IMPORTRANGE(""https://docs.google.com/spreadsheets/d/1xAsT4sUbBlom7l0acStESh_15nvjZcXjZM7fK5uZSq8/edit?usp=sharing"",""ชัยนาท!J80"")"),0)</f>
        <v>0</v>
      </c>
      <c r="AE57" s="86">
        <f ca="1">IFERROR(__xludf.DUMMYFUNCTION("IMPORTRANGE(""https://docs.google.com/spreadsheets/d/1xAsT4sUbBlom7l0acStESh_15nvjZcXjZM7fK5uZSq8/edit?usp=sharing"",""ชัยนาท!J81"")"),0)</f>
        <v>0</v>
      </c>
      <c r="AF57" s="82">
        <f ca="1">IFERROR(__xludf.DUMMYFUNCTION("IMPORTRANGE(""https://docs.google.com/spreadsheets/d/1xAsT4sUbBlom7l0acStESh_15nvjZcXjZM7fK5uZSq8/edit?usp=sharing"",""ชัยนาท!I82"")"),1)</f>
        <v>1</v>
      </c>
      <c r="AG57" s="82">
        <f ca="1">IFERROR(__xludf.DUMMYFUNCTION("IMPORTRANGE(""https://docs.google.com/spreadsheets/d/1xAsT4sUbBlom7l0acStESh_15nvjZcXjZM7fK5uZSq8/edit?usp=sharing"",""ชัยนาท!I83"")"),30)</f>
        <v>30</v>
      </c>
      <c r="AH57" s="86">
        <f ca="1">IFERROR(__xludf.DUMMYFUNCTION("IMPORTRANGE(""https://docs.google.com/spreadsheets/d/1xAsT4sUbBlom7l0acStESh_15nvjZcXjZM7fK5uZSq8/edit?usp=sharing"",""ชัยนาท!J82"")"),1)</f>
        <v>1</v>
      </c>
      <c r="AI57" s="86">
        <f ca="1">IFERROR(__xludf.DUMMYFUNCTION("IMPORTRANGE(""https://docs.google.com/spreadsheets/d/1xAsT4sUbBlom7l0acStESh_15nvjZcXjZM7fK5uZSq8/edit?usp=sharing"",""ชัยนาท!J83"")"),30)</f>
        <v>30</v>
      </c>
      <c r="AJ57" s="82">
        <f ca="1">IFERROR(__xludf.DUMMYFUNCTION("IMPORTRANGE(""https://docs.google.com/spreadsheets/d/1xAsT4sUbBlom7l0acStESh_15nvjZcXjZM7fK5uZSq8/edit?usp=sharing"",""ชัยนาท!I84"")"),2)</f>
        <v>2</v>
      </c>
      <c r="AK57" s="86">
        <f ca="1">IFERROR(__xludf.DUMMYFUNCTION("IMPORTRANGE(""https://docs.google.com/spreadsheets/d/1xAsT4sUbBlom7l0acStESh_15nvjZcXjZM7fK5uZSq8/edit?usp=sharing"",""ชัยนาท!J84"")"),0)</f>
        <v>0</v>
      </c>
      <c r="AL57" s="84">
        <f t="shared" ca="1" si="27"/>
        <v>0</v>
      </c>
    </row>
    <row r="58" spans="1:38" ht="21" customHeight="1" x14ac:dyDescent="0.2">
      <c r="A58" s="78">
        <v>6</v>
      </c>
      <c r="B58" s="79" t="s">
        <v>80</v>
      </c>
      <c r="C58" s="80">
        <f t="shared" ca="1" si="0"/>
        <v>0</v>
      </c>
      <c r="D58" s="81">
        <f t="shared" ca="1" si="42"/>
        <v>0</v>
      </c>
      <c r="E58" s="82">
        <f ca="1">IFERROR(__xludf.DUMMYFUNCTION("IMPORTRANGE(""https://docs.google.com/spreadsheets/d/1MeEWN-I1oV_STSDYn1IFDPWt_1FKiwhDph83XaGc0o0/edit?usp=sharing"",""งบพรบ!AH58"")"),0)</f>
        <v>0</v>
      </c>
      <c r="F58" s="82">
        <f ca="1">IFERROR(__xludf.DUMMYFUNCTION("IMPORTRANGE(""https://docs.google.com/spreadsheets/d/1MeEWN-I1oV_STSDYn1IFDPWt_1FKiwhDph83XaGc0o0/edit?usp=sharing"",""งบพรบ!AI58"")"),0)</f>
        <v>0</v>
      </c>
      <c r="G58" s="82">
        <f ca="1">IFERROR(__xludf.DUMMYFUNCTION("IMPORTRANGE(""https://docs.google.com/spreadsheets/d/1MeEWN-I1oV_STSDYn1IFDPWt_1FKiwhDph83XaGc0o0/edit?usp=sharing"",""งบพรบ!AJ58"")"),0)</f>
        <v>0</v>
      </c>
      <c r="H58" s="82">
        <f ca="1">IFERROR(__xludf.DUMMYFUNCTION("IMPORTRANGE(""https://docs.google.com/spreadsheets/d/1MeEWN-I1oV_STSDYn1IFDPWt_1FKiwhDph83XaGc0o0/edit?usp=sharing"",""งบพรบ!AL58"")"),0)</f>
        <v>0</v>
      </c>
      <c r="I58" s="82">
        <f ca="1">IFERROR(__xludf.DUMMYFUNCTION("IMPORTRANGE(""https://docs.google.com/spreadsheets/d/1MeEWN-I1oV_STSDYn1IFDPWt_1FKiwhDph83XaGc0o0/edit?usp=sharing"",""งบพรบ!AM58"")"),0)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IFERROR(__xludf.DUMMYFUNCTION("IMPORTRANGE(""https://docs.google.com/spreadsheets/d/1MeEWN-I1oV_STSDYn1IFDPWt_1FKiwhDph83XaGc0o0/edit?usp=sharing"",""งบพรบ!AN58"")"),0)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IFERROR(__xludf.DUMMYFUNCTION("IMPORTRANGE(""https://docs.google.com/spreadsheets/d/1MeEWN-I1oV_STSDYn1IFDPWt_1FKiwhDph83XaGc0o0/edit?usp=sharing"",""งบพรบ!AO58"")"),0)</f>
        <v>0</v>
      </c>
      <c r="P58" s="85">
        <f t="shared" ca="1" si="29"/>
        <v>0</v>
      </c>
      <c r="Q58" s="84">
        <f t="shared" ca="1" si="8"/>
        <v>0</v>
      </c>
      <c r="R58" s="86">
        <f t="shared" ca="1" si="30"/>
        <v>0</v>
      </c>
      <c r="S58" s="86">
        <f t="shared" ca="1" si="24"/>
        <v>0</v>
      </c>
      <c r="T58" s="86">
        <f t="shared" ca="1" si="43"/>
        <v>0</v>
      </c>
      <c r="U58" s="87">
        <f t="shared" ca="1" si="25"/>
        <v>0</v>
      </c>
      <c r="V58" s="86">
        <f t="shared" ca="1" si="44"/>
        <v>0</v>
      </c>
      <c r="W58" s="87">
        <f t="shared" ca="1" si="26"/>
        <v>0</v>
      </c>
      <c r="X58" s="82">
        <f ca="1">IFERROR(__xludf.DUMMYFUNCTION("IMPORTRANGE(""https://docs.google.com/spreadsheets/d/1vWPVBOAaZ6mHSI8yf95DNqHwTJ1cpeFsvqt6cxV34QA/edit?usp=sharing"",""ตราด!I78"")"),0)</f>
        <v>0</v>
      </c>
      <c r="Y58" s="82">
        <f ca="1">IFERROR(__xludf.DUMMYFUNCTION("IMPORTRANGE(""https://docs.google.com/spreadsheets/d/1vWPVBOAaZ6mHSI8yf95DNqHwTJ1cpeFsvqt6cxV34QA/edit?usp=sharing"",""ตราด!I79"")"),0)</f>
        <v>0</v>
      </c>
      <c r="Z58" s="86">
        <f ca="1">IFERROR(__xludf.DUMMYFUNCTION("IMPORTRANGE(""https://docs.google.com/spreadsheets/d/1vWPVBOAaZ6mHSI8yf95DNqHwTJ1cpeFsvqt6cxV34QA/edit?usp=sharing"",""ตราด!J78"")"),0)</f>
        <v>0</v>
      </c>
      <c r="AA58" s="86">
        <f ca="1">IFERROR(__xludf.DUMMYFUNCTION("IMPORTRANGE(""https://docs.google.com/spreadsheets/d/1vWPVBOAaZ6mHSI8yf95DNqHwTJ1cpeFsvqt6cxV34QA/edit?usp=sharing"",""ตราด!J79"")"),0)</f>
        <v>0</v>
      </c>
      <c r="AB58" s="82">
        <f ca="1">IFERROR(__xludf.DUMMYFUNCTION("IMPORTRANGE(""https://docs.google.com/spreadsheets/d/1vWPVBOAaZ6mHSI8yf95DNqHwTJ1cpeFsvqt6cxV34QA/edit?usp=sharing"",""ตราด!I80"")"),0)</f>
        <v>0</v>
      </c>
      <c r="AC58" s="82">
        <f ca="1">IFERROR(__xludf.DUMMYFUNCTION("IMPORTRANGE(""https://docs.google.com/spreadsheets/d/1vWPVBOAaZ6mHSI8yf95DNqHwTJ1cpeFsvqt6cxV34QA/edit?usp=sharing"",""ตราด!I81"")"),0)</f>
        <v>0</v>
      </c>
      <c r="AD58" s="86">
        <f ca="1">IFERROR(__xludf.DUMMYFUNCTION("IMPORTRANGE(""https://docs.google.com/spreadsheets/d/1vWPVBOAaZ6mHSI8yf95DNqHwTJ1cpeFsvqt6cxV34QA/edit?usp=sharing"",""ตราด!J80"")"),0)</f>
        <v>0</v>
      </c>
      <c r="AE58" s="86">
        <f ca="1">IFERROR(__xludf.DUMMYFUNCTION("IMPORTRANGE(""https://docs.google.com/spreadsheets/d/1vWPVBOAaZ6mHSI8yf95DNqHwTJ1cpeFsvqt6cxV34QA/edit?usp=sharing"",""ตราด!J81"")"),0)</f>
        <v>0</v>
      </c>
      <c r="AF58" s="82">
        <f ca="1">IFERROR(__xludf.DUMMYFUNCTION("IMPORTRANGE(""https://docs.google.com/spreadsheets/d/1vWPVBOAaZ6mHSI8yf95DNqHwTJ1cpeFsvqt6cxV34QA/edit?usp=sharing"",""ตราด!I82"")"),0)</f>
        <v>0</v>
      </c>
      <c r="AG58" s="82">
        <f ca="1">IFERROR(__xludf.DUMMYFUNCTION("IMPORTRANGE(""https://docs.google.com/spreadsheets/d/1vWPVBOAaZ6mHSI8yf95DNqHwTJ1cpeFsvqt6cxV34QA/edit?usp=sharing"",""ตราด!I83"")"),0)</f>
        <v>0</v>
      </c>
      <c r="AH58" s="86">
        <f ca="1">IFERROR(__xludf.DUMMYFUNCTION("IMPORTRANGE(""https://docs.google.com/spreadsheets/d/1vWPVBOAaZ6mHSI8yf95DNqHwTJ1cpeFsvqt6cxV34QA/edit?usp=sharing"",""ตราด!J82"")"),0)</f>
        <v>0</v>
      </c>
      <c r="AI58" s="86">
        <f ca="1">IFERROR(__xludf.DUMMYFUNCTION("IMPORTRANGE(""https://docs.google.com/spreadsheets/d/1vWPVBOAaZ6mHSI8yf95DNqHwTJ1cpeFsvqt6cxV34QA/edit?usp=sharing"",""ตราด!J83"")"),0)</f>
        <v>0</v>
      </c>
      <c r="AJ58" s="82">
        <f ca="1">IFERROR(__xludf.DUMMYFUNCTION("IMPORTRANGE(""https://docs.google.com/spreadsheets/d/1vWPVBOAaZ6mHSI8yf95DNqHwTJ1cpeFsvqt6cxV34QA/edit?usp=sharing"",""ตราด!I84"")"),0)</f>
        <v>0</v>
      </c>
      <c r="AK58" s="86">
        <f ca="1">IFERROR(__xludf.DUMMYFUNCTION("IMPORTRANGE(""https://docs.google.com/spreadsheets/d/1vWPVBOAaZ6mHSI8yf95DNqHwTJ1cpeFsvqt6cxV34QA/edit?usp=sharing"",""ตราด!J84"")"),0)</f>
        <v>0</v>
      </c>
      <c r="AL58" s="84">
        <f t="shared" ca="1" si="27"/>
        <v>0</v>
      </c>
    </row>
    <row r="59" spans="1:38" ht="21" customHeight="1" x14ac:dyDescent="0.2">
      <c r="A59" s="78">
        <v>7</v>
      </c>
      <c r="B59" s="79" t="s">
        <v>81</v>
      </c>
      <c r="C59" s="80">
        <f t="shared" ca="1" si="0"/>
        <v>0</v>
      </c>
      <c r="D59" s="81">
        <f t="shared" ca="1" si="42"/>
        <v>0</v>
      </c>
      <c r="E59" s="82">
        <f ca="1">IFERROR(__xludf.DUMMYFUNCTION("IMPORTRANGE(""https://docs.google.com/spreadsheets/d/1MeEWN-I1oV_STSDYn1IFDPWt_1FKiwhDph83XaGc0o0/edit?usp=sharing"",""งบพรบ!AH59"")"),0)</f>
        <v>0</v>
      </c>
      <c r="F59" s="82">
        <f ca="1">IFERROR(__xludf.DUMMYFUNCTION("IMPORTRANGE(""https://docs.google.com/spreadsheets/d/1MeEWN-I1oV_STSDYn1IFDPWt_1FKiwhDph83XaGc0o0/edit?usp=sharing"",""งบพรบ!AI59"")"),0)</f>
        <v>0</v>
      </c>
      <c r="G59" s="82">
        <f ca="1">IFERROR(__xludf.DUMMYFUNCTION("IMPORTRANGE(""https://docs.google.com/spreadsheets/d/1MeEWN-I1oV_STSDYn1IFDPWt_1FKiwhDph83XaGc0o0/edit?usp=sharing"",""งบพรบ!AJ59"")"),0)</f>
        <v>0</v>
      </c>
      <c r="H59" s="82">
        <f ca="1">IFERROR(__xludf.DUMMYFUNCTION("IMPORTRANGE(""https://docs.google.com/spreadsheets/d/1MeEWN-I1oV_STSDYn1IFDPWt_1FKiwhDph83XaGc0o0/edit?usp=sharing"",""งบพรบ!AL59"")"),0)</f>
        <v>0</v>
      </c>
      <c r="I59" s="82">
        <f ca="1">IFERROR(__xludf.DUMMYFUNCTION("IMPORTRANGE(""https://docs.google.com/spreadsheets/d/1MeEWN-I1oV_STSDYn1IFDPWt_1FKiwhDph83XaGc0o0/edit?usp=sharing"",""งบพรบ!AM59"")"),0)</f>
        <v>0</v>
      </c>
      <c r="J59" s="82">
        <f t="shared" ca="1" si="3"/>
        <v>0</v>
      </c>
      <c r="K59" s="83">
        <f t="shared" ca="1" si="4"/>
        <v>0</v>
      </c>
      <c r="L59" s="82">
        <f ca="1">IFERROR(__xludf.DUMMYFUNCTION("IMPORTRANGE(""https://docs.google.com/spreadsheets/d/1MeEWN-I1oV_STSDYn1IFDPWt_1FKiwhDph83XaGc0o0/edit?usp=sharing"",""งบพรบ!AN59"")"),0)</f>
        <v>0</v>
      </c>
      <c r="M59" s="84">
        <f t="shared" ca="1" si="5"/>
        <v>0</v>
      </c>
      <c r="N59" s="84">
        <f t="shared" ca="1" si="6"/>
        <v>0</v>
      </c>
      <c r="O59" s="85">
        <f ca="1">IFERROR(__xludf.DUMMYFUNCTION("IMPORTRANGE(""https://docs.google.com/spreadsheets/d/1MeEWN-I1oV_STSDYn1IFDPWt_1FKiwhDph83XaGc0o0/edit?usp=sharing"",""งบพรบ!AO59"")"),0)</f>
        <v>0</v>
      </c>
      <c r="P59" s="85">
        <f t="shared" ca="1" si="29"/>
        <v>0</v>
      </c>
      <c r="Q59" s="84">
        <f t="shared" ca="1" si="8"/>
        <v>0</v>
      </c>
      <c r="R59" s="86">
        <f t="shared" ca="1" si="30"/>
        <v>0</v>
      </c>
      <c r="S59" s="86">
        <f t="shared" ca="1" si="24"/>
        <v>0</v>
      </c>
      <c r="T59" s="86">
        <f t="shared" ca="1" si="43"/>
        <v>0</v>
      </c>
      <c r="U59" s="87">
        <f t="shared" ca="1" si="25"/>
        <v>0</v>
      </c>
      <c r="V59" s="86">
        <f t="shared" ca="1" si="44"/>
        <v>0</v>
      </c>
      <c r="W59" s="87">
        <f t="shared" ca="1" si="26"/>
        <v>0</v>
      </c>
      <c r="X59" s="82">
        <f ca="1">IFERROR(__xludf.DUMMYFUNCTION("IMPORTRANGE(""https://docs.google.com/spreadsheets/d/1phaeSb9lTGgzDpbvVqI9hfmOQQzUom07-HEvpbARzEg/edit?usp=sharing"",""นครนายก!I78"")"),0)</f>
        <v>0</v>
      </c>
      <c r="Y59" s="82">
        <f ca="1">IFERROR(__xludf.DUMMYFUNCTION("IMPORTRANGE(""https://docs.google.com/spreadsheets/d/1phaeSb9lTGgzDpbvVqI9hfmOQQzUom07-HEvpbARzEg/edit?usp=sharing"",""นครนายก!I79"")"),0)</f>
        <v>0</v>
      </c>
      <c r="Z59" s="86">
        <f ca="1">IFERROR(__xludf.DUMMYFUNCTION("IMPORTRANGE(""https://docs.google.com/spreadsheets/d/1phaeSb9lTGgzDpbvVqI9hfmOQQzUom07-HEvpbARzEg/edit?usp=sharing"",""นครนายก!J78"")"),0)</f>
        <v>0</v>
      </c>
      <c r="AA59" s="86">
        <f ca="1">IFERROR(__xludf.DUMMYFUNCTION("IMPORTRANGE(""https://docs.google.com/spreadsheets/d/1phaeSb9lTGgzDpbvVqI9hfmOQQzUom07-HEvpbARzEg/edit?usp=sharing"",""นครนายก!J79"")"),0)</f>
        <v>0</v>
      </c>
      <c r="AB59" s="82">
        <f ca="1">IFERROR(__xludf.DUMMYFUNCTION("IMPORTRANGE(""https://docs.google.com/spreadsheets/d/1phaeSb9lTGgzDpbvVqI9hfmOQQzUom07-HEvpbARzEg/edit?usp=sharing"",""นครนายก!I80"")"),0)</f>
        <v>0</v>
      </c>
      <c r="AC59" s="82">
        <f ca="1">IFERROR(__xludf.DUMMYFUNCTION("IMPORTRANGE(""https://docs.google.com/spreadsheets/d/1phaeSb9lTGgzDpbvVqI9hfmOQQzUom07-HEvpbARzEg/edit?usp=sharing"",""นครนายก!I81"")"),0)</f>
        <v>0</v>
      </c>
      <c r="AD59" s="86">
        <f ca="1">IFERROR(__xludf.DUMMYFUNCTION("IMPORTRANGE(""https://docs.google.com/spreadsheets/d/1phaeSb9lTGgzDpbvVqI9hfmOQQzUom07-HEvpbARzEg/edit?usp=sharing"",""นครนายก!J80"")"),0)</f>
        <v>0</v>
      </c>
      <c r="AE59" s="86">
        <f ca="1">IFERROR(__xludf.DUMMYFUNCTION("IMPORTRANGE(""https://docs.google.com/spreadsheets/d/1phaeSb9lTGgzDpbvVqI9hfmOQQzUom07-HEvpbARzEg/edit?usp=sharing"",""นครนายก!J81"")"),0)</f>
        <v>0</v>
      </c>
      <c r="AF59" s="82">
        <f ca="1">IFERROR(__xludf.DUMMYFUNCTION("IMPORTRANGE(""https://docs.google.com/spreadsheets/d/1phaeSb9lTGgzDpbvVqI9hfmOQQzUom07-HEvpbARzEg/edit?usp=sharing"",""นครนายก!I82"")"),0)</f>
        <v>0</v>
      </c>
      <c r="AG59" s="82">
        <f ca="1">IFERROR(__xludf.DUMMYFUNCTION("IMPORTRANGE(""https://docs.google.com/spreadsheets/d/1phaeSb9lTGgzDpbvVqI9hfmOQQzUom07-HEvpbARzEg/edit?usp=sharing"",""นครนายก!I83"")"),0)</f>
        <v>0</v>
      </c>
      <c r="AH59" s="86">
        <f ca="1">IFERROR(__xludf.DUMMYFUNCTION("IMPORTRANGE(""https://docs.google.com/spreadsheets/d/1phaeSb9lTGgzDpbvVqI9hfmOQQzUom07-HEvpbARzEg/edit?usp=sharing"",""นครนายก!J82"")"),0)</f>
        <v>0</v>
      </c>
      <c r="AI59" s="86">
        <f ca="1">IFERROR(__xludf.DUMMYFUNCTION("IMPORTRANGE(""https://docs.google.com/spreadsheets/d/1phaeSb9lTGgzDpbvVqI9hfmOQQzUom07-HEvpbARzEg/edit?usp=sharing"",""นครนายก!J83"")"),0)</f>
        <v>0</v>
      </c>
      <c r="AJ59" s="82">
        <f ca="1">IFERROR(__xludf.DUMMYFUNCTION("IMPORTRANGE(""https://docs.google.com/spreadsheets/d/1phaeSb9lTGgzDpbvVqI9hfmOQQzUom07-HEvpbARzEg/edit?usp=sharing"",""นครนายก!I84"")"),0)</f>
        <v>0</v>
      </c>
      <c r="AK59" s="86">
        <f ca="1">IFERROR(__xludf.DUMMYFUNCTION("IMPORTRANGE(""https://docs.google.com/spreadsheets/d/1phaeSb9lTGgzDpbvVqI9hfmOQQzUom07-HEvpbARzEg/edit?usp=sharing"",""นครนายก!J84"")"),0)</f>
        <v>0</v>
      </c>
      <c r="AL59" s="84">
        <f t="shared" ca="1" si="27"/>
        <v>0</v>
      </c>
    </row>
    <row r="60" spans="1:38" ht="21" customHeight="1" x14ac:dyDescent="0.2">
      <c r="A60" s="78">
        <v>8</v>
      </c>
      <c r="B60" s="79" t="s">
        <v>82</v>
      </c>
      <c r="C60" s="80">
        <f t="shared" ca="1" si="0"/>
        <v>0</v>
      </c>
      <c r="D60" s="81">
        <f t="shared" ca="1" si="42"/>
        <v>0</v>
      </c>
      <c r="E60" s="82">
        <f ca="1">IFERROR(__xludf.DUMMYFUNCTION("IMPORTRANGE(""https://docs.google.com/spreadsheets/d/1MeEWN-I1oV_STSDYn1IFDPWt_1FKiwhDph83XaGc0o0/edit?usp=sharing"",""งบพรบ!AH60"")"),0)</f>
        <v>0</v>
      </c>
      <c r="F60" s="82">
        <f ca="1">IFERROR(__xludf.DUMMYFUNCTION("IMPORTRANGE(""https://docs.google.com/spreadsheets/d/1MeEWN-I1oV_STSDYn1IFDPWt_1FKiwhDph83XaGc0o0/edit?usp=sharing"",""งบพรบ!AI60"")"),0)</f>
        <v>0</v>
      </c>
      <c r="G60" s="82">
        <f ca="1">IFERROR(__xludf.DUMMYFUNCTION("IMPORTRANGE(""https://docs.google.com/spreadsheets/d/1MeEWN-I1oV_STSDYn1IFDPWt_1FKiwhDph83XaGc0o0/edit?usp=sharing"",""งบพรบ!AJ60"")"),0)</f>
        <v>0</v>
      </c>
      <c r="H60" s="82">
        <f ca="1">IFERROR(__xludf.DUMMYFUNCTION("IMPORTRANGE(""https://docs.google.com/spreadsheets/d/1MeEWN-I1oV_STSDYn1IFDPWt_1FKiwhDph83XaGc0o0/edit?usp=sharing"",""งบพรบ!AL60"")"),0)</f>
        <v>0</v>
      </c>
      <c r="I60" s="82">
        <f ca="1">IFERROR(__xludf.DUMMYFUNCTION("IMPORTRANGE(""https://docs.google.com/spreadsheets/d/1MeEWN-I1oV_STSDYn1IFDPWt_1FKiwhDph83XaGc0o0/edit?usp=sharing"",""งบพรบ!AM60"")"),0)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IFERROR(__xludf.DUMMYFUNCTION("IMPORTRANGE(""https://docs.google.com/spreadsheets/d/1MeEWN-I1oV_STSDYn1IFDPWt_1FKiwhDph83XaGc0o0/edit?usp=sharing"",""งบพรบ!AN60"")"),0)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IFERROR(__xludf.DUMMYFUNCTION("IMPORTRANGE(""https://docs.google.com/spreadsheets/d/1MeEWN-I1oV_STSDYn1IFDPWt_1FKiwhDph83XaGc0o0/edit?usp=sharing"",""งบพรบ!AO60"")"),0)</f>
        <v>0</v>
      </c>
      <c r="P60" s="85">
        <f t="shared" ca="1" si="29"/>
        <v>0</v>
      </c>
      <c r="Q60" s="84">
        <f t="shared" ca="1" si="8"/>
        <v>0</v>
      </c>
      <c r="R60" s="86">
        <f t="shared" ca="1" si="30"/>
        <v>0</v>
      </c>
      <c r="S60" s="86">
        <f t="shared" ca="1" si="24"/>
        <v>0</v>
      </c>
      <c r="T60" s="86">
        <f t="shared" ca="1" si="43"/>
        <v>0</v>
      </c>
      <c r="U60" s="87">
        <f t="shared" ca="1" si="25"/>
        <v>0</v>
      </c>
      <c r="V60" s="86">
        <f t="shared" ca="1" si="44"/>
        <v>0</v>
      </c>
      <c r="W60" s="87">
        <f t="shared" ca="1" si="26"/>
        <v>0</v>
      </c>
      <c r="X60" s="82">
        <f ca="1">IFERROR(__xludf.DUMMYFUNCTION("IMPORTRANGE(""https://docs.google.com/spreadsheets/d/1tpwhWwkqkBeiSWCcfB5f2fbwPRbM9hHOEDSDHpl2MIc/edit?usp=sharing"",""นครปฐม!I78"")"),0)</f>
        <v>0</v>
      </c>
      <c r="Y60" s="82">
        <f ca="1">IFERROR(__xludf.DUMMYFUNCTION("IMPORTRANGE(""https://docs.google.com/spreadsheets/d/1tpwhWwkqkBeiSWCcfB5f2fbwPRbM9hHOEDSDHpl2MIc/edit?usp=sharing"",""นครปฐม!I79"")"),0)</f>
        <v>0</v>
      </c>
      <c r="Z60" s="86">
        <f ca="1">IFERROR(__xludf.DUMMYFUNCTION("IMPORTRANGE(""https://docs.google.com/spreadsheets/d/1tpwhWwkqkBeiSWCcfB5f2fbwPRbM9hHOEDSDHpl2MIc/edit?usp=sharing"",""นครปฐม!J78"")"),0)</f>
        <v>0</v>
      </c>
      <c r="AA60" s="86">
        <f ca="1">IFERROR(__xludf.DUMMYFUNCTION("IMPORTRANGE(""https://docs.google.com/spreadsheets/d/1tpwhWwkqkBeiSWCcfB5f2fbwPRbM9hHOEDSDHpl2MIc/edit?usp=sharing"",""นครปฐม!J79"")"),0)</f>
        <v>0</v>
      </c>
      <c r="AB60" s="82">
        <f ca="1">IFERROR(__xludf.DUMMYFUNCTION("IMPORTRANGE(""https://docs.google.com/spreadsheets/d/1tpwhWwkqkBeiSWCcfB5f2fbwPRbM9hHOEDSDHpl2MIc/edit?usp=sharing"",""นครปฐม!I80"")"),0)</f>
        <v>0</v>
      </c>
      <c r="AC60" s="82">
        <f ca="1">IFERROR(__xludf.DUMMYFUNCTION("IMPORTRANGE(""https://docs.google.com/spreadsheets/d/1tpwhWwkqkBeiSWCcfB5f2fbwPRbM9hHOEDSDHpl2MIc/edit?usp=sharing"",""นครปฐม!I81"")"),0)</f>
        <v>0</v>
      </c>
      <c r="AD60" s="86">
        <f ca="1">IFERROR(__xludf.DUMMYFUNCTION("IMPORTRANGE(""https://docs.google.com/spreadsheets/d/1tpwhWwkqkBeiSWCcfB5f2fbwPRbM9hHOEDSDHpl2MIc/edit?usp=sharing"",""นครปฐม!J80"")"),0)</f>
        <v>0</v>
      </c>
      <c r="AE60" s="86">
        <f ca="1">IFERROR(__xludf.DUMMYFUNCTION("IMPORTRANGE(""https://docs.google.com/spreadsheets/d/1tpwhWwkqkBeiSWCcfB5f2fbwPRbM9hHOEDSDHpl2MIc/edit?usp=sharing"",""นครปฐม!J81"")"),0)</f>
        <v>0</v>
      </c>
      <c r="AF60" s="82">
        <f ca="1">IFERROR(__xludf.DUMMYFUNCTION("IMPORTRANGE(""https://docs.google.com/spreadsheets/d/1tpwhWwkqkBeiSWCcfB5f2fbwPRbM9hHOEDSDHpl2MIc/edit?usp=sharing"",""นครปฐม!I82"")"),0)</f>
        <v>0</v>
      </c>
      <c r="AG60" s="82">
        <f ca="1">IFERROR(__xludf.DUMMYFUNCTION("IMPORTRANGE(""https://docs.google.com/spreadsheets/d/1tpwhWwkqkBeiSWCcfB5f2fbwPRbM9hHOEDSDHpl2MIc/edit?usp=sharing"",""นครปฐม!I83"")"),0)</f>
        <v>0</v>
      </c>
      <c r="AH60" s="86">
        <f ca="1">IFERROR(__xludf.DUMMYFUNCTION("IMPORTRANGE(""https://docs.google.com/spreadsheets/d/1tpwhWwkqkBeiSWCcfB5f2fbwPRbM9hHOEDSDHpl2MIc/edit?usp=sharing"",""นครปฐม!J82"")"),0)</f>
        <v>0</v>
      </c>
      <c r="AI60" s="86">
        <f ca="1">IFERROR(__xludf.DUMMYFUNCTION("IMPORTRANGE(""https://docs.google.com/spreadsheets/d/1tpwhWwkqkBeiSWCcfB5f2fbwPRbM9hHOEDSDHpl2MIc/edit?usp=sharing"",""นครปฐม!J83"")"),0)</f>
        <v>0</v>
      </c>
      <c r="AJ60" s="82">
        <f ca="1">IFERROR(__xludf.DUMMYFUNCTION("IMPORTRANGE(""https://docs.google.com/spreadsheets/d/1tpwhWwkqkBeiSWCcfB5f2fbwPRbM9hHOEDSDHpl2MIc/edit?usp=sharing"",""นครปฐม!I84"")"),0)</f>
        <v>0</v>
      </c>
      <c r="AK60" s="86">
        <f ca="1">IFERROR(__xludf.DUMMYFUNCTION("IMPORTRANGE(""https://docs.google.com/spreadsheets/d/1tpwhWwkqkBeiSWCcfB5f2fbwPRbM9hHOEDSDHpl2MIc/edit?usp=sharing"",""นครปฐม!J84"")"),0)</f>
        <v>0</v>
      </c>
      <c r="AL60" s="84">
        <f t="shared" ca="1" si="27"/>
        <v>0</v>
      </c>
    </row>
    <row r="61" spans="1:38" ht="21" customHeight="1" x14ac:dyDescent="0.2">
      <c r="A61" s="78">
        <v>9</v>
      </c>
      <c r="B61" s="79" t="s">
        <v>83</v>
      </c>
      <c r="C61" s="80">
        <f t="shared" ca="1" si="0"/>
        <v>0</v>
      </c>
      <c r="D61" s="81">
        <f t="shared" ca="1" si="42"/>
        <v>0</v>
      </c>
      <c r="E61" s="82">
        <f ca="1">IFERROR(__xludf.DUMMYFUNCTION("IMPORTRANGE(""https://docs.google.com/spreadsheets/d/1MeEWN-I1oV_STSDYn1IFDPWt_1FKiwhDph83XaGc0o0/edit?usp=sharing"",""งบพรบ!AH61"")"),0)</f>
        <v>0</v>
      </c>
      <c r="F61" s="82">
        <f ca="1">IFERROR(__xludf.DUMMYFUNCTION("IMPORTRANGE(""https://docs.google.com/spreadsheets/d/1MeEWN-I1oV_STSDYn1IFDPWt_1FKiwhDph83XaGc0o0/edit?usp=sharing"",""งบพรบ!AI61"")"),0)</f>
        <v>0</v>
      </c>
      <c r="G61" s="82">
        <f ca="1">IFERROR(__xludf.DUMMYFUNCTION("IMPORTRANGE(""https://docs.google.com/spreadsheets/d/1MeEWN-I1oV_STSDYn1IFDPWt_1FKiwhDph83XaGc0o0/edit?usp=sharing"",""งบพรบ!AJ61"")"),0)</f>
        <v>0</v>
      </c>
      <c r="H61" s="82">
        <f ca="1">IFERROR(__xludf.DUMMYFUNCTION("IMPORTRANGE(""https://docs.google.com/spreadsheets/d/1MeEWN-I1oV_STSDYn1IFDPWt_1FKiwhDph83XaGc0o0/edit?usp=sharing"",""งบพรบ!AL61"")"),0)</f>
        <v>0</v>
      </c>
      <c r="I61" s="82">
        <f ca="1">IFERROR(__xludf.DUMMYFUNCTION("IMPORTRANGE(""https://docs.google.com/spreadsheets/d/1MeEWN-I1oV_STSDYn1IFDPWt_1FKiwhDph83XaGc0o0/edit?usp=sharing"",""งบพรบ!AM61"")"),0)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IFERROR(__xludf.DUMMYFUNCTION("IMPORTRANGE(""https://docs.google.com/spreadsheets/d/1MeEWN-I1oV_STSDYn1IFDPWt_1FKiwhDph83XaGc0o0/edit?usp=sharing"",""งบพรบ!AN61"")"),0)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IFERROR(__xludf.DUMMYFUNCTION("IMPORTRANGE(""https://docs.google.com/spreadsheets/d/1MeEWN-I1oV_STSDYn1IFDPWt_1FKiwhDph83XaGc0o0/edit?usp=sharing"",""งบพรบ!AO61"")"),0)</f>
        <v>0</v>
      </c>
      <c r="P61" s="85">
        <f t="shared" ca="1" si="29"/>
        <v>0</v>
      </c>
      <c r="Q61" s="84">
        <f t="shared" ca="1" si="8"/>
        <v>0</v>
      </c>
      <c r="R61" s="86">
        <f t="shared" ca="1" si="30"/>
        <v>0</v>
      </c>
      <c r="S61" s="86">
        <f t="shared" ca="1" si="24"/>
        <v>0</v>
      </c>
      <c r="T61" s="86">
        <f t="shared" ca="1" si="43"/>
        <v>0</v>
      </c>
      <c r="U61" s="87">
        <f t="shared" ca="1" si="25"/>
        <v>0</v>
      </c>
      <c r="V61" s="86">
        <f t="shared" ca="1" si="44"/>
        <v>0</v>
      </c>
      <c r="W61" s="87">
        <f t="shared" ca="1" si="26"/>
        <v>0</v>
      </c>
      <c r="X61" s="82">
        <f ca="1">IFERROR(__xludf.DUMMYFUNCTION("IMPORTRANGE(""https://docs.google.com/spreadsheets/d/1fJJCVBkBnhriyv0Cp5ZFMr0I_yrfdEITNpb4zILJgUQ/edit?usp=sharing"",""ปทุมธานี!I78"")"),0)</f>
        <v>0</v>
      </c>
      <c r="Y61" s="82">
        <f ca="1">IFERROR(__xludf.DUMMYFUNCTION("IMPORTRANGE(""https://docs.google.com/spreadsheets/d/1fJJCVBkBnhriyv0Cp5ZFMr0I_yrfdEITNpb4zILJgUQ/edit?usp=sharing"",""ปทุมธานี!I79"")"),0)</f>
        <v>0</v>
      </c>
      <c r="Z61" s="86">
        <f ca="1">IFERROR(__xludf.DUMMYFUNCTION("IMPORTRANGE(""https://docs.google.com/spreadsheets/d/1fJJCVBkBnhriyv0Cp5ZFMr0I_yrfdEITNpb4zILJgUQ/edit?usp=sharing"",""ปทุมธานี!J78"")"),0)</f>
        <v>0</v>
      </c>
      <c r="AA61" s="86">
        <f ca="1">IFERROR(__xludf.DUMMYFUNCTION("IMPORTRANGE(""https://docs.google.com/spreadsheets/d/1fJJCVBkBnhriyv0Cp5ZFMr0I_yrfdEITNpb4zILJgUQ/edit?usp=sharing"",""ปทุมธานี!J79"")"),0)</f>
        <v>0</v>
      </c>
      <c r="AB61" s="82">
        <f ca="1">IFERROR(__xludf.DUMMYFUNCTION("IMPORTRANGE(""https://docs.google.com/spreadsheets/d/1fJJCVBkBnhriyv0Cp5ZFMr0I_yrfdEITNpb4zILJgUQ/edit?usp=sharing"",""ปทุมธานี!I80"")"),0)</f>
        <v>0</v>
      </c>
      <c r="AC61" s="82">
        <f ca="1">IFERROR(__xludf.DUMMYFUNCTION("IMPORTRANGE(""https://docs.google.com/spreadsheets/d/1fJJCVBkBnhriyv0Cp5ZFMr0I_yrfdEITNpb4zILJgUQ/edit?usp=sharing"",""ปทุมธานี!I81"")"),0)</f>
        <v>0</v>
      </c>
      <c r="AD61" s="86">
        <f ca="1">IFERROR(__xludf.DUMMYFUNCTION("IMPORTRANGE(""https://docs.google.com/spreadsheets/d/1fJJCVBkBnhriyv0Cp5ZFMr0I_yrfdEITNpb4zILJgUQ/edit?usp=sharing"",""ปทุมธานี!J80"")"),0)</f>
        <v>0</v>
      </c>
      <c r="AE61" s="86">
        <f ca="1">IFERROR(__xludf.DUMMYFUNCTION("IMPORTRANGE(""https://docs.google.com/spreadsheets/d/1fJJCVBkBnhriyv0Cp5ZFMr0I_yrfdEITNpb4zILJgUQ/edit?usp=sharing"",""ปทุมธานี!J81"")"),0)</f>
        <v>0</v>
      </c>
      <c r="AF61" s="82">
        <f ca="1">IFERROR(__xludf.DUMMYFUNCTION("IMPORTRANGE(""https://docs.google.com/spreadsheets/d/1fJJCVBkBnhriyv0Cp5ZFMr0I_yrfdEITNpb4zILJgUQ/edit?usp=sharing"",""ปทุมธานี!I82"")"),0)</f>
        <v>0</v>
      </c>
      <c r="AG61" s="82">
        <f ca="1">IFERROR(__xludf.DUMMYFUNCTION("IMPORTRANGE(""https://docs.google.com/spreadsheets/d/1fJJCVBkBnhriyv0Cp5ZFMr0I_yrfdEITNpb4zILJgUQ/edit?usp=sharing"",""ปทุมธานี!I83"")"),0)</f>
        <v>0</v>
      </c>
      <c r="AH61" s="86">
        <f ca="1">IFERROR(__xludf.DUMMYFUNCTION("IMPORTRANGE(""https://docs.google.com/spreadsheets/d/1fJJCVBkBnhriyv0Cp5ZFMr0I_yrfdEITNpb4zILJgUQ/edit?usp=sharing"",""ปทุมธานี!J82"")"),0)</f>
        <v>0</v>
      </c>
      <c r="AI61" s="86">
        <f ca="1">IFERROR(__xludf.DUMMYFUNCTION("IMPORTRANGE(""https://docs.google.com/spreadsheets/d/1fJJCVBkBnhriyv0Cp5ZFMr0I_yrfdEITNpb4zILJgUQ/edit?usp=sharing"",""ปทุมธานี!J83"")"),0)</f>
        <v>0</v>
      </c>
      <c r="AJ61" s="82">
        <f ca="1">IFERROR(__xludf.DUMMYFUNCTION("IMPORTRANGE(""https://docs.google.com/spreadsheets/d/1fJJCVBkBnhriyv0Cp5ZFMr0I_yrfdEITNpb4zILJgUQ/edit?usp=sharing"",""ปทุมธานี!I84"")"),0)</f>
        <v>0</v>
      </c>
      <c r="AK61" s="86">
        <f ca="1">IFERROR(__xludf.DUMMYFUNCTION("IMPORTRANGE(""https://docs.google.com/spreadsheets/d/1fJJCVBkBnhriyv0Cp5ZFMr0I_yrfdEITNpb4zILJgUQ/edit?usp=sharing"",""ปทุมธานี!J84"")"),0)</f>
        <v>0</v>
      </c>
      <c r="AL61" s="84">
        <f t="shared" ca="1" si="27"/>
        <v>0</v>
      </c>
    </row>
    <row r="62" spans="1:38" ht="21" customHeight="1" x14ac:dyDescent="0.2">
      <c r="A62" s="78">
        <v>10</v>
      </c>
      <c r="B62" s="79" t="s">
        <v>84</v>
      </c>
      <c r="C62" s="80">
        <f t="shared" ca="1" si="0"/>
        <v>0</v>
      </c>
      <c r="D62" s="81">
        <f t="shared" ca="1" si="42"/>
        <v>0</v>
      </c>
      <c r="E62" s="82">
        <f ca="1">IFERROR(__xludf.DUMMYFUNCTION("IMPORTRANGE(""https://docs.google.com/spreadsheets/d/1MeEWN-I1oV_STSDYn1IFDPWt_1FKiwhDph83XaGc0o0/edit?usp=sharing"",""งบพรบ!AH62"")"),0)</f>
        <v>0</v>
      </c>
      <c r="F62" s="82">
        <f ca="1">IFERROR(__xludf.DUMMYFUNCTION("IMPORTRANGE(""https://docs.google.com/spreadsheets/d/1MeEWN-I1oV_STSDYn1IFDPWt_1FKiwhDph83XaGc0o0/edit?usp=sharing"",""งบพรบ!AI62"")"),0)</f>
        <v>0</v>
      </c>
      <c r="G62" s="82">
        <f ca="1">IFERROR(__xludf.DUMMYFUNCTION("IMPORTRANGE(""https://docs.google.com/spreadsheets/d/1MeEWN-I1oV_STSDYn1IFDPWt_1FKiwhDph83XaGc0o0/edit?usp=sharing"",""งบพรบ!AJ62"")"),0)</f>
        <v>0</v>
      </c>
      <c r="H62" s="82">
        <f ca="1">IFERROR(__xludf.DUMMYFUNCTION("IMPORTRANGE(""https://docs.google.com/spreadsheets/d/1MeEWN-I1oV_STSDYn1IFDPWt_1FKiwhDph83XaGc0o0/edit?usp=sharing"",""งบพรบ!AL62"")"),0)</f>
        <v>0</v>
      </c>
      <c r="I62" s="82">
        <f ca="1">IFERROR(__xludf.DUMMYFUNCTION("IMPORTRANGE(""https://docs.google.com/spreadsheets/d/1MeEWN-I1oV_STSDYn1IFDPWt_1FKiwhDph83XaGc0o0/edit?usp=sharing"",""งบพรบ!AM62"")"),0)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IFERROR(__xludf.DUMMYFUNCTION("IMPORTRANGE(""https://docs.google.com/spreadsheets/d/1MeEWN-I1oV_STSDYn1IFDPWt_1FKiwhDph83XaGc0o0/edit?usp=sharing"",""งบพรบ!AN62"")"),0)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IFERROR(__xludf.DUMMYFUNCTION("IMPORTRANGE(""https://docs.google.com/spreadsheets/d/1MeEWN-I1oV_STSDYn1IFDPWt_1FKiwhDph83XaGc0o0/edit?usp=sharing"",""งบพรบ!AO62"")"),0)</f>
        <v>0</v>
      </c>
      <c r="P62" s="85">
        <f t="shared" ca="1" si="29"/>
        <v>0</v>
      </c>
      <c r="Q62" s="84">
        <f t="shared" ca="1" si="8"/>
        <v>0</v>
      </c>
      <c r="R62" s="86">
        <f t="shared" ca="1" si="30"/>
        <v>0</v>
      </c>
      <c r="S62" s="86">
        <f t="shared" ca="1" si="24"/>
        <v>0</v>
      </c>
      <c r="T62" s="86">
        <f t="shared" ca="1" si="43"/>
        <v>0</v>
      </c>
      <c r="U62" s="87">
        <f t="shared" ca="1" si="25"/>
        <v>0</v>
      </c>
      <c r="V62" s="86">
        <f t="shared" ca="1" si="44"/>
        <v>0</v>
      </c>
      <c r="W62" s="87">
        <f t="shared" ca="1" si="26"/>
        <v>0</v>
      </c>
      <c r="X62" s="82">
        <f ca="1">IFERROR(__xludf.DUMMYFUNCTION("IMPORTRANGE(""https://docs.google.com/spreadsheets/d/1W5Jj_S0gYw6wSO7QcMI02YgyOBDKYgmm0NSUk-AQEac/edit?usp=sharing"",""ประจวบคีรีขันธ์!I78"")"),0)</f>
        <v>0</v>
      </c>
      <c r="Y62" s="82">
        <f ca="1">IFERROR(__xludf.DUMMYFUNCTION("IMPORTRANGE(""https://docs.google.com/spreadsheets/d/1W5Jj_S0gYw6wSO7QcMI02YgyOBDKYgmm0NSUk-AQEac/edit?usp=sharing"",""ประจวบคีรีขันธ์!I79"")"),0)</f>
        <v>0</v>
      </c>
      <c r="Z62" s="86">
        <f ca="1">IFERROR(__xludf.DUMMYFUNCTION("IMPORTRANGE(""https://docs.google.com/spreadsheets/d/1W5Jj_S0gYw6wSO7QcMI02YgyOBDKYgmm0NSUk-AQEac/edit?usp=sharing"",""ประจวบคีรีขันธ์!J78"")"),0)</f>
        <v>0</v>
      </c>
      <c r="AA62" s="86">
        <f ca="1">IFERROR(__xludf.DUMMYFUNCTION("IMPORTRANGE(""https://docs.google.com/spreadsheets/d/1W5Jj_S0gYw6wSO7QcMI02YgyOBDKYgmm0NSUk-AQEac/edit?usp=sharing"",""ประจวบคีรีขันธ์!J79"")"),0)</f>
        <v>0</v>
      </c>
      <c r="AB62" s="82">
        <f ca="1">IFERROR(__xludf.DUMMYFUNCTION("IMPORTRANGE(""https://docs.google.com/spreadsheets/d/1W5Jj_S0gYw6wSO7QcMI02YgyOBDKYgmm0NSUk-AQEac/edit?usp=sharing"",""ประจวบคีรีขันธ์!I80"")"),0)</f>
        <v>0</v>
      </c>
      <c r="AC62" s="82">
        <f ca="1">IFERROR(__xludf.DUMMYFUNCTION("IMPORTRANGE(""https://docs.google.com/spreadsheets/d/1W5Jj_S0gYw6wSO7QcMI02YgyOBDKYgmm0NSUk-AQEac/edit?usp=sharing"",""ประจวบคีรีขันธ์!I81"")"),0)</f>
        <v>0</v>
      </c>
      <c r="AD62" s="86">
        <f ca="1">IFERROR(__xludf.DUMMYFUNCTION("IMPORTRANGE(""https://docs.google.com/spreadsheets/d/1W5Jj_S0gYw6wSO7QcMI02YgyOBDKYgmm0NSUk-AQEac/edit?usp=sharing"",""ประจวบคีรีขันธ์!J80"")"),0)</f>
        <v>0</v>
      </c>
      <c r="AE62" s="86">
        <f ca="1">IFERROR(__xludf.DUMMYFUNCTION("IMPORTRANGE(""https://docs.google.com/spreadsheets/d/1W5Jj_S0gYw6wSO7QcMI02YgyOBDKYgmm0NSUk-AQEac/edit?usp=sharing"",""ประจวบคีรีขันธ์!J81"")"),0)</f>
        <v>0</v>
      </c>
      <c r="AF62" s="82">
        <f ca="1">IFERROR(__xludf.DUMMYFUNCTION("IMPORTRANGE(""https://docs.google.com/spreadsheets/d/1W5Jj_S0gYw6wSO7QcMI02YgyOBDKYgmm0NSUk-AQEac/edit?usp=sharing"",""ประจวบคีรีขันธ์!I82"")"),0)</f>
        <v>0</v>
      </c>
      <c r="AG62" s="82">
        <f ca="1">IFERROR(__xludf.DUMMYFUNCTION("IMPORTRANGE(""https://docs.google.com/spreadsheets/d/1W5Jj_S0gYw6wSO7QcMI02YgyOBDKYgmm0NSUk-AQEac/edit?usp=sharing"",""ประจวบคีรีขันธ์!I83"")"),0)</f>
        <v>0</v>
      </c>
      <c r="AH62" s="86">
        <f ca="1">IFERROR(__xludf.DUMMYFUNCTION("IMPORTRANGE(""https://docs.google.com/spreadsheets/d/1W5Jj_S0gYw6wSO7QcMI02YgyOBDKYgmm0NSUk-AQEac/edit?usp=sharing"",""ประจวบคีรีขันธ์!J82"")"),0)</f>
        <v>0</v>
      </c>
      <c r="AI62" s="86">
        <f ca="1">IFERROR(__xludf.DUMMYFUNCTION("IMPORTRANGE(""https://docs.google.com/spreadsheets/d/1W5Jj_S0gYw6wSO7QcMI02YgyOBDKYgmm0NSUk-AQEac/edit?usp=sharing"",""ประจวบคีรีขันธ์!J83"")"),0)</f>
        <v>0</v>
      </c>
      <c r="AJ62" s="82">
        <f ca="1">IFERROR(__xludf.DUMMYFUNCTION("IMPORTRANGE(""https://docs.google.com/spreadsheets/d/1W5Jj_S0gYw6wSO7QcMI02YgyOBDKYgmm0NSUk-AQEac/edit?usp=sharing"",""ประจวบคีรีขันธ์!I84"")"),0)</f>
        <v>0</v>
      </c>
      <c r="AK62" s="86">
        <f ca="1">IFERROR(__xludf.DUMMYFUNCTION("IMPORTRANGE(""https://docs.google.com/spreadsheets/d/1W5Jj_S0gYw6wSO7QcMI02YgyOBDKYgmm0NSUk-AQEac/edit?usp=sharing"",""ประจวบคีรีขันธ์!J84"")"),0)</f>
        <v>0</v>
      </c>
      <c r="AL62" s="84">
        <f t="shared" ca="1" si="27"/>
        <v>0</v>
      </c>
    </row>
    <row r="63" spans="1:38" ht="21" customHeight="1" x14ac:dyDescent="0.2">
      <c r="A63" s="78">
        <v>11</v>
      </c>
      <c r="B63" s="79" t="s">
        <v>85</v>
      </c>
      <c r="C63" s="80">
        <f t="shared" ca="1" si="0"/>
        <v>0</v>
      </c>
      <c r="D63" s="81">
        <f t="shared" ca="1" si="42"/>
        <v>0</v>
      </c>
      <c r="E63" s="82">
        <f ca="1">IFERROR(__xludf.DUMMYFUNCTION("IMPORTRANGE(""https://docs.google.com/spreadsheets/d/1MeEWN-I1oV_STSDYn1IFDPWt_1FKiwhDph83XaGc0o0/edit?usp=sharing"",""งบพรบ!AH63"")"),0)</f>
        <v>0</v>
      </c>
      <c r="F63" s="82">
        <f ca="1">IFERROR(__xludf.DUMMYFUNCTION("IMPORTRANGE(""https://docs.google.com/spreadsheets/d/1MeEWN-I1oV_STSDYn1IFDPWt_1FKiwhDph83XaGc0o0/edit?usp=sharing"",""งบพรบ!AI63"")"),0)</f>
        <v>0</v>
      </c>
      <c r="G63" s="82">
        <f ca="1">IFERROR(__xludf.DUMMYFUNCTION("IMPORTRANGE(""https://docs.google.com/spreadsheets/d/1MeEWN-I1oV_STSDYn1IFDPWt_1FKiwhDph83XaGc0o0/edit?usp=sharing"",""งบพรบ!AJ63"")"),0)</f>
        <v>0</v>
      </c>
      <c r="H63" s="82">
        <f ca="1">IFERROR(__xludf.DUMMYFUNCTION("IMPORTRANGE(""https://docs.google.com/spreadsheets/d/1MeEWN-I1oV_STSDYn1IFDPWt_1FKiwhDph83XaGc0o0/edit?usp=sharing"",""งบพรบ!AL63"")"),0)</f>
        <v>0</v>
      </c>
      <c r="I63" s="82">
        <f ca="1">IFERROR(__xludf.DUMMYFUNCTION("IMPORTRANGE(""https://docs.google.com/spreadsheets/d/1MeEWN-I1oV_STSDYn1IFDPWt_1FKiwhDph83XaGc0o0/edit?usp=sharing"",""งบพรบ!AM63"")"),0)</f>
        <v>0</v>
      </c>
      <c r="J63" s="82">
        <f t="shared" ca="1" si="3"/>
        <v>0</v>
      </c>
      <c r="K63" s="83">
        <f t="shared" ca="1" si="4"/>
        <v>0</v>
      </c>
      <c r="L63" s="82">
        <f ca="1">IFERROR(__xludf.DUMMYFUNCTION("IMPORTRANGE(""https://docs.google.com/spreadsheets/d/1MeEWN-I1oV_STSDYn1IFDPWt_1FKiwhDph83XaGc0o0/edit?usp=sharing"",""งบพรบ!AN63"")"),0)</f>
        <v>0</v>
      </c>
      <c r="M63" s="84">
        <f t="shared" ca="1" si="5"/>
        <v>0</v>
      </c>
      <c r="N63" s="84">
        <f t="shared" ca="1" si="6"/>
        <v>0</v>
      </c>
      <c r="O63" s="85">
        <f ca="1">IFERROR(__xludf.DUMMYFUNCTION("IMPORTRANGE(""https://docs.google.com/spreadsheets/d/1MeEWN-I1oV_STSDYn1IFDPWt_1FKiwhDph83XaGc0o0/edit?usp=sharing"",""งบพรบ!AO63"")"),0)</f>
        <v>0</v>
      </c>
      <c r="P63" s="85">
        <f t="shared" ca="1" si="29"/>
        <v>0</v>
      </c>
      <c r="Q63" s="84">
        <f t="shared" ca="1" si="8"/>
        <v>0</v>
      </c>
      <c r="R63" s="86">
        <f t="shared" ca="1" si="30"/>
        <v>0</v>
      </c>
      <c r="S63" s="86">
        <f t="shared" ca="1" si="24"/>
        <v>0</v>
      </c>
      <c r="T63" s="86">
        <f t="shared" ca="1" si="43"/>
        <v>0</v>
      </c>
      <c r="U63" s="87">
        <f t="shared" ca="1" si="25"/>
        <v>0</v>
      </c>
      <c r="V63" s="86">
        <f t="shared" ca="1" si="44"/>
        <v>0</v>
      </c>
      <c r="W63" s="87">
        <f t="shared" ca="1" si="26"/>
        <v>0</v>
      </c>
      <c r="X63" s="82">
        <f ca="1">IFERROR(__xludf.DUMMYFUNCTION("IMPORTRANGE(""https://docs.google.com/spreadsheets/d/1nYxRXgnCfTXtqUY1otYuTlnrzE0Tn-Y0YRsW5pkRVqo/edit?usp=sharing"",""ปราจีนบุรี!I78"")"),0)</f>
        <v>0</v>
      </c>
      <c r="Y63" s="82">
        <f ca="1">IFERROR(__xludf.DUMMYFUNCTION("IMPORTRANGE(""https://docs.google.com/spreadsheets/d/1nYxRXgnCfTXtqUY1otYuTlnrzE0Tn-Y0YRsW5pkRVqo/edit?usp=sharing"",""ปราจีนบุรี!I79"")"),0)</f>
        <v>0</v>
      </c>
      <c r="Z63" s="86">
        <f ca="1">IFERROR(__xludf.DUMMYFUNCTION("IMPORTRANGE(""https://docs.google.com/spreadsheets/d/1nYxRXgnCfTXtqUY1otYuTlnrzE0Tn-Y0YRsW5pkRVqo/edit?usp=sharing"",""ปราจีนบุรี!J78"")"),0)</f>
        <v>0</v>
      </c>
      <c r="AA63" s="86">
        <f ca="1">IFERROR(__xludf.DUMMYFUNCTION("IMPORTRANGE(""https://docs.google.com/spreadsheets/d/1nYxRXgnCfTXtqUY1otYuTlnrzE0Tn-Y0YRsW5pkRVqo/edit?usp=sharing"",""ปราจีนบุรี!J79"")"),0)</f>
        <v>0</v>
      </c>
      <c r="AB63" s="82">
        <f ca="1">IFERROR(__xludf.DUMMYFUNCTION("IMPORTRANGE(""https://docs.google.com/spreadsheets/d/1nYxRXgnCfTXtqUY1otYuTlnrzE0Tn-Y0YRsW5pkRVqo/edit?usp=sharing"",""ปราจีนบุรี!I80"")"),0)</f>
        <v>0</v>
      </c>
      <c r="AC63" s="82">
        <f ca="1">IFERROR(__xludf.DUMMYFUNCTION("IMPORTRANGE(""https://docs.google.com/spreadsheets/d/1nYxRXgnCfTXtqUY1otYuTlnrzE0Tn-Y0YRsW5pkRVqo/edit?usp=sharing"",""ปราจีนบุรี!I81"")"),0)</f>
        <v>0</v>
      </c>
      <c r="AD63" s="86">
        <f ca="1">IFERROR(__xludf.DUMMYFUNCTION("IMPORTRANGE(""https://docs.google.com/spreadsheets/d/1nYxRXgnCfTXtqUY1otYuTlnrzE0Tn-Y0YRsW5pkRVqo/edit?usp=sharing"",""ปราจีนบุรี!J80"")"),0)</f>
        <v>0</v>
      </c>
      <c r="AE63" s="86">
        <f ca="1">IFERROR(__xludf.DUMMYFUNCTION("IMPORTRANGE(""https://docs.google.com/spreadsheets/d/1nYxRXgnCfTXtqUY1otYuTlnrzE0Tn-Y0YRsW5pkRVqo/edit?usp=sharing"",""ปราจีนบุรี!J81"")"),0)</f>
        <v>0</v>
      </c>
      <c r="AF63" s="82">
        <f ca="1">IFERROR(__xludf.DUMMYFUNCTION("IMPORTRANGE(""https://docs.google.com/spreadsheets/d/1nYxRXgnCfTXtqUY1otYuTlnrzE0Tn-Y0YRsW5pkRVqo/edit?usp=sharing"",""ปราจีนบุรี!I82"")"),0)</f>
        <v>0</v>
      </c>
      <c r="AG63" s="82">
        <f ca="1">IFERROR(__xludf.DUMMYFUNCTION("IMPORTRANGE(""https://docs.google.com/spreadsheets/d/1nYxRXgnCfTXtqUY1otYuTlnrzE0Tn-Y0YRsW5pkRVqo/edit?usp=sharing"",""ปราจีนบุรี!I83"")"),0)</f>
        <v>0</v>
      </c>
      <c r="AH63" s="86">
        <f ca="1">IFERROR(__xludf.DUMMYFUNCTION("IMPORTRANGE(""https://docs.google.com/spreadsheets/d/1nYxRXgnCfTXtqUY1otYuTlnrzE0Tn-Y0YRsW5pkRVqo/edit?usp=sharing"",""ปราจีนบุรี!J82"")"),0)</f>
        <v>0</v>
      </c>
      <c r="AI63" s="86">
        <f ca="1">IFERROR(__xludf.DUMMYFUNCTION("IMPORTRANGE(""https://docs.google.com/spreadsheets/d/1nYxRXgnCfTXtqUY1otYuTlnrzE0Tn-Y0YRsW5pkRVqo/edit?usp=sharing"",""ปราจีนบุรี!J83"")"),0)</f>
        <v>0</v>
      </c>
      <c r="AJ63" s="82">
        <f ca="1">IFERROR(__xludf.DUMMYFUNCTION("IMPORTRANGE(""https://docs.google.com/spreadsheets/d/1nYxRXgnCfTXtqUY1otYuTlnrzE0Tn-Y0YRsW5pkRVqo/edit?usp=sharing"",""ปราจีนบุรี!I84"")"),0)</f>
        <v>0</v>
      </c>
      <c r="AK63" s="86">
        <f ca="1">IFERROR(__xludf.DUMMYFUNCTION("IMPORTRANGE(""https://docs.google.com/spreadsheets/d/1nYxRXgnCfTXtqUY1otYuTlnrzE0Tn-Y0YRsW5pkRVqo/edit?usp=sharing"",""ปราจีนบุรี!J84"")"),0)</f>
        <v>0</v>
      </c>
      <c r="AL63" s="84">
        <f t="shared" ca="1" si="27"/>
        <v>0</v>
      </c>
    </row>
    <row r="64" spans="1:38" ht="21" customHeight="1" x14ac:dyDescent="0.2">
      <c r="A64" s="78">
        <v>12</v>
      </c>
      <c r="B64" s="79" t="s">
        <v>86</v>
      </c>
      <c r="C64" s="80">
        <f t="shared" ca="1" si="0"/>
        <v>609800</v>
      </c>
      <c r="D64" s="81">
        <f t="shared" ca="1" si="42"/>
        <v>609800</v>
      </c>
      <c r="E64" s="82">
        <f ca="1">IFERROR(__xludf.DUMMYFUNCTION("IMPORTRANGE(""https://docs.google.com/spreadsheets/d/1MeEWN-I1oV_STSDYn1IFDPWt_1FKiwhDph83XaGc0o0/edit?usp=sharing"",""งบพรบ!AH64"")"),158600)</f>
        <v>158600</v>
      </c>
      <c r="F64" s="82">
        <f ca="1">IFERROR(__xludf.DUMMYFUNCTION("IMPORTRANGE(""https://docs.google.com/spreadsheets/d/1MeEWN-I1oV_STSDYn1IFDPWt_1FKiwhDph83XaGc0o0/edit?usp=sharing"",""งบพรบ!AI64"")"),451200)</f>
        <v>451200</v>
      </c>
      <c r="G64" s="82">
        <f ca="1">IFERROR(__xludf.DUMMYFUNCTION("IMPORTRANGE(""https://docs.google.com/spreadsheets/d/1MeEWN-I1oV_STSDYn1IFDPWt_1FKiwhDph83XaGc0o0/edit?usp=sharing"",""งบพรบ!AJ64"")"),0)</f>
        <v>0</v>
      </c>
      <c r="H64" s="82">
        <f ca="1">IFERROR(__xludf.DUMMYFUNCTION("IMPORTRANGE(""https://docs.google.com/spreadsheets/d/1MeEWN-I1oV_STSDYn1IFDPWt_1FKiwhDph83XaGc0o0/edit?usp=sharing"",""งบพรบ!AL64"")"),336950)</f>
        <v>336950</v>
      </c>
      <c r="I64" s="82">
        <f ca="1">IFERROR(__xludf.DUMMYFUNCTION("IMPORTRANGE(""https://docs.google.com/spreadsheets/d/1MeEWN-I1oV_STSDYn1IFDPWt_1FKiwhDph83XaGc0o0/edit?usp=sharing"",""งบพรบ!AM64"")"),0)</f>
        <v>0</v>
      </c>
      <c r="J64" s="82">
        <f t="shared" ca="1" si="3"/>
        <v>267910</v>
      </c>
      <c r="K64" s="83">
        <f t="shared" ca="1" si="4"/>
        <v>43.934076746474254</v>
      </c>
      <c r="L64" s="82">
        <f ca="1">IFERROR(__xludf.DUMMYFUNCTION("IMPORTRANGE(""https://docs.google.com/spreadsheets/d/1MeEWN-I1oV_STSDYn1IFDPWt_1FKiwhDph83XaGc0o0/edit?usp=sharing"",""งบพรบ!AN64"")"),267910)</f>
        <v>267910</v>
      </c>
      <c r="M64" s="84">
        <f t="shared" ca="1" si="5"/>
        <v>43.934076746474254</v>
      </c>
      <c r="N64" s="84">
        <f t="shared" ca="1" si="6"/>
        <v>79.510313102834246</v>
      </c>
      <c r="O64" s="85">
        <f ca="1">IFERROR(__xludf.DUMMYFUNCTION("IMPORTRANGE(""https://docs.google.com/spreadsheets/d/1MeEWN-I1oV_STSDYn1IFDPWt_1FKiwhDph83XaGc0o0/edit?usp=sharing"",""งบพรบ!AO64"")"),0)</f>
        <v>0</v>
      </c>
      <c r="P64" s="85">
        <f t="shared" ca="1" si="29"/>
        <v>0</v>
      </c>
      <c r="Q64" s="84">
        <f t="shared" ca="1" si="8"/>
        <v>0</v>
      </c>
      <c r="R64" s="86">
        <f t="shared" ca="1" si="30"/>
        <v>1</v>
      </c>
      <c r="S64" s="86">
        <f t="shared" ca="1" si="24"/>
        <v>42</v>
      </c>
      <c r="T64" s="86">
        <f t="shared" ca="1" si="43"/>
        <v>1</v>
      </c>
      <c r="U64" s="87">
        <f t="shared" ca="1" si="25"/>
        <v>100</v>
      </c>
      <c r="V64" s="86">
        <f t="shared" ca="1" si="44"/>
        <v>42</v>
      </c>
      <c r="W64" s="87">
        <f t="shared" ca="1" si="26"/>
        <v>100</v>
      </c>
      <c r="X64" s="82">
        <f ca="1">IFERROR(__xludf.DUMMYFUNCTION("IMPORTRANGE(""https://docs.google.com/spreadsheets/d/1nNHCLO8ZAXOMfQvxux7cf_hrzPAh8FAvaHq_ClKbZNo/edit?usp=sharing"",""พระนครศรีอยุธยา!I78"")"),1)</f>
        <v>1</v>
      </c>
      <c r="Y64" s="82">
        <f ca="1">IFERROR(__xludf.DUMMYFUNCTION("IMPORTRANGE(""https://docs.google.com/spreadsheets/d/1nNHCLO8ZAXOMfQvxux7cf_hrzPAh8FAvaHq_ClKbZNo/edit?usp=sharing"",""พระนครศรีอยุธยา!I79"")"),42)</f>
        <v>42</v>
      </c>
      <c r="Z64" s="86">
        <f ca="1">IFERROR(__xludf.DUMMYFUNCTION("IMPORTRANGE(""https://docs.google.com/spreadsheets/d/1nNHCLO8ZAXOMfQvxux7cf_hrzPAh8FAvaHq_ClKbZNo/edit?usp=sharing"",""พระนครศรีอยุธยา!J78"")"),1)</f>
        <v>1</v>
      </c>
      <c r="AA64" s="86">
        <f ca="1">IFERROR(__xludf.DUMMYFUNCTION("IMPORTRANGE(""https://docs.google.com/spreadsheets/d/1nNHCLO8ZAXOMfQvxux7cf_hrzPAh8FAvaHq_ClKbZNo/edit?usp=sharing"",""พระนครศรีอยุธยา!J79"")"),42)</f>
        <v>42</v>
      </c>
      <c r="AB64" s="82">
        <f ca="1">IFERROR(__xludf.DUMMYFUNCTION("IMPORTRANGE(""https://docs.google.com/spreadsheets/d/1nNHCLO8ZAXOMfQvxux7cf_hrzPAh8FAvaHq_ClKbZNo/edit?usp=sharing"",""พระนครศรีอยุธยา!I80"")"),0)</f>
        <v>0</v>
      </c>
      <c r="AC64" s="82">
        <f ca="1">IFERROR(__xludf.DUMMYFUNCTION("IMPORTRANGE(""https://docs.google.com/spreadsheets/d/1nNHCLO8ZAXOMfQvxux7cf_hrzPAh8FAvaHq_ClKbZNo/edit?usp=sharing"",""พระนครศรีอยุธยา!I81"")"),0)</f>
        <v>0</v>
      </c>
      <c r="AD64" s="86">
        <f ca="1">IFERROR(__xludf.DUMMYFUNCTION("IMPORTRANGE(""https://docs.google.com/spreadsheets/d/1nNHCLO8ZAXOMfQvxux7cf_hrzPAh8FAvaHq_ClKbZNo/edit?usp=sharing"",""พระนครศรีอยุธยา!J80"")"),0)</f>
        <v>0</v>
      </c>
      <c r="AE64" s="86">
        <f ca="1">IFERROR(__xludf.DUMMYFUNCTION("IMPORTRANGE(""https://docs.google.com/spreadsheets/d/1nNHCLO8ZAXOMfQvxux7cf_hrzPAh8FAvaHq_ClKbZNo/edit?usp=sharing"",""พระนครศรีอยุธยา!J81"")"),0)</f>
        <v>0</v>
      </c>
      <c r="AF64" s="82">
        <f ca="1">IFERROR(__xludf.DUMMYFUNCTION("IMPORTRANGE(""https://docs.google.com/spreadsheets/d/1nNHCLO8ZAXOMfQvxux7cf_hrzPAh8FAvaHq_ClKbZNo/edit?usp=sharing"",""พระนครศรีอยุธยา!I82"")"),0)</f>
        <v>0</v>
      </c>
      <c r="AG64" s="82">
        <f ca="1">IFERROR(__xludf.DUMMYFUNCTION("IMPORTRANGE(""https://docs.google.com/spreadsheets/d/1nNHCLO8ZAXOMfQvxux7cf_hrzPAh8FAvaHq_ClKbZNo/edit?usp=sharing"",""พระนครศรีอยุธยา!I83"")"),0)</f>
        <v>0</v>
      </c>
      <c r="AH64" s="86">
        <f ca="1">IFERROR(__xludf.DUMMYFUNCTION("IMPORTRANGE(""https://docs.google.com/spreadsheets/d/1nNHCLO8ZAXOMfQvxux7cf_hrzPAh8FAvaHq_ClKbZNo/edit?usp=sharing"",""พระนครศรีอยุธยา!J82"")"),0)</f>
        <v>0</v>
      </c>
      <c r="AI64" s="86">
        <f ca="1">IFERROR(__xludf.DUMMYFUNCTION("IMPORTRANGE(""https://docs.google.com/spreadsheets/d/1nNHCLO8ZAXOMfQvxux7cf_hrzPAh8FAvaHq_ClKbZNo/edit?usp=sharing"",""พระนครศรีอยุธยา!J83"")"),0)</f>
        <v>0</v>
      </c>
      <c r="AJ64" s="82">
        <f ca="1">IFERROR(__xludf.DUMMYFUNCTION("IMPORTRANGE(""https://docs.google.com/spreadsheets/d/1nNHCLO8ZAXOMfQvxux7cf_hrzPAh8FAvaHq_ClKbZNo/edit?usp=sharing"",""พระนครศรีอยุธยา!I84"")"),1)</f>
        <v>1</v>
      </c>
      <c r="AK64" s="86">
        <f ca="1">IFERROR(__xludf.DUMMYFUNCTION("IMPORTRANGE(""https://docs.google.com/spreadsheets/d/1nNHCLO8ZAXOMfQvxux7cf_hrzPAh8FAvaHq_ClKbZNo/edit?usp=sharing"",""พระนครศรีอยุธยา!J84"")"),0)</f>
        <v>0</v>
      </c>
      <c r="AL64" s="84">
        <f t="shared" ca="1" si="27"/>
        <v>0</v>
      </c>
    </row>
    <row r="65" spans="1:38" ht="21" customHeight="1" x14ac:dyDescent="0.2">
      <c r="A65" s="78">
        <v>13</v>
      </c>
      <c r="B65" s="79" t="s">
        <v>87</v>
      </c>
      <c r="C65" s="80">
        <f t="shared" ca="1" si="0"/>
        <v>0</v>
      </c>
      <c r="D65" s="81">
        <f t="shared" ca="1" si="42"/>
        <v>0</v>
      </c>
      <c r="E65" s="82">
        <f ca="1">IFERROR(__xludf.DUMMYFUNCTION("IMPORTRANGE(""https://docs.google.com/spreadsheets/d/1MeEWN-I1oV_STSDYn1IFDPWt_1FKiwhDph83XaGc0o0/edit?usp=sharing"",""งบพรบ!AH65"")"),0)</f>
        <v>0</v>
      </c>
      <c r="F65" s="82">
        <f ca="1">IFERROR(__xludf.DUMMYFUNCTION("IMPORTRANGE(""https://docs.google.com/spreadsheets/d/1MeEWN-I1oV_STSDYn1IFDPWt_1FKiwhDph83XaGc0o0/edit?usp=sharing"",""งบพรบ!AI65"")"),0)</f>
        <v>0</v>
      </c>
      <c r="G65" s="82">
        <f ca="1">IFERROR(__xludf.DUMMYFUNCTION("IMPORTRANGE(""https://docs.google.com/spreadsheets/d/1MeEWN-I1oV_STSDYn1IFDPWt_1FKiwhDph83XaGc0o0/edit?usp=sharing"",""งบพรบ!AJ65"")"),0)</f>
        <v>0</v>
      </c>
      <c r="H65" s="82">
        <f ca="1">IFERROR(__xludf.DUMMYFUNCTION("IMPORTRANGE(""https://docs.google.com/spreadsheets/d/1MeEWN-I1oV_STSDYn1IFDPWt_1FKiwhDph83XaGc0o0/edit?usp=sharing"",""งบพรบ!AL65"")"),0)</f>
        <v>0</v>
      </c>
      <c r="I65" s="82">
        <f ca="1">IFERROR(__xludf.DUMMYFUNCTION("IMPORTRANGE(""https://docs.google.com/spreadsheets/d/1MeEWN-I1oV_STSDYn1IFDPWt_1FKiwhDph83XaGc0o0/edit?usp=sharing"",""งบพรบ!AM65"")"),0)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IFERROR(__xludf.DUMMYFUNCTION("IMPORTRANGE(""https://docs.google.com/spreadsheets/d/1MeEWN-I1oV_STSDYn1IFDPWt_1FKiwhDph83XaGc0o0/edit?usp=sharing"",""งบพรบ!AN65"")"),0)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IFERROR(__xludf.DUMMYFUNCTION("IMPORTRANGE(""https://docs.google.com/spreadsheets/d/1MeEWN-I1oV_STSDYn1IFDPWt_1FKiwhDph83XaGc0o0/edit?usp=sharing"",""งบพรบ!AO65"")"),0)</f>
        <v>0</v>
      </c>
      <c r="P65" s="85">
        <f t="shared" ca="1" si="29"/>
        <v>0</v>
      </c>
      <c r="Q65" s="84">
        <f t="shared" ca="1" si="8"/>
        <v>0</v>
      </c>
      <c r="R65" s="86">
        <f t="shared" ca="1" si="30"/>
        <v>0</v>
      </c>
      <c r="S65" s="86">
        <f t="shared" ca="1" si="24"/>
        <v>0</v>
      </c>
      <c r="T65" s="86">
        <f t="shared" ca="1" si="43"/>
        <v>0</v>
      </c>
      <c r="U65" s="87">
        <f t="shared" ca="1" si="25"/>
        <v>0</v>
      </c>
      <c r="V65" s="86">
        <f t="shared" ca="1" si="44"/>
        <v>0</v>
      </c>
      <c r="W65" s="87">
        <f t="shared" ca="1" si="26"/>
        <v>0</v>
      </c>
      <c r="X65" s="82">
        <f ca="1">IFERROR(__xludf.DUMMYFUNCTION("IMPORTRANGE(""https://docs.google.com/spreadsheets/d/1CdNicvf3i6yt4tJlCePe3V1Va76wYqW0QzMzTsaGRrA/edit?usp=sharing"",""เพชรบุรี!I78"")"),0)</f>
        <v>0</v>
      </c>
      <c r="Y65" s="82">
        <f ca="1">IFERROR(__xludf.DUMMYFUNCTION("IMPORTRANGE(""https://docs.google.com/spreadsheets/d/1CdNicvf3i6yt4tJlCePe3V1Va76wYqW0QzMzTsaGRrA/edit?usp=sharing"",""เพชรบุรี!I79"")"),0)</f>
        <v>0</v>
      </c>
      <c r="Z65" s="86">
        <f ca="1">IFERROR(__xludf.DUMMYFUNCTION("IMPORTRANGE(""https://docs.google.com/spreadsheets/d/1CdNicvf3i6yt4tJlCePe3V1Va76wYqW0QzMzTsaGRrA/edit?usp=sharing"",""เพชรบุรี!J78"")"),0)</f>
        <v>0</v>
      </c>
      <c r="AA65" s="86">
        <f ca="1">IFERROR(__xludf.DUMMYFUNCTION("IMPORTRANGE(""https://docs.google.com/spreadsheets/d/1CdNicvf3i6yt4tJlCePe3V1Va76wYqW0QzMzTsaGRrA/edit?usp=sharing"",""เพชรบุรี!J79"")"),0)</f>
        <v>0</v>
      </c>
      <c r="AB65" s="82">
        <f ca="1">IFERROR(__xludf.DUMMYFUNCTION("IMPORTRANGE(""https://docs.google.com/spreadsheets/d/1CdNicvf3i6yt4tJlCePe3V1Va76wYqW0QzMzTsaGRrA/edit?usp=sharing"",""เพชรบุรี!I80"")"),0)</f>
        <v>0</v>
      </c>
      <c r="AC65" s="82">
        <f ca="1">IFERROR(__xludf.DUMMYFUNCTION("IMPORTRANGE(""https://docs.google.com/spreadsheets/d/1CdNicvf3i6yt4tJlCePe3V1Va76wYqW0QzMzTsaGRrA/edit?usp=sharing"",""เพชรบุรี!I81"")"),0)</f>
        <v>0</v>
      </c>
      <c r="AD65" s="86">
        <f ca="1">IFERROR(__xludf.DUMMYFUNCTION("IMPORTRANGE(""https://docs.google.com/spreadsheets/d/1CdNicvf3i6yt4tJlCePe3V1Va76wYqW0QzMzTsaGRrA/edit?usp=sharing"",""เพชรบุรี!J80"")"),0)</f>
        <v>0</v>
      </c>
      <c r="AE65" s="86">
        <f ca="1">IFERROR(__xludf.DUMMYFUNCTION("IMPORTRANGE(""https://docs.google.com/spreadsheets/d/1CdNicvf3i6yt4tJlCePe3V1Va76wYqW0QzMzTsaGRrA/edit?usp=sharing"",""เพชรบุรี!J81"")"),0)</f>
        <v>0</v>
      </c>
      <c r="AF65" s="82">
        <f ca="1">IFERROR(__xludf.DUMMYFUNCTION("IMPORTRANGE(""https://docs.google.com/spreadsheets/d/1CdNicvf3i6yt4tJlCePe3V1Va76wYqW0QzMzTsaGRrA/edit?usp=sharing"",""เพชรบุรี!I82"")"),0)</f>
        <v>0</v>
      </c>
      <c r="AG65" s="82">
        <f ca="1">IFERROR(__xludf.DUMMYFUNCTION("IMPORTRANGE(""https://docs.google.com/spreadsheets/d/1CdNicvf3i6yt4tJlCePe3V1Va76wYqW0QzMzTsaGRrA/edit?usp=sharing"",""เพชรบุรี!I83"")"),0)</f>
        <v>0</v>
      </c>
      <c r="AH65" s="86">
        <f ca="1">IFERROR(__xludf.DUMMYFUNCTION("IMPORTRANGE(""https://docs.google.com/spreadsheets/d/1CdNicvf3i6yt4tJlCePe3V1Va76wYqW0QzMzTsaGRrA/edit?usp=sharing"",""เพชรบุรี!J82"")"),0)</f>
        <v>0</v>
      </c>
      <c r="AI65" s="86">
        <f ca="1">IFERROR(__xludf.DUMMYFUNCTION("IMPORTRANGE(""https://docs.google.com/spreadsheets/d/1CdNicvf3i6yt4tJlCePe3V1Va76wYqW0QzMzTsaGRrA/edit?usp=sharing"",""เพชรบุรี!J83"")"),0)</f>
        <v>0</v>
      </c>
      <c r="AJ65" s="82">
        <f ca="1">IFERROR(__xludf.DUMMYFUNCTION("IMPORTRANGE(""https://docs.google.com/spreadsheets/d/1CdNicvf3i6yt4tJlCePe3V1Va76wYqW0QzMzTsaGRrA/edit?usp=sharing"",""เพชรบุรี!I84"")"),0)</f>
        <v>0</v>
      </c>
      <c r="AK65" s="86">
        <f ca="1">IFERROR(__xludf.DUMMYFUNCTION("IMPORTRANGE(""https://docs.google.com/spreadsheets/d/1CdNicvf3i6yt4tJlCePe3V1Va76wYqW0QzMzTsaGRrA/edit?usp=sharing"",""เพชรบุรี!J84"")"),0)</f>
        <v>0</v>
      </c>
      <c r="AL65" s="84">
        <f t="shared" ca="1" si="27"/>
        <v>0</v>
      </c>
    </row>
    <row r="66" spans="1:38" ht="21" customHeight="1" x14ac:dyDescent="0.2">
      <c r="A66" s="78">
        <v>14</v>
      </c>
      <c r="B66" s="79" t="s">
        <v>88</v>
      </c>
      <c r="C66" s="80">
        <f t="shared" ca="1" si="0"/>
        <v>0</v>
      </c>
      <c r="D66" s="81">
        <f t="shared" ca="1" si="42"/>
        <v>0</v>
      </c>
      <c r="E66" s="82">
        <f ca="1">IFERROR(__xludf.DUMMYFUNCTION("IMPORTRANGE(""https://docs.google.com/spreadsheets/d/1MeEWN-I1oV_STSDYn1IFDPWt_1FKiwhDph83XaGc0o0/edit?usp=sharing"",""งบพรบ!AH66"")"),0)</f>
        <v>0</v>
      </c>
      <c r="F66" s="82">
        <f ca="1">IFERROR(__xludf.DUMMYFUNCTION("IMPORTRANGE(""https://docs.google.com/spreadsheets/d/1MeEWN-I1oV_STSDYn1IFDPWt_1FKiwhDph83XaGc0o0/edit?usp=sharing"",""งบพรบ!AI66"")"),0)</f>
        <v>0</v>
      </c>
      <c r="G66" s="82">
        <f ca="1">IFERROR(__xludf.DUMMYFUNCTION("IMPORTRANGE(""https://docs.google.com/spreadsheets/d/1MeEWN-I1oV_STSDYn1IFDPWt_1FKiwhDph83XaGc0o0/edit?usp=sharing"",""งบพรบ!AJ66"")"),0)</f>
        <v>0</v>
      </c>
      <c r="H66" s="82">
        <f ca="1">IFERROR(__xludf.DUMMYFUNCTION("IMPORTRANGE(""https://docs.google.com/spreadsheets/d/1MeEWN-I1oV_STSDYn1IFDPWt_1FKiwhDph83XaGc0o0/edit?usp=sharing"",""งบพรบ!AL66"")"),0)</f>
        <v>0</v>
      </c>
      <c r="I66" s="82">
        <f ca="1">IFERROR(__xludf.DUMMYFUNCTION("IMPORTRANGE(""https://docs.google.com/spreadsheets/d/1MeEWN-I1oV_STSDYn1IFDPWt_1FKiwhDph83XaGc0o0/edit?usp=sharing"",""งบพรบ!AM66"")"),0)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IFERROR(__xludf.DUMMYFUNCTION("IMPORTRANGE(""https://docs.google.com/spreadsheets/d/1MeEWN-I1oV_STSDYn1IFDPWt_1FKiwhDph83XaGc0o0/edit?usp=sharing"",""งบพรบ!AN66"")"),0)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IFERROR(__xludf.DUMMYFUNCTION("IMPORTRANGE(""https://docs.google.com/spreadsheets/d/1MeEWN-I1oV_STSDYn1IFDPWt_1FKiwhDph83XaGc0o0/edit?usp=sharing"",""งบพรบ!AO66"")"),0)</f>
        <v>0</v>
      </c>
      <c r="P66" s="85">
        <f t="shared" ca="1" si="29"/>
        <v>0</v>
      </c>
      <c r="Q66" s="84">
        <f t="shared" ca="1" si="8"/>
        <v>0</v>
      </c>
      <c r="R66" s="86">
        <f t="shared" ca="1" si="30"/>
        <v>0</v>
      </c>
      <c r="S66" s="86">
        <f t="shared" ca="1" si="24"/>
        <v>0</v>
      </c>
      <c r="T66" s="86">
        <f t="shared" ca="1" si="43"/>
        <v>0</v>
      </c>
      <c r="U66" s="87">
        <f t="shared" ca="1" si="25"/>
        <v>0</v>
      </c>
      <c r="V66" s="86">
        <f t="shared" ca="1" si="44"/>
        <v>0</v>
      </c>
      <c r="W66" s="87">
        <f t="shared" ca="1" si="26"/>
        <v>0</v>
      </c>
      <c r="X66" s="82">
        <f ca="1">IFERROR(__xludf.DUMMYFUNCTION("IMPORTRANGE(""https://docs.google.com/spreadsheets/d/1XiF77UIVHV0Kjc6xbXuOuJ10WgJYxd4p_22ngKVV5oM/edit?usp=sharing"",""ระยอง!I78"")"),0)</f>
        <v>0</v>
      </c>
      <c r="Y66" s="82">
        <f ca="1">IFERROR(__xludf.DUMMYFUNCTION("IMPORTRANGE(""https://docs.google.com/spreadsheets/d/1XiF77UIVHV0Kjc6xbXuOuJ10WgJYxd4p_22ngKVV5oM/edit?usp=sharing"",""ระยอง!I79"")"),0)</f>
        <v>0</v>
      </c>
      <c r="Z66" s="86">
        <f ca="1">IFERROR(__xludf.DUMMYFUNCTION("IMPORTRANGE(""https://docs.google.com/spreadsheets/d/1XiF77UIVHV0Kjc6xbXuOuJ10WgJYxd4p_22ngKVV5oM/edit?usp=sharing"",""ระยอง!J78"")"),0)</f>
        <v>0</v>
      </c>
      <c r="AA66" s="86">
        <f ca="1">IFERROR(__xludf.DUMMYFUNCTION("IMPORTRANGE(""https://docs.google.com/spreadsheets/d/1XiF77UIVHV0Kjc6xbXuOuJ10WgJYxd4p_22ngKVV5oM/edit?usp=sharing"",""ระยอง!J79"")"),0)</f>
        <v>0</v>
      </c>
      <c r="AB66" s="82">
        <f ca="1">IFERROR(__xludf.DUMMYFUNCTION("IMPORTRANGE(""https://docs.google.com/spreadsheets/d/1XiF77UIVHV0Kjc6xbXuOuJ10WgJYxd4p_22ngKVV5oM/edit?usp=sharing"",""ระยอง!I80"")"),0)</f>
        <v>0</v>
      </c>
      <c r="AC66" s="82">
        <f ca="1">IFERROR(__xludf.DUMMYFUNCTION("IMPORTRANGE(""https://docs.google.com/spreadsheets/d/1XiF77UIVHV0Kjc6xbXuOuJ10WgJYxd4p_22ngKVV5oM/edit?usp=sharing"",""ระยอง!I81"")"),0)</f>
        <v>0</v>
      </c>
      <c r="AD66" s="86">
        <f ca="1">IFERROR(__xludf.DUMMYFUNCTION("IMPORTRANGE(""https://docs.google.com/spreadsheets/d/1XiF77UIVHV0Kjc6xbXuOuJ10WgJYxd4p_22ngKVV5oM/edit?usp=sharing"",""ระยอง!J80"")"),0)</f>
        <v>0</v>
      </c>
      <c r="AE66" s="86">
        <f ca="1">IFERROR(__xludf.DUMMYFUNCTION("IMPORTRANGE(""https://docs.google.com/spreadsheets/d/1XiF77UIVHV0Kjc6xbXuOuJ10WgJYxd4p_22ngKVV5oM/edit?usp=sharing"",""ระยอง!J81"")"),0)</f>
        <v>0</v>
      </c>
      <c r="AF66" s="82">
        <f ca="1">IFERROR(__xludf.DUMMYFUNCTION("IMPORTRANGE(""https://docs.google.com/spreadsheets/d/1XiF77UIVHV0Kjc6xbXuOuJ10WgJYxd4p_22ngKVV5oM/edit?usp=sharing"",""ระยอง!I82"")"),0)</f>
        <v>0</v>
      </c>
      <c r="AG66" s="82">
        <f ca="1">IFERROR(__xludf.DUMMYFUNCTION("IMPORTRANGE(""https://docs.google.com/spreadsheets/d/1XiF77UIVHV0Kjc6xbXuOuJ10WgJYxd4p_22ngKVV5oM/edit?usp=sharing"",""ระยอง!I83"")"),0)</f>
        <v>0</v>
      </c>
      <c r="AH66" s="86">
        <f ca="1">IFERROR(__xludf.DUMMYFUNCTION("IMPORTRANGE(""https://docs.google.com/spreadsheets/d/1XiF77UIVHV0Kjc6xbXuOuJ10WgJYxd4p_22ngKVV5oM/edit?usp=sharing"",""ระยอง!J82"")"),0)</f>
        <v>0</v>
      </c>
      <c r="AI66" s="86">
        <f ca="1">IFERROR(__xludf.DUMMYFUNCTION("IMPORTRANGE(""https://docs.google.com/spreadsheets/d/1XiF77UIVHV0Kjc6xbXuOuJ10WgJYxd4p_22ngKVV5oM/edit?usp=sharing"",""ระยอง!J83"")"),0)</f>
        <v>0</v>
      </c>
      <c r="AJ66" s="82">
        <f ca="1">IFERROR(__xludf.DUMMYFUNCTION("IMPORTRANGE(""https://docs.google.com/spreadsheets/d/1XiF77UIVHV0Kjc6xbXuOuJ10WgJYxd4p_22ngKVV5oM/edit?usp=sharing"",""ระยอง!I84"")"),0)</f>
        <v>0</v>
      </c>
      <c r="AK66" s="86">
        <f ca="1">IFERROR(__xludf.DUMMYFUNCTION("IMPORTRANGE(""https://docs.google.com/spreadsheets/d/1XiF77UIVHV0Kjc6xbXuOuJ10WgJYxd4p_22ngKVV5oM/edit?usp=sharing"",""ระยอง!J84"")"),0)</f>
        <v>0</v>
      </c>
      <c r="AL66" s="84">
        <f t="shared" ca="1" si="27"/>
        <v>0</v>
      </c>
    </row>
    <row r="67" spans="1:38" ht="21" customHeight="1" x14ac:dyDescent="0.2">
      <c r="A67" s="78">
        <v>15</v>
      </c>
      <c r="B67" s="79" t="s">
        <v>89</v>
      </c>
      <c r="C67" s="80">
        <f t="shared" ca="1" si="0"/>
        <v>0</v>
      </c>
      <c r="D67" s="81">
        <f t="shared" ca="1" si="42"/>
        <v>0</v>
      </c>
      <c r="E67" s="82">
        <f ca="1">IFERROR(__xludf.DUMMYFUNCTION("IMPORTRANGE(""https://docs.google.com/spreadsheets/d/1MeEWN-I1oV_STSDYn1IFDPWt_1FKiwhDph83XaGc0o0/edit?usp=sharing"",""งบพรบ!AH67"")"),0)</f>
        <v>0</v>
      </c>
      <c r="F67" s="82">
        <f ca="1">IFERROR(__xludf.DUMMYFUNCTION("IMPORTRANGE(""https://docs.google.com/spreadsheets/d/1MeEWN-I1oV_STSDYn1IFDPWt_1FKiwhDph83XaGc0o0/edit?usp=sharing"",""งบพรบ!AI67"")"),0)</f>
        <v>0</v>
      </c>
      <c r="G67" s="82">
        <f ca="1">IFERROR(__xludf.DUMMYFUNCTION("IMPORTRANGE(""https://docs.google.com/spreadsheets/d/1MeEWN-I1oV_STSDYn1IFDPWt_1FKiwhDph83XaGc0o0/edit?usp=sharing"",""งบพรบ!AJ67"")"),0)</f>
        <v>0</v>
      </c>
      <c r="H67" s="82">
        <f ca="1">IFERROR(__xludf.DUMMYFUNCTION("IMPORTRANGE(""https://docs.google.com/spreadsheets/d/1MeEWN-I1oV_STSDYn1IFDPWt_1FKiwhDph83XaGc0o0/edit?usp=sharing"",""งบพรบ!AL67"")"),0)</f>
        <v>0</v>
      </c>
      <c r="I67" s="82">
        <f ca="1">IFERROR(__xludf.DUMMYFUNCTION("IMPORTRANGE(""https://docs.google.com/spreadsheets/d/1MeEWN-I1oV_STSDYn1IFDPWt_1FKiwhDph83XaGc0o0/edit?usp=sharing"",""งบพรบ!AM67"")"),0)</f>
        <v>0</v>
      </c>
      <c r="J67" s="82">
        <f t="shared" ca="1" si="3"/>
        <v>0</v>
      </c>
      <c r="K67" s="83">
        <f t="shared" ca="1" si="4"/>
        <v>0</v>
      </c>
      <c r="L67" s="82">
        <f ca="1">IFERROR(__xludf.DUMMYFUNCTION("IMPORTRANGE(""https://docs.google.com/spreadsheets/d/1MeEWN-I1oV_STSDYn1IFDPWt_1FKiwhDph83XaGc0o0/edit?usp=sharing"",""งบพรบ!AN67"")"),0)</f>
        <v>0</v>
      </c>
      <c r="M67" s="84">
        <f t="shared" ca="1" si="5"/>
        <v>0</v>
      </c>
      <c r="N67" s="84">
        <f t="shared" ca="1" si="6"/>
        <v>0</v>
      </c>
      <c r="O67" s="85">
        <f ca="1">IFERROR(__xludf.DUMMYFUNCTION("IMPORTRANGE(""https://docs.google.com/spreadsheets/d/1MeEWN-I1oV_STSDYn1IFDPWt_1FKiwhDph83XaGc0o0/edit?usp=sharing"",""งบพรบ!AO67"")"),0)</f>
        <v>0</v>
      </c>
      <c r="P67" s="85">
        <f t="shared" ca="1" si="29"/>
        <v>0</v>
      </c>
      <c r="Q67" s="84">
        <f t="shared" ca="1" si="8"/>
        <v>0</v>
      </c>
      <c r="R67" s="86">
        <f t="shared" ca="1" si="30"/>
        <v>0</v>
      </c>
      <c r="S67" s="86">
        <f t="shared" ca="1" si="24"/>
        <v>0</v>
      </c>
      <c r="T67" s="86">
        <f t="shared" ca="1" si="43"/>
        <v>0</v>
      </c>
      <c r="U67" s="87">
        <f t="shared" ca="1" si="25"/>
        <v>0</v>
      </c>
      <c r="V67" s="86">
        <f t="shared" ca="1" si="44"/>
        <v>0</v>
      </c>
      <c r="W67" s="87">
        <f t="shared" ca="1" si="26"/>
        <v>0</v>
      </c>
      <c r="X67" s="82">
        <f ca="1">IFERROR(__xludf.DUMMYFUNCTION("IMPORTRANGE(""https://docs.google.com/spreadsheets/d/1qU-W_9MCQD1pgIVXGEOjCFo9QqlmJywuebyGgaN92r8/edit?usp=sharing"",""ราชบุรี!I78"")"),0)</f>
        <v>0</v>
      </c>
      <c r="Y67" s="82">
        <f ca="1">IFERROR(__xludf.DUMMYFUNCTION("IMPORTRANGE(""https://docs.google.com/spreadsheets/d/1qU-W_9MCQD1pgIVXGEOjCFo9QqlmJywuebyGgaN92r8/edit?usp=sharing"",""ราชบุรี!I79"")"),0)</f>
        <v>0</v>
      </c>
      <c r="Z67" s="86">
        <f ca="1">IFERROR(__xludf.DUMMYFUNCTION("IMPORTRANGE(""https://docs.google.com/spreadsheets/d/1qU-W_9MCQD1pgIVXGEOjCFo9QqlmJywuebyGgaN92r8/edit?usp=sharing"",""ราชบุรี!J78"")"),0)</f>
        <v>0</v>
      </c>
      <c r="AA67" s="86">
        <f ca="1">IFERROR(__xludf.DUMMYFUNCTION("IMPORTRANGE(""https://docs.google.com/spreadsheets/d/1qU-W_9MCQD1pgIVXGEOjCFo9QqlmJywuebyGgaN92r8/edit?usp=sharing"",""ราชบุรี!J79"")"),0)</f>
        <v>0</v>
      </c>
      <c r="AB67" s="82">
        <f ca="1">IFERROR(__xludf.DUMMYFUNCTION("IMPORTRANGE(""https://docs.google.com/spreadsheets/d/1qU-W_9MCQD1pgIVXGEOjCFo9QqlmJywuebyGgaN92r8/edit?usp=sharing"",""ราชบุรี!I80"")"),0)</f>
        <v>0</v>
      </c>
      <c r="AC67" s="82">
        <f ca="1">IFERROR(__xludf.DUMMYFUNCTION("IMPORTRANGE(""https://docs.google.com/spreadsheets/d/1qU-W_9MCQD1pgIVXGEOjCFo9QqlmJywuebyGgaN92r8/edit?usp=sharing"",""ราชบุรี!I81"")"),0)</f>
        <v>0</v>
      </c>
      <c r="AD67" s="86">
        <f ca="1">IFERROR(__xludf.DUMMYFUNCTION("IMPORTRANGE(""https://docs.google.com/spreadsheets/d/1qU-W_9MCQD1pgIVXGEOjCFo9QqlmJywuebyGgaN92r8/edit?usp=sharing"",""ราชบุรี!J80"")"),0)</f>
        <v>0</v>
      </c>
      <c r="AE67" s="86">
        <f ca="1">IFERROR(__xludf.DUMMYFUNCTION("IMPORTRANGE(""https://docs.google.com/spreadsheets/d/1qU-W_9MCQD1pgIVXGEOjCFo9QqlmJywuebyGgaN92r8/edit?usp=sharing"",""ราชบุรี!J81"")"),0)</f>
        <v>0</v>
      </c>
      <c r="AF67" s="82">
        <f ca="1">IFERROR(__xludf.DUMMYFUNCTION("IMPORTRANGE(""https://docs.google.com/spreadsheets/d/1qU-W_9MCQD1pgIVXGEOjCFo9QqlmJywuebyGgaN92r8/edit?usp=sharing"",""ราชบุรี!I82"")"),0)</f>
        <v>0</v>
      </c>
      <c r="AG67" s="82">
        <f ca="1">IFERROR(__xludf.DUMMYFUNCTION("IMPORTRANGE(""https://docs.google.com/spreadsheets/d/1qU-W_9MCQD1pgIVXGEOjCFo9QqlmJywuebyGgaN92r8/edit?usp=sharing"",""ราชบุรี!I83"")"),0)</f>
        <v>0</v>
      </c>
      <c r="AH67" s="86">
        <f ca="1">IFERROR(__xludf.DUMMYFUNCTION("IMPORTRANGE(""https://docs.google.com/spreadsheets/d/1qU-W_9MCQD1pgIVXGEOjCFo9QqlmJywuebyGgaN92r8/edit?usp=sharing"",""ราชบุรี!J82"")"),0)</f>
        <v>0</v>
      </c>
      <c r="AI67" s="86">
        <f ca="1">IFERROR(__xludf.DUMMYFUNCTION("IMPORTRANGE(""https://docs.google.com/spreadsheets/d/1qU-W_9MCQD1pgIVXGEOjCFo9QqlmJywuebyGgaN92r8/edit?usp=sharing"",""ราชบุรี!J83"")"),0)</f>
        <v>0</v>
      </c>
      <c r="AJ67" s="82">
        <f ca="1">IFERROR(__xludf.DUMMYFUNCTION("IMPORTRANGE(""https://docs.google.com/spreadsheets/d/1qU-W_9MCQD1pgIVXGEOjCFo9QqlmJywuebyGgaN92r8/edit?usp=sharing"",""ราชบุรี!I84"")"),0)</f>
        <v>0</v>
      </c>
      <c r="AK67" s="86">
        <f ca="1">IFERROR(__xludf.DUMMYFUNCTION("IMPORTRANGE(""https://docs.google.com/spreadsheets/d/1qU-W_9MCQD1pgIVXGEOjCFo9QqlmJywuebyGgaN92r8/edit?usp=sharing"",""ราชบุรี!J84"")"),0)</f>
        <v>0</v>
      </c>
      <c r="AL67" s="84">
        <f t="shared" ca="1" si="27"/>
        <v>0</v>
      </c>
    </row>
    <row r="68" spans="1:38" ht="24" customHeight="1" x14ac:dyDescent="0.2">
      <c r="A68" s="78">
        <v>16</v>
      </c>
      <c r="B68" s="79" t="s">
        <v>90</v>
      </c>
      <c r="C68" s="80">
        <f t="shared" ca="1" si="0"/>
        <v>1972000</v>
      </c>
      <c r="D68" s="81">
        <f t="shared" ca="1" si="42"/>
        <v>1972000</v>
      </c>
      <c r="E68" s="82">
        <f ca="1">IFERROR(__xludf.DUMMYFUNCTION("IMPORTRANGE(""https://docs.google.com/spreadsheets/d/1MeEWN-I1oV_STSDYn1IFDPWt_1FKiwhDph83XaGc0o0/edit?usp=sharing"",""งบพรบ!AH68"")"),492000)</f>
        <v>492000</v>
      </c>
      <c r="F68" s="82">
        <f ca="1">IFERROR(__xludf.DUMMYFUNCTION("IMPORTRANGE(""https://docs.google.com/spreadsheets/d/1MeEWN-I1oV_STSDYn1IFDPWt_1FKiwhDph83XaGc0o0/edit?usp=sharing"",""งบพรบ!AI68"")"),1480000)</f>
        <v>1480000</v>
      </c>
      <c r="G68" s="82">
        <f ca="1">IFERROR(__xludf.DUMMYFUNCTION("IMPORTRANGE(""https://docs.google.com/spreadsheets/d/1MeEWN-I1oV_STSDYn1IFDPWt_1FKiwhDph83XaGc0o0/edit?usp=sharing"",""งบพรบ!AJ68"")"),0)</f>
        <v>0</v>
      </c>
      <c r="H68" s="82">
        <f ca="1">IFERROR(__xludf.DUMMYFUNCTION("IMPORTRANGE(""https://docs.google.com/spreadsheets/d/1MeEWN-I1oV_STSDYn1IFDPWt_1FKiwhDph83XaGc0o0/edit?usp=sharing"",""งบพรบ!AL68"")"),1075000)</f>
        <v>1075000</v>
      </c>
      <c r="I68" s="82">
        <f ca="1">IFERROR(__xludf.DUMMYFUNCTION("IMPORTRANGE(""https://docs.google.com/spreadsheets/d/1MeEWN-I1oV_STSDYn1IFDPWt_1FKiwhDph83XaGc0o0/edit?usp=sharing"",""งบพรบ!AM68"")"),0)</f>
        <v>0</v>
      </c>
      <c r="J68" s="82">
        <f t="shared" ca="1" si="3"/>
        <v>542341.84</v>
      </c>
      <c r="K68" s="83">
        <f t="shared" ca="1" si="4"/>
        <v>27.502121703853955</v>
      </c>
      <c r="L68" s="82">
        <f ca="1">IFERROR(__xludf.DUMMYFUNCTION("IMPORTRANGE(""https://docs.google.com/spreadsheets/d/1MeEWN-I1oV_STSDYn1IFDPWt_1FKiwhDph83XaGc0o0/edit?usp=sharing"",""งบพรบ!AN68"")"),542341.84)</f>
        <v>542341.84</v>
      </c>
      <c r="M68" s="84">
        <f t="shared" ca="1" si="5"/>
        <v>27.502121703853955</v>
      </c>
      <c r="N68" s="84">
        <f t="shared" ca="1" si="6"/>
        <v>50.450403720930233</v>
      </c>
      <c r="O68" s="85">
        <f ca="1">IFERROR(__xludf.DUMMYFUNCTION("IMPORTRANGE(""https://docs.google.com/spreadsheets/d/1MeEWN-I1oV_STSDYn1IFDPWt_1FKiwhDph83XaGc0o0/edit?usp=sharing"",""งบพรบ!AO68"")"),0)</f>
        <v>0</v>
      </c>
      <c r="P68" s="85">
        <f t="shared" ca="1" si="29"/>
        <v>0</v>
      </c>
      <c r="Q68" s="84">
        <f t="shared" ca="1" si="8"/>
        <v>0</v>
      </c>
      <c r="R68" s="86">
        <f t="shared" ca="1" si="30"/>
        <v>2</v>
      </c>
      <c r="S68" s="86">
        <f t="shared" ca="1" si="24"/>
        <v>180</v>
      </c>
      <c r="T68" s="86">
        <f t="shared" ca="1" si="43"/>
        <v>1</v>
      </c>
      <c r="U68" s="87">
        <f t="shared" ca="1" si="25"/>
        <v>50</v>
      </c>
      <c r="V68" s="86">
        <f t="shared" ca="1" si="44"/>
        <v>53</v>
      </c>
      <c r="W68" s="87">
        <f t="shared" ca="1" si="26"/>
        <v>29.444444444444443</v>
      </c>
      <c r="X68" s="86">
        <f ca="1">IFERROR(__xludf.DUMMYFUNCTION("IMPORTRANGE(""https://docs.google.com/spreadsheets/d/1xYFIxIM_CspAP5Q-5Zx_V0T_Ut3cjryrjd2hss28vGk/edit?usp=sharing"",""ลพบุรี!I78"")"),0)</f>
        <v>0</v>
      </c>
      <c r="Y68" s="86">
        <f ca="1">IFERROR(__xludf.DUMMYFUNCTION("IMPORTRANGE(""https://docs.google.com/spreadsheets/d/1xYFIxIM_CspAP5Q-5Zx_V0T_Ut3cjryrjd2hss28vGk/edit?usp=sharing"",""ลพบุรี!I79"")"),0)</f>
        <v>0</v>
      </c>
      <c r="Z68" s="86">
        <f ca="1">IFERROR(__xludf.DUMMYFUNCTION("IMPORTRANGE(""https://docs.google.com/spreadsheets/d/1xYFIxIM_CspAP5Q-5Zx_V0T_Ut3cjryrjd2hss28vGk/edit?usp=sharing"",""ลพบุรี!J78"")"),0)</f>
        <v>0</v>
      </c>
      <c r="AA68" s="86">
        <f ca="1">IFERROR(__xludf.DUMMYFUNCTION("IMPORTRANGE(""https://docs.google.com/spreadsheets/d/1xYFIxIM_CspAP5Q-5Zx_V0T_Ut3cjryrjd2hss28vGk/edit?usp=sharing"",""ลพบุรี!J79"")"),0)</f>
        <v>0</v>
      </c>
      <c r="AB68" s="86">
        <f ca="1">IFERROR(__xludf.DUMMYFUNCTION("IMPORTRANGE(""https://docs.google.com/spreadsheets/d/1xYFIxIM_CspAP5Q-5Zx_V0T_Ut3cjryrjd2hss28vGk/edit?usp=sharing"",""ลพบุรี!I80"")"),1)</f>
        <v>1</v>
      </c>
      <c r="AC68" s="86">
        <f ca="1">IFERROR(__xludf.DUMMYFUNCTION("IMPORTRANGE(""https://docs.google.com/spreadsheets/d/1xYFIxIM_CspAP5Q-5Zx_V0T_Ut3cjryrjd2hss28vGk/edit?usp=sharing"",""ลพบุรี!I81"")"),80)</f>
        <v>80</v>
      </c>
      <c r="AD68" s="86">
        <f ca="1">IFERROR(__xludf.DUMMYFUNCTION("IMPORTRANGE(""https://docs.google.com/spreadsheets/d/1xYFIxIM_CspAP5Q-5Zx_V0T_Ut3cjryrjd2hss28vGk/edit?usp=sharing"",""ลพบุรี!J80"")"),0)</f>
        <v>0</v>
      </c>
      <c r="AE68" s="86">
        <f ca="1">IFERROR(__xludf.DUMMYFUNCTION("IMPORTRANGE(""https://docs.google.com/spreadsheets/d/1xYFIxIM_CspAP5Q-5Zx_V0T_Ut3cjryrjd2hss28vGk/edit?usp=sharing"",""ลพบุรี!J81"")"),0)</f>
        <v>0</v>
      </c>
      <c r="AF68" s="82">
        <f ca="1">IFERROR(__xludf.DUMMYFUNCTION("IMPORTRANGE(""https://docs.google.com/spreadsheets/d/1xYFIxIM_CspAP5Q-5Zx_V0T_Ut3cjryrjd2hss28vGk/edit?usp=sharing"",""ลพบุรี!I82"")"),1)</f>
        <v>1</v>
      </c>
      <c r="AG68" s="82">
        <f ca="1">IFERROR(__xludf.DUMMYFUNCTION("IMPORTRANGE(""https://docs.google.com/spreadsheets/d/1xYFIxIM_CspAP5Q-5Zx_V0T_Ut3cjryrjd2hss28vGk/edit?usp=sharing"",""ลพบุรี!I83"")"),100)</f>
        <v>100</v>
      </c>
      <c r="AH68" s="86">
        <f ca="1">IFERROR(__xludf.DUMMYFUNCTION("IMPORTRANGE(""https://docs.google.com/spreadsheets/d/1xYFIxIM_CspAP5Q-5Zx_V0T_Ut3cjryrjd2hss28vGk/edit?usp=sharing"",""ลพบุรี!J82"")"),1)</f>
        <v>1</v>
      </c>
      <c r="AI68" s="86">
        <f ca="1">IFERROR(__xludf.DUMMYFUNCTION("IMPORTRANGE(""https://docs.google.com/spreadsheets/d/1xYFIxIM_CspAP5Q-5Zx_V0T_Ut3cjryrjd2hss28vGk/edit?usp=sharing"",""ลพบุรี!J83"")"),53)</f>
        <v>53</v>
      </c>
      <c r="AJ68" s="86">
        <f ca="1">IFERROR(__xludf.DUMMYFUNCTION("IMPORTRANGE(""https://docs.google.com/spreadsheets/d/1xYFIxIM_CspAP5Q-5Zx_V0T_Ut3cjryrjd2hss28vGk/edit?usp=sharing"",""ลพบุรี!I84"")"),2)</f>
        <v>2</v>
      </c>
      <c r="AK68" s="86">
        <f ca="1">IFERROR(__xludf.DUMMYFUNCTION("IMPORTRANGE(""https://docs.google.com/spreadsheets/d/1xYFIxIM_CspAP5Q-5Zx_V0T_Ut3cjryrjd2hss28vGk/edit?usp=sharing"",""ลพบุรี!J84"")"),0)</f>
        <v>0</v>
      </c>
      <c r="AL68" s="87">
        <f t="shared" ca="1" si="27"/>
        <v>0</v>
      </c>
    </row>
    <row r="69" spans="1:38" ht="21" customHeight="1" x14ac:dyDescent="0.2">
      <c r="A69" s="78">
        <v>17</v>
      </c>
      <c r="B69" s="79" t="s">
        <v>91</v>
      </c>
      <c r="C69" s="80">
        <f t="shared" ca="1" si="0"/>
        <v>914700</v>
      </c>
      <c r="D69" s="81">
        <f t="shared" ca="1" si="42"/>
        <v>914700</v>
      </c>
      <c r="E69" s="82">
        <f ca="1">IFERROR(__xludf.DUMMYFUNCTION("IMPORTRANGE(""https://docs.google.com/spreadsheets/d/1MeEWN-I1oV_STSDYn1IFDPWt_1FKiwhDph83XaGc0o0/edit?usp=sharing"",""งบพรบ!AH69"")"),296700)</f>
        <v>296700</v>
      </c>
      <c r="F69" s="82">
        <f ca="1">IFERROR(__xludf.DUMMYFUNCTION("IMPORTRANGE(""https://docs.google.com/spreadsheets/d/1MeEWN-I1oV_STSDYn1IFDPWt_1FKiwhDph83XaGc0o0/edit?usp=sharing"",""งบพรบ!AI69"")"),618000)</f>
        <v>618000</v>
      </c>
      <c r="G69" s="82">
        <f ca="1">IFERROR(__xludf.DUMMYFUNCTION("IMPORTRANGE(""https://docs.google.com/spreadsheets/d/1MeEWN-I1oV_STSDYn1IFDPWt_1FKiwhDph83XaGc0o0/edit?usp=sharing"",""งบพรบ!AJ69"")"),0)</f>
        <v>0</v>
      </c>
      <c r="H69" s="82">
        <f ca="1">IFERROR(__xludf.DUMMYFUNCTION("IMPORTRANGE(""https://docs.google.com/spreadsheets/d/1MeEWN-I1oV_STSDYn1IFDPWt_1FKiwhDph83XaGc0o0/edit?usp=sharing"",""งบพรบ!AL69"")"),516300)</f>
        <v>516300</v>
      </c>
      <c r="I69" s="82">
        <f ca="1">IFERROR(__xludf.DUMMYFUNCTION("IMPORTRANGE(""https://docs.google.com/spreadsheets/d/1MeEWN-I1oV_STSDYn1IFDPWt_1FKiwhDph83XaGc0o0/edit?usp=sharing"",""งบพรบ!AM69"")"),0)</f>
        <v>0</v>
      </c>
      <c r="J69" s="82">
        <f t="shared" ca="1" si="3"/>
        <v>166731.93</v>
      </c>
      <c r="K69" s="83">
        <f t="shared" ca="1" si="4"/>
        <v>18.228045260741226</v>
      </c>
      <c r="L69" s="82">
        <f ca="1">IFERROR(__xludf.DUMMYFUNCTION("IMPORTRANGE(""https://docs.google.com/spreadsheets/d/1MeEWN-I1oV_STSDYn1IFDPWt_1FKiwhDph83XaGc0o0/edit?usp=sharing"",""งบพรบ!AN69"")"),166731.93)</f>
        <v>166731.93</v>
      </c>
      <c r="M69" s="84">
        <f t="shared" ca="1" si="5"/>
        <v>18.228045260741226</v>
      </c>
      <c r="N69" s="84">
        <f t="shared" ca="1" si="6"/>
        <v>32.293614177803605</v>
      </c>
      <c r="O69" s="85">
        <f ca="1">IFERROR(__xludf.DUMMYFUNCTION("IMPORTRANGE(""https://docs.google.com/spreadsheets/d/1MeEWN-I1oV_STSDYn1IFDPWt_1FKiwhDph83XaGc0o0/edit?usp=sharing"",""งบพรบ!AO69"")"),0)</f>
        <v>0</v>
      </c>
      <c r="P69" s="85">
        <f t="shared" ca="1" si="29"/>
        <v>0</v>
      </c>
      <c r="Q69" s="84">
        <f t="shared" ca="1" si="8"/>
        <v>0</v>
      </c>
      <c r="R69" s="86">
        <f t="shared" ca="1" si="30"/>
        <v>1</v>
      </c>
      <c r="S69" s="86">
        <f t="shared" ca="1" si="24"/>
        <v>70</v>
      </c>
      <c r="T69" s="86">
        <f t="shared" ca="1" si="43"/>
        <v>0</v>
      </c>
      <c r="U69" s="87">
        <f t="shared" ca="1" si="25"/>
        <v>0</v>
      </c>
      <c r="V69" s="86">
        <f t="shared" ca="1" si="44"/>
        <v>0</v>
      </c>
      <c r="W69" s="87">
        <f t="shared" ca="1" si="26"/>
        <v>0</v>
      </c>
      <c r="X69" s="82">
        <f ca="1">IFERROR(__xludf.DUMMYFUNCTION("IMPORTRANGE(""https://docs.google.com/spreadsheets/d/11s9m3tKsCBdPWq6syhZm27eBGbKneDLZc75co106bio/edit?usp=sharing"",""สระแก้ว!I78"")"),0)</f>
        <v>0</v>
      </c>
      <c r="Y69" s="82">
        <f ca="1">IFERROR(__xludf.DUMMYFUNCTION("IMPORTRANGE(""https://docs.google.com/spreadsheets/d/11s9m3tKsCBdPWq6syhZm27eBGbKneDLZc75co106bio/edit?usp=sharing"",""สระแก้ว!I79"")"),0)</f>
        <v>0</v>
      </c>
      <c r="Z69" s="86">
        <f ca="1">IFERROR(__xludf.DUMMYFUNCTION("IMPORTRANGE(""https://docs.google.com/spreadsheets/d/11s9m3tKsCBdPWq6syhZm27eBGbKneDLZc75co106bio/edit?usp=sharing"",""สระแก้ว!J78"")"),0)</f>
        <v>0</v>
      </c>
      <c r="AA69" s="86">
        <f ca="1">IFERROR(__xludf.DUMMYFUNCTION("IMPORTRANGE(""https://docs.google.com/spreadsheets/d/11s9m3tKsCBdPWq6syhZm27eBGbKneDLZc75co106bio/edit?usp=sharing"",""สระแก้ว!J79"")"),0)</f>
        <v>0</v>
      </c>
      <c r="AB69" s="82">
        <f ca="1">IFERROR(__xludf.DUMMYFUNCTION("IMPORTRANGE(""https://docs.google.com/spreadsheets/d/11s9m3tKsCBdPWq6syhZm27eBGbKneDLZc75co106bio/edit?usp=sharing"",""สระแก้ว!I80"")"),1)</f>
        <v>1</v>
      </c>
      <c r="AC69" s="82">
        <f ca="1">IFERROR(__xludf.DUMMYFUNCTION("IMPORTRANGE(""https://docs.google.com/spreadsheets/d/11s9m3tKsCBdPWq6syhZm27eBGbKneDLZc75co106bio/edit?usp=sharing"",""สระแก้ว!I81"")"),70)</f>
        <v>70</v>
      </c>
      <c r="AD69" s="86">
        <f ca="1">IFERROR(__xludf.DUMMYFUNCTION("IMPORTRANGE(""https://docs.google.com/spreadsheets/d/11s9m3tKsCBdPWq6syhZm27eBGbKneDLZc75co106bio/edit?usp=sharing"",""สระแก้ว!J80"")"),0)</f>
        <v>0</v>
      </c>
      <c r="AE69" s="86">
        <f ca="1">IFERROR(__xludf.DUMMYFUNCTION("IMPORTRANGE(""https://docs.google.com/spreadsheets/d/11s9m3tKsCBdPWq6syhZm27eBGbKneDLZc75co106bio/edit?usp=sharing"",""สระแก้ว!J81"")"),0)</f>
        <v>0</v>
      </c>
      <c r="AF69" s="82">
        <f ca="1">IFERROR(__xludf.DUMMYFUNCTION("IMPORTRANGE(""https://docs.google.com/spreadsheets/d/11s9m3tKsCBdPWq6syhZm27eBGbKneDLZc75co106bio/edit?usp=sharing"",""สระแก้ว!I82"")"),0)</f>
        <v>0</v>
      </c>
      <c r="AG69" s="82">
        <f ca="1">IFERROR(__xludf.DUMMYFUNCTION("IMPORTRANGE(""https://docs.google.com/spreadsheets/d/11s9m3tKsCBdPWq6syhZm27eBGbKneDLZc75co106bio/edit?usp=sharing"",""สระแก้ว!I83"")"),0)</f>
        <v>0</v>
      </c>
      <c r="AH69" s="86">
        <f ca="1">IFERROR(__xludf.DUMMYFUNCTION("IMPORTRANGE(""https://docs.google.com/spreadsheets/d/11s9m3tKsCBdPWq6syhZm27eBGbKneDLZc75co106bio/edit?usp=sharing"",""สระแก้ว!J82"")"),0)</f>
        <v>0</v>
      </c>
      <c r="AI69" s="86">
        <f ca="1">IFERROR(__xludf.DUMMYFUNCTION("IMPORTRANGE(""https://docs.google.com/spreadsheets/d/11s9m3tKsCBdPWq6syhZm27eBGbKneDLZc75co106bio/edit?usp=sharing"",""สระแก้ว!J83"")"),0)</f>
        <v>0</v>
      </c>
      <c r="AJ69" s="82">
        <f ca="1">IFERROR(__xludf.DUMMYFUNCTION("IMPORTRANGE(""https://docs.google.com/spreadsheets/d/11s9m3tKsCBdPWq6syhZm27eBGbKneDLZc75co106bio/edit?usp=sharing"",""สระแก้ว!I84"")"),1)</f>
        <v>1</v>
      </c>
      <c r="AK69" s="86">
        <f ca="1">IFERROR(__xludf.DUMMYFUNCTION("IMPORTRANGE(""https://docs.google.com/spreadsheets/d/11s9m3tKsCBdPWq6syhZm27eBGbKneDLZc75co106bio/edit?usp=sharing"",""สระแก้ว!J84"")"),0)</f>
        <v>0</v>
      </c>
      <c r="AL69" s="84">
        <f t="shared" ca="1" si="27"/>
        <v>0</v>
      </c>
    </row>
    <row r="70" spans="1:38" ht="21" customHeight="1" x14ac:dyDescent="0.2">
      <c r="A70" s="78">
        <v>18</v>
      </c>
      <c r="B70" s="79" t="s">
        <v>92</v>
      </c>
      <c r="C70" s="80">
        <f t="shared" ca="1" si="0"/>
        <v>0</v>
      </c>
      <c r="D70" s="81">
        <f t="shared" ca="1" si="42"/>
        <v>0</v>
      </c>
      <c r="E70" s="82">
        <f ca="1">IFERROR(__xludf.DUMMYFUNCTION("IMPORTRANGE(""https://docs.google.com/spreadsheets/d/1MeEWN-I1oV_STSDYn1IFDPWt_1FKiwhDph83XaGc0o0/edit?usp=sharing"",""งบพรบ!AH70"")"),0)</f>
        <v>0</v>
      </c>
      <c r="F70" s="82">
        <f ca="1">IFERROR(__xludf.DUMMYFUNCTION("IMPORTRANGE(""https://docs.google.com/spreadsheets/d/1MeEWN-I1oV_STSDYn1IFDPWt_1FKiwhDph83XaGc0o0/edit?usp=sharing"",""งบพรบ!AI70"")"),0)</f>
        <v>0</v>
      </c>
      <c r="G70" s="82">
        <f ca="1">IFERROR(__xludf.DUMMYFUNCTION("IMPORTRANGE(""https://docs.google.com/spreadsheets/d/1MeEWN-I1oV_STSDYn1IFDPWt_1FKiwhDph83XaGc0o0/edit?usp=sharing"",""งบพรบ!AJ70"")"),0)</f>
        <v>0</v>
      </c>
      <c r="H70" s="82">
        <f ca="1">IFERROR(__xludf.DUMMYFUNCTION("IMPORTRANGE(""https://docs.google.com/spreadsheets/d/1MeEWN-I1oV_STSDYn1IFDPWt_1FKiwhDph83XaGc0o0/edit?usp=sharing"",""งบพรบ!AL70"")"),0)</f>
        <v>0</v>
      </c>
      <c r="I70" s="82">
        <f ca="1">IFERROR(__xludf.DUMMYFUNCTION("IMPORTRANGE(""https://docs.google.com/spreadsheets/d/1MeEWN-I1oV_STSDYn1IFDPWt_1FKiwhDph83XaGc0o0/edit?usp=sharing"",""งบพรบ!AM70"")"),0)</f>
        <v>0</v>
      </c>
      <c r="J70" s="82">
        <f t="shared" ca="1" si="3"/>
        <v>0</v>
      </c>
      <c r="K70" s="83">
        <f t="shared" ca="1" si="4"/>
        <v>0</v>
      </c>
      <c r="L70" s="82">
        <f ca="1">IFERROR(__xludf.DUMMYFUNCTION("IMPORTRANGE(""https://docs.google.com/spreadsheets/d/1MeEWN-I1oV_STSDYn1IFDPWt_1FKiwhDph83XaGc0o0/edit?usp=sharing"",""งบพรบ!AN70"")"),0)</f>
        <v>0</v>
      </c>
      <c r="M70" s="84">
        <f t="shared" ca="1" si="5"/>
        <v>0</v>
      </c>
      <c r="N70" s="84">
        <f t="shared" ca="1" si="6"/>
        <v>0</v>
      </c>
      <c r="O70" s="85">
        <f ca="1">IFERROR(__xludf.DUMMYFUNCTION("IMPORTRANGE(""https://docs.google.com/spreadsheets/d/1MeEWN-I1oV_STSDYn1IFDPWt_1FKiwhDph83XaGc0o0/edit?usp=sharing"",""งบพรบ!AO70"")"),0)</f>
        <v>0</v>
      </c>
      <c r="P70" s="85">
        <f t="shared" ca="1" si="29"/>
        <v>0</v>
      </c>
      <c r="Q70" s="84">
        <f t="shared" ca="1" si="8"/>
        <v>0</v>
      </c>
      <c r="R70" s="86">
        <f t="shared" ca="1" si="30"/>
        <v>0</v>
      </c>
      <c r="S70" s="86">
        <f t="shared" ca="1" si="24"/>
        <v>0</v>
      </c>
      <c r="T70" s="86">
        <f t="shared" ca="1" si="43"/>
        <v>0</v>
      </c>
      <c r="U70" s="87">
        <f t="shared" ca="1" si="25"/>
        <v>0</v>
      </c>
      <c r="V70" s="86">
        <f t="shared" ca="1" si="44"/>
        <v>0</v>
      </c>
      <c r="W70" s="87">
        <f t="shared" ca="1" si="26"/>
        <v>0</v>
      </c>
      <c r="X70" s="82">
        <f ca="1">IFERROR(__xludf.DUMMYFUNCTION("IMPORTRANGE(""https://docs.google.com/spreadsheets/d/1Nn1EvsFPtXldgpgVb3Rcng2K2cls68LFQsBh2FyW0Bg/edit?usp=sharing"",""สระบุรี!I78"")"),0)</f>
        <v>0</v>
      </c>
      <c r="Y70" s="82">
        <f ca="1">IFERROR(__xludf.DUMMYFUNCTION("IMPORTRANGE(""https://docs.google.com/spreadsheets/d/1Nn1EvsFPtXldgpgVb3Rcng2K2cls68LFQsBh2FyW0Bg/edit?usp=sharing"",""สระบุรี!I79"")"),0)</f>
        <v>0</v>
      </c>
      <c r="Z70" s="86">
        <f ca="1">IFERROR(__xludf.DUMMYFUNCTION("IMPORTRANGE(""https://docs.google.com/spreadsheets/d/1Nn1EvsFPtXldgpgVb3Rcng2K2cls68LFQsBh2FyW0Bg/edit?usp=sharing"",""สระบุรี!J78"")"),0)</f>
        <v>0</v>
      </c>
      <c r="AA70" s="86">
        <f ca="1">IFERROR(__xludf.DUMMYFUNCTION("IMPORTRANGE(""https://docs.google.com/spreadsheets/d/1Nn1EvsFPtXldgpgVb3Rcng2K2cls68LFQsBh2FyW0Bg/edit?usp=sharing"",""สระบุรี!J79"")"),0)</f>
        <v>0</v>
      </c>
      <c r="AB70" s="82">
        <f ca="1">IFERROR(__xludf.DUMMYFUNCTION("IMPORTRANGE(""https://docs.google.com/spreadsheets/d/1Nn1EvsFPtXldgpgVb3Rcng2K2cls68LFQsBh2FyW0Bg/edit?usp=sharing"",""สระบุรี!I80"")"),0)</f>
        <v>0</v>
      </c>
      <c r="AC70" s="82">
        <f ca="1">IFERROR(__xludf.DUMMYFUNCTION("IMPORTRANGE(""https://docs.google.com/spreadsheets/d/1Nn1EvsFPtXldgpgVb3Rcng2K2cls68LFQsBh2FyW0Bg/edit?usp=sharing"",""สระบุรี!I81"")"),0)</f>
        <v>0</v>
      </c>
      <c r="AD70" s="86">
        <f ca="1">IFERROR(__xludf.DUMMYFUNCTION("IMPORTRANGE(""https://docs.google.com/spreadsheets/d/1Nn1EvsFPtXldgpgVb3Rcng2K2cls68LFQsBh2FyW0Bg/edit?usp=sharing"",""สระบุรี!J80"")"),0)</f>
        <v>0</v>
      </c>
      <c r="AE70" s="86">
        <f ca="1">IFERROR(__xludf.DUMMYFUNCTION("IMPORTRANGE(""https://docs.google.com/spreadsheets/d/1Nn1EvsFPtXldgpgVb3Rcng2K2cls68LFQsBh2FyW0Bg/edit?usp=sharing"",""สระบุรี!J81"")"),0)</f>
        <v>0</v>
      </c>
      <c r="AF70" s="82">
        <f ca="1">IFERROR(__xludf.DUMMYFUNCTION("IMPORTRANGE(""https://docs.google.com/spreadsheets/d/1Nn1EvsFPtXldgpgVb3Rcng2K2cls68LFQsBh2FyW0Bg/edit?usp=sharing"",""สระบุรี!I82"")"),0)</f>
        <v>0</v>
      </c>
      <c r="AG70" s="82">
        <f ca="1">IFERROR(__xludf.DUMMYFUNCTION("IMPORTRANGE(""https://docs.google.com/spreadsheets/d/1Nn1EvsFPtXldgpgVb3Rcng2K2cls68LFQsBh2FyW0Bg/edit?usp=sharing"",""สระบุรี!I83"")"),0)</f>
        <v>0</v>
      </c>
      <c r="AH70" s="86">
        <f ca="1">IFERROR(__xludf.DUMMYFUNCTION("IMPORTRANGE(""https://docs.google.com/spreadsheets/d/1Nn1EvsFPtXldgpgVb3Rcng2K2cls68LFQsBh2FyW0Bg/edit?usp=sharing"",""สระบุรี!J82"")"),0)</f>
        <v>0</v>
      </c>
      <c r="AI70" s="86">
        <f ca="1">IFERROR(__xludf.DUMMYFUNCTION("IMPORTRANGE(""https://docs.google.com/spreadsheets/d/1Nn1EvsFPtXldgpgVb3Rcng2K2cls68LFQsBh2FyW0Bg/edit?usp=sharing"",""สระบุรี!J83"")"),0)</f>
        <v>0</v>
      </c>
      <c r="AJ70" s="82">
        <f ca="1">IFERROR(__xludf.DUMMYFUNCTION("IMPORTRANGE(""https://docs.google.com/spreadsheets/d/1Nn1EvsFPtXldgpgVb3Rcng2K2cls68LFQsBh2FyW0Bg/edit?usp=sharing"",""สระบุรี!I84"")"),0)</f>
        <v>0</v>
      </c>
      <c r="AK70" s="86">
        <f ca="1">IFERROR(__xludf.DUMMYFUNCTION("IMPORTRANGE(""https://docs.google.com/spreadsheets/d/1Nn1EvsFPtXldgpgVb3Rcng2K2cls68LFQsBh2FyW0Bg/edit?usp=sharing"",""สระบุรี!J84"")"),0)</f>
        <v>0</v>
      </c>
      <c r="AL70" s="84">
        <f t="shared" ca="1" si="27"/>
        <v>0</v>
      </c>
    </row>
    <row r="71" spans="1:38" ht="21" customHeight="1" x14ac:dyDescent="0.2">
      <c r="A71" s="78">
        <v>19</v>
      </c>
      <c r="B71" s="79" t="s">
        <v>93</v>
      </c>
      <c r="C71" s="80">
        <f t="shared" ca="1" si="0"/>
        <v>0</v>
      </c>
      <c r="D71" s="81">
        <f t="shared" ca="1" si="42"/>
        <v>0</v>
      </c>
      <c r="E71" s="82">
        <f ca="1">IFERROR(__xludf.DUMMYFUNCTION("IMPORTRANGE(""https://docs.google.com/spreadsheets/d/1MeEWN-I1oV_STSDYn1IFDPWt_1FKiwhDph83XaGc0o0/edit?usp=sharing"",""งบพรบ!AH71"")"),0)</f>
        <v>0</v>
      </c>
      <c r="F71" s="82">
        <f ca="1">IFERROR(__xludf.DUMMYFUNCTION("IMPORTRANGE(""https://docs.google.com/spreadsheets/d/1MeEWN-I1oV_STSDYn1IFDPWt_1FKiwhDph83XaGc0o0/edit?usp=sharing"",""งบพรบ!AI71"")"),0)</f>
        <v>0</v>
      </c>
      <c r="G71" s="82">
        <f ca="1">IFERROR(__xludf.DUMMYFUNCTION("IMPORTRANGE(""https://docs.google.com/spreadsheets/d/1MeEWN-I1oV_STSDYn1IFDPWt_1FKiwhDph83XaGc0o0/edit?usp=sharing"",""งบพรบ!AJ71"")"),0)</f>
        <v>0</v>
      </c>
      <c r="H71" s="82">
        <f ca="1">IFERROR(__xludf.DUMMYFUNCTION("IMPORTRANGE(""https://docs.google.com/spreadsheets/d/1MeEWN-I1oV_STSDYn1IFDPWt_1FKiwhDph83XaGc0o0/edit?usp=sharing"",""งบพรบ!AL71"")"),0)</f>
        <v>0</v>
      </c>
      <c r="I71" s="82">
        <f ca="1">IFERROR(__xludf.DUMMYFUNCTION("IMPORTRANGE(""https://docs.google.com/spreadsheets/d/1MeEWN-I1oV_STSDYn1IFDPWt_1FKiwhDph83XaGc0o0/edit?usp=sharing"",""งบพรบ!AM71"")"),0)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IFERROR(__xludf.DUMMYFUNCTION("IMPORTRANGE(""https://docs.google.com/spreadsheets/d/1MeEWN-I1oV_STSDYn1IFDPWt_1FKiwhDph83XaGc0o0/edit?usp=sharing"",""งบพรบ!AN71"")"),0)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IFERROR(__xludf.DUMMYFUNCTION("IMPORTRANGE(""https://docs.google.com/spreadsheets/d/1MeEWN-I1oV_STSDYn1IFDPWt_1FKiwhDph83XaGc0o0/edit?usp=sharing"",""งบพรบ!AO71"")"),0)</f>
        <v>0</v>
      </c>
      <c r="P71" s="85">
        <f t="shared" ca="1" si="29"/>
        <v>0</v>
      </c>
      <c r="Q71" s="84">
        <f t="shared" ca="1" si="8"/>
        <v>0</v>
      </c>
      <c r="R71" s="86">
        <f t="shared" ca="1" si="30"/>
        <v>0</v>
      </c>
      <c r="S71" s="86">
        <f t="shared" ca="1" si="24"/>
        <v>0</v>
      </c>
      <c r="T71" s="86">
        <f t="shared" ca="1" si="43"/>
        <v>0</v>
      </c>
      <c r="U71" s="87">
        <f t="shared" ca="1" si="25"/>
        <v>0</v>
      </c>
      <c r="V71" s="86">
        <f t="shared" ca="1" si="44"/>
        <v>0</v>
      </c>
      <c r="W71" s="87">
        <f t="shared" ca="1" si="26"/>
        <v>0</v>
      </c>
      <c r="X71" s="82">
        <f ca="1">IFERROR(__xludf.DUMMYFUNCTION("IMPORTRANGE(""https://docs.google.com/spreadsheets/d/149xufxukrnEciK3WPbNpHwUK8BKEJxp3UcBG3Al6dA4/edit?usp=sharing"",""สิงห์บุรี!I78"")"),0)</f>
        <v>0</v>
      </c>
      <c r="Y71" s="82">
        <f ca="1">IFERROR(__xludf.DUMMYFUNCTION("IMPORTRANGE(""https://docs.google.com/spreadsheets/d/149xufxukrnEciK3WPbNpHwUK8BKEJxp3UcBG3Al6dA4/edit?usp=sharing"",""สิงห์บุรี!I79"")"),0)</f>
        <v>0</v>
      </c>
      <c r="Z71" s="86">
        <f ca="1">IFERROR(__xludf.DUMMYFUNCTION("IMPORTRANGE(""https://docs.google.com/spreadsheets/d/149xufxukrnEciK3WPbNpHwUK8BKEJxp3UcBG3Al6dA4/edit?usp=sharing"",""สิงห์บุรี!J78"")"),0)</f>
        <v>0</v>
      </c>
      <c r="AA71" s="86">
        <f ca="1">IFERROR(__xludf.DUMMYFUNCTION("IMPORTRANGE(""https://docs.google.com/spreadsheets/d/149xufxukrnEciK3WPbNpHwUK8BKEJxp3UcBG3Al6dA4/edit?usp=sharing"",""สิงห์บุรี!J79"")"),0)</f>
        <v>0</v>
      </c>
      <c r="AB71" s="82">
        <f ca="1">IFERROR(__xludf.DUMMYFUNCTION("IMPORTRANGE(""https://docs.google.com/spreadsheets/d/149xufxukrnEciK3WPbNpHwUK8BKEJxp3UcBG3Al6dA4/edit?usp=sharing"",""สิงห์บุรี!I80"")"),0)</f>
        <v>0</v>
      </c>
      <c r="AC71" s="82">
        <f ca="1">IFERROR(__xludf.DUMMYFUNCTION("IMPORTRANGE(""https://docs.google.com/spreadsheets/d/149xufxukrnEciK3WPbNpHwUK8BKEJxp3UcBG3Al6dA4/edit?usp=sharing"",""สิงห์บุรี!I81"")"),0)</f>
        <v>0</v>
      </c>
      <c r="AD71" s="86">
        <f ca="1">IFERROR(__xludf.DUMMYFUNCTION("IMPORTRANGE(""https://docs.google.com/spreadsheets/d/149xufxukrnEciK3WPbNpHwUK8BKEJxp3UcBG3Al6dA4/edit?usp=sharing"",""สิงห์บุรี!J80"")"),0)</f>
        <v>0</v>
      </c>
      <c r="AE71" s="86">
        <f ca="1">IFERROR(__xludf.DUMMYFUNCTION("IMPORTRANGE(""https://docs.google.com/spreadsheets/d/149xufxukrnEciK3WPbNpHwUK8BKEJxp3UcBG3Al6dA4/edit?usp=sharing"",""สิงห์บุรี!J81"")"),0)</f>
        <v>0</v>
      </c>
      <c r="AF71" s="82">
        <f ca="1">IFERROR(__xludf.DUMMYFUNCTION("IMPORTRANGE(""https://docs.google.com/spreadsheets/d/149xufxukrnEciK3WPbNpHwUK8BKEJxp3UcBG3Al6dA4/edit?usp=sharing"",""สิงห์บุรี!I82"")"),0)</f>
        <v>0</v>
      </c>
      <c r="AG71" s="82">
        <f ca="1">IFERROR(__xludf.DUMMYFUNCTION("IMPORTRANGE(""https://docs.google.com/spreadsheets/d/149xufxukrnEciK3WPbNpHwUK8BKEJxp3UcBG3Al6dA4/edit?usp=sharing"",""สิงห์บุรี!I83"")"),0)</f>
        <v>0</v>
      </c>
      <c r="AH71" s="86">
        <f ca="1">IFERROR(__xludf.DUMMYFUNCTION("IMPORTRANGE(""https://docs.google.com/spreadsheets/d/149xufxukrnEciK3WPbNpHwUK8BKEJxp3UcBG3Al6dA4/edit?usp=sharing"",""สิงห์บุรี!J82"")"),0)</f>
        <v>0</v>
      </c>
      <c r="AI71" s="86">
        <f ca="1">IFERROR(__xludf.DUMMYFUNCTION("IMPORTRANGE(""https://docs.google.com/spreadsheets/d/149xufxukrnEciK3WPbNpHwUK8BKEJxp3UcBG3Al6dA4/edit?usp=sharing"",""สิงห์บุรี!J83"")"),0)</f>
        <v>0</v>
      </c>
      <c r="AJ71" s="82">
        <f ca="1">IFERROR(__xludf.DUMMYFUNCTION("IMPORTRANGE(""https://docs.google.com/spreadsheets/d/149xufxukrnEciK3WPbNpHwUK8BKEJxp3UcBG3Al6dA4/edit?usp=sharing"",""สิงห์บุรี!I84"")"),0)</f>
        <v>0</v>
      </c>
      <c r="AK71" s="86">
        <f ca="1">IFERROR(__xludf.DUMMYFUNCTION("IMPORTRANGE(""https://docs.google.com/spreadsheets/d/149xufxukrnEciK3WPbNpHwUK8BKEJxp3UcBG3Al6dA4/edit?usp=sharing"",""สิงห์บุรี!J84"")"),0)</f>
        <v>0</v>
      </c>
      <c r="AL71" s="84">
        <f t="shared" ca="1" si="27"/>
        <v>0</v>
      </c>
    </row>
    <row r="72" spans="1:38" ht="21" customHeight="1" x14ac:dyDescent="0.2">
      <c r="A72" s="78">
        <v>20</v>
      </c>
      <c r="B72" s="79" t="s">
        <v>94</v>
      </c>
      <c r="C72" s="80">
        <f t="shared" ca="1" si="0"/>
        <v>1114000</v>
      </c>
      <c r="D72" s="81">
        <f t="shared" ca="1" si="42"/>
        <v>1114000</v>
      </c>
      <c r="E72" s="82">
        <f ca="1">IFERROR(__xludf.DUMMYFUNCTION("IMPORTRANGE(""https://docs.google.com/spreadsheets/d/1MeEWN-I1oV_STSDYn1IFDPWt_1FKiwhDph83XaGc0o0/edit?usp=sharing"",""งบพรบ!AH72"")"),301600)</f>
        <v>301600</v>
      </c>
      <c r="F72" s="82">
        <f ca="1">IFERROR(__xludf.DUMMYFUNCTION("IMPORTRANGE(""https://docs.google.com/spreadsheets/d/1MeEWN-I1oV_STSDYn1IFDPWt_1FKiwhDph83XaGc0o0/edit?usp=sharing"",""งบพรบ!AI72"")"),812400)</f>
        <v>812400</v>
      </c>
      <c r="G72" s="82">
        <f ca="1">IFERROR(__xludf.DUMMYFUNCTION("IMPORTRANGE(""https://docs.google.com/spreadsheets/d/1MeEWN-I1oV_STSDYn1IFDPWt_1FKiwhDph83XaGc0o0/edit?usp=sharing"",""งบพรบ!AJ72"")"),0)</f>
        <v>0</v>
      </c>
      <c r="H72" s="82">
        <f ca="1">IFERROR(__xludf.DUMMYFUNCTION("IMPORTRANGE(""https://docs.google.com/spreadsheets/d/1MeEWN-I1oV_STSDYn1IFDPWt_1FKiwhDph83XaGc0o0/edit?usp=sharing"",""งบพรบ!AL72"")"),609950)</f>
        <v>609950</v>
      </c>
      <c r="I72" s="82">
        <f ca="1">IFERROR(__xludf.DUMMYFUNCTION("IMPORTRANGE(""https://docs.google.com/spreadsheets/d/1MeEWN-I1oV_STSDYn1IFDPWt_1FKiwhDph83XaGc0o0/edit?usp=sharing"",""งบพรบ!AM72"")"),0)</f>
        <v>0</v>
      </c>
      <c r="J72" s="82">
        <f t="shared" ca="1" si="3"/>
        <v>409296.88</v>
      </c>
      <c r="K72" s="83">
        <f t="shared" ca="1" si="4"/>
        <v>36.741192100538598</v>
      </c>
      <c r="L72" s="82">
        <f ca="1">IFERROR(__xludf.DUMMYFUNCTION("IMPORTRANGE(""https://docs.google.com/spreadsheets/d/1MeEWN-I1oV_STSDYn1IFDPWt_1FKiwhDph83XaGc0o0/edit?usp=sharing"",""งบพรบ!AN72"")"),409296.88)</f>
        <v>409296.88</v>
      </c>
      <c r="M72" s="84">
        <f t="shared" ca="1" si="5"/>
        <v>36.741192100538598</v>
      </c>
      <c r="N72" s="84">
        <f t="shared" ca="1" si="6"/>
        <v>67.103349454873353</v>
      </c>
      <c r="O72" s="85">
        <f ca="1">IFERROR(__xludf.DUMMYFUNCTION("IMPORTRANGE(""https://docs.google.com/spreadsheets/d/1MeEWN-I1oV_STSDYn1IFDPWt_1FKiwhDph83XaGc0o0/edit?usp=sharing"",""งบพรบ!AO72"")"),0)</f>
        <v>0</v>
      </c>
      <c r="P72" s="85">
        <f t="shared" ca="1" si="29"/>
        <v>0</v>
      </c>
      <c r="Q72" s="84">
        <f t="shared" ca="1" si="8"/>
        <v>0</v>
      </c>
      <c r="R72" s="86">
        <f t="shared" ca="1" si="30"/>
        <v>2</v>
      </c>
      <c r="S72" s="86">
        <f t="shared" ca="1" si="24"/>
        <v>94</v>
      </c>
      <c r="T72" s="86">
        <f t="shared" ca="1" si="43"/>
        <v>2</v>
      </c>
      <c r="U72" s="87">
        <f t="shared" ca="1" si="25"/>
        <v>100</v>
      </c>
      <c r="V72" s="86">
        <f t="shared" ca="1" si="44"/>
        <v>94</v>
      </c>
      <c r="W72" s="87">
        <f t="shared" ca="1" si="26"/>
        <v>100</v>
      </c>
      <c r="X72" s="82">
        <f ca="1">IFERROR(__xludf.DUMMYFUNCTION("IMPORTRANGE(""https://docs.google.com/spreadsheets/d/132g-zJpz2uMKimp17uOIx8A7o3w1Z25zwJyXnwsB56c/edit?usp=sharing"",""สุพรรณบุรี!I78"")"),2)</f>
        <v>2</v>
      </c>
      <c r="Y72" s="82">
        <f ca="1">IFERROR(__xludf.DUMMYFUNCTION("IMPORTRANGE(""https://docs.google.com/spreadsheets/d/132g-zJpz2uMKimp17uOIx8A7o3w1Z25zwJyXnwsB56c/edit?usp=sharing"",""สุพรรณบุรี!I79"")"),94)</f>
        <v>94</v>
      </c>
      <c r="Z72" s="86">
        <f ca="1">IFERROR(__xludf.DUMMYFUNCTION("IMPORTRANGE(""https://docs.google.com/spreadsheets/d/132g-zJpz2uMKimp17uOIx8A7o3w1Z25zwJyXnwsB56c/edit?usp=sharing"",""สุพรรณบุรี!J78"")"),2)</f>
        <v>2</v>
      </c>
      <c r="AA72" s="86">
        <f ca="1">IFERROR(__xludf.DUMMYFUNCTION("IMPORTRANGE(""https://docs.google.com/spreadsheets/d/132g-zJpz2uMKimp17uOIx8A7o3w1Z25zwJyXnwsB56c/edit?usp=sharing"",""สุพรรณบุรี!J79"")"),94)</f>
        <v>94</v>
      </c>
      <c r="AB72" s="82">
        <f ca="1">IFERROR(__xludf.DUMMYFUNCTION("IMPORTRANGE(""https://docs.google.com/spreadsheets/d/132g-zJpz2uMKimp17uOIx8A7o3w1Z25zwJyXnwsB56c/edit?usp=sharing"",""สุพรรณบุรี!I80"")"),0)</f>
        <v>0</v>
      </c>
      <c r="AC72" s="82">
        <f ca="1">IFERROR(__xludf.DUMMYFUNCTION("IMPORTRANGE(""https://docs.google.com/spreadsheets/d/132g-zJpz2uMKimp17uOIx8A7o3w1Z25zwJyXnwsB56c/edit?usp=sharing"",""สุพรรณบุรี!I81"")"),0)</f>
        <v>0</v>
      </c>
      <c r="AD72" s="86">
        <f ca="1">IFERROR(__xludf.DUMMYFUNCTION("IMPORTRANGE(""https://docs.google.com/spreadsheets/d/132g-zJpz2uMKimp17uOIx8A7o3w1Z25zwJyXnwsB56c/edit?usp=sharing"",""สุพรรณบุรี!J80"")"),0)</f>
        <v>0</v>
      </c>
      <c r="AE72" s="86">
        <f ca="1">IFERROR(__xludf.DUMMYFUNCTION("IMPORTRANGE(""https://docs.google.com/spreadsheets/d/132g-zJpz2uMKimp17uOIx8A7o3w1Z25zwJyXnwsB56c/edit?usp=sharing"",""สุพรรณบุรี!J81"")"),0)</f>
        <v>0</v>
      </c>
      <c r="AF72" s="82">
        <f ca="1">IFERROR(__xludf.DUMMYFUNCTION("IMPORTRANGE(""https://docs.google.com/spreadsheets/d/132g-zJpz2uMKimp17uOIx8A7o3w1Z25zwJyXnwsB56c/edit?usp=sharing"",""สุพรรณบุรี!I82"")"),0)</f>
        <v>0</v>
      </c>
      <c r="AG72" s="82">
        <f ca="1">IFERROR(__xludf.DUMMYFUNCTION("IMPORTRANGE(""https://docs.google.com/spreadsheets/d/132g-zJpz2uMKimp17uOIx8A7o3w1Z25zwJyXnwsB56c/edit?usp=sharing"",""สุพรรณบุรี!I83"")"),0)</f>
        <v>0</v>
      </c>
      <c r="AH72" s="86">
        <f ca="1">IFERROR(__xludf.DUMMYFUNCTION("IMPORTRANGE(""https://docs.google.com/spreadsheets/d/132g-zJpz2uMKimp17uOIx8A7o3w1Z25zwJyXnwsB56c/edit?usp=sharing"",""สุพรรณบุรี!J82"")"),0)</f>
        <v>0</v>
      </c>
      <c r="AI72" s="86">
        <f ca="1">IFERROR(__xludf.DUMMYFUNCTION("IMPORTRANGE(""https://docs.google.com/spreadsheets/d/132g-zJpz2uMKimp17uOIx8A7o3w1Z25zwJyXnwsB56c/edit?usp=sharing"",""สุพรรณบุรี!J83"")"),0)</f>
        <v>0</v>
      </c>
      <c r="AJ72" s="82">
        <f ca="1">IFERROR(__xludf.DUMMYFUNCTION("IMPORTRANGE(""https://docs.google.com/spreadsheets/d/132g-zJpz2uMKimp17uOIx8A7o3w1Z25zwJyXnwsB56c/edit?usp=sharing"",""สุพรรณบุรี!I84"")"),2)</f>
        <v>2</v>
      </c>
      <c r="AK72" s="86">
        <f ca="1">IFERROR(__xludf.DUMMYFUNCTION("IMPORTRANGE(""https://docs.google.com/spreadsheets/d/132g-zJpz2uMKimp17uOIx8A7o3w1Z25zwJyXnwsB56c/edit?usp=sharing"",""สุพรรณบุรี!J84"")"),0)</f>
        <v>0</v>
      </c>
      <c r="AL72" s="84">
        <f t="shared" ca="1" si="27"/>
        <v>0</v>
      </c>
    </row>
    <row r="73" spans="1:38" ht="21" customHeight="1" x14ac:dyDescent="0.2">
      <c r="A73" s="89">
        <v>21</v>
      </c>
      <c r="B73" s="90" t="s">
        <v>95</v>
      </c>
      <c r="C73" s="91">
        <f t="shared" ca="1" si="0"/>
        <v>0</v>
      </c>
      <c r="D73" s="92">
        <f t="shared" ca="1" si="42"/>
        <v>0</v>
      </c>
      <c r="E73" s="93">
        <f ca="1">IFERROR(__xludf.DUMMYFUNCTION("IMPORTRANGE(""https://docs.google.com/spreadsheets/d/1MeEWN-I1oV_STSDYn1IFDPWt_1FKiwhDph83XaGc0o0/edit?usp=sharing"",""งบพรบ!AH73"")"),0)</f>
        <v>0</v>
      </c>
      <c r="F73" s="93">
        <f ca="1">IFERROR(__xludf.DUMMYFUNCTION("IMPORTRANGE(""https://docs.google.com/spreadsheets/d/1MeEWN-I1oV_STSDYn1IFDPWt_1FKiwhDph83XaGc0o0/edit?usp=sharing"",""งบพรบ!AI73"")"),0)</f>
        <v>0</v>
      </c>
      <c r="G73" s="93">
        <f ca="1">IFERROR(__xludf.DUMMYFUNCTION("IMPORTRANGE(""https://docs.google.com/spreadsheets/d/1MeEWN-I1oV_STSDYn1IFDPWt_1FKiwhDph83XaGc0o0/edit?usp=sharing"",""งบพรบ!AJ73"")"),0)</f>
        <v>0</v>
      </c>
      <c r="H73" s="93">
        <f ca="1">IFERROR(__xludf.DUMMYFUNCTION("IMPORTRANGE(""https://docs.google.com/spreadsheets/d/1MeEWN-I1oV_STSDYn1IFDPWt_1FKiwhDph83XaGc0o0/edit?usp=sharing"",""งบพรบ!AL73"")"),0)</f>
        <v>0</v>
      </c>
      <c r="I73" s="93">
        <f ca="1">IFERROR(__xludf.DUMMYFUNCTION("IMPORTRANGE(""https://docs.google.com/spreadsheets/d/1MeEWN-I1oV_STSDYn1IFDPWt_1FKiwhDph83XaGc0o0/edit?usp=sharing"",""งบพรบ!AM73"")"),0)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IFERROR(__xludf.DUMMYFUNCTION("IMPORTRANGE(""https://docs.google.com/spreadsheets/d/1MeEWN-I1oV_STSDYn1IFDPWt_1FKiwhDph83XaGc0o0/edit?usp=sharing"",""งบพรบ!AN73"")"),0)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IFERROR(__xludf.DUMMYFUNCTION("IMPORTRANGE(""https://docs.google.com/spreadsheets/d/1MeEWN-I1oV_STSDYn1IFDPWt_1FKiwhDph83XaGc0o0/edit?usp=sharing"",""งบพรบ!AO73"")"),0)</f>
        <v>0</v>
      </c>
      <c r="P73" s="96">
        <f t="shared" ca="1" si="29"/>
        <v>0</v>
      </c>
      <c r="Q73" s="95">
        <f t="shared" ca="1" si="8"/>
        <v>0</v>
      </c>
      <c r="R73" s="97">
        <f t="shared" ca="1" si="30"/>
        <v>0</v>
      </c>
      <c r="S73" s="97">
        <f t="shared" ca="1" si="24"/>
        <v>0</v>
      </c>
      <c r="T73" s="97">
        <f t="shared" ca="1" si="43"/>
        <v>0</v>
      </c>
      <c r="U73" s="98">
        <f t="shared" ca="1" si="25"/>
        <v>0</v>
      </c>
      <c r="V73" s="97">
        <f t="shared" ca="1" si="44"/>
        <v>0</v>
      </c>
      <c r="W73" s="98">
        <f t="shared" ca="1" si="26"/>
        <v>0</v>
      </c>
      <c r="X73" s="93">
        <f ca="1">IFERROR(__xludf.DUMMYFUNCTION("IMPORTRANGE(""https://docs.google.com/spreadsheets/d/12Q_U0nVnFdxDFwa0pej9xvx8ZvLC9Dpi_vRro_aiG5g/edit?usp=sharing"",""อ่างทอง!I78"")"),0)</f>
        <v>0</v>
      </c>
      <c r="Y73" s="93">
        <f ca="1">IFERROR(__xludf.DUMMYFUNCTION("IMPORTRANGE(""https://docs.google.com/spreadsheets/d/12Q_U0nVnFdxDFwa0pej9xvx8ZvLC9Dpi_vRro_aiG5g/edit?usp=sharing"",""อ่างทอง!I79"")"),0)</f>
        <v>0</v>
      </c>
      <c r="Z73" s="97">
        <f ca="1">IFERROR(__xludf.DUMMYFUNCTION("IMPORTRANGE(""https://docs.google.com/spreadsheets/d/12Q_U0nVnFdxDFwa0pej9xvx8ZvLC9Dpi_vRro_aiG5g/edit?usp=sharing"",""อ่างทอง!J78"")"),0)</f>
        <v>0</v>
      </c>
      <c r="AA73" s="97">
        <f ca="1">IFERROR(__xludf.DUMMYFUNCTION("IMPORTRANGE(""https://docs.google.com/spreadsheets/d/12Q_U0nVnFdxDFwa0pej9xvx8ZvLC9Dpi_vRro_aiG5g/edit?usp=sharing"",""อ่างทอง!J79"")"),0)</f>
        <v>0</v>
      </c>
      <c r="AB73" s="93">
        <f ca="1">IFERROR(__xludf.DUMMYFUNCTION("IMPORTRANGE(""https://docs.google.com/spreadsheets/d/12Q_U0nVnFdxDFwa0pej9xvx8ZvLC9Dpi_vRro_aiG5g/edit?usp=sharing"",""อ่างทอง!I80"")"),0)</f>
        <v>0</v>
      </c>
      <c r="AC73" s="93">
        <f ca="1">IFERROR(__xludf.DUMMYFUNCTION("IMPORTRANGE(""https://docs.google.com/spreadsheets/d/12Q_U0nVnFdxDFwa0pej9xvx8ZvLC9Dpi_vRro_aiG5g/edit?usp=sharing"",""อ่างทอง!I81"")"),0)</f>
        <v>0</v>
      </c>
      <c r="AD73" s="97">
        <f ca="1">IFERROR(__xludf.DUMMYFUNCTION("IMPORTRANGE(""https://docs.google.com/spreadsheets/d/12Q_U0nVnFdxDFwa0pej9xvx8ZvLC9Dpi_vRro_aiG5g/edit?usp=sharing"",""อ่างทอง!J80"")"),0)</f>
        <v>0</v>
      </c>
      <c r="AE73" s="97">
        <f ca="1">IFERROR(__xludf.DUMMYFUNCTION("IMPORTRANGE(""https://docs.google.com/spreadsheets/d/12Q_U0nVnFdxDFwa0pej9xvx8ZvLC9Dpi_vRro_aiG5g/edit?usp=sharing"",""อ่างทอง!J81"")"),0)</f>
        <v>0</v>
      </c>
      <c r="AF73" s="93">
        <f ca="1">IFERROR(__xludf.DUMMYFUNCTION("IMPORTRANGE(""https://docs.google.com/spreadsheets/d/12Q_U0nVnFdxDFwa0pej9xvx8ZvLC9Dpi_vRro_aiG5g/edit?usp=sharing"",""อ่างทอง!I82"")"),0)</f>
        <v>0</v>
      </c>
      <c r="AG73" s="93">
        <f ca="1">IFERROR(__xludf.DUMMYFUNCTION("IMPORTRANGE(""https://docs.google.com/spreadsheets/d/12Q_U0nVnFdxDFwa0pej9xvx8ZvLC9Dpi_vRro_aiG5g/edit?usp=sharing"",""อ่างทอง!I83"")"),0)</f>
        <v>0</v>
      </c>
      <c r="AH73" s="97">
        <f ca="1">IFERROR(__xludf.DUMMYFUNCTION("IMPORTRANGE(""https://docs.google.com/spreadsheets/d/12Q_U0nVnFdxDFwa0pej9xvx8ZvLC9Dpi_vRro_aiG5g/edit?usp=sharing"",""อ่างทอง!J82"")"),0)</f>
        <v>0</v>
      </c>
      <c r="AI73" s="97">
        <f ca="1">IFERROR(__xludf.DUMMYFUNCTION("IMPORTRANGE(""https://docs.google.com/spreadsheets/d/12Q_U0nVnFdxDFwa0pej9xvx8ZvLC9Dpi_vRro_aiG5g/edit?usp=sharing"",""อ่างทอง!J83"")"),0)</f>
        <v>0</v>
      </c>
      <c r="AJ73" s="93">
        <f ca="1">IFERROR(__xludf.DUMMYFUNCTION("IMPORTRANGE(""https://docs.google.com/spreadsheets/d/12Q_U0nVnFdxDFwa0pej9xvx8ZvLC9Dpi_vRro_aiG5g/edit?usp=sharing"",""อ่างทอง!I84"")"),0)</f>
        <v>0</v>
      </c>
      <c r="AK73" s="97">
        <f ca="1">IFERROR(__xludf.DUMMYFUNCTION("IMPORTRANGE(""https://docs.google.com/spreadsheets/d/12Q_U0nVnFdxDFwa0pej9xvx8ZvLC9Dpi_vRro_aiG5g/edit?usp=sharing"",""อ่างทอง!J84"")"),0)</f>
        <v>0</v>
      </c>
      <c r="AL73" s="95">
        <f t="shared" ca="1" si="27"/>
        <v>0</v>
      </c>
    </row>
    <row r="74" spans="1:38" ht="21" customHeight="1" x14ac:dyDescent="0.2">
      <c r="A74" s="377" t="s">
        <v>96</v>
      </c>
      <c r="B74" s="357"/>
      <c r="C74" s="104">
        <f t="shared" ca="1" si="0"/>
        <v>2784200</v>
      </c>
      <c r="D74" s="62">
        <f t="shared" ref="D74:I74" ca="1" si="45">SUM(D75:D88)</f>
        <v>2784200</v>
      </c>
      <c r="E74" s="62">
        <f t="shared" ca="1" si="45"/>
        <v>1248200</v>
      </c>
      <c r="F74" s="62">
        <f t="shared" ca="1" si="45"/>
        <v>1536000</v>
      </c>
      <c r="G74" s="62">
        <f t="shared" ca="1" si="45"/>
        <v>0</v>
      </c>
      <c r="H74" s="62">
        <f t="shared" ca="1" si="45"/>
        <v>1926400</v>
      </c>
      <c r="I74" s="62">
        <f t="shared" ca="1" si="45"/>
        <v>0</v>
      </c>
      <c r="J74" s="62">
        <f t="shared" ca="1" si="3"/>
        <v>1057088.5900000001</v>
      </c>
      <c r="K74" s="100">
        <f t="shared" ca="1" si="4"/>
        <v>37.967408591336834</v>
      </c>
      <c r="L74" s="62">
        <f ca="1">SUM(L75:L88)</f>
        <v>1057088.5900000001</v>
      </c>
      <c r="M74" s="101">
        <f t="shared" ca="1" si="5"/>
        <v>37.967408591336834</v>
      </c>
      <c r="N74" s="101">
        <f t="shared" ca="1" si="6"/>
        <v>54.87378477990034</v>
      </c>
      <c r="O74" s="102">
        <f ca="1">SUM(O75:O88)</f>
        <v>0</v>
      </c>
      <c r="P74" s="102">
        <f t="shared" ca="1" si="29"/>
        <v>0</v>
      </c>
      <c r="Q74" s="101">
        <f t="shared" ca="1" si="8"/>
        <v>0</v>
      </c>
      <c r="R74" s="62">
        <f t="shared" ca="1" si="30"/>
        <v>4</v>
      </c>
      <c r="S74" s="62">
        <f t="shared" ca="1" si="24"/>
        <v>120</v>
      </c>
      <c r="T74" s="62">
        <f ca="1">SUM(T75:T88)</f>
        <v>3</v>
      </c>
      <c r="U74" s="101">
        <f t="shared" ca="1" si="25"/>
        <v>75</v>
      </c>
      <c r="V74" s="62">
        <f ca="1">SUM(V75:V88)</f>
        <v>90</v>
      </c>
      <c r="W74" s="101">
        <f t="shared" ca="1" si="26"/>
        <v>75</v>
      </c>
      <c r="X74" s="62">
        <f t="shared" ref="X74:AK74" ca="1" si="46">SUM(X75:X88)</f>
        <v>2</v>
      </c>
      <c r="Y74" s="62">
        <f t="shared" ca="1" si="46"/>
        <v>60</v>
      </c>
      <c r="Z74" s="62">
        <f t="shared" ca="1" si="46"/>
        <v>2</v>
      </c>
      <c r="AA74" s="62">
        <f t="shared" ca="1" si="46"/>
        <v>60</v>
      </c>
      <c r="AB74" s="62">
        <f t="shared" ca="1" si="46"/>
        <v>1</v>
      </c>
      <c r="AC74" s="62">
        <f t="shared" ca="1" si="46"/>
        <v>30</v>
      </c>
      <c r="AD74" s="62">
        <f t="shared" ca="1" si="46"/>
        <v>1</v>
      </c>
      <c r="AE74" s="62">
        <f t="shared" ca="1" si="46"/>
        <v>30</v>
      </c>
      <c r="AF74" s="62">
        <f t="shared" ca="1" si="46"/>
        <v>1</v>
      </c>
      <c r="AG74" s="62">
        <f t="shared" ca="1" si="46"/>
        <v>30</v>
      </c>
      <c r="AH74" s="62">
        <f t="shared" ca="1" si="46"/>
        <v>0</v>
      </c>
      <c r="AI74" s="62">
        <f t="shared" ca="1" si="46"/>
        <v>0</v>
      </c>
      <c r="AJ74" s="62">
        <f t="shared" ca="1" si="46"/>
        <v>4</v>
      </c>
      <c r="AK74" s="62">
        <f t="shared" ca="1" si="46"/>
        <v>0</v>
      </c>
      <c r="AL74" s="101">
        <f t="shared" ca="1" si="27"/>
        <v>0</v>
      </c>
    </row>
    <row r="75" spans="1:38" ht="21" customHeight="1" x14ac:dyDescent="0.2">
      <c r="A75" s="68">
        <v>1</v>
      </c>
      <c r="B75" s="69" t="s">
        <v>97</v>
      </c>
      <c r="C75" s="103">
        <f t="shared" ca="1" si="0"/>
        <v>688200</v>
      </c>
      <c r="D75" s="71">
        <f t="shared" ref="D75:D88" ca="1" si="47">+E75+F75</f>
        <v>688200</v>
      </c>
      <c r="E75" s="72">
        <f ca="1">IFERROR(__xludf.DUMMYFUNCTION("IMPORTRANGE(""https://docs.google.com/spreadsheets/d/1MeEWN-I1oV_STSDYn1IFDPWt_1FKiwhDph83XaGc0o0/edit?usp=sharing"",""งบพรบ!AH75"")"),304200)</f>
        <v>304200</v>
      </c>
      <c r="F75" s="72">
        <f ca="1">IFERROR(__xludf.DUMMYFUNCTION("IMPORTRANGE(""https://docs.google.com/spreadsheets/d/1MeEWN-I1oV_STSDYn1IFDPWt_1FKiwhDph83XaGc0o0/edit?usp=sharing"",""งบพรบ!AI75"")"),384000)</f>
        <v>384000</v>
      </c>
      <c r="G75" s="105">
        <f ca="1">IFERROR(__xludf.DUMMYFUNCTION("IMPORTRANGE(""https://docs.google.com/spreadsheets/d/1MeEWN-I1oV_STSDYn1IFDPWt_1FKiwhDph83XaGc0o0/edit?usp=sharing"",""งบพรบ!AJ75"")"),0)</f>
        <v>0</v>
      </c>
      <c r="H75" s="105">
        <f ca="1">IFERROR(__xludf.DUMMYFUNCTION("IMPORTRANGE(""https://docs.google.com/spreadsheets/d/1MeEWN-I1oV_STSDYn1IFDPWt_1FKiwhDph83XaGc0o0/edit?usp=sharing"",""งบพรบ!AL75"")"),409900)</f>
        <v>409900</v>
      </c>
      <c r="I75" s="105">
        <f ca="1">IFERROR(__xludf.DUMMYFUNCTION("IMPORTRANGE(""https://docs.google.com/spreadsheets/d/1MeEWN-I1oV_STSDYn1IFDPWt_1FKiwhDph83XaGc0o0/edit?usp=sharing"",""งบพรบ!AM75"")"),0)</f>
        <v>0</v>
      </c>
      <c r="J75" s="105">
        <f t="shared" ca="1" si="3"/>
        <v>281237.84999999998</v>
      </c>
      <c r="K75" s="106">
        <f t="shared" ca="1" si="4"/>
        <v>40.865714908456837</v>
      </c>
      <c r="L75" s="82">
        <f ca="1">IFERROR(__xludf.DUMMYFUNCTION("IMPORTRANGE(""https://docs.google.com/spreadsheets/d/1MeEWN-I1oV_STSDYn1IFDPWt_1FKiwhDph83XaGc0o0/edit?usp=sharing"",""งบพรบ!AN75"")"),281237.85)</f>
        <v>281237.84999999998</v>
      </c>
      <c r="M75" s="75">
        <f t="shared" ca="1" si="5"/>
        <v>40.865714908456837</v>
      </c>
      <c r="N75" s="75">
        <f t="shared" ca="1" si="6"/>
        <v>68.611332032202967</v>
      </c>
      <c r="O75" s="76">
        <f ca="1">IFERROR(__xludf.DUMMYFUNCTION("IMPORTRANGE(""https://docs.google.com/spreadsheets/d/1MeEWN-I1oV_STSDYn1IFDPWt_1FKiwhDph83XaGc0o0/edit?usp=sharing"",""งบพรบ!AO75"")"),0)</f>
        <v>0</v>
      </c>
      <c r="P75" s="76">
        <f t="shared" ca="1" si="29"/>
        <v>0</v>
      </c>
      <c r="Q75" s="75">
        <f t="shared" ca="1" si="8"/>
        <v>0</v>
      </c>
      <c r="R75" s="73">
        <f t="shared" ca="1" si="30"/>
        <v>1</v>
      </c>
      <c r="S75" s="73">
        <f t="shared" ca="1" si="24"/>
        <v>30</v>
      </c>
      <c r="T75" s="73">
        <f t="shared" ref="T75:T88" ca="1" si="48">Z75+AD75+AH75</f>
        <v>0</v>
      </c>
      <c r="U75" s="77">
        <f t="shared" ca="1" si="25"/>
        <v>0</v>
      </c>
      <c r="V75" s="73">
        <f t="shared" ref="V75:V88" ca="1" si="49">AA75+AE75+AI75</f>
        <v>0</v>
      </c>
      <c r="W75" s="77">
        <f t="shared" ca="1" si="26"/>
        <v>0</v>
      </c>
      <c r="X75" s="72">
        <f ca="1">IFERROR(__xludf.DUMMYFUNCTION("IMPORTRANGE(""https://docs.google.com/spreadsheets/d/1kC41EOXpGBFOW658Fs3oD8beYlym0-zO54WY-2Qnp9I/edit?usp=sharing"",""กระบี่!I78"")"),0)</f>
        <v>0</v>
      </c>
      <c r="Y75" s="72">
        <f ca="1">IFERROR(__xludf.DUMMYFUNCTION("IMPORTRANGE(""https://docs.google.com/spreadsheets/d/1kC41EOXpGBFOW658Fs3oD8beYlym0-zO54WY-2Qnp9I/edit?usp=sharing"",""กระบี่!I79"")"),0)</f>
        <v>0</v>
      </c>
      <c r="Z75" s="73">
        <f ca="1">IFERROR(__xludf.DUMMYFUNCTION("IMPORTRANGE(""https://docs.google.com/spreadsheets/d/1kC41EOXpGBFOW658Fs3oD8beYlym0-zO54WY-2Qnp9I/edit?usp=sharing"",""กระบี่!J78"")"),0)</f>
        <v>0</v>
      </c>
      <c r="AA75" s="73">
        <f ca="1">IFERROR(__xludf.DUMMYFUNCTION("IMPORTRANGE(""https://docs.google.com/spreadsheets/d/1kC41EOXpGBFOW658Fs3oD8beYlym0-zO54WY-2Qnp9I/edit?usp=sharing"",""กระบี่!J79"")"),0)</f>
        <v>0</v>
      </c>
      <c r="AB75" s="72">
        <f ca="1">IFERROR(__xludf.DUMMYFUNCTION("IMPORTRANGE(""https://docs.google.com/spreadsheets/d/1kC41EOXpGBFOW658Fs3oD8beYlym0-zO54WY-2Qnp9I/edit?usp=sharing"",""กระบี่!I80"")"),0)</f>
        <v>0</v>
      </c>
      <c r="AC75" s="72">
        <f ca="1">IFERROR(__xludf.DUMMYFUNCTION("IMPORTRANGE(""https://docs.google.com/spreadsheets/d/1kC41EOXpGBFOW658Fs3oD8beYlym0-zO54WY-2Qnp9I/edit?usp=sharing"",""กระบี่!I81"")"),0)</f>
        <v>0</v>
      </c>
      <c r="AD75" s="73">
        <f ca="1">IFERROR(__xludf.DUMMYFUNCTION("IMPORTRANGE(""https://docs.google.com/spreadsheets/d/1kC41EOXpGBFOW658Fs3oD8beYlym0-zO54WY-2Qnp9I/edit?usp=sharing"",""กระบี่!J80"")"),0)</f>
        <v>0</v>
      </c>
      <c r="AE75" s="73">
        <f ca="1">IFERROR(__xludf.DUMMYFUNCTION("IMPORTRANGE(""https://docs.google.com/spreadsheets/d/1kC41EOXpGBFOW658Fs3oD8beYlym0-zO54WY-2Qnp9I/edit?usp=sharing"",""กระบี่!J81"")"),0)</f>
        <v>0</v>
      </c>
      <c r="AF75" s="72">
        <f ca="1">IFERROR(__xludf.DUMMYFUNCTION("IMPORTRANGE(""https://docs.google.com/spreadsheets/d/1kC41EOXpGBFOW658Fs3oD8beYlym0-zO54WY-2Qnp9I/edit?usp=sharing"",""กระบี่!I82"")"),1)</f>
        <v>1</v>
      </c>
      <c r="AG75" s="72">
        <f ca="1">IFERROR(__xludf.DUMMYFUNCTION("IMPORTRANGE(""https://docs.google.com/spreadsheets/d/1kC41EOXpGBFOW658Fs3oD8beYlym0-zO54WY-2Qnp9I/edit?usp=sharing"",""กระบี่!I83"")"),30)</f>
        <v>30</v>
      </c>
      <c r="AH75" s="73">
        <f ca="1">IFERROR(__xludf.DUMMYFUNCTION("IMPORTRANGE(""https://docs.google.com/spreadsheets/d/1kC41EOXpGBFOW658Fs3oD8beYlym0-zO54WY-2Qnp9I/edit?usp=sharing"",""กระบี่!J82"")"),0)</f>
        <v>0</v>
      </c>
      <c r="AI75" s="73">
        <f ca="1">IFERROR(__xludf.DUMMYFUNCTION("IMPORTRANGE(""https://docs.google.com/spreadsheets/d/1kC41EOXpGBFOW658Fs3oD8beYlym0-zO54WY-2Qnp9I/edit?usp=sharing"",""กระบี่!J83"")"),0)</f>
        <v>0</v>
      </c>
      <c r="AJ75" s="72">
        <f ca="1">IFERROR(__xludf.DUMMYFUNCTION("IMPORTRANGE(""https://docs.google.com/spreadsheets/d/1kC41EOXpGBFOW658Fs3oD8beYlym0-zO54WY-2Qnp9I/edit?usp=sharing"",""กระบี่!I84"")"),1)</f>
        <v>1</v>
      </c>
      <c r="AK75" s="73">
        <f ca="1">IFERROR(__xludf.DUMMYFUNCTION("IMPORTRANGE(""https://docs.google.com/spreadsheets/d/1kC41EOXpGBFOW658Fs3oD8beYlym0-zO54WY-2Qnp9I/edit?usp=sharing"",""กระบี่!J84"")"),0)</f>
        <v>0</v>
      </c>
      <c r="AL75" s="75">
        <f t="shared" ca="1" si="27"/>
        <v>0</v>
      </c>
    </row>
    <row r="76" spans="1:38" ht="21" customHeight="1" x14ac:dyDescent="0.2">
      <c r="A76" s="78">
        <v>2</v>
      </c>
      <c r="B76" s="79" t="s">
        <v>98</v>
      </c>
      <c r="C76" s="80">
        <f t="shared" ca="1" si="0"/>
        <v>795800</v>
      </c>
      <c r="D76" s="81">
        <f t="shared" ca="1" si="47"/>
        <v>795800</v>
      </c>
      <c r="E76" s="82">
        <f ca="1">IFERROR(__xludf.DUMMYFUNCTION("IMPORTRANGE(""https://docs.google.com/spreadsheets/d/1MeEWN-I1oV_STSDYn1IFDPWt_1FKiwhDph83XaGc0o0/edit?usp=sharing"",""งบพรบ!AH76"")"),411800)</f>
        <v>411800</v>
      </c>
      <c r="F76" s="82">
        <f ca="1">IFERROR(__xludf.DUMMYFUNCTION("IMPORTRANGE(""https://docs.google.com/spreadsheets/d/1MeEWN-I1oV_STSDYn1IFDPWt_1FKiwhDph83XaGc0o0/edit?usp=sharing"",""งบพรบ!AI76"")"),384000)</f>
        <v>384000</v>
      </c>
      <c r="G76" s="82">
        <f ca="1">IFERROR(__xludf.DUMMYFUNCTION("IMPORTRANGE(""https://docs.google.com/spreadsheets/d/1MeEWN-I1oV_STSDYn1IFDPWt_1FKiwhDph83XaGc0o0/edit?usp=sharing"",""งบพรบ!AJ76"")"),0)</f>
        <v>0</v>
      </c>
      <c r="H76" s="82">
        <f ca="1">IFERROR(__xludf.DUMMYFUNCTION("IMPORTRANGE(""https://docs.google.com/spreadsheets/d/1MeEWN-I1oV_STSDYn1IFDPWt_1FKiwhDph83XaGc0o0/edit?usp=sharing"",""งบพรบ!AL76"")"),750600)</f>
        <v>750600</v>
      </c>
      <c r="I76" s="82">
        <f ca="1">IFERROR(__xludf.DUMMYFUNCTION("IMPORTRANGE(""https://docs.google.com/spreadsheets/d/1MeEWN-I1oV_STSDYn1IFDPWt_1FKiwhDph83XaGc0o0/edit?usp=sharing"",""งบพรบ!AM76"")"),0)</f>
        <v>0</v>
      </c>
      <c r="J76" s="82">
        <f t="shared" ca="1" si="3"/>
        <v>305655</v>
      </c>
      <c r="K76" s="83">
        <f t="shared" ca="1" si="4"/>
        <v>38.408519728575016</v>
      </c>
      <c r="L76" s="82">
        <f ca="1">IFERROR(__xludf.DUMMYFUNCTION("IMPORTRANGE(""https://docs.google.com/spreadsheets/d/1MeEWN-I1oV_STSDYn1IFDPWt_1FKiwhDph83XaGc0o0/edit?usp=sharing"",""งบพรบ!AN76"")"),305655)</f>
        <v>305655</v>
      </c>
      <c r="M76" s="84">
        <f t="shared" ca="1" si="5"/>
        <v>38.408519728575016</v>
      </c>
      <c r="N76" s="84">
        <f t="shared" ca="1" si="6"/>
        <v>40.721422861710629</v>
      </c>
      <c r="O76" s="85">
        <f ca="1">IFERROR(__xludf.DUMMYFUNCTION("IMPORTRANGE(""https://docs.google.com/spreadsheets/d/1MeEWN-I1oV_STSDYn1IFDPWt_1FKiwhDph83XaGc0o0/edit?usp=sharing"",""งบพรบ!AO76"")"),0)</f>
        <v>0</v>
      </c>
      <c r="P76" s="85">
        <f t="shared" ca="1" si="29"/>
        <v>0</v>
      </c>
      <c r="Q76" s="84">
        <f t="shared" ca="1" si="8"/>
        <v>0</v>
      </c>
      <c r="R76" s="86">
        <f t="shared" ca="1" si="30"/>
        <v>1</v>
      </c>
      <c r="S76" s="86">
        <f t="shared" ca="1" si="24"/>
        <v>30</v>
      </c>
      <c r="T76" s="86">
        <f t="shared" ca="1" si="48"/>
        <v>1</v>
      </c>
      <c r="U76" s="87">
        <f t="shared" ca="1" si="25"/>
        <v>100</v>
      </c>
      <c r="V76" s="86">
        <f t="shared" ca="1" si="49"/>
        <v>30</v>
      </c>
      <c r="W76" s="87">
        <f t="shared" ca="1" si="26"/>
        <v>100</v>
      </c>
      <c r="X76" s="82">
        <f ca="1">IFERROR(__xludf.DUMMYFUNCTION("IMPORTRANGE(""https://docs.google.com/spreadsheets/d/1FbzMZY_f3MDiEuK7RpCQKrilJ_kpX0Wm7QBZ1L7EjIU/edit?usp=sharing"",""ชุมพร!I78"")"),1)</f>
        <v>1</v>
      </c>
      <c r="Y76" s="82">
        <f ca="1">IFERROR(__xludf.DUMMYFUNCTION("IMPORTRANGE(""https://docs.google.com/spreadsheets/d/1FbzMZY_f3MDiEuK7RpCQKrilJ_kpX0Wm7QBZ1L7EjIU/edit?usp=sharing"",""ชุมพร!I79"")"),30)</f>
        <v>30</v>
      </c>
      <c r="Z76" s="86">
        <f ca="1">IFERROR(__xludf.DUMMYFUNCTION("IMPORTRANGE(""https://docs.google.com/spreadsheets/d/1FbzMZY_f3MDiEuK7RpCQKrilJ_kpX0Wm7QBZ1L7EjIU/edit?usp=sharing"",""ชุมพร!J78"")"),1)</f>
        <v>1</v>
      </c>
      <c r="AA76" s="86">
        <f ca="1">IFERROR(__xludf.DUMMYFUNCTION("IMPORTRANGE(""https://docs.google.com/spreadsheets/d/1FbzMZY_f3MDiEuK7RpCQKrilJ_kpX0Wm7QBZ1L7EjIU/edit?usp=sharing"",""ชุมพร!J79"")"),30)</f>
        <v>30</v>
      </c>
      <c r="AB76" s="82">
        <f ca="1">IFERROR(__xludf.DUMMYFUNCTION("IMPORTRANGE(""https://docs.google.com/spreadsheets/d/1FbzMZY_f3MDiEuK7RpCQKrilJ_kpX0Wm7QBZ1L7EjIU/edit?usp=sharing"",""ชุมพร!I80"")"),0)</f>
        <v>0</v>
      </c>
      <c r="AC76" s="82">
        <f ca="1">IFERROR(__xludf.DUMMYFUNCTION("IMPORTRANGE(""https://docs.google.com/spreadsheets/d/1FbzMZY_f3MDiEuK7RpCQKrilJ_kpX0Wm7QBZ1L7EjIU/edit?usp=sharing"",""ชุมพร!I81"")"),0)</f>
        <v>0</v>
      </c>
      <c r="AD76" s="86">
        <f ca="1">IFERROR(__xludf.DUMMYFUNCTION("IMPORTRANGE(""https://docs.google.com/spreadsheets/d/1FbzMZY_f3MDiEuK7RpCQKrilJ_kpX0Wm7QBZ1L7EjIU/edit?usp=sharing"",""ชุมพร!J80"")"),0)</f>
        <v>0</v>
      </c>
      <c r="AE76" s="86">
        <f ca="1">IFERROR(__xludf.DUMMYFUNCTION("IMPORTRANGE(""https://docs.google.com/spreadsheets/d/1FbzMZY_f3MDiEuK7RpCQKrilJ_kpX0Wm7QBZ1L7EjIU/edit?usp=sharing"",""ชุมพร!J81"")"),0)</f>
        <v>0</v>
      </c>
      <c r="AF76" s="82">
        <f ca="1">IFERROR(__xludf.DUMMYFUNCTION("IMPORTRANGE(""https://docs.google.com/spreadsheets/d/1FbzMZY_f3MDiEuK7RpCQKrilJ_kpX0Wm7QBZ1L7EjIU/edit?usp=sharing"",""ชุมพร!I82"")"),0)</f>
        <v>0</v>
      </c>
      <c r="AG76" s="82">
        <f ca="1">IFERROR(__xludf.DUMMYFUNCTION("IMPORTRANGE(""https://docs.google.com/spreadsheets/d/1FbzMZY_f3MDiEuK7RpCQKrilJ_kpX0Wm7QBZ1L7EjIU/edit?usp=sharing"",""ชุมพร!I83"")"),0)</f>
        <v>0</v>
      </c>
      <c r="AH76" s="86">
        <f ca="1">IFERROR(__xludf.DUMMYFUNCTION("IMPORTRANGE(""https://docs.google.com/spreadsheets/d/1FbzMZY_f3MDiEuK7RpCQKrilJ_kpX0Wm7QBZ1L7EjIU/edit?usp=sharing"",""ชุมพร!J82"")"),0)</f>
        <v>0</v>
      </c>
      <c r="AI76" s="86">
        <f ca="1">IFERROR(__xludf.DUMMYFUNCTION("IMPORTRANGE(""https://docs.google.com/spreadsheets/d/1FbzMZY_f3MDiEuK7RpCQKrilJ_kpX0Wm7QBZ1L7EjIU/edit?usp=sharing"",""ชุมพร!J83"")"),0)</f>
        <v>0</v>
      </c>
      <c r="AJ76" s="82">
        <f ca="1">IFERROR(__xludf.DUMMYFUNCTION("IMPORTRANGE(""https://docs.google.com/spreadsheets/d/1FbzMZY_f3MDiEuK7RpCQKrilJ_kpX0Wm7QBZ1L7EjIU/edit?usp=sharing"",""ชุมพร!I84"")"),1)</f>
        <v>1</v>
      </c>
      <c r="AK76" s="86">
        <f ca="1">IFERROR(__xludf.DUMMYFUNCTION("IMPORTRANGE(""https://docs.google.com/spreadsheets/d/1FbzMZY_f3MDiEuK7RpCQKrilJ_kpX0Wm7QBZ1L7EjIU/edit?usp=sharing"",""ชุมพร!J84"")"),0)</f>
        <v>0</v>
      </c>
      <c r="AL76" s="84">
        <f t="shared" ca="1" si="27"/>
        <v>0</v>
      </c>
    </row>
    <row r="77" spans="1:38" ht="21" customHeight="1" x14ac:dyDescent="0.2">
      <c r="A77" s="78">
        <v>3</v>
      </c>
      <c r="B77" s="79" t="s">
        <v>99</v>
      </c>
      <c r="C77" s="80">
        <f t="shared" ca="1" si="0"/>
        <v>0</v>
      </c>
      <c r="D77" s="81">
        <f t="shared" ca="1" si="47"/>
        <v>0</v>
      </c>
      <c r="E77" s="82">
        <f ca="1">IFERROR(__xludf.DUMMYFUNCTION("IMPORTRANGE(""https://docs.google.com/spreadsheets/d/1MeEWN-I1oV_STSDYn1IFDPWt_1FKiwhDph83XaGc0o0/edit?usp=sharing"",""งบพรบ!AH77"")"),0)</f>
        <v>0</v>
      </c>
      <c r="F77" s="82">
        <f ca="1">IFERROR(__xludf.DUMMYFUNCTION("IMPORTRANGE(""https://docs.google.com/spreadsheets/d/1MeEWN-I1oV_STSDYn1IFDPWt_1FKiwhDph83XaGc0o0/edit?usp=sharing"",""งบพรบ!AI77"")"),0)</f>
        <v>0</v>
      </c>
      <c r="G77" s="82">
        <f ca="1">IFERROR(__xludf.DUMMYFUNCTION("IMPORTRANGE(""https://docs.google.com/spreadsheets/d/1MeEWN-I1oV_STSDYn1IFDPWt_1FKiwhDph83XaGc0o0/edit?usp=sharing"",""งบพรบ!AJ77"")"),0)</f>
        <v>0</v>
      </c>
      <c r="H77" s="82">
        <f ca="1">IFERROR(__xludf.DUMMYFUNCTION("IMPORTRANGE(""https://docs.google.com/spreadsheets/d/1MeEWN-I1oV_STSDYn1IFDPWt_1FKiwhDph83XaGc0o0/edit?usp=sharing"",""งบพรบ!AL77"")"),0)</f>
        <v>0</v>
      </c>
      <c r="I77" s="82">
        <f ca="1">IFERROR(__xludf.DUMMYFUNCTION("IMPORTRANGE(""https://docs.google.com/spreadsheets/d/1MeEWN-I1oV_STSDYn1IFDPWt_1FKiwhDph83XaGc0o0/edit?usp=sharing"",""งบพรบ!AM77"")"),0)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IFERROR(__xludf.DUMMYFUNCTION("IMPORTRANGE(""https://docs.google.com/spreadsheets/d/1MeEWN-I1oV_STSDYn1IFDPWt_1FKiwhDph83XaGc0o0/edit?usp=sharing"",""งบพรบ!AN77"")"),0)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IFERROR(__xludf.DUMMYFUNCTION("IMPORTRANGE(""https://docs.google.com/spreadsheets/d/1MeEWN-I1oV_STSDYn1IFDPWt_1FKiwhDph83XaGc0o0/edit?usp=sharing"",""งบพรบ!AO77"")"),0)</f>
        <v>0</v>
      </c>
      <c r="P77" s="85">
        <f t="shared" ca="1" si="29"/>
        <v>0</v>
      </c>
      <c r="Q77" s="84">
        <f t="shared" ca="1" si="8"/>
        <v>0</v>
      </c>
      <c r="R77" s="86">
        <f t="shared" ca="1" si="30"/>
        <v>0</v>
      </c>
      <c r="S77" s="86">
        <f t="shared" ca="1" si="24"/>
        <v>0</v>
      </c>
      <c r="T77" s="86">
        <f t="shared" ca="1" si="48"/>
        <v>0</v>
      </c>
      <c r="U77" s="87">
        <f t="shared" ca="1" si="25"/>
        <v>0</v>
      </c>
      <c r="V77" s="86">
        <f t="shared" ca="1" si="49"/>
        <v>0</v>
      </c>
      <c r="W77" s="87">
        <f t="shared" ca="1" si="26"/>
        <v>0</v>
      </c>
      <c r="X77" s="82">
        <f ca="1">IFERROR(__xludf.DUMMYFUNCTION("IMPORTRANGE(""https://docs.google.com/spreadsheets/d/1v5sN-00LrXuhBxw4dkh2GrG_z4l5oAqOdJRBCsUyMaM/edit?usp=sharing"",""ตรัง!I78"")"),0)</f>
        <v>0</v>
      </c>
      <c r="Y77" s="82">
        <f ca="1">IFERROR(__xludf.DUMMYFUNCTION("IMPORTRANGE(""https://docs.google.com/spreadsheets/d/1v5sN-00LrXuhBxw4dkh2GrG_z4l5oAqOdJRBCsUyMaM/edit?usp=sharing"",""ตรัง!I79"")"),0)</f>
        <v>0</v>
      </c>
      <c r="Z77" s="86">
        <f ca="1">IFERROR(__xludf.DUMMYFUNCTION("IMPORTRANGE(""https://docs.google.com/spreadsheets/d/1v5sN-00LrXuhBxw4dkh2GrG_z4l5oAqOdJRBCsUyMaM/edit?usp=sharing"",""ตรัง!J78"")"),0)</f>
        <v>0</v>
      </c>
      <c r="AA77" s="86">
        <f ca="1">IFERROR(__xludf.DUMMYFUNCTION("IMPORTRANGE(""https://docs.google.com/spreadsheets/d/1v5sN-00LrXuhBxw4dkh2GrG_z4l5oAqOdJRBCsUyMaM/edit?usp=sharing"",""ตรัง!J79"")"),0)</f>
        <v>0</v>
      </c>
      <c r="AB77" s="82">
        <f ca="1">IFERROR(__xludf.DUMMYFUNCTION("IMPORTRANGE(""https://docs.google.com/spreadsheets/d/1v5sN-00LrXuhBxw4dkh2GrG_z4l5oAqOdJRBCsUyMaM/edit?usp=sharing"",""ตรัง!I80"")"),0)</f>
        <v>0</v>
      </c>
      <c r="AC77" s="82">
        <f ca="1">IFERROR(__xludf.DUMMYFUNCTION("IMPORTRANGE(""https://docs.google.com/spreadsheets/d/1v5sN-00LrXuhBxw4dkh2GrG_z4l5oAqOdJRBCsUyMaM/edit?usp=sharing"",""ตรัง!I81"")"),0)</f>
        <v>0</v>
      </c>
      <c r="AD77" s="86">
        <f ca="1">IFERROR(__xludf.DUMMYFUNCTION("IMPORTRANGE(""https://docs.google.com/spreadsheets/d/1v5sN-00LrXuhBxw4dkh2GrG_z4l5oAqOdJRBCsUyMaM/edit?usp=sharing"",""ตรัง!J80"")"),0)</f>
        <v>0</v>
      </c>
      <c r="AE77" s="86">
        <f ca="1">IFERROR(__xludf.DUMMYFUNCTION("IMPORTRANGE(""https://docs.google.com/spreadsheets/d/1v5sN-00LrXuhBxw4dkh2GrG_z4l5oAqOdJRBCsUyMaM/edit?usp=sharing"",""ตรัง!J81"")"),0)</f>
        <v>0</v>
      </c>
      <c r="AF77" s="82">
        <f ca="1">IFERROR(__xludf.DUMMYFUNCTION("IMPORTRANGE(""https://docs.google.com/spreadsheets/d/1v5sN-00LrXuhBxw4dkh2GrG_z4l5oAqOdJRBCsUyMaM/edit?usp=sharing"",""ตรัง!I82"")"),0)</f>
        <v>0</v>
      </c>
      <c r="AG77" s="82">
        <f ca="1">IFERROR(__xludf.DUMMYFUNCTION("IMPORTRANGE(""https://docs.google.com/spreadsheets/d/1v5sN-00LrXuhBxw4dkh2GrG_z4l5oAqOdJRBCsUyMaM/edit?usp=sharing"",""ตรัง!I83"")"),0)</f>
        <v>0</v>
      </c>
      <c r="AH77" s="86">
        <f ca="1">IFERROR(__xludf.DUMMYFUNCTION("IMPORTRANGE(""https://docs.google.com/spreadsheets/d/1v5sN-00LrXuhBxw4dkh2GrG_z4l5oAqOdJRBCsUyMaM/edit?usp=sharing"",""ตรัง!J82"")"),0)</f>
        <v>0</v>
      </c>
      <c r="AI77" s="86">
        <f ca="1">IFERROR(__xludf.DUMMYFUNCTION("IMPORTRANGE(""https://docs.google.com/spreadsheets/d/1v5sN-00LrXuhBxw4dkh2GrG_z4l5oAqOdJRBCsUyMaM/edit?usp=sharing"",""ตรัง!J83"")"),0)</f>
        <v>0</v>
      </c>
      <c r="AJ77" s="82">
        <f ca="1">IFERROR(__xludf.DUMMYFUNCTION("IMPORTRANGE(""https://docs.google.com/spreadsheets/d/1v5sN-00LrXuhBxw4dkh2GrG_z4l5oAqOdJRBCsUyMaM/edit?usp=sharing"",""ตรัง!I84"")"),0)</f>
        <v>0</v>
      </c>
      <c r="AK77" s="86">
        <f ca="1">IFERROR(__xludf.DUMMYFUNCTION("IMPORTRANGE(""https://docs.google.com/spreadsheets/d/1v5sN-00LrXuhBxw4dkh2GrG_z4l5oAqOdJRBCsUyMaM/edit?usp=sharing"",""ตรัง!J84"")"),0)</f>
        <v>0</v>
      </c>
      <c r="AL77" s="84">
        <f t="shared" ca="1" si="27"/>
        <v>0</v>
      </c>
    </row>
    <row r="78" spans="1:38" ht="21" customHeight="1" x14ac:dyDescent="0.2">
      <c r="A78" s="78">
        <v>4</v>
      </c>
      <c r="B78" s="79" t="s">
        <v>100</v>
      </c>
      <c r="C78" s="80">
        <f t="shared" ca="1" si="0"/>
        <v>0</v>
      </c>
      <c r="D78" s="81">
        <f t="shared" ca="1" si="47"/>
        <v>0</v>
      </c>
      <c r="E78" s="82">
        <f ca="1">IFERROR(__xludf.DUMMYFUNCTION("IMPORTRANGE(""https://docs.google.com/spreadsheets/d/1MeEWN-I1oV_STSDYn1IFDPWt_1FKiwhDph83XaGc0o0/edit?usp=sharing"",""งบพรบ!AH78"")"),0)</f>
        <v>0</v>
      </c>
      <c r="F78" s="82">
        <f ca="1">IFERROR(__xludf.DUMMYFUNCTION("IMPORTRANGE(""https://docs.google.com/spreadsheets/d/1MeEWN-I1oV_STSDYn1IFDPWt_1FKiwhDph83XaGc0o0/edit?usp=sharing"",""งบพรบ!AI78"")"),0)</f>
        <v>0</v>
      </c>
      <c r="G78" s="82">
        <f ca="1">IFERROR(__xludf.DUMMYFUNCTION("IMPORTRANGE(""https://docs.google.com/spreadsheets/d/1MeEWN-I1oV_STSDYn1IFDPWt_1FKiwhDph83XaGc0o0/edit?usp=sharing"",""งบพรบ!AJ78"")"),0)</f>
        <v>0</v>
      </c>
      <c r="H78" s="82">
        <f ca="1">IFERROR(__xludf.DUMMYFUNCTION("IMPORTRANGE(""https://docs.google.com/spreadsheets/d/1MeEWN-I1oV_STSDYn1IFDPWt_1FKiwhDph83XaGc0o0/edit?usp=sharing"",""งบพรบ!AL78"")"),0)</f>
        <v>0</v>
      </c>
      <c r="I78" s="82">
        <f ca="1">IFERROR(__xludf.DUMMYFUNCTION("IMPORTRANGE(""https://docs.google.com/spreadsheets/d/1MeEWN-I1oV_STSDYn1IFDPWt_1FKiwhDph83XaGc0o0/edit?usp=sharing"",""งบพรบ!AM78"")"),0)</f>
        <v>0</v>
      </c>
      <c r="J78" s="82">
        <f t="shared" ca="1" si="3"/>
        <v>0</v>
      </c>
      <c r="K78" s="83">
        <f t="shared" ca="1" si="4"/>
        <v>0</v>
      </c>
      <c r="L78" s="82">
        <f ca="1">IFERROR(__xludf.DUMMYFUNCTION("IMPORTRANGE(""https://docs.google.com/spreadsheets/d/1MeEWN-I1oV_STSDYn1IFDPWt_1FKiwhDph83XaGc0o0/edit?usp=sharing"",""งบพรบ!AN78"")"),0)</f>
        <v>0</v>
      </c>
      <c r="M78" s="84">
        <f t="shared" ca="1" si="5"/>
        <v>0</v>
      </c>
      <c r="N78" s="84">
        <f t="shared" ca="1" si="6"/>
        <v>0</v>
      </c>
      <c r="O78" s="85">
        <f ca="1">IFERROR(__xludf.DUMMYFUNCTION("IMPORTRANGE(""https://docs.google.com/spreadsheets/d/1MeEWN-I1oV_STSDYn1IFDPWt_1FKiwhDph83XaGc0o0/edit?usp=sharing"",""งบพรบ!AO78"")"),0)</f>
        <v>0</v>
      </c>
      <c r="P78" s="85">
        <f t="shared" ca="1" si="29"/>
        <v>0</v>
      </c>
      <c r="Q78" s="84">
        <f t="shared" ca="1" si="8"/>
        <v>0</v>
      </c>
      <c r="R78" s="86">
        <f t="shared" ca="1" si="30"/>
        <v>0</v>
      </c>
      <c r="S78" s="86">
        <f t="shared" ca="1" si="24"/>
        <v>0</v>
      </c>
      <c r="T78" s="86">
        <f t="shared" ca="1" si="48"/>
        <v>0</v>
      </c>
      <c r="U78" s="87">
        <f t="shared" ca="1" si="25"/>
        <v>0</v>
      </c>
      <c r="V78" s="86">
        <f t="shared" ca="1" si="49"/>
        <v>0</v>
      </c>
      <c r="W78" s="87">
        <f t="shared" ca="1" si="26"/>
        <v>0</v>
      </c>
      <c r="X78" s="82">
        <f ca="1">IFERROR(__xludf.DUMMYFUNCTION("IMPORTRANGE(""https://docs.google.com/spreadsheets/d/1T5rRTzFc79aSIvqnzkZNvwPstq829QYz_xALlO1Z0s8/edit?usp=sharing"",""นครศรีธรรมราช!I78"")"),0)</f>
        <v>0</v>
      </c>
      <c r="Y78" s="82">
        <f ca="1">IFERROR(__xludf.DUMMYFUNCTION("IMPORTRANGE(""https://docs.google.com/spreadsheets/d/1T5rRTzFc79aSIvqnzkZNvwPstq829QYz_xALlO1Z0s8/edit?usp=sharing"",""นครศรีธรรมราช!I79"")"),0)</f>
        <v>0</v>
      </c>
      <c r="Z78" s="86">
        <f ca="1">IFERROR(__xludf.DUMMYFUNCTION("IMPORTRANGE(""https://docs.google.com/spreadsheets/d/1T5rRTzFc79aSIvqnzkZNvwPstq829QYz_xALlO1Z0s8/edit?usp=sharing"",""นครศรีธรรมราช!J78"")"),0)</f>
        <v>0</v>
      </c>
      <c r="AA78" s="86">
        <f ca="1">IFERROR(__xludf.DUMMYFUNCTION("IMPORTRANGE(""https://docs.google.com/spreadsheets/d/1T5rRTzFc79aSIvqnzkZNvwPstq829QYz_xALlO1Z0s8/edit?usp=sharing"",""นครศรีธรรมราช!J79"")"),0)</f>
        <v>0</v>
      </c>
      <c r="AB78" s="82">
        <f ca="1">IFERROR(__xludf.DUMMYFUNCTION("IMPORTRANGE(""https://docs.google.com/spreadsheets/d/1T5rRTzFc79aSIvqnzkZNvwPstq829QYz_xALlO1Z0s8/edit?usp=sharing"",""นครศรีธรรมราช!I80"")"),0)</f>
        <v>0</v>
      </c>
      <c r="AC78" s="82">
        <f ca="1">IFERROR(__xludf.DUMMYFUNCTION("IMPORTRANGE(""https://docs.google.com/spreadsheets/d/1T5rRTzFc79aSIvqnzkZNvwPstq829QYz_xALlO1Z0s8/edit?usp=sharing"",""นครศรีธรรมราช!I81"")"),0)</f>
        <v>0</v>
      </c>
      <c r="AD78" s="86">
        <f ca="1">IFERROR(__xludf.DUMMYFUNCTION("IMPORTRANGE(""https://docs.google.com/spreadsheets/d/1T5rRTzFc79aSIvqnzkZNvwPstq829QYz_xALlO1Z0s8/edit?usp=sharing"",""นครศรีธรรมราช!J80"")"),0)</f>
        <v>0</v>
      </c>
      <c r="AE78" s="86">
        <f ca="1">IFERROR(__xludf.DUMMYFUNCTION("IMPORTRANGE(""https://docs.google.com/spreadsheets/d/1T5rRTzFc79aSIvqnzkZNvwPstq829QYz_xALlO1Z0s8/edit?usp=sharing"",""นครศรีธรรมราช!J81"")"),0)</f>
        <v>0</v>
      </c>
      <c r="AF78" s="82">
        <f ca="1">IFERROR(__xludf.DUMMYFUNCTION("IMPORTRANGE(""https://docs.google.com/spreadsheets/d/1T5rRTzFc79aSIvqnzkZNvwPstq829QYz_xALlO1Z0s8/edit?usp=sharing"",""นครศรีธรรมราช!I82"")"),0)</f>
        <v>0</v>
      </c>
      <c r="AG78" s="82">
        <f ca="1">IFERROR(__xludf.DUMMYFUNCTION("IMPORTRANGE(""https://docs.google.com/spreadsheets/d/1T5rRTzFc79aSIvqnzkZNvwPstq829QYz_xALlO1Z0s8/edit?usp=sharing"",""นครศรีธรรมราช!I83"")"),0)</f>
        <v>0</v>
      </c>
      <c r="AH78" s="86">
        <f ca="1">IFERROR(__xludf.DUMMYFUNCTION("IMPORTRANGE(""https://docs.google.com/spreadsheets/d/1T5rRTzFc79aSIvqnzkZNvwPstq829QYz_xALlO1Z0s8/edit?usp=sharing"",""นครศรีธรรมราช!J82"")"),0)</f>
        <v>0</v>
      </c>
      <c r="AI78" s="86">
        <f ca="1">IFERROR(__xludf.DUMMYFUNCTION("IMPORTRANGE(""https://docs.google.com/spreadsheets/d/1T5rRTzFc79aSIvqnzkZNvwPstq829QYz_xALlO1Z0s8/edit?usp=sharing"",""นครศรีธรรมราช!J83"")"),0)</f>
        <v>0</v>
      </c>
      <c r="AJ78" s="82">
        <f ca="1">IFERROR(__xludf.DUMMYFUNCTION("IMPORTRANGE(""https://docs.google.com/spreadsheets/d/1T5rRTzFc79aSIvqnzkZNvwPstq829QYz_xALlO1Z0s8/edit?usp=sharing"",""นครศรีธรรมราช!I84"")"),0)</f>
        <v>0</v>
      </c>
      <c r="AK78" s="86">
        <f ca="1">IFERROR(__xludf.DUMMYFUNCTION("IMPORTRANGE(""https://docs.google.com/spreadsheets/d/1T5rRTzFc79aSIvqnzkZNvwPstq829QYz_xALlO1Z0s8/edit?usp=sharing"",""นครศรีธรรมราช!J84"")"),0)</f>
        <v>0</v>
      </c>
      <c r="AL78" s="84">
        <f t="shared" ca="1" si="27"/>
        <v>0</v>
      </c>
    </row>
    <row r="79" spans="1:38" ht="21" customHeight="1" x14ac:dyDescent="0.2">
      <c r="A79" s="78">
        <v>5</v>
      </c>
      <c r="B79" s="79" t="s">
        <v>101</v>
      </c>
      <c r="C79" s="80">
        <f t="shared" ca="1" si="0"/>
        <v>0</v>
      </c>
      <c r="D79" s="81">
        <f t="shared" ca="1" si="47"/>
        <v>0</v>
      </c>
      <c r="E79" s="82">
        <f ca="1">IFERROR(__xludf.DUMMYFUNCTION("IMPORTRANGE(""https://docs.google.com/spreadsheets/d/1MeEWN-I1oV_STSDYn1IFDPWt_1FKiwhDph83XaGc0o0/edit?usp=sharing"",""งบพรบ!AH79"")"),0)</f>
        <v>0</v>
      </c>
      <c r="F79" s="82">
        <f ca="1">IFERROR(__xludf.DUMMYFUNCTION("IMPORTRANGE(""https://docs.google.com/spreadsheets/d/1MeEWN-I1oV_STSDYn1IFDPWt_1FKiwhDph83XaGc0o0/edit?usp=sharing"",""งบพรบ!AI79"")"),0)</f>
        <v>0</v>
      </c>
      <c r="G79" s="82">
        <f ca="1">IFERROR(__xludf.DUMMYFUNCTION("IMPORTRANGE(""https://docs.google.com/spreadsheets/d/1MeEWN-I1oV_STSDYn1IFDPWt_1FKiwhDph83XaGc0o0/edit?usp=sharing"",""งบพรบ!AJ79"")"),0)</f>
        <v>0</v>
      </c>
      <c r="H79" s="82">
        <f ca="1">IFERROR(__xludf.DUMMYFUNCTION("IMPORTRANGE(""https://docs.google.com/spreadsheets/d/1MeEWN-I1oV_STSDYn1IFDPWt_1FKiwhDph83XaGc0o0/edit?usp=sharing"",""งบพรบ!AL79"")"),0)</f>
        <v>0</v>
      </c>
      <c r="I79" s="82">
        <f ca="1">IFERROR(__xludf.DUMMYFUNCTION("IMPORTRANGE(""https://docs.google.com/spreadsheets/d/1MeEWN-I1oV_STSDYn1IFDPWt_1FKiwhDph83XaGc0o0/edit?usp=sharing"",""งบพรบ!AM79"")"),0)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IFERROR(__xludf.DUMMYFUNCTION("IMPORTRANGE(""https://docs.google.com/spreadsheets/d/1MeEWN-I1oV_STSDYn1IFDPWt_1FKiwhDph83XaGc0o0/edit?usp=sharing"",""งบพรบ!AN79"")"),0)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IFERROR(__xludf.DUMMYFUNCTION("IMPORTRANGE(""https://docs.google.com/spreadsheets/d/1MeEWN-I1oV_STSDYn1IFDPWt_1FKiwhDph83XaGc0o0/edit?usp=sharing"",""งบพรบ!AO79"")"),0)</f>
        <v>0</v>
      </c>
      <c r="P79" s="85">
        <f t="shared" ca="1" si="29"/>
        <v>0</v>
      </c>
      <c r="Q79" s="84">
        <f t="shared" ca="1" si="8"/>
        <v>0</v>
      </c>
      <c r="R79" s="86">
        <f t="shared" ca="1" si="30"/>
        <v>0</v>
      </c>
      <c r="S79" s="86">
        <f t="shared" ca="1" si="24"/>
        <v>0</v>
      </c>
      <c r="T79" s="86">
        <f t="shared" ca="1" si="48"/>
        <v>0</v>
      </c>
      <c r="U79" s="87">
        <f t="shared" ca="1" si="25"/>
        <v>0</v>
      </c>
      <c r="V79" s="86">
        <f t="shared" ca="1" si="49"/>
        <v>0</v>
      </c>
      <c r="W79" s="87">
        <f t="shared" ca="1" si="26"/>
        <v>0</v>
      </c>
      <c r="X79" s="82">
        <f ca="1">IFERROR(__xludf.DUMMYFUNCTION("IMPORTRANGE(""https://docs.google.com/spreadsheets/d/1BeghqumK0IvCmRd2QOy6_afsZq7ZtAGrSnVJy2u7WmY/edit?usp=sharing"",""นราธิวาส!I78"")"),0)</f>
        <v>0</v>
      </c>
      <c r="Y79" s="82">
        <f ca="1">IFERROR(__xludf.DUMMYFUNCTION("IMPORTRANGE(""https://docs.google.com/spreadsheets/d/1BeghqumK0IvCmRd2QOy6_afsZq7ZtAGrSnVJy2u7WmY/edit?usp=sharing"",""นราธิวาส!I79"")"),0)</f>
        <v>0</v>
      </c>
      <c r="Z79" s="86">
        <f ca="1">IFERROR(__xludf.DUMMYFUNCTION("IMPORTRANGE(""https://docs.google.com/spreadsheets/d/1BeghqumK0IvCmRd2QOy6_afsZq7ZtAGrSnVJy2u7WmY/edit?usp=sharing"",""นราธิวาส!J78"")"),0)</f>
        <v>0</v>
      </c>
      <c r="AA79" s="86">
        <f ca="1">IFERROR(__xludf.DUMMYFUNCTION("IMPORTRANGE(""https://docs.google.com/spreadsheets/d/1BeghqumK0IvCmRd2QOy6_afsZq7ZtAGrSnVJy2u7WmY/edit?usp=sharing"",""นราธิวาส!J79"")"),0)</f>
        <v>0</v>
      </c>
      <c r="AB79" s="82">
        <f ca="1">IFERROR(__xludf.DUMMYFUNCTION("IMPORTRANGE(""https://docs.google.com/spreadsheets/d/1BeghqumK0IvCmRd2QOy6_afsZq7ZtAGrSnVJy2u7WmY/edit?usp=sharing"",""นราธิวาส!I80"")"),0)</f>
        <v>0</v>
      </c>
      <c r="AC79" s="82">
        <f ca="1">IFERROR(__xludf.DUMMYFUNCTION("IMPORTRANGE(""https://docs.google.com/spreadsheets/d/1BeghqumK0IvCmRd2QOy6_afsZq7ZtAGrSnVJy2u7WmY/edit?usp=sharing"",""นราธิวาส!I81"")"),0)</f>
        <v>0</v>
      </c>
      <c r="AD79" s="86">
        <f ca="1">IFERROR(__xludf.DUMMYFUNCTION("IMPORTRANGE(""https://docs.google.com/spreadsheets/d/1BeghqumK0IvCmRd2QOy6_afsZq7ZtAGrSnVJy2u7WmY/edit?usp=sharing"",""นราธิวาส!J80"")"),0)</f>
        <v>0</v>
      </c>
      <c r="AE79" s="86">
        <f ca="1">IFERROR(__xludf.DUMMYFUNCTION("IMPORTRANGE(""https://docs.google.com/spreadsheets/d/1BeghqumK0IvCmRd2QOy6_afsZq7ZtAGrSnVJy2u7WmY/edit?usp=sharing"",""นราธิวาส!J81"")"),0)</f>
        <v>0</v>
      </c>
      <c r="AF79" s="82">
        <f ca="1">IFERROR(__xludf.DUMMYFUNCTION("IMPORTRANGE(""https://docs.google.com/spreadsheets/d/1BeghqumK0IvCmRd2QOy6_afsZq7ZtAGrSnVJy2u7WmY/edit?usp=sharing"",""นราธิวาส!I82"")"),0)</f>
        <v>0</v>
      </c>
      <c r="AG79" s="82">
        <f ca="1">IFERROR(__xludf.DUMMYFUNCTION("IMPORTRANGE(""https://docs.google.com/spreadsheets/d/1BeghqumK0IvCmRd2QOy6_afsZq7ZtAGrSnVJy2u7WmY/edit?usp=sharing"",""นราธิวาส!I83"")"),0)</f>
        <v>0</v>
      </c>
      <c r="AH79" s="86">
        <f ca="1">IFERROR(__xludf.DUMMYFUNCTION("IMPORTRANGE(""https://docs.google.com/spreadsheets/d/1BeghqumK0IvCmRd2QOy6_afsZq7ZtAGrSnVJy2u7WmY/edit?usp=sharing"",""นราธิวาส!J82"")"),0)</f>
        <v>0</v>
      </c>
      <c r="AI79" s="86">
        <f ca="1">IFERROR(__xludf.DUMMYFUNCTION("IMPORTRANGE(""https://docs.google.com/spreadsheets/d/1BeghqumK0IvCmRd2QOy6_afsZq7ZtAGrSnVJy2u7WmY/edit?usp=sharing"",""นราธิวาส!J83"")"),0)</f>
        <v>0</v>
      </c>
      <c r="AJ79" s="82">
        <f ca="1">IFERROR(__xludf.DUMMYFUNCTION("IMPORTRANGE(""https://docs.google.com/spreadsheets/d/1BeghqumK0IvCmRd2QOy6_afsZq7ZtAGrSnVJy2u7WmY/edit?usp=sharing"",""นราธิวาส!I84"")"),0)</f>
        <v>0</v>
      </c>
      <c r="AK79" s="86">
        <f ca="1">IFERROR(__xludf.DUMMYFUNCTION("IMPORTRANGE(""https://docs.google.com/spreadsheets/d/1BeghqumK0IvCmRd2QOy6_afsZq7ZtAGrSnVJy2u7WmY/edit?usp=sharing"",""นราธิวาส!J84"")"),0)</f>
        <v>0</v>
      </c>
      <c r="AL79" s="84">
        <f t="shared" ca="1" si="27"/>
        <v>0</v>
      </c>
    </row>
    <row r="80" spans="1:38" ht="21" customHeight="1" x14ac:dyDescent="0.2">
      <c r="A80" s="78">
        <v>6</v>
      </c>
      <c r="B80" s="79" t="s">
        <v>102</v>
      </c>
      <c r="C80" s="80">
        <f t="shared" ca="1" si="0"/>
        <v>0</v>
      </c>
      <c r="D80" s="81">
        <f t="shared" ca="1" si="47"/>
        <v>0</v>
      </c>
      <c r="E80" s="82">
        <f ca="1">IFERROR(__xludf.DUMMYFUNCTION("IMPORTRANGE(""https://docs.google.com/spreadsheets/d/1MeEWN-I1oV_STSDYn1IFDPWt_1FKiwhDph83XaGc0o0/edit?usp=sharing"",""งบพรบ!AH80"")"),0)</f>
        <v>0</v>
      </c>
      <c r="F80" s="82">
        <f ca="1">IFERROR(__xludf.DUMMYFUNCTION("IMPORTRANGE(""https://docs.google.com/spreadsheets/d/1MeEWN-I1oV_STSDYn1IFDPWt_1FKiwhDph83XaGc0o0/edit?usp=sharing"",""งบพรบ!AI80"")"),0)</f>
        <v>0</v>
      </c>
      <c r="G80" s="82">
        <f ca="1">IFERROR(__xludf.DUMMYFUNCTION("IMPORTRANGE(""https://docs.google.com/spreadsheets/d/1MeEWN-I1oV_STSDYn1IFDPWt_1FKiwhDph83XaGc0o0/edit?usp=sharing"",""งบพรบ!AJ80"")"),0)</f>
        <v>0</v>
      </c>
      <c r="H80" s="82">
        <f ca="1">IFERROR(__xludf.DUMMYFUNCTION("IMPORTRANGE(""https://docs.google.com/spreadsheets/d/1MeEWN-I1oV_STSDYn1IFDPWt_1FKiwhDph83XaGc0o0/edit?usp=sharing"",""งบพรบ!AL80"")"),0)</f>
        <v>0</v>
      </c>
      <c r="I80" s="82">
        <f ca="1">IFERROR(__xludf.DUMMYFUNCTION("IMPORTRANGE(""https://docs.google.com/spreadsheets/d/1MeEWN-I1oV_STSDYn1IFDPWt_1FKiwhDph83XaGc0o0/edit?usp=sharing"",""งบพรบ!AM80"")"),0)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IFERROR(__xludf.DUMMYFUNCTION("IMPORTRANGE(""https://docs.google.com/spreadsheets/d/1MeEWN-I1oV_STSDYn1IFDPWt_1FKiwhDph83XaGc0o0/edit?usp=sharing"",""งบพรบ!AN80"")"),0)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IFERROR(__xludf.DUMMYFUNCTION("IMPORTRANGE(""https://docs.google.com/spreadsheets/d/1MeEWN-I1oV_STSDYn1IFDPWt_1FKiwhDph83XaGc0o0/edit?usp=sharing"",""งบพรบ!AO80"")"),0)</f>
        <v>0</v>
      </c>
      <c r="P80" s="85">
        <f t="shared" ca="1" si="29"/>
        <v>0</v>
      </c>
      <c r="Q80" s="84">
        <f t="shared" ca="1" si="8"/>
        <v>0</v>
      </c>
      <c r="R80" s="86">
        <f t="shared" ca="1" si="30"/>
        <v>0</v>
      </c>
      <c r="S80" s="86">
        <f t="shared" ca="1" si="24"/>
        <v>0</v>
      </c>
      <c r="T80" s="86">
        <f t="shared" ca="1" si="48"/>
        <v>0</v>
      </c>
      <c r="U80" s="87">
        <f t="shared" ca="1" si="25"/>
        <v>0</v>
      </c>
      <c r="V80" s="86">
        <f t="shared" ca="1" si="49"/>
        <v>0</v>
      </c>
      <c r="W80" s="87">
        <f t="shared" ca="1" si="26"/>
        <v>0</v>
      </c>
      <c r="X80" s="82">
        <f ca="1">IFERROR(__xludf.DUMMYFUNCTION("IMPORTRANGE(""https://docs.google.com/spreadsheets/d/1IwnW3-jjRf74MCLW-6PiFwMUffRQXZwZA7YM609NmRc/edit?usp=sharing"",""ปัตตานี!I78"")"),0)</f>
        <v>0</v>
      </c>
      <c r="Y80" s="82">
        <f ca="1">IFERROR(__xludf.DUMMYFUNCTION("IMPORTRANGE(""https://docs.google.com/spreadsheets/d/1IwnW3-jjRf74MCLW-6PiFwMUffRQXZwZA7YM609NmRc/edit?usp=sharing"",""ปัตตานี!I79"")"),0)</f>
        <v>0</v>
      </c>
      <c r="Z80" s="86">
        <f ca="1">IFERROR(__xludf.DUMMYFUNCTION("IMPORTRANGE(""https://docs.google.com/spreadsheets/d/1IwnW3-jjRf74MCLW-6PiFwMUffRQXZwZA7YM609NmRc/edit?usp=sharing"",""ปัตตานี!J78"")"),0)</f>
        <v>0</v>
      </c>
      <c r="AA80" s="86">
        <f ca="1">IFERROR(__xludf.DUMMYFUNCTION("IMPORTRANGE(""https://docs.google.com/spreadsheets/d/1IwnW3-jjRf74MCLW-6PiFwMUffRQXZwZA7YM609NmRc/edit?usp=sharing"",""ปัตตานี!J79"")"),0)</f>
        <v>0</v>
      </c>
      <c r="AB80" s="82">
        <f ca="1">IFERROR(__xludf.DUMMYFUNCTION("IMPORTRANGE(""https://docs.google.com/spreadsheets/d/1IwnW3-jjRf74MCLW-6PiFwMUffRQXZwZA7YM609NmRc/edit?usp=sharing"",""ปัตตานี!I80"")"),0)</f>
        <v>0</v>
      </c>
      <c r="AC80" s="82">
        <f ca="1">IFERROR(__xludf.DUMMYFUNCTION("IMPORTRANGE(""https://docs.google.com/spreadsheets/d/1IwnW3-jjRf74MCLW-6PiFwMUffRQXZwZA7YM609NmRc/edit?usp=sharing"",""ปัตตานี!I81"")"),0)</f>
        <v>0</v>
      </c>
      <c r="AD80" s="86">
        <f ca="1">IFERROR(__xludf.DUMMYFUNCTION("IMPORTRANGE(""https://docs.google.com/spreadsheets/d/1IwnW3-jjRf74MCLW-6PiFwMUffRQXZwZA7YM609NmRc/edit?usp=sharing"",""ปัตตานี!J80"")"),0)</f>
        <v>0</v>
      </c>
      <c r="AE80" s="86">
        <f ca="1">IFERROR(__xludf.DUMMYFUNCTION("IMPORTRANGE(""https://docs.google.com/spreadsheets/d/1IwnW3-jjRf74MCLW-6PiFwMUffRQXZwZA7YM609NmRc/edit?usp=sharing"",""ปัตตานี!J81"")"),0)</f>
        <v>0</v>
      </c>
      <c r="AF80" s="82">
        <f ca="1">IFERROR(__xludf.DUMMYFUNCTION("IMPORTRANGE(""https://docs.google.com/spreadsheets/d/1IwnW3-jjRf74MCLW-6PiFwMUffRQXZwZA7YM609NmRc/edit?usp=sharing"",""ปัตตานี!I82"")"),0)</f>
        <v>0</v>
      </c>
      <c r="AG80" s="82">
        <f ca="1">IFERROR(__xludf.DUMMYFUNCTION("IMPORTRANGE(""https://docs.google.com/spreadsheets/d/1IwnW3-jjRf74MCLW-6PiFwMUffRQXZwZA7YM609NmRc/edit?usp=sharing"",""ปัตตานี!I83"")"),0)</f>
        <v>0</v>
      </c>
      <c r="AH80" s="86">
        <f ca="1">IFERROR(__xludf.DUMMYFUNCTION("IMPORTRANGE(""https://docs.google.com/spreadsheets/d/1IwnW3-jjRf74MCLW-6PiFwMUffRQXZwZA7YM609NmRc/edit?usp=sharing"",""ปัตตานี!J82"")"),0)</f>
        <v>0</v>
      </c>
      <c r="AI80" s="86">
        <f ca="1">IFERROR(__xludf.DUMMYFUNCTION("IMPORTRANGE(""https://docs.google.com/spreadsheets/d/1IwnW3-jjRf74MCLW-6PiFwMUffRQXZwZA7YM609NmRc/edit?usp=sharing"",""ปัตตานี!J83"")"),0)</f>
        <v>0</v>
      </c>
      <c r="AJ80" s="82">
        <f ca="1">IFERROR(__xludf.DUMMYFUNCTION("IMPORTRANGE(""https://docs.google.com/spreadsheets/d/1IwnW3-jjRf74MCLW-6PiFwMUffRQXZwZA7YM609NmRc/edit?usp=sharing"",""ปัตตานี!I84"")"),0)</f>
        <v>0</v>
      </c>
      <c r="AK80" s="86">
        <f ca="1">IFERROR(__xludf.DUMMYFUNCTION("IMPORTRANGE(""https://docs.google.com/spreadsheets/d/1IwnW3-jjRf74MCLW-6PiFwMUffRQXZwZA7YM609NmRc/edit?usp=sharing"",""ปัตตานี!J84"")"),0)</f>
        <v>0</v>
      </c>
      <c r="AL80" s="84">
        <f t="shared" ca="1" si="27"/>
        <v>0</v>
      </c>
    </row>
    <row r="81" spans="1:38" ht="21" customHeight="1" x14ac:dyDescent="0.2">
      <c r="A81" s="78">
        <v>7</v>
      </c>
      <c r="B81" s="79" t="s">
        <v>103</v>
      </c>
      <c r="C81" s="80">
        <f t="shared" ca="1" si="0"/>
        <v>0</v>
      </c>
      <c r="D81" s="81">
        <f t="shared" ca="1" si="47"/>
        <v>0</v>
      </c>
      <c r="E81" s="82">
        <f ca="1">IFERROR(__xludf.DUMMYFUNCTION("IMPORTRANGE(""https://docs.google.com/spreadsheets/d/1MeEWN-I1oV_STSDYn1IFDPWt_1FKiwhDph83XaGc0o0/edit?usp=sharing"",""งบพรบ!AH81"")"),0)</f>
        <v>0</v>
      </c>
      <c r="F81" s="82">
        <f ca="1">IFERROR(__xludf.DUMMYFUNCTION("IMPORTRANGE(""https://docs.google.com/spreadsheets/d/1MeEWN-I1oV_STSDYn1IFDPWt_1FKiwhDph83XaGc0o0/edit?usp=sharing"",""งบพรบ!AI81"")"),0)</f>
        <v>0</v>
      </c>
      <c r="G81" s="82">
        <f ca="1">IFERROR(__xludf.DUMMYFUNCTION("IMPORTRANGE(""https://docs.google.com/spreadsheets/d/1MeEWN-I1oV_STSDYn1IFDPWt_1FKiwhDph83XaGc0o0/edit?usp=sharing"",""งบพรบ!AJ81"")"),0)</f>
        <v>0</v>
      </c>
      <c r="H81" s="82">
        <f ca="1">IFERROR(__xludf.DUMMYFUNCTION("IMPORTRANGE(""https://docs.google.com/spreadsheets/d/1MeEWN-I1oV_STSDYn1IFDPWt_1FKiwhDph83XaGc0o0/edit?usp=sharing"",""งบพรบ!AL81"")"),0)</f>
        <v>0</v>
      </c>
      <c r="I81" s="82">
        <f ca="1">IFERROR(__xludf.DUMMYFUNCTION("IMPORTRANGE(""https://docs.google.com/spreadsheets/d/1MeEWN-I1oV_STSDYn1IFDPWt_1FKiwhDph83XaGc0o0/edit?usp=sharing"",""งบพรบ!AM81"")"),0)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IFERROR(__xludf.DUMMYFUNCTION("IMPORTRANGE(""https://docs.google.com/spreadsheets/d/1MeEWN-I1oV_STSDYn1IFDPWt_1FKiwhDph83XaGc0o0/edit?usp=sharing"",""งบพรบ!AN81"")"),0)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IFERROR(__xludf.DUMMYFUNCTION("IMPORTRANGE(""https://docs.google.com/spreadsheets/d/1MeEWN-I1oV_STSDYn1IFDPWt_1FKiwhDph83XaGc0o0/edit?usp=sharing"",""งบพรบ!AO81"")"),0)</f>
        <v>0</v>
      </c>
      <c r="P81" s="85">
        <f t="shared" ca="1" si="29"/>
        <v>0</v>
      </c>
      <c r="Q81" s="84">
        <f t="shared" ca="1" si="8"/>
        <v>0</v>
      </c>
      <c r="R81" s="86">
        <f t="shared" ca="1" si="30"/>
        <v>0</v>
      </c>
      <c r="S81" s="86">
        <f t="shared" ca="1" si="24"/>
        <v>0</v>
      </c>
      <c r="T81" s="86">
        <f t="shared" ca="1" si="48"/>
        <v>0</v>
      </c>
      <c r="U81" s="87">
        <f t="shared" ca="1" si="25"/>
        <v>0</v>
      </c>
      <c r="V81" s="86">
        <f t="shared" ca="1" si="49"/>
        <v>0</v>
      </c>
      <c r="W81" s="87">
        <f t="shared" ca="1" si="26"/>
        <v>0</v>
      </c>
      <c r="X81" s="82">
        <f ca="1">IFERROR(__xludf.DUMMYFUNCTION("IMPORTRANGE(""https://docs.google.com/spreadsheets/d/1vl4QWbWdFruual5o_wdo6ZSqXZ_it806oja4CctTLKs/edit?usp=sharing"",""พังงา!I78"")"),0)</f>
        <v>0</v>
      </c>
      <c r="Y81" s="82">
        <f ca="1">IFERROR(__xludf.DUMMYFUNCTION("IMPORTRANGE(""https://docs.google.com/spreadsheets/d/1vl4QWbWdFruual5o_wdo6ZSqXZ_it806oja4CctTLKs/edit?usp=sharing"",""พังงา!I79"")"),0)</f>
        <v>0</v>
      </c>
      <c r="Z81" s="86">
        <f ca="1">IFERROR(__xludf.DUMMYFUNCTION("IMPORTRANGE(""https://docs.google.com/spreadsheets/d/1vl4QWbWdFruual5o_wdo6ZSqXZ_it806oja4CctTLKs/edit?usp=sharing"",""พังงา!J78"")"),0)</f>
        <v>0</v>
      </c>
      <c r="AA81" s="86">
        <f ca="1">IFERROR(__xludf.DUMMYFUNCTION("IMPORTRANGE(""https://docs.google.com/spreadsheets/d/1vl4QWbWdFruual5o_wdo6ZSqXZ_it806oja4CctTLKs/edit?usp=sharing"",""พังงา!J79"")"),0)</f>
        <v>0</v>
      </c>
      <c r="AB81" s="82">
        <f ca="1">IFERROR(__xludf.DUMMYFUNCTION("IMPORTRANGE(""https://docs.google.com/spreadsheets/d/1vl4QWbWdFruual5o_wdo6ZSqXZ_it806oja4CctTLKs/edit?usp=sharing"",""พังงา!I80"")"),0)</f>
        <v>0</v>
      </c>
      <c r="AC81" s="82">
        <f ca="1">IFERROR(__xludf.DUMMYFUNCTION("IMPORTRANGE(""https://docs.google.com/spreadsheets/d/1vl4QWbWdFruual5o_wdo6ZSqXZ_it806oja4CctTLKs/edit?usp=sharing"",""พังงา!I81"")"),0)</f>
        <v>0</v>
      </c>
      <c r="AD81" s="86">
        <f ca="1">IFERROR(__xludf.DUMMYFUNCTION("IMPORTRANGE(""https://docs.google.com/spreadsheets/d/1vl4QWbWdFruual5o_wdo6ZSqXZ_it806oja4CctTLKs/edit?usp=sharing"",""พังงา!J80"")"),0)</f>
        <v>0</v>
      </c>
      <c r="AE81" s="86">
        <f ca="1">IFERROR(__xludf.DUMMYFUNCTION("IMPORTRANGE(""https://docs.google.com/spreadsheets/d/1vl4QWbWdFruual5o_wdo6ZSqXZ_it806oja4CctTLKs/edit?usp=sharing"",""พังงา!J81"")"),0)</f>
        <v>0</v>
      </c>
      <c r="AF81" s="82">
        <f ca="1">IFERROR(__xludf.DUMMYFUNCTION("IMPORTRANGE(""https://docs.google.com/spreadsheets/d/1vl4QWbWdFruual5o_wdo6ZSqXZ_it806oja4CctTLKs/edit?usp=sharing"",""พังงา!I82"")"),0)</f>
        <v>0</v>
      </c>
      <c r="AG81" s="82">
        <f ca="1">IFERROR(__xludf.DUMMYFUNCTION("IMPORTRANGE(""https://docs.google.com/spreadsheets/d/1vl4QWbWdFruual5o_wdo6ZSqXZ_it806oja4CctTLKs/edit?usp=sharing"",""พังงา!I83"")"),0)</f>
        <v>0</v>
      </c>
      <c r="AH81" s="86">
        <f ca="1">IFERROR(__xludf.DUMMYFUNCTION("IMPORTRANGE(""https://docs.google.com/spreadsheets/d/1vl4QWbWdFruual5o_wdo6ZSqXZ_it806oja4CctTLKs/edit?usp=sharing"",""พังงา!J82"")"),0)</f>
        <v>0</v>
      </c>
      <c r="AI81" s="86">
        <f ca="1">IFERROR(__xludf.DUMMYFUNCTION("IMPORTRANGE(""https://docs.google.com/spreadsheets/d/1vl4QWbWdFruual5o_wdo6ZSqXZ_it806oja4CctTLKs/edit?usp=sharing"",""พังงา!J83"")"),0)</f>
        <v>0</v>
      </c>
      <c r="AJ81" s="82">
        <f ca="1">IFERROR(__xludf.DUMMYFUNCTION("IMPORTRANGE(""https://docs.google.com/spreadsheets/d/1vl4QWbWdFruual5o_wdo6ZSqXZ_it806oja4CctTLKs/edit?usp=sharing"",""พังงา!I84"")"),0)</f>
        <v>0</v>
      </c>
      <c r="AK81" s="86">
        <f ca="1">IFERROR(__xludf.DUMMYFUNCTION("IMPORTRANGE(""https://docs.google.com/spreadsheets/d/1vl4QWbWdFruual5o_wdo6ZSqXZ_it806oja4CctTLKs/edit?usp=sharing"",""พังงา!J84"")"),0)</f>
        <v>0</v>
      </c>
      <c r="AL81" s="84">
        <f t="shared" ca="1" si="27"/>
        <v>0</v>
      </c>
    </row>
    <row r="82" spans="1:38" ht="21" customHeight="1" x14ac:dyDescent="0.2">
      <c r="A82" s="78">
        <v>8</v>
      </c>
      <c r="B82" s="79" t="s">
        <v>104</v>
      </c>
      <c r="C82" s="80">
        <f t="shared" ca="1" si="0"/>
        <v>916200</v>
      </c>
      <c r="D82" s="81">
        <f t="shared" ca="1" si="47"/>
        <v>916200</v>
      </c>
      <c r="E82" s="82">
        <f ca="1">IFERROR(__xludf.DUMMYFUNCTION("IMPORTRANGE(""https://docs.google.com/spreadsheets/d/1MeEWN-I1oV_STSDYn1IFDPWt_1FKiwhDph83XaGc0o0/edit?usp=sharing"",""งบพรบ!AH82"")"),532200)</f>
        <v>532200</v>
      </c>
      <c r="F82" s="82">
        <f ca="1">IFERROR(__xludf.DUMMYFUNCTION("IMPORTRANGE(""https://docs.google.com/spreadsheets/d/1MeEWN-I1oV_STSDYn1IFDPWt_1FKiwhDph83XaGc0o0/edit?usp=sharing"",""งบพรบ!AI82"")"),384000)</f>
        <v>384000</v>
      </c>
      <c r="G82" s="82">
        <f ca="1">IFERROR(__xludf.DUMMYFUNCTION("IMPORTRANGE(""https://docs.google.com/spreadsheets/d/1MeEWN-I1oV_STSDYn1IFDPWt_1FKiwhDph83XaGc0o0/edit?usp=sharing"",""งบพรบ!AJ82"")"),0)</f>
        <v>0</v>
      </c>
      <c r="H82" s="82">
        <f ca="1">IFERROR(__xludf.DUMMYFUNCTION("IMPORTRANGE(""https://docs.google.com/spreadsheets/d/1MeEWN-I1oV_STSDYn1IFDPWt_1FKiwhDph83XaGc0o0/edit?usp=sharing"",""งบพรบ!AL82"")"),580900)</f>
        <v>580900</v>
      </c>
      <c r="I82" s="82">
        <f ca="1">IFERROR(__xludf.DUMMYFUNCTION("IMPORTRANGE(""https://docs.google.com/spreadsheets/d/1MeEWN-I1oV_STSDYn1IFDPWt_1FKiwhDph83XaGc0o0/edit?usp=sharing"",""งบพรบ!AM82"")"),0)</f>
        <v>0</v>
      </c>
      <c r="J82" s="82">
        <f t="shared" ca="1" si="3"/>
        <v>343052.41</v>
      </c>
      <c r="K82" s="83">
        <f t="shared" ca="1" si="4"/>
        <v>37.442961143855051</v>
      </c>
      <c r="L82" s="82">
        <f ca="1">IFERROR(__xludf.DUMMYFUNCTION("IMPORTRANGE(""https://docs.google.com/spreadsheets/d/1MeEWN-I1oV_STSDYn1IFDPWt_1FKiwhDph83XaGc0o0/edit?usp=sharing"",""งบพรบ!AN82"")"),343052.41)</f>
        <v>343052.41</v>
      </c>
      <c r="M82" s="84">
        <f t="shared" ca="1" si="5"/>
        <v>37.442961143855051</v>
      </c>
      <c r="N82" s="84">
        <f t="shared" ca="1" si="6"/>
        <v>59.05532966087106</v>
      </c>
      <c r="O82" s="85">
        <f ca="1">IFERROR(__xludf.DUMMYFUNCTION("IMPORTRANGE(""https://docs.google.com/spreadsheets/d/1MeEWN-I1oV_STSDYn1IFDPWt_1FKiwhDph83XaGc0o0/edit?usp=sharing"",""งบพรบ!AO82"")"),0)</f>
        <v>0</v>
      </c>
      <c r="P82" s="85">
        <f t="shared" ca="1" si="29"/>
        <v>0</v>
      </c>
      <c r="Q82" s="84">
        <f t="shared" ca="1" si="8"/>
        <v>0</v>
      </c>
      <c r="R82" s="86">
        <f t="shared" ca="1" si="30"/>
        <v>1</v>
      </c>
      <c r="S82" s="86">
        <f t="shared" ca="1" si="24"/>
        <v>30</v>
      </c>
      <c r="T82" s="86">
        <f t="shared" ca="1" si="48"/>
        <v>1</v>
      </c>
      <c r="U82" s="87">
        <f t="shared" ca="1" si="25"/>
        <v>100</v>
      </c>
      <c r="V82" s="86">
        <f t="shared" ca="1" si="49"/>
        <v>30</v>
      </c>
      <c r="W82" s="87">
        <f t="shared" ca="1" si="26"/>
        <v>100</v>
      </c>
      <c r="X82" s="82">
        <f ca="1">IFERROR(__xludf.DUMMYFUNCTION("IMPORTRANGE(""https://docs.google.com/spreadsheets/d/1b6QssHQp2FoAPSMKHOy273KNzAomaIKhtdlvuZ_zDNE/edit?usp=sharing"",""พัทลุง!I78"")"),0)</f>
        <v>0</v>
      </c>
      <c r="Y82" s="82">
        <f ca="1">IFERROR(__xludf.DUMMYFUNCTION("IMPORTRANGE(""https://docs.google.com/spreadsheets/d/1b6QssHQp2FoAPSMKHOy273KNzAomaIKhtdlvuZ_zDNE/edit?usp=sharing"",""พัทลุง!I79"")"),0)</f>
        <v>0</v>
      </c>
      <c r="Z82" s="86">
        <f ca="1">IFERROR(__xludf.DUMMYFUNCTION("IMPORTRANGE(""https://docs.google.com/spreadsheets/d/1b6QssHQp2FoAPSMKHOy273KNzAomaIKhtdlvuZ_zDNE/edit?usp=sharing"",""พัทลุง!J78"")"),0)</f>
        <v>0</v>
      </c>
      <c r="AA82" s="86">
        <f ca="1">IFERROR(__xludf.DUMMYFUNCTION("IMPORTRANGE(""https://docs.google.com/spreadsheets/d/1b6QssHQp2FoAPSMKHOy273KNzAomaIKhtdlvuZ_zDNE/edit?usp=sharing"",""พัทลุง!J79"")"),0)</f>
        <v>0</v>
      </c>
      <c r="AB82" s="82">
        <f ca="1">IFERROR(__xludf.DUMMYFUNCTION("IMPORTRANGE(""https://docs.google.com/spreadsheets/d/1b6QssHQp2FoAPSMKHOy273KNzAomaIKhtdlvuZ_zDNE/edit?usp=sharing"",""พัทลุง!I80"")"),1)</f>
        <v>1</v>
      </c>
      <c r="AC82" s="82">
        <f ca="1">IFERROR(__xludf.DUMMYFUNCTION("IMPORTRANGE(""https://docs.google.com/spreadsheets/d/1b6QssHQp2FoAPSMKHOy273KNzAomaIKhtdlvuZ_zDNE/edit?usp=sharing"",""พัทลุง!I81"")"),30)</f>
        <v>30</v>
      </c>
      <c r="AD82" s="86">
        <f ca="1">IFERROR(__xludf.DUMMYFUNCTION("IMPORTRANGE(""https://docs.google.com/spreadsheets/d/1b6QssHQp2FoAPSMKHOy273KNzAomaIKhtdlvuZ_zDNE/edit?usp=sharing"",""พัทลุง!J80"")"),1)</f>
        <v>1</v>
      </c>
      <c r="AE82" s="86">
        <f ca="1">IFERROR(__xludf.DUMMYFUNCTION("IMPORTRANGE(""https://docs.google.com/spreadsheets/d/1b6QssHQp2FoAPSMKHOy273KNzAomaIKhtdlvuZ_zDNE/edit?usp=sharing"",""พัทลุง!J81"")"),30)</f>
        <v>30</v>
      </c>
      <c r="AF82" s="82">
        <f ca="1">IFERROR(__xludf.DUMMYFUNCTION("IMPORTRANGE(""https://docs.google.com/spreadsheets/d/1b6QssHQp2FoAPSMKHOy273KNzAomaIKhtdlvuZ_zDNE/edit?usp=sharing"",""พัทลุง!I82"")"),0)</f>
        <v>0</v>
      </c>
      <c r="AG82" s="82">
        <f ca="1">IFERROR(__xludf.DUMMYFUNCTION("IMPORTRANGE(""https://docs.google.com/spreadsheets/d/1b6QssHQp2FoAPSMKHOy273KNzAomaIKhtdlvuZ_zDNE/edit?usp=sharing"",""พัทลุง!I83"")"),0)</f>
        <v>0</v>
      </c>
      <c r="AH82" s="86">
        <f ca="1">IFERROR(__xludf.DUMMYFUNCTION("IMPORTRANGE(""https://docs.google.com/spreadsheets/d/1b6QssHQp2FoAPSMKHOy273KNzAomaIKhtdlvuZ_zDNE/edit?usp=sharing"",""พัทลุง!J82"")"),0)</f>
        <v>0</v>
      </c>
      <c r="AI82" s="86">
        <f ca="1">IFERROR(__xludf.DUMMYFUNCTION("IMPORTRANGE(""https://docs.google.com/spreadsheets/d/1b6QssHQp2FoAPSMKHOy273KNzAomaIKhtdlvuZ_zDNE/edit?usp=sharing"",""พัทลุง!J83"")"),0)</f>
        <v>0</v>
      </c>
      <c r="AJ82" s="82">
        <f ca="1">IFERROR(__xludf.DUMMYFUNCTION("IMPORTRANGE(""https://docs.google.com/spreadsheets/d/1b6QssHQp2FoAPSMKHOy273KNzAomaIKhtdlvuZ_zDNE/edit?usp=sharing"",""พัทลุง!I84"")"),1)</f>
        <v>1</v>
      </c>
      <c r="AK82" s="86">
        <f ca="1">IFERROR(__xludf.DUMMYFUNCTION("IMPORTRANGE(""https://docs.google.com/spreadsheets/d/1b6QssHQp2FoAPSMKHOy273KNzAomaIKhtdlvuZ_zDNE/edit?usp=sharing"",""พัทลุง!J84"")"),0)</f>
        <v>0</v>
      </c>
      <c r="AL82" s="84">
        <f t="shared" ca="1" si="27"/>
        <v>0</v>
      </c>
    </row>
    <row r="83" spans="1:38" ht="21" customHeight="1" x14ac:dyDescent="0.2">
      <c r="A83" s="78">
        <v>9</v>
      </c>
      <c r="B83" s="79" t="s">
        <v>105</v>
      </c>
      <c r="C83" s="80">
        <f t="shared" ca="1" si="0"/>
        <v>0</v>
      </c>
      <c r="D83" s="81">
        <f t="shared" ca="1" si="47"/>
        <v>0</v>
      </c>
      <c r="E83" s="82">
        <f ca="1">IFERROR(__xludf.DUMMYFUNCTION("IMPORTRANGE(""https://docs.google.com/spreadsheets/d/1MeEWN-I1oV_STSDYn1IFDPWt_1FKiwhDph83XaGc0o0/edit?usp=sharing"",""งบพรบ!AH83"")"),0)</f>
        <v>0</v>
      </c>
      <c r="F83" s="82">
        <f ca="1">IFERROR(__xludf.DUMMYFUNCTION("IMPORTRANGE(""https://docs.google.com/spreadsheets/d/1MeEWN-I1oV_STSDYn1IFDPWt_1FKiwhDph83XaGc0o0/edit?usp=sharing"",""งบพรบ!AI83"")"),0)</f>
        <v>0</v>
      </c>
      <c r="G83" s="82">
        <f ca="1">IFERROR(__xludf.DUMMYFUNCTION("IMPORTRANGE(""https://docs.google.com/spreadsheets/d/1MeEWN-I1oV_STSDYn1IFDPWt_1FKiwhDph83XaGc0o0/edit?usp=sharing"",""งบพรบ!AJ83"")"),0)</f>
        <v>0</v>
      </c>
      <c r="H83" s="82">
        <f ca="1">IFERROR(__xludf.DUMMYFUNCTION("IMPORTRANGE(""https://docs.google.com/spreadsheets/d/1MeEWN-I1oV_STSDYn1IFDPWt_1FKiwhDph83XaGc0o0/edit?usp=sharing"",""งบพรบ!AL83"")"),0)</f>
        <v>0</v>
      </c>
      <c r="I83" s="82">
        <f ca="1">IFERROR(__xludf.DUMMYFUNCTION("IMPORTRANGE(""https://docs.google.com/spreadsheets/d/1MeEWN-I1oV_STSDYn1IFDPWt_1FKiwhDph83XaGc0o0/edit?usp=sharing"",""งบพรบ!AM83"")"),0)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IFERROR(__xludf.DUMMYFUNCTION("IMPORTRANGE(""https://docs.google.com/spreadsheets/d/1MeEWN-I1oV_STSDYn1IFDPWt_1FKiwhDph83XaGc0o0/edit?usp=sharing"",""งบพรบ!AN83"")"),0)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IFERROR(__xludf.DUMMYFUNCTION("IMPORTRANGE(""https://docs.google.com/spreadsheets/d/1MeEWN-I1oV_STSDYn1IFDPWt_1FKiwhDph83XaGc0o0/edit?usp=sharing"",""งบพรบ!AO83"")"),0)</f>
        <v>0</v>
      </c>
      <c r="P83" s="85">
        <f t="shared" ca="1" si="29"/>
        <v>0</v>
      </c>
      <c r="Q83" s="84">
        <f t="shared" ca="1" si="8"/>
        <v>0</v>
      </c>
      <c r="R83" s="86">
        <f t="shared" ca="1" si="30"/>
        <v>0</v>
      </c>
      <c r="S83" s="86">
        <f t="shared" ca="1" si="24"/>
        <v>0</v>
      </c>
      <c r="T83" s="86">
        <f t="shared" ca="1" si="48"/>
        <v>0</v>
      </c>
      <c r="U83" s="87">
        <f t="shared" ca="1" si="25"/>
        <v>0</v>
      </c>
      <c r="V83" s="86">
        <f t="shared" ca="1" si="49"/>
        <v>0</v>
      </c>
      <c r="W83" s="87">
        <f t="shared" ca="1" si="26"/>
        <v>0</v>
      </c>
      <c r="X83" s="82">
        <f ca="1">IFERROR(__xludf.DUMMYFUNCTION("IMPORTRANGE(""https://docs.google.com/spreadsheets/d/1o7UZe4_OqlqtLDHrj01Z2YFRSZDf1DMy1n3XViHaxRc/edit?usp=sharing"",""ภูเก็ต!I78"")"),0)</f>
        <v>0</v>
      </c>
      <c r="Y83" s="82">
        <f ca="1">IFERROR(__xludf.DUMMYFUNCTION("IMPORTRANGE(""https://docs.google.com/spreadsheets/d/1o7UZe4_OqlqtLDHrj01Z2YFRSZDf1DMy1n3XViHaxRc/edit?usp=sharing"",""ภูเก็ต!I79"")"),0)</f>
        <v>0</v>
      </c>
      <c r="Z83" s="86">
        <f ca="1">IFERROR(__xludf.DUMMYFUNCTION("IMPORTRANGE(""https://docs.google.com/spreadsheets/d/1o7UZe4_OqlqtLDHrj01Z2YFRSZDf1DMy1n3XViHaxRc/edit?usp=sharing"",""ภูเก็ต!J78"")"),0)</f>
        <v>0</v>
      </c>
      <c r="AA83" s="86">
        <f ca="1">IFERROR(__xludf.DUMMYFUNCTION("IMPORTRANGE(""https://docs.google.com/spreadsheets/d/1o7UZe4_OqlqtLDHrj01Z2YFRSZDf1DMy1n3XViHaxRc/edit?usp=sharing"",""ภูเก็ต!J79"")"),0)</f>
        <v>0</v>
      </c>
      <c r="AB83" s="82">
        <f ca="1">IFERROR(__xludf.DUMMYFUNCTION("IMPORTRANGE(""https://docs.google.com/spreadsheets/d/1o7UZe4_OqlqtLDHrj01Z2YFRSZDf1DMy1n3XViHaxRc/edit?usp=sharing"",""ภูเก็ต!I80"")"),0)</f>
        <v>0</v>
      </c>
      <c r="AC83" s="82">
        <f ca="1">IFERROR(__xludf.DUMMYFUNCTION("IMPORTRANGE(""https://docs.google.com/spreadsheets/d/1o7UZe4_OqlqtLDHrj01Z2YFRSZDf1DMy1n3XViHaxRc/edit?usp=sharing"",""ภูเก็ต!I81"")"),0)</f>
        <v>0</v>
      </c>
      <c r="AD83" s="86">
        <f ca="1">IFERROR(__xludf.DUMMYFUNCTION("IMPORTRANGE(""https://docs.google.com/spreadsheets/d/1o7UZe4_OqlqtLDHrj01Z2YFRSZDf1DMy1n3XViHaxRc/edit?usp=sharing"",""ภูเก็ต!J80"")"),0)</f>
        <v>0</v>
      </c>
      <c r="AE83" s="86">
        <f ca="1">IFERROR(__xludf.DUMMYFUNCTION("IMPORTRANGE(""https://docs.google.com/spreadsheets/d/1o7UZe4_OqlqtLDHrj01Z2YFRSZDf1DMy1n3XViHaxRc/edit?usp=sharing"",""ภูเก็ต!J81"")"),0)</f>
        <v>0</v>
      </c>
      <c r="AF83" s="82">
        <f ca="1">IFERROR(__xludf.DUMMYFUNCTION("IMPORTRANGE(""https://docs.google.com/spreadsheets/d/1o7UZe4_OqlqtLDHrj01Z2YFRSZDf1DMy1n3XViHaxRc/edit?usp=sharing"",""ภูเก็ต!I82"")"),0)</f>
        <v>0</v>
      </c>
      <c r="AG83" s="82">
        <f ca="1">IFERROR(__xludf.DUMMYFUNCTION("IMPORTRANGE(""https://docs.google.com/spreadsheets/d/1o7UZe4_OqlqtLDHrj01Z2YFRSZDf1DMy1n3XViHaxRc/edit?usp=sharing"",""ภูเก็ต!I83"")"),0)</f>
        <v>0</v>
      </c>
      <c r="AH83" s="86">
        <f ca="1">IFERROR(__xludf.DUMMYFUNCTION("IMPORTRANGE(""https://docs.google.com/spreadsheets/d/1o7UZe4_OqlqtLDHrj01Z2YFRSZDf1DMy1n3XViHaxRc/edit?usp=sharing"",""ภูเก็ต!J82"")"),0)</f>
        <v>0</v>
      </c>
      <c r="AI83" s="86">
        <f ca="1">IFERROR(__xludf.DUMMYFUNCTION("IMPORTRANGE(""https://docs.google.com/spreadsheets/d/1o7UZe4_OqlqtLDHrj01Z2YFRSZDf1DMy1n3XViHaxRc/edit?usp=sharing"",""ภูเก็ต!J83"")"),0)</f>
        <v>0</v>
      </c>
      <c r="AJ83" s="82">
        <f ca="1">IFERROR(__xludf.DUMMYFUNCTION("IMPORTRANGE(""https://docs.google.com/spreadsheets/d/1o7UZe4_OqlqtLDHrj01Z2YFRSZDf1DMy1n3XViHaxRc/edit?usp=sharing"",""ภูเก็ต!I84"")"),0)</f>
        <v>0</v>
      </c>
      <c r="AK83" s="86">
        <f ca="1">IFERROR(__xludf.DUMMYFUNCTION("IMPORTRANGE(""https://docs.google.com/spreadsheets/d/1o7UZe4_OqlqtLDHrj01Z2YFRSZDf1DMy1n3XViHaxRc/edit?usp=sharing"",""ภูเก็ต!J84"")"),0)</f>
        <v>0</v>
      </c>
      <c r="AL83" s="84">
        <f t="shared" ca="1" si="27"/>
        <v>0</v>
      </c>
    </row>
    <row r="84" spans="1:38" ht="21" customHeight="1" x14ac:dyDescent="0.2">
      <c r="A84" s="78">
        <v>10</v>
      </c>
      <c r="B84" s="79" t="s">
        <v>106</v>
      </c>
      <c r="C84" s="80">
        <f t="shared" ca="1" si="0"/>
        <v>0</v>
      </c>
      <c r="D84" s="81">
        <f t="shared" ca="1" si="47"/>
        <v>0</v>
      </c>
      <c r="E84" s="82">
        <f ca="1">IFERROR(__xludf.DUMMYFUNCTION("IMPORTRANGE(""https://docs.google.com/spreadsheets/d/1MeEWN-I1oV_STSDYn1IFDPWt_1FKiwhDph83XaGc0o0/edit?usp=sharing"",""งบพรบ!AH84"")"),0)</f>
        <v>0</v>
      </c>
      <c r="F84" s="82">
        <f ca="1">IFERROR(__xludf.DUMMYFUNCTION("IMPORTRANGE(""https://docs.google.com/spreadsheets/d/1MeEWN-I1oV_STSDYn1IFDPWt_1FKiwhDph83XaGc0o0/edit?usp=sharing"",""งบพรบ!AI84"")"),0)</f>
        <v>0</v>
      </c>
      <c r="G84" s="82">
        <f ca="1">IFERROR(__xludf.DUMMYFUNCTION("IMPORTRANGE(""https://docs.google.com/spreadsheets/d/1MeEWN-I1oV_STSDYn1IFDPWt_1FKiwhDph83XaGc0o0/edit?usp=sharing"",""งบพรบ!AJ84"")"),0)</f>
        <v>0</v>
      </c>
      <c r="H84" s="82">
        <f ca="1">IFERROR(__xludf.DUMMYFUNCTION("IMPORTRANGE(""https://docs.google.com/spreadsheets/d/1MeEWN-I1oV_STSDYn1IFDPWt_1FKiwhDph83XaGc0o0/edit?usp=sharing"",""งบพรบ!AL84"")"),0)</f>
        <v>0</v>
      </c>
      <c r="I84" s="82">
        <f ca="1">IFERROR(__xludf.DUMMYFUNCTION("IMPORTRANGE(""https://docs.google.com/spreadsheets/d/1MeEWN-I1oV_STSDYn1IFDPWt_1FKiwhDph83XaGc0o0/edit?usp=sharing"",""งบพรบ!AM84"")"),0)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IFERROR(__xludf.DUMMYFUNCTION("IMPORTRANGE(""https://docs.google.com/spreadsheets/d/1MeEWN-I1oV_STSDYn1IFDPWt_1FKiwhDph83XaGc0o0/edit?usp=sharing"",""งบพรบ!AN84"")"),0)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IFERROR(__xludf.DUMMYFUNCTION("IMPORTRANGE(""https://docs.google.com/spreadsheets/d/1MeEWN-I1oV_STSDYn1IFDPWt_1FKiwhDph83XaGc0o0/edit?usp=sharing"",""งบพรบ!AO84"")"),0)</f>
        <v>0</v>
      </c>
      <c r="P84" s="85">
        <f t="shared" ca="1" si="29"/>
        <v>0</v>
      </c>
      <c r="Q84" s="84">
        <f t="shared" ca="1" si="8"/>
        <v>0</v>
      </c>
      <c r="R84" s="86">
        <f t="shared" ca="1" si="30"/>
        <v>0</v>
      </c>
      <c r="S84" s="86">
        <f t="shared" ca="1" si="24"/>
        <v>0</v>
      </c>
      <c r="T84" s="86">
        <f t="shared" ca="1" si="48"/>
        <v>0</v>
      </c>
      <c r="U84" s="87">
        <f t="shared" ca="1" si="25"/>
        <v>0</v>
      </c>
      <c r="V84" s="86">
        <f t="shared" ca="1" si="49"/>
        <v>0</v>
      </c>
      <c r="W84" s="87">
        <f t="shared" ca="1" si="26"/>
        <v>0</v>
      </c>
      <c r="X84" s="82">
        <f ca="1">IFERROR(__xludf.DUMMYFUNCTION("IMPORTRANGE(""https://docs.google.com/spreadsheets/d/1ctPm1vUzcUCPuOj9-eoHUD85PqINFqUB0TjdSWmR5-c/edit?usp=sharing"",""ยะลา!I78"")"),0)</f>
        <v>0</v>
      </c>
      <c r="Y84" s="82">
        <f ca="1">IFERROR(__xludf.DUMMYFUNCTION("IMPORTRANGE(""https://docs.google.com/spreadsheets/d/1ctPm1vUzcUCPuOj9-eoHUD85PqINFqUB0TjdSWmR5-c/edit?usp=sharing"",""ยะลา!I79"")"),0)</f>
        <v>0</v>
      </c>
      <c r="Z84" s="86">
        <f ca="1">IFERROR(__xludf.DUMMYFUNCTION("IMPORTRANGE(""https://docs.google.com/spreadsheets/d/1ctPm1vUzcUCPuOj9-eoHUD85PqINFqUB0TjdSWmR5-c/edit?usp=sharing"",""ยะลา!J78"")"),0)</f>
        <v>0</v>
      </c>
      <c r="AA84" s="86">
        <f ca="1">IFERROR(__xludf.DUMMYFUNCTION("IMPORTRANGE(""https://docs.google.com/spreadsheets/d/1ctPm1vUzcUCPuOj9-eoHUD85PqINFqUB0TjdSWmR5-c/edit?usp=sharing"",""ยะลา!J79"")"),0)</f>
        <v>0</v>
      </c>
      <c r="AB84" s="82">
        <f ca="1">IFERROR(__xludf.DUMMYFUNCTION("IMPORTRANGE(""https://docs.google.com/spreadsheets/d/1ctPm1vUzcUCPuOj9-eoHUD85PqINFqUB0TjdSWmR5-c/edit?usp=sharing"",""ยะลา!I80"")"),0)</f>
        <v>0</v>
      </c>
      <c r="AC84" s="82">
        <f ca="1">IFERROR(__xludf.DUMMYFUNCTION("IMPORTRANGE(""https://docs.google.com/spreadsheets/d/1ctPm1vUzcUCPuOj9-eoHUD85PqINFqUB0TjdSWmR5-c/edit?usp=sharing"",""ยะลา!I81"")"),0)</f>
        <v>0</v>
      </c>
      <c r="AD84" s="86">
        <f ca="1">IFERROR(__xludf.DUMMYFUNCTION("IMPORTRANGE(""https://docs.google.com/spreadsheets/d/1ctPm1vUzcUCPuOj9-eoHUD85PqINFqUB0TjdSWmR5-c/edit?usp=sharing"",""ยะลา!J80"")"),0)</f>
        <v>0</v>
      </c>
      <c r="AE84" s="86">
        <f ca="1">IFERROR(__xludf.DUMMYFUNCTION("IMPORTRANGE(""https://docs.google.com/spreadsheets/d/1ctPm1vUzcUCPuOj9-eoHUD85PqINFqUB0TjdSWmR5-c/edit?usp=sharing"",""ยะลา!J81"")"),0)</f>
        <v>0</v>
      </c>
      <c r="AF84" s="82">
        <f ca="1">IFERROR(__xludf.DUMMYFUNCTION("IMPORTRANGE(""https://docs.google.com/spreadsheets/d/1ctPm1vUzcUCPuOj9-eoHUD85PqINFqUB0TjdSWmR5-c/edit?usp=sharing"",""ยะลา!I82"")"),0)</f>
        <v>0</v>
      </c>
      <c r="AG84" s="82">
        <f ca="1">IFERROR(__xludf.DUMMYFUNCTION("IMPORTRANGE(""https://docs.google.com/spreadsheets/d/1ctPm1vUzcUCPuOj9-eoHUD85PqINFqUB0TjdSWmR5-c/edit?usp=sharing"",""ยะลา!I83"")"),0)</f>
        <v>0</v>
      </c>
      <c r="AH84" s="86">
        <f ca="1">IFERROR(__xludf.DUMMYFUNCTION("IMPORTRANGE(""https://docs.google.com/spreadsheets/d/1ctPm1vUzcUCPuOj9-eoHUD85PqINFqUB0TjdSWmR5-c/edit?usp=sharing"",""ยะลา!J82"")"),0)</f>
        <v>0</v>
      </c>
      <c r="AI84" s="86">
        <f ca="1">IFERROR(__xludf.DUMMYFUNCTION("IMPORTRANGE(""https://docs.google.com/spreadsheets/d/1ctPm1vUzcUCPuOj9-eoHUD85PqINFqUB0TjdSWmR5-c/edit?usp=sharing"",""ยะลา!J83"")"),0)</f>
        <v>0</v>
      </c>
      <c r="AJ84" s="82">
        <f ca="1">IFERROR(__xludf.DUMMYFUNCTION("IMPORTRANGE(""https://docs.google.com/spreadsheets/d/1ctPm1vUzcUCPuOj9-eoHUD85PqINFqUB0TjdSWmR5-c/edit?usp=sharing"",""ยะลา!I84"")"),0)</f>
        <v>0</v>
      </c>
      <c r="AK84" s="86">
        <f ca="1">IFERROR(__xludf.DUMMYFUNCTION("IMPORTRANGE(""https://docs.google.com/spreadsheets/d/1ctPm1vUzcUCPuOj9-eoHUD85PqINFqUB0TjdSWmR5-c/edit?usp=sharing"",""ยะลา!J84"")"),0)</f>
        <v>0</v>
      </c>
      <c r="AL84" s="84">
        <f t="shared" ca="1" si="27"/>
        <v>0</v>
      </c>
    </row>
    <row r="85" spans="1:38" ht="21" customHeight="1" x14ac:dyDescent="0.2">
      <c r="A85" s="78">
        <v>11</v>
      </c>
      <c r="B85" s="79" t="s">
        <v>107</v>
      </c>
      <c r="C85" s="80">
        <f t="shared" ca="1" si="0"/>
        <v>0</v>
      </c>
      <c r="D85" s="81">
        <f t="shared" ca="1" si="47"/>
        <v>0</v>
      </c>
      <c r="E85" s="82">
        <f ca="1">IFERROR(__xludf.DUMMYFUNCTION("IMPORTRANGE(""https://docs.google.com/spreadsheets/d/1MeEWN-I1oV_STSDYn1IFDPWt_1FKiwhDph83XaGc0o0/edit?usp=sharing"",""งบพรบ!AH85"")"),0)</f>
        <v>0</v>
      </c>
      <c r="F85" s="82">
        <f ca="1">IFERROR(__xludf.DUMMYFUNCTION("IMPORTRANGE(""https://docs.google.com/spreadsheets/d/1MeEWN-I1oV_STSDYn1IFDPWt_1FKiwhDph83XaGc0o0/edit?usp=sharing"",""งบพรบ!AI85"")"),0)</f>
        <v>0</v>
      </c>
      <c r="G85" s="82">
        <f ca="1">IFERROR(__xludf.DUMMYFUNCTION("IMPORTRANGE(""https://docs.google.com/spreadsheets/d/1MeEWN-I1oV_STSDYn1IFDPWt_1FKiwhDph83XaGc0o0/edit?usp=sharing"",""งบพรบ!AJ85"")"),0)</f>
        <v>0</v>
      </c>
      <c r="H85" s="82">
        <f ca="1">IFERROR(__xludf.DUMMYFUNCTION("IMPORTRANGE(""https://docs.google.com/spreadsheets/d/1MeEWN-I1oV_STSDYn1IFDPWt_1FKiwhDph83XaGc0o0/edit?usp=sharing"",""งบพรบ!AL85"")"),0)</f>
        <v>0</v>
      </c>
      <c r="I85" s="82">
        <f ca="1">IFERROR(__xludf.DUMMYFUNCTION("IMPORTRANGE(""https://docs.google.com/spreadsheets/d/1MeEWN-I1oV_STSDYn1IFDPWt_1FKiwhDph83XaGc0o0/edit?usp=sharing"",""งบพรบ!AM85"")"),0)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IFERROR(__xludf.DUMMYFUNCTION("IMPORTRANGE(""https://docs.google.com/spreadsheets/d/1MeEWN-I1oV_STSDYn1IFDPWt_1FKiwhDph83XaGc0o0/edit?usp=sharing"",""งบพรบ!AN85"")"),0)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IFERROR(__xludf.DUMMYFUNCTION("IMPORTRANGE(""https://docs.google.com/spreadsheets/d/1MeEWN-I1oV_STSDYn1IFDPWt_1FKiwhDph83XaGc0o0/edit?usp=sharing"",""งบพรบ!AO85"")"),0)</f>
        <v>0</v>
      </c>
      <c r="P85" s="85">
        <f t="shared" ca="1" si="29"/>
        <v>0</v>
      </c>
      <c r="Q85" s="84">
        <f t="shared" ca="1" si="8"/>
        <v>0</v>
      </c>
      <c r="R85" s="86">
        <f t="shared" ca="1" si="30"/>
        <v>0</v>
      </c>
      <c r="S85" s="86">
        <f t="shared" ca="1" si="24"/>
        <v>0</v>
      </c>
      <c r="T85" s="86">
        <f t="shared" ca="1" si="48"/>
        <v>0</v>
      </c>
      <c r="U85" s="87">
        <f t="shared" ca="1" si="25"/>
        <v>0</v>
      </c>
      <c r="V85" s="86">
        <f t="shared" ca="1" si="49"/>
        <v>0</v>
      </c>
      <c r="W85" s="87">
        <f t="shared" ca="1" si="26"/>
        <v>0</v>
      </c>
      <c r="X85" s="82">
        <f ca="1">IFERROR(__xludf.DUMMYFUNCTION("IMPORTRANGE(""https://docs.google.com/spreadsheets/d/1YiDIE7Klmt8osgdapRqYWNr7iPGFSsiJqq46S7PYRE0/edit?usp=sharing"",""ระนอง!I78"")"),0)</f>
        <v>0</v>
      </c>
      <c r="Y85" s="82">
        <f ca="1">IFERROR(__xludf.DUMMYFUNCTION("IMPORTRANGE(""https://docs.google.com/spreadsheets/d/1YiDIE7Klmt8osgdapRqYWNr7iPGFSsiJqq46S7PYRE0/edit?usp=sharing"",""ระนอง!I79"")"),0)</f>
        <v>0</v>
      </c>
      <c r="Z85" s="86">
        <f ca="1">IFERROR(__xludf.DUMMYFUNCTION("IMPORTRANGE(""https://docs.google.com/spreadsheets/d/1YiDIE7Klmt8osgdapRqYWNr7iPGFSsiJqq46S7PYRE0/edit?usp=sharing"",""ระนอง!J78"")"),0)</f>
        <v>0</v>
      </c>
      <c r="AA85" s="86">
        <f ca="1">IFERROR(__xludf.DUMMYFUNCTION("IMPORTRANGE(""https://docs.google.com/spreadsheets/d/1YiDIE7Klmt8osgdapRqYWNr7iPGFSsiJqq46S7PYRE0/edit?usp=sharing"",""ระนอง!J79"")"),0)</f>
        <v>0</v>
      </c>
      <c r="AB85" s="82">
        <f ca="1">IFERROR(__xludf.DUMMYFUNCTION("IMPORTRANGE(""https://docs.google.com/spreadsheets/d/1YiDIE7Klmt8osgdapRqYWNr7iPGFSsiJqq46S7PYRE0/edit?usp=sharing"",""ระนอง!I80"")"),0)</f>
        <v>0</v>
      </c>
      <c r="AC85" s="82">
        <f ca="1">IFERROR(__xludf.DUMMYFUNCTION("IMPORTRANGE(""https://docs.google.com/spreadsheets/d/1YiDIE7Klmt8osgdapRqYWNr7iPGFSsiJqq46S7PYRE0/edit?usp=sharing"",""ระนอง!I81"")"),0)</f>
        <v>0</v>
      </c>
      <c r="AD85" s="86">
        <f ca="1">IFERROR(__xludf.DUMMYFUNCTION("IMPORTRANGE(""https://docs.google.com/spreadsheets/d/1YiDIE7Klmt8osgdapRqYWNr7iPGFSsiJqq46S7PYRE0/edit?usp=sharing"",""ระนอง!J80"")"),0)</f>
        <v>0</v>
      </c>
      <c r="AE85" s="86">
        <f ca="1">IFERROR(__xludf.DUMMYFUNCTION("IMPORTRANGE(""https://docs.google.com/spreadsheets/d/1YiDIE7Klmt8osgdapRqYWNr7iPGFSsiJqq46S7PYRE0/edit?usp=sharing"",""ระนอง!J81"")"),0)</f>
        <v>0</v>
      </c>
      <c r="AF85" s="82">
        <f ca="1">IFERROR(__xludf.DUMMYFUNCTION("IMPORTRANGE(""https://docs.google.com/spreadsheets/d/1YiDIE7Klmt8osgdapRqYWNr7iPGFSsiJqq46S7PYRE0/edit?usp=sharing"",""ระนอง!I82"")"),0)</f>
        <v>0</v>
      </c>
      <c r="AG85" s="82">
        <f ca="1">IFERROR(__xludf.DUMMYFUNCTION("IMPORTRANGE(""https://docs.google.com/spreadsheets/d/1YiDIE7Klmt8osgdapRqYWNr7iPGFSsiJqq46S7PYRE0/edit?usp=sharing"",""ระนอง!I83"")"),0)</f>
        <v>0</v>
      </c>
      <c r="AH85" s="86">
        <f ca="1">IFERROR(__xludf.DUMMYFUNCTION("IMPORTRANGE(""https://docs.google.com/spreadsheets/d/1YiDIE7Klmt8osgdapRqYWNr7iPGFSsiJqq46S7PYRE0/edit?usp=sharing"",""ระนอง!J82"")"),0)</f>
        <v>0</v>
      </c>
      <c r="AI85" s="86">
        <f ca="1">IFERROR(__xludf.DUMMYFUNCTION("IMPORTRANGE(""https://docs.google.com/spreadsheets/d/1YiDIE7Klmt8osgdapRqYWNr7iPGFSsiJqq46S7PYRE0/edit?usp=sharing"",""ระนอง!J83"")"),0)</f>
        <v>0</v>
      </c>
      <c r="AJ85" s="82">
        <f ca="1">IFERROR(__xludf.DUMMYFUNCTION("IMPORTRANGE(""https://docs.google.com/spreadsheets/d/1YiDIE7Klmt8osgdapRqYWNr7iPGFSsiJqq46S7PYRE0/edit?usp=sharing"",""ระนอง!I84"")"),0)</f>
        <v>0</v>
      </c>
      <c r="AK85" s="86">
        <f ca="1">IFERROR(__xludf.DUMMYFUNCTION("IMPORTRANGE(""https://docs.google.com/spreadsheets/d/1YiDIE7Klmt8osgdapRqYWNr7iPGFSsiJqq46S7PYRE0/edit?usp=sharing"",""ระนอง!J84"")"),0)</f>
        <v>0</v>
      </c>
      <c r="AL85" s="84">
        <f t="shared" ca="1" si="27"/>
        <v>0</v>
      </c>
    </row>
    <row r="86" spans="1:38" ht="24" customHeight="1" x14ac:dyDescent="0.2">
      <c r="A86" s="78">
        <v>12</v>
      </c>
      <c r="B86" s="79" t="s">
        <v>108</v>
      </c>
      <c r="C86" s="80">
        <f t="shared" ca="1" si="0"/>
        <v>0</v>
      </c>
      <c r="D86" s="81">
        <f t="shared" ca="1" si="47"/>
        <v>0</v>
      </c>
      <c r="E86" s="82">
        <f ca="1">IFERROR(__xludf.DUMMYFUNCTION("IMPORTRANGE(""https://docs.google.com/spreadsheets/d/1MeEWN-I1oV_STSDYn1IFDPWt_1FKiwhDph83XaGc0o0/edit?usp=sharing"",""งบพรบ!AH86"")"),0)</f>
        <v>0</v>
      </c>
      <c r="F86" s="82">
        <f ca="1">IFERROR(__xludf.DUMMYFUNCTION("IMPORTRANGE(""https://docs.google.com/spreadsheets/d/1MeEWN-I1oV_STSDYn1IFDPWt_1FKiwhDph83XaGc0o0/edit?usp=sharing"",""งบพรบ!AI86"")"),0)</f>
        <v>0</v>
      </c>
      <c r="G86" s="82">
        <f ca="1">IFERROR(__xludf.DUMMYFUNCTION("IMPORTRANGE(""https://docs.google.com/spreadsheets/d/1MeEWN-I1oV_STSDYn1IFDPWt_1FKiwhDph83XaGc0o0/edit?usp=sharing"",""งบพรบ!AJ86"")"),0)</f>
        <v>0</v>
      </c>
      <c r="H86" s="82">
        <f ca="1">IFERROR(__xludf.DUMMYFUNCTION("IMPORTRANGE(""https://docs.google.com/spreadsheets/d/1MeEWN-I1oV_STSDYn1IFDPWt_1FKiwhDph83XaGc0o0/edit?usp=sharing"",""งบพรบ!AL86"")"),0)</f>
        <v>0</v>
      </c>
      <c r="I86" s="82">
        <f ca="1">IFERROR(__xludf.DUMMYFUNCTION("IMPORTRANGE(""https://docs.google.com/spreadsheets/d/1MeEWN-I1oV_STSDYn1IFDPWt_1FKiwhDph83XaGc0o0/edit?usp=sharing"",""งบพรบ!AM86"")"),0)</f>
        <v>0</v>
      </c>
      <c r="J86" s="82">
        <f t="shared" ca="1" si="3"/>
        <v>0</v>
      </c>
      <c r="K86" s="83">
        <f t="shared" ca="1" si="4"/>
        <v>0</v>
      </c>
      <c r="L86" s="82">
        <f ca="1">IFERROR(__xludf.DUMMYFUNCTION("IMPORTRANGE(""https://docs.google.com/spreadsheets/d/1MeEWN-I1oV_STSDYn1IFDPWt_1FKiwhDph83XaGc0o0/edit?usp=sharing"",""งบพรบ!AN86"")"),0)</f>
        <v>0</v>
      </c>
      <c r="M86" s="84">
        <f t="shared" ca="1" si="5"/>
        <v>0</v>
      </c>
      <c r="N86" s="84">
        <f t="shared" ca="1" si="6"/>
        <v>0</v>
      </c>
      <c r="O86" s="85">
        <f ca="1">IFERROR(__xludf.DUMMYFUNCTION("IMPORTRANGE(""https://docs.google.com/spreadsheets/d/1MeEWN-I1oV_STSDYn1IFDPWt_1FKiwhDph83XaGc0o0/edit?usp=sharing"",""งบพรบ!AO86"")"),0)</f>
        <v>0</v>
      </c>
      <c r="P86" s="85">
        <f t="shared" ca="1" si="29"/>
        <v>0</v>
      </c>
      <c r="Q86" s="84">
        <f t="shared" ca="1" si="8"/>
        <v>0</v>
      </c>
      <c r="R86" s="86">
        <f t="shared" ca="1" si="30"/>
        <v>0</v>
      </c>
      <c r="S86" s="86">
        <f t="shared" ca="1" si="24"/>
        <v>0</v>
      </c>
      <c r="T86" s="86">
        <f t="shared" ca="1" si="48"/>
        <v>0</v>
      </c>
      <c r="U86" s="87">
        <f t="shared" ca="1" si="25"/>
        <v>0</v>
      </c>
      <c r="V86" s="86">
        <f t="shared" ca="1" si="49"/>
        <v>0</v>
      </c>
      <c r="W86" s="87">
        <f t="shared" ca="1" si="26"/>
        <v>0</v>
      </c>
      <c r="X86" s="82">
        <f ca="1">IFERROR(__xludf.DUMMYFUNCTION("IMPORTRANGE(""https://docs.google.com/spreadsheets/d/16o_4B-V7AWw_6E93bSpXj_XxVv1oVQctk-B6z1dNEWU/edit?usp=sharing"",""สงขลา!I78"")"),0)</f>
        <v>0</v>
      </c>
      <c r="Y86" s="82">
        <f ca="1">IFERROR(__xludf.DUMMYFUNCTION("IMPORTRANGE(""https://docs.google.com/spreadsheets/d/16o_4B-V7AWw_6E93bSpXj_XxVv1oVQctk-B6z1dNEWU/edit?usp=sharing"",""สงขลา!I79"")"),0)</f>
        <v>0</v>
      </c>
      <c r="Z86" s="86">
        <f ca="1">IFERROR(__xludf.DUMMYFUNCTION("IMPORTRANGE(""https://docs.google.com/spreadsheets/d/16o_4B-V7AWw_6E93bSpXj_XxVv1oVQctk-B6z1dNEWU/edit?usp=sharing"",""สงขลา!J78"")"),0)</f>
        <v>0</v>
      </c>
      <c r="AA86" s="86">
        <f ca="1">IFERROR(__xludf.DUMMYFUNCTION("IMPORTRANGE(""https://docs.google.com/spreadsheets/d/16o_4B-V7AWw_6E93bSpXj_XxVv1oVQctk-B6z1dNEWU/edit?usp=sharing"",""สงขลา!J79"")"),0)</f>
        <v>0</v>
      </c>
      <c r="AB86" s="82">
        <f ca="1">IFERROR(__xludf.DUMMYFUNCTION("IMPORTRANGE(""https://docs.google.com/spreadsheets/d/16o_4B-V7AWw_6E93bSpXj_XxVv1oVQctk-B6z1dNEWU/edit?usp=sharing"",""สงขลา!I80"")"),0)</f>
        <v>0</v>
      </c>
      <c r="AC86" s="82">
        <f ca="1">IFERROR(__xludf.DUMMYFUNCTION("IMPORTRANGE(""https://docs.google.com/spreadsheets/d/16o_4B-V7AWw_6E93bSpXj_XxVv1oVQctk-B6z1dNEWU/edit?usp=sharing"",""สงขลา!I81"")"),0)</f>
        <v>0</v>
      </c>
      <c r="AD86" s="86">
        <f ca="1">IFERROR(__xludf.DUMMYFUNCTION("IMPORTRANGE(""https://docs.google.com/spreadsheets/d/16o_4B-V7AWw_6E93bSpXj_XxVv1oVQctk-B6z1dNEWU/edit?usp=sharing"",""สงขลา!J80"")"),0)</f>
        <v>0</v>
      </c>
      <c r="AE86" s="86">
        <f ca="1">IFERROR(__xludf.DUMMYFUNCTION("IMPORTRANGE(""https://docs.google.com/spreadsheets/d/16o_4B-V7AWw_6E93bSpXj_XxVv1oVQctk-B6z1dNEWU/edit?usp=sharing"",""สงขลา!J81"")"),0)</f>
        <v>0</v>
      </c>
      <c r="AF86" s="82">
        <f ca="1">IFERROR(__xludf.DUMMYFUNCTION("IMPORTRANGE(""https://docs.google.com/spreadsheets/d/16o_4B-V7AWw_6E93bSpXj_XxVv1oVQctk-B6z1dNEWU/edit?usp=sharing"",""สงขลา!I82"")"),0)</f>
        <v>0</v>
      </c>
      <c r="AG86" s="82">
        <f ca="1">IFERROR(__xludf.DUMMYFUNCTION("IMPORTRANGE(""https://docs.google.com/spreadsheets/d/16o_4B-V7AWw_6E93bSpXj_XxVv1oVQctk-B6z1dNEWU/edit?usp=sharing"",""สงขลา!I83"")"),0)</f>
        <v>0</v>
      </c>
      <c r="AH86" s="86">
        <f ca="1">IFERROR(__xludf.DUMMYFUNCTION("IMPORTRANGE(""https://docs.google.com/spreadsheets/d/16o_4B-V7AWw_6E93bSpXj_XxVv1oVQctk-B6z1dNEWU/edit?usp=sharing"",""สงขลา!J82"")"),0)</f>
        <v>0</v>
      </c>
      <c r="AI86" s="86">
        <f ca="1">IFERROR(__xludf.DUMMYFUNCTION("IMPORTRANGE(""https://docs.google.com/spreadsheets/d/16o_4B-V7AWw_6E93bSpXj_XxVv1oVQctk-B6z1dNEWU/edit?usp=sharing"",""สงขลา!J83"")"),0)</f>
        <v>0</v>
      </c>
      <c r="AJ86" s="82">
        <f ca="1">IFERROR(__xludf.DUMMYFUNCTION("IMPORTRANGE(""https://docs.google.com/spreadsheets/d/16o_4B-V7AWw_6E93bSpXj_XxVv1oVQctk-B6z1dNEWU/edit?usp=sharing"",""สงขลา!I84"")"),0)</f>
        <v>0</v>
      </c>
      <c r="AK86" s="86">
        <f ca="1">IFERROR(__xludf.DUMMYFUNCTION("IMPORTRANGE(""https://docs.google.com/spreadsheets/d/16o_4B-V7AWw_6E93bSpXj_XxVv1oVQctk-B6z1dNEWU/edit?usp=sharing"",""สงขลา!J84"")"),0)</f>
        <v>0</v>
      </c>
      <c r="AL86" s="84">
        <f t="shared" ca="1" si="27"/>
        <v>0</v>
      </c>
    </row>
    <row r="87" spans="1:38" ht="24" customHeight="1" x14ac:dyDescent="0.2">
      <c r="A87" s="78">
        <v>13</v>
      </c>
      <c r="B87" s="79" t="s">
        <v>109</v>
      </c>
      <c r="C87" s="80">
        <f t="shared" ca="1" si="0"/>
        <v>0</v>
      </c>
      <c r="D87" s="81">
        <f t="shared" ca="1" si="47"/>
        <v>0</v>
      </c>
      <c r="E87" s="82">
        <f ca="1">IFERROR(__xludf.DUMMYFUNCTION("IMPORTRANGE(""https://docs.google.com/spreadsheets/d/1MeEWN-I1oV_STSDYn1IFDPWt_1FKiwhDph83XaGc0o0/edit?usp=sharing"",""งบพรบ!AH87"")"),0)</f>
        <v>0</v>
      </c>
      <c r="F87" s="82">
        <f ca="1">IFERROR(__xludf.DUMMYFUNCTION("IMPORTRANGE(""https://docs.google.com/spreadsheets/d/1MeEWN-I1oV_STSDYn1IFDPWt_1FKiwhDph83XaGc0o0/edit?usp=sharing"",""งบพรบ!AI87"")"),0)</f>
        <v>0</v>
      </c>
      <c r="G87" s="82">
        <f ca="1">IFERROR(__xludf.DUMMYFUNCTION("IMPORTRANGE(""https://docs.google.com/spreadsheets/d/1MeEWN-I1oV_STSDYn1IFDPWt_1FKiwhDph83XaGc0o0/edit?usp=sharing"",""งบพรบ!AJ87"")"),0)</f>
        <v>0</v>
      </c>
      <c r="H87" s="82">
        <f ca="1">IFERROR(__xludf.DUMMYFUNCTION("IMPORTRANGE(""https://docs.google.com/spreadsheets/d/1MeEWN-I1oV_STSDYn1IFDPWt_1FKiwhDph83XaGc0o0/edit?usp=sharing"",""งบพรบ!AL87"")"),0)</f>
        <v>0</v>
      </c>
      <c r="I87" s="82">
        <f ca="1">IFERROR(__xludf.DUMMYFUNCTION("IMPORTRANGE(""https://docs.google.com/spreadsheets/d/1MeEWN-I1oV_STSDYn1IFDPWt_1FKiwhDph83XaGc0o0/edit?usp=sharing"",""งบพรบ!AM87"")"),0)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IFERROR(__xludf.DUMMYFUNCTION("IMPORTRANGE(""https://docs.google.com/spreadsheets/d/1MeEWN-I1oV_STSDYn1IFDPWt_1FKiwhDph83XaGc0o0/edit?usp=sharing"",""งบพรบ!AN87"")"),0)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IFERROR(__xludf.DUMMYFUNCTION("IMPORTRANGE(""https://docs.google.com/spreadsheets/d/1MeEWN-I1oV_STSDYn1IFDPWt_1FKiwhDph83XaGc0o0/edit?usp=sharing"",""งบพรบ!AO87"")"),0)</f>
        <v>0</v>
      </c>
      <c r="P87" s="85">
        <f t="shared" ca="1" si="29"/>
        <v>0</v>
      </c>
      <c r="Q87" s="84">
        <f t="shared" ca="1" si="8"/>
        <v>0</v>
      </c>
      <c r="R87" s="86">
        <f t="shared" ca="1" si="30"/>
        <v>0</v>
      </c>
      <c r="S87" s="86">
        <f t="shared" ca="1" si="24"/>
        <v>0</v>
      </c>
      <c r="T87" s="86">
        <f t="shared" ca="1" si="48"/>
        <v>0</v>
      </c>
      <c r="U87" s="87">
        <f t="shared" ca="1" si="25"/>
        <v>0</v>
      </c>
      <c r="V87" s="86">
        <f t="shared" ca="1" si="49"/>
        <v>0</v>
      </c>
      <c r="W87" s="87">
        <f t="shared" ca="1" si="26"/>
        <v>0</v>
      </c>
      <c r="X87" s="82">
        <f ca="1">IFERROR(__xludf.DUMMYFUNCTION("IMPORTRANGE(""https://docs.google.com/spreadsheets/d/16cywr71Fj4fA5OGRHsZh30ZG2gwJhMAQv69oVBzYHv0/edit?usp=sharing"",""สตูล!I78"")"),0)</f>
        <v>0</v>
      </c>
      <c r="Y87" s="82">
        <f ca="1">IFERROR(__xludf.DUMMYFUNCTION("IMPORTRANGE(""https://docs.google.com/spreadsheets/d/16cywr71Fj4fA5OGRHsZh30ZG2gwJhMAQv69oVBzYHv0/edit?usp=sharing"",""สตูล!I79"")"),0)</f>
        <v>0</v>
      </c>
      <c r="Z87" s="86">
        <f ca="1">IFERROR(__xludf.DUMMYFUNCTION("IMPORTRANGE(""https://docs.google.com/spreadsheets/d/16cywr71Fj4fA5OGRHsZh30ZG2gwJhMAQv69oVBzYHv0/edit?usp=sharing"",""สตูล!J78"")"),0)</f>
        <v>0</v>
      </c>
      <c r="AA87" s="86">
        <f ca="1">IFERROR(__xludf.DUMMYFUNCTION("IMPORTRANGE(""https://docs.google.com/spreadsheets/d/16cywr71Fj4fA5OGRHsZh30ZG2gwJhMAQv69oVBzYHv0/edit?usp=sharing"",""สตูล!J79"")"),0)</f>
        <v>0</v>
      </c>
      <c r="AB87" s="82">
        <f ca="1">IFERROR(__xludf.DUMMYFUNCTION("IMPORTRANGE(""https://docs.google.com/spreadsheets/d/16cywr71Fj4fA5OGRHsZh30ZG2gwJhMAQv69oVBzYHv0/edit?usp=sharing"",""สตูล!I80"")"),0)</f>
        <v>0</v>
      </c>
      <c r="AC87" s="82">
        <f ca="1">IFERROR(__xludf.DUMMYFUNCTION("IMPORTRANGE(""https://docs.google.com/spreadsheets/d/16cywr71Fj4fA5OGRHsZh30ZG2gwJhMAQv69oVBzYHv0/edit?usp=sharing"",""สตูล!I81"")"),0)</f>
        <v>0</v>
      </c>
      <c r="AD87" s="86">
        <f ca="1">IFERROR(__xludf.DUMMYFUNCTION("IMPORTRANGE(""https://docs.google.com/spreadsheets/d/16cywr71Fj4fA5OGRHsZh30ZG2gwJhMAQv69oVBzYHv0/edit?usp=sharing"",""สตูล!J80"")"),0)</f>
        <v>0</v>
      </c>
      <c r="AE87" s="86">
        <f ca="1">IFERROR(__xludf.DUMMYFUNCTION("IMPORTRANGE(""https://docs.google.com/spreadsheets/d/16cywr71Fj4fA5OGRHsZh30ZG2gwJhMAQv69oVBzYHv0/edit?usp=sharing"",""สตูล!J81"")"),0)</f>
        <v>0</v>
      </c>
      <c r="AF87" s="82">
        <f ca="1">IFERROR(__xludf.DUMMYFUNCTION("IMPORTRANGE(""https://docs.google.com/spreadsheets/d/16cywr71Fj4fA5OGRHsZh30ZG2gwJhMAQv69oVBzYHv0/edit?usp=sharing"",""สตูล!I82"")"),0)</f>
        <v>0</v>
      </c>
      <c r="AG87" s="82">
        <f ca="1">IFERROR(__xludf.DUMMYFUNCTION("IMPORTRANGE(""https://docs.google.com/spreadsheets/d/16cywr71Fj4fA5OGRHsZh30ZG2gwJhMAQv69oVBzYHv0/edit?usp=sharing"",""สตูล!I83"")"),0)</f>
        <v>0</v>
      </c>
      <c r="AH87" s="86">
        <f ca="1">IFERROR(__xludf.DUMMYFUNCTION("IMPORTRANGE(""https://docs.google.com/spreadsheets/d/16cywr71Fj4fA5OGRHsZh30ZG2gwJhMAQv69oVBzYHv0/edit?usp=sharing"",""สตูล!J82"")"),0)</f>
        <v>0</v>
      </c>
      <c r="AI87" s="86">
        <f ca="1">IFERROR(__xludf.DUMMYFUNCTION("IMPORTRANGE(""https://docs.google.com/spreadsheets/d/16cywr71Fj4fA5OGRHsZh30ZG2gwJhMAQv69oVBzYHv0/edit?usp=sharing"",""สตูล!J83"")"),0)</f>
        <v>0</v>
      </c>
      <c r="AJ87" s="82">
        <f ca="1">IFERROR(__xludf.DUMMYFUNCTION("IMPORTRANGE(""https://docs.google.com/spreadsheets/d/16cywr71Fj4fA5OGRHsZh30ZG2gwJhMAQv69oVBzYHv0/edit?usp=sharing"",""สตูล!I84"")"),0)</f>
        <v>0</v>
      </c>
      <c r="AK87" s="86">
        <f ca="1">IFERROR(__xludf.DUMMYFUNCTION("IMPORTRANGE(""https://docs.google.com/spreadsheets/d/16cywr71Fj4fA5OGRHsZh30ZG2gwJhMAQv69oVBzYHv0/edit?usp=sharing"",""สตูล!J84"")"),0)</f>
        <v>0</v>
      </c>
      <c r="AL87" s="84">
        <f t="shared" ca="1" si="27"/>
        <v>0</v>
      </c>
    </row>
    <row r="88" spans="1:38" ht="24" customHeight="1" x14ac:dyDescent="0.2">
      <c r="A88" s="89">
        <v>14</v>
      </c>
      <c r="B88" s="90" t="s">
        <v>110</v>
      </c>
      <c r="C88" s="91">
        <f t="shared" ca="1" si="0"/>
        <v>384000</v>
      </c>
      <c r="D88" s="92">
        <f t="shared" ca="1" si="47"/>
        <v>384000</v>
      </c>
      <c r="E88" s="93">
        <f ca="1">IFERROR(__xludf.DUMMYFUNCTION("IMPORTRANGE(""https://docs.google.com/spreadsheets/d/1MeEWN-I1oV_STSDYn1IFDPWt_1FKiwhDph83XaGc0o0/edit?usp=sharing"",""งบพรบ!AH88"")"),0)</f>
        <v>0</v>
      </c>
      <c r="F88" s="93">
        <f ca="1">IFERROR(__xludf.DUMMYFUNCTION("IMPORTRANGE(""https://docs.google.com/spreadsheets/d/1MeEWN-I1oV_STSDYn1IFDPWt_1FKiwhDph83XaGc0o0/edit?usp=sharing"",""งบพรบ!AI88"")"),384000)</f>
        <v>384000</v>
      </c>
      <c r="G88" s="93">
        <f ca="1">IFERROR(__xludf.DUMMYFUNCTION("IMPORTRANGE(""https://docs.google.com/spreadsheets/d/1MeEWN-I1oV_STSDYn1IFDPWt_1FKiwhDph83XaGc0o0/edit?usp=sharing"",""งบพรบ!AJ88"")"),0)</f>
        <v>0</v>
      </c>
      <c r="H88" s="93">
        <f ca="1">IFERROR(__xludf.DUMMYFUNCTION("IMPORTRANGE(""https://docs.google.com/spreadsheets/d/1MeEWN-I1oV_STSDYn1IFDPWt_1FKiwhDph83XaGc0o0/edit?usp=sharing"",""งบพรบ!AL88"")"),185000)</f>
        <v>185000</v>
      </c>
      <c r="I88" s="93">
        <f ca="1">IFERROR(__xludf.DUMMYFUNCTION("IMPORTRANGE(""https://docs.google.com/spreadsheets/d/1MeEWN-I1oV_STSDYn1IFDPWt_1FKiwhDph83XaGc0o0/edit?usp=sharing"",""งบพรบ!AM88"")"),0)</f>
        <v>0</v>
      </c>
      <c r="J88" s="93">
        <f t="shared" ca="1" si="3"/>
        <v>127143.33</v>
      </c>
      <c r="K88" s="94">
        <f t="shared" ca="1" si="4"/>
        <v>33.110242187499999</v>
      </c>
      <c r="L88" s="93">
        <f ca="1">IFERROR(__xludf.DUMMYFUNCTION("IMPORTRANGE(""https://docs.google.com/spreadsheets/d/1MeEWN-I1oV_STSDYn1IFDPWt_1FKiwhDph83XaGc0o0/edit?usp=sharing"",""งบพรบ!AN88"")"),127143.33)</f>
        <v>127143.33</v>
      </c>
      <c r="M88" s="95">
        <f t="shared" ca="1" si="5"/>
        <v>33.110242187499999</v>
      </c>
      <c r="N88" s="95">
        <f t="shared" ca="1" si="6"/>
        <v>68.726124324324331</v>
      </c>
      <c r="O88" s="96">
        <f ca="1">IFERROR(__xludf.DUMMYFUNCTION("IMPORTRANGE(""https://docs.google.com/spreadsheets/d/1MeEWN-I1oV_STSDYn1IFDPWt_1FKiwhDph83XaGc0o0/edit?usp=sharing"",""งบพรบ!AO88"")"),0)</f>
        <v>0</v>
      </c>
      <c r="P88" s="96">
        <f t="shared" ca="1" si="29"/>
        <v>0</v>
      </c>
      <c r="Q88" s="95">
        <f t="shared" ca="1" si="8"/>
        <v>0</v>
      </c>
      <c r="R88" s="97">
        <f t="shared" ca="1" si="30"/>
        <v>1</v>
      </c>
      <c r="S88" s="97">
        <f t="shared" ca="1" si="24"/>
        <v>30</v>
      </c>
      <c r="T88" s="97">
        <f t="shared" ca="1" si="48"/>
        <v>1</v>
      </c>
      <c r="U88" s="98">
        <f t="shared" ca="1" si="25"/>
        <v>100</v>
      </c>
      <c r="V88" s="97">
        <f t="shared" ca="1" si="49"/>
        <v>30</v>
      </c>
      <c r="W88" s="98">
        <f t="shared" ca="1" si="26"/>
        <v>100</v>
      </c>
      <c r="X88" s="93">
        <f ca="1">IFERROR(__xludf.DUMMYFUNCTION("IMPORTRANGE(""https://docs.google.com/spreadsheets/d/1vO9Sws6kMtrVtyvrAJptINXjK8TFBoX9xLYOVK_C8bQ/edit?usp=sharing"",""สุราษฎร์ธานี!I78"")"),1)</f>
        <v>1</v>
      </c>
      <c r="Y88" s="93">
        <f ca="1">IFERROR(__xludf.DUMMYFUNCTION("IMPORTRANGE(""https://docs.google.com/spreadsheets/d/1vO9Sws6kMtrVtyvrAJptINXjK8TFBoX9xLYOVK_C8bQ/edit?usp=sharing"",""สุราษฎร์ธานี!I79"")"),30)</f>
        <v>30</v>
      </c>
      <c r="Z88" s="97">
        <f ca="1">IFERROR(__xludf.DUMMYFUNCTION("IMPORTRANGE(""https://docs.google.com/spreadsheets/d/1vO9Sws6kMtrVtyvrAJptINXjK8TFBoX9xLYOVK_C8bQ/edit?usp=sharing"",""สุราษฎร์ธานี!J78"")"),1)</f>
        <v>1</v>
      </c>
      <c r="AA88" s="97">
        <f ca="1">IFERROR(__xludf.DUMMYFUNCTION("IMPORTRANGE(""https://docs.google.com/spreadsheets/d/1vO9Sws6kMtrVtyvrAJptINXjK8TFBoX9xLYOVK_C8bQ/edit?usp=sharing"",""สุราษฎร์ธานี!J79"")"),30)</f>
        <v>30</v>
      </c>
      <c r="AB88" s="93">
        <f ca="1">IFERROR(__xludf.DUMMYFUNCTION("IMPORTRANGE(""https://docs.google.com/spreadsheets/d/1vO9Sws6kMtrVtyvrAJptINXjK8TFBoX9xLYOVK_C8bQ/edit?usp=sharing"",""สุราษฎร์ธานี!I80"")"),0)</f>
        <v>0</v>
      </c>
      <c r="AC88" s="93">
        <f ca="1">IFERROR(__xludf.DUMMYFUNCTION("IMPORTRANGE(""https://docs.google.com/spreadsheets/d/1vO9Sws6kMtrVtyvrAJptINXjK8TFBoX9xLYOVK_C8bQ/edit?usp=sharing"",""สุราษฎร์ธานี!I81"")"),0)</f>
        <v>0</v>
      </c>
      <c r="AD88" s="97">
        <f ca="1">IFERROR(__xludf.DUMMYFUNCTION("IMPORTRANGE(""https://docs.google.com/spreadsheets/d/1vO9Sws6kMtrVtyvrAJptINXjK8TFBoX9xLYOVK_C8bQ/edit?usp=sharing"",""สุราษฎร์ธานี!J80"")"),0)</f>
        <v>0</v>
      </c>
      <c r="AE88" s="97">
        <f ca="1">IFERROR(__xludf.DUMMYFUNCTION("IMPORTRANGE(""https://docs.google.com/spreadsheets/d/1vO9Sws6kMtrVtyvrAJptINXjK8TFBoX9xLYOVK_C8bQ/edit?usp=sharing"",""สุราษฎร์ธานี!J81"")"),0)</f>
        <v>0</v>
      </c>
      <c r="AF88" s="93">
        <f ca="1">IFERROR(__xludf.DUMMYFUNCTION("IMPORTRANGE(""https://docs.google.com/spreadsheets/d/1vO9Sws6kMtrVtyvrAJptINXjK8TFBoX9xLYOVK_C8bQ/edit?usp=sharing"",""สุราษฎร์ธานี!I82"")"),0)</f>
        <v>0</v>
      </c>
      <c r="AG88" s="93">
        <f ca="1">IFERROR(__xludf.DUMMYFUNCTION("IMPORTRANGE(""https://docs.google.com/spreadsheets/d/1vO9Sws6kMtrVtyvrAJptINXjK8TFBoX9xLYOVK_C8bQ/edit?usp=sharing"",""สุราษฎร์ธานี!I83"")"),0)</f>
        <v>0</v>
      </c>
      <c r="AH88" s="97">
        <f ca="1">IFERROR(__xludf.DUMMYFUNCTION("IMPORTRANGE(""https://docs.google.com/spreadsheets/d/1vO9Sws6kMtrVtyvrAJptINXjK8TFBoX9xLYOVK_C8bQ/edit?usp=sharing"",""สุราษฎร์ธานี!J82"")"),0)</f>
        <v>0</v>
      </c>
      <c r="AI88" s="97">
        <f ca="1">IFERROR(__xludf.DUMMYFUNCTION("IMPORTRANGE(""https://docs.google.com/spreadsheets/d/1vO9Sws6kMtrVtyvrAJptINXjK8TFBoX9xLYOVK_C8bQ/edit?usp=sharing"",""สุราษฎร์ธานี!J83"")"),0)</f>
        <v>0</v>
      </c>
      <c r="AJ88" s="93">
        <f ca="1">IFERROR(__xludf.DUMMYFUNCTION("IMPORTRANGE(""https://docs.google.com/spreadsheets/d/1vO9Sws6kMtrVtyvrAJptINXjK8TFBoX9xLYOVK_C8bQ/edit?usp=sharing"",""สุราษฎร์ธานี!I84"")"),1)</f>
        <v>1</v>
      </c>
      <c r="AK88" s="97">
        <f ca="1">IFERROR(__xludf.DUMMYFUNCTION("IMPORTRANGE(""https://docs.google.com/spreadsheets/d/1vO9Sws6kMtrVtyvrAJptINXjK8TFBoX9xLYOVK_C8bQ/edit?usp=sharing"",""สุราษฎร์ธานี!J84"")"),0)</f>
        <v>0</v>
      </c>
      <c r="AL88" s="95">
        <f t="shared" ca="1" si="27"/>
        <v>0</v>
      </c>
    </row>
    <row r="89" spans="1:38" ht="21" hidden="1" customHeight="1" x14ac:dyDescent="0.2">
      <c r="A89" s="381" t="s">
        <v>111</v>
      </c>
      <c r="B89" s="357"/>
      <c r="C89" s="107">
        <f t="shared" ca="1" si="0"/>
        <v>4776600</v>
      </c>
      <c r="D89" s="46">
        <f t="shared" ref="D89:I89" ca="1" si="50">+D90+D91+D92+D93+D94+D95+D96+D97+D98+D99+D100+D101+D102+D103</f>
        <v>4776600</v>
      </c>
      <c r="E89" s="46">
        <f t="shared" ca="1" si="50"/>
        <v>3723800</v>
      </c>
      <c r="F89" s="46">
        <f t="shared" ca="1" si="50"/>
        <v>1052800</v>
      </c>
      <c r="G89" s="46">
        <f t="shared" ca="1" si="50"/>
        <v>0</v>
      </c>
      <c r="H89" s="46">
        <f t="shared" ca="1" si="50"/>
        <v>8407100</v>
      </c>
      <c r="I89" s="46">
        <f t="shared" ca="1" si="50"/>
        <v>0</v>
      </c>
      <c r="J89" s="46">
        <f t="shared" ca="1" si="3"/>
        <v>1331673.58</v>
      </c>
      <c r="K89" s="48">
        <f t="shared" ca="1" si="4"/>
        <v>27.879110245781519</v>
      </c>
      <c r="L89" s="46">
        <f ca="1">+L90+L91+L92+L93+L94+L95+L96+L97+L98+L99+L100+L101+L102+L103</f>
        <v>1331673.58</v>
      </c>
      <c r="M89" s="49">
        <f t="shared" ca="1" si="5"/>
        <v>27.879110245781519</v>
      </c>
      <c r="N89" s="49">
        <f t="shared" ca="1" si="6"/>
        <v>15.83986844452903</v>
      </c>
      <c r="O89" s="50">
        <f ca="1">+O90+O91+O92+O93+O94+O95+O96+O97+O98+O99+O100+O101+O102+O103</f>
        <v>0</v>
      </c>
      <c r="P89" s="50">
        <f t="shared" ca="1" si="29"/>
        <v>0</v>
      </c>
      <c r="Q89" s="49">
        <f t="shared" ca="1" si="8"/>
        <v>0</v>
      </c>
      <c r="R89" s="46"/>
      <c r="S89" s="46"/>
      <c r="T89" s="46"/>
      <c r="U89" s="49"/>
      <c r="V89" s="46"/>
      <c r="W89" s="49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9"/>
    </row>
    <row r="90" spans="1:38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51">+E90+F90</f>
        <v>0</v>
      </c>
      <c r="E90" s="72">
        <f ca="1">IFERROR(__xludf.DUMMYFUNCTION("IMPORTRANGE(""https://docs.google.com/spreadsheets/d/1MeEWN-I1oV_STSDYn1IFDPWt_1FKiwhDph83XaGc0o0/edit?usp=sharing"",""งบพรบ!AH90"")"),0)</f>
        <v>0</v>
      </c>
      <c r="F90" s="72">
        <f ca="1">IFERROR(__xludf.DUMMYFUNCTION("IMPORTRANGE(""https://docs.google.com/spreadsheets/d/1MeEWN-I1oV_STSDYn1IFDPWt_1FKiwhDph83XaGc0o0/edit?usp=sharing"",""งบพรบ!AI90"")"),0)</f>
        <v>0</v>
      </c>
      <c r="G90" s="72">
        <f ca="1">IFERROR(__xludf.DUMMYFUNCTION("IMPORTRANGE(""https://docs.google.com/spreadsheets/d/1MeEWN-I1oV_STSDYn1IFDPWt_1FKiwhDph83XaGc0o0/edit?usp=sharing"",""งบพรบ!AJ90"")"),0)</f>
        <v>0</v>
      </c>
      <c r="H90" s="72">
        <f ca="1">IFERROR(__xludf.DUMMYFUNCTION("IMPORTRANGE(""https://docs.google.com/spreadsheets/d/1MeEWN-I1oV_STSDYn1IFDPWt_1FKiwhDph83XaGc0o0/edit?usp=sharing"",""งบพรบ!AL90"")"),0)</f>
        <v>0</v>
      </c>
      <c r="I90" s="72">
        <f ca="1">IFERROR(__xludf.DUMMYFUNCTION("IMPORTRANGE(""https://docs.google.com/spreadsheets/d/1MeEWN-I1oV_STSDYn1IFDPWt_1FKiwhDph83XaGc0o0/edit?usp=sharing"",""งบพรบ!AM90"")"),0)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IFERROR(__xludf.DUMMYFUNCTION("IMPORTRANGE(""https://docs.google.com/spreadsheets/d/1MeEWN-I1oV_STSDYn1IFDPWt_1FKiwhDph83XaGc0o0/edit?usp=sharing"",""งบพรบ!AN90"")"),0)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IFERROR(__xludf.DUMMYFUNCTION("IMPORTRANGE(""https://docs.google.com/spreadsheets/d/1MeEWN-I1oV_STSDYn1IFDPWt_1FKiwhDph83XaGc0o0/edit?usp=sharing"",""งบพรบ!AO90"")"),0)</f>
        <v>0</v>
      </c>
      <c r="P90" s="76">
        <f t="shared" ca="1" si="29"/>
        <v>0</v>
      </c>
      <c r="Q90" s="75">
        <f t="shared" ca="1" si="8"/>
        <v>0</v>
      </c>
      <c r="R90" s="72"/>
      <c r="S90" s="72"/>
      <c r="T90" s="72"/>
      <c r="U90" s="75"/>
      <c r="V90" s="72"/>
      <c r="W90" s="75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5"/>
    </row>
    <row r="91" spans="1:38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51"/>
        <v>0</v>
      </c>
      <c r="E91" s="82">
        <f ca="1">IFERROR(__xludf.DUMMYFUNCTION("IMPORTRANGE(""https://docs.google.com/spreadsheets/d/1MeEWN-I1oV_STSDYn1IFDPWt_1FKiwhDph83XaGc0o0/edit?usp=sharing"",""งบพรบ!AH91"")"),0)</f>
        <v>0</v>
      </c>
      <c r="F91" s="82">
        <f ca="1">IFERROR(__xludf.DUMMYFUNCTION("IMPORTRANGE(""https://docs.google.com/spreadsheets/d/1MeEWN-I1oV_STSDYn1IFDPWt_1FKiwhDph83XaGc0o0/edit?usp=sharing"",""งบพรบ!AI91"")"),0)</f>
        <v>0</v>
      </c>
      <c r="G91" s="82">
        <f ca="1">IFERROR(__xludf.DUMMYFUNCTION("IMPORTRANGE(""https://docs.google.com/spreadsheets/d/1MeEWN-I1oV_STSDYn1IFDPWt_1FKiwhDph83XaGc0o0/edit?usp=sharing"",""งบพรบ!AJ91"")"),0)</f>
        <v>0</v>
      </c>
      <c r="H91" s="82">
        <f ca="1">IFERROR(__xludf.DUMMYFUNCTION("IMPORTRANGE(""https://docs.google.com/spreadsheets/d/1MeEWN-I1oV_STSDYn1IFDPWt_1FKiwhDph83XaGc0o0/edit?usp=sharing"",""งบพรบ!AL91"")"),0)</f>
        <v>0</v>
      </c>
      <c r="I91" s="82">
        <f ca="1">IFERROR(__xludf.DUMMYFUNCTION("IMPORTRANGE(""https://docs.google.com/spreadsheets/d/1MeEWN-I1oV_STSDYn1IFDPWt_1FKiwhDph83XaGc0o0/edit?usp=sharing"",""งบพรบ!AM91"")"),0)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IFERROR(__xludf.DUMMYFUNCTION("IMPORTRANGE(""https://docs.google.com/spreadsheets/d/1MeEWN-I1oV_STSDYn1IFDPWt_1FKiwhDph83XaGc0o0/edit?usp=sharing"",""งบพรบ!AN91"")"),0)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IFERROR(__xludf.DUMMYFUNCTION("IMPORTRANGE(""https://docs.google.com/spreadsheets/d/1MeEWN-I1oV_STSDYn1IFDPWt_1FKiwhDph83XaGc0o0/edit?usp=sharing"",""งบพรบ!AO91"")"),0)</f>
        <v>0</v>
      </c>
      <c r="P91" s="85">
        <f t="shared" ca="1" si="29"/>
        <v>0</v>
      </c>
      <c r="Q91" s="84">
        <f t="shared" ca="1" si="8"/>
        <v>0</v>
      </c>
      <c r="R91" s="82"/>
      <c r="S91" s="82"/>
      <c r="T91" s="82"/>
      <c r="U91" s="84"/>
      <c r="V91" s="82"/>
      <c r="W91" s="84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4"/>
    </row>
    <row r="92" spans="1:38" ht="24" hidden="1" customHeight="1" x14ac:dyDescent="0.2">
      <c r="A92" s="111">
        <v>3</v>
      </c>
      <c r="B92" s="112" t="s">
        <v>114</v>
      </c>
      <c r="C92" s="80">
        <f t="shared" ca="1" si="0"/>
        <v>300000</v>
      </c>
      <c r="D92" s="81">
        <f t="shared" ca="1" si="51"/>
        <v>300000</v>
      </c>
      <c r="E92" s="82">
        <f ca="1">IFERROR(__xludf.DUMMYFUNCTION("IMPORTRANGE(""https://docs.google.com/spreadsheets/d/1MeEWN-I1oV_STSDYn1IFDPWt_1FKiwhDph83XaGc0o0/edit?usp=sharing"",""งบพรบ!AH92"")"),300000)</f>
        <v>300000</v>
      </c>
      <c r="F92" s="82">
        <f ca="1">IFERROR(__xludf.DUMMYFUNCTION("IMPORTRANGE(""https://docs.google.com/spreadsheets/d/1MeEWN-I1oV_STSDYn1IFDPWt_1FKiwhDph83XaGc0o0/edit?usp=sharing"",""งบพรบ!AI92"")"),0)</f>
        <v>0</v>
      </c>
      <c r="G92" s="82">
        <f ca="1">IFERROR(__xludf.DUMMYFUNCTION("IMPORTRANGE(""https://docs.google.com/spreadsheets/d/1MeEWN-I1oV_STSDYn1IFDPWt_1FKiwhDph83XaGc0o0/edit?usp=sharing"",""งบพรบ!AJ92"")"),0)</f>
        <v>0</v>
      </c>
      <c r="H92" s="82">
        <f ca="1">IFERROR(__xludf.DUMMYFUNCTION("IMPORTRANGE(""https://docs.google.com/spreadsheets/d/1MeEWN-I1oV_STSDYn1IFDPWt_1FKiwhDph83XaGc0o0/edit?usp=sharing"",""งบพรบ!AL92"")"),460000)</f>
        <v>460000</v>
      </c>
      <c r="I92" s="82">
        <f ca="1">IFERROR(__xludf.DUMMYFUNCTION("IMPORTRANGE(""https://docs.google.com/spreadsheets/d/1MeEWN-I1oV_STSDYn1IFDPWt_1FKiwhDph83XaGc0o0/edit?usp=sharing"",""งบพรบ!AM92"")"),0)</f>
        <v>0</v>
      </c>
      <c r="J92" s="82">
        <f t="shared" ca="1" si="3"/>
        <v>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IFERROR(__xludf.DUMMYFUNCTION("IMPORTRANGE(""https://docs.google.com/spreadsheets/d/1MeEWN-I1oV_STSDYn1IFDPWt_1FKiwhDph83XaGc0o0/edit?usp=sharing"",""งบพรบ!AN92"")"),0)</f>
        <v>0</v>
      </c>
      <c r="M92" s="84">
        <f t="shared" ca="1" si="5"/>
        <v>0</v>
      </c>
      <c r="N92" s="84">
        <f t="shared" ca="1" si="6"/>
        <v>0</v>
      </c>
      <c r="O92" s="85">
        <f ca="1">IFERROR(__xludf.DUMMYFUNCTION("IMPORTRANGE(""https://docs.google.com/spreadsheets/d/1MeEWN-I1oV_STSDYn1IFDPWt_1FKiwhDph83XaGc0o0/edit?usp=sharing"",""งบพรบ!AO92"")"),0)</f>
        <v>0</v>
      </c>
      <c r="P92" s="85">
        <f t="shared" ca="1" si="29"/>
        <v>0</v>
      </c>
      <c r="Q92" s="84">
        <f t="shared" ca="1" si="8"/>
        <v>0</v>
      </c>
      <c r="R92" s="82"/>
      <c r="S92" s="82"/>
      <c r="T92" s="82"/>
      <c r="U92" s="84"/>
      <c r="V92" s="82"/>
      <c r="W92" s="84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4"/>
    </row>
    <row r="93" spans="1:38" ht="24" hidden="1" customHeight="1" x14ac:dyDescent="0.2">
      <c r="A93" s="111">
        <f t="shared" ref="A93:A103" si="52">+A92+1</f>
        <v>4</v>
      </c>
      <c r="B93" s="112" t="s">
        <v>115</v>
      </c>
      <c r="C93" s="80">
        <f t="shared" ca="1" si="0"/>
        <v>381200</v>
      </c>
      <c r="D93" s="81">
        <f t="shared" ca="1" si="51"/>
        <v>381200</v>
      </c>
      <c r="E93" s="82">
        <f ca="1">IFERROR(__xludf.DUMMYFUNCTION("IMPORTRANGE(""https://docs.google.com/spreadsheets/d/1MeEWN-I1oV_STSDYn1IFDPWt_1FKiwhDph83XaGc0o0/edit?usp=sharing"",""งบพรบ!AH93"")"),381200)</f>
        <v>381200</v>
      </c>
      <c r="F93" s="82">
        <f ca="1">IFERROR(__xludf.DUMMYFUNCTION("IMPORTRANGE(""https://docs.google.com/spreadsheets/d/1MeEWN-I1oV_STSDYn1IFDPWt_1FKiwhDph83XaGc0o0/edit?usp=sharing"",""งบพรบ!AI93"")"),0)</f>
        <v>0</v>
      </c>
      <c r="G93" s="82">
        <f ca="1">IFERROR(__xludf.DUMMYFUNCTION("IMPORTRANGE(""https://docs.google.com/spreadsheets/d/1MeEWN-I1oV_STSDYn1IFDPWt_1FKiwhDph83XaGc0o0/edit?usp=sharing"",""งบพรบ!AJ93"")"),0)</f>
        <v>0</v>
      </c>
      <c r="H93" s="82">
        <f ca="1">IFERROR(__xludf.DUMMYFUNCTION("IMPORTRANGE(""https://docs.google.com/spreadsheets/d/1MeEWN-I1oV_STSDYn1IFDPWt_1FKiwhDph83XaGc0o0/edit?usp=sharing"",""งบพรบ!AL93"")"),337300)</f>
        <v>337300</v>
      </c>
      <c r="I93" s="82">
        <f ca="1">IFERROR(__xludf.DUMMYFUNCTION("IMPORTRANGE(""https://docs.google.com/spreadsheets/d/1MeEWN-I1oV_STSDYn1IFDPWt_1FKiwhDph83XaGc0o0/edit?usp=sharing"",""งบพรบ!AM93"")"),0)</f>
        <v>0</v>
      </c>
      <c r="J93" s="82">
        <f t="shared" ca="1" si="3"/>
        <v>23080</v>
      </c>
      <c r="K93" s="83">
        <f t="shared" ca="1" si="4"/>
        <v>6.0545645330535152</v>
      </c>
      <c r="L93" s="82">
        <f ca="1">IFERROR(__xludf.DUMMYFUNCTION("IMPORTRANGE(""https://docs.google.com/spreadsheets/d/1MeEWN-I1oV_STSDYn1IFDPWt_1FKiwhDph83XaGc0o0/edit?usp=sharing"",""งบพรบ!AN93"")"),23080)</f>
        <v>23080</v>
      </c>
      <c r="M93" s="84">
        <f t="shared" ca="1" si="5"/>
        <v>6.0545645330535152</v>
      </c>
      <c r="N93" s="84">
        <f t="shared" ca="1" si="6"/>
        <v>6.8425733768158912</v>
      </c>
      <c r="O93" s="85">
        <f ca="1">IFERROR(__xludf.DUMMYFUNCTION("IMPORTRANGE(""https://docs.google.com/spreadsheets/d/1MeEWN-I1oV_STSDYn1IFDPWt_1FKiwhDph83XaGc0o0/edit?usp=sharing"",""งบพรบ!AO93"")"),0)</f>
        <v>0</v>
      </c>
      <c r="P93" s="85">
        <f t="shared" ca="1" si="29"/>
        <v>0</v>
      </c>
      <c r="Q93" s="84">
        <f t="shared" ca="1" si="8"/>
        <v>0</v>
      </c>
      <c r="R93" s="82"/>
      <c r="S93" s="82"/>
      <c r="T93" s="82"/>
      <c r="U93" s="84"/>
      <c r="V93" s="82"/>
      <c r="W93" s="84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4"/>
    </row>
    <row r="94" spans="1:38" ht="24" hidden="1" customHeight="1" x14ac:dyDescent="0.2">
      <c r="A94" s="111">
        <f t="shared" si="52"/>
        <v>5</v>
      </c>
      <c r="B94" s="112" t="s">
        <v>116</v>
      </c>
      <c r="C94" s="80">
        <f t="shared" ca="1" si="0"/>
        <v>0</v>
      </c>
      <c r="D94" s="81">
        <f t="shared" ca="1" si="51"/>
        <v>0</v>
      </c>
      <c r="E94" s="82">
        <f ca="1">IFERROR(__xludf.DUMMYFUNCTION("IMPORTRANGE(""https://docs.google.com/spreadsheets/d/1MeEWN-I1oV_STSDYn1IFDPWt_1FKiwhDph83XaGc0o0/edit?usp=sharing"",""งบพรบ!AH94"")"),0)</f>
        <v>0</v>
      </c>
      <c r="F94" s="82">
        <f ca="1">IFERROR(__xludf.DUMMYFUNCTION("IMPORTRANGE(""https://docs.google.com/spreadsheets/d/1MeEWN-I1oV_STSDYn1IFDPWt_1FKiwhDph83XaGc0o0/edit?usp=sharing"",""งบพรบ!AI94"")"),0)</f>
        <v>0</v>
      </c>
      <c r="G94" s="82">
        <f ca="1">IFERROR(__xludf.DUMMYFUNCTION("IMPORTRANGE(""https://docs.google.com/spreadsheets/d/1MeEWN-I1oV_STSDYn1IFDPWt_1FKiwhDph83XaGc0o0/edit?usp=sharing"",""งบพรบ!AJ94"")"),0)</f>
        <v>0</v>
      </c>
      <c r="H94" s="82">
        <f ca="1">IFERROR(__xludf.DUMMYFUNCTION("IMPORTRANGE(""https://docs.google.com/spreadsheets/d/1MeEWN-I1oV_STSDYn1IFDPWt_1FKiwhDph83XaGc0o0/edit?usp=sharing"",""งบพรบ!AL94"")"),0)</f>
        <v>0</v>
      </c>
      <c r="I94" s="82">
        <f ca="1">IFERROR(__xludf.DUMMYFUNCTION("IMPORTRANGE(""https://docs.google.com/spreadsheets/d/1MeEWN-I1oV_STSDYn1IFDPWt_1FKiwhDph83XaGc0o0/edit?usp=sharing"",""งบพรบ!AM94"")"),0)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IFERROR(__xludf.DUMMYFUNCTION("IMPORTRANGE(""https://docs.google.com/spreadsheets/d/1MeEWN-I1oV_STSDYn1IFDPWt_1FKiwhDph83XaGc0o0/edit?usp=sharing"",""งบพรบ!AN94"")"),0)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IFERROR(__xludf.DUMMYFUNCTION("IMPORTRANGE(""https://docs.google.com/spreadsheets/d/1MeEWN-I1oV_STSDYn1IFDPWt_1FKiwhDph83XaGc0o0/edit?usp=sharing"",""งบพรบ!AO94"")"),0)</f>
        <v>0</v>
      </c>
      <c r="P94" s="85">
        <f t="shared" ca="1" si="29"/>
        <v>0</v>
      </c>
      <c r="Q94" s="84">
        <f t="shared" ca="1" si="8"/>
        <v>0</v>
      </c>
      <c r="R94" s="82"/>
      <c r="S94" s="82"/>
      <c r="T94" s="82"/>
      <c r="U94" s="84"/>
      <c r="V94" s="82"/>
      <c r="W94" s="84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4"/>
    </row>
    <row r="95" spans="1:38" ht="24" hidden="1" customHeight="1" x14ac:dyDescent="0.2">
      <c r="A95" s="111">
        <f t="shared" si="52"/>
        <v>6</v>
      </c>
      <c r="B95" s="112" t="s">
        <v>117</v>
      </c>
      <c r="C95" s="80">
        <f t="shared" ca="1" si="0"/>
        <v>0</v>
      </c>
      <c r="D95" s="81">
        <f t="shared" ca="1" si="51"/>
        <v>0</v>
      </c>
      <c r="E95" s="82">
        <f ca="1">IFERROR(__xludf.DUMMYFUNCTION("IMPORTRANGE(""https://docs.google.com/spreadsheets/d/1MeEWN-I1oV_STSDYn1IFDPWt_1FKiwhDph83XaGc0o0/edit?usp=sharing"",""งบพรบ!AH95"")"),0)</f>
        <v>0</v>
      </c>
      <c r="F95" s="82">
        <f ca="1">IFERROR(__xludf.DUMMYFUNCTION("IMPORTRANGE(""https://docs.google.com/spreadsheets/d/1MeEWN-I1oV_STSDYn1IFDPWt_1FKiwhDph83XaGc0o0/edit?usp=sharing"",""งบพรบ!AI95"")"),0)</f>
        <v>0</v>
      </c>
      <c r="G95" s="82">
        <f ca="1">IFERROR(__xludf.DUMMYFUNCTION("IMPORTRANGE(""https://docs.google.com/spreadsheets/d/1MeEWN-I1oV_STSDYn1IFDPWt_1FKiwhDph83XaGc0o0/edit?usp=sharing"",""งบพรบ!AJ95"")"),0)</f>
        <v>0</v>
      </c>
      <c r="H95" s="82">
        <f ca="1">IFERROR(__xludf.DUMMYFUNCTION("IMPORTRANGE(""https://docs.google.com/spreadsheets/d/1MeEWN-I1oV_STSDYn1IFDPWt_1FKiwhDph83XaGc0o0/edit?usp=sharing"",""งบพรบ!AL95"")"),0)</f>
        <v>0</v>
      </c>
      <c r="I95" s="82">
        <f ca="1">IFERROR(__xludf.DUMMYFUNCTION("IMPORTRANGE(""https://docs.google.com/spreadsheets/d/1MeEWN-I1oV_STSDYn1IFDPWt_1FKiwhDph83XaGc0o0/edit?usp=sharing"",""งบพรบ!AM95"")"),0)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IFERROR(__xludf.DUMMYFUNCTION("IMPORTRANGE(""https://docs.google.com/spreadsheets/d/1MeEWN-I1oV_STSDYn1IFDPWt_1FKiwhDph83XaGc0o0/edit?usp=sharing"",""งบพรบ!AN95"")"),0)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IFERROR(__xludf.DUMMYFUNCTION("IMPORTRANGE(""https://docs.google.com/spreadsheets/d/1MeEWN-I1oV_STSDYn1IFDPWt_1FKiwhDph83XaGc0o0/edit?usp=sharing"",""งบพรบ!AO95"")"),0)</f>
        <v>0</v>
      </c>
      <c r="P95" s="85">
        <f t="shared" ca="1" si="29"/>
        <v>0</v>
      </c>
      <c r="Q95" s="84">
        <f t="shared" ca="1" si="8"/>
        <v>0</v>
      </c>
      <c r="R95" s="82"/>
      <c r="S95" s="82"/>
      <c r="T95" s="82"/>
      <c r="U95" s="84"/>
      <c r="V95" s="82"/>
      <c r="W95" s="84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4"/>
    </row>
    <row r="96" spans="1:38" ht="24" hidden="1" customHeight="1" x14ac:dyDescent="0.2">
      <c r="A96" s="111">
        <f t="shared" si="52"/>
        <v>7</v>
      </c>
      <c r="B96" s="112" t="s">
        <v>118</v>
      </c>
      <c r="C96" s="80">
        <f t="shared" ca="1" si="0"/>
        <v>4095400</v>
      </c>
      <c r="D96" s="81">
        <f t="shared" ca="1" si="51"/>
        <v>4095400</v>
      </c>
      <c r="E96" s="82">
        <f ca="1">IFERROR(__xludf.DUMMYFUNCTION("IMPORTRANGE(""https://docs.google.com/spreadsheets/d/1MeEWN-I1oV_STSDYn1IFDPWt_1FKiwhDph83XaGc0o0/edit?usp=sharing"",""งบพรบ!AH96"")"),3042600)</f>
        <v>3042600</v>
      </c>
      <c r="F96" s="82">
        <f ca="1">IFERROR(__xludf.DUMMYFUNCTION("IMPORTRANGE(""https://docs.google.com/spreadsheets/d/1MeEWN-I1oV_STSDYn1IFDPWt_1FKiwhDph83XaGc0o0/edit?usp=sharing"",""งบพรบ!AI96"")"),1052800)</f>
        <v>1052800</v>
      </c>
      <c r="G96" s="82">
        <f ca="1">IFERROR(__xludf.DUMMYFUNCTION("IMPORTRANGE(""https://docs.google.com/spreadsheets/d/1MeEWN-I1oV_STSDYn1IFDPWt_1FKiwhDph83XaGc0o0/edit?usp=sharing"",""งบพรบ!AJ96"")"),0)</f>
        <v>0</v>
      </c>
      <c r="H96" s="82">
        <f ca="1">IFERROR(__xludf.DUMMYFUNCTION("IMPORTRANGE(""https://docs.google.com/spreadsheets/d/1MeEWN-I1oV_STSDYn1IFDPWt_1FKiwhDph83XaGc0o0/edit?usp=sharing"",""งบพรบ!AL96"")"),7609800)</f>
        <v>7609800</v>
      </c>
      <c r="I96" s="82">
        <f ca="1">IFERROR(__xludf.DUMMYFUNCTION("IMPORTRANGE(""https://docs.google.com/spreadsheets/d/1MeEWN-I1oV_STSDYn1IFDPWt_1FKiwhDph83XaGc0o0/edit?usp=sharing"",""งบพรบ!AM96"")"),0)</f>
        <v>0</v>
      </c>
      <c r="J96" s="82">
        <f t="shared" ca="1" si="3"/>
        <v>1308593.58</v>
      </c>
      <c r="K96" s="83">
        <f t="shared" ca="1" si="4"/>
        <v>31.952766030180204</v>
      </c>
      <c r="L96" s="82">
        <f ca="1">IFERROR(__xludf.DUMMYFUNCTION("IMPORTRANGE(""https://docs.google.com/spreadsheets/d/1MeEWN-I1oV_STSDYn1IFDPWt_1FKiwhDph83XaGc0o0/edit?usp=sharing"",""งบพรบ!AN96"")"),1308593.58)</f>
        <v>1308593.58</v>
      </c>
      <c r="M96" s="84">
        <f t="shared" ca="1" si="5"/>
        <v>31.952766030180204</v>
      </c>
      <c r="N96" s="84">
        <f t="shared" ca="1" si="6"/>
        <v>17.19616257983127</v>
      </c>
      <c r="O96" s="85">
        <f ca="1">IFERROR(__xludf.DUMMYFUNCTION("IMPORTRANGE(""https://docs.google.com/spreadsheets/d/1MeEWN-I1oV_STSDYn1IFDPWt_1FKiwhDph83XaGc0o0/edit?usp=sharing"",""งบพรบ!AO96"")"),0)</f>
        <v>0</v>
      </c>
      <c r="P96" s="85">
        <f t="shared" ca="1" si="29"/>
        <v>0</v>
      </c>
      <c r="Q96" s="84">
        <f t="shared" ca="1" si="8"/>
        <v>0</v>
      </c>
      <c r="R96" s="82"/>
      <c r="S96" s="82"/>
      <c r="T96" s="82"/>
      <c r="U96" s="84"/>
      <c r="V96" s="82"/>
      <c r="W96" s="84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4"/>
    </row>
    <row r="97" spans="1:38" ht="24" hidden="1" customHeight="1" x14ac:dyDescent="0.2">
      <c r="A97" s="111">
        <f t="shared" si="52"/>
        <v>8</v>
      </c>
      <c r="B97" s="112" t="s">
        <v>119</v>
      </c>
      <c r="C97" s="80">
        <f t="shared" ca="1" si="0"/>
        <v>0</v>
      </c>
      <c r="D97" s="81">
        <f t="shared" ca="1" si="51"/>
        <v>0</v>
      </c>
      <c r="E97" s="82">
        <f ca="1">IFERROR(__xludf.DUMMYFUNCTION("IMPORTRANGE(""https://docs.google.com/spreadsheets/d/1MeEWN-I1oV_STSDYn1IFDPWt_1FKiwhDph83XaGc0o0/edit?usp=sharing"",""งบพรบ!AH97"")"),0)</f>
        <v>0</v>
      </c>
      <c r="F97" s="82">
        <f ca="1">IFERROR(__xludf.DUMMYFUNCTION("IMPORTRANGE(""https://docs.google.com/spreadsheets/d/1MeEWN-I1oV_STSDYn1IFDPWt_1FKiwhDph83XaGc0o0/edit?usp=sharing"",""งบพรบ!AI97"")"),0)</f>
        <v>0</v>
      </c>
      <c r="G97" s="82">
        <f ca="1">IFERROR(__xludf.DUMMYFUNCTION("IMPORTRANGE(""https://docs.google.com/spreadsheets/d/1MeEWN-I1oV_STSDYn1IFDPWt_1FKiwhDph83XaGc0o0/edit?usp=sharing"",""งบพรบ!AJ97"")"),0)</f>
        <v>0</v>
      </c>
      <c r="H97" s="82">
        <f ca="1">IFERROR(__xludf.DUMMYFUNCTION("IMPORTRANGE(""https://docs.google.com/spreadsheets/d/1MeEWN-I1oV_STSDYn1IFDPWt_1FKiwhDph83XaGc0o0/edit?usp=sharing"",""งบพรบ!AL97"")"),0)</f>
        <v>0</v>
      </c>
      <c r="I97" s="82">
        <f ca="1">IFERROR(__xludf.DUMMYFUNCTION("IMPORTRANGE(""https://docs.google.com/spreadsheets/d/1MeEWN-I1oV_STSDYn1IFDPWt_1FKiwhDph83XaGc0o0/edit?usp=sharing"",""งบพรบ!AM97"")"),0)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IFERROR(__xludf.DUMMYFUNCTION("IMPORTRANGE(""https://docs.google.com/spreadsheets/d/1MeEWN-I1oV_STSDYn1IFDPWt_1FKiwhDph83XaGc0o0/edit?usp=sharing"",""งบพรบ!AN97"")"),0)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IFERROR(__xludf.DUMMYFUNCTION("IMPORTRANGE(""https://docs.google.com/spreadsheets/d/1MeEWN-I1oV_STSDYn1IFDPWt_1FKiwhDph83XaGc0o0/edit?usp=sharing"",""งบพรบ!AO97"")"),0)</f>
        <v>0</v>
      </c>
      <c r="P97" s="85">
        <f t="shared" ca="1" si="29"/>
        <v>0</v>
      </c>
      <c r="Q97" s="84">
        <f t="shared" ca="1" si="8"/>
        <v>0</v>
      </c>
      <c r="R97" s="82"/>
      <c r="S97" s="82"/>
      <c r="T97" s="82"/>
      <c r="U97" s="84"/>
      <c r="V97" s="82"/>
      <c r="W97" s="84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4"/>
    </row>
    <row r="98" spans="1:38" ht="24" hidden="1" customHeight="1" x14ac:dyDescent="0.2">
      <c r="A98" s="111">
        <f t="shared" si="52"/>
        <v>9</v>
      </c>
      <c r="B98" s="112" t="s">
        <v>120</v>
      </c>
      <c r="C98" s="80">
        <f t="shared" ca="1" si="0"/>
        <v>0</v>
      </c>
      <c r="D98" s="81">
        <f t="shared" ca="1" si="51"/>
        <v>0</v>
      </c>
      <c r="E98" s="82">
        <f ca="1">IFERROR(__xludf.DUMMYFUNCTION("IMPORTRANGE(""https://docs.google.com/spreadsheets/d/1MeEWN-I1oV_STSDYn1IFDPWt_1FKiwhDph83XaGc0o0/edit?usp=sharing"",""งบพรบ!AH98"")"),0)</f>
        <v>0</v>
      </c>
      <c r="F98" s="82">
        <f ca="1">IFERROR(__xludf.DUMMYFUNCTION("IMPORTRANGE(""https://docs.google.com/spreadsheets/d/1MeEWN-I1oV_STSDYn1IFDPWt_1FKiwhDph83XaGc0o0/edit?usp=sharing"",""งบพรบ!AI98"")"),0)</f>
        <v>0</v>
      </c>
      <c r="G98" s="82">
        <f ca="1">IFERROR(__xludf.DUMMYFUNCTION("IMPORTRANGE(""https://docs.google.com/spreadsheets/d/1MeEWN-I1oV_STSDYn1IFDPWt_1FKiwhDph83XaGc0o0/edit?usp=sharing"",""งบพรบ!AJ98"")"),0)</f>
        <v>0</v>
      </c>
      <c r="H98" s="82">
        <f ca="1">IFERROR(__xludf.DUMMYFUNCTION("IMPORTRANGE(""https://docs.google.com/spreadsheets/d/1MeEWN-I1oV_STSDYn1IFDPWt_1FKiwhDph83XaGc0o0/edit?usp=sharing"",""งบพรบ!AL98"")"),0)</f>
        <v>0</v>
      </c>
      <c r="I98" s="82">
        <f ca="1">IFERROR(__xludf.DUMMYFUNCTION("IMPORTRANGE(""https://docs.google.com/spreadsheets/d/1MeEWN-I1oV_STSDYn1IFDPWt_1FKiwhDph83XaGc0o0/edit?usp=sharing"",""งบพรบ!AM98"")"),0)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IFERROR(__xludf.DUMMYFUNCTION("IMPORTRANGE(""https://docs.google.com/spreadsheets/d/1MeEWN-I1oV_STSDYn1IFDPWt_1FKiwhDph83XaGc0o0/edit?usp=sharing"",""งบพรบ!AN98"")"),0)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IFERROR(__xludf.DUMMYFUNCTION("IMPORTRANGE(""https://docs.google.com/spreadsheets/d/1MeEWN-I1oV_STSDYn1IFDPWt_1FKiwhDph83XaGc0o0/edit?usp=sharing"",""งบพรบ!AO98"")"),0)</f>
        <v>0</v>
      </c>
      <c r="P98" s="85">
        <f t="shared" ca="1" si="29"/>
        <v>0</v>
      </c>
      <c r="Q98" s="84">
        <f t="shared" ca="1" si="8"/>
        <v>0</v>
      </c>
      <c r="R98" s="82"/>
      <c r="S98" s="82"/>
      <c r="T98" s="82"/>
      <c r="U98" s="84"/>
      <c r="V98" s="82"/>
      <c r="W98" s="84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4"/>
    </row>
    <row r="99" spans="1:38" ht="24" hidden="1" customHeight="1" x14ac:dyDescent="0.2">
      <c r="A99" s="111">
        <f t="shared" si="52"/>
        <v>10</v>
      </c>
      <c r="B99" s="112" t="s">
        <v>121</v>
      </c>
      <c r="C99" s="80">
        <f t="shared" ca="1" si="0"/>
        <v>0</v>
      </c>
      <c r="D99" s="81">
        <f t="shared" ca="1" si="51"/>
        <v>0</v>
      </c>
      <c r="E99" s="82">
        <f ca="1">IFERROR(__xludf.DUMMYFUNCTION("IMPORTRANGE(""https://docs.google.com/spreadsheets/d/1MeEWN-I1oV_STSDYn1IFDPWt_1FKiwhDph83XaGc0o0/edit?usp=sharing"",""งบพรบ!AH99"")"),0)</f>
        <v>0</v>
      </c>
      <c r="F99" s="82">
        <f ca="1">IFERROR(__xludf.DUMMYFUNCTION("IMPORTRANGE(""https://docs.google.com/spreadsheets/d/1MeEWN-I1oV_STSDYn1IFDPWt_1FKiwhDph83XaGc0o0/edit?usp=sharing"",""งบพรบ!AI99"")"),0)</f>
        <v>0</v>
      </c>
      <c r="G99" s="82">
        <f ca="1">IFERROR(__xludf.DUMMYFUNCTION("IMPORTRANGE(""https://docs.google.com/spreadsheets/d/1MeEWN-I1oV_STSDYn1IFDPWt_1FKiwhDph83XaGc0o0/edit?usp=sharing"",""งบพรบ!AJ99"")"),0)</f>
        <v>0</v>
      </c>
      <c r="H99" s="82">
        <f ca="1">IFERROR(__xludf.DUMMYFUNCTION("IMPORTRANGE(""https://docs.google.com/spreadsheets/d/1MeEWN-I1oV_STSDYn1IFDPWt_1FKiwhDph83XaGc0o0/edit?usp=sharing"",""งบพรบ!AL99"")"),0)</f>
        <v>0</v>
      </c>
      <c r="I99" s="82">
        <f ca="1">IFERROR(__xludf.DUMMYFUNCTION("IMPORTRANGE(""https://docs.google.com/spreadsheets/d/1MeEWN-I1oV_STSDYn1IFDPWt_1FKiwhDph83XaGc0o0/edit?usp=sharing"",""งบพรบ!AM99"")"),0)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IFERROR(__xludf.DUMMYFUNCTION("IMPORTRANGE(""https://docs.google.com/spreadsheets/d/1MeEWN-I1oV_STSDYn1IFDPWt_1FKiwhDph83XaGc0o0/edit?usp=sharing"",""งบพรบ!AN99"")"),0)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IFERROR(__xludf.DUMMYFUNCTION("IMPORTRANGE(""https://docs.google.com/spreadsheets/d/1MeEWN-I1oV_STSDYn1IFDPWt_1FKiwhDph83XaGc0o0/edit?usp=sharing"",""งบพรบ!AO99"")"),0)</f>
        <v>0</v>
      </c>
      <c r="P99" s="85">
        <f t="shared" ca="1" si="29"/>
        <v>0</v>
      </c>
      <c r="Q99" s="84">
        <f t="shared" ca="1" si="8"/>
        <v>0</v>
      </c>
      <c r="R99" s="82"/>
      <c r="S99" s="82"/>
      <c r="T99" s="82"/>
      <c r="U99" s="84"/>
      <c r="V99" s="82"/>
      <c r="W99" s="84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4"/>
    </row>
    <row r="100" spans="1:38" ht="24" hidden="1" customHeight="1" x14ac:dyDescent="0.2">
      <c r="A100" s="111">
        <f t="shared" si="52"/>
        <v>11</v>
      </c>
      <c r="B100" s="112" t="s">
        <v>122</v>
      </c>
      <c r="C100" s="80">
        <f t="shared" ca="1" si="0"/>
        <v>0</v>
      </c>
      <c r="D100" s="81">
        <f t="shared" ca="1" si="51"/>
        <v>0</v>
      </c>
      <c r="E100" s="82">
        <f ca="1">IFERROR(__xludf.DUMMYFUNCTION("IMPORTRANGE(""https://docs.google.com/spreadsheets/d/1MeEWN-I1oV_STSDYn1IFDPWt_1FKiwhDph83XaGc0o0/edit?usp=sharing"",""งบพรบ!AH100"")"),0)</f>
        <v>0</v>
      </c>
      <c r="F100" s="82">
        <f ca="1">IFERROR(__xludf.DUMMYFUNCTION("IMPORTRANGE(""https://docs.google.com/spreadsheets/d/1MeEWN-I1oV_STSDYn1IFDPWt_1FKiwhDph83XaGc0o0/edit?usp=sharing"",""งบพรบ!AI100"")"),0)</f>
        <v>0</v>
      </c>
      <c r="G100" s="82">
        <f ca="1">IFERROR(__xludf.DUMMYFUNCTION("IMPORTRANGE(""https://docs.google.com/spreadsheets/d/1MeEWN-I1oV_STSDYn1IFDPWt_1FKiwhDph83XaGc0o0/edit?usp=sharing"",""งบพรบ!AJ100"")"),0)</f>
        <v>0</v>
      </c>
      <c r="H100" s="82">
        <f ca="1">IFERROR(__xludf.DUMMYFUNCTION("IMPORTRANGE(""https://docs.google.com/spreadsheets/d/1MeEWN-I1oV_STSDYn1IFDPWt_1FKiwhDph83XaGc0o0/edit?usp=sharing"",""งบพรบ!AL100"")"),0)</f>
        <v>0</v>
      </c>
      <c r="I100" s="82">
        <f ca="1">IFERROR(__xludf.DUMMYFUNCTION("IMPORTRANGE(""https://docs.google.com/spreadsheets/d/1MeEWN-I1oV_STSDYn1IFDPWt_1FKiwhDph83XaGc0o0/edit?usp=sharing"",""งบพรบ!AM100"")"),0)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IFERROR(__xludf.DUMMYFUNCTION("IMPORTRANGE(""https://docs.google.com/spreadsheets/d/1MeEWN-I1oV_STSDYn1IFDPWt_1FKiwhDph83XaGc0o0/edit?usp=sharing"",""งบพรบ!AN100"")"),0)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IFERROR(__xludf.DUMMYFUNCTION("IMPORTRANGE(""https://docs.google.com/spreadsheets/d/1MeEWN-I1oV_STSDYn1IFDPWt_1FKiwhDph83XaGc0o0/edit?usp=sharing"",""งบพรบ!AO100"")"),0)</f>
        <v>0</v>
      </c>
      <c r="P100" s="85">
        <f t="shared" ca="1" si="29"/>
        <v>0</v>
      </c>
      <c r="Q100" s="84">
        <f t="shared" ca="1" si="8"/>
        <v>0</v>
      </c>
      <c r="R100" s="82"/>
      <c r="S100" s="82"/>
      <c r="T100" s="82"/>
      <c r="U100" s="84"/>
      <c r="V100" s="82"/>
      <c r="W100" s="84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4"/>
    </row>
    <row r="101" spans="1:38" ht="24" hidden="1" customHeight="1" x14ac:dyDescent="0.2">
      <c r="A101" s="111">
        <f t="shared" si="52"/>
        <v>12</v>
      </c>
      <c r="B101" s="112" t="s">
        <v>123</v>
      </c>
      <c r="C101" s="80">
        <f t="shared" ca="1" si="0"/>
        <v>0</v>
      </c>
      <c r="D101" s="81">
        <f t="shared" ca="1" si="51"/>
        <v>0</v>
      </c>
      <c r="E101" s="82">
        <f ca="1">IFERROR(__xludf.DUMMYFUNCTION("IMPORTRANGE(""https://docs.google.com/spreadsheets/d/1MeEWN-I1oV_STSDYn1IFDPWt_1FKiwhDph83XaGc0o0/edit?usp=sharing"",""งบพรบ!AH101"")"),0)</f>
        <v>0</v>
      </c>
      <c r="F101" s="82">
        <f ca="1">IFERROR(__xludf.DUMMYFUNCTION("IMPORTRANGE(""https://docs.google.com/spreadsheets/d/1MeEWN-I1oV_STSDYn1IFDPWt_1FKiwhDph83XaGc0o0/edit?usp=sharing"",""งบพรบ!AI101"")"),0)</f>
        <v>0</v>
      </c>
      <c r="G101" s="82">
        <f ca="1">IFERROR(__xludf.DUMMYFUNCTION("IMPORTRANGE(""https://docs.google.com/spreadsheets/d/1MeEWN-I1oV_STSDYn1IFDPWt_1FKiwhDph83XaGc0o0/edit?usp=sharing"",""งบพรบ!AJ101"")"),0)</f>
        <v>0</v>
      </c>
      <c r="H101" s="82">
        <f ca="1">IFERROR(__xludf.DUMMYFUNCTION("IMPORTRANGE(""https://docs.google.com/spreadsheets/d/1MeEWN-I1oV_STSDYn1IFDPWt_1FKiwhDph83XaGc0o0/edit?usp=sharing"",""งบพรบ!AL101"")"),0)</f>
        <v>0</v>
      </c>
      <c r="I101" s="82">
        <f ca="1">IFERROR(__xludf.DUMMYFUNCTION("IMPORTRANGE(""https://docs.google.com/spreadsheets/d/1MeEWN-I1oV_STSDYn1IFDPWt_1FKiwhDph83XaGc0o0/edit?usp=sharing"",""งบพรบ!AM101"")"),0)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IFERROR(__xludf.DUMMYFUNCTION("IMPORTRANGE(""https://docs.google.com/spreadsheets/d/1MeEWN-I1oV_STSDYn1IFDPWt_1FKiwhDph83XaGc0o0/edit?usp=sharing"",""งบพรบ!AN101"")"),0)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IFERROR(__xludf.DUMMYFUNCTION("IMPORTRANGE(""https://docs.google.com/spreadsheets/d/1MeEWN-I1oV_STSDYn1IFDPWt_1FKiwhDph83XaGc0o0/edit?usp=sharing"",""งบพรบ!AO101"")"),0)</f>
        <v>0</v>
      </c>
      <c r="P101" s="85">
        <f t="shared" ca="1" si="29"/>
        <v>0</v>
      </c>
      <c r="Q101" s="84">
        <f t="shared" ca="1" si="8"/>
        <v>0</v>
      </c>
      <c r="R101" s="82"/>
      <c r="S101" s="82"/>
      <c r="T101" s="82"/>
      <c r="U101" s="84"/>
      <c r="V101" s="82"/>
      <c r="W101" s="84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4"/>
    </row>
    <row r="102" spans="1:38" ht="24" hidden="1" customHeight="1" x14ac:dyDescent="0.2">
      <c r="A102" s="111">
        <f t="shared" si="52"/>
        <v>13</v>
      </c>
      <c r="B102" s="112" t="s">
        <v>124</v>
      </c>
      <c r="C102" s="80">
        <f t="shared" ca="1" si="0"/>
        <v>0</v>
      </c>
      <c r="D102" s="81">
        <f t="shared" ca="1" si="51"/>
        <v>0</v>
      </c>
      <c r="E102" s="82">
        <f ca="1">IFERROR(__xludf.DUMMYFUNCTION("IMPORTRANGE(""https://docs.google.com/spreadsheets/d/1MeEWN-I1oV_STSDYn1IFDPWt_1FKiwhDph83XaGc0o0/edit?usp=sharing"",""งบพรบ!AH102"")"),0)</f>
        <v>0</v>
      </c>
      <c r="F102" s="82">
        <f ca="1">IFERROR(__xludf.DUMMYFUNCTION("IMPORTRANGE(""https://docs.google.com/spreadsheets/d/1MeEWN-I1oV_STSDYn1IFDPWt_1FKiwhDph83XaGc0o0/edit?usp=sharing"",""งบพรบ!AI102"")"),0)</f>
        <v>0</v>
      </c>
      <c r="G102" s="82">
        <f ca="1">IFERROR(__xludf.DUMMYFUNCTION("IMPORTRANGE(""https://docs.google.com/spreadsheets/d/1MeEWN-I1oV_STSDYn1IFDPWt_1FKiwhDph83XaGc0o0/edit?usp=sharing"",""งบพรบ!AJ102"")"),0)</f>
        <v>0</v>
      </c>
      <c r="H102" s="82">
        <f ca="1">IFERROR(__xludf.DUMMYFUNCTION("IMPORTRANGE(""https://docs.google.com/spreadsheets/d/1MeEWN-I1oV_STSDYn1IFDPWt_1FKiwhDph83XaGc0o0/edit?usp=sharing"",""งบพรบ!AL102"")"),0)</f>
        <v>0</v>
      </c>
      <c r="I102" s="82">
        <f ca="1">IFERROR(__xludf.DUMMYFUNCTION("IMPORTRANGE(""https://docs.google.com/spreadsheets/d/1MeEWN-I1oV_STSDYn1IFDPWt_1FKiwhDph83XaGc0o0/edit?usp=sharing"",""งบพรบ!AM102"")"),0)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IFERROR(__xludf.DUMMYFUNCTION("IMPORTRANGE(""https://docs.google.com/spreadsheets/d/1MeEWN-I1oV_STSDYn1IFDPWt_1FKiwhDph83XaGc0o0/edit?usp=sharing"",""งบพรบ!AN102"")"),0)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IFERROR(__xludf.DUMMYFUNCTION("IMPORTRANGE(""https://docs.google.com/spreadsheets/d/1MeEWN-I1oV_STSDYn1IFDPWt_1FKiwhDph83XaGc0o0/edit?usp=sharing"",""งบพรบ!AO102"")"),0)</f>
        <v>0</v>
      </c>
      <c r="P102" s="85">
        <f t="shared" ca="1" si="29"/>
        <v>0</v>
      </c>
      <c r="Q102" s="84">
        <f t="shared" ca="1" si="8"/>
        <v>0</v>
      </c>
      <c r="R102" s="82"/>
      <c r="S102" s="82"/>
      <c r="T102" s="82"/>
      <c r="U102" s="84"/>
      <c r="V102" s="82"/>
      <c r="W102" s="84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4"/>
    </row>
    <row r="103" spans="1:38" ht="24" hidden="1" customHeight="1" x14ac:dyDescent="0.2">
      <c r="A103" s="113">
        <f t="shared" si="52"/>
        <v>14</v>
      </c>
      <c r="B103" s="114" t="s">
        <v>125</v>
      </c>
      <c r="C103" s="91">
        <f t="shared" ca="1" si="0"/>
        <v>0</v>
      </c>
      <c r="D103" s="92">
        <f t="shared" ca="1" si="51"/>
        <v>0</v>
      </c>
      <c r="E103" s="93">
        <f ca="1">IFERROR(__xludf.DUMMYFUNCTION("IMPORTRANGE(""https://docs.google.com/spreadsheets/d/1MeEWN-I1oV_STSDYn1IFDPWt_1FKiwhDph83XaGc0o0/edit?usp=sharing"",""งบพรบ!AH103"")"),0)</f>
        <v>0</v>
      </c>
      <c r="F103" s="93">
        <f ca="1">IFERROR(__xludf.DUMMYFUNCTION("IMPORTRANGE(""https://docs.google.com/spreadsheets/d/1MeEWN-I1oV_STSDYn1IFDPWt_1FKiwhDph83XaGc0o0/edit?usp=sharing"",""งบพรบ!AI103"")"),0)</f>
        <v>0</v>
      </c>
      <c r="G103" s="93">
        <f ca="1">IFERROR(__xludf.DUMMYFUNCTION("IMPORTRANGE(""https://docs.google.com/spreadsheets/d/1MeEWN-I1oV_STSDYn1IFDPWt_1FKiwhDph83XaGc0o0/edit?usp=sharing"",""งบพรบ!AJ103"")"),0)</f>
        <v>0</v>
      </c>
      <c r="H103" s="93">
        <f ca="1">IFERROR(__xludf.DUMMYFUNCTION("IMPORTRANGE(""https://docs.google.com/spreadsheets/d/1MeEWN-I1oV_STSDYn1IFDPWt_1FKiwhDph83XaGc0o0/edit?usp=sharing"",""งบพรบ!AL103"")"),0)</f>
        <v>0</v>
      </c>
      <c r="I103" s="93">
        <f ca="1">IFERROR(__xludf.DUMMYFUNCTION("IMPORTRANGE(""https://docs.google.com/spreadsheets/d/1MeEWN-I1oV_STSDYn1IFDPWt_1FKiwhDph83XaGc0o0/edit?usp=sharing"",""งบพรบ!AM103"")"),0)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IFERROR(__xludf.DUMMYFUNCTION("IMPORTRANGE(""https://docs.google.com/spreadsheets/d/1MeEWN-I1oV_STSDYn1IFDPWt_1FKiwhDph83XaGc0o0/edit?usp=sharing"",""งบพรบ!AN103"")"),0)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IFERROR(__xludf.DUMMYFUNCTION("IMPORTRANGE(""https://docs.google.com/spreadsheets/d/1MeEWN-I1oV_STSDYn1IFDPWt_1FKiwhDph83XaGc0o0/edit?usp=sharing"",""งบพรบ!AO103"")"),0)</f>
        <v>0</v>
      </c>
      <c r="P103" s="96">
        <f t="shared" ca="1" si="29"/>
        <v>0</v>
      </c>
      <c r="Q103" s="95">
        <f t="shared" ca="1" si="8"/>
        <v>0</v>
      </c>
      <c r="R103" s="93"/>
      <c r="S103" s="93"/>
      <c r="T103" s="93"/>
      <c r="U103" s="95"/>
      <c r="V103" s="93"/>
      <c r="W103" s="95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5"/>
    </row>
    <row r="104" spans="1:38" ht="21" hidden="1" customHeight="1" x14ac:dyDescent="0.2">
      <c r="A104" s="381" t="s">
        <v>126</v>
      </c>
      <c r="B104" s="357"/>
      <c r="C104" s="107">
        <f t="shared" ca="1" si="0"/>
        <v>853200</v>
      </c>
      <c r="D104" s="46">
        <f ca="1">SUM(D105:D116)</f>
        <v>853200</v>
      </c>
      <c r="E104" s="46">
        <f ca="1">IFERROR(__xludf.DUMMYFUNCTION("IMPORTRANGE(""https://docs.google.com/spreadsheets/d/1MeEWN-I1oV_STSDYn1IFDPWt_1FKiwhDph83XaGc0o0/edit?usp=sharing"",""งบพรบ!AH104"")"),853200)</f>
        <v>853200</v>
      </c>
      <c r="F104" s="46">
        <f ca="1">IFERROR(__xludf.DUMMYFUNCTION("IMPORTRANGE(""https://docs.google.com/spreadsheets/d/1MeEWN-I1oV_STSDYn1IFDPWt_1FKiwhDph83XaGc0o0/edit?usp=sharing"",""งบพรบ!AI104"")"),0)</f>
        <v>0</v>
      </c>
      <c r="G104" s="46">
        <f ca="1">IFERROR(__xludf.DUMMYFUNCTION("IMPORTRANGE(""https://docs.google.com/spreadsheets/d/1MeEWN-I1oV_STSDYn1IFDPWt_1FKiwhDph83XaGc0o0/edit?usp=sharing"",""งบพรบ!AJ104"")"),0)</f>
        <v>0</v>
      </c>
      <c r="H104" s="46">
        <f ca="1">IFERROR(__xludf.DUMMYFUNCTION("IMPORTRANGE(""https://docs.google.com/spreadsheets/d/1MeEWN-I1oV_STSDYn1IFDPWt_1FKiwhDph83XaGc0o0/edit?usp=sharing"",""งบพรบ!AL104"")"),350000)</f>
        <v>350000</v>
      </c>
      <c r="I104" s="46">
        <f ca="1">IFERROR(__xludf.DUMMYFUNCTION("IMPORTRANGE(""https://docs.google.com/spreadsheets/d/1MeEWN-I1oV_STSDYn1IFDPWt_1FKiwhDph83XaGc0o0/edit?usp=sharing"",""งบพรบ!AM104"")"),0)</f>
        <v>0</v>
      </c>
      <c r="J104" s="46">
        <f t="shared" ca="1" si="3"/>
        <v>0</v>
      </c>
      <c r="K104" s="48">
        <f t="shared" ca="1" si="4"/>
        <v>0</v>
      </c>
      <c r="L104" s="46">
        <f ca="1">IFERROR(__xludf.DUMMYFUNCTION("IMPORTRANGE(""https://docs.google.com/spreadsheets/d/1MeEWN-I1oV_STSDYn1IFDPWt_1FKiwhDph83XaGc0o0/edit?usp=sharing"",""งบพรบ!AN104"")"),0)</f>
        <v>0</v>
      </c>
      <c r="M104" s="48">
        <f t="shared" ca="1" si="5"/>
        <v>0</v>
      </c>
      <c r="N104" s="48">
        <f t="shared" ca="1" si="6"/>
        <v>0</v>
      </c>
      <c r="O104" s="46">
        <f ca="1">IFERROR(__xludf.DUMMYFUNCTION("IMPORTRANGE(""https://docs.google.com/spreadsheets/d/1MeEWN-I1oV_STSDYn1IFDPWt_1FKiwhDph83XaGc0o0/edit?usp=sharing"",""งบพรบ!AO104"")"),0)</f>
        <v>0</v>
      </c>
      <c r="P104" s="46">
        <f t="shared" ca="1" si="29"/>
        <v>0</v>
      </c>
      <c r="Q104" s="46">
        <f t="shared" ca="1" si="8"/>
        <v>0</v>
      </c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</row>
    <row r="105" spans="1:38" ht="24" hidden="1" customHeight="1" x14ac:dyDescent="0.2">
      <c r="A105" s="108">
        <v>1</v>
      </c>
      <c r="B105" s="115" t="s">
        <v>127</v>
      </c>
      <c r="C105" s="116">
        <f t="shared" ca="1" si="0"/>
        <v>289800</v>
      </c>
      <c r="D105" s="71">
        <f t="shared" ref="D105:D116" ca="1" si="53">+E105+F105</f>
        <v>289800</v>
      </c>
      <c r="E105" s="72">
        <f ca="1">IFERROR(__xludf.DUMMYFUNCTION("IMPORTRANGE(""https://docs.google.com/spreadsheets/d/1MeEWN-I1oV_STSDYn1IFDPWt_1FKiwhDph83XaGc0o0/edit?usp=sharing"",""งบพรบ!AH105"")"),289800)</f>
        <v>289800</v>
      </c>
      <c r="F105" s="72">
        <f ca="1">IFERROR(__xludf.DUMMYFUNCTION("IMPORTRANGE(""https://docs.google.com/spreadsheets/d/1MeEWN-I1oV_STSDYn1IFDPWt_1FKiwhDph83XaGc0o0/edit?usp=sharing"",""งบพรบ!AI105"")"),0)</f>
        <v>0</v>
      </c>
      <c r="G105" s="72">
        <f ca="1">IFERROR(__xludf.DUMMYFUNCTION("IMPORTRANGE(""https://docs.google.com/spreadsheets/d/1MeEWN-I1oV_STSDYn1IFDPWt_1FKiwhDph83XaGc0o0/edit?usp=sharing"",""งบพรบ!AJ105"")"),0)</f>
        <v>0</v>
      </c>
      <c r="H105" s="72">
        <f ca="1">IFERROR(__xludf.DUMMYFUNCTION("IMPORTRANGE(""https://docs.google.com/spreadsheets/d/1MeEWN-I1oV_STSDYn1IFDPWt_1FKiwhDph83XaGc0o0/edit?usp=sharing"",""งบพรบ!AL105"")"),0)</f>
        <v>0</v>
      </c>
      <c r="I105" s="72">
        <f ca="1">IFERROR(__xludf.DUMMYFUNCTION("IMPORTRANGE(""https://docs.google.com/spreadsheets/d/1MeEWN-I1oV_STSDYn1IFDPWt_1FKiwhDph83XaGc0o0/edit?usp=sharing"",""งบพรบ!AM105"")"),0)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IFERROR(__xludf.DUMMYFUNCTION("IMPORTRANGE(""https://docs.google.com/spreadsheets/d/1MeEWN-I1oV_STSDYn1IFDPWt_1FKiwhDph83XaGc0o0/edit?usp=sharing"",""งบพรบ!AN105"")"),0)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IFERROR(__xludf.DUMMYFUNCTION("IMPORTRANGE(""https://docs.google.com/spreadsheets/d/1MeEWN-I1oV_STSDYn1IFDPWt_1FKiwhDph83XaGc0o0/edit?usp=sharing"",""งบพรบ!AO105"")"),0)</f>
        <v>0</v>
      </c>
      <c r="P105" s="76">
        <f t="shared" ca="1" si="29"/>
        <v>0</v>
      </c>
      <c r="Q105" s="75">
        <f t="shared" ca="1" si="8"/>
        <v>0</v>
      </c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</row>
    <row r="106" spans="1:38" ht="24" hidden="1" customHeight="1" x14ac:dyDescent="0.2">
      <c r="A106" s="111">
        <v>2</v>
      </c>
      <c r="B106" s="117" t="s">
        <v>128</v>
      </c>
      <c r="C106" s="118">
        <f t="shared" ca="1" si="0"/>
        <v>420000</v>
      </c>
      <c r="D106" s="81">
        <f t="shared" ca="1" si="53"/>
        <v>420000</v>
      </c>
      <c r="E106" s="82">
        <f ca="1">IFERROR(__xludf.DUMMYFUNCTION("IMPORTRANGE(""https://docs.google.com/spreadsheets/d/1MeEWN-I1oV_STSDYn1IFDPWt_1FKiwhDph83XaGc0o0/edit?usp=sharing"",""งบพรบ!AH106"")"),420000)</f>
        <v>420000</v>
      </c>
      <c r="F106" s="82">
        <f ca="1">IFERROR(__xludf.DUMMYFUNCTION("IMPORTRANGE(""https://docs.google.com/spreadsheets/d/1MeEWN-I1oV_STSDYn1IFDPWt_1FKiwhDph83XaGc0o0/edit?usp=sharing"",""งบพรบ!AI106"")"),0)</f>
        <v>0</v>
      </c>
      <c r="G106" s="82">
        <f ca="1">IFERROR(__xludf.DUMMYFUNCTION("IMPORTRANGE(""https://docs.google.com/spreadsheets/d/1MeEWN-I1oV_STSDYn1IFDPWt_1FKiwhDph83XaGc0o0/edit?usp=sharing"",""งบพรบ!AJ106"")"),0)</f>
        <v>0</v>
      </c>
      <c r="H106" s="82">
        <f ca="1">IFERROR(__xludf.DUMMYFUNCTION("IMPORTRANGE(""https://docs.google.com/spreadsheets/d/1MeEWN-I1oV_STSDYn1IFDPWt_1FKiwhDph83XaGc0o0/edit?usp=sharing"",""งบพรบ!AL106"")"),0)</f>
        <v>0</v>
      </c>
      <c r="I106" s="82">
        <f ca="1">IFERROR(__xludf.DUMMYFUNCTION("IMPORTRANGE(""https://docs.google.com/spreadsheets/d/1MeEWN-I1oV_STSDYn1IFDPWt_1FKiwhDph83XaGc0o0/edit?usp=sharing"",""งบพรบ!AM106"")"),0)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IFERROR(__xludf.DUMMYFUNCTION("IMPORTRANGE(""https://docs.google.com/spreadsheets/d/1MeEWN-I1oV_STSDYn1IFDPWt_1FKiwhDph83XaGc0o0/edit?usp=sharing"",""งบพรบ!AN106"")"),0)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IFERROR(__xludf.DUMMYFUNCTION("IMPORTRANGE(""https://docs.google.com/spreadsheets/d/1MeEWN-I1oV_STSDYn1IFDPWt_1FKiwhDph83XaGc0o0/edit?usp=sharing"",""งบพรบ!AO106"")"),0)</f>
        <v>0</v>
      </c>
      <c r="P106" s="85">
        <f t="shared" ca="1" si="29"/>
        <v>0</v>
      </c>
      <c r="Q106" s="84">
        <f t="shared" ca="1" si="8"/>
        <v>0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</row>
    <row r="107" spans="1:38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53"/>
        <v>0</v>
      </c>
      <c r="E107" s="82">
        <f ca="1">IFERROR(__xludf.DUMMYFUNCTION("IMPORTRANGE(""https://docs.google.com/spreadsheets/d/1MeEWN-I1oV_STSDYn1IFDPWt_1FKiwhDph83XaGc0o0/edit?usp=sharing"",""งบพรบ!AH107"")"),0)</f>
        <v>0</v>
      </c>
      <c r="F107" s="82">
        <f ca="1">IFERROR(__xludf.DUMMYFUNCTION("IMPORTRANGE(""https://docs.google.com/spreadsheets/d/1MeEWN-I1oV_STSDYn1IFDPWt_1FKiwhDph83XaGc0o0/edit?usp=sharing"",""งบพรบ!AI107"")"),0)</f>
        <v>0</v>
      </c>
      <c r="G107" s="82">
        <f ca="1">IFERROR(__xludf.DUMMYFUNCTION("IMPORTRANGE(""https://docs.google.com/spreadsheets/d/1MeEWN-I1oV_STSDYn1IFDPWt_1FKiwhDph83XaGc0o0/edit?usp=sharing"",""งบพรบ!AJ107"")"),0)</f>
        <v>0</v>
      </c>
      <c r="H107" s="82">
        <f ca="1">IFERROR(__xludf.DUMMYFUNCTION("IMPORTRANGE(""https://docs.google.com/spreadsheets/d/1MeEWN-I1oV_STSDYn1IFDPWt_1FKiwhDph83XaGc0o0/edit?usp=sharing"",""งบพรบ!AL107"")"),0)</f>
        <v>0</v>
      </c>
      <c r="I107" s="82">
        <f ca="1">IFERROR(__xludf.DUMMYFUNCTION("IMPORTRANGE(""https://docs.google.com/spreadsheets/d/1MeEWN-I1oV_STSDYn1IFDPWt_1FKiwhDph83XaGc0o0/edit?usp=sharing"",""งบพรบ!AM107"")"),0)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IFERROR(__xludf.DUMMYFUNCTION("IMPORTRANGE(""https://docs.google.com/spreadsheets/d/1MeEWN-I1oV_STSDYn1IFDPWt_1FKiwhDph83XaGc0o0/edit?usp=sharing"",""งบพรบ!AN107"")"),0)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IFERROR(__xludf.DUMMYFUNCTION("IMPORTRANGE(""https://docs.google.com/spreadsheets/d/1MeEWN-I1oV_STSDYn1IFDPWt_1FKiwhDph83XaGc0o0/edit?usp=sharing"",""งบพรบ!AO107"")"),0)</f>
        <v>0</v>
      </c>
      <c r="P107" s="85">
        <f t="shared" ca="1" si="29"/>
        <v>0</v>
      </c>
      <c r="Q107" s="84">
        <f t="shared" ca="1" si="8"/>
        <v>0</v>
      </c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</row>
    <row r="108" spans="1:38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53"/>
        <v>0</v>
      </c>
      <c r="E108" s="82">
        <f ca="1">IFERROR(__xludf.DUMMYFUNCTION("IMPORTRANGE(""https://docs.google.com/spreadsheets/d/1MeEWN-I1oV_STSDYn1IFDPWt_1FKiwhDph83XaGc0o0/edit?usp=sharing"",""งบพรบ!AH108"")"),0)</f>
        <v>0</v>
      </c>
      <c r="F108" s="82">
        <f ca="1">IFERROR(__xludf.DUMMYFUNCTION("IMPORTRANGE(""https://docs.google.com/spreadsheets/d/1MeEWN-I1oV_STSDYn1IFDPWt_1FKiwhDph83XaGc0o0/edit?usp=sharing"",""งบพรบ!AI108"")"),0)</f>
        <v>0</v>
      </c>
      <c r="G108" s="82">
        <f ca="1">IFERROR(__xludf.DUMMYFUNCTION("IMPORTRANGE(""https://docs.google.com/spreadsheets/d/1MeEWN-I1oV_STSDYn1IFDPWt_1FKiwhDph83XaGc0o0/edit?usp=sharing"",""งบพรบ!AJ108"")"),0)</f>
        <v>0</v>
      </c>
      <c r="H108" s="82">
        <f ca="1">IFERROR(__xludf.DUMMYFUNCTION("IMPORTRANGE(""https://docs.google.com/spreadsheets/d/1MeEWN-I1oV_STSDYn1IFDPWt_1FKiwhDph83XaGc0o0/edit?usp=sharing"",""งบพรบ!AL108"")"),0)</f>
        <v>0</v>
      </c>
      <c r="I108" s="82">
        <f ca="1">IFERROR(__xludf.DUMMYFUNCTION("IMPORTRANGE(""https://docs.google.com/spreadsheets/d/1MeEWN-I1oV_STSDYn1IFDPWt_1FKiwhDph83XaGc0o0/edit?usp=sharing"",""งบพรบ!AM108"")"),0)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IFERROR(__xludf.DUMMYFUNCTION("IMPORTRANGE(""https://docs.google.com/spreadsheets/d/1MeEWN-I1oV_STSDYn1IFDPWt_1FKiwhDph83XaGc0o0/edit?usp=sharing"",""งบพรบ!AN108"")"),0)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IFERROR(__xludf.DUMMYFUNCTION("IMPORTRANGE(""https://docs.google.com/spreadsheets/d/1MeEWN-I1oV_STSDYn1IFDPWt_1FKiwhDph83XaGc0o0/edit?usp=sharing"",""งบพรบ!AO108"")"),0)</f>
        <v>0</v>
      </c>
      <c r="P108" s="85">
        <f t="shared" ca="1" si="29"/>
        <v>0</v>
      </c>
      <c r="Q108" s="84">
        <f t="shared" ca="1" si="8"/>
        <v>0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</row>
    <row r="109" spans="1:38" ht="24" hidden="1" customHeight="1" x14ac:dyDescent="0.2">
      <c r="A109" s="119">
        <v>5</v>
      </c>
      <c r="B109" s="117" t="s">
        <v>131</v>
      </c>
      <c r="C109" s="118">
        <f t="shared" ca="1" si="0"/>
        <v>143400</v>
      </c>
      <c r="D109" s="81">
        <f t="shared" ca="1" si="53"/>
        <v>143400</v>
      </c>
      <c r="E109" s="82">
        <f ca="1">IFERROR(__xludf.DUMMYFUNCTION("IMPORTRANGE(""https://docs.google.com/spreadsheets/d/1MeEWN-I1oV_STSDYn1IFDPWt_1FKiwhDph83XaGc0o0/edit?usp=sharing"",""งบพรบ!AH109"")"),143400)</f>
        <v>143400</v>
      </c>
      <c r="F109" s="82">
        <f ca="1">IFERROR(__xludf.DUMMYFUNCTION("IMPORTRANGE(""https://docs.google.com/spreadsheets/d/1MeEWN-I1oV_STSDYn1IFDPWt_1FKiwhDph83XaGc0o0/edit?usp=sharing"",""งบพรบ!AI109"")"),0)</f>
        <v>0</v>
      </c>
      <c r="G109" s="82">
        <f ca="1">IFERROR(__xludf.DUMMYFUNCTION("IMPORTRANGE(""https://docs.google.com/spreadsheets/d/1MeEWN-I1oV_STSDYn1IFDPWt_1FKiwhDph83XaGc0o0/edit?usp=sharing"",""งบพรบ!AJ109"")"),0)</f>
        <v>0</v>
      </c>
      <c r="H109" s="82">
        <f ca="1">IFERROR(__xludf.DUMMYFUNCTION("IMPORTRANGE(""https://docs.google.com/spreadsheets/d/1MeEWN-I1oV_STSDYn1IFDPWt_1FKiwhDph83XaGc0o0/edit?usp=sharing"",""งบพรบ!AL109"")"),350000)</f>
        <v>350000</v>
      </c>
      <c r="I109" s="82">
        <f ca="1">IFERROR(__xludf.DUMMYFUNCTION("IMPORTRANGE(""https://docs.google.com/spreadsheets/d/1MeEWN-I1oV_STSDYn1IFDPWt_1FKiwhDph83XaGc0o0/edit?usp=sharing"",""งบพรบ!AM109"")"),0)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IFERROR(__xludf.DUMMYFUNCTION("IMPORTRANGE(""https://docs.google.com/spreadsheets/d/1MeEWN-I1oV_STSDYn1IFDPWt_1FKiwhDph83XaGc0o0/edit?usp=sharing"",""งบพรบ!AN109"")"),0)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IFERROR(__xludf.DUMMYFUNCTION("IMPORTRANGE(""https://docs.google.com/spreadsheets/d/1MeEWN-I1oV_STSDYn1IFDPWt_1FKiwhDph83XaGc0o0/edit?usp=sharing"",""งบพรบ!AO109"")"),0)</f>
        <v>0</v>
      </c>
      <c r="P109" s="85">
        <f t="shared" ca="1" si="29"/>
        <v>0</v>
      </c>
      <c r="Q109" s="84">
        <f t="shared" ca="1" si="8"/>
        <v>0</v>
      </c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</row>
    <row r="110" spans="1:38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53"/>
        <v>0</v>
      </c>
      <c r="E110" s="82">
        <f ca="1">IFERROR(__xludf.DUMMYFUNCTION("IMPORTRANGE(""https://docs.google.com/spreadsheets/d/1MeEWN-I1oV_STSDYn1IFDPWt_1FKiwhDph83XaGc0o0/edit?usp=sharing"",""งบพรบ!AH110"")"),0)</f>
        <v>0</v>
      </c>
      <c r="F110" s="82">
        <f ca="1">IFERROR(__xludf.DUMMYFUNCTION("IMPORTRANGE(""https://docs.google.com/spreadsheets/d/1MeEWN-I1oV_STSDYn1IFDPWt_1FKiwhDph83XaGc0o0/edit?usp=sharing"",""งบพรบ!AI110"")"),0)</f>
        <v>0</v>
      </c>
      <c r="G110" s="82">
        <f ca="1">IFERROR(__xludf.DUMMYFUNCTION("IMPORTRANGE(""https://docs.google.com/spreadsheets/d/1MeEWN-I1oV_STSDYn1IFDPWt_1FKiwhDph83XaGc0o0/edit?usp=sharing"",""งบพรบ!AJ110"")"),0)</f>
        <v>0</v>
      </c>
      <c r="H110" s="82">
        <f ca="1">IFERROR(__xludf.DUMMYFUNCTION("IMPORTRANGE(""https://docs.google.com/spreadsheets/d/1MeEWN-I1oV_STSDYn1IFDPWt_1FKiwhDph83XaGc0o0/edit?usp=sharing"",""งบพรบ!AL110"")"),0)</f>
        <v>0</v>
      </c>
      <c r="I110" s="82">
        <f ca="1">IFERROR(__xludf.DUMMYFUNCTION("IMPORTRANGE(""https://docs.google.com/spreadsheets/d/1MeEWN-I1oV_STSDYn1IFDPWt_1FKiwhDph83XaGc0o0/edit?usp=sharing"",""งบพรบ!AM110"")"),0)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IFERROR(__xludf.DUMMYFUNCTION("IMPORTRANGE(""https://docs.google.com/spreadsheets/d/1MeEWN-I1oV_STSDYn1IFDPWt_1FKiwhDph83XaGc0o0/edit?usp=sharing"",""งบพรบ!AN110"")"),0)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IFERROR(__xludf.DUMMYFUNCTION("IMPORTRANGE(""https://docs.google.com/spreadsheets/d/1MeEWN-I1oV_STSDYn1IFDPWt_1FKiwhDph83XaGc0o0/edit?usp=sharing"",""งบพรบ!AO110"")"),0)</f>
        <v>0</v>
      </c>
      <c r="P110" s="85">
        <f t="shared" ca="1" si="29"/>
        <v>0</v>
      </c>
      <c r="Q110" s="84">
        <f t="shared" ca="1" si="8"/>
        <v>0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</row>
    <row r="111" spans="1:38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53"/>
        <v>0</v>
      </c>
      <c r="E111" s="82">
        <f ca="1">IFERROR(__xludf.DUMMYFUNCTION("IMPORTRANGE(""https://docs.google.com/spreadsheets/d/1MeEWN-I1oV_STSDYn1IFDPWt_1FKiwhDph83XaGc0o0/edit?usp=sharing"",""งบพรบ!AH111"")"),0)</f>
        <v>0</v>
      </c>
      <c r="F111" s="82">
        <f ca="1">IFERROR(__xludf.DUMMYFUNCTION("IMPORTRANGE(""https://docs.google.com/spreadsheets/d/1MeEWN-I1oV_STSDYn1IFDPWt_1FKiwhDph83XaGc0o0/edit?usp=sharing"",""งบพรบ!AI111"")"),0)</f>
        <v>0</v>
      </c>
      <c r="G111" s="82">
        <f ca="1">IFERROR(__xludf.DUMMYFUNCTION("IMPORTRANGE(""https://docs.google.com/spreadsheets/d/1MeEWN-I1oV_STSDYn1IFDPWt_1FKiwhDph83XaGc0o0/edit?usp=sharing"",""งบพรบ!AJ111"")"),0)</f>
        <v>0</v>
      </c>
      <c r="H111" s="82">
        <f ca="1">IFERROR(__xludf.DUMMYFUNCTION("IMPORTRANGE(""https://docs.google.com/spreadsheets/d/1MeEWN-I1oV_STSDYn1IFDPWt_1FKiwhDph83XaGc0o0/edit?usp=sharing"",""งบพรบ!AL111"")"),0)</f>
        <v>0</v>
      </c>
      <c r="I111" s="82">
        <f ca="1">IFERROR(__xludf.DUMMYFUNCTION("IMPORTRANGE(""https://docs.google.com/spreadsheets/d/1MeEWN-I1oV_STSDYn1IFDPWt_1FKiwhDph83XaGc0o0/edit?usp=sharing"",""งบพรบ!AM111"")"),0)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IFERROR(__xludf.DUMMYFUNCTION("IMPORTRANGE(""https://docs.google.com/spreadsheets/d/1MeEWN-I1oV_STSDYn1IFDPWt_1FKiwhDph83XaGc0o0/edit?usp=sharing"",""งบพรบ!AN111"")"),0)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IFERROR(__xludf.DUMMYFUNCTION("IMPORTRANGE(""https://docs.google.com/spreadsheets/d/1MeEWN-I1oV_STSDYn1IFDPWt_1FKiwhDph83XaGc0o0/edit?usp=sharing"",""งบพรบ!AO111"")"),0)</f>
        <v>0</v>
      </c>
      <c r="P111" s="85">
        <f t="shared" ca="1" si="29"/>
        <v>0</v>
      </c>
      <c r="Q111" s="84">
        <f t="shared" ca="1" si="8"/>
        <v>0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</row>
    <row r="112" spans="1:38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53"/>
        <v>0</v>
      </c>
      <c r="E112" s="82">
        <f ca="1">IFERROR(__xludf.DUMMYFUNCTION("IMPORTRANGE(""https://docs.google.com/spreadsheets/d/1MeEWN-I1oV_STSDYn1IFDPWt_1FKiwhDph83XaGc0o0/edit?usp=sharing"",""งบพรบ!AH112"")"),0)</f>
        <v>0</v>
      </c>
      <c r="F112" s="82">
        <f ca="1">IFERROR(__xludf.DUMMYFUNCTION("IMPORTRANGE(""https://docs.google.com/spreadsheets/d/1MeEWN-I1oV_STSDYn1IFDPWt_1FKiwhDph83XaGc0o0/edit?usp=sharing"",""งบพรบ!AI112"")"),0)</f>
        <v>0</v>
      </c>
      <c r="G112" s="82">
        <f ca="1">IFERROR(__xludf.DUMMYFUNCTION("IMPORTRANGE(""https://docs.google.com/spreadsheets/d/1MeEWN-I1oV_STSDYn1IFDPWt_1FKiwhDph83XaGc0o0/edit?usp=sharing"",""งบพรบ!AJ112"")"),0)</f>
        <v>0</v>
      </c>
      <c r="H112" s="82">
        <f ca="1">IFERROR(__xludf.DUMMYFUNCTION("IMPORTRANGE(""https://docs.google.com/spreadsheets/d/1MeEWN-I1oV_STSDYn1IFDPWt_1FKiwhDph83XaGc0o0/edit?usp=sharing"",""งบพรบ!AL112"")"),0)</f>
        <v>0</v>
      </c>
      <c r="I112" s="82">
        <f ca="1">IFERROR(__xludf.DUMMYFUNCTION("IMPORTRANGE(""https://docs.google.com/spreadsheets/d/1MeEWN-I1oV_STSDYn1IFDPWt_1FKiwhDph83XaGc0o0/edit?usp=sharing"",""งบพรบ!AM112"")"),0)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IFERROR(__xludf.DUMMYFUNCTION("IMPORTRANGE(""https://docs.google.com/spreadsheets/d/1MeEWN-I1oV_STSDYn1IFDPWt_1FKiwhDph83XaGc0o0/edit?usp=sharing"",""งบพรบ!AN112"")"),0)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IFERROR(__xludf.DUMMYFUNCTION("IMPORTRANGE(""https://docs.google.com/spreadsheets/d/1MeEWN-I1oV_STSDYn1IFDPWt_1FKiwhDph83XaGc0o0/edit?usp=sharing"",""งบพรบ!AO112"")"),0)</f>
        <v>0</v>
      </c>
      <c r="P112" s="85">
        <f t="shared" ca="1" si="29"/>
        <v>0</v>
      </c>
      <c r="Q112" s="84">
        <f t="shared" ca="1" si="8"/>
        <v>0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</row>
    <row r="113" spans="1:38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53"/>
        <v>0</v>
      </c>
      <c r="E113" s="82">
        <f ca="1">IFERROR(__xludf.DUMMYFUNCTION("IMPORTRANGE(""https://docs.google.com/spreadsheets/d/1MeEWN-I1oV_STSDYn1IFDPWt_1FKiwhDph83XaGc0o0/edit?usp=sharing"",""งบพรบ!AH113"")"),0)</f>
        <v>0</v>
      </c>
      <c r="F113" s="82">
        <f ca="1">IFERROR(__xludf.DUMMYFUNCTION("IMPORTRANGE(""https://docs.google.com/spreadsheets/d/1MeEWN-I1oV_STSDYn1IFDPWt_1FKiwhDph83XaGc0o0/edit?usp=sharing"",""งบพรบ!AI113"")"),0)</f>
        <v>0</v>
      </c>
      <c r="G113" s="82">
        <f ca="1">IFERROR(__xludf.DUMMYFUNCTION("IMPORTRANGE(""https://docs.google.com/spreadsheets/d/1MeEWN-I1oV_STSDYn1IFDPWt_1FKiwhDph83XaGc0o0/edit?usp=sharing"",""งบพรบ!AJ113"")"),0)</f>
        <v>0</v>
      </c>
      <c r="H113" s="82">
        <f ca="1">IFERROR(__xludf.DUMMYFUNCTION("IMPORTRANGE(""https://docs.google.com/spreadsheets/d/1MeEWN-I1oV_STSDYn1IFDPWt_1FKiwhDph83XaGc0o0/edit?usp=sharing"",""งบพรบ!AL113"")"),0)</f>
        <v>0</v>
      </c>
      <c r="I113" s="82">
        <f ca="1">IFERROR(__xludf.DUMMYFUNCTION("IMPORTRANGE(""https://docs.google.com/spreadsheets/d/1MeEWN-I1oV_STSDYn1IFDPWt_1FKiwhDph83XaGc0o0/edit?usp=sharing"",""งบพรบ!AM113"")"),0)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IFERROR(__xludf.DUMMYFUNCTION("IMPORTRANGE(""https://docs.google.com/spreadsheets/d/1MeEWN-I1oV_STSDYn1IFDPWt_1FKiwhDph83XaGc0o0/edit?usp=sharing"",""งบพรบ!AN113"")"),0)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IFERROR(__xludf.DUMMYFUNCTION("IMPORTRANGE(""https://docs.google.com/spreadsheets/d/1MeEWN-I1oV_STSDYn1IFDPWt_1FKiwhDph83XaGc0o0/edit?usp=sharing"",""งบพรบ!AO113"")"),0)</f>
        <v>0</v>
      </c>
      <c r="P113" s="85">
        <f t="shared" ca="1" si="29"/>
        <v>0</v>
      </c>
      <c r="Q113" s="84">
        <f t="shared" ca="1" si="8"/>
        <v>0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</row>
    <row r="114" spans="1:38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53"/>
        <v>0</v>
      </c>
      <c r="E114" s="82">
        <f ca="1">IFERROR(__xludf.DUMMYFUNCTION("IMPORTRANGE(""https://docs.google.com/spreadsheets/d/1MeEWN-I1oV_STSDYn1IFDPWt_1FKiwhDph83XaGc0o0/edit?usp=sharing"",""งบพรบ!AH114"")"),0)</f>
        <v>0</v>
      </c>
      <c r="F114" s="82">
        <f ca="1">IFERROR(__xludf.DUMMYFUNCTION("IMPORTRANGE(""https://docs.google.com/spreadsheets/d/1MeEWN-I1oV_STSDYn1IFDPWt_1FKiwhDph83XaGc0o0/edit?usp=sharing"",""งบพรบ!AI114"")"),0)</f>
        <v>0</v>
      </c>
      <c r="G114" s="82">
        <f ca="1">IFERROR(__xludf.DUMMYFUNCTION("IMPORTRANGE(""https://docs.google.com/spreadsheets/d/1MeEWN-I1oV_STSDYn1IFDPWt_1FKiwhDph83XaGc0o0/edit?usp=sharing"",""งบพรบ!AJ114"")"),0)</f>
        <v>0</v>
      </c>
      <c r="H114" s="82">
        <f ca="1">IFERROR(__xludf.DUMMYFUNCTION("IMPORTRANGE(""https://docs.google.com/spreadsheets/d/1MeEWN-I1oV_STSDYn1IFDPWt_1FKiwhDph83XaGc0o0/edit?usp=sharing"",""งบพรบ!AL114"")"),0)</f>
        <v>0</v>
      </c>
      <c r="I114" s="82">
        <f ca="1">IFERROR(__xludf.DUMMYFUNCTION("IMPORTRANGE(""https://docs.google.com/spreadsheets/d/1MeEWN-I1oV_STSDYn1IFDPWt_1FKiwhDph83XaGc0o0/edit?usp=sharing"",""งบพรบ!AM114"")"),0)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IFERROR(__xludf.DUMMYFUNCTION("IMPORTRANGE(""https://docs.google.com/spreadsheets/d/1MeEWN-I1oV_STSDYn1IFDPWt_1FKiwhDph83XaGc0o0/edit?usp=sharing"",""งบพรบ!AN114"")"),0)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IFERROR(__xludf.DUMMYFUNCTION("IMPORTRANGE(""https://docs.google.com/spreadsheets/d/1MeEWN-I1oV_STSDYn1IFDPWt_1FKiwhDph83XaGc0o0/edit?usp=sharing"",""งบพรบ!AO114"")"),0)</f>
        <v>0</v>
      </c>
      <c r="P114" s="85">
        <f t="shared" ca="1" si="29"/>
        <v>0</v>
      </c>
      <c r="Q114" s="84">
        <f t="shared" ca="1" si="8"/>
        <v>0</v>
      </c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</row>
    <row r="115" spans="1:38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53"/>
        <v>0</v>
      </c>
      <c r="E115" s="82">
        <f ca="1">IFERROR(__xludf.DUMMYFUNCTION("IMPORTRANGE(""https://docs.google.com/spreadsheets/d/1MeEWN-I1oV_STSDYn1IFDPWt_1FKiwhDph83XaGc0o0/edit?usp=sharing"",""งบพรบ!AH115"")"),0)</f>
        <v>0</v>
      </c>
      <c r="F115" s="82">
        <f ca="1">IFERROR(__xludf.DUMMYFUNCTION("IMPORTRANGE(""https://docs.google.com/spreadsheets/d/1MeEWN-I1oV_STSDYn1IFDPWt_1FKiwhDph83XaGc0o0/edit?usp=sharing"",""งบพรบ!AI115"")"),0)</f>
        <v>0</v>
      </c>
      <c r="G115" s="82">
        <f ca="1">IFERROR(__xludf.DUMMYFUNCTION("IMPORTRANGE(""https://docs.google.com/spreadsheets/d/1MeEWN-I1oV_STSDYn1IFDPWt_1FKiwhDph83XaGc0o0/edit?usp=sharing"",""งบพรบ!AJ115"")"),0)</f>
        <v>0</v>
      </c>
      <c r="H115" s="82">
        <f ca="1">IFERROR(__xludf.DUMMYFUNCTION("IMPORTRANGE(""https://docs.google.com/spreadsheets/d/1MeEWN-I1oV_STSDYn1IFDPWt_1FKiwhDph83XaGc0o0/edit?usp=sharing"",""งบพรบ!AL115"")"),0)</f>
        <v>0</v>
      </c>
      <c r="I115" s="82">
        <f ca="1">IFERROR(__xludf.DUMMYFUNCTION("IMPORTRANGE(""https://docs.google.com/spreadsheets/d/1MeEWN-I1oV_STSDYn1IFDPWt_1FKiwhDph83XaGc0o0/edit?usp=sharing"",""งบพรบ!AM115"")"),0)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IFERROR(__xludf.DUMMYFUNCTION("IMPORTRANGE(""https://docs.google.com/spreadsheets/d/1MeEWN-I1oV_STSDYn1IFDPWt_1FKiwhDph83XaGc0o0/edit?usp=sharing"",""งบพรบ!AN115"")"),0)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IFERROR(__xludf.DUMMYFUNCTION("IMPORTRANGE(""https://docs.google.com/spreadsheets/d/1MeEWN-I1oV_STSDYn1IFDPWt_1FKiwhDph83XaGc0o0/edit?usp=sharing"",""งบพรบ!AO115"")"),0)</f>
        <v>0</v>
      </c>
      <c r="P115" s="85">
        <f t="shared" ca="1" si="29"/>
        <v>0</v>
      </c>
      <c r="Q115" s="84">
        <f t="shared" ca="1" si="8"/>
        <v>0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</row>
    <row r="116" spans="1:38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53"/>
        <v>0</v>
      </c>
      <c r="E116" s="82">
        <f ca="1">IFERROR(__xludf.DUMMYFUNCTION("IMPORTRANGE(""https://docs.google.com/spreadsheets/d/1MeEWN-I1oV_STSDYn1IFDPWt_1FKiwhDph83XaGc0o0/edit?usp=sharing"",""งบพรบ!AH116"")"),0)</f>
        <v>0</v>
      </c>
      <c r="F116" s="82">
        <f ca="1">IFERROR(__xludf.DUMMYFUNCTION("IMPORTRANGE(""https://docs.google.com/spreadsheets/d/1MeEWN-I1oV_STSDYn1IFDPWt_1FKiwhDph83XaGc0o0/edit?usp=sharing"",""งบพรบ!AI116"")"),0)</f>
        <v>0</v>
      </c>
      <c r="G116" s="82">
        <f ca="1">IFERROR(__xludf.DUMMYFUNCTION("IMPORTRANGE(""https://docs.google.com/spreadsheets/d/1MeEWN-I1oV_STSDYn1IFDPWt_1FKiwhDph83XaGc0o0/edit?usp=sharing"",""งบพรบ!AJ116"")"),0)</f>
        <v>0</v>
      </c>
      <c r="H116" s="82">
        <f ca="1">IFERROR(__xludf.DUMMYFUNCTION("IMPORTRANGE(""https://docs.google.com/spreadsheets/d/1MeEWN-I1oV_STSDYn1IFDPWt_1FKiwhDph83XaGc0o0/edit?usp=sharing"",""งบพรบ!AL116"")"),64000)</f>
        <v>64000</v>
      </c>
      <c r="I116" s="82">
        <f ca="1">IFERROR(__xludf.DUMMYFUNCTION("IMPORTRANGE(""https://docs.google.com/spreadsheets/d/1MeEWN-I1oV_STSDYn1IFDPWt_1FKiwhDph83XaGc0o0/edit?usp=sharing"",""งบพรบ!AM116"")"),0)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IFERROR(__xludf.DUMMYFUNCTION("IMPORTRANGE(""https://docs.google.com/spreadsheets/d/1MeEWN-I1oV_STSDYn1IFDPWt_1FKiwhDph83XaGc0o0/edit?usp=sharing"",""งบพรบ!AN116"")"),0)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IFERROR(__xludf.DUMMYFUNCTION("IMPORTRANGE(""https://docs.google.com/spreadsheets/d/1MeEWN-I1oV_STSDYn1IFDPWt_1FKiwhDph83XaGc0o0/edit?usp=sharing"",""งบพรบ!AO116"")"),0)</f>
        <v>0</v>
      </c>
      <c r="P116" s="85">
        <f t="shared" ca="1" si="29"/>
        <v>0</v>
      </c>
      <c r="Q116" s="84">
        <f t="shared" ca="1" si="8"/>
        <v>0</v>
      </c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4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4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4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4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4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4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4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4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4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4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4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4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4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4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4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4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4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4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4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4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4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4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4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4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4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4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4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4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4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4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4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4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4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4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4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4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4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4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4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4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4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4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4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4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4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4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4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4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4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4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4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4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4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4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4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4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4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4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4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4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4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4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4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4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4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4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4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4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4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4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4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4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4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4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4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4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4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4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4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4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4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4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4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4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4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4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4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4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4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4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4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4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4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4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4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4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4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4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4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4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4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4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4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4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4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4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4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4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4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4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4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4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4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4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4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4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4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4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4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4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4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4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4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4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4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4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4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4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4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4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4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4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4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4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4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4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4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4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4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4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4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4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4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4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4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4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4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4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4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4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4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4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4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4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4"/>
    </row>
    <row r="314" spans="1:38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0"/>
      <c r="U314" s="121"/>
      <c r="V314" s="120"/>
      <c r="W314" s="121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1"/>
    </row>
    <row r="315" spans="1:38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0"/>
      <c r="U315" s="121"/>
      <c r="V315" s="120"/>
      <c r="W315" s="121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1"/>
    </row>
    <row r="316" spans="1:38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0"/>
      <c r="U316" s="121"/>
      <c r="V316" s="120"/>
      <c r="W316" s="121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1"/>
    </row>
    <row r="317" spans="1:38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0"/>
      <c r="U317" s="121"/>
      <c r="V317" s="120"/>
      <c r="W317" s="121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1"/>
    </row>
    <row r="318" spans="1:38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0"/>
      <c r="U318" s="121"/>
      <c r="V318" s="120"/>
      <c r="W318" s="121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1"/>
    </row>
    <row r="319" spans="1:38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0"/>
      <c r="U319" s="121"/>
      <c r="V319" s="120"/>
      <c r="W319" s="121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1"/>
    </row>
    <row r="320" spans="1:38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0"/>
      <c r="U320" s="121"/>
      <c r="V320" s="120"/>
      <c r="W320" s="121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1"/>
    </row>
    <row r="321" spans="1:38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0"/>
      <c r="U321" s="121"/>
      <c r="V321" s="120"/>
      <c r="W321" s="121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1"/>
    </row>
    <row r="322" spans="1:38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0"/>
      <c r="U322" s="121"/>
      <c r="V322" s="120"/>
      <c r="W322" s="121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1"/>
    </row>
    <row r="323" spans="1:38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0"/>
      <c r="U323" s="121"/>
      <c r="V323" s="120"/>
      <c r="W323" s="121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1"/>
    </row>
    <row r="324" spans="1:38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0"/>
      <c r="U324" s="121"/>
      <c r="V324" s="120"/>
      <c r="W324" s="121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1"/>
    </row>
    <row r="325" spans="1:38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0"/>
      <c r="U325" s="121"/>
      <c r="V325" s="120"/>
      <c r="W325" s="121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1"/>
    </row>
    <row r="326" spans="1:38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0"/>
      <c r="U326" s="121"/>
      <c r="V326" s="120"/>
      <c r="W326" s="121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1"/>
    </row>
    <row r="327" spans="1:38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0"/>
      <c r="U327" s="121"/>
      <c r="V327" s="120"/>
      <c r="W327" s="121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1"/>
    </row>
    <row r="328" spans="1:38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0"/>
      <c r="U328" s="121"/>
      <c r="V328" s="120"/>
      <c r="W328" s="121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1"/>
    </row>
    <row r="329" spans="1:38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0"/>
      <c r="U329" s="121"/>
      <c r="V329" s="120"/>
      <c r="W329" s="121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1"/>
    </row>
    <row r="330" spans="1:38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0"/>
      <c r="U330" s="121"/>
      <c r="V330" s="120"/>
      <c r="W330" s="121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1"/>
    </row>
    <row r="331" spans="1:38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0"/>
      <c r="U331" s="121"/>
      <c r="V331" s="120"/>
      <c r="W331" s="121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1"/>
    </row>
    <row r="332" spans="1:38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0"/>
      <c r="U332" s="121"/>
      <c r="V332" s="120"/>
      <c r="W332" s="121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1"/>
    </row>
    <row r="333" spans="1:38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0"/>
      <c r="U333" s="121"/>
      <c r="V333" s="120"/>
      <c r="W333" s="121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1"/>
    </row>
    <row r="334" spans="1:38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0"/>
      <c r="U334" s="121"/>
      <c r="V334" s="120"/>
      <c r="W334" s="121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1"/>
    </row>
    <row r="335" spans="1:38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0"/>
      <c r="U335" s="121"/>
      <c r="V335" s="120"/>
      <c r="W335" s="121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1"/>
    </row>
    <row r="336" spans="1:38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0"/>
      <c r="U336" s="121"/>
      <c r="V336" s="120"/>
      <c r="W336" s="121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1"/>
    </row>
    <row r="337" spans="1:38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0"/>
      <c r="U337" s="121"/>
      <c r="V337" s="120"/>
      <c r="W337" s="121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1"/>
    </row>
    <row r="338" spans="1:38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0"/>
      <c r="U338" s="121"/>
      <c r="V338" s="120"/>
      <c r="W338" s="121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1"/>
    </row>
    <row r="339" spans="1:38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0"/>
      <c r="U339" s="121"/>
      <c r="V339" s="120"/>
      <c r="W339" s="121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1"/>
    </row>
    <row r="340" spans="1:38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0"/>
      <c r="U340" s="121"/>
      <c r="V340" s="120"/>
      <c r="W340" s="121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1"/>
    </row>
    <row r="341" spans="1:38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0"/>
      <c r="U341" s="121"/>
      <c r="V341" s="120"/>
      <c r="W341" s="121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1"/>
    </row>
    <row r="342" spans="1:38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0"/>
      <c r="U342" s="121"/>
      <c r="V342" s="120"/>
      <c r="W342" s="121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1"/>
    </row>
    <row r="343" spans="1:38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0"/>
      <c r="U343" s="121"/>
      <c r="V343" s="120"/>
      <c r="W343" s="121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1"/>
    </row>
    <row r="344" spans="1:38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0"/>
      <c r="U344" s="121"/>
      <c r="V344" s="120"/>
      <c r="W344" s="121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1"/>
    </row>
    <row r="345" spans="1:38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0"/>
      <c r="U345" s="121"/>
      <c r="V345" s="120"/>
      <c r="W345" s="121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1"/>
    </row>
    <row r="346" spans="1:38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0"/>
      <c r="U346" s="121"/>
      <c r="V346" s="120"/>
      <c r="W346" s="121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1"/>
    </row>
    <row r="347" spans="1:38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0"/>
      <c r="U347" s="121"/>
      <c r="V347" s="120"/>
      <c r="W347" s="121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1"/>
    </row>
    <row r="348" spans="1:38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0"/>
      <c r="U348" s="121"/>
      <c r="V348" s="120"/>
      <c r="W348" s="121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1"/>
    </row>
    <row r="349" spans="1:38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0"/>
      <c r="U349" s="121"/>
      <c r="V349" s="120"/>
      <c r="W349" s="121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1"/>
    </row>
    <row r="350" spans="1:38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0"/>
      <c r="U350" s="121"/>
      <c r="V350" s="120"/>
      <c r="W350" s="121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1"/>
    </row>
    <row r="351" spans="1:38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0"/>
      <c r="U351" s="121"/>
      <c r="V351" s="120"/>
      <c r="W351" s="121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1"/>
    </row>
    <row r="352" spans="1:38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0"/>
      <c r="U352" s="121"/>
      <c r="V352" s="120"/>
      <c r="W352" s="121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1"/>
    </row>
    <row r="353" spans="1:38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0"/>
      <c r="U353" s="121"/>
      <c r="V353" s="120"/>
      <c r="W353" s="121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1"/>
    </row>
    <row r="354" spans="1:38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0"/>
      <c r="U354" s="121"/>
      <c r="V354" s="120"/>
      <c r="W354" s="121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1"/>
    </row>
    <row r="355" spans="1:38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0"/>
      <c r="U355" s="121"/>
      <c r="V355" s="120"/>
      <c r="W355" s="121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1"/>
    </row>
    <row r="356" spans="1:38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0"/>
      <c r="U356" s="121"/>
      <c r="V356" s="120"/>
      <c r="W356" s="121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1"/>
    </row>
    <row r="357" spans="1:38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0"/>
      <c r="U357" s="121"/>
      <c r="V357" s="120"/>
      <c r="W357" s="121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1"/>
    </row>
    <row r="358" spans="1:38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0"/>
      <c r="U358" s="121"/>
      <c r="V358" s="120"/>
      <c r="W358" s="121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1"/>
    </row>
    <row r="359" spans="1:38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0"/>
      <c r="U359" s="121"/>
      <c r="V359" s="120"/>
      <c r="W359" s="121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1"/>
    </row>
    <row r="360" spans="1:38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0"/>
      <c r="U360" s="121"/>
      <c r="V360" s="120"/>
      <c r="W360" s="121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1"/>
    </row>
    <row r="361" spans="1:38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0"/>
      <c r="U361" s="121"/>
      <c r="V361" s="120"/>
      <c r="W361" s="121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1"/>
    </row>
    <row r="362" spans="1:38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0"/>
      <c r="U362" s="121"/>
      <c r="V362" s="120"/>
      <c r="W362" s="121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1"/>
    </row>
    <row r="363" spans="1:38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0"/>
      <c r="U363" s="121"/>
      <c r="V363" s="120"/>
      <c r="W363" s="121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1"/>
    </row>
    <row r="364" spans="1:38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0"/>
      <c r="U364" s="121"/>
      <c r="V364" s="120"/>
      <c r="W364" s="121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1"/>
    </row>
    <row r="365" spans="1:38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0"/>
      <c r="U365" s="121"/>
      <c r="V365" s="120"/>
      <c r="W365" s="121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1"/>
    </row>
    <row r="366" spans="1:38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0"/>
      <c r="U366" s="121"/>
      <c r="V366" s="120"/>
      <c r="W366" s="121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1"/>
    </row>
    <row r="367" spans="1:38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0"/>
      <c r="U367" s="121"/>
      <c r="V367" s="120"/>
      <c r="W367" s="121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1"/>
    </row>
    <row r="368" spans="1:38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0"/>
      <c r="U368" s="121"/>
      <c r="V368" s="120"/>
      <c r="W368" s="121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1"/>
    </row>
    <row r="369" spans="1:38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0"/>
      <c r="U369" s="121"/>
      <c r="V369" s="120"/>
      <c r="W369" s="121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1"/>
    </row>
    <row r="370" spans="1:38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0"/>
      <c r="U370" s="121"/>
      <c r="V370" s="120"/>
      <c r="W370" s="121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1"/>
    </row>
    <row r="371" spans="1:38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0"/>
      <c r="U371" s="121"/>
      <c r="V371" s="120"/>
      <c r="W371" s="121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1"/>
    </row>
    <row r="372" spans="1:38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0"/>
      <c r="U372" s="121"/>
      <c r="V372" s="120"/>
      <c r="W372" s="121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1"/>
    </row>
    <row r="373" spans="1:38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0"/>
      <c r="U373" s="121"/>
      <c r="V373" s="120"/>
      <c r="W373" s="121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1"/>
    </row>
    <row r="374" spans="1:38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0"/>
      <c r="U374" s="121"/>
      <c r="V374" s="120"/>
      <c r="W374" s="121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1"/>
    </row>
    <row r="375" spans="1:38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0"/>
      <c r="U375" s="121"/>
      <c r="V375" s="120"/>
      <c r="W375" s="121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1"/>
    </row>
    <row r="376" spans="1:38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0"/>
      <c r="U376" s="121"/>
      <c r="V376" s="120"/>
      <c r="W376" s="121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1"/>
    </row>
    <row r="377" spans="1:38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0"/>
      <c r="U377" s="121"/>
      <c r="V377" s="120"/>
      <c r="W377" s="121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1"/>
    </row>
    <row r="378" spans="1:38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0"/>
      <c r="U378" s="121"/>
      <c r="V378" s="120"/>
      <c r="W378" s="121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1"/>
    </row>
    <row r="379" spans="1:38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0"/>
      <c r="U379" s="121"/>
      <c r="V379" s="120"/>
      <c r="W379" s="121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1"/>
    </row>
    <row r="380" spans="1:38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0"/>
      <c r="U380" s="121"/>
      <c r="V380" s="120"/>
      <c r="W380" s="121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1"/>
    </row>
    <row r="381" spans="1:38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0"/>
      <c r="U381" s="121"/>
      <c r="V381" s="120"/>
      <c r="W381" s="121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1"/>
    </row>
    <row r="382" spans="1:38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0"/>
      <c r="U382" s="121"/>
      <c r="V382" s="120"/>
      <c r="W382" s="121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1"/>
    </row>
    <row r="383" spans="1:38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0"/>
      <c r="U383" s="121"/>
      <c r="V383" s="120"/>
      <c r="W383" s="121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1"/>
    </row>
    <row r="384" spans="1:38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0"/>
      <c r="U384" s="121"/>
      <c r="V384" s="120"/>
      <c r="W384" s="121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1"/>
    </row>
    <row r="385" spans="1:38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0"/>
      <c r="U385" s="121"/>
      <c r="V385" s="120"/>
      <c r="W385" s="121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1"/>
    </row>
    <row r="386" spans="1:38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0"/>
      <c r="U386" s="121"/>
      <c r="V386" s="120"/>
      <c r="W386" s="121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1"/>
    </row>
    <row r="387" spans="1:38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0"/>
      <c r="U387" s="121"/>
      <c r="V387" s="120"/>
      <c r="W387" s="121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1"/>
    </row>
    <row r="388" spans="1:38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0"/>
      <c r="U388" s="121"/>
      <c r="V388" s="120"/>
      <c r="W388" s="121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1"/>
    </row>
    <row r="389" spans="1:38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0"/>
      <c r="U389" s="121"/>
      <c r="V389" s="120"/>
      <c r="W389" s="121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1"/>
    </row>
    <row r="390" spans="1:38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0"/>
      <c r="U390" s="121"/>
      <c r="V390" s="120"/>
      <c r="W390" s="121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1"/>
    </row>
    <row r="391" spans="1:38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0"/>
      <c r="U391" s="121"/>
      <c r="V391" s="120"/>
      <c r="W391" s="121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1"/>
    </row>
    <row r="392" spans="1:38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0"/>
      <c r="U392" s="121"/>
      <c r="V392" s="120"/>
      <c r="W392" s="121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1"/>
    </row>
    <row r="393" spans="1:38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0"/>
      <c r="U393" s="121"/>
      <c r="V393" s="120"/>
      <c r="W393" s="121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1"/>
    </row>
    <row r="394" spans="1:38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0"/>
      <c r="U394" s="121"/>
      <c r="V394" s="120"/>
      <c r="W394" s="121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1"/>
    </row>
    <row r="395" spans="1:38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0"/>
      <c r="U395" s="121"/>
      <c r="V395" s="120"/>
      <c r="W395" s="121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1"/>
    </row>
    <row r="396" spans="1:38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0"/>
      <c r="U396" s="121"/>
      <c r="V396" s="120"/>
      <c r="W396" s="121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1"/>
    </row>
    <row r="397" spans="1:38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0"/>
      <c r="U397" s="121"/>
      <c r="V397" s="120"/>
      <c r="W397" s="121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1"/>
    </row>
    <row r="398" spans="1:38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0"/>
      <c r="U398" s="121"/>
      <c r="V398" s="120"/>
      <c r="W398" s="121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1"/>
    </row>
    <row r="399" spans="1:38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0"/>
      <c r="U399" s="121"/>
      <c r="V399" s="120"/>
      <c r="W399" s="121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1"/>
    </row>
    <row r="400" spans="1:38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0"/>
      <c r="U400" s="121"/>
      <c r="V400" s="120"/>
      <c r="W400" s="121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1"/>
    </row>
    <row r="401" spans="1:38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0"/>
      <c r="U401" s="121"/>
      <c r="V401" s="120"/>
      <c r="W401" s="121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1"/>
    </row>
    <row r="402" spans="1:38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0"/>
      <c r="U402" s="121"/>
      <c r="V402" s="120"/>
      <c r="W402" s="121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1"/>
    </row>
    <row r="403" spans="1:38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0"/>
      <c r="U403" s="121"/>
      <c r="V403" s="120"/>
      <c r="W403" s="121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1"/>
    </row>
    <row r="404" spans="1:38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0"/>
      <c r="U404" s="121"/>
      <c r="V404" s="120"/>
      <c r="W404" s="121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1"/>
    </row>
    <row r="405" spans="1:38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0"/>
      <c r="U405" s="121"/>
      <c r="V405" s="120"/>
      <c r="W405" s="121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1"/>
    </row>
    <row r="406" spans="1:38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0"/>
      <c r="U406" s="121"/>
      <c r="V406" s="120"/>
      <c r="W406" s="121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1"/>
    </row>
    <row r="407" spans="1:38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0"/>
      <c r="U407" s="121"/>
      <c r="V407" s="120"/>
      <c r="W407" s="121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1"/>
    </row>
    <row r="408" spans="1:38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0"/>
      <c r="U408" s="121"/>
      <c r="V408" s="120"/>
      <c r="W408" s="121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1"/>
    </row>
    <row r="409" spans="1:38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0"/>
      <c r="U409" s="121"/>
      <c r="V409" s="120"/>
      <c r="W409" s="121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1"/>
    </row>
    <row r="410" spans="1:38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0"/>
      <c r="U410" s="121"/>
      <c r="V410" s="120"/>
      <c r="W410" s="121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1"/>
    </row>
    <row r="411" spans="1:38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0"/>
      <c r="U411" s="121"/>
      <c r="V411" s="120"/>
      <c r="W411" s="121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1"/>
    </row>
    <row r="412" spans="1:38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0"/>
      <c r="U412" s="121"/>
      <c r="V412" s="120"/>
      <c r="W412" s="121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1"/>
    </row>
    <row r="413" spans="1:38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0"/>
      <c r="U413" s="121"/>
      <c r="V413" s="120"/>
      <c r="W413" s="121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1"/>
    </row>
    <row r="414" spans="1:38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0"/>
      <c r="U414" s="121"/>
      <c r="V414" s="120"/>
      <c r="W414" s="121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1"/>
    </row>
    <row r="415" spans="1:38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0"/>
      <c r="U415" s="121"/>
      <c r="V415" s="120"/>
      <c r="W415" s="121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1"/>
    </row>
    <row r="416" spans="1:38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0"/>
      <c r="U416" s="121"/>
      <c r="V416" s="120"/>
      <c r="W416" s="121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1"/>
    </row>
    <row r="417" spans="1:38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0"/>
      <c r="U417" s="121"/>
      <c r="V417" s="120"/>
      <c r="W417" s="121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1"/>
    </row>
    <row r="418" spans="1:38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0"/>
      <c r="U418" s="121"/>
      <c r="V418" s="120"/>
      <c r="W418" s="121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1"/>
    </row>
    <row r="419" spans="1:38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0"/>
      <c r="U419" s="121"/>
      <c r="V419" s="120"/>
      <c r="W419" s="121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1"/>
    </row>
    <row r="420" spans="1:38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0"/>
      <c r="U420" s="121"/>
      <c r="V420" s="120"/>
      <c r="W420" s="121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1"/>
    </row>
    <row r="421" spans="1:38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0"/>
      <c r="U421" s="121"/>
      <c r="V421" s="120"/>
      <c r="W421" s="121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1"/>
    </row>
    <row r="422" spans="1:38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0"/>
      <c r="U422" s="121"/>
      <c r="V422" s="120"/>
      <c r="W422" s="121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1"/>
    </row>
    <row r="423" spans="1:38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0"/>
      <c r="U423" s="121"/>
      <c r="V423" s="120"/>
      <c r="W423" s="121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1"/>
    </row>
    <row r="424" spans="1:38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0"/>
      <c r="U424" s="121"/>
      <c r="V424" s="120"/>
      <c r="W424" s="121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1"/>
    </row>
    <row r="425" spans="1:38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0"/>
      <c r="U425" s="121"/>
      <c r="V425" s="120"/>
      <c r="W425" s="121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1"/>
    </row>
    <row r="426" spans="1:38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0"/>
      <c r="U426" s="121"/>
      <c r="V426" s="120"/>
      <c r="W426" s="121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1"/>
    </row>
    <row r="427" spans="1:38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0"/>
      <c r="U427" s="121"/>
      <c r="V427" s="120"/>
      <c r="W427" s="121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1"/>
    </row>
    <row r="428" spans="1:38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0"/>
      <c r="U428" s="121"/>
      <c r="V428" s="120"/>
      <c r="W428" s="121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1"/>
    </row>
    <row r="429" spans="1:38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0"/>
      <c r="U429" s="121"/>
      <c r="V429" s="120"/>
      <c r="W429" s="121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1"/>
    </row>
    <row r="430" spans="1:38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0"/>
      <c r="U430" s="121"/>
      <c r="V430" s="120"/>
      <c r="W430" s="121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1"/>
    </row>
    <row r="431" spans="1:38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0"/>
      <c r="U431" s="121"/>
      <c r="V431" s="120"/>
      <c r="W431" s="121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1"/>
    </row>
    <row r="432" spans="1:38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0"/>
      <c r="U432" s="121"/>
      <c r="V432" s="120"/>
      <c r="W432" s="121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1"/>
    </row>
    <row r="433" spans="1:38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0"/>
      <c r="U433" s="121"/>
      <c r="V433" s="120"/>
      <c r="W433" s="121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1"/>
    </row>
    <row r="434" spans="1:38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0"/>
      <c r="U434" s="121"/>
      <c r="V434" s="120"/>
      <c r="W434" s="121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1"/>
    </row>
    <row r="435" spans="1:38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0"/>
      <c r="U435" s="121"/>
      <c r="V435" s="120"/>
      <c r="W435" s="121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1"/>
    </row>
    <row r="436" spans="1:38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0"/>
      <c r="U436" s="121"/>
      <c r="V436" s="120"/>
      <c r="W436" s="121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1"/>
    </row>
    <row r="437" spans="1:38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0"/>
      <c r="U437" s="121"/>
      <c r="V437" s="120"/>
      <c r="W437" s="121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1"/>
    </row>
    <row r="438" spans="1:38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0"/>
      <c r="U438" s="121"/>
      <c r="V438" s="120"/>
      <c r="W438" s="121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1"/>
    </row>
    <row r="439" spans="1:38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0"/>
      <c r="U439" s="121"/>
      <c r="V439" s="120"/>
      <c r="W439" s="121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1"/>
    </row>
    <row r="440" spans="1:38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0"/>
      <c r="U440" s="121"/>
      <c r="V440" s="120"/>
      <c r="W440" s="121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1"/>
    </row>
    <row r="441" spans="1:38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0"/>
      <c r="U441" s="121"/>
      <c r="V441" s="120"/>
      <c r="W441" s="121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1"/>
    </row>
    <row r="442" spans="1:38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0"/>
      <c r="U442" s="121"/>
      <c r="V442" s="120"/>
      <c r="W442" s="121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1"/>
    </row>
    <row r="443" spans="1:38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0"/>
      <c r="U443" s="121"/>
      <c r="V443" s="120"/>
      <c r="W443" s="121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1"/>
    </row>
    <row r="444" spans="1:38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0"/>
      <c r="U444" s="121"/>
      <c r="V444" s="120"/>
      <c r="W444" s="121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1"/>
    </row>
    <row r="445" spans="1:38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0"/>
      <c r="U445" s="121"/>
      <c r="V445" s="120"/>
      <c r="W445" s="121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1"/>
    </row>
    <row r="446" spans="1:38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0"/>
      <c r="U446" s="121"/>
      <c r="V446" s="120"/>
      <c r="W446" s="121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1"/>
    </row>
    <row r="447" spans="1:38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0"/>
      <c r="U447" s="121"/>
      <c r="V447" s="120"/>
      <c r="W447" s="121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1"/>
    </row>
    <row r="448" spans="1:38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0"/>
      <c r="U448" s="121"/>
      <c r="V448" s="120"/>
      <c r="W448" s="121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1"/>
    </row>
    <row r="449" spans="1:38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0"/>
      <c r="U449" s="121"/>
      <c r="V449" s="120"/>
      <c r="W449" s="121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1"/>
    </row>
    <row r="450" spans="1:38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0"/>
      <c r="U450" s="121"/>
      <c r="V450" s="120"/>
      <c r="W450" s="121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1"/>
    </row>
    <row r="451" spans="1:38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0"/>
      <c r="U451" s="121"/>
      <c r="V451" s="120"/>
      <c r="W451" s="121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1"/>
    </row>
    <row r="452" spans="1:38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0"/>
      <c r="U452" s="121"/>
      <c r="V452" s="120"/>
      <c r="W452" s="121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1"/>
    </row>
    <row r="453" spans="1:38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0"/>
      <c r="U453" s="121"/>
      <c r="V453" s="120"/>
      <c r="W453" s="121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1"/>
    </row>
    <row r="454" spans="1:38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0"/>
      <c r="U454" s="121"/>
      <c r="V454" s="120"/>
      <c r="W454" s="121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1"/>
    </row>
    <row r="455" spans="1:38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0"/>
      <c r="U455" s="121"/>
      <c r="V455" s="120"/>
      <c r="W455" s="121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1"/>
    </row>
    <row r="456" spans="1:38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0"/>
      <c r="U456" s="121"/>
      <c r="V456" s="120"/>
      <c r="W456" s="121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1"/>
    </row>
    <row r="457" spans="1:38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0"/>
      <c r="U457" s="121"/>
      <c r="V457" s="120"/>
      <c r="W457" s="121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1"/>
    </row>
    <row r="458" spans="1:38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0"/>
      <c r="U458" s="121"/>
      <c r="V458" s="120"/>
      <c r="W458" s="121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1"/>
    </row>
    <row r="459" spans="1:38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0"/>
      <c r="U459" s="121"/>
      <c r="V459" s="120"/>
      <c r="W459" s="121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1"/>
    </row>
    <row r="460" spans="1:38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0"/>
      <c r="U460" s="121"/>
      <c r="V460" s="120"/>
      <c r="W460" s="121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1"/>
    </row>
    <row r="461" spans="1:38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0"/>
      <c r="U461" s="121"/>
      <c r="V461" s="120"/>
      <c r="W461" s="121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1"/>
    </row>
    <row r="462" spans="1:38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0"/>
      <c r="U462" s="121"/>
      <c r="V462" s="120"/>
      <c r="W462" s="121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1"/>
    </row>
    <row r="463" spans="1:38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0"/>
      <c r="U463" s="121"/>
      <c r="V463" s="120"/>
      <c r="W463" s="121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1"/>
    </row>
    <row r="464" spans="1:38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0"/>
      <c r="U464" s="121"/>
      <c r="V464" s="120"/>
      <c r="W464" s="121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1"/>
    </row>
    <row r="465" spans="1:38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0"/>
      <c r="U465" s="121"/>
      <c r="V465" s="120"/>
      <c r="W465" s="121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1"/>
    </row>
    <row r="466" spans="1:38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0"/>
      <c r="U466" s="121"/>
      <c r="V466" s="120"/>
      <c r="W466" s="121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1"/>
    </row>
    <row r="467" spans="1:38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0"/>
      <c r="U467" s="121"/>
      <c r="V467" s="120"/>
      <c r="W467" s="121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1"/>
    </row>
    <row r="468" spans="1:38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0"/>
      <c r="U468" s="121"/>
      <c r="V468" s="120"/>
      <c r="W468" s="121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1"/>
    </row>
    <row r="469" spans="1:38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0"/>
      <c r="U469" s="121"/>
      <c r="V469" s="120"/>
      <c r="W469" s="121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1"/>
    </row>
    <row r="470" spans="1:38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0"/>
      <c r="U470" s="121"/>
      <c r="V470" s="120"/>
      <c r="W470" s="121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1"/>
    </row>
    <row r="471" spans="1:38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0"/>
      <c r="U471" s="121"/>
      <c r="V471" s="120"/>
      <c r="W471" s="121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1"/>
    </row>
    <row r="472" spans="1:38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0"/>
      <c r="U472" s="121"/>
      <c r="V472" s="120"/>
      <c r="W472" s="121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1"/>
    </row>
    <row r="473" spans="1:38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0"/>
      <c r="U473" s="121"/>
      <c r="V473" s="120"/>
      <c r="W473" s="121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1"/>
    </row>
    <row r="474" spans="1:38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0"/>
      <c r="U474" s="121"/>
      <c r="V474" s="120"/>
      <c r="W474" s="121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1"/>
    </row>
    <row r="475" spans="1:38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0"/>
      <c r="U475" s="121"/>
      <c r="V475" s="120"/>
      <c r="W475" s="121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1"/>
    </row>
    <row r="476" spans="1:38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0"/>
      <c r="U476" s="121"/>
      <c r="V476" s="120"/>
      <c r="W476" s="121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1"/>
    </row>
    <row r="477" spans="1:38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0"/>
      <c r="U477" s="121"/>
      <c r="V477" s="120"/>
      <c r="W477" s="121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1"/>
    </row>
    <row r="478" spans="1:38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0"/>
      <c r="U478" s="121"/>
      <c r="V478" s="120"/>
      <c r="W478" s="121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1"/>
    </row>
    <row r="479" spans="1:38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0"/>
      <c r="U479" s="121"/>
      <c r="V479" s="120"/>
      <c r="W479" s="121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1"/>
    </row>
    <row r="480" spans="1:38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0"/>
      <c r="U480" s="121"/>
      <c r="V480" s="120"/>
      <c r="W480" s="121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1"/>
    </row>
    <row r="481" spans="1:38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0"/>
      <c r="U481" s="121"/>
      <c r="V481" s="120"/>
      <c r="W481" s="121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1"/>
    </row>
    <row r="482" spans="1:38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0"/>
      <c r="U482" s="121"/>
      <c r="V482" s="120"/>
      <c r="W482" s="121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1"/>
    </row>
    <row r="483" spans="1:38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0"/>
      <c r="U483" s="121"/>
      <c r="V483" s="120"/>
      <c r="W483" s="121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1"/>
    </row>
    <row r="484" spans="1:38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0"/>
      <c r="U484" s="121"/>
      <c r="V484" s="120"/>
      <c r="W484" s="121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1"/>
    </row>
    <row r="485" spans="1:38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0"/>
      <c r="U485" s="121"/>
      <c r="V485" s="120"/>
      <c r="W485" s="121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1"/>
    </row>
    <row r="486" spans="1:38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0"/>
      <c r="U486" s="121"/>
      <c r="V486" s="120"/>
      <c r="W486" s="121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1"/>
    </row>
    <row r="487" spans="1:38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0"/>
      <c r="U487" s="121"/>
      <c r="V487" s="120"/>
      <c r="W487" s="121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1"/>
    </row>
    <row r="488" spans="1:38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0"/>
      <c r="U488" s="121"/>
      <c r="V488" s="120"/>
      <c r="W488" s="121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1"/>
    </row>
    <row r="489" spans="1:38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0"/>
      <c r="U489" s="121"/>
      <c r="V489" s="120"/>
      <c r="W489" s="121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1"/>
    </row>
    <row r="490" spans="1:38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0"/>
      <c r="U490" s="121"/>
      <c r="V490" s="120"/>
      <c r="W490" s="121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1"/>
    </row>
    <row r="491" spans="1:38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0"/>
      <c r="U491" s="121"/>
      <c r="V491" s="120"/>
      <c r="W491" s="121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1"/>
    </row>
    <row r="492" spans="1:38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0"/>
      <c r="U492" s="121"/>
      <c r="V492" s="120"/>
      <c r="W492" s="121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1"/>
    </row>
    <row r="493" spans="1:38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0"/>
      <c r="U493" s="121"/>
      <c r="V493" s="120"/>
      <c r="W493" s="121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1"/>
    </row>
    <row r="494" spans="1:38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0"/>
      <c r="U494" s="121"/>
      <c r="V494" s="120"/>
      <c r="W494" s="121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1"/>
    </row>
    <row r="495" spans="1:38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0"/>
      <c r="U495" s="121"/>
      <c r="V495" s="120"/>
      <c r="W495" s="121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1"/>
    </row>
    <row r="496" spans="1:38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0"/>
      <c r="U496" s="121"/>
      <c r="V496" s="120"/>
      <c r="W496" s="121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1"/>
    </row>
    <row r="497" spans="1:38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0"/>
      <c r="U497" s="121"/>
      <c r="V497" s="120"/>
      <c r="W497" s="121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1"/>
    </row>
    <row r="498" spans="1:38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0"/>
      <c r="U498" s="121"/>
      <c r="V498" s="120"/>
      <c r="W498" s="121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1"/>
    </row>
    <row r="499" spans="1:38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0"/>
      <c r="U499" s="121"/>
      <c r="V499" s="120"/>
      <c r="W499" s="121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1"/>
    </row>
    <row r="500" spans="1:38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0"/>
      <c r="U500" s="121"/>
      <c r="V500" s="120"/>
      <c r="W500" s="121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1"/>
    </row>
    <row r="501" spans="1:38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0"/>
      <c r="U501" s="121"/>
      <c r="V501" s="120"/>
      <c r="W501" s="121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1"/>
    </row>
    <row r="502" spans="1:38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0"/>
      <c r="U502" s="121"/>
      <c r="V502" s="120"/>
      <c r="W502" s="121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1"/>
    </row>
    <row r="503" spans="1:38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0"/>
      <c r="U503" s="121"/>
      <c r="V503" s="120"/>
      <c r="W503" s="121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1"/>
    </row>
    <row r="504" spans="1:38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0"/>
      <c r="U504" s="121"/>
      <c r="V504" s="120"/>
      <c r="W504" s="121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1"/>
    </row>
    <row r="505" spans="1:38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0"/>
      <c r="U505" s="121"/>
      <c r="V505" s="120"/>
      <c r="W505" s="121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1"/>
    </row>
    <row r="506" spans="1:38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0"/>
      <c r="U506" s="121"/>
      <c r="V506" s="120"/>
      <c r="W506" s="121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1"/>
    </row>
    <row r="507" spans="1:38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0"/>
      <c r="U507" s="121"/>
      <c r="V507" s="120"/>
      <c r="W507" s="121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1"/>
    </row>
    <row r="508" spans="1:38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0"/>
      <c r="U508" s="121"/>
      <c r="V508" s="120"/>
      <c r="W508" s="121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1"/>
    </row>
    <row r="509" spans="1:38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0"/>
      <c r="U509" s="121"/>
      <c r="V509" s="120"/>
      <c r="W509" s="121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1"/>
    </row>
    <row r="510" spans="1:38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0"/>
      <c r="U510" s="121"/>
      <c r="V510" s="120"/>
      <c r="W510" s="121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1"/>
    </row>
    <row r="511" spans="1:38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0"/>
      <c r="U511" s="121"/>
      <c r="V511" s="120"/>
      <c r="W511" s="121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1"/>
    </row>
    <row r="512" spans="1:38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0"/>
      <c r="U512" s="121"/>
      <c r="V512" s="120"/>
      <c r="W512" s="121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1"/>
    </row>
    <row r="513" spans="1:38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0"/>
      <c r="U513" s="121"/>
      <c r="V513" s="120"/>
      <c r="W513" s="121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1"/>
    </row>
    <row r="514" spans="1:38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0"/>
      <c r="U514" s="121"/>
      <c r="V514" s="120"/>
      <c r="W514" s="121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1"/>
    </row>
    <row r="515" spans="1:38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0"/>
      <c r="U515" s="121"/>
      <c r="V515" s="120"/>
      <c r="W515" s="121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1"/>
    </row>
    <row r="516" spans="1:38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0"/>
      <c r="U516" s="121"/>
      <c r="V516" s="120"/>
      <c r="W516" s="121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1"/>
    </row>
    <row r="517" spans="1:38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0"/>
      <c r="U517" s="121"/>
      <c r="V517" s="120"/>
      <c r="W517" s="121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1"/>
    </row>
    <row r="518" spans="1:38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0"/>
      <c r="U518" s="121"/>
      <c r="V518" s="120"/>
      <c r="W518" s="121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1"/>
    </row>
    <row r="519" spans="1:38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0"/>
      <c r="U519" s="121"/>
      <c r="V519" s="120"/>
      <c r="W519" s="121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1"/>
    </row>
    <row r="520" spans="1:38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0"/>
      <c r="U520" s="121"/>
      <c r="V520" s="120"/>
      <c r="W520" s="121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1"/>
    </row>
    <row r="521" spans="1:38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0"/>
      <c r="U521" s="121"/>
      <c r="V521" s="120"/>
      <c r="W521" s="121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1"/>
    </row>
    <row r="522" spans="1:38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0"/>
      <c r="U522" s="121"/>
      <c r="V522" s="120"/>
      <c r="W522" s="121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1"/>
    </row>
    <row r="523" spans="1:38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0"/>
      <c r="U523" s="121"/>
      <c r="V523" s="120"/>
      <c r="W523" s="121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1"/>
    </row>
    <row r="524" spans="1:38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0"/>
      <c r="U524" s="121"/>
      <c r="V524" s="120"/>
      <c r="W524" s="121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1"/>
    </row>
    <row r="525" spans="1:38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0"/>
      <c r="U525" s="121"/>
      <c r="V525" s="120"/>
      <c r="W525" s="121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1"/>
    </row>
    <row r="526" spans="1:38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0"/>
      <c r="U526" s="121"/>
      <c r="V526" s="120"/>
      <c r="W526" s="121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1"/>
    </row>
    <row r="527" spans="1:38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0"/>
      <c r="U527" s="121"/>
      <c r="V527" s="120"/>
      <c r="W527" s="121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1"/>
    </row>
    <row r="528" spans="1:38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0"/>
      <c r="U528" s="121"/>
      <c r="V528" s="120"/>
      <c r="W528" s="121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1"/>
    </row>
    <row r="529" spans="1:38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0"/>
      <c r="U529" s="121"/>
      <c r="V529" s="120"/>
      <c r="W529" s="121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1"/>
    </row>
    <row r="530" spans="1:38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0"/>
      <c r="U530" s="121"/>
      <c r="V530" s="120"/>
      <c r="W530" s="121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1"/>
    </row>
    <row r="531" spans="1:38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0"/>
      <c r="U531" s="121"/>
      <c r="V531" s="120"/>
      <c r="W531" s="121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1"/>
    </row>
    <row r="532" spans="1:38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0"/>
      <c r="U532" s="121"/>
      <c r="V532" s="120"/>
      <c r="W532" s="121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1"/>
    </row>
    <row r="533" spans="1:38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0"/>
      <c r="U533" s="121"/>
      <c r="V533" s="120"/>
      <c r="W533" s="121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1"/>
    </row>
    <row r="534" spans="1:38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0"/>
      <c r="U534" s="121"/>
      <c r="V534" s="120"/>
      <c r="W534" s="121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1"/>
    </row>
    <row r="535" spans="1:38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0"/>
      <c r="U535" s="121"/>
      <c r="V535" s="120"/>
      <c r="W535" s="121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1"/>
    </row>
    <row r="536" spans="1:38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0"/>
      <c r="U536" s="121"/>
      <c r="V536" s="120"/>
      <c r="W536" s="121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1"/>
    </row>
    <row r="537" spans="1:38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0"/>
      <c r="U537" s="121"/>
      <c r="V537" s="120"/>
      <c r="W537" s="121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  <c r="AJ537" s="120"/>
      <c r="AK537" s="120"/>
      <c r="AL537" s="121"/>
    </row>
    <row r="538" spans="1:38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0"/>
      <c r="U538" s="121"/>
      <c r="V538" s="120"/>
      <c r="W538" s="121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1"/>
    </row>
    <row r="539" spans="1:38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0"/>
      <c r="U539" s="121"/>
      <c r="V539" s="120"/>
      <c r="W539" s="121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1"/>
    </row>
    <row r="540" spans="1:38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0"/>
      <c r="U540" s="121"/>
      <c r="V540" s="120"/>
      <c r="W540" s="121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/>
      <c r="AK540" s="120"/>
      <c r="AL540" s="121"/>
    </row>
    <row r="541" spans="1:38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0"/>
      <c r="U541" s="121"/>
      <c r="V541" s="120"/>
      <c r="W541" s="121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  <c r="AJ541" s="120"/>
      <c r="AK541" s="120"/>
      <c r="AL541" s="121"/>
    </row>
    <row r="542" spans="1:38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0"/>
      <c r="U542" s="121"/>
      <c r="V542" s="120"/>
      <c r="W542" s="121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1"/>
    </row>
    <row r="543" spans="1:38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0"/>
      <c r="U543" s="121"/>
      <c r="V543" s="120"/>
      <c r="W543" s="121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  <c r="AJ543" s="120"/>
      <c r="AK543" s="120"/>
      <c r="AL543" s="121"/>
    </row>
    <row r="544" spans="1:38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0"/>
      <c r="U544" s="121"/>
      <c r="V544" s="120"/>
      <c r="W544" s="121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1"/>
    </row>
    <row r="545" spans="1:38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0"/>
      <c r="U545" s="121"/>
      <c r="V545" s="120"/>
      <c r="W545" s="121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1"/>
    </row>
    <row r="546" spans="1:38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0"/>
      <c r="U546" s="121"/>
      <c r="V546" s="120"/>
      <c r="W546" s="121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1"/>
    </row>
    <row r="547" spans="1:38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0"/>
      <c r="U547" s="121"/>
      <c r="V547" s="120"/>
      <c r="W547" s="121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120"/>
      <c r="AL547" s="121"/>
    </row>
    <row r="548" spans="1:38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0"/>
      <c r="U548" s="121"/>
      <c r="V548" s="120"/>
      <c r="W548" s="121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1"/>
    </row>
    <row r="549" spans="1:38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0"/>
      <c r="U549" s="121"/>
      <c r="V549" s="120"/>
      <c r="W549" s="121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1"/>
    </row>
    <row r="550" spans="1:38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0"/>
      <c r="U550" s="121"/>
      <c r="V550" s="120"/>
      <c r="W550" s="121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1"/>
    </row>
    <row r="551" spans="1:38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0"/>
      <c r="U551" s="121"/>
      <c r="V551" s="120"/>
      <c r="W551" s="121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1"/>
    </row>
    <row r="552" spans="1:38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0"/>
      <c r="U552" s="121"/>
      <c r="V552" s="120"/>
      <c r="W552" s="121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1"/>
    </row>
    <row r="553" spans="1:38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0"/>
      <c r="U553" s="121"/>
      <c r="V553" s="120"/>
      <c r="W553" s="121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1"/>
    </row>
    <row r="554" spans="1:38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0"/>
      <c r="U554" s="121"/>
      <c r="V554" s="120"/>
      <c r="W554" s="121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1"/>
    </row>
    <row r="555" spans="1:38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0"/>
      <c r="U555" s="121"/>
      <c r="V555" s="120"/>
      <c r="W555" s="121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1"/>
    </row>
    <row r="556" spans="1:38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0"/>
      <c r="U556" s="121"/>
      <c r="V556" s="120"/>
      <c r="W556" s="121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1"/>
    </row>
    <row r="557" spans="1:38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0"/>
      <c r="U557" s="121"/>
      <c r="V557" s="120"/>
      <c r="W557" s="121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  <c r="AJ557" s="120"/>
      <c r="AK557" s="120"/>
      <c r="AL557" s="121"/>
    </row>
    <row r="558" spans="1:38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0"/>
      <c r="U558" s="121"/>
      <c r="V558" s="120"/>
      <c r="W558" s="121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1"/>
    </row>
    <row r="559" spans="1:38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0"/>
      <c r="U559" s="121"/>
      <c r="V559" s="120"/>
      <c r="W559" s="121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  <c r="AJ559" s="120"/>
      <c r="AK559" s="120"/>
      <c r="AL559" s="121"/>
    </row>
    <row r="560" spans="1:38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0"/>
      <c r="U560" s="121"/>
      <c r="V560" s="120"/>
      <c r="W560" s="121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  <c r="AJ560" s="120"/>
      <c r="AK560" s="120"/>
      <c r="AL560" s="121"/>
    </row>
    <row r="561" spans="1:38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0"/>
      <c r="U561" s="121"/>
      <c r="V561" s="120"/>
      <c r="W561" s="121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  <c r="AJ561" s="120"/>
      <c r="AK561" s="120"/>
      <c r="AL561" s="121"/>
    </row>
    <row r="562" spans="1:38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0"/>
      <c r="U562" s="121"/>
      <c r="V562" s="120"/>
      <c r="W562" s="121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1"/>
    </row>
    <row r="563" spans="1:38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0"/>
      <c r="U563" s="121"/>
      <c r="V563" s="120"/>
      <c r="W563" s="121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1"/>
    </row>
    <row r="564" spans="1:38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0"/>
      <c r="U564" s="121"/>
      <c r="V564" s="120"/>
      <c r="W564" s="121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1"/>
    </row>
    <row r="565" spans="1:38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0"/>
      <c r="U565" s="121"/>
      <c r="V565" s="120"/>
      <c r="W565" s="121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1"/>
    </row>
    <row r="566" spans="1:38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0"/>
      <c r="U566" s="121"/>
      <c r="V566" s="120"/>
      <c r="W566" s="121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120"/>
      <c r="AL566" s="121"/>
    </row>
    <row r="567" spans="1:38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0"/>
      <c r="U567" s="121"/>
      <c r="V567" s="120"/>
      <c r="W567" s="121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1"/>
    </row>
    <row r="568" spans="1:38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0"/>
      <c r="U568" s="121"/>
      <c r="V568" s="120"/>
      <c r="W568" s="121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  <c r="AJ568" s="120"/>
      <c r="AK568" s="120"/>
      <c r="AL568" s="121"/>
    </row>
    <row r="569" spans="1:38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0"/>
      <c r="U569" s="121"/>
      <c r="V569" s="120"/>
      <c r="W569" s="121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1"/>
    </row>
    <row r="570" spans="1:38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0"/>
      <c r="U570" s="121"/>
      <c r="V570" s="120"/>
      <c r="W570" s="121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1"/>
    </row>
    <row r="571" spans="1:38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0"/>
      <c r="U571" s="121"/>
      <c r="V571" s="120"/>
      <c r="W571" s="121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1"/>
    </row>
    <row r="572" spans="1:38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0"/>
      <c r="U572" s="121"/>
      <c r="V572" s="120"/>
      <c r="W572" s="121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1"/>
    </row>
    <row r="573" spans="1:38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0"/>
      <c r="U573" s="121"/>
      <c r="V573" s="120"/>
      <c r="W573" s="121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1"/>
    </row>
    <row r="574" spans="1:38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0"/>
      <c r="U574" s="121"/>
      <c r="V574" s="120"/>
      <c r="W574" s="121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1"/>
    </row>
    <row r="575" spans="1:38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0"/>
      <c r="U575" s="121"/>
      <c r="V575" s="120"/>
      <c r="W575" s="121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1"/>
    </row>
    <row r="576" spans="1:38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0"/>
      <c r="U576" s="121"/>
      <c r="V576" s="120"/>
      <c r="W576" s="121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1"/>
    </row>
    <row r="577" spans="1:38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0"/>
      <c r="U577" s="121"/>
      <c r="V577" s="120"/>
      <c r="W577" s="121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1"/>
    </row>
    <row r="578" spans="1:38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0"/>
      <c r="U578" s="121"/>
      <c r="V578" s="120"/>
      <c r="W578" s="121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1"/>
    </row>
    <row r="579" spans="1:38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0"/>
      <c r="U579" s="121"/>
      <c r="V579" s="120"/>
      <c r="W579" s="121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1"/>
    </row>
    <row r="580" spans="1:38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0"/>
      <c r="U580" s="121"/>
      <c r="V580" s="120"/>
      <c r="W580" s="121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  <c r="AJ580" s="120"/>
      <c r="AK580" s="120"/>
      <c r="AL580" s="121"/>
    </row>
    <row r="581" spans="1:38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0"/>
      <c r="U581" s="121"/>
      <c r="V581" s="120"/>
      <c r="W581" s="121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  <c r="AJ581" s="120"/>
      <c r="AK581" s="120"/>
      <c r="AL581" s="121"/>
    </row>
    <row r="582" spans="1:38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0"/>
      <c r="U582" s="121"/>
      <c r="V582" s="120"/>
      <c r="W582" s="121"/>
      <c r="X582" s="120"/>
      <c r="Y582" s="120"/>
      <c r="Z582" s="120"/>
      <c r="AA582" s="120"/>
      <c r="AB582" s="120"/>
      <c r="AC582" s="120"/>
      <c r="AD582" s="120"/>
      <c r="AE582" s="120"/>
      <c r="AF582" s="120"/>
      <c r="AG582" s="120"/>
      <c r="AH582" s="120"/>
      <c r="AI582" s="120"/>
      <c r="AJ582" s="120"/>
      <c r="AK582" s="120"/>
      <c r="AL582" s="121"/>
    </row>
    <row r="583" spans="1:38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0"/>
      <c r="U583" s="121"/>
      <c r="V583" s="120"/>
      <c r="W583" s="121"/>
      <c r="X583" s="120"/>
      <c r="Y583" s="120"/>
      <c r="Z583" s="120"/>
      <c r="AA583" s="120"/>
      <c r="AB583" s="120"/>
      <c r="AC583" s="120"/>
      <c r="AD583" s="120"/>
      <c r="AE583" s="120"/>
      <c r="AF583" s="120"/>
      <c r="AG583" s="120"/>
      <c r="AH583" s="120"/>
      <c r="AI583" s="120"/>
      <c r="AJ583" s="120"/>
      <c r="AK583" s="120"/>
      <c r="AL583" s="121"/>
    </row>
    <row r="584" spans="1:38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0"/>
      <c r="U584" s="121"/>
      <c r="V584" s="120"/>
      <c r="W584" s="121"/>
      <c r="X584" s="120"/>
      <c r="Y584" s="120"/>
      <c r="Z584" s="120"/>
      <c r="AA584" s="120"/>
      <c r="AB584" s="120"/>
      <c r="AC584" s="120"/>
      <c r="AD584" s="120"/>
      <c r="AE584" s="120"/>
      <c r="AF584" s="120"/>
      <c r="AG584" s="120"/>
      <c r="AH584" s="120"/>
      <c r="AI584" s="120"/>
      <c r="AJ584" s="120"/>
      <c r="AK584" s="120"/>
      <c r="AL584" s="121"/>
    </row>
    <row r="585" spans="1:38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0"/>
      <c r="U585" s="121"/>
      <c r="V585" s="120"/>
      <c r="W585" s="121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  <c r="AJ585" s="120"/>
      <c r="AK585" s="120"/>
      <c r="AL585" s="121"/>
    </row>
    <row r="586" spans="1:38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0"/>
      <c r="U586" s="121"/>
      <c r="V586" s="120"/>
      <c r="W586" s="121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  <c r="AJ586" s="120"/>
      <c r="AK586" s="120"/>
      <c r="AL586" s="121"/>
    </row>
    <row r="587" spans="1:38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0"/>
      <c r="U587" s="121"/>
      <c r="V587" s="120"/>
      <c r="W587" s="121"/>
      <c r="X587" s="120"/>
      <c r="Y587" s="120"/>
      <c r="Z587" s="120"/>
      <c r="AA587" s="120"/>
      <c r="AB587" s="120"/>
      <c r="AC587" s="120"/>
      <c r="AD587" s="120"/>
      <c r="AE587" s="120"/>
      <c r="AF587" s="120"/>
      <c r="AG587" s="120"/>
      <c r="AH587" s="120"/>
      <c r="AI587" s="120"/>
      <c r="AJ587" s="120"/>
      <c r="AK587" s="120"/>
      <c r="AL587" s="121"/>
    </row>
    <row r="588" spans="1:38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0"/>
      <c r="U588" s="121"/>
      <c r="V588" s="120"/>
      <c r="W588" s="121"/>
      <c r="X588" s="120"/>
      <c r="Y588" s="120"/>
      <c r="Z588" s="120"/>
      <c r="AA588" s="120"/>
      <c r="AB588" s="120"/>
      <c r="AC588" s="120"/>
      <c r="AD588" s="120"/>
      <c r="AE588" s="120"/>
      <c r="AF588" s="120"/>
      <c r="AG588" s="120"/>
      <c r="AH588" s="120"/>
      <c r="AI588" s="120"/>
      <c r="AJ588" s="120"/>
      <c r="AK588" s="120"/>
      <c r="AL588" s="121"/>
    </row>
    <row r="589" spans="1:38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0"/>
      <c r="U589" s="121"/>
      <c r="V589" s="120"/>
      <c r="W589" s="121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1"/>
    </row>
    <row r="590" spans="1:38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0"/>
      <c r="U590" s="121"/>
      <c r="V590" s="120"/>
      <c r="W590" s="121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1"/>
    </row>
    <row r="591" spans="1:38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0"/>
      <c r="U591" s="121"/>
      <c r="V591" s="120"/>
      <c r="W591" s="121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  <c r="AJ591" s="120"/>
      <c r="AK591" s="120"/>
      <c r="AL591" s="121"/>
    </row>
    <row r="592" spans="1:38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0"/>
      <c r="U592" s="121"/>
      <c r="V592" s="120"/>
      <c r="W592" s="121"/>
      <c r="X592" s="120"/>
      <c r="Y592" s="120"/>
      <c r="Z592" s="120"/>
      <c r="AA592" s="120"/>
      <c r="AB592" s="120"/>
      <c r="AC592" s="120"/>
      <c r="AD592" s="120"/>
      <c r="AE592" s="120"/>
      <c r="AF592" s="120"/>
      <c r="AG592" s="120"/>
      <c r="AH592" s="120"/>
      <c r="AI592" s="120"/>
      <c r="AJ592" s="120"/>
      <c r="AK592" s="120"/>
      <c r="AL592" s="121"/>
    </row>
    <row r="593" spans="1:38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0"/>
      <c r="U593" s="121"/>
      <c r="V593" s="120"/>
      <c r="W593" s="121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20"/>
      <c r="AH593" s="120"/>
      <c r="AI593" s="120"/>
      <c r="AJ593" s="120"/>
      <c r="AK593" s="120"/>
      <c r="AL593" s="121"/>
    </row>
    <row r="594" spans="1:38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0"/>
      <c r="U594" s="121"/>
      <c r="V594" s="120"/>
      <c r="W594" s="121"/>
      <c r="X594" s="120"/>
      <c r="Y594" s="120"/>
      <c r="Z594" s="120"/>
      <c r="AA594" s="120"/>
      <c r="AB594" s="120"/>
      <c r="AC594" s="120"/>
      <c r="AD594" s="120"/>
      <c r="AE594" s="120"/>
      <c r="AF594" s="120"/>
      <c r="AG594" s="120"/>
      <c r="AH594" s="120"/>
      <c r="AI594" s="120"/>
      <c r="AJ594" s="120"/>
      <c r="AK594" s="120"/>
      <c r="AL594" s="121"/>
    </row>
    <row r="595" spans="1:38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0"/>
      <c r="U595" s="121"/>
      <c r="V595" s="120"/>
      <c r="W595" s="121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120"/>
      <c r="AL595" s="121"/>
    </row>
    <row r="596" spans="1:38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0"/>
      <c r="U596" s="121"/>
      <c r="V596" s="120"/>
      <c r="W596" s="121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120"/>
      <c r="AL596" s="121"/>
    </row>
    <row r="597" spans="1:38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0"/>
      <c r="U597" s="121"/>
      <c r="V597" s="120"/>
      <c r="W597" s="121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  <c r="AJ597" s="120"/>
      <c r="AK597" s="120"/>
      <c r="AL597" s="121"/>
    </row>
    <row r="598" spans="1:38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0"/>
      <c r="U598" s="121"/>
      <c r="V598" s="120"/>
      <c r="W598" s="121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1"/>
    </row>
    <row r="599" spans="1:38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0"/>
      <c r="U599" s="121"/>
      <c r="V599" s="120"/>
      <c r="W599" s="121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1"/>
    </row>
    <row r="600" spans="1:38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0"/>
      <c r="U600" s="121"/>
      <c r="V600" s="120"/>
      <c r="W600" s="121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1"/>
    </row>
    <row r="601" spans="1:38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0"/>
      <c r="U601" s="121"/>
      <c r="V601" s="120"/>
      <c r="W601" s="121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120"/>
      <c r="AL601" s="121"/>
    </row>
    <row r="602" spans="1:38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0"/>
      <c r="U602" s="121"/>
      <c r="V602" s="120"/>
      <c r="W602" s="121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1"/>
    </row>
    <row r="603" spans="1:38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0"/>
      <c r="U603" s="121"/>
      <c r="V603" s="120"/>
      <c r="W603" s="121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1"/>
    </row>
    <row r="604" spans="1:38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0"/>
      <c r="U604" s="121"/>
      <c r="V604" s="120"/>
      <c r="W604" s="121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1"/>
    </row>
    <row r="605" spans="1:38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0"/>
      <c r="U605" s="121"/>
      <c r="V605" s="120"/>
      <c r="W605" s="121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1"/>
    </row>
    <row r="606" spans="1:38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0"/>
      <c r="U606" s="121"/>
      <c r="V606" s="120"/>
      <c r="W606" s="121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1"/>
    </row>
    <row r="607" spans="1:38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0"/>
      <c r="U607" s="121"/>
      <c r="V607" s="120"/>
      <c r="W607" s="121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1"/>
    </row>
    <row r="608" spans="1:38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0"/>
      <c r="U608" s="121"/>
      <c r="V608" s="120"/>
      <c r="W608" s="121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1"/>
    </row>
    <row r="609" spans="1:38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0"/>
      <c r="U609" s="121"/>
      <c r="V609" s="120"/>
      <c r="W609" s="121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1"/>
    </row>
    <row r="610" spans="1:38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0"/>
      <c r="U610" s="121"/>
      <c r="V610" s="120"/>
      <c r="W610" s="121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1"/>
    </row>
    <row r="611" spans="1:38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0"/>
      <c r="U611" s="121"/>
      <c r="V611" s="120"/>
      <c r="W611" s="121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1"/>
    </row>
    <row r="612" spans="1:38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0"/>
      <c r="U612" s="121"/>
      <c r="V612" s="120"/>
      <c r="W612" s="121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1"/>
    </row>
    <row r="613" spans="1:38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0"/>
      <c r="U613" s="121"/>
      <c r="V613" s="120"/>
      <c r="W613" s="121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1"/>
    </row>
    <row r="614" spans="1:38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0"/>
      <c r="U614" s="121"/>
      <c r="V614" s="120"/>
      <c r="W614" s="121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1"/>
    </row>
    <row r="615" spans="1:38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0"/>
      <c r="U615" s="121"/>
      <c r="V615" s="120"/>
      <c r="W615" s="121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1"/>
    </row>
    <row r="616" spans="1:38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0"/>
      <c r="U616" s="121"/>
      <c r="V616" s="120"/>
      <c r="W616" s="121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  <c r="AJ616" s="120"/>
      <c r="AK616" s="120"/>
      <c r="AL616" s="121"/>
    </row>
    <row r="617" spans="1:38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0"/>
      <c r="U617" s="121"/>
      <c r="V617" s="120"/>
      <c r="W617" s="121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  <c r="AJ617" s="120"/>
      <c r="AK617" s="120"/>
      <c r="AL617" s="121"/>
    </row>
    <row r="618" spans="1:38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0"/>
      <c r="U618" s="121"/>
      <c r="V618" s="120"/>
      <c r="W618" s="121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1"/>
    </row>
    <row r="619" spans="1:38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0"/>
      <c r="U619" s="121"/>
      <c r="V619" s="120"/>
      <c r="W619" s="121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1"/>
    </row>
    <row r="620" spans="1:38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0"/>
      <c r="U620" s="121"/>
      <c r="V620" s="120"/>
      <c r="W620" s="121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1"/>
    </row>
    <row r="621" spans="1:38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0"/>
      <c r="U621" s="121"/>
      <c r="V621" s="120"/>
      <c r="W621" s="121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1"/>
    </row>
    <row r="622" spans="1:38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0"/>
      <c r="U622" s="121"/>
      <c r="V622" s="120"/>
      <c r="W622" s="121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  <c r="AJ622" s="120"/>
      <c r="AK622" s="120"/>
      <c r="AL622" s="121"/>
    </row>
    <row r="623" spans="1:38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0"/>
      <c r="U623" s="121"/>
      <c r="V623" s="120"/>
      <c r="W623" s="121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1"/>
    </row>
    <row r="624" spans="1:38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0"/>
      <c r="U624" s="121"/>
      <c r="V624" s="120"/>
      <c r="W624" s="121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1"/>
    </row>
    <row r="625" spans="1:38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0"/>
      <c r="U625" s="121"/>
      <c r="V625" s="120"/>
      <c r="W625" s="121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1"/>
    </row>
    <row r="626" spans="1:38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0"/>
      <c r="U626" s="121"/>
      <c r="V626" s="120"/>
      <c r="W626" s="121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  <c r="AJ626" s="120"/>
      <c r="AK626" s="120"/>
      <c r="AL626" s="121"/>
    </row>
    <row r="627" spans="1:38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0"/>
      <c r="U627" s="121"/>
      <c r="V627" s="120"/>
      <c r="W627" s="121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  <c r="AJ627" s="120"/>
      <c r="AK627" s="120"/>
      <c r="AL627" s="121"/>
    </row>
    <row r="628" spans="1:38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0"/>
      <c r="U628" s="121"/>
      <c r="V628" s="120"/>
      <c r="W628" s="121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  <c r="AJ628" s="120"/>
      <c r="AK628" s="120"/>
      <c r="AL628" s="121"/>
    </row>
    <row r="629" spans="1:38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0"/>
      <c r="U629" s="121"/>
      <c r="V629" s="120"/>
      <c r="W629" s="121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  <c r="AJ629" s="120"/>
      <c r="AK629" s="120"/>
      <c r="AL629" s="121"/>
    </row>
    <row r="630" spans="1:38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0"/>
      <c r="U630" s="121"/>
      <c r="V630" s="120"/>
      <c r="W630" s="121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  <c r="AJ630" s="120"/>
      <c r="AK630" s="120"/>
      <c r="AL630" s="121"/>
    </row>
    <row r="631" spans="1:38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0"/>
      <c r="U631" s="121"/>
      <c r="V631" s="120"/>
      <c r="W631" s="121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  <c r="AJ631" s="120"/>
      <c r="AK631" s="120"/>
      <c r="AL631" s="121"/>
    </row>
    <row r="632" spans="1:38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0"/>
      <c r="U632" s="121"/>
      <c r="V632" s="120"/>
      <c r="W632" s="121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  <c r="AJ632" s="120"/>
      <c r="AK632" s="120"/>
      <c r="AL632" s="121"/>
    </row>
    <row r="633" spans="1:38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0"/>
      <c r="U633" s="121"/>
      <c r="V633" s="120"/>
      <c r="W633" s="121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  <c r="AJ633" s="120"/>
      <c r="AK633" s="120"/>
      <c r="AL633" s="121"/>
    </row>
    <row r="634" spans="1:38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0"/>
      <c r="U634" s="121"/>
      <c r="V634" s="120"/>
      <c r="W634" s="121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  <c r="AJ634" s="120"/>
      <c r="AK634" s="120"/>
      <c r="AL634" s="121"/>
    </row>
    <row r="635" spans="1:38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0"/>
      <c r="U635" s="121"/>
      <c r="V635" s="120"/>
      <c r="W635" s="121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  <c r="AJ635" s="120"/>
      <c r="AK635" s="120"/>
      <c r="AL635" s="121"/>
    </row>
    <row r="636" spans="1:38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0"/>
      <c r="U636" s="121"/>
      <c r="V636" s="120"/>
      <c r="W636" s="121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  <c r="AJ636" s="120"/>
      <c r="AK636" s="120"/>
      <c r="AL636" s="121"/>
    </row>
    <row r="637" spans="1:38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0"/>
      <c r="U637" s="121"/>
      <c r="V637" s="120"/>
      <c r="W637" s="121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  <c r="AJ637" s="120"/>
      <c r="AK637" s="120"/>
      <c r="AL637" s="121"/>
    </row>
    <row r="638" spans="1:38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0"/>
      <c r="U638" s="121"/>
      <c r="V638" s="120"/>
      <c r="W638" s="121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  <c r="AJ638" s="120"/>
      <c r="AK638" s="120"/>
      <c r="AL638" s="121"/>
    </row>
    <row r="639" spans="1:38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0"/>
      <c r="U639" s="121"/>
      <c r="V639" s="120"/>
      <c r="W639" s="121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1"/>
    </row>
    <row r="640" spans="1:38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0"/>
      <c r="U640" s="121"/>
      <c r="V640" s="120"/>
      <c r="W640" s="121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  <c r="AJ640" s="120"/>
      <c r="AK640" s="120"/>
      <c r="AL640" s="121"/>
    </row>
    <row r="641" spans="1:38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0"/>
      <c r="U641" s="121"/>
      <c r="V641" s="120"/>
      <c r="W641" s="121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/>
      <c r="AK641" s="120"/>
      <c r="AL641" s="121"/>
    </row>
    <row r="642" spans="1:38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0"/>
      <c r="U642" s="121"/>
      <c r="V642" s="120"/>
      <c r="W642" s="121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  <c r="AJ642" s="120"/>
      <c r="AK642" s="120"/>
      <c r="AL642" s="121"/>
    </row>
    <row r="643" spans="1:38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0"/>
      <c r="U643" s="121"/>
      <c r="V643" s="120"/>
      <c r="W643" s="121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/>
      <c r="AK643" s="120"/>
      <c r="AL643" s="121"/>
    </row>
    <row r="644" spans="1:38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0"/>
      <c r="U644" s="121"/>
      <c r="V644" s="120"/>
      <c r="W644" s="121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  <c r="AJ644" s="120"/>
      <c r="AK644" s="120"/>
      <c r="AL644" s="121"/>
    </row>
    <row r="645" spans="1:38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0"/>
      <c r="U645" s="121"/>
      <c r="V645" s="120"/>
      <c r="W645" s="121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  <c r="AJ645" s="120"/>
      <c r="AK645" s="120"/>
      <c r="AL645" s="121"/>
    </row>
    <row r="646" spans="1:38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0"/>
      <c r="U646" s="121"/>
      <c r="V646" s="120"/>
      <c r="W646" s="121"/>
      <c r="X646" s="120"/>
      <c r="Y646" s="120"/>
      <c r="Z646" s="120"/>
      <c r="AA646" s="120"/>
      <c r="AB646" s="120"/>
      <c r="AC646" s="120"/>
      <c r="AD646" s="120"/>
      <c r="AE646" s="120"/>
      <c r="AF646" s="120"/>
      <c r="AG646" s="120"/>
      <c r="AH646" s="120"/>
      <c r="AI646" s="120"/>
      <c r="AJ646" s="120"/>
      <c r="AK646" s="120"/>
      <c r="AL646" s="121"/>
    </row>
    <row r="647" spans="1:38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0"/>
      <c r="U647" s="121"/>
      <c r="V647" s="120"/>
      <c r="W647" s="121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  <c r="AJ647" s="120"/>
      <c r="AK647" s="120"/>
      <c r="AL647" s="121"/>
    </row>
    <row r="648" spans="1:38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0"/>
      <c r="U648" s="121"/>
      <c r="V648" s="120"/>
      <c r="W648" s="121"/>
      <c r="X648" s="120"/>
      <c r="Y648" s="120"/>
      <c r="Z648" s="120"/>
      <c r="AA648" s="120"/>
      <c r="AB648" s="120"/>
      <c r="AC648" s="120"/>
      <c r="AD648" s="120"/>
      <c r="AE648" s="120"/>
      <c r="AF648" s="120"/>
      <c r="AG648" s="120"/>
      <c r="AH648" s="120"/>
      <c r="AI648" s="120"/>
      <c r="AJ648" s="120"/>
      <c r="AK648" s="120"/>
      <c r="AL648" s="121"/>
    </row>
    <row r="649" spans="1:38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0"/>
      <c r="U649" s="121"/>
      <c r="V649" s="120"/>
      <c r="W649" s="121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  <c r="AJ649" s="120"/>
      <c r="AK649" s="120"/>
      <c r="AL649" s="121"/>
    </row>
    <row r="650" spans="1:38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0"/>
      <c r="U650" s="121"/>
      <c r="V650" s="120"/>
      <c r="W650" s="121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120"/>
      <c r="AI650" s="120"/>
      <c r="AJ650" s="120"/>
      <c r="AK650" s="120"/>
      <c r="AL650" s="121"/>
    </row>
    <row r="651" spans="1:38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0"/>
      <c r="U651" s="121"/>
      <c r="V651" s="120"/>
      <c r="W651" s="121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  <c r="AJ651" s="120"/>
      <c r="AK651" s="120"/>
      <c r="AL651" s="121"/>
    </row>
    <row r="652" spans="1:38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0"/>
      <c r="U652" s="121"/>
      <c r="V652" s="120"/>
      <c r="W652" s="121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  <c r="AJ652" s="120"/>
      <c r="AK652" s="120"/>
      <c r="AL652" s="121"/>
    </row>
    <row r="653" spans="1:38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0"/>
      <c r="U653" s="121"/>
      <c r="V653" s="120"/>
      <c r="W653" s="121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  <c r="AJ653" s="120"/>
      <c r="AK653" s="120"/>
      <c r="AL653" s="121"/>
    </row>
    <row r="654" spans="1:38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0"/>
      <c r="U654" s="121"/>
      <c r="V654" s="120"/>
      <c r="W654" s="121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  <c r="AJ654" s="120"/>
      <c r="AK654" s="120"/>
      <c r="AL654" s="121"/>
    </row>
    <row r="655" spans="1:38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0"/>
      <c r="U655" s="121"/>
      <c r="V655" s="120"/>
      <c r="W655" s="121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  <c r="AJ655" s="120"/>
      <c r="AK655" s="120"/>
      <c r="AL655" s="121"/>
    </row>
    <row r="656" spans="1:38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0"/>
      <c r="U656" s="121"/>
      <c r="V656" s="120"/>
      <c r="W656" s="121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  <c r="AJ656" s="120"/>
      <c r="AK656" s="120"/>
      <c r="AL656" s="121"/>
    </row>
    <row r="657" spans="1:38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0"/>
      <c r="U657" s="121"/>
      <c r="V657" s="120"/>
      <c r="W657" s="121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1"/>
    </row>
    <row r="658" spans="1:38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0"/>
      <c r="U658" s="121"/>
      <c r="V658" s="120"/>
      <c r="W658" s="121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  <c r="AJ658" s="120"/>
      <c r="AK658" s="120"/>
      <c r="AL658" s="121"/>
    </row>
    <row r="659" spans="1:38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0"/>
      <c r="U659" s="121"/>
      <c r="V659" s="120"/>
      <c r="W659" s="121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1"/>
    </row>
    <row r="660" spans="1:38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0"/>
      <c r="U660" s="121"/>
      <c r="V660" s="120"/>
      <c r="W660" s="121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  <c r="AJ660" s="120"/>
      <c r="AK660" s="120"/>
      <c r="AL660" s="121"/>
    </row>
    <row r="661" spans="1:38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0"/>
      <c r="U661" s="121"/>
      <c r="V661" s="120"/>
      <c r="W661" s="121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  <c r="AJ661" s="120"/>
      <c r="AK661" s="120"/>
      <c r="AL661" s="121"/>
    </row>
    <row r="662" spans="1:38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0"/>
      <c r="U662" s="121"/>
      <c r="V662" s="120"/>
      <c r="W662" s="121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1"/>
    </row>
    <row r="663" spans="1:38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0"/>
      <c r="U663" s="121"/>
      <c r="V663" s="120"/>
      <c r="W663" s="121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  <c r="AJ663" s="120"/>
      <c r="AK663" s="120"/>
      <c r="AL663" s="121"/>
    </row>
    <row r="664" spans="1:38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0"/>
      <c r="U664" s="121"/>
      <c r="V664" s="120"/>
      <c r="W664" s="121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  <c r="AJ664" s="120"/>
      <c r="AK664" s="120"/>
      <c r="AL664" s="121"/>
    </row>
    <row r="665" spans="1:38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0"/>
      <c r="U665" s="121"/>
      <c r="V665" s="120"/>
      <c r="W665" s="121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  <c r="AJ665" s="120"/>
      <c r="AK665" s="120"/>
      <c r="AL665" s="121"/>
    </row>
    <row r="666" spans="1:38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0"/>
      <c r="U666" s="121"/>
      <c r="V666" s="120"/>
      <c r="W666" s="121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1"/>
    </row>
    <row r="667" spans="1:38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0"/>
      <c r="U667" s="121"/>
      <c r="V667" s="120"/>
      <c r="W667" s="121"/>
      <c r="X667" s="120"/>
      <c r="Y667" s="120"/>
      <c r="Z667" s="120"/>
      <c r="AA667" s="120"/>
      <c r="AB667" s="120"/>
      <c r="AC667" s="120"/>
      <c r="AD667" s="120"/>
      <c r="AE667" s="120"/>
      <c r="AF667" s="120"/>
      <c r="AG667" s="120"/>
      <c r="AH667" s="120"/>
      <c r="AI667" s="120"/>
      <c r="AJ667" s="120"/>
      <c r="AK667" s="120"/>
      <c r="AL667" s="121"/>
    </row>
    <row r="668" spans="1:38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0"/>
      <c r="U668" s="121"/>
      <c r="V668" s="120"/>
      <c r="W668" s="121"/>
      <c r="X668" s="120"/>
      <c r="Y668" s="120"/>
      <c r="Z668" s="120"/>
      <c r="AA668" s="120"/>
      <c r="AB668" s="120"/>
      <c r="AC668" s="120"/>
      <c r="AD668" s="120"/>
      <c r="AE668" s="120"/>
      <c r="AF668" s="120"/>
      <c r="AG668" s="120"/>
      <c r="AH668" s="120"/>
      <c r="AI668" s="120"/>
      <c r="AJ668" s="120"/>
      <c r="AK668" s="120"/>
      <c r="AL668" s="121"/>
    </row>
    <row r="669" spans="1:38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0"/>
      <c r="U669" s="121"/>
      <c r="V669" s="120"/>
      <c r="W669" s="121"/>
      <c r="X669" s="120"/>
      <c r="Y669" s="120"/>
      <c r="Z669" s="120"/>
      <c r="AA669" s="120"/>
      <c r="AB669" s="120"/>
      <c r="AC669" s="120"/>
      <c r="AD669" s="120"/>
      <c r="AE669" s="120"/>
      <c r="AF669" s="120"/>
      <c r="AG669" s="120"/>
      <c r="AH669" s="120"/>
      <c r="AI669" s="120"/>
      <c r="AJ669" s="120"/>
      <c r="AK669" s="120"/>
      <c r="AL669" s="121"/>
    </row>
    <row r="670" spans="1:38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0"/>
      <c r="U670" s="121"/>
      <c r="V670" s="120"/>
      <c r="W670" s="121"/>
      <c r="X670" s="120"/>
      <c r="Y670" s="120"/>
      <c r="Z670" s="120"/>
      <c r="AA670" s="120"/>
      <c r="AB670" s="120"/>
      <c r="AC670" s="120"/>
      <c r="AD670" s="120"/>
      <c r="AE670" s="120"/>
      <c r="AF670" s="120"/>
      <c r="AG670" s="120"/>
      <c r="AH670" s="120"/>
      <c r="AI670" s="120"/>
      <c r="AJ670" s="120"/>
      <c r="AK670" s="120"/>
      <c r="AL670" s="121"/>
    </row>
    <row r="671" spans="1:38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0"/>
      <c r="U671" s="121"/>
      <c r="V671" s="120"/>
      <c r="W671" s="121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  <c r="AJ671" s="120"/>
      <c r="AK671" s="120"/>
      <c r="AL671" s="121"/>
    </row>
    <row r="672" spans="1:38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0"/>
      <c r="U672" s="121"/>
      <c r="V672" s="120"/>
      <c r="W672" s="121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  <c r="AJ672" s="120"/>
      <c r="AK672" s="120"/>
      <c r="AL672" s="121"/>
    </row>
    <row r="673" spans="1:38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0"/>
      <c r="U673" s="121"/>
      <c r="V673" s="120"/>
      <c r="W673" s="121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  <c r="AJ673" s="120"/>
      <c r="AK673" s="120"/>
      <c r="AL673" s="121"/>
    </row>
    <row r="674" spans="1:38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0"/>
      <c r="U674" s="121"/>
      <c r="V674" s="120"/>
      <c r="W674" s="121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  <c r="AJ674" s="120"/>
      <c r="AK674" s="120"/>
      <c r="AL674" s="121"/>
    </row>
    <row r="675" spans="1:38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0"/>
      <c r="U675" s="121"/>
      <c r="V675" s="120"/>
      <c r="W675" s="121"/>
      <c r="X675" s="120"/>
      <c r="Y675" s="120"/>
      <c r="Z675" s="120"/>
      <c r="AA675" s="120"/>
      <c r="AB675" s="120"/>
      <c r="AC675" s="120"/>
      <c r="AD675" s="120"/>
      <c r="AE675" s="120"/>
      <c r="AF675" s="120"/>
      <c r="AG675" s="120"/>
      <c r="AH675" s="120"/>
      <c r="AI675" s="120"/>
      <c r="AJ675" s="120"/>
      <c r="AK675" s="120"/>
      <c r="AL675" s="121"/>
    </row>
    <row r="676" spans="1:38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0"/>
      <c r="U676" s="121"/>
      <c r="V676" s="120"/>
      <c r="W676" s="121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  <c r="AJ676" s="120"/>
      <c r="AK676" s="120"/>
      <c r="AL676" s="121"/>
    </row>
    <row r="677" spans="1:38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0"/>
      <c r="U677" s="121"/>
      <c r="V677" s="120"/>
      <c r="W677" s="121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  <c r="AJ677" s="120"/>
      <c r="AK677" s="120"/>
      <c r="AL677" s="121"/>
    </row>
    <row r="678" spans="1:38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0"/>
      <c r="U678" s="121"/>
      <c r="V678" s="120"/>
      <c r="W678" s="121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  <c r="AJ678" s="120"/>
      <c r="AK678" s="120"/>
      <c r="AL678" s="121"/>
    </row>
    <row r="679" spans="1:38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0"/>
      <c r="U679" s="121"/>
      <c r="V679" s="120"/>
      <c r="W679" s="121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1"/>
    </row>
    <row r="680" spans="1:38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0"/>
      <c r="U680" s="121"/>
      <c r="V680" s="120"/>
      <c r="W680" s="121"/>
      <c r="X680" s="120"/>
      <c r="Y680" s="120"/>
      <c r="Z680" s="120"/>
      <c r="AA680" s="120"/>
      <c r="AB680" s="120"/>
      <c r="AC680" s="120"/>
      <c r="AD680" s="120"/>
      <c r="AE680" s="120"/>
      <c r="AF680" s="120"/>
      <c r="AG680" s="120"/>
      <c r="AH680" s="120"/>
      <c r="AI680" s="120"/>
      <c r="AJ680" s="120"/>
      <c r="AK680" s="120"/>
      <c r="AL680" s="121"/>
    </row>
    <row r="681" spans="1:38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0"/>
      <c r="U681" s="121"/>
      <c r="V681" s="120"/>
      <c r="W681" s="121"/>
      <c r="X681" s="120"/>
      <c r="Y681" s="120"/>
      <c r="Z681" s="120"/>
      <c r="AA681" s="120"/>
      <c r="AB681" s="120"/>
      <c r="AC681" s="120"/>
      <c r="AD681" s="120"/>
      <c r="AE681" s="120"/>
      <c r="AF681" s="120"/>
      <c r="AG681" s="120"/>
      <c r="AH681" s="120"/>
      <c r="AI681" s="120"/>
      <c r="AJ681" s="120"/>
      <c r="AK681" s="120"/>
      <c r="AL681" s="121"/>
    </row>
    <row r="682" spans="1:38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0"/>
      <c r="U682" s="121"/>
      <c r="V682" s="120"/>
      <c r="W682" s="121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  <c r="AJ682" s="120"/>
      <c r="AK682" s="120"/>
      <c r="AL682" s="121"/>
    </row>
    <row r="683" spans="1:38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0"/>
      <c r="U683" s="121"/>
      <c r="V683" s="120"/>
      <c r="W683" s="121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  <c r="AJ683" s="120"/>
      <c r="AK683" s="120"/>
      <c r="AL683" s="121"/>
    </row>
    <row r="684" spans="1:38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0"/>
      <c r="U684" s="121"/>
      <c r="V684" s="120"/>
      <c r="W684" s="121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  <c r="AJ684" s="120"/>
      <c r="AK684" s="120"/>
      <c r="AL684" s="121"/>
    </row>
    <row r="685" spans="1:38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0"/>
      <c r="U685" s="121"/>
      <c r="V685" s="120"/>
      <c r="W685" s="121"/>
      <c r="X685" s="120"/>
      <c r="Y685" s="120"/>
      <c r="Z685" s="120"/>
      <c r="AA685" s="120"/>
      <c r="AB685" s="120"/>
      <c r="AC685" s="120"/>
      <c r="AD685" s="120"/>
      <c r="AE685" s="120"/>
      <c r="AF685" s="120"/>
      <c r="AG685" s="120"/>
      <c r="AH685" s="120"/>
      <c r="AI685" s="120"/>
      <c r="AJ685" s="120"/>
      <c r="AK685" s="120"/>
      <c r="AL685" s="121"/>
    </row>
    <row r="686" spans="1:38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0"/>
      <c r="U686" s="121"/>
      <c r="V686" s="120"/>
      <c r="W686" s="121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  <c r="AJ686" s="120"/>
      <c r="AK686" s="120"/>
      <c r="AL686" s="121"/>
    </row>
    <row r="687" spans="1:38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0"/>
      <c r="U687" s="121"/>
      <c r="V687" s="120"/>
      <c r="W687" s="121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  <c r="AJ687" s="120"/>
      <c r="AK687" s="120"/>
      <c r="AL687" s="121"/>
    </row>
    <row r="688" spans="1:38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0"/>
      <c r="U688" s="121"/>
      <c r="V688" s="120"/>
      <c r="W688" s="121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  <c r="AJ688" s="120"/>
      <c r="AK688" s="120"/>
      <c r="AL688" s="121"/>
    </row>
    <row r="689" spans="1:38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0"/>
      <c r="U689" s="121"/>
      <c r="V689" s="120"/>
      <c r="W689" s="121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  <c r="AJ689" s="120"/>
      <c r="AK689" s="120"/>
      <c r="AL689" s="121"/>
    </row>
    <row r="690" spans="1:38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0"/>
      <c r="U690" s="121"/>
      <c r="V690" s="120"/>
      <c r="W690" s="121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  <c r="AJ690" s="120"/>
      <c r="AK690" s="120"/>
      <c r="AL690" s="121"/>
    </row>
    <row r="691" spans="1:38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0"/>
      <c r="U691" s="121"/>
      <c r="V691" s="120"/>
      <c r="W691" s="121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  <c r="AJ691" s="120"/>
      <c r="AK691" s="120"/>
      <c r="AL691" s="121"/>
    </row>
    <row r="692" spans="1:38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0"/>
      <c r="U692" s="121"/>
      <c r="V692" s="120"/>
      <c r="W692" s="121"/>
      <c r="X692" s="120"/>
      <c r="Y692" s="120"/>
      <c r="Z692" s="120"/>
      <c r="AA692" s="120"/>
      <c r="AB692" s="120"/>
      <c r="AC692" s="120"/>
      <c r="AD692" s="120"/>
      <c r="AE692" s="120"/>
      <c r="AF692" s="120"/>
      <c r="AG692" s="120"/>
      <c r="AH692" s="120"/>
      <c r="AI692" s="120"/>
      <c r="AJ692" s="120"/>
      <c r="AK692" s="120"/>
      <c r="AL692" s="121"/>
    </row>
    <row r="693" spans="1:38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0"/>
      <c r="U693" s="121"/>
      <c r="V693" s="120"/>
      <c r="W693" s="121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  <c r="AJ693" s="120"/>
      <c r="AK693" s="120"/>
      <c r="AL693" s="121"/>
    </row>
    <row r="694" spans="1:38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0"/>
      <c r="U694" s="121"/>
      <c r="V694" s="120"/>
      <c r="W694" s="121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  <c r="AJ694" s="120"/>
      <c r="AK694" s="120"/>
      <c r="AL694" s="121"/>
    </row>
    <row r="695" spans="1:38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0"/>
      <c r="U695" s="121"/>
      <c r="V695" s="120"/>
      <c r="W695" s="121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1"/>
    </row>
    <row r="696" spans="1:38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0"/>
      <c r="U696" s="121"/>
      <c r="V696" s="120"/>
      <c r="W696" s="121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1"/>
    </row>
    <row r="697" spans="1:38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0"/>
      <c r="U697" s="121"/>
      <c r="V697" s="120"/>
      <c r="W697" s="121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  <c r="AJ697" s="120"/>
      <c r="AK697" s="120"/>
      <c r="AL697" s="121"/>
    </row>
    <row r="698" spans="1:38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0"/>
      <c r="U698" s="121"/>
      <c r="V698" s="120"/>
      <c r="W698" s="121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1"/>
    </row>
    <row r="699" spans="1:38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0"/>
      <c r="U699" s="121"/>
      <c r="V699" s="120"/>
      <c r="W699" s="121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1"/>
    </row>
    <row r="700" spans="1:38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0"/>
      <c r="U700" s="121"/>
      <c r="V700" s="120"/>
      <c r="W700" s="121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1"/>
    </row>
    <row r="701" spans="1:38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0"/>
      <c r="U701" s="121"/>
      <c r="V701" s="120"/>
      <c r="W701" s="121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  <c r="AJ701" s="120"/>
      <c r="AK701" s="120"/>
      <c r="AL701" s="121"/>
    </row>
    <row r="702" spans="1:38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0"/>
      <c r="U702" s="121"/>
      <c r="V702" s="120"/>
      <c r="W702" s="121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  <c r="AJ702" s="120"/>
      <c r="AK702" s="120"/>
      <c r="AL702" s="121"/>
    </row>
    <row r="703" spans="1:38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0"/>
      <c r="U703" s="121"/>
      <c r="V703" s="120"/>
      <c r="W703" s="121"/>
      <c r="X703" s="120"/>
      <c r="Y703" s="120"/>
      <c r="Z703" s="120"/>
      <c r="AA703" s="120"/>
      <c r="AB703" s="120"/>
      <c r="AC703" s="120"/>
      <c r="AD703" s="120"/>
      <c r="AE703" s="120"/>
      <c r="AF703" s="120"/>
      <c r="AG703" s="120"/>
      <c r="AH703" s="120"/>
      <c r="AI703" s="120"/>
      <c r="AJ703" s="120"/>
      <c r="AK703" s="120"/>
      <c r="AL703" s="121"/>
    </row>
    <row r="704" spans="1:38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0"/>
      <c r="U704" s="121"/>
      <c r="V704" s="120"/>
      <c r="W704" s="121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  <c r="AJ704" s="120"/>
      <c r="AK704" s="120"/>
      <c r="AL704" s="121"/>
    </row>
    <row r="705" spans="1:38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0"/>
      <c r="U705" s="121"/>
      <c r="V705" s="120"/>
      <c r="W705" s="121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  <c r="AJ705" s="120"/>
      <c r="AK705" s="120"/>
      <c r="AL705" s="121"/>
    </row>
    <row r="706" spans="1:38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0"/>
      <c r="U706" s="121"/>
      <c r="V706" s="120"/>
      <c r="W706" s="121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  <c r="AJ706" s="120"/>
      <c r="AK706" s="120"/>
      <c r="AL706" s="121"/>
    </row>
    <row r="707" spans="1:38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0"/>
      <c r="U707" s="121"/>
      <c r="V707" s="120"/>
      <c r="W707" s="121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  <c r="AJ707" s="120"/>
      <c r="AK707" s="120"/>
      <c r="AL707" s="121"/>
    </row>
    <row r="708" spans="1:38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0"/>
      <c r="U708" s="121"/>
      <c r="V708" s="120"/>
      <c r="W708" s="121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0"/>
      <c r="AI708" s="120"/>
      <c r="AJ708" s="120"/>
      <c r="AK708" s="120"/>
      <c r="AL708" s="121"/>
    </row>
    <row r="709" spans="1:38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0"/>
      <c r="U709" s="121"/>
      <c r="V709" s="120"/>
      <c r="W709" s="121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  <c r="AJ709" s="120"/>
      <c r="AK709" s="120"/>
      <c r="AL709" s="121"/>
    </row>
    <row r="710" spans="1:38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0"/>
      <c r="U710" s="121"/>
      <c r="V710" s="120"/>
      <c r="W710" s="121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  <c r="AJ710" s="120"/>
      <c r="AK710" s="120"/>
      <c r="AL710" s="121"/>
    </row>
    <row r="711" spans="1:38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0"/>
      <c r="U711" s="121"/>
      <c r="V711" s="120"/>
      <c r="W711" s="121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  <c r="AJ711" s="120"/>
      <c r="AK711" s="120"/>
      <c r="AL711" s="121"/>
    </row>
    <row r="712" spans="1:38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0"/>
      <c r="U712" s="121"/>
      <c r="V712" s="120"/>
      <c r="W712" s="121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  <c r="AJ712" s="120"/>
      <c r="AK712" s="120"/>
      <c r="AL712" s="121"/>
    </row>
    <row r="713" spans="1:38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0"/>
      <c r="U713" s="121"/>
      <c r="V713" s="120"/>
      <c r="W713" s="121"/>
      <c r="X713" s="120"/>
      <c r="Y713" s="120"/>
      <c r="Z713" s="120"/>
      <c r="AA713" s="120"/>
      <c r="AB713" s="120"/>
      <c r="AC713" s="120"/>
      <c r="AD713" s="120"/>
      <c r="AE713" s="120"/>
      <c r="AF713" s="120"/>
      <c r="AG713" s="120"/>
      <c r="AH713" s="120"/>
      <c r="AI713" s="120"/>
      <c r="AJ713" s="120"/>
      <c r="AK713" s="120"/>
      <c r="AL713" s="121"/>
    </row>
    <row r="714" spans="1:38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0"/>
      <c r="U714" s="121"/>
      <c r="V714" s="120"/>
      <c r="W714" s="121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  <c r="AJ714" s="120"/>
      <c r="AK714" s="120"/>
      <c r="AL714" s="121"/>
    </row>
    <row r="715" spans="1:38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0"/>
      <c r="U715" s="121"/>
      <c r="V715" s="120"/>
      <c r="W715" s="121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  <c r="AJ715" s="120"/>
      <c r="AK715" s="120"/>
      <c r="AL715" s="121"/>
    </row>
    <row r="716" spans="1:38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0"/>
      <c r="U716" s="121"/>
      <c r="V716" s="120"/>
      <c r="W716" s="121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  <c r="AJ716" s="120"/>
      <c r="AK716" s="120"/>
      <c r="AL716" s="121"/>
    </row>
    <row r="717" spans="1:38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0"/>
      <c r="U717" s="121"/>
      <c r="V717" s="120"/>
      <c r="W717" s="121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  <c r="AJ717" s="120"/>
      <c r="AK717" s="120"/>
      <c r="AL717" s="121"/>
    </row>
    <row r="718" spans="1:38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0"/>
      <c r="U718" s="121"/>
      <c r="V718" s="120"/>
      <c r="W718" s="121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  <c r="AJ718" s="120"/>
      <c r="AK718" s="120"/>
      <c r="AL718" s="121"/>
    </row>
    <row r="719" spans="1:38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0"/>
      <c r="U719" s="121"/>
      <c r="V719" s="120"/>
      <c r="W719" s="121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  <c r="AJ719" s="120"/>
      <c r="AK719" s="120"/>
      <c r="AL719" s="121"/>
    </row>
    <row r="720" spans="1:38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0"/>
      <c r="U720" s="121"/>
      <c r="V720" s="120"/>
      <c r="W720" s="121"/>
      <c r="X720" s="120"/>
      <c r="Y720" s="120"/>
      <c r="Z720" s="120"/>
      <c r="AA720" s="120"/>
      <c r="AB720" s="120"/>
      <c r="AC720" s="120"/>
      <c r="AD720" s="120"/>
      <c r="AE720" s="120"/>
      <c r="AF720" s="120"/>
      <c r="AG720" s="120"/>
      <c r="AH720" s="120"/>
      <c r="AI720" s="120"/>
      <c r="AJ720" s="120"/>
      <c r="AK720" s="120"/>
      <c r="AL720" s="121"/>
    </row>
    <row r="721" spans="1:38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0"/>
      <c r="U721" s="121"/>
      <c r="V721" s="120"/>
      <c r="W721" s="121"/>
      <c r="X721" s="120"/>
      <c r="Y721" s="120"/>
      <c r="Z721" s="120"/>
      <c r="AA721" s="120"/>
      <c r="AB721" s="120"/>
      <c r="AC721" s="120"/>
      <c r="AD721" s="120"/>
      <c r="AE721" s="120"/>
      <c r="AF721" s="120"/>
      <c r="AG721" s="120"/>
      <c r="AH721" s="120"/>
      <c r="AI721" s="120"/>
      <c r="AJ721" s="120"/>
      <c r="AK721" s="120"/>
      <c r="AL721" s="121"/>
    </row>
    <row r="722" spans="1:38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0"/>
      <c r="U722" s="121"/>
      <c r="V722" s="120"/>
      <c r="W722" s="121"/>
      <c r="X722" s="120"/>
      <c r="Y722" s="120"/>
      <c r="Z722" s="120"/>
      <c r="AA722" s="120"/>
      <c r="AB722" s="120"/>
      <c r="AC722" s="120"/>
      <c r="AD722" s="120"/>
      <c r="AE722" s="120"/>
      <c r="AF722" s="120"/>
      <c r="AG722" s="120"/>
      <c r="AH722" s="120"/>
      <c r="AI722" s="120"/>
      <c r="AJ722" s="120"/>
      <c r="AK722" s="120"/>
      <c r="AL722" s="121"/>
    </row>
    <row r="723" spans="1:38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0"/>
      <c r="U723" s="121"/>
      <c r="V723" s="120"/>
      <c r="W723" s="121"/>
      <c r="X723" s="120"/>
      <c r="Y723" s="120"/>
      <c r="Z723" s="120"/>
      <c r="AA723" s="120"/>
      <c r="AB723" s="120"/>
      <c r="AC723" s="120"/>
      <c r="AD723" s="120"/>
      <c r="AE723" s="120"/>
      <c r="AF723" s="120"/>
      <c r="AG723" s="120"/>
      <c r="AH723" s="120"/>
      <c r="AI723" s="120"/>
      <c r="AJ723" s="120"/>
      <c r="AK723" s="120"/>
      <c r="AL723" s="121"/>
    </row>
    <row r="724" spans="1:38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0"/>
      <c r="U724" s="121"/>
      <c r="V724" s="120"/>
      <c r="W724" s="121"/>
      <c r="X724" s="120"/>
      <c r="Y724" s="120"/>
      <c r="Z724" s="120"/>
      <c r="AA724" s="120"/>
      <c r="AB724" s="120"/>
      <c r="AC724" s="120"/>
      <c r="AD724" s="120"/>
      <c r="AE724" s="120"/>
      <c r="AF724" s="120"/>
      <c r="AG724" s="120"/>
      <c r="AH724" s="120"/>
      <c r="AI724" s="120"/>
      <c r="AJ724" s="120"/>
      <c r="AK724" s="120"/>
      <c r="AL724" s="121"/>
    </row>
    <row r="725" spans="1:38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0"/>
      <c r="U725" s="121"/>
      <c r="V725" s="120"/>
      <c r="W725" s="121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  <c r="AJ725" s="120"/>
      <c r="AK725" s="120"/>
      <c r="AL725" s="121"/>
    </row>
    <row r="726" spans="1:38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0"/>
      <c r="U726" s="121"/>
      <c r="V726" s="120"/>
      <c r="W726" s="121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  <c r="AJ726" s="120"/>
      <c r="AK726" s="120"/>
      <c r="AL726" s="121"/>
    </row>
    <row r="727" spans="1:38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0"/>
      <c r="U727" s="121"/>
      <c r="V727" s="120"/>
      <c r="W727" s="121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  <c r="AJ727" s="120"/>
      <c r="AK727" s="120"/>
      <c r="AL727" s="121"/>
    </row>
    <row r="728" spans="1:38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0"/>
      <c r="U728" s="121"/>
      <c r="V728" s="120"/>
      <c r="W728" s="121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1"/>
    </row>
    <row r="729" spans="1:38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0"/>
      <c r="U729" s="121"/>
      <c r="V729" s="120"/>
      <c r="W729" s="121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  <c r="AJ729" s="120"/>
      <c r="AK729" s="120"/>
      <c r="AL729" s="121"/>
    </row>
    <row r="730" spans="1:38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0"/>
      <c r="U730" s="121"/>
      <c r="V730" s="120"/>
      <c r="W730" s="121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  <c r="AJ730" s="120"/>
      <c r="AK730" s="120"/>
      <c r="AL730" s="121"/>
    </row>
    <row r="731" spans="1:38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0"/>
      <c r="U731" s="121"/>
      <c r="V731" s="120"/>
      <c r="W731" s="121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  <c r="AJ731" s="120"/>
      <c r="AK731" s="120"/>
      <c r="AL731" s="121"/>
    </row>
    <row r="732" spans="1:38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0"/>
      <c r="U732" s="121"/>
      <c r="V732" s="120"/>
      <c r="W732" s="121"/>
      <c r="X732" s="120"/>
      <c r="Y732" s="120"/>
      <c r="Z732" s="120"/>
      <c r="AA732" s="120"/>
      <c r="AB732" s="120"/>
      <c r="AC732" s="120"/>
      <c r="AD732" s="120"/>
      <c r="AE732" s="120"/>
      <c r="AF732" s="120"/>
      <c r="AG732" s="120"/>
      <c r="AH732" s="120"/>
      <c r="AI732" s="120"/>
      <c r="AJ732" s="120"/>
      <c r="AK732" s="120"/>
      <c r="AL732" s="121"/>
    </row>
    <row r="733" spans="1:38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0"/>
      <c r="U733" s="121"/>
      <c r="V733" s="120"/>
      <c r="W733" s="121"/>
      <c r="X733" s="120"/>
      <c r="Y733" s="120"/>
      <c r="Z733" s="120"/>
      <c r="AA733" s="120"/>
      <c r="AB733" s="120"/>
      <c r="AC733" s="120"/>
      <c r="AD733" s="120"/>
      <c r="AE733" s="120"/>
      <c r="AF733" s="120"/>
      <c r="AG733" s="120"/>
      <c r="AH733" s="120"/>
      <c r="AI733" s="120"/>
      <c r="AJ733" s="120"/>
      <c r="AK733" s="120"/>
      <c r="AL733" s="121"/>
    </row>
    <row r="734" spans="1:38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0"/>
      <c r="U734" s="121"/>
      <c r="V734" s="120"/>
      <c r="W734" s="121"/>
      <c r="X734" s="120"/>
      <c r="Y734" s="120"/>
      <c r="Z734" s="120"/>
      <c r="AA734" s="120"/>
      <c r="AB734" s="120"/>
      <c r="AC734" s="120"/>
      <c r="AD734" s="120"/>
      <c r="AE734" s="120"/>
      <c r="AF734" s="120"/>
      <c r="AG734" s="120"/>
      <c r="AH734" s="120"/>
      <c r="AI734" s="120"/>
      <c r="AJ734" s="120"/>
      <c r="AK734" s="120"/>
      <c r="AL734" s="121"/>
    </row>
    <row r="735" spans="1:38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0"/>
      <c r="U735" s="121"/>
      <c r="V735" s="120"/>
      <c r="W735" s="121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  <c r="AJ735" s="120"/>
      <c r="AK735" s="120"/>
      <c r="AL735" s="121"/>
    </row>
    <row r="736" spans="1:38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0"/>
      <c r="U736" s="121"/>
      <c r="V736" s="120"/>
      <c r="W736" s="121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  <c r="AJ736" s="120"/>
      <c r="AK736" s="120"/>
      <c r="AL736" s="121"/>
    </row>
    <row r="737" spans="1:38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0"/>
      <c r="U737" s="121"/>
      <c r="V737" s="120"/>
      <c r="W737" s="121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  <c r="AJ737" s="120"/>
      <c r="AK737" s="120"/>
      <c r="AL737" s="121"/>
    </row>
    <row r="738" spans="1:38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0"/>
      <c r="U738" s="121"/>
      <c r="V738" s="120"/>
      <c r="W738" s="121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  <c r="AJ738" s="120"/>
      <c r="AK738" s="120"/>
      <c r="AL738" s="121"/>
    </row>
    <row r="739" spans="1:38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0"/>
      <c r="U739" s="121"/>
      <c r="V739" s="120"/>
      <c r="W739" s="121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1"/>
    </row>
    <row r="740" spans="1:38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0"/>
      <c r="U740" s="121"/>
      <c r="V740" s="120"/>
      <c r="W740" s="121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  <c r="AJ740" s="120"/>
      <c r="AK740" s="120"/>
      <c r="AL740" s="121"/>
    </row>
    <row r="741" spans="1:38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0"/>
      <c r="U741" s="121"/>
      <c r="V741" s="120"/>
      <c r="W741" s="121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  <c r="AJ741" s="120"/>
      <c r="AK741" s="120"/>
      <c r="AL741" s="121"/>
    </row>
    <row r="742" spans="1:38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0"/>
      <c r="U742" s="121"/>
      <c r="V742" s="120"/>
      <c r="W742" s="121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  <c r="AJ742" s="120"/>
      <c r="AK742" s="120"/>
      <c r="AL742" s="121"/>
    </row>
    <row r="743" spans="1:38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0"/>
      <c r="U743" s="121"/>
      <c r="V743" s="120"/>
      <c r="W743" s="121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  <c r="AJ743" s="120"/>
      <c r="AK743" s="120"/>
      <c r="AL743" s="121"/>
    </row>
    <row r="744" spans="1:38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0"/>
      <c r="U744" s="121"/>
      <c r="V744" s="120"/>
      <c r="W744" s="121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1"/>
    </row>
    <row r="745" spans="1:38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0"/>
      <c r="U745" s="121"/>
      <c r="V745" s="120"/>
      <c r="W745" s="121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1"/>
    </row>
    <row r="746" spans="1:38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0"/>
      <c r="U746" s="121"/>
      <c r="V746" s="120"/>
      <c r="W746" s="121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  <c r="AJ746" s="120"/>
      <c r="AK746" s="120"/>
      <c r="AL746" s="121"/>
    </row>
    <row r="747" spans="1:38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0"/>
      <c r="U747" s="121"/>
      <c r="V747" s="120"/>
      <c r="W747" s="121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  <c r="AJ747" s="120"/>
      <c r="AK747" s="120"/>
      <c r="AL747" s="121"/>
    </row>
    <row r="748" spans="1:38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0"/>
      <c r="U748" s="121"/>
      <c r="V748" s="120"/>
      <c r="W748" s="121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  <c r="AJ748" s="120"/>
      <c r="AK748" s="120"/>
      <c r="AL748" s="121"/>
    </row>
    <row r="749" spans="1:38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0"/>
      <c r="U749" s="121"/>
      <c r="V749" s="120"/>
      <c r="W749" s="121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  <c r="AJ749" s="120"/>
      <c r="AK749" s="120"/>
      <c r="AL749" s="121"/>
    </row>
    <row r="750" spans="1:38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0"/>
      <c r="U750" s="121"/>
      <c r="V750" s="120"/>
      <c r="W750" s="121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  <c r="AJ750" s="120"/>
      <c r="AK750" s="120"/>
      <c r="AL750" s="121"/>
    </row>
    <row r="751" spans="1:38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0"/>
      <c r="U751" s="121"/>
      <c r="V751" s="120"/>
      <c r="W751" s="121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1"/>
    </row>
    <row r="752" spans="1:38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0"/>
      <c r="U752" s="121"/>
      <c r="V752" s="120"/>
      <c r="W752" s="121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  <c r="AJ752" s="120"/>
      <c r="AK752" s="120"/>
      <c r="AL752" s="121"/>
    </row>
    <row r="753" spans="1:38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0"/>
      <c r="U753" s="121"/>
      <c r="V753" s="120"/>
      <c r="W753" s="121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  <c r="AJ753" s="120"/>
      <c r="AK753" s="120"/>
      <c r="AL753" s="121"/>
    </row>
    <row r="754" spans="1:38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0"/>
      <c r="U754" s="121"/>
      <c r="V754" s="120"/>
      <c r="W754" s="121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  <c r="AJ754" s="120"/>
      <c r="AK754" s="120"/>
      <c r="AL754" s="121"/>
    </row>
    <row r="755" spans="1:38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0"/>
      <c r="U755" s="121"/>
      <c r="V755" s="120"/>
      <c r="W755" s="121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  <c r="AJ755" s="120"/>
      <c r="AK755" s="120"/>
      <c r="AL755" s="121"/>
    </row>
    <row r="756" spans="1:38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0"/>
      <c r="U756" s="121"/>
      <c r="V756" s="120"/>
      <c r="W756" s="121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  <c r="AJ756" s="120"/>
      <c r="AK756" s="120"/>
      <c r="AL756" s="121"/>
    </row>
    <row r="757" spans="1:38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0"/>
      <c r="U757" s="121"/>
      <c r="V757" s="120"/>
      <c r="W757" s="121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  <c r="AJ757" s="120"/>
      <c r="AK757" s="120"/>
      <c r="AL757" s="121"/>
    </row>
    <row r="758" spans="1:38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0"/>
      <c r="U758" s="121"/>
      <c r="V758" s="120"/>
      <c r="W758" s="121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  <c r="AJ758" s="120"/>
      <c r="AK758" s="120"/>
      <c r="AL758" s="121"/>
    </row>
    <row r="759" spans="1:38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0"/>
      <c r="U759" s="121"/>
      <c r="V759" s="120"/>
      <c r="W759" s="121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1"/>
    </row>
    <row r="760" spans="1:38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0"/>
      <c r="U760" s="121"/>
      <c r="V760" s="120"/>
      <c r="W760" s="121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  <c r="AJ760" s="120"/>
      <c r="AK760" s="120"/>
      <c r="AL760" s="121"/>
    </row>
    <row r="761" spans="1:38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0"/>
      <c r="U761" s="121"/>
      <c r="V761" s="120"/>
      <c r="W761" s="121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  <c r="AJ761" s="120"/>
      <c r="AK761" s="120"/>
      <c r="AL761" s="121"/>
    </row>
    <row r="762" spans="1:38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0"/>
      <c r="U762" s="121"/>
      <c r="V762" s="120"/>
      <c r="W762" s="121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  <c r="AJ762" s="120"/>
      <c r="AK762" s="120"/>
      <c r="AL762" s="121"/>
    </row>
    <row r="763" spans="1:38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0"/>
      <c r="U763" s="121"/>
      <c r="V763" s="120"/>
      <c r="W763" s="121"/>
      <c r="X763" s="120"/>
      <c r="Y763" s="120"/>
      <c r="Z763" s="120"/>
      <c r="AA763" s="120"/>
      <c r="AB763" s="120"/>
      <c r="AC763" s="120"/>
      <c r="AD763" s="120"/>
      <c r="AE763" s="120"/>
      <c r="AF763" s="120"/>
      <c r="AG763" s="120"/>
      <c r="AH763" s="120"/>
      <c r="AI763" s="120"/>
      <c r="AJ763" s="120"/>
      <c r="AK763" s="120"/>
      <c r="AL763" s="121"/>
    </row>
    <row r="764" spans="1:38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0"/>
      <c r="U764" s="121"/>
      <c r="V764" s="120"/>
      <c r="W764" s="121"/>
      <c r="X764" s="120"/>
      <c r="Y764" s="120"/>
      <c r="Z764" s="120"/>
      <c r="AA764" s="120"/>
      <c r="AB764" s="120"/>
      <c r="AC764" s="120"/>
      <c r="AD764" s="120"/>
      <c r="AE764" s="120"/>
      <c r="AF764" s="120"/>
      <c r="AG764" s="120"/>
      <c r="AH764" s="120"/>
      <c r="AI764" s="120"/>
      <c r="AJ764" s="120"/>
      <c r="AK764" s="120"/>
      <c r="AL764" s="121"/>
    </row>
    <row r="765" spans="1:38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0"/>
      <c r="U765" s="121"/>
      <c r="V765" s="120"/>
      <c r="W765" s="121"/>
      <c r="X765" s="120"/>
      <c r="Y765" s="120"/>
      <c r="Z765" s="120"/>
      <c r="AA765" s="120"/>
      <c r="AB765" s="120"/>
      <c r="AC765" s="120"/>
      <c r="AD765" s="120"/>
      <c r="AE765" s="120"/>
      <c r="AF765" s="120"/>
      <c r="AG765" s="120"/>
      <c r="AH765" s="120"/>
      <c r="AI765" s="120"/>
      <c r="AJ765" s="120"/>
      <c r="AK765" s="120"/>
      <c r="AL765" s="121"/>
    </row>
    <row r="766" spans="1:38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0"/>
      <c r="U766" s="121"/>
      <c r="V766" s="120"/>
      <c r="W766" s="121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  <c r="AJ766" s="120"/>
      <c r="AK766" s="120"/>
      <c r="AL766" s="121"/>
    </row>
    <row r="767" spans="1:38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0"/>
      <c r="U767" s="121"/>
      <c r="V767" s="120"/>
      <c r="W767" s="121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  <c r="AJ767" s="120"/>
      <c r="AK767" s="120"/>
      <c r="AL767" s="121"/>
    </row>
    <row r="768" spans="1:38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0"/>
      <c r="U768" s="121"/>
      <c r="V768" s="120"/>
      <c r="W768" s="121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  <c r="AJ768" s="120"/>
      <c r="AK768" s="120"/>
      <c r="AL768" s="121"/>
    </row>
    <row r="769" spans="1:38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0"/>
      <c r="U769" s="121"/>
      <c r="V769" s="120"/>
      <c r="W769" s="121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  <c r="AJ769" s="120"/>
      <c r="AK769" s="120"/>
      <c r="AL769" s="121"/>
    </row>
    <row r="770" spans="1:38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0"/>
      <c r="U770" s="121"/>
      <c r="V770" s="120"/>
      <c r="W770" s="121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  <c r="AJ770" s="120"/>
      <c r="AK770" s="120"/>
      <c r="AL770" s="121"/>
    </row>
    <row r="771" spans="1:38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0"/>
      <c r="U771" s="121"/>
      <c r="V771" s="120"/>
      <c r="W771" s="121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  <c r="AJ771" s="120"/>
      <c r="AK771" s="120"/>
      <c r="AL771" s="121"/>
    </row>
    <row r="772" spans="1:38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0"/>
      <c r="U772" s="121"/>
      <c r="V772" s="120"/>
      <c r="W772" s="121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  <c r="AJ772" s="120"/>
      <c r="AK772" s="120"/>
      <c r="AL772" s="121"/>
    </row>
    <row r="773" spans="1:38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0"/>
      <c r="U773" s="121"/>
      <c r="V773" s="120"/>
      <c r="W773" s="121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  <c r="AJ773" s="120"/>
      <c r="AK773" s="120"/>
      <c r="AL773" s="121"/>
    </row>
    <row r="774" spans="1:38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0"/>
      <c r="U774" s="121"/>
      <c r="V774" s="120"/>
      <c r="W774" s="121"/>
      <c r="X774" s="120"/>
      <c r="Y774" s="120"/>
      <c r="Z774" s="120"/>
      <c r="AA774" s="120"/>
      <c r="AB774" s="120"/>
      <c r="AC774" s="120"/>
      <c r="AD774" s="120"/>
      <c r="AE774" s="120"/>
      <c r="AF774" s="120"/>
      <c r="AG774" s="120"/>
      <c r="AH774" s="120"/>
      <c r="AI774" s="120"/>
      <c r="AJ774" s="120"/>
      <c r="AK774" s="120"/>
      <c r="AL774" s="121"/>
    </row>
    <row r="775" spans="1:38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0"/>
      <c r="U775" s="121"/>
      <c r="V775" s="120"/>
      <c r="W775" s="121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  <c r="AJ775" s="120"/>
      <c r="AK775" s="120"/>
      <c r="AL775" s="121"/>
    </row>
    <row r="776" spans="1:38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0"/>
      <c r="U776" s="121"/>
      <c r="V776" s="120"/>
      <c r="W776" s="121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  <c r="AJ776" s="120"/>
      <c r="AK776" s="120"/>
      <c r="AL776" s="121"/>
    </row>
    <row r="777" spans="1:38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0"/>
      <c r="U777" s="121"/>
      <c r="V777" s="120"/>
      <c r="W777" s="121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  <c r="AJ777" s="120"/>
      <c r="AK777" s="120"/>
      <c r="AL777" s="121"/>
    </row>
    <row r="778" spans="1:38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0"/>
      <c r="U778" s="121"/>
      <c r="V778" s="120"/>
      <c r="W778" s="121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  <c r="AJ778" s="120"/>
      <c r="AK778" s="120"/>
      <c r="AL778" s="121"/>
    </row>
    <row r="779" spans="1:38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0"/>
      <c r="U779" s="121"/>
      <c r="V779" s="120"/>
      <c r="W779" s="121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  <c r="AJ779" s="120"/>
      <c r="AK779" s="120"/>
      <c r="AL779" s="121"/>
    </row>
    <row r="780" spans="1:38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0"/>
      <c r="U780" s="121"/>
      <c r="V780" s="120"/>
      <c r="W780" s="121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  <c r="AJ780" s="120"/>
      <c r="AK780" s="120"/>
      <c r="AL780" s="121"/>
    </row>
    <row r="781" spans="1:38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0"/>
      <c r="U781" s="121"/>
      <c r="V781" s="120"/>
      <c r="W781" s="121"/>
      <c r="X781" s="120"/>
      <c r="Y781" s="120"/>
      <c r="Z781" s="120"/>
      <c r="AA781" s="120"/>
      <c r="AB781" s="120"/>
      <c r="AC781" s="120"/>
      <c r="AD781" s="120"/>
      <c r="AE781" s="120"/>
      <c r="AF781" s="120"/>
      <c r="AG781" s="120"/>
      <c r="AH781" s="120"/>
      <c r="AI781" s="120"/>
      <c r="AJ781" s="120"/>
      <c r="AK781" s="120"/>
      <c r="AL781" s="121"/>
    </row>
    <row r="782" spans="1:38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0"/>
      <c r="U782" s="121"/>
      <c r="V782" s="120"/>
      <c r="W782" s="121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1"/>
    </row>
    <row r="783" spans="1:38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0"/>
      <c r="U783" s="121"/>
      <c r="V783" s="120"/>
      <c r="W783" s="121"/>
      <c r="X783" s="120"/>
      <c r="Y783" s="120"/>
      <c r="Z783" s="120"/>
      <c r="AA783" s="120"/>
      <c r="AB783" s="120"/>
      <c r="AC783" s="120"/>
      <c r="AD783" s="120"/>
      <c r="AE783" s="120"/>
      <c r="AF783" s="120"/>
      <c r="AG783" s="120"/>
      <c r="AH783" s="120"/>
      <c r="AI783" s="120"/>
      <c r="AJ783" s="120"/>
      <c r="AK783" s="120"/>
      <c r="AL783" s="121"/>
    </row>
    <row r="784" spans="1:38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0"/>
      <c r="U784" s="121"/>
      <c r="V784" s="120"/>
      <c r="W784" s="121"/>
      <c r="X784" s="120"/>
      <c r="Y784" s="120"/>
      <c r="Z784" s="120"/>
      <c r="AA784" s="120"/>
      <c r="AB784" s="120"/>
      <c r="AC784" s="120"/>
      <c r="AD784" s="120"/>
      <c r="AE784" s="120"/>
      <c r="AF784" s="120"/>
      <c r="AG784" s="120"/>
      <c r="AH784" s="120"/>
      <c r="AI784" s="120"/>
      <c r="AJ784" s="120"/>
      <c r="AK784" s="120"/>
      <c r="AL784" s="121"/>
    </row>
    <row r="785" spans="1:38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0"/>
      <c r="U785" s="121"/>
      <c r="V785" s="120"/>
      <c r="W785" s="121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  <c r="AJ785" s="120"/>
      <c r="AK785" s="120"/>
      <c r="AL785" s="121"/>
    </row>
    <row r="786" spans="1:38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0"/>
      <c r="U786" s="121"/>
      <c r="V786" s="120"/>
      <c r="W786" s="121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  <c r="AJ786" s="120"/>
      <c r="AK786" s="120"/>
      <c r="AL786" s="121"/>
    </row>
    <row r="787" spans="1:38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0"/>
      <c r="U787" s="121"/>
      <c r="V787" s="120"/>
      <c r="W787" s="121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  <c r="AJ787" s="120"/>
      <c r="AK787" s="120"/>
      <c r="AL787" s="121"/>
    </row>
    <row r="788" spans="1:38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0"/>
      <c r="U788" s="121"/>
      <c r="V788" s="120"/>
      <c r="W788" s="121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  <c r="AJ788" s="120"/>
      <c r="AK788" s="120"/>
      <c r="AL788" s="121"/>
    </row>
    <row r="789" spans="1:38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0"/>
      <c r="U789" s="121"/>
      <c r="V789" s="120"/>
      <c r="W789" s="121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  <c r="AJ789" s="120"/>
      <c r="AK789" s="120"/>
      <c r="AL789" s="121"/>
    </row>
    <row r="790" spans="1:38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0"/>
      <c r="U790" s="121"/>
      <c r="V790" s="120"/>
      <c r="W790" s="121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  <c r="AJ790" s="120"/>
      <c r="AK790" s="120"/>
      <c r="AL790" s="121"/>
    </row>
    <row r="791" spans="1:38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0"/>
      <c r="U791" s="121"/>
      <c r="V791" s="120"/>
      <c r="W791" s="121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  <c r="AJ791" s="120"/>
      <c r="AK791" s="120"/>
      <c r="AL791" s="121"/>
    </row>
    <row r="792" spans="1:38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0"/>
      <c r="U792" s="121"/>
      <c r="V792" s="120"/>
      <c r="W792" s="121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  <c r="AJ792" s="120"/>
      <c r="AK792" s="120"/>
      <c r="AL792" s="121"/>
    </row>
    <row r="793" spans="1:38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0"/>
      <c r="U793" s="121"/>
      <c r="V793" s="120"/>
      <c r="W793" s="121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  <c r="AJ793" s="120"/>
      <c r="AK793" s="120"/>
      <c r="AL793" s="121"/>
    </row>
    <row r="794" spans="1:38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0"/>
      <c r="U794" s="121"/>
      <c r="V794" s="120"/>
      <c r="W794" s="121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  <c r="AJ794" s="120"/>
      <c r="AK794" s="120"/>
      <c r="AL794" s="121"/>
    </row>
    <row r="795" spans="1:38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0"/>
      <c r="U795" s="121"/>
      <c r="V795" s="120"/>
      <c r="W795" s="121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  <c r="AJ795" s="120"/>
      <c r="AK795" s="120"/>
      <c r="AL795" s="121"/>
    </row>
    <row r="796" spans="1:38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0"/>
      <c r="U796" s="121"/>
      <c r="V796" s="120"/>
      <c r="W796" s="121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  <c r="AJ796" s="120"/>
      <c r="AK796" s="120"/>
      <c r="AL796" s="121"/>
    </row>
    <row r="797" spans="1:38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0"/>
      <c r="U797" s="121"/>
      <c r="V797" s="120"/>
      <c r="W797" s="121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  <c r="AJ797" s="120"/>
      <c r="AK797" s="120"/>
      <c r="AL797" s="121"/>
    </row>
    <row r="798" spans="1:38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0"/>
      <c r="U798" s="121"/>
      <c r="V798" s="120"/>
      <c r="W798" s="121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  <c r="AJ798" s="120"/>
      <c r="AK798" s="120"/>
      <c r="AL798" s="121"/>
    </row>
    <row r="799" spans="1:38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0"/>
      <c r="U799" s="121"/>
      <c r="V799" s="120"/>
      <c r="W799" s="121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  <c r="AJ799" s="120"/>
      <c r="AK799" s="120"/>
      <c r="AL799" s="121"/>
    </row>
    <row r="800" spans="1:38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0"/>
      <c r="U800" s="121"/>
      <c r="V800" s="120"/>
      <c r="W800" s="121"/>
      <c r="X800" s="120"/>
      <c r="Y800" s="120"/>
      <c r="Z800" s="120"/>
      <c r="AA800" s="120"/>
      <c r="AB800" s="120"/>
      <c r="AC800" s="120"/>
      <c r="AD800" s="120"/>
      <c r="AE800" s="120"/>
      <c r="AF800" s="120"/>
      <c r="AG800" s="120"/>
      <c r="AH800" s="120"/>
      <c r="AI800" s="120"/>
      <c r="AJ800" s="120"/>
      <c r="AK800" s="120"/>
      <c r="AL800" s="121"/>
    </row>
    <row r="801" spans="1:38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0"/>
      <c r="U801" s="121"/>
      <c r="V801" s="120"/>
      <c r="W801" s="121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  <c r="AJ801" s="120"/>
      <c r="AK801" s="120"/>
      <c r="AL801" s="121"/>
    </row>
    <row r="802" spans="1:38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0"/>
      <c r="U802" s="121"/>
      <c r="V802" s="120"/>
      <c r="W802" s="121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  <c r="AJ802" s="120"/>
      <c r="AK802" s="120"/>
      <c r="AL802" s="121"/>
    </row>
    <row r="803" spans="1:38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0"/>
      <c r="U803" s="121"/>
      <c r="V803" s="120"/>
      <c r="W803" s="121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  <c r="AJ803" s="120"/>
      <c r="AK803" s="120"/>
      <c r="AL803" s="121"/>
    </row>
    <row r="804" spans="1:38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0"/>
      <c r="U804" s="121"/>
      <c r="V804" s="120"/>
      <c r="W804" s="121"/>
      <c r="X804" s="120"/>
      <c r="Y804" s="120"/>
      <c r="Z804" s="120"/>
      <c r="AA804" s="120"/>
      <c r="AB804" s="120"/>
      <c r="AC804" s="120"/>
      <c r="AD804" s="120"/>
      <c r="AE804" s="120"/>
      <c r="AF804" s="120"/>
      <c r="AG804" s="120"/>
      <c r="AH804" s="120"/>
      <c r="AI804" s="120"/>
      <c r="AJ804" s="120"/>
      <c r="AK804" s="120"/>
      <c r="AL804" s="121"/>
    </row>
    <row r="805" spans="1:38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0"/>
      <c r="U805" s="121"/>
      <c r="V805" s="120"/>
      <c r="W805" s="121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1"/>
    </row>
    <row r="806" spans="1:38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0"/>
      <c r="U806" s="121"/>
      <c r="V806" s="120"/>
      <c r="W806" s="121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  <c r="AJ806" s="120"/>
      <c r="AK806" s="120"/>
      <c r="AL806" s="121"/>
    </row>
    <row r="807" spans="1:38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0"/>
      <c r="U807" s="121"/>
      <c r="V807" s="120"/>
      <c r="W807" s="121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  <c r="AJ807" s="120"/>
      <c r="AK807" s="120"/>
      <c r="AL807" s="121"/>
    </row>
    <row r="808" spans="1:38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0"/>
      <c r="U808" s="121"/>
      <c r="V808" s="120"/>
      <c r="W808" s="121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  <c r="AJ808" s="120"/>
      <c r="AK808" s="120"/>
      <c r="AL808" s="121"/>
    </row>
    <row r="809" spans="1:38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0"/>
      <c r="U809" s="121"/>
      <c r="V809" s="120"/>
      <c r="W809" s="121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  <c r="AJ809" s="120"/>
      <c r="AK809" s="120"/>
      <c r="AL809" s="121"/>
    </row>
    <row r="810" spans="1:38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0"/>
      <c r="U810" s="121"/>
      <c r="V810" s="120"/>
      <c r="W810" s="121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  <c r="AJ810" s="120"/>
      <c r="AK810" s="120"/>
      <c r="AL810" s="121"/>
    </row>
    <row r="811" spans="1:38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0"/>
      <c r="U811" s="121"/>
      <c r="V811" s="120"/>
      <c r="W811" s="121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  <c r="AJ811" s="120"/>
      <c r="AK811" s="120"/>
      <c r="AL811" s="121"/>
    </row>
    <row r="812" spans="1:38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0"/>
      <c r="U812" s="121"/>
      <c r="V812" s="120"/>
      <c r="W812" s="121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  <c r="AJ812" s="120"/>
      <c r="AK812" s="120"/>
      <c r="AL812" s="121"/>
    </row>
    <row r="813" spans="1:38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0"/>
      <c r="U813" s="121"/>
      <c r="V813" s="120"/>
      <c r="W813" s="121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  <c r="AJ813" s="120"/>
      <c r="AK813" s="120"/>
      <c r="AL813" s="121"/>
    </row>
    <row r="814" spans="1:38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0"/>
      <c r="U814" s="121"/>
      <c r="V814" s="120"/>
      <c r="W814" s="121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  <c r="AJ814" s="120"/>
      <c r="AK814" s="120"/>
      <c r="AL814" s="121"/>
    </row>
    <row r="815" spans="1:38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0"/>
      <c r="U815" s="121"/>
      <c r="V815" s="120"/>
      <c r="W815" s="121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  <c r="AJ815" s="120"/>
      <c r="AK815" s="120"/>
      <c r="AL815" s="121"/>
    </row>
    <row r="816" spans="1:38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0"/>
      <c r="U816" s="121"/>
      <c r="V816" s="120"/>
      <c r="W816" s="121"/>
      <c r="X816" s="120"/>
      <c r="Y816" s="120"/>
      <c r="Z816" s="120"/>
      <c r="AA816" s="120"/>
      <c r="AB816" s="120"/>
      <c r="AC816" s="120"/>
      <c r="AD816" s="120"/>
      <c r="AE816" s="120"/>
      <c r="AF816" s="120"/>
      <c r="AG816" s="120"/>
      <c r="AH816" s="120"/>
      <c r="AI816" s="120"/>
      <c r="AJ816" s="120"/>
      <c r="AK816" s="120"/>
      <c r="AL816" s="121"/>
    </row>
    <row r="817" spans="1:38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0"/>
      <c r="U817" s="121"/>
      <c r="V817" s="120"/>
      <c r="W817" s="121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  <c r="AJ817" s="120"/>
      <c r="AK817" s="120"/>
      <c r="AL817" s="121"/>
    </row>
    <row r="818" spans="1:38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0"/>
      <c r="U818" s="121"/>
      <c r="V818" s="120"/>
      <c r="W818" s="121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  <c r="AJ818" s="120"/>
      <c r="AK818" s="120"/>
      <c r="AL818" s="121"/>
    </row>
    <row r="819" spans="1:38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0"/>
      <c r="U819" s="121"/>
      <c r="V819" s="120"/>
      <c r="W819" s="121"/>
      <c r="X819" s="120"/>
      <c r="Y819" s="120"/>
      <c r="Z819" s="120"/>
      <c r="AA819" s="120"/>
      <c r="AB819" s="120"/>
      <c r="AC819" s="120"/>
      <c r="AD819" s="120"/>
      <c r="AE819" s="120"/>
      <c r="AF819" s="120"/>
      <c r="AG819" s="120"/>
      <c r="AH819" s="120"/>
      <c r="AI819" s="120"/>
      <c r="AJ819" s="120"/>
      <c r="AK819" s="120"/>
      <c r="AL819" s="121"/>
    </row>
    <row r="820" spans="1:38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0"/>
      <c r="U820" s="121"/>
      <c r="V820" s="120"/>
      <c r="W820" s="121"/>
      <c r="X820" s="120"/>
      <c r="Y820" s="120"/>
      <c r="Z820" s="120"/>
      <c r="AA820" s="120"/>
      <c r="AB820" s="120"/>
      <c r="AC820" s="120"/>
      <c r="AD820" s="120"/>
      <c r="AE820" s="120"/>
      <c r="AF820" s="120"/>
      <c r="AG820" s="120"/>
      <c r="AH820" s="120"/>
      <c r="AI820" s="120"/>
      <c r="AJ820" s="120"/>
      <c r="AK820" s="120"/>
      <c r="AL820" s="121"/>
    </row>
    <row r="821" spans="1:38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0"/>
      <c r="U821" s="121"/>
      <c r="V821" s="120"/>
      <c r="W821" s="121"/>
      <c r="X821" s="120"/>
      <c r="Y821" s="120"/>
      <c r="Z821" s="120"/>
      <c r="AA821" s="120"/>
      <c r="AB821" s="120"/>
      <c r="AC821" s="120"/>
      <c r="AD821" s="120"/>
      <c r="AE821" s="120"/>
      <c r="AF821" s="120"/>
      <c r="AG821" s="120"/>
      <c r="AH821" s="120"/>
      <c r="AI821" s="120"/>
      <c r="AJ821" s="120"/>
      <c r="AK821" s="120"/>
      <c r="AL821" s="121"/>
    </row>
    <row r="822" spans="1:38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0"/>
      <c r="U822" s="121"/>
      <c r="V822" s="120"/>
      <c r="W822" s="121"/>
      <c r="X822" s="120"/>
      <c r="Y822" s="120"/>
      <c r="Z822" s="120"/>
      <c r="AA822" s="120"/>
      <c r="AB822" s="120"/>
      <c r="AC822" s="120"/>
      <c r="AD822" s="120"/>
      <c r="AE822" s="120"/>
      <c r="AF822" s="120"/>
      <c r="AG822" s="120"/>
      <c r="AH822" s="120"/>
      <c r="AI822" s="120"/>
      <c r="AJ822" s="120"/>
      <c r="AK822" s="120"/>
      <c r="AL822" s="121"/>
    </row>
    <row r="823" spans="1:38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0"/>
      <c r="U823" s="121"/>
      <c r="V823" s="120"/>
      <c r="W823" s="121"/>
      <c r="X823" s="120"/>
      <c r="Y823" s="120"/>
      <c r="Z823" s="120"/>
      <c r="AA823" s="120"/>
      <c r="AB823" s="120"/>
      <c r="AC823" s="120"/>
      <c r="AD823" s="120"/>
      <c r="AE823" s="120"/>
      <c r="AF823" s="120"/>
      <c r="AG823" s="120"/>
      <c r="AH823" s="120"/>
      <c r="AI823" s="120"/>
      <c r="AJ823" s="120"/>
      <c r="AK823" s="120"/>
      <c r="AL823" s="121"/>
    </row>
    <row r="824" spans="1:38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0"/>
      <c r="U824" s="121"/>
      <c r="V824" s="120"/>
      <c r="W824" s="121"/>
      <c r="X824" s="120"/>
      <c r="Y824" s="120"/>
      <c r="Z824" s="120"/>
      <c r="AA824" s="120"/>
      <c r="AB824" s="120"/>
      <c r="AC824" s="120"/>
      <c r="AD824" s="120"/>
      <c r="AE824" s="120"/>
      <c r="AF824" s="120"/>
      <c r="AG824" s="120"/>
      <c r="AH824" s="120"/>
      <c r="AI824" s="120"/>
      <c r="AJ824" s="120"/>
      <c r="AK824" s="120"/>
      <c r="AL824" s="121"/>
    </row>
    <row r="825" spans="1:38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0"/>
      <c r="U825" s="121"/>
      <c r="V825" s="120"/>
      <c r="W825" s="121"/>
      <c r="X825" s="120"/>
      <c r="Y825" s="120"/>
      <c r="Z825" s="120"/>
      <c r="AA825" s="120"/>
      <c r="AB825" s="120"/>
      <c r="AC825" s="120"/>
      <c r="AD825" s="120"/>
      <c r="AE825" s="120"/>
      <c r="AF825" s="120"/>
      <c r="AG825" s="120"/>
      <c r="AH825" s="120"/>
      <c r="AI825" s="120"/>
      <c r="AJ825" s="120"/>
      <c r="AK825" s="120"/>
      <c r="AL825" s="121"/>
    </row>
    <row r="826" spans="1:38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0"/>
      <c r="U826" s="121"/>
      <c r="V826" s="120"/>
      <c r="W826" s="121"/>
      <c r="X826" s="120"/>
      <c r="Y826" s="120"/>
      <c r="Z826" s="120"/>
      <c r="AA826" s="120"/>
      <c r="AB826" s="120"/>
      <c r="AC826" s="120"/>
      <c r="AD826" s="120"/>
      <c r="AE826" s="120"/>
      <c r="AF826" s="120"/>
      <c r="AG826" s="120"/>
      <c r="AH826" s="120"/>
      <c r="AI826" s="120"/>
      <c r="AJ826" s="120"/>
      <c r="AK826" s="120"/>
      <c r="AL826" s="121"/>
    </row>
    <row r="827" spans="1:38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0"/>
      <c r="U827" s="121"/>
      <c r="V827" s="120"/>
      <c r="W827" s="121"/>
      <c r="X827" s="120"/>
      <c r="Y827" s="120"/>
      <c r="Z827" s="120"/>
      <c r="AA827" s="120"/>
      <c r="AB827" s="120"/>
      <c r="AC827" s="120"/>
      <c r="AD827" s="120"/>
      <c r="AE827" s="120"/>
      <c r="AF827" s="120"/>
      <c r="AG827" s="120"/>
      <c r="AH827" s="120"/>
      <c r="AI827" s="120"/>
      <c r="AJ827" s="120"/>
      <c r="AK827" s="120"/>
      <c r="AL827" s="121"/>
    </row>
    <row r="828" spans="1:38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0"/>
      <c r="U828" s="121"/>
      <c r="V828" s="120"/>
      <c r="W828" s="121"/>
      <c r="X828" s="120"/>
      <c r="Y828" s="120"/>
      <c r="Z828" s="120"/>
      <c r="AA828" s="120"/>
      <c r="AB828" s="120"/>
      <c r="AC828" s="120"/>
      <c r="AD828" s="120"/>
      <c r="AE828" s="120"/>
      <c r="AF828" s="120"/>
      <c r="AG828" s="120"/>
      <c r="AH828" s="120"/>
      <c r="AI828" s="120"/>
      <c r="AJ828" s="120"/>
      <c r="AK828" s="120"/>
      <c r="AL828" s="121"/>
    </row>
    <row r="829" spans="1:38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0"/>
      <c r="U829" s="121"/>
      <c r="V829" s="120"/>
      <c r="W829" s="121"/>
      <c r="X829" s="120"/>
      <c r="Y829" s="120"/>
      <c r="Z829" s="120"/>
      <c r="AA829" s="120"/>
      <c r="AB829" s="120"/>
      <c r="AC829" s="120"/>
      <c r="AD829" s="120"/>
      <c r="AE829" s="120"/>
      <c r="AF829" s="120"/>
      <c r="AG829" s="120"/>
      <c r="AH829" s="120"/>
      <c r="AI829" s="120"/>
      <c r="AJ829" s="120"/>
      <c r="AK829" s="120"/>
      <c r="AL829" s="121"/>
    </row>
    <row r="830" spans="1:38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0"/>
      <c r="U830" s="121"/>
      <c r="V830" s="120"/>
      <c r="W830" s="121"/>
      <c r="X830" s="120"/>
      <c r="Y830" s="120"/>
      <c r="Z830" s="120"/>
      <c r="AA830" s="120"/>
      <c r="AB830" s="120"/>
      <c r="AC830" s="120"/>
      <c r="AD830" s="120"/>
      <c r="AE830" s="120"/>
      <c r="AF830" s="120"/>
      <c r="AG830" s="120"/>
      <c r="AH830" s="120"/>
      <c r="AI830" s="120"/>
      <c r="AJ830" s="120"/>
      <c r="AK830" s="120"/>
      <c r="AL830" s="121"/>
    </row>
    <row r="831" spans="1:38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0"/>
      <c r="U831" s="121"/>
      <c r="V831" s="120"/>
      <c r="W831" s="121"/>
      <c r="X831" s="120"/>
      <c r="Y831" s="120"/>
      <c r="Z831" s="120"/>
      <c r="AA831" s="120"/>
      <c r="AB831" s="120"/>
      <c r="AC831" s="120"/>
      <c r="AD831" s="120"/>
      <c r="AE831" s="120"/>
      <c r="AF831" s="120"/>
      <c r="AG831" s="120"/>
      <c r="AH831" s="120"/>
      <c r="AI831" s="120"/>
      <c r="AJ831" s="120"/>
      <c r="AK831" s="120"/>
      <c r="AL831" s="121"/>
    </row>
    <row r="832" spans="1:38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0"/>
      <c r="U832" s="121"/>
      <c r="V832" s="120"/>
      <c r="W832" s="121"/>
      <c r="X832" s="120"/>
      <c r="Y832" s="120"/>
      <c r="Z832" s="120"/>
      <c r="AA832" s="120"/>
      <c r="AB832" s="120"/>
      <c r="AC832" s="120"/>
      <c r="AD832" s="120"/>
      <c r="AE832" s="120"/>
      <c r="AF832" s="120"/>
      <c r="AG832" s="120"/>
      <c r="AH832" s="120"/>
      <c r="AI832" s="120"/>
      <c r="AJ832" s="120"/>
      <c r="AK832" s="120"/>
      <c r="AL832" s="121"/>
    </row>
    <row r="833" spans="1:38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0"/>
      <c r="U833" s="121"/>
      <c r="V833" s="120"/>
      <c r="W833" s="121"/>
      <c r="X833" s="120"/>
      <c r="Y833" s="120"/>
      <c r="Z833" s="120"/>
      <c r="AA833" s="120"/>
      <c r="AB833" s="120"/>
      <c r="AC833" s="120"/>
      <c r="AD833" s="120"/>
      <c r="AE833" s="120"/>
      <c r="AF833" s="120"/>
      <c r="AG833" s="120"/>
      <c r="AH833" s="120"/>
      <c r="AI833" s="120"/>
      <c r="AJ833" s="120"/>
      <c r="AK833" s="120"/>
      <c r="AL833" s="121"/>
    </row>
    <row r="834" spans="1:38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0"/>
      <c r="U834" s="121"/>
      <c r="V834" s="120"/>
      <c r="W834" s="121"/>
      <c r="X834" s="120"/>
      <c r="Y834" s="120"/>
      <c r="Z834" s="120"/>
      <c r="AA834" s="120"/>
      <c r="AB834" s="120"/>
      <c r="AC834" s="120"/>
      <c r="AD834" s="120"/>
      <c r="AE834" s="120"/>
      <c r="AF834" s="120"/>
      <c r="AG834" s="120"/>
      <c r="AH834" s="120"/>
      <c r="AI834" s="120"/>
      <c r="AJ834" s="120"/>
      <c r="AK834" s="120"/>
      <c r="AL834" s="121"/>
    </row>
    <row r="835" spans="1:38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0"/>
      <c r="U835" s="121"/>
      <c r="V835" s="120"/>
      <c r="W835" s="121"/>
      <c r="X835" s="120"/>
      <c r="Y835" s="120"/>
      <c r="Z835" s="120"/>
      <c r="AA835" s="120"/>
      <c r="AB835" s="120"/>
      <c r="AC835" s="120"/>
      <c r="AD835" s="120"/>
      <c r="AE835" s="120"/>
      <c r="AF835" s="120"/>
      <c r="AG835" s="120"/>
      <c r="AH835" s="120"/>
      <c r="AI835" s="120"/>
      <c r="AJ835" s="120"/>
      <c r="AK835" s="120"/>
      <c r="AL835" s="121"/>
    </row>
    <row r="836" spans="1:38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0"/>
      <c r="U836" s="121"/>
      <c r="V836" s="120"/>
      <c r="W836" s="121"/>
      <c r="X836" s="120"/>
      <c r="Y836" s="120"/>
      <c r="Z836" s="120"/>
      <c r="AA836" s="120"/>
      <c r="AB836" s="120"/>
      <c r="AC836" s="120"/>
      <c r="AD836" s="120"/>
      <c r="AE836" s="120"/>
      <c r="AF836" s="120"/>
      <c r="AG836" s="120"/>
      <c r="AH836" s="120"/>
      <c r="AI836" s="120"/>
      <c r="AJ836" s="120"/>
      <c r="AK836" s="120"/>
      <c r="AL836" s="121"/>
    </row>
    <row r="837" spans="1:38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0"/>
      <c r="U837" s="121"/>
      <c r="V837" s="120"/>
      <c r="W837" s="121"/>
      <c r="X837" s="120"/>
      <c r="Y837" s="120"/>
      <c r="Z837" s="120"/>
      <c r="AA837" s="120"/>
      <c r="AB837" s="120"/>
      <c r="AC837" s="120"/>
      <c r="AD837" s="120"/>
      <c r="AE837" s="120"/>
      <c r="AF837" s="120"/>
      <c r="AG837" s="120"/>
      <c r="AH837" s="120"/>
      <c r="AI837" s="120"/>
      <c r="AJ837" s="120"/>
      <c r="AK837" s="120"/>
      <c r="AL837" s="121"/>
    </row>
    <row r="838" spans="1:38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0"/>
      <c r="U838" s="121"/>
      <c r="V838" s="120"/>
      <c r="W838" s="121"/>
      <c r="X838" s="120"/>
      <c r="Y838" s="120"/>
      <c r="Z838" s="120"/>
      <c r="AA838" s="120"/>
      <c r="AB838" s="120"/>
      <c r="AC838" s="120"/>
      <c r="AD838" s="120"/>
      <c r="AE838" s="120"/>
      <c r="AF838" s="120"/>
      <c r="AG838" s="120"/>
      <c r="AH838" s="120"/>
      <c r="AI838" s="120"/>
      <c r="AJ838" s="120"/>
      <c r="AK838" s="120"/>
      <c r="AL838" s="121"/>
    </row>
    <row r="839" spans="1:38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0"/>
      <c r="U839" s="121"/>
      <c r="V839" s="120"/>
      <c r="W839" s="121"/>
      <c r="X839" s="120"/>
      <c r="Y839" s="120"/>
      <c r="Z839" s="120"/>
      <c r="AA839" s="120"/>
      <c r="AB839" s="120"/>
      <c r="AC839" s="120"/>
      <c r="AD839" s="120"/>
      <c r="AE839" s="120"/>
      <c r="AF839" s="120"/>
      <c r="AG839" s="120"/>
      <c r="AH839" s="120"/>
      <c r="AI839" s="120"/>
      <c r="AJ839" s="120"/>
      <c r="AK839" s="120"/>
      <c r="AL839" s="121"/>
    </row>
    <row r="840" spans="1:38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0"/>
      <c r="U840" s="121"/>
      <c r="V840" s="120"/>
      <c r="W840" s="121"/>
      <c r="X840" s="120"/>
      <c r="Y840" s="120"/>
      <c r="Z840" s="120"/>
      <c r="AA840" s="120"/>
      <c r="AB840" s="120"/>
      <c r="AC840" s="120"/>
      <c r="AD840" s="120"/>
      <c r="AE840" s="120"/>
      <c r="AF840" s="120"/>
      <c r="AG840" s="120"/>
      <c r="AH840" s="120"/>
      <c r="AI840" s="120"/>
      <c r="AJ840" s="120"/>
      <c r="AK840" s="120"/>
      <c r="AL840" s="121"/>
    </row>
    <row r="841" spans="1:38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0"/>
      <c r="U841" s="121"/>
      <c r="V841" s="120"/>
      <c r="W841" s="121"/>
      <c r="X841" s="120"/>
      <c r="Y841" s="120"/>
      <c r="Z841" s="120"/>
      <c r="AA841" s="120"/>
      <c r="AB841" s="120"/>
      <c r="AC841" s="120"/>
      <c r="AD841" s="120"/>
      <c r="AE841" s="120"/>
      <c r="AF841" s="120"/>
      <c r="AG841" s="120"/>
      <c r="AH841" s="120"/>
      <c r="AI841" s="120"/>
      <c r="AJ841" s="120"/>
      <c r="AK841" s="120"/>
      <c r="AL841" s="121"/>
    </row>
    <row r="842" spans="1:38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0"/>
      <c r="U842" s="121"/>
      <c r="V842" s="120"/>
      <c r="W842" s="121"/>
      <c r="X842" s="120"/>
      <c r="Y842" s="120"/>
      <c r="Z842" s="120"/>
      <c r="AA842" s="120"/>
      <c r="AB842" s="120"/>
      <c r="AC842" s="120"/>
      <c r="AD842" s="120"/>
      <c r="AE842" s="120"/>
      <c r="AF842" s="120"/>
      <c r="AG842" s="120"/>
      <c r="AH842" s="120"/>
      <c r="AI842" s="120"/>
      <c r="AJ842" s="120"/>
      <c r="AK842" s="120"/>
      <c r="AL842" s="121"/>
    </row>
    <row r="843" spans="1:38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0"/>
      <c r="U843" s="121"/>
      <c r="V843" s="120"/>
      <c r="W843" s="121"/>
      <c r="X843" s="120"/>
      <c r="Y843" s="120"/>
      <c r="Z843" s="120"/>
      <c r="AA843" s="120"/>
      <c r="AB843" s="120"/>
      <c r="AC843" s="120"/>
      <c r="AD843" s="120"/>
      <c r="AE843" s="120"/>
      <c r="AF843" s="120"/>
      <c r="AG843" s="120"/>
      <c r="AH843" s="120"/>
      <c r="AI843" s="120"/>
      <c r="AJ843" s="120"/>
      <c r="AK843" s="120"/>
      <c r="AL843" s="121"/>
    </row>
    <row r="844" spans="1:38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0"/>
      <c r="U844" s="121"/>
      <c r="V844" s="120"/>
      <c r="W844" s="121"/>
      <c r="X844" s="120"/>
      <c r="Y844" s="120"/>
      <c r="Z844" s="120"/>
      <c r="AA844" s="120"/>
      <c r="AB844" s="120"/>
      <c r="AC844" s="120"/>
      <c r="AD844" s="120"/>
      <c r="AE844" s="120"/>
      <c r="AF844" s="120"/>
      <c r="AG844" s="120"/>
      <c r="AH844" s="120"/>
      <c r="AI844" s="120"/>
      <c r="AJ844" s="120"/>
      <c r="AK844" s="120"/>
      <c r="AL844" s="121"/>
    </row>
    <row r="845" spans="1:38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0"/>
      <c r="U845" s="121"/>
      <c r="V845" s="120"/>
      <c r="W845" s="121"/>
      <c r="X845" s="120"/>
      <c r="Y845" s="120"/>
      <c r="Z845" s="120"/>
      <c r="AA845" s="120"/>
      <c r="AB845" s="120"/>
      <c r="AC845" s="120"/>
      <c r="AD845" s="120"/>
      <c r="AE845" s="120"/>
      <c r="AF845" s="120"/>
      <c r="AG845" s="120"/>
      <c r="AH845" s="120"/>
      <c r="AI845" s="120"/>
      <c r="AJ845" s="120"/>
      <c r="AK845" s="120"/>
      <c r="AL845" s="121"/>
    </row>
    <row r="846" spans="1:38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0"/>
      <c r="U846" s="121"/>
      <c r="V846" s="120"/>
      <c r="W846" s="121"/>
      <c r="X846" s="120"/>
      <c r="Y846" s="120"/>
      <c r="Z846" s="120"/>
      <c r="AA846" s="120"/>
      <c r="AB846" s="120"/>
      <c r="AC846" s="120"/>
      <c r="AD846" s="120"/>
      <c r="AE846" s="120"/>
      <c r="AF846" s="120"/>
      <c r="AG846" s="120"/>
      <c r="AH846" s="120"/>
      <c r="AI846" s="120"/>
      <c r="AJ846" s="120"/>
      <c r="AK846" s="120"/>
      <c r="AL846" s="121"/>
    </row>
    <row r="847" spans="1:38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0"/>
      <c r="U847" s="121"/>
      <c r="V847" s="120"/>
      <c r="W847" s="121"/>
      <c r="X847" s="120"/>
      <c r="Y847" s="120"/>
      <c r="Z847" s="120"/>
      <c r="AA847" s="120"/>
      <c r="AB847" s="120"/>
      <c r="AC847" s="120"/>
      <c r="AD847" s="120"/>
      <c r="AE847" s="120"/>
      <c r="AF847" s="120"/>
      <c r="AG847" s="120"/>
      <c r="AH847" s="120"/>
      <c r="AI847" s="120"/>
      <c r="AJ847" s="120"/>
      <c r="AK847" s="120"/>
      <c r="AL847" s="121"/>
    </row>
    <row r="848" spans="1:38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0"/>
      <c r="U848" s="121"/>
      <c r="V848" s="120"/>
      <c r="W848" s="121"/>
      <c r="X848" s="120"/>
      <c r="Y848" s="120"/>
      <c r="Z848" s="120"/>
      <c r="AA848" s="120"/>
      <c r="AB848" s="120"/>
      <c r="AC848" s="120"/>
      <c r="AD848" s="120"/>
      <c r="AE848" s="120"/>
      <c r="AF848" s="120"/>
      <c r="AG848" s="120"/>
      <c r="AH848" s="120"/>
      <c r="AI848" s="120"/>
      <c r="AJ848" s="120"/>
      <c r="AK848" s="120"/>
      <c r="AL848" s="121"/>
    </row>
    <row r="849" spans="1:38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0"/>
      <c r="U849" s="121"/>
      <c r="V849" s="120"/>
      <c r="W849" s="121"/>
      <c r="X849" s="120"/>
      <c r="Y849" s="120"/>
      <c r="Z849" s="120"/>
      <c r="AA849" s="120"/>
      <c r="AB849" s="120"/>
      <c r="AC849" s="120"/>
      <c r="AD849" s="120"/>
      <c r="AE849" s="120"/>
      <c r="AF849" s="120"/>
      <c r="AG849" s="120"/>
      <c r="AH849" s="120"/>
      <c r="AI849" s="120"/>
      <c r="AJ849" s="120"/>
      <c r="AK849" s="120"/>
      <c r="AL849" s="121"/>
    </row>
    <row r="850" spans="1:38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0"/>
      <c r="U850" s="121"/>
      <c r="V850" s="120"/>
      <c r="W850" s="121"/>
      <c r="X850" s="120"/>
      <c r="Y850" s="120"/>
      <c r="Z850" s="120"/>
      <c r="AA850" s="120"/>
      <c r="AB850" s="120"/>
      <c r="AC850" s="120"/>
      <c r="AD850" s="120"/>
      <c r="AE850" s="120"/>
      <c r="AF850" s="120"/>
      <c r="AG850" s="120"/>
      <c r="AH850" s="120"/>
      <c r="AI850" s="120"/>
      <c r="AJ850" s="120"/>
      <c r="AK850" s="120"/>
      <c r="AL850" s="121"/>
    </row>
    <row r="851" spans="1:38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0"/>
      <c r="U851" s="121"/>
      <c r="V851" s="120"/>
      <c r="W851" s="121"/>
      <c r="X851" s="120"/>
      <c r="Y851" s="120"/>
      <c r="Z851" s="120"/>
      <c r="AA851" s="120"/>
      <c r="AB851" s="120"/>
      <c r="AC851" s="120"/>
      <c r="AD851" s="120"/>
      <c r="AE851" s="120"/>
      <c r="AF851" s="120"/>
      <c r="AG851" s="120"/>
      <c r="AH851" s="120"/>
      <c r="AI851" s="120"/>
      <c r="AJ851" s="120"/>
      <c r="AK851" s="120"/>
      <c r="AL851" s="121"/>
    </row>
    <row r="852" spans="1:38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0"/>
      <c r="U852" s="121"/>
      <c r="V852" s="120"/>
      <c r="W852" s="121"/>
      <c r="X852" s="120"/>
      <c r="Y852" s="120"/>
      <c r="Z852" s="120"/>
      <c r="AA852" s="120"/>
      <c r="AB852" s="120"/>
      <c r="AC852" s="120"/>
      <c r="AD852" s="120"/>
      <c r="AE852" s="120"/>
      <c r="AF852" s="120"/>
      <c r="AG852" s="120"/>
      <c r="AH852" s="120"/>
      <c r="AI852" s="120"/>
      <c r="AJ852" s="120"/>
      <c r="AK852" s="120"/>
      <c r="AL852" s="121"/>
    </row>
    <row r="853" spans="1:38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0"/>
      <c r="U853" s="121"/>
      <c r="V853" s="120"/>
      <c r="W853" s="121"/>
      <c r="X853" s="120"/>
      <c r="Y853" s="120"/>
      <c r="Z853" s="120"/>
      <c r="AA853" s="120"/>
      <c r="AB853" s="120"/>
      <c r="AC853" s="120"/>
      <c r="AD853" s="120"/>
      <c r="AE853" s="120"/>
      <c r="AF853" s="120"/>
      <c r="AG853" s="120"/>
      <c r="AH853" s="120"/>
      <c r="AI853" s="120"/>
      <c r="AJ853" s="120"/>
      <c r="AK853" s="120"/>
      <c r="AL853" s="121"/>
    </row>
    <row r="854" spans="1:38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0"/>
      <c r="U854" s="121"/>
      <c r="V854" s="120"/>
      <c r="W854" s="121"/>
      <c r="X854" s="120"/>
      <c r="Y854" s="120"/>
      <c r="Z854" s="120"/>
      <c r="AA854" s="120"/>
      <c r="AB854" s="120"/>
      <c r="AC854" s="120"/>
      <c r="AD854" s="120"/>
      <c r="AE854" s="120"/>
      <c r="AF854" s="120"/>
      <c r="AG854" s="120"/>
      <c r="AH854" s="120"/>
      <c r="AI854" s="120"/>
      <c r="AJ854" s="120"/>
      <c r="AK854" s="120"/>
      <c r="AL854" s="121"/>
    </row>
    <row r="855" spans="1:38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0"/>
      <c r="U855" s="121"/>
      <c r="V855" s="120"/>
      <c r="W855" s="121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0"/>
      <c r="AI855" s="120"/>
      <c r="AJ855" s="120"/>
      <c r="AK855" s="120"/>
      <c r="AL855" s="121"/>
    </row>
    <row r="856" spans="1:38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0"/>
      <c r="U856" s="121"/>
      <c r="V856" s="120"/>
      <c r="W856" s="121"/>
      <c r="X856" s="120"/>
      <c r="Y856" s="120"/>
      <c r="Z856" s="120"/>
      <c r="AA856" s="120"/>
      <c r="AB856" s="120"/>
      <c r="AC856" s="120"/>
      <c r="AD856" s="120"/>
      <c r="AE856" s="120"/>
      <c r="AF856" s="120"/>
      <c r="AG856" s="120"/>
      <c r="AH856" s="120"/>
      <c r="AI856" s="120"/>
      <c r="AJ856" s="120"/>
      <c r="AK856" s="120"/>
      <c r="AL856" s="121"/>
    </row>
    <row r="857" spans="1:38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0"/>
      <c r="U857" s="121"/>
      <c r="V857" s="120"/>
      <c r="W857" s="121"/>
      <c r="X857" s="120"/>
      <c r="Y857" s="120"/>
      <c r="Z857" s="120"/>
      <c r="AA857" s="120"/>
      <c r="AB857" s="120"/>
      <c r="AC857" s="120"/>
      <c r="AD857" s="120"/>
      <c r="AE857" s="120"/>
      <c r="AF857" s="120"/>
      <c r="AG857" s="120"/>
      <c r="AH857" s="120"/>
      <c r="AI857" s="120"/>
      <c r="AJ857" s="120"/>
      <c r="AK857" s="120"/>
      <c r="AL857" s="121"/>
    </row>
    <row r="858" spans="1:38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0"/>
      <c r="U858" s="121"/>
      <c r="V858" s="120"/>
      <c r="W858" s="121"/>
      <c r="X858" s="120"/>
      <c r="Y858" s="120"/>
      <c r="Z858" s="120"/>
      <c r="AA858" s="120"/>
      <c r="AB858" s="120"/>
      <c r="AC858" s="120"/>
      <c r="AD858" s="120"/>
      <c r="AE858" s="120"/>
      <c r="AF858" s="120"/>
      <c r="AG858" s="120"/>
      <c r="AH858" s="120"/>
      <c r="AI858" s="120"/>
      <c r="AJ858" s="120"/>
      <c r="AK858" s="120"/>
      <c r="AL858" s="121"/>
    </row>
    <row r="859" spans="1:38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0"/>
      <c r="U859" s="121"/>
      <c r="V859" s="120"/>
      <c r="W859" s="121"/>
      <c r="X859" s="120"/>
      <c r="Y859" s="120"/>
      <c r="Z859" s="120"/>
      <c r="AA859" s="120"/>
      <c r="AB859" s="120"/>
      <c r="AC859" s="120"/>
      <c r="AD859" s="120"/>
      <c r="AE859" s="120"/>
      <c r="AF859" s="120"/>
      <c r="AG859" s="120"/>
      <c r="AH859" s="120"/>
      <c r="AI859" s="120"/>
      <c r="AJ859" s="120"/>
      <c r="AK859" s="120"/>
      <c r="AL859" s="121"/>
    </row>
    <row r="860" spans="1:38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0"/>
      <c r="U860" s="121"/>
      <c r="V860" s="120"/>
      <c r="W860" s="121"/>
      <c r="X860" s="120"/>
      <c r="Y860" s="120"/>
      <c r="Z860" s="120"/>
      <c r="AA860" s="120"/>
      <c r="AB860" s="120"/>
      <c r="AC860" s="120"/>
      <c r="AD860" s="120"/>
      <c r="AE860" s="120"/>
      <c r="AF860" s="120"/>
      <c r="AG860" s="120"/>
      <c r="AH860" s="120"/>
      <c r="AI860" s="120"/>
      <c r="AJ860" s="120"/>
      <c r="AK860" s="120"/>
      <c r="AL860" s="121"/>
    </row>
    <row r="861" spans="1:38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0"/>
      <c r="U861" s="121"/>
      <c r="V861" s="120"/>
      <c r="W861" s="121"/>
      <c r="X861" s="120"/>
      <c r="Y861" s="120"/>
      <c r="Z861" s="120"/>
      <c r="AA861" s="120"/>
      <c r="AB861" s="120"/>
      <c r="AC861" s="120"/>
      <c r="AD861" s="120"/>
      <c r="AE861" s="120"/>
      <c r="AF861" s="120"/>
      <c r="AG861" s="120"/>
      <c r="AH861" s="120"/>
      <c r="AI861" s="120"/>
      <c r="AJ861" s="120"/>
      <c r="AK861" s="120"/>
      <c r="AL861" s="121"/>
    </row>
    <row r="862" spans="1:38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0"/>
      <c r="U862" s="121"/>
      <c r="V862" s="120"/>
      <c r="W862" s="121"/>
      <c r="X862" s="120"/>
      <c r="Y862" s="120"/>
      <c r="Z862" s="120"/>
      <c r="AA862" s="120"/>
      <c r="AB862" s="120"/>
      <c r="AC862" s="120"/>
      <c r="AD862" s="120"/>
      <c r="AE862" s="120"/>
      <c r="AF862" s="120"/>
      <c r="AG862" s="120"/>
      <c r="AH862" s="120"/>
      <c r="AI862" s="120"/>
      <c r="AJ862" s="120"/>
      <c r="AK862" s="120"/>
      <c r="AL862" s="121"/>
    </row>
    <row r="863" spans="1:38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0"/>
      <c r="U863" s="121"/>
      <c r="V863" s="120"/>
      <c r="W863" s="121"/>
      <c r="X863" s="120"/>
      <c r="Y863" s="120"/>
      <c r="Z863" s="120"/>
      <c r="AA863" s="120"/>
      <c r="AB863" s="120"/>
      <c r="AC863" s="120"/>
      <c r="AD863" s="120"/>
      <c r="AE863" s="120"/>
      <c r="AF863" s="120"/>
      <c r="AG863" s="120"/>
      <c r="AH863" s="120"/>
      <c r="AI863" s="120"/>
      <c r="AJ863" s="120"/>
      <c r="AK863" s="120"/>
      <c r="AL863" s="121"/>
    </row>
    <row r="864" spans="1:38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0"/>
      <c r="U864" s="121"/>
      <c r="V864" s="120"/>
      <c r="W864" s="121"/>
      <c r="X864" s="120"/>
      <c r="Y864" s="120"/>
      <c r="Z864" s="120"/>
      <c r="AA864" s="120"/>
      <c r="AB864" s="120"/>
      <c r="AC864" s="120"/>
      <c r="AD864" s="120"/>
      <c r="AE864" s="120"/>
      <c r="AF864" s="120"/>
      <c r="AG864" s="120"/>
      <c r="AH864" s="120"/>
      <c r="AI864" s="120"/>
      <c r="AJ864" s="120"/>
      <c r="AK864" s="120"/>
      <c r="AL864" s="121"/>
    </row>
    <row r="865" spans="1:38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0"/>
      <c r="U865" s="121"/>
      <c r="V865" s="120"/>
      <c r="W865" s="121"/>
      <c r="X865" s="120"/>
      <c r="Y865" s="120"/>
      <c r="Z865" s="120"/>
      <c r="AA865" s="120"/>
      <c r="AB865" s="120"/>
      <c r="AC865" s="120"/>
      <c r="AD865" s="120"/>
      <c r="AE865" s="120"/>
      <c r="AF865" s="120"/>
      <c r="AG865" s="120"/>
      <c r="AH865" s="120"/>
      <c r="AI865" s="120"/>
      <c r="AJ865" s="120"/>
      <c r="AK865" s="120"/>
      <c r="AL865" s="121"/>
    </row>
    <row r="866" spans="1:38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0"/>
      <c r="U866" s="121"/>
      <c r="V866" s="120"/>
      <c r="W866" s="121"/>
      <c r="X866" s="120"/>
      <c r="Y866" s="120"/>
      <c r="Z866" s="120"/>
      <c r="AA866" s="120"/>
      <c r="AB866" s="120"/>
      <c r="AC866" s="120"/>
      <c r="AD866" s="120"/>
      <c r="AE866" s="120"/>
      <c r="AF866" s="120"/>
      <c r="AG866" s="120"/>
      <c r="AH866" s="120"/>
      <c r="AI866" s="120"/>
      <c r="AJ866" s="120"/>
      <c r="AK866" s="120"/>
      <c r="AL866" s="121"/>
    </row>
    <row r="867" spans="1:38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0"/>
      <c r="U867" s="121"/>
      <c r="V867" s="120"/>
      <c r="W867" s="121"/>
      <c r="X867" s="120"/>
      <c r="Y867" s="120"/>
      <c r="Z867" s="120"/>
      <c r="AA867" s="120"/>
      <c r="AB867" s="120"/>
      <c r="AC867" s="120"/>
      <c r="AD867" s="120"/>
      <c r="AE867" s="120"/>
      <c r="AF867" s="120"/>
      <c r="AG867" s="120"/>
      <c r="AH867" s="120"/>
      <c r="AI867" s="120"/>
      <c r="AJ867" s="120"/>
      <c r="AK867" s="120"/>
      <c r="AL867" s="121"/>
    </row>
    <row r="868" spans="1:38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0"/>
      <c r="U868" s="121"/>
      <c r="V868" s="120"/>
      <c r="W868" s="121"/>
      <c r="X868" s="120"/>
      <c r="Y868" s="120"/>
      <c r="Z868" s="120"/>
      <c r="AA868" s="120"/>
      <c r="AB868" s="120"/>
      <c r="AC868" s="120"/>
      <c r="AD868" s="120"/>
      <c r="AE868" s="120"/>
      <c r="AF868" s="120"/>
      <c r="AG868" s="120"/>
      <c r="AH868" s="120"/>
      <c r="AI868" s="120"/>
      <c r="AJ868" s="120"/>
      <c r="AK868" s="120"/>
      <c r="AL868" s="121"/>
    </row>
    <row r="869" spans="1:38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0"/>
      <c r="U869" s="121"/>
      <c r="V869" s="120"/>
      <c r="W869" s="121"/>
      <c r="X869" s="120"/>
      <c r="Y869" s="120"/>
      <c r="Z869" s="120"/>
      <c r="AA869" s="120"/>
      <c r="AB869" s="120"/>
      <c r="AC869" s="120"/>
      <c r="AD869" s="120"/>
      <c r="AE869" s="120"/>
      <c r="AF869" s="120"/>
      <c r="AG869" s="120"/>
      <c r="AH869" s="120"/>
      <c r="AI869" s="120"/>
      <c r="AJ869" s="120"/>
      <c r="AK869" s="120"/>
      <c r="AL869" s="121"/>
    </row>
    <row r="870" spans="1:38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0"/>
      <c r="U870" s="121"/>
      <c r="V870" s="120"/>
      <c r="W870" s="121"/>
      <c r="X870" s="120"/>
      <c r="Y870" s="120"/>
      <c r="Z870" s="120"/>
      <c r="AA870" s="120"/>
      <c r="AB870" s="120"/>
      <c r="AC870" s="120"/>
      <c r="AD870" s="120"/>
      <c r="AE870" s="120"/>
      <c r="AF870" s="120"/>
      <c r="AG870" s="120"/>
      <c r="AH870" s="120"/>
      <c r="AI870" s="120"/>
      <c r="AJ870" s="120"/>
      <c r="AK870" s="120"/>
      <c r="AL870" s="121"/>
    </row>
    <row r="871" spans="1:38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0"/>
      <c r="U871" s="121"/>
      <c r="V871" s="120"/>
      <c r="W871" s="121"/>
      <c r="X871" s="120"/>
      <c r="Y871" s="120"/>
      <c r="Z871" s="120"/>
      <c r="AA871" s="120"/>
      <c r="AB871" s="120"/>
      <c r="AC871" s="120"/>
      <c r="AD871" s="120"/>
      <c r="AE871" s="120"/>
      <c r="AF871" s="120"/>
      <c r="AG871" s="120"/>
      <c r="AH871" s="120"/>
      <c r="AI871" s="120"/>
      <c r="AJ871" s="120"/>
      <c r="AK871" s="120"/>
      <c r="AL871" s="121"/>
    </row>
    <row r="872" spans="1:38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0"/>
      <c r="U872" s="121"/>
      <c r="V872" s="120"/>
      <c r="W872" s="121"/>
      <c r="X872" s="120"/>
      <c r="Y872" s="120"/>
      <c r="Z872" s="120"/>
      <c r="AA872" s="120"/>
      <c r="AB872" s="120"/>
      <c r="AC872" s="120"/>
      <c r="AD872" s="120"/>
      <c r="AE872" s="120"/>
      <c r="AF872" s="120"/>
      <c r="AG872" s="120"/>
      <c r="AH872" s="120"/>
      <c r="AI872" s="120"/>
      <c r="AJ872" s="120"/>
      <c r="AK872" s="120"/>
      <c r="AL872" s="121"/>
    </row>
    <row r="873" spans="1:38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0"/>
      <c r="U873" s="121"/>
      <c r="V873" s="120"/>
      <c r="W873" s="121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  <c r="AJ873" s="120"/>
      <c r="AK873" s="120"/>
      <c r="AL873" s="121"/>
    </row>
    <row r="874" spans="1:38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0"/>
      <c r="U874" s="121"/>
      <c r="V874" s="120"/>
      <c r="W874" s="121"/>
      <c r="X874" s="120"/>
      <c r="Y874" s="120"/>
      <c r="Z874" s="120"/>
      <c r="AA874" s="120"/>
      <c r="AB874" s="120"/>
      <c r="AC874" s="120"/>
      <c r="AD874" s="120"/>
      <c r="AE874" s="120"/>
      <c r="AF874" s="120"/>
      <c r="AG874" s="120"/>
      <c r="AH874" s="120"/>
      <c r="AI874" s="120"/>
      <c r="AJ874" s="120"/>
      <c r="AK874" s="120"/>
      <c r="AL874" s="121"/>
    </row>
    <row r="875" spans="1:38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0"/>
      <c r="U875" s="121"/>
      <c r="V875" s="120"/>
      <c r="W875" s="121"/>
      <c r="X875" s="120"/>
      <c r="Y875" s="120"/>
      <c r="Z875" s="120"/>
      <c r="AA875" s="120"/>
      <c r="AB875" s="120"/>
      <c r="AC875" s="120"/>
      <c r="AD875" s="120"/>
      <c r="AE875" s="120"/>
      <c r="AF875" s="120"/>
      <c r="AG875" s="120"/>
      <c r="AH875" s="120"/>
      <c r="AI875" s="120"/>
      <c r="AJ875" s="120"/>
      <c r="AK875" s="120"/>
      <c r="AL875" s="121"/>
    </row>
    <row r="876" spans="1:38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0"/>
      <c r="U876" s="121"/>
      <c r="V876" s="120"/>
      <c r="W876" s="121"/>
      <c r="X876" s="120"/>
      <c r="Y876" s="120"/>
      <c r="Z876" s="120"/>
      <c r="AA876" s="120"/>
      <c r="AB876" s="120"/>
      <c r="AC876" s="120"/>
      <c r="AD876" s="120"/>
      <c r="AE876" s="120"/>
      <c r="AF876" s="120"/>
      <c r="AG876" s="120"/>
      <c r="AH876" s="120"/>
      <c r="AI876" s="120"/>
      <c r="AJ876" s="120"/>
      <c r="AK876" s="120"/>
      <c r="AL876" s="121"/>
    </row>
    <row r="877" spans="1:38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0"/>
      <c r="U877" s="121"/>
      <c r="V877" s="120"/>
      <c r="W877" s="121"/>
      <c r="X877" s="120"/>
      <c r="Y877" s="120"/>
      <c r="Z877" s="120"/>
      <c r="AA877" s="120"/>
      <c r="AB877" s="120"/>
      <c r="AC877" s="120"/>
      <c r="AD877" s="120"/>
      <c r="AE877" s="120"/>
      <c r="AF877" s="120"/>
      <c r="AG877" s="120"/>
      <c r="AH877" s="120"/>
      <c r="AI877" s="120"/>
      <c r="AJ877" s="120"/>
      <c r="AK877" s="120"/>
      <c r="AL877" s="121"/>
    </row>
    <row r="878" spans="1:38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0"/>
      <c r="U878" s="121"/>
      <c r="V878" s="120"/>
      <c r="W878" s="121"/>
      <c r="X878" s="120"/>
      <c r="Y878" s="120"/>
      <c r="Z878" s="120"/>
      <c r="AA878" s="120"/>
      <c r="AB878" s="120"/>
      <c r="AC878" s="120"/>
      <c r="AD878" s="120"/>
      <c r="AE878" s="120"/>
      <c r="AF878" s="120"/>
      <c r="AG878" s="120"/>
      <c r="AH878" s="120"/>
      <c r="AI878" s="120"/>
      <c r="AJ878" s="120"/>
      <c r="AK878" s="120"/>
      <c r="AL878" s="121"/>
    </row>
    <row r="879" spans="1:38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0"/>
      <c r="U879" s="121"/>
      <c r="V879" s="120"/>
      <c r="W879" s="121"/>
      <c r="X879" s="120"/>
      <c r="Y879" s="120"/>
      <c r="Z879" s="120"/>
      <c r="AA879" s="120"/>
      <c r="AB879" s="120"/>
      <c r="AC879" s="120"/>
      <c r="AD879" s="120"/>
      <c r="AE879" s="120"/>
      <c r="AF879" s="120"/>
      <c r="AG879" s="120"/>
      <c r="AH879" s="120"/>
      <c r="AI879" s="120"/>
      <c r="AJ879" s="120"/>
      <c r="AK879" s="120"/>
      <c r="AL879" s="121"/>
    </row>
    <row r="880" spans="1:38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0"/>
      <c r="U880" s="121"/>
      <c r="V880" s="120"/>
      <c r="W880" s="121"/>
      <c r="X880" s="120"/>
      <c r="Y880" s="120"/>
      <c r="Z880" s="120"/>
      <c r="AA880" s="120"/>
      <c r="AB880" s="120"/>
      <c r="AC880" s="120"/>
      <c r="AD880" s="120"/>
      <c r="AE880" s="120"/>
      <c r="AF880" s="120"/>
      <c r="AG880" s="120"/>
      <c r="AH880" s="120"/>
      <c r="AI880" s="120"/>
      <c r="AJ880" s="120"/>
      <c r="AK880" s="120"/>
      <c r="AL880" s="121"/>
    </row>
    <row r="881" spans="1:38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0"/>
      <c r="U881" s="121"/>
      <c r="V881" s="120"/>
      <c r="W881" s="121"/>
      <c r="X881" s="120"/>
      <c r="Y881" s="120"/>
      <c r="Z881" s="120"/>
      <c r="AA881" s="120"/>
      <c r="AB881" s="120"/>
      <c r="AC881" s="120"/>
      <c r="AD881" s="120"/>
      <c r="AE881" s="120"/>
      <c r="AF881" s="120"/>
      <c r="AG881" s="120"/>
      <c r="AH881" s="120"/>
      <c r="AI881" s="120"/>
      <c r="AJ881" s="120"/>
      <c r="AK881" s="120"/>
      <c r="AL881" s="121"/>
    </row>
    <row r="882" spans="1:38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0"/>
      <c r="U882" s="121"/>
      <c r="V882" s="120"/>
      <c r="W882" s="121"/>
      <c r="X882" s="120"/>
      <c r="Y882" s="120"/>
      <c r="Z882" s="120"/>
      <c r="AA882" s="120"/>
      <c r="AB882" s="120"/>
      <c r="AC882" s="120"/>
      <c r="AD882" s="120"/>
      <c r="AE882" s="120"/>
      <c r="AF882" s="120"/>
      <c r="AG882" s="120"/>
      <c r="AH882" s="120"/>
      <c r="AI882" s="120"/>
      <c r="AJ882" s="120"/>
      <c r="AK882" s="120"/>
      <c r="AL882" s="121"/>
    </row>
    <row r="883" spans="1:38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0"/>
      <c r="U883" s="121"/>
      <c r="V883" s="120"/>
      <c r="W883" s="121"/>
      <c r="X883" s="120"/>
      <c r="Y883" s="120"/>
      <c r="Z883" s="120"/>
      <c r="AA883" s="120"/>
      <c r="AB883" s="120"/>
      <c r="AC883" s="120"/>
      <c r="AD883" s="120"/>
      <c r="AE883" s="120"/>
      <c r="AF883" s="120"/>
      <c r="AG883" s="120"/>
      <c r="AH883" s="120"/>
      <c r="AI883" s="120"/>
      <c r="AJ883" s="120"/>
      <c r="AK883" s="120"/>
      <c r="AL883" s="121"/>
    </row>
    <row r="884" spans="1:38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0"/>
      <c r="U884" s="121"/>
      <c r="V884" s="120"/>
      <c r="W884" s="121"/>
      <c r="X884" s="120"/>
      <c r="Y884" s="120"/>
      <c r="Z884" s="120"/>
      <c r="AA884" s="120"/>
      <c r="AB884" s="120"/>
      <c r="AC884" s="120"/>
      <c r="AD884" s="120"/>
      <c r="AE884" s="120"/>
      <c r="AF884" s="120"/>
      <c r="AG884" s="120"/>
      <c r="AH884" s="120"/>
      <c r="AI884" s="120"/>
      <c r="AJ884" s="120"/>
      <c r="AK884" s="120"/>
      <c r="AL884" s="121"/>
    </row>
    <row r="885" spans="1:38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0"/>
      <c r="U885" s="121"/>
      <c r="V885" s="120"/>
      <c r="W885" s="121"/>
      <c r="X885" s="120"/>
      <c r="Y885" s="120"/>
      <c r="Z885" s="120"/>
      <c r="AA885" s="120"/>
      <c r="AB885" s="120"/>
      <c r="AC885" s="120"/>
      <c r="AD885" s="120"/>
      <c r="AE885" s="120"/>
      <c r="AF885" s="120"/>
      <c r="AG885" s="120"/>
      <c r="AH885" s="120"/>
      <c r="AI885" s="120"/>
      <c r="AJ885" s="120"/>
      <c r="AK885" s="120"/>
      <c r="AL885" s="121"/>
    </row>
    <row r="886" spans="1:38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0"/>
      <c r="U886" s="121"/>
      <c r="V886" s="120"/>
      <c r="W886" s="121"/>
      <c r="X886" s="120"/>
      <c r="Y886" s="120"/>
      <c r="Z886" s="120"/>
      <c r="AA886" s="120"/>
      <c r="AB886" s="120"/>
      <c r="AC886" s="120"/>
      <c r="AD886" s="120"/>
      <c r="AE886" s="120"/>
      <c r="AF886" s="120"/>
      <c r="AG886" s="120"/>
      <c r="AH886" s="120"/>
      <c r="AI886" s="120"/>
      <c r="AJ886" s="120"/>
      <c r="AK886" s="120"/>
      <c r="AL886" s="121"/>
    </row>
    <row r="887" spans="1:38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0"/>
      <c r="U887" s="121"/>
      <c r="V887" s="120"/>
      <c r="W887" s="121"/>
      <c r="X887" s="120"/>
      <c r="Y887" s="120"/>
      <c r="Z887" s="120"/>
      <c r="AA887" s="120"/>
      <c r="AB887" s="120"/>
      <c r="AC887" s="120"/>
      <c r="AD887" s="120"/>
      <c r="AE887" s="120"/>
      <c r="AF887" s="120"/>
      <c r="AG887" s="120"/>
      <c r="AH887" s="120"/>
      <c r="AI887" s="120"/>
      <c r="AJ887" s="120"/>
      <c r="AK887" s="120"/>
      <c r="AL887" s="121"/>
    </row>
    <row r="888" spans="1:38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0"/>
      <c r="U888" s="121"/>
      <c r="V888" s="120"/>
      <c r="W888" s="121"/>
      <c r="X888" s="120"/>
      <c r="Y888" s="120"/>
      <c r="Z888" s="120"/>
      <c r="AA888" s="120"/>
      <c r="AB888" s="120"/>
      <c r="AC888" s="120"/>
      <c r="AD888" s="120"/>
      <c r="AE888" s="120"/>
      <c r="AF888" s="120"/>
      <c r="AG888" s="120"/>
      <c r="AH888" s="120"/>
      <c r="AI888" s="120"/>
      <c r="AJ888" s="120"/>
      <c r="AK888" s="120"/>
      <c r="AL888" s="121"/>
    </row>
    <row r="889" spans="1:38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0"/>
      <c r="U889" s="121"/>
      <c r="V889" s="120"/>
      <c r="W889" s="121"/>
      <c r="X889" s="120"/>
      <c r="Y889" s="120"/>
      <c r="Z889" s="120"/>
      <c r="AA889" s="120"/>
      <c r="AB889" s="120"/>
      <c r="AC889" s="120"/>
      <c r="AD889" s="120"/>
      <c r="AE889" s="120"/>
      <c r="AF889" s="120"/>
      <c r="AG889" s="120"/>
      <c r="AH889" s="120"/>
      <c r="AI889" s="120"/>
      <c r="AJ889" s="120"/>
      <c r="AK889" s="120"/>
      <c r="AL889" s="121"/>
    </row>
    <row r="890" spans="1:38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0"/>
      <c r="U890" s="121"/>
      <c r="V890" s="120"/>
      <c r="W890" s="121"/>
      <c r="X890" s="120"/>
      <c r="Y890" s="120"/>
      <c r="Z890" s="120"/>
      <c r="AA890" s="120"/>
      <c r="AB890" s="120"/>
      <c r="AC890" s="120"/>
      <c r="AD890" s="120"/>
      <c r="AE890" s="120"/>
      <c r="AF890" s="120"/>
      <c r="AG890" s="120"/>
      <c r="AH890" s="120"/>
      <c r="AI890" s="120"/>
      <c r="AJ890" s="120"/>
      <c r="AK890" s="120"/>
      <c r="AL890" s="121"/>
    </row>
    <row r="891" spans="1:38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0"/>
      <c r="U891" s="121"/>
      <c r="V891" s="120"/>
      <c r="W891" s="121"/>
      <c r="X891" s="120"/>
      <c r="Y891" s="120"/>
      <c r="Z891" s="120"/>
      <c r="AA891" s="120"/>
      <c r="AB891" s="120"/>
      <c r="AC891" s="120"/>
      <c r="AD891" s="120"/>
      <c r="AE891" s="120"/>
      <c r="AF891" s="120"/>
      <c r="AG891" s="120"/>
      <c r="AH891" s="120"/>
      <c r="AI891" s="120"/>
      <c r="AJ891" s="120"/>
      <c r="AK891" s="120"/>
      <c r="AL891" s="121"/>
    </row>
    <row r="892" spans="1:38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0"/>
      <c r="U892" s="121"/>
      <c r="V892" s="120"/>
      <c r="W892" s="121"/>
      <c r="X892" s="120"/>
      <c r="Y892" s="120"/>
      <c r="Z892" s="120"/>
      <c r="AA892" s="120"/>
      <c r="AB892" s="120"/>
      <c r="AC892" s="120"/>
      <c r="AD892" s="120"/>
      <c r="AE892" s="120"/>
      <c r="AF892" s="120"/>
      <c r="AG892" s="120"/>
      <c r="AH892" s="120"/>
      <c r="AI892" s="120"/>
      <c r="AJ892" s="120"/>
      <c r="AK892" s="120"/>
      <c r="AL892" s="121"/>
    </row>
    <row r="893" spans="1:38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0"/>
      <c r="U893" s="121"/>
      <c r="V893" s="120"/>
      <c r="W893" s="121"/>
      <c r="X893" s="120"/>
      <c r="Y893" s="120"/>
      <c r="Z893" s="120"/>
      <c r="AA893" s="120"/>
      <c r="AB893" s="120"/>
      <c r="AC893" s="120"/>
      <c r="AD893" s="120"/>
      <c r="AE893" s="120"/>
      <c r="AF893" s="120"/>
      <c r="AG893" s="120"/>
      <c r="AH893" s="120"/>
      <c r="AI893" s="120"/>
      <c r="AJ893" s="120"/>
      <c r="AK893" s="120"/>
      <c r="AL893" s="121"/>
    </row>
    <row r="894" spans="1:38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0"/>
      <c r="U894" s="121"/>
      <c r="V894" s="120"/>
      <c r="W894" s="121"/>
      <c r="X894" s="120"/>
      <c r="Y894" s="120"/>
      <c r="Z894" s="120"/>
      <c r="AA894" s="120"/>
      <c r="AB894" s="120"/>
      <c r="AC894" s="120"/>
      <c r="AD894" s="120"/>
      <c r="AE894" s="120"/>
      <c r="AF894" s="120"/>
      <c r="AG894" s="120"/>
      <c r="AH894" s="120"/>
      <c r="AI894" s="120"/>
      <c r="AJ894" s="120"/>
      <c r="AK894" s="120"/>
      <c r="AL894" s="121"/>
    </row>
    <row r="895" spans="1:38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0"/>
      <c r="U895" s="121"/>
      <c r="V895" s="120"/>
      <c r="W895" s="121"/>
      <c r="X895" s="120"/>
      <c r="Y895" s="120"/>
      <c r="Z895" s="120"/>
      <c r="AA895" s="120"/>
      <c r="AB895" s="120"/>
      <c r="AC895" s="120"/>
      <c r="AD895" s="120"/>
      <c r="AE895" s="120"/>
      <c r="AF895" s="120"/>
      <c r="AG895" s="120"/>
      <c r="AH895" s="120"/>
      <c r="AI895" s="120"/>
      <c r="AJ895" s="120"/>
      <c r="AK895" s="120"/>
      <c r="AL895" s="121"/>
    </row>
    <row r="896" spans="1:38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0"/>
      <c r="U896" s="121"/>
      <c r="V896" s="120"/>
      <c r="W896" s="121"/>
      <c r="X896" s="120"/>
      <c r="Y896" s="120"/>
      <c r="Z896" s="120"/>
      <c r="AA896" s="120"/>
      <c r="AB896" s="120"/>
      <c r="AC896" s="120"/>
      <c r="AD896" s="120"/>
      <c r="AE896" s="120"/>
      <c r="AF896" s="120"/>
      <c r="AG896" s="120"/>
      <c r="AH896" s="120"/>
      <c r="AI896" s="120"/>
      <c r="AJ896" s="120"/>
      <c r="AK896" s="120"/>
      <c r="AL896" s="121"/>
    </row>
    <row r="897" spans="1:38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0"/>
      <c r="U897" s="121"/>
      <c r="V897" s="120"/>
      <c r="W897" s="121"/>
      <c r="X897" s="120"/>
      <c r="Y897" s="120"/>
      <c r="Z897" s="120"/>
      <c r="AA897" s="120"/>
      <c r="AB897" s="120"/>
      <c r="AC897" s="120"/>
      <c r="AD897" s="120"/>
      <c r="AE897" s="120"/>
      <c r="AF897" s="120"/>
      <c r="AG897" s="120"/>
      <c r="AH897" s="120"/>
      <c r="AI897" s="120"/>
      <c r="AJ897" s="120"/>
      <c r="AK897" s="120"/>
      <c r="AL897" s="121"/>
    </row>
    <row r="898" spans="1:38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0"/>
      <c r="U898" s="121"/>
      <c r="V898" s="120"/>
      <c r="W898" s="121"/>
      <c r="X898" s="120"/>
      <c r="Y898" s="120"/>
      <c r="Z898" s="120"/>
      <c r="AA898" s="120"/>
      <c r="AB898" s="120"/>
      <c r="AC898" s="120"/>
      <c r="AD898" s="120"/>
      <c r="AE898" s="120"/>
      <c r="AF898" s="120"/>
      <c r="AG898" s="120"/>
      <c r="AH898" s="120"/>
      <c r="AI898" s="120"/>
      <c r="AJ898" s="120"/>
      <c r="AK898" s="120"/>
      <c r="AL898" s="121"/>
    </row>
    <row r="899" spans="1:38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0"/>
      <c r="U899" s="121"/>
      <c r="V899" s="120"/>
      <c r="W899" s="121"/>
      <c r="X899" s="120"/>
      <c r="Y899" s="120"/>
      <c r="Z899" s="120"/>
      <c r="AA899" s="120"/>
      <c r="AB899" s="120"/>
      <c r="AC899" s="120"/>
      <c r="AD899" s="120"/>
      <c r="AE899" s="120"/>
      <c r="AF899" s="120"/>
      <c r="AG899" s="120"/>
      <c r="AH899" s="120"/>
      <c r="AI899" s="120"/>
      <c r="AJ899" s="120"/>
      <c r="AK899" s="120"/>
      <c r="AL899" s="121"/>
    </row>
    <row r="900" spans="1:38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0"/>
      <c r="U900" s="121"/>
      <c r="V900" s="120"/>
      <c r="W900" s="121"/>
      <c r="X900" s="120"/>
      <c r="Y900" s="120"/>
      <c r="Z900" s="120"/>
      <c r="AA900" s="120"/>
      <c r="AB900" s="120"/>
      <c r="AC900" s="120"/>
      <c r="AD900" s="120"/>
      <c r="AE900" s="120"/>
      <c r="AF900" s="120"/>
      <c r="AG900" s="120"/>
      <c r="AH900" s="120"/>
      <c r="AI900" s="120"/>
      <c r="AJ900" s="120"/>
      <c r="AK900" s="120"/>
      <c r="AL900" s="121"/>
    </row>
    <row r="901" spans="1:38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0"/>
      <c r="U901" s="121"/>
      <c r="V901" s="120"/>
      <c r="W901" s="121"/>
      <c r="X901" s="120"/>
      <c r="Y901" s="120"/>
      <c r="Z901" s="120"/>
      <c r="AA901" s="120"/>
      <c r="AB901" s="120"/>
      <c r="AC901" s="120"/>
      <c r="AD901" s="120"/>
      <c r="AE901" s="120"/>
      <c r="AF901" s="120"/>
      <c r="AG901" s="120"/>
      <c r="AH901" s="120"/>
      <c r="AI901" s="120"/>
      <c r="AJ901" s="120"/>
      <c r="AK901" s="120"/>
      <c r="AL901" s="121"/>
    </row>
    <row r="902" spans="1:38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0"/>
      <c r="U902" s="121"/>
      <c r="V902" s="120"/>
      <c r="W902" s="121"/>
      <c r="X902" s="120"/>
      <c r="Y902" s="120"/>
      <c r="Z902" s="120"/>
      <c r="AA902" s="120"/>
      <c r="AB902" s="120"/>
      <c r="AC902" s="120"/>
      <c r="AD902" s="120"/>
      <c r="AE902" s="120"/>
      <c r="AF902" s="120"/>
      <c r="AG902" s="120"/>
      <c r="AH902" s="120"/>
      <c r="AI902" s="120"/>
      <c r="AJ902" s="120"/>
      <c r="AK902" s="120"/>
      <c r="AL902" s="121"/>
    </row>
    <row r="903" spans="1:38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0"/>
      <c r="U903" s="121"/>
      <c r="V903" s="120"/>
      <c r="W903" s="121"/>
      <c r="X903" s="120"/>
      <c r="Y903" s="120"/>
      <c r="Z903" s="120"/>
      <c r="AA903" s="120"/>
      <c r="AB903" s="120"/>
      <c r="AC903" s="120"/>
      <c r="AD903" s="120"/>
      <c r="AE903" s="120"/>
      <c r="AF903" s="120"/>
      <c r="AG903" s="120"/>
      <c r="AH903" s="120"/>
      <c r="AI903" s="120"/>
      <c r="AJ903" s="120"/>
      <c r="AK903" s="120"/>
      <c r="AL903" s="121"/>
    </row>
    <row r="904" spans="1:38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0"/>
      <c r="U904" s="121"/>
      <c r="V904" s="120"/>
      <c r="W904" s="121"/>
      <c r="X904" s="120"/>
      <c r="Y904" s="120"/>
      <c r="Z904" s="120"/>
      <c r="AA904" s="120"/>
      <c r="AB904" s="120"/>
      <c r="AC904" s="120"/>
      <c r="AD904" s="120"/>
      <c r="AE904" s="120"/>
      <c r="AF904" s="120"/>
      <c r="AG904" s="120"/>
      <c r="AH904" s="120"/>
      <c r="AI904" s="120"/>
      <c r="AJ904" s="120"/>
      <c r="AK904" s="120"/>
      <c r="AL904" s="121"/>
    </row>
    <row r="905" spans="1:38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0"/>
      <c r="U905" s="121"/>
      <c r="V905" s="120"/>
      <c r="W905" s="121"/>
      <c r="X905" s="120"/>
      <c r="Y905" s="120"/>
      <c r="Z905" s="120"/>
      <c r="AA905" s="120"/>
      <c r="AB905" s="120"/>
      <c r="AC905" s="120"/>
      <c r="AD905" s="120"/>
      <c r="AE905" s="120"/>
      <c r="AF905" s="120"/>
      <c r="AG905" s="120"/>
      <c r="AH905" s="120"/>
      <c r="AI905" s="120"/>
      <c r="AJ905" s="120"/>
      <c r="AK905" s="120"/>
      <c r="AL905" s="121"/>
    </row>
    <row r="906" spans="1:38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0"/>
      <c r="U906" s="121"/>
      <c r="V906" s="120"/>
      <c r="W906" s="121"/>
      <c r="X906" s="120"/>
      <c r="Y906" s="120"/>
      <c r="Z906" s="120"/>
      <c r="AA906" s="120"/>
      <c r="AB906" s="120"/>
      <c r="AC906" s="120"/>
      <c r="AD906" s="120"/>
      <c r="AE906" s="120"/>
      <c r="AF906" s="120"/>
      <c r="AG906" s="120"/>
      <c r="AH906" s="120"/>
      <c r="AI906" s="120"/>
      <c r="AJ906" s="120"/>
      <c r="AK906" s="120"/>
      <c r="AL906" s="121"/>
    </row>
    <row r="907" spans="1:38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0"/>
      <c r="U907" s="121"/>
      <c r="V907" s="120"/>
      <c r="W907" s="121"/>
      <c r="X907" s="120"/>
      <c r="Y907" s="120"/>
      <c r="Z907" s="120"/>
      <c r="AA907" s="120"/>
      <c r="AB907" s="120"/>
      <c r="AC907" s="120"/>
      <c r="AD907" s="120"/>
      <c r="AE907" s="120"/>
      <c r="AF907" s="120"/>
      <c r="AG907" s="120"/>
      <c r="AH907" s="120"/>
      <c r="AI907" s="120"/>
      <c r="AJ907" s="120"/>
      <c r="AK907" s="120"/>
      <c r="AL907" s="121"/>
    </row>
    <row r="908" spans="1:38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0"/>
      <c r="U908" s="121"/>
      <c r="V908" s="120"/>
      <c r="W908" s="121"/>
      <c r="X908" s="120"/>
      <c r="Y908" s="120"/>
      <c r="Z908" s="120"/>
      <c r="AA908" s="120"/>
      <c r="AB908" s="120"/>
      <c r="AC908" s="120"/>
      <c r="AD908" s="120"/>
      <c r="AE908" s="120"/>
      <c r="AF908" s="120"/>
      <c r="AG908" s="120"/>
      <c r="AH908" s="120"/>
      <c r="AI908" s="120"/>
      <c r="AJ908" s="120"/>
      <c r="AK908" s="120"/>
      <c r="AL908" s="121"/>
    </row>
    <row r="909" spans="1:38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0"/>
      <c r="U909" s="121"/>
      <c r="V909" s="120"/>
      <c r="W909" s="121"/>
      <c r="X909" s="120"/>
      <c r="Y909" s="120"/>
      <c r="Z909" s="120"/>
      <c r="AA909" s="120"/>
      <c r="AB909" s="120"/>
      <c r="AC909" s="120"/>
      <c r="AD909" s="120"/>
      <c r="AE909" s="120"/>
      <c r="AF909" s="120"/>
      <c r="AG909" s="120"/>
      <c r="AH909" s="120"/>
      <c r="AI909" s="120"/>
      <c r="AJ909" s="120"/>
      <c r="AK909" s="120"/>
      <c r="AL909" s="121"/>
    </row>
    <row r="910" spans="1:38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0"/>
      <c r="U910" s="121"/>
      <c r="V910" s="120"/>
      <c r="W910" s="121"/>
      <c r="X910" s="120"/>
      <c r="Y910" s="120"/>
      <c r="Z910" s="120"/>
      <c r="AA910" s="120"/>
      <c r="AB910" s="120"/>
      <c r="AC910" s="120"/>
      <c r="AD910" s="120"/>
      <c r="AE910" s="120"/>
      <c r="AF910" s="120"/>
      <c r="AG910" s="120"/>
      <c r="AH910" s="120"/>
      <c r="AI910" s="120"/>
      <c r="AJ910" s="120"/>
      <c r="AK910" s="120"/>
      <c r="AL910" s="121"/>
    </row>
    <row r="911" spans="1:38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0"/>
      <c r="U911" s="121"/>
      <c r="V911" s="120"/>
      <c r="W911" s="121"/>
      <c r="X911" s="120"/>
      <c r="Y911" s="120"/>
      <c r="Z911" s="120"/>
      <c r="AA911" s="120"/>
      <c r="AB911" s="120"/>
      <c r="AC911" s="120"/>
      <c r="AD911" s="120"/>
      <c r="AE911" s="120"/>
      <c r="AF911" s="120"/>
      <c r="AG911" s="120"/>
      <c r="AH911" s="120"/>
      <c r="AI911" s="120"/>
      <c r="AJ911" s="120"/>
      <c r="AK911" s="120"/>
      <c r="AL911" s="121"/>
    </row>
    <row r="912" spans="1:38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0"/>
      <c r="U912" s="121"/>
      <c r="V912" s="120"/>
      <c r="W912" s="121"/>
      <c r="X912" s="120"/>
      <c r="Y912" s="120"/>
      <c r="Z912" s="120"/>
      <c r="AA912" s="120"/>
      <c r="AB912" s="120"/>
      <c r="AC912" s="120"/>
      <c r="AD912" s="120"/>
      <c r="AE912" s="120"/>
      <c r="AF912" s="120"/>
      <c r="AG912" s="120"/>
      <c r="AH912" s="120"/>
      <c r="AI912" s="120"/>
      <c r="AJ912" s="120"/>
      <c r="AK912" s="120"/>
      <c r="AL912" s="121"/>
    </row>
    <row r="913" spans="1:38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0"/>
      <c r="U913" s="121"/>
      <c r="V913" s="120"/>
      <c r="W913" s="121"/>
      <c r="X913" s="120"/>
      <c r="Y913" s="120"/>
      <c r="Z913" s="120"/>
      <c r="AA913" s="120"/>
      <c r="AB913" s="120"/>
      <c r="AC913" s="120"/>
      <c r="AD913" s="120"/>
      <c r="AE913" s="120"/>
      <c r="AF913" s="120"/>
      <c r="AG913" s="120"/>
      <c r="AH913" s="120"/>
      <c r="AI913" s="120"/>
      <c r="AJ913" s="120"/>
      <c r="AK913" s="120"/>
      <c r="AL913" s="121"/>
    </row>
    <row r="914" spans="1:38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0"/>
      <c r="U914" s="121"/>
      <c r="V914" s="120"/>
      <c r="W914" s="121"/>
      <c r="X914" s="120"/>
      <c r="Y914" s="120"/>
      <c r="Z914" s="120"/>
      <c r="AA914" s="120"/>
      <c r="AB914" s="120"/>
      <c r="AC914" s="120"/>
      <c r="AD914" s="120"/>
      <c r="AE914" s="120"/>
      <c r="AF914" s="120"/>
      <c r="AG914" s="120"/>
      <c r="AH914" s="120"/>
      <c r="AI914" s="120"/>
      <c r="AJ914" s="120"/>
      <c r="AK914" s="120"/>
      <c r="AL914" s="121"/>
    </row>
    <row r="915" spans="1:38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0"/>
      <c r="U915" s="121"/>
      <c r="V915" s="120"/>
      <c r="W915" s="121"/>
      <c r="X915" s="120"/>
      <c r="Y915" s="120"/>
      <c r="Z915" s="120"/>
      <c r="AA915" s="120"/>
      <c r="AB915" s="120"/>
      <c r="AC915" s="120"/>
      <c r="AD915" s="120"/>
      <c r="AE915" s="120"/>
      <c r="AF915" s="120"/>
      <c r="AG915" s="120"/>
      <c r="AH915" s="120"/>
      <c r="AI915" s="120"/>
      <c r="AJ915" s="120"/>
      <c r="AK915" s="120"/>
      <c r="AL915" s="121"/>
    </row>
    <row r="916" spans="1:38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0"/>
      <c r="U916" s="121"/>
      <c r="V916" s="120"/>
      <c r="W916" s="121"/>
      <c r="X916" s="120"/>
      <c r="Y916" s="120"/>
      <c r="Z916" s="120"/>
      <c r="AA916" s="120"/>
      <c r="AB916" s="120"/>
      <c r="AC916" s="120"/>
      <c r="AD916" s="120"/>
      <c r="AE916" s="120"/>
      <c r="AF916" s="120"/>
      <c r="AG916" s="120"/>
      <c r="AH916" s="120"/>
      <c r="AI916" s="120"/>
      <c r="AJ916" s="120"/>
      <c r="AK916" s="120"/>
      <c r="AL916" s="121"/>
    </row>
    <row r="917" spans="1:38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0"/>
      <c r="U917" s="121"/>
      <c r="V917" s="120"/>
      <c r="W917" s="121"/>
      <c r="X917" s="120"/>
      <c r="Y917" s="120"/>
      <c r="Z917" s="120"/>
      <c r="AA917" s="120"/>
      <c r="AB917" s="120"/>
      <c r="AC917" s="120"/>
      <c r="AD917" s="120"/>
      <c r="AE917" s="120"/>
      <c r="AF917" s="120"/>
      <c r="AG917" s="120"/>
      <c r="AH917" s="120"/>
      <c r="AI917" s="120"/>
      <c r="AJ917" s="120"/>
      <c r="AK917" s="120"/>
      <c r="AL917" s="121"/>
    </row>
    <row r="918" spans="1:38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0"/>
      <c r="U918" s="121"/>
      <c r="V918" s="120"/>
      <c r="W918" s="121"/>
      <c r="X918" s="120"/>
      <c r="Y918" s="120"/>
      <c r="Z918" s="120"/>
      <c r="AA918" s="120"/>
      <c r="AB918" s="120"/>
      <c r="AC918" s="120"/>
      <c r="AD918" s="120"/>
      <c r="AE918" s="120"/>
      <c r="AF918" s="120"/>
      <c r="AG918" s="120"/>
      <c r="AH918" s="120"/>
      <c r="AI918" s="120"/>
      <c r="AJ918" s="120"/>
      <c r="AK918" s="120"/>
      <c r="AL918" s="121"/>
    </row>
    <row r="919" spans="1:38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0"/>
      <c r="U919" s="121"/>
      <c r="V919" s="120"/>
      <c r="W919" s="121"/>
      <c r="X919" s="120"/>
      <c r="Y919" s="120"/>
      <c r="Z919" s="120"/>
      <c r="AA919" s="120"/>
      <c r="AB919" s="120"/>
      <c r="AC919" s="120"/>
      <c r="AD919" s="120"/>
      <c r="AE919" s="120"/>
      <c r="AF919" s="120"/>
      <c r="AG919" s="120"/>
      <c r="AH919" s="120"/>
      <c r="AI919" s="120"/>
      <c r="AJ919" s="120"/>
      <c r="AK919" s="120"/>
      <c r="AL919" s="121"/>
    </row>
    <row r="920" spans="1:38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0"/>
      <c r="U920" s="121"/>
      <c r="V920" s="120"/>
      <c r="W920" s="121"/>
      <c r="X920" s="120"/>
      <c r="Y920" s="120"/>
      <c r="Z920" s="120"/>
      <c r="AA920" s="120"/>
      <c r="AB920" s="120"/>
      <c r="AC920" s="120"/>
      <c r="AD920" s="120"/>
      <c r="AE920" s="120"/>
      <c r="AF920" s="120"/>
      <c r="AG920" s="120"/>
      <c r="AH920" s="120"/>
      <c r="AI920" s="120"/>
      <c r="AJ920" s="120"/>
      <c r="AK920" s="120"/>
      <c r="AL920" s="121"/>
    </row>
    <row r="921" spans="1:38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0"/>
      <c r="U921" s="121"/>
      <c r="V921" s="120"/>
      <c r="W921" s="121"/>
      <c r="X921" s="120"/>
      <c r="Y921" s="120"/>
      <c r="Z921" s="120"/>
      <c r="AA921" s="120"/>
      <c r="AB921" s="120"/>
      <c r="AC921" s="120"/>
      <c r="AD921" s="120"/>
      <c r="AE921" s="120"/>
      <c r="AF921" s="120"/>
      <c r="AG921" s="120"/>
      <c r="AH921" s="120"/>
      <c r="AI921" s="120"/>
      <c r="AJ921" s="120"/>
      <c r="AK921" s="120"/>
      <c r="AL921" s="121"/>
    </row>
    <row r="922" spans="1:38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0"/>
      <c r="U922" s="121"/>
      <c r="V922" s="120"/>
      <c r="W922" s="121"/>
      <c r="X922" s="120"/>
      <c r="Y922" s="120"/>
      <c r="Z922" s="120"/>
      <c r="AA922" s="120"/>
      <c r="AB922" s="120"/>
      <c r="AC922" s="120"/>
      <c r="AD922" s="120"/>
      <c r="AE922" s="120"/>
      <c r="AF922" s="120"/>
      <c r="AG922" s="120"/>
      <c r="AH922" s="120"/>
      <c r="AI922" s="120"/>
      <c r="AJ922" s="120"/>
      <c r="AK922" s="120"/>
      <c r="AL922" s="121"/>
    </row>
    <row r="923" spans="1:38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0"/>
      <c r="U923" s="121"/>
      <c r="V923" s="120"/>
      <c r="W923" s="121"/>
      <c r="X923" s="120"/>
      <c r="Y923" s="120"/>
      <c r="Z923" s="120"/>
      <c r="AA923" s="120"/>
      <c r="AB923" s="120"/>
      <c r="AC923" s="120"/>
      <c r="AD923" s="120"/>
      <c r="AE923" s="120"/>
      <c r="AF923" s="120"/>
      <c r="AG923" s="120"/>
      <c r="AH923" s="120"/>
      <c r="AI923" s="120"/>
      <c r="AJ923" s="120"/>
      <c r="AK923" s="120"/>
      <c r="AL923" s="121"/>
    </row>
    <row r="924" spans="1:38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0"/>
      <c r="U924" s="121"/>
      <c r="V924" s="120"/>
      <c r="W924" s="121"/>
      <c r="X924" s="120"/>
      <c r="Y924" s="120"/>
      <c r="Z924" s="120"/>
      <c r="AA924" s="120"/>
      <c r="AB924" s="120"/>
      <c r="AC924" s="120"/>
      <c r="AD924" s="120"/>
      <c r="AE924" s="120"/>
      <c r="AF924" s="120"/>
      <c r="AG924" s="120"/>
      <c r="AH924" s="120"/>
      <c r="AI924" s="120"/>
      <c r="AJ924" s="120"/>
      <c r="AK924" s="120"/>
      <c r="AL924" s="121"/>
    </row>
    <row r="925" spans="1:38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0"/>
      <c r="U925" s="121"/>
      <c r="V925" s="120"/>
      <c r="W925" s="121"/>
      <c r="X925" s="120"/>
      <c r="Y925" s="120"/>
      <c r="Z925" s="120"/>
      <c r="AA925" s="120"/>
      <c r="AB925" s="120"/>
      <c r="AC925" s="120"/>
      <c r="AD925" s="120"/>
      <c r="AE925" s="120"/>
      <c r="AF925" s="120"/>
      <c r="AG925" s="120"/>
      <c r="AH925" s="120"/>
      <c r="AI925" s="120"/>
      <c r="AJ925" s="120"/>
      <c r="AK925" s="120"/>
      <c r="AL925" s="121"/>
    </row>
    <row r="926" spans="1:38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0"/>
      <c r="U926" s="121"/>
      <c r="V926" s="120"/>
      <c r="W926" s="121"/>
      <c r="X926" s="120"/>
      <c r="Y926" s="120"/>
      <c r="Z926" s="120"/>
      <c r="AA926" s="120"/>
      <c r="AB926" s="120"/>
      <c r="AC926" s="120"/>
      <c r="AD926" s="120"/>
      <c r="AE926" s="120"/>
      <c r="AF926" s="120"/>
      <c r="AG926" s="120"/>
      <c r="AH926" s="120"/>
      <c r="AI926" s="120"/>
      <c r="AJ926" s="120"/>
      <c r="AK926" s="120"/>
      <c r="AL926" s="121"/>
    </row>
    <row r="927" spans="1:38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0"/>
      <c r="U927" s="121"/>
      <c r="V927" s="120"/>
      <c r="W927" s="121"/>
      <c r="X927" s="120"/>
      <c r="Y927" s="120"/>
      <c r="Z927" s="120"/>
      <c r="AA927" s="120"/>
      <c r="AB927" s="120"/>
      <c r="AC927" s="120"/>
      <c r="AD927" s="120"/>
      <c r="AE927" s="120"/>
      <c r="AF927" s="120"/>
      <c r="AG927" s="120"/>
      <c r="AH927" s="120"/>
      <c r="AI927" s="120"/>
      <c r="AJ927" s="120"/>
      <c r="AK927" s="120"/>
      <c r="AL927" s="121"/>
    </row>
    <row r="928" spans="1:38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0"/>
      <c r="U928" s="121"/>
      <c r="V928" s="120"/>
      <c r="W928" s="121"/>
      <c r="X928" s="120"/>
      <c r="Y928" s="120"/>
      <c r="Z928" s="120"/>
      <c r="AA928" s="120"/>
      <c r="AB928" s="120"/>
      <c r="AC928" s="120"/>
      <c r="AD928" s="120"/>
      <c r="AE928" s="120"/>
      <c r="AF928" s="120"/>
      <c r="AG928" s="120"/>
      <c r="AH928" s="120"/>
      <c r="AI928" s="120"/>
      <c r="AJ928" s="120"/>
      <c r="AK928" s="120"/>
      <c r="AL928" s="121"/>
    </row>
    <row r="929" spans="1:38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0"/>
      <c r="U929" s="121"/>
      <c r="V929" s="120"/>
      <c r="W929" s="121"/>
      <c r="X929" s="120"/>
      <c r="Y929" s="120"/>
      <c r="Z929" s="120"/>
      <c r="AA929" s="120"/>
      <c r="AB929" s="120"/>
      <c r="AC929" s="120"/>
      <c r="AD929" s="120"/>
      <c r="AE929" s="120"/>
      <c r="AF929" s="120"/>
      <c r="AG929" s="120"/>
      <c r="AH929" s="120"/>
      <c r="AI929" s="120"/>
      <c r="AJ929" s="120"/>
      <c r="AK929" s="120"/>
      <c r="AL929" s="121"/>
    </row>
    <row r="930" spans="1:38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0"/>
      <c r="U930" s="121"/>
      <c r="V930" s="120"/>
      <c r="W930" s="121"/>
      <c r="X930" s="120"/>
      <c r="Y930" s="120"/>
      <c r="Z930" s="120"/>
      <c r="AA930" s="120"/>
      <c r="AB930" s="120"/>
      <c r="AC930" s="120"/>
      <c r="AD930" s="120"/>
      <c r="AE930" s="120"/>
      <c r="AF930" s="120"/>
      <c r="AG930" s="120"/>
      <c r="AH930" s="120"/>
      <c r="AI930" s="120"/>
      <c r="AJ930" s="120"/>
      <c r="AK930" s="120"/>
      <c r="AL930" s="121"/>
    </row>
    <row r="931" spans="1:38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0"/>
      <c r="U931" s="121"/>
      <c r="V931" s="120"/>
      <c r="W931" s="121"/>
      <c r="X931" s="120"/>
      <c r="Y931" s="120"/>
      <c r="Z931" s="120"/>
      <c r="AA931" s="120"/>
      <c r="AB931" s="120"/>
      <c r="AC931" s="120"/>
      <c r="AD931" s="120"/>
      <c r="AE931" s="120"/>
      <c r="AF931" s="120"/>
      <c r="AG931" s="120"/>
      <c r="AH931" s="120"/>
      <c r="AI931" s="120"/>
      <c r="AJ931" s="120"/>
      <c r="AK931" s="120"/>
      <c r="AL931" s="121"/>
    </row>
    <row r="932" spans="1:38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0"/>
      <c r="U932" s="121"/>
      <c r="V932" s="120"/>
      <c r="W932" s="121"/>
      <c r="X932" s="120"/>
      <c r="Y932" s="120"/>
      <c r="Z932" s="120"/>
      <c r="AA932" s="120"/>
      <c r="AB932" s="120"/>
      <c r="AC932" s="120"/>
      <c r="AD932" s="120"/>
      <c r="AE932" s="120"/>
      <c r="AF932" s="120"/>
      <c r="AG932" s="120"/>
      <c r="AH932" s="120"/>
      <c r="AI932" s="120"/>
      <c r="AJ932" s="120"/>
      <c r="AK932" s="120"/>
      <c r="AL932" s="121"/>
    </row>
    <row r="933" spans="1:38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0"/>
      <c r="U933" s="121"/>
      <c r="V933" s="120"/>
      <c r="W933" s="121"/>
      <c r="X933" s="120"/>
      <c r="Y933" s="120"/>
      <c r="Z933" s="120"/>
      <c r="AA933" s="120"/>
      <c r="AB933" s="120"/>
      <c r="AC933" s="120"/>
      <c r="AD933" s="120"/>
      <c r="AE933" s="120"/>
      <c r="AF933" s="120"/>
      <c r="AG933" s="120"/>
      <c r="AH933" s="120"/>
      <c r="AI933" s="120"/>
      <c r="AJ933" s="120"/>
      <c r="AK933" s="120"/>
      <c r="AL933" s="121"/>
    </row>
    <row r="934" spans="1:38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0"/>
      <c r="U934" s="121"/>
      <c r="V934" s="120"/>
      <c r="W934" s="121"/>
      <c r="X934" s="120"/>
      <c r="Y934" s="120"/>
      <c r="Z934" s="120"/>
      <c r="AA934" s="120"/>
      <c r="AB934" s="120"/>
      <c r="AC934" s="120"/>
      <c r="AD934" s="120"/>
      <c r="AE934" s="120"/>
      <c r="AF934" s="120"/>
      <c r="AG934" s="120"/>
      <c r="AH934" s="120"/>
      <c r="AI934" s="120"/>
      <c r="AJ934" s="120"/>
      <c r="AK934" s="120"/>
      <c r="AL934" s="121"/>
    </row>
    <row r="935" spans="1:38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0"/>
      <c r="U935" s="121"/>
      <c r="V935" s="120"/>
      <c r="W935" s="121"/>
      <c r="X935" s="120"/>
      <c r="Y935" s="120"/>
      <c r="Z935" s="120"/>
      <c r="AA935" s="120"/>
      <c r="AB935" s="120"/>
      <c r="AC935" s="120"/>
      <c r="AD935" s="120"/>
      <c r="AE935" s="120"/>
      <c r="AF935" s="120"/>
      <c r="AG935" s="120"/>
      <c r="AH935" s="120"/>
      <c r="AI935" s="120"/>
      <c r="AJ935" s="120"/>
      <c r="AK935" s="120"/>
      <c r="AL935" s="121"/>
    </row>
    <row r="936" spans="1:38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0"/>
      <c r="U936" s="121"/>
      <c r="V936" s="120"/>
      <c r="W936" s="121"/>
      <c r="X936" s="120"/>
      <c r="Y936" s="120"/>
      <c r="Z936" s="120"/>
      <c r="AA936" s="120"/>
      <c r="AB936" s="120"/>
      <c r="AC936" s="120"/>
      <c r="AD936" s="120"/>
      <c r="AE936" s="120"/>
      <c r="AF936" s="120"/>
      <c r="AG936" s="120"/>
      <c r="AH936" s="120"/>
      <c r="AI936" s="120"/>
      <c r="AJ936" s="120"/>
      <c r="AK936" s="120"/>
      <c r="AL936" s="121"/>
    </row>
    <row r="937" spans="1:38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0"/>
      <c r="U937" s="121"/>
      <c r="V937" s="120"/>
      <c r="W937" s="121"/>
      <c r="X937" s="120"/>
      <c r="Y937" s="120"/>
      <c r="Z937" s="120"/>
      <c r="AA937" s="120"/>
      <c r="AB937" s="120"/>
      <c r="AC937" s="120"/>
      <c r="AD937" s="120"/>
      <c r="AE937" s="120"/>
      <c r="AF937" s="120"/>
      <c r="AG937" s="120"/>
      <c r="AH937" s="120"/>
      <c r="AI937" s="120"/>
      <c r="AJ937" s="120"/>
      <c r="AK937" s="120"/>
      <c r="AL937" s="121"/>
    </row>
    <row r="938" spans="1:38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0"/>
      <c r="U938" s="121"/>
      <c r="V938" s="120"/>
      <c r="W938" s="121"/>
      <c r="X938" s="120"/>
      <c r="Y938" s="120"/>
      <c r="Z938" s="120"/>
      <c r="AA938" s="120"/>
      <c r="AB938" s="120"/>
      <c r="AC938" s="120"/>
      <c r="AD938" s="120"/>
      <c r="AE938" s="120"/>
      <c r="AF938" s="120"/>
      <c r="AG938" s="120"/>
      <c r="AH938" s="120"/>
      <c r="AI938" s="120"/>
      <c r="AJ938" s="120"/>
      <c r="AK938" s="120"/>
      <c r="AL938" s="121"/>
    </row>
    <row r="939" spans="1:38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0"/>
      <c r="U939" s="121"/>
      <c r="V939" s="120"/>
      <c r="W939" s="121"/>
      <c r="X939" s="120"/>
      <c r="Y939" s="120"/>
      <c r="Z939" s="120"/>
      <c r="AA939" s="120"/>
      <c r="AB939" s="120"/>
      <c r="AC939" s="120"/>
      <c r="AD939" s="120"/>
      <c r="AE939" s="120"/>
      <c r="AF939" s="120"/>
      <c r="AG939" s="120"/>
      <c r="AH939" s="120"/>
      <c r="AI939" s="120"/>
      <c r="AJ939" s="120"/>
      <c r="AK939" s="120"/>
      <c r="AL939" s="121"/>
    </row>
    <row r="940" spans="1:38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0"/>
      <c r="U940" s="121"/>
      <c r="V940" s="120"/>
      <c r="W940" s="121"/>
      <c r="X940" s="120"/>
      <c r="Y940" s="120"/>
      <c r="Z940" s="120"/>
      <c r="AA940" s="120"/>
      <c r="AB940" s="120"/>
      <c r="AC940" s="120"/>
      <c r="AD940" s="120"/>
      <c r="AE940" s="120"/>
      <c r="AF940" s="120"/>
      <c r="AG940" s="120"/>
      <c r="AH940" s="120"/>
      <c r="AI940" s="120"/>
      <c r="AJ940" s="120"/>
      <c r="AK940" s="120"/>
      <c r="AL940" s="121"/>
    </row>
    <row r="941" spans="1:38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0"/>
      <c r="U941" s="121"/>
      <c r="V941" s="120"/>
      <c r="W941" s="121"/>
      <c r="X941" s="120"/>
      <c r="Y941" s="120"/>
      <c r="Z941" s="120"/>
      <c r="AA941" s="120"/>
      <c r="AB941" s="120"/>
      <c r="AC941" s="120"/>
      <c r="AD941" s="120"/>
      <c r="AE941" s="120"/>
      <c r="AF941" s="120"/>
      <c r="AG941" s="120"/>
      <c r="AH941" s="120"/>
      <c r="AI941" s="120"/>
      <c r="AJ941" s="120"/>
      <c r="AK941" s="120"/>
      <c r="AL941" s="121"/>
    </row>
    <row r="942" spans="1:38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0"/>
      <c r="U942" s="121"/>
      <c r="V942" s="120"/>
      <c r="W942" s="121"/>
      <c r="X942" s="120"/>
      <c r="Y942" s="120"/>
      <c r="Z942" s="120"/>
      <c r="AA942" s="120"/>
      <c r="AB942" s="120"/>
      <c r="AC942" s="120"/>
      <c r="AD942" s="120"/>
      <c r="AE942" s="120"/>
      <c r="AF942" s="120"/>
      <c r="AG942" s="120"/>
      <c r="AH942" s="120"/>
      <c r="AI942" s="120"/>
      <c r="AJ942" s="120"/>
      <c r="AK942" s="120"/>
      <c r="AL942" s="121"/>
    </row>
    <row r="943" spans="1:38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0"/>
      <c r="U943" s="121"/>
      <c r="V943" s="120"/>
      <c r="W943" s="121"/>
      <c r="X943" s="120"/>
      <c r="Y943" s="120"/>
      <c r="Z943" s="120"/>
      <c r="AA943" s="120"/>
      <c r="AB943" s="120"/>
      <c r="AC943" s="120"/>
      <c r="AD943" s="120"/>
      <c r="AE943" s="120"/>
      <c r="AF943" s="120"/>
      <c r="AG943" s="120"/>
      <c r="AH943" s="120"/>
      <c r="AI943" s="120"/>
      <c r="AJ943" s="120"/>
      <c r="AK943" s="120"/>
      <c r="AL943" s="121"/>
    </row>
    <row r="944" spans="1:38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0"/>
      <c r="U944" s="121"/>
      <c r="V944" s="120"/>
      <c r="W944" s="121"/>
      <c r="X944" s="120"/>
      <c r="Y944" s="120"/>
      <c r="Z944" s="120"/>
      <c r="AA944" s="120"/>
      <c r="AB944" s="120"/>
      <c r="AC944" s="120"/>
      <c r="AD944" s="120"/>
      <c r="AE944" s="120"/>
      <c r="AF944" s="120"/>
      <c r="AG944" s="120"/>
      <c r="AH944" s="120"/>
      <c r="AI944" s="120"/>
      <c r="AJ944" s="120"/>
      <c r="AK944" s="120"/>
      <c r="AL944" s="121"/>
    </row>
    <row r="945" spans="1:38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0"/>
      <c r="U945" s="121"/>
      <c r="V945" s="120"/>
      <c r="W945" s="121"/>
      <c r="X945" s="120"/>
      <c r="Y945" s="120"/>
      <c r="Z945" s="120"/>
      <c r="AA945" s="120"/>
      <c r="AB945" s="120"/>
      <c r="AC945" s="120"/>
      <c r="AD945" s="120"/>
      <c r="AE945" s="120"/>
      <c r="AF945" s="120"/>
      <c r="AG945" s="120"/>
      <c r="AH945" s="120"/>
      <c r="AI945" s="120"/>
      <c r="AJ945" s="120"/>
      <c r="AK945" s="120"/>
      <c r="AL945" s="121"/>
    </row>
    <row r="946" spans="1:38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0"/>
      <c r="U946" s="121"/>
      <c r="V946" s="120"/>
      <c r="W946" s="121"/>
      <c r="X946" s="120"/>
      <c r="Y946" s="120"/>
      <c r="Z946" s="120"/>
      <c r="AA946" s="120"/>
      <c r="AB946" s="120"/>
      <c r="AC946" s="120"/>
      <c r="AD946" s="120"/>
      <c r="AE946" s="120"/>
      <c r="AF946" s="120"/>
      <c r="AG946" s="120"/>
      <c r="AH946" s="120"/>
      <c r="AI946" s="120"/>
      <c r="AJ946" s="120"/>
      <c r="AK946" s="120"/>
      <c r="AL946" s="121"/>
    </row>
    <row r="947" spans="1:38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0"/>
      <c r="U947" s="121"/>
      <c r="V947" s="120"/>
      <c r="W947" s="121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  <c r="AJ947" s="120"/>
      <c r="AK947" s="120"/>
      <c r="AL947" s="121"/>
    </row>
    <row r="948" spans="1:38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0"/>
      <c r="U948" s="121"/>
      <c r="V948" s="120"/>
      <c r="W948" s="121"/>
      <c r="X948" s="120"/>
      <c r="Y948" s="120"/>
      <c r="Z948" s="120"/>
      <c r="AA948" s="120"/>
      <c r="AB948" s="120"/>
      <c r="AC948" s="120"/>
      <c r="AD948" s="120"/>
      <c r="AE948" s="120"/>
      <c r="AF948" s="120"/>
      <c r="AG948" s="120"/>
      <c r="AH948" s="120"/>
      <c r="AI948" s="120"/>
      <c r="AJ948" s="120"/>
      <c r="AK948" s="120"/>
      <c r="AL948" s="121"/>
    </row>
    <row r="949" spans="1:38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0"/>
      <c r="U949" s="121"/>
      <c r="V949" s="120"/>
      <c r="W949" s="121"/>
      <c r="X949" s="120"/>
      <c r="Y949" s="120"/>
      <c r="Z949" s="120"/>
      <c r="AA949" s="120"/>
      <c r="AB949" s="120"/>
      <c r="AC949" s="120"/>
      <c r="AD949" s="120"/>
      <c r="AE949" s="120"/>
      <c r="AF949" s="120"/>
      <c r="AG949" s="120"/>
      <c r="AH949" s="120"/>
      <c r="AI949" s="120"/>
      <c r="AJ949" s="120"/>
      <c r="AK949" s="120"/>
      <c r="AL949" s="121"/>
    </row>
    <row r="950" spans="1:38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0"/>
      <c r="U950" s="121"/>
      <c r="V950" s="120"/>
      <c r="W950" s="121"/>
      <c r="X950" s="120"/>
      <c r="Y950" s="120"/>
      <c r="Z950" s="120"/>
      <c r="AA950" s="120"/>
      <c r="AB950" s="120"/>
      <c r="AC950" s="120"/>
      <c r="AD950" s="120"/>
      <c r="AE950" s="120"/>
      <c r="AF950" s="120"/>
      <c r="AG950" s="120"/>
      <c r="AH950" s="120"/>
      <c r="AI950" s="120"/>
      <c r="AJ950" s="120"/>
      <c r="AK950" s="120"/>
      <c r="AL950" s="121"/>
    </row>
    <row r="951" spans="1:38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0"/>
      <c r="U951" s="121"/>
      <c r="V951" s="120"/>
      <c r="W951" s="121"/>
      <c r="X951" s="120"/>
      <c r="Y951" s="120"/>
      <c r="Z951" s="120"/>
      <c r="AA951" s="120"/>
      <c r="AB951" s="120"/>
      <c r="AC951" s="120"/>
      <c r="AD951" s="120"/>
      <c r="AE951" s="120"/>
      <c r="AF951" s="120"/>
      <c r="AG951" s="120"/>
      <c r="AH951" s="120"/>
      <c r="AI951" s="120"/>
      <c r="AJ951" s="120"/>
      <c r="AK951" s="120"/>
      <c r="AL951" s="121"/>
    </row>
    <row r="952" spans="1:38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0"/>
      <c r="U952" s="121"/>
      <c r="V952" s="120"/>
      <c r="W952" s="121"/>
      <c r="X952" s="120"/>
      <c r="Y952" s="120"/>
      <c r="Z952" s="120"/>
      <c r="AA952" s="120"/>
      <c r="AB952" s="120"/>
      <c r="AC952" s="120"/>
      <c r="AD952" s="120"/>
      <c r="AE952" s="120"/>
      <c r="AF952" s="120"/>
      <c r="AG952" s="120"/>
      <c r="AH952" s="120"/>
      <c r="AI952" s="120"/>
      <c r="AJ952" s="120"/>
      <c r="AK952" s="120"/>
      <c r="AL952" s="121"/>
    </row>
    <row r="953" spans="1:38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0"/>
      <c r="U953" s="121"/>
      <c r="V953" s="120"/>
      <c r="W953" s="121"/>
      <c r="X953" s="120"/>
      <c r="Y953" s="120"/>
      <c r="Z953" s="120"/>
      <c r="AA953" s="120"/>
      <c r="AB953" s="120"/>
      <c r="AC953" s="120"/>
      <c r="AD953" s="120"/>
      <c r="AE953" s="120"/>
      <c r="AF953" s="120"/>
      <c r="AG953" s="120"/>
      <c r="AH953" s="120"/>
      <c r="AI953" s="120"/>
      <c r="AJ953" s="120"/>
      <c r="AK953" s="120"/>
      <c r="AL953" s="121"/>
    </row>
    <row r="954" spans="1:38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0"/>
      <c r="U954" s="121"/>
      <c r="V954" s="120"/>
      <c r="W954" s="121"/>
      <c r="X954" s="120"/>
      <c r="Y954" s="120"/>
      <c r="Z954" s="120"/>
      <c r="AA954" s="120"/>
      <c r="AB954" s="120"/>
      <c r="AC954" s="120"/>
      <c r="AD954" s="120"/>
      <c r="AE954" s="120"/>
      <c r="AF954" s="120"/>
      <c r="AG954" s="120"/>
      <c r="AH954" s="120"/>
      <c r="AI954" s="120"/>
      <c r="AJ954" s="120"/>
      <c r="AK954" s="120"/>
      <c r="AL954" s="121"/>
    </row>
    <row r="955" spans="1:38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0"/>
      <c r="U955" s="121"/>
      <c r="V955" s="120"/>
      <c r="W955" s="121"/>
      <c r="X955" s="120"/>
      <c r="Y955" s="120"/>
      <c r="Z955" s="120"/>
      <c r="AA955" s="120"/>
      <c r="AB955" s="120"/>
      <c r="AC955" s="120"/>
      <c r="AD955" s="120"/>
      <c r="AE955" s="120"/>
      <c r="AF955" s="120"/>
      <c r="AG955" s="120"/>
      <c r="AH955" s="120"/>
      <c r="AI955" s="120"/>
      <c r="AJ955" s="120"/>
      <c r="AK955" s="120"/>
      <c r="AL955" s="121"/>
    </row>
    <row r="956" spans="1:38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0"/>
      <c r="U956" s="121"/>
      <c r="V956" s="120"/>
      <c r="W956" s="121"/>
      <c r="X956" s="120"/>
      <c r="Y956" s="120"/>
      <c r="Z956" s="120"/>
      <c r="AA956" s="120"/>
      <c r="AB956" s="120"/>
      <c r="AC956" s="120"/>
      <c r="AD956" s="120"/>
      <c r="AE956" s="120"/>
      <c r="AF956" s="120"/>
      <c r="AG956" s="120"/>
      <c r="AH956" s="120"/>
      <c r="AI956" s="120"/>
      <c r="AJ956" s="120"/>
      <c r="AK956" s="120"/>
      <c r="AL956" s="121"/>
    </row>
    <row r="957" spans="1:38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0"/>
      <c r="U957" s="121"/>
      <c r="V957" s="120"/>
      <c r="W957" s="121"/>
      <c r="X957" s="120"/>
      <c r="Y957" s="120"/>
      <c r="Z957" s="120"/>
      <c r="AA957" s="120"/>
      <c r="AB957" s="120"/>
      <c r="AC957" s="120"/>
      <c r="AD957" s="120"/>
      <c r="AE957" s="120"/>
      <c r="AF957" s="120"/>
      <c r="AG957" s="120"/>
      <c r="AH957" s="120"/>
      <c r="AI957" s="120"/>
      <c r="AJ957" s="120"/>
      <c r="AK957" s="120"/>
      <c r="AL957" s="121"/>
    </row>
    <row r="958" spans="1:38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0"/>
      <c r="U958" s="121"/>
      <c r="V958" s="120"/>
      <c r="W958" s="121"/>
      <c r="X958" s="120"/>
      <c r="Y958" s="120"/>
      <c r="Z958" s="120"/>
      <c r="AA958" s="120"/>
      <c r="AB958" s="120"/>
      <c r="AC958" s="120"/>
      <c r="AD958" s="120"/>
      <c r="AE958" s="120"/>
      <c r="AF958" s="120"/>
      <c r="AG958" s="120"/>
      <c r="AH958" s="120"/>
      <c r="AI958" s="120"/>
      <c r="AJ958" s="120"/>
      <c r="AK958" s="120"/>
      <c r="AL958" s="121"/>
    </row>
    <row r="959" spans="1:38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0"/>
      <c r="U959" s="121"/>
      <c r="V959" s="120"/>
      <c r="W959" s="121"/>
      <c r="X959" s="120"/>
      <c r="Y959" s="120"/>
      <c r="Z959" s="120"/>
      <c r="AA959" s="120"/>
      <c r="AB959" s="120"/>
      <c r="AC959" s="120"/>
      <c r="AD959" s="120"/>
      <c r="AE959" s="120"/>
      <c r="AF959" s="120"/>
      <c r="AG959" s="120"/>
      <c r="AH959" s="120"/>
      <c r="AI959" s="120"/>
      <c r="AJ959" s="120"/>
      <c r="AK959" s="120"/>
      <c r="AL959" s="121"/>
    </row>
    <row r="960" spans="1:38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0"/>
      <c r="U960" s="121"/>
      <c r="V960" s="120"/>
      <c r="W960" s="121"/>
      <c r="X960" s="120"/>
      <c r="Y960" s="120"/>
      <c r="Z960" s="120"/>
      <c r="AA960" s="120"/>
      <c r="AB960" s="120"/>
      <c r="AC960" s="120"/>
      <c r="AD960" s="120"/>
      <c r="AE960" s="120"/>
      <c r="AF960" s="120"/>
      <c r="AG960" s="120"/>
      <c r="AH960" s="120"/>
      <c r="AI960" s="120"/>
      <c r="AJ960" s="120"/>
      <c r="AK960" s="120"/>
      <c r="AL960" s="121"/>
    </row>
    <row r="961" spans="1:38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0"/>
      <c r="U961" s="121"/>
      <c r="V961" s="120"/>
      <c r="W961" s="121"/>
      <c r="X961" s="120"/>
      <c r="Y961" s="120"/>
      <c r="Z961" s="120"/>
      <c r="AA961" s="120"/>
      <c r="AB961" s="120"/>
      <c r="AC961" s="120"/>
      <c r="AD961" s="120"/>
      <c r="AE961" s="120"/>
      <c r="AF961" s="120"/>
      <c r="AG961" s="120"/>
      <c r="AH961" s="120"/>
      <c r="AI961" s="120"/>
      <c r="AJ961" s="120"/>
      <c r="AK961" s="120"/>
      <c r="AL961" s="121"/>
    </row>
    <row r="962" spans="1:38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0"/>
      <c r="U962" s="121"/>
      <c r="V962" s="120"/>
      <c r="W962" s="121"/>
      <c r="X962" s="120"/>
      <c r="Y962" s="120"/>
      <c r="Z962" s="120"/>
      <c r="AA962" s="120"/>
      <c r="AB962" s="120"/>
      <c r="AC962" s="120"/>
      <c r="AD962" s="120"/>
      <c r="AE962" s="120"/>
      <c r="AF962" s="120"/>
      <c r="AG962" s="120"/>
      <c r="AH962" s="120"/>
      <c r="AI962" s="120"/>
      <c r="AJ962" s="120"/>
      <c r="AK962" s="120"/>
      <c r="AL962" s="121"/>
    </row>
    <row r="963" spans="1:38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0"/>
      <c r="U963" s="121"/>
      <c r="V963" s="120"/>
      <c r="W963" s="121"/>
      <c r="X963" s="120"/>
      <c r="Y963" s="120"/>
      <c r="Z963" s="120"/>
      <c r="AA963" s="120"/>
      <c r="AB963" s="120"/>
      <c r="AC963" s="120"/>
      <c r="AD963" s="120"/>
      <c r="AE963" s="120"/>
      <c r="AF963" s="120"/>
      <c r="AG963" s="120"/>
      <c r="AH963" s="120"/>
      <c r="AI963" s="120"/>
      <c r="AJ963" s="120"/>
      <c r="AK963" s="120"/>
      <c r="AL963" s="121"/>
    </row>
    <row r="964" spans="1:38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0"/>
      <c r="U964" s="121"/>
      <c r="V964" s="120"/>
      <c r="W964" s="121"/>
      <c r="X964" s="120"/>
      <c r="Y964" s="120"/>
      <c r="Z964" s="120"/>
      <c r="AA964" s="120"/>
      <c r="AB964" s="120"/>
      <c r="AC964" s="120"/>
      <c r="AD964" s="120"/>
      <c r="AE964" s="120"/>
      <c r="AF964" s="120"/>
      <c r="AG964" s="120"/>
      <c r="AH964" s="120"/>
      <c r="AI964" s="120"/>
      <c r="AJ964" s="120"/>
      <c r="AK964" s="120"/>
      <c r="AL964" s="121"/>
    </row>
    <row r="965" spans="1:38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0"/>
      <c r="U965" s="121"/>
      <c r="V965" s="120"/>
      <c r="W965" s="121"/>
      <c r="X965" s="120"/>
      <c r="Y965" s="120"/>
      <c r="Z965" s="120"/>
      <c r="AA965" s="120"/>
      <c r="AB965" s="120"/>
      <c r="AC965" s="120"/>
      <c r="AD965" s="120"/>
      <c r="AE965" s="120"/>
      <c r="AF965" s="120"/>
      <c r="AG965" s="120"/>
      <c r="AH965" s="120"/>
      <c r="AI965" s="120"/>
      <c r="AJ965" s="120"/>
      <c r="AK965" s="120"/>
      <c r="AL965" s="121"/>
    </row>
    <row r="966" spans="1:38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0"/>
      <c r="U966" s="121"/>
      <c r="V966" s="120"/>
      <c r="W966" s="121"/>
      <c r="X966" s="120"/>
      <c r="Y966" s="120"/>
      <c r="Z966" s="120"/>
      <c r="AA966" s="120"/>
      <c r="AB966" s="120"/>
      <c r="AC966" s="120"/>
      <c r="AD966" s="120"/>
      <c r="AE966" s="120"/>
      <c r="AF966" s="120"/>
      <c r="AG966" s="120"/>
      <c r="AH966" s="120"/>
      <c r="AI966" s="120"/>
      <c r="AJ966" s="120"/>
      <c r="AK966" s="120"/>
      <c r="AL966" s="121"/>
    </row>
    <row r="967" spans="1:38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0"/>
      <c r="U967" s="121"/>
      <c r="V967" s="120"/>
      <c r="W967" s="121"/>
      <c r="X967" s="120"/>
      <c r="Y967" s="120"/>
      <c r="Z967" s="120"/>
      <c r="AA967" s="120"/>
      <c r="AB967" s="120"/>
      <c r="AC967" s="120"/>
      <c r="AD967" s="120"/>
      <c r="AE967" s="120"/>
      <c r="AF967" s="120"/>
      <c r="AG967" s="120"/>
      <c r="AH967" s="120"/>
      <c r="AI967" s="120"/>
      <c r="AJ967" s="120"/>
      <c r="AK967" s="120"/>
      <c r="AL967" s="121"/>
    </row>
    <row r="968" spans="1:38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0"/>
      <c r="U968" s="121"/>
      <c r="V968" s="120"/>
      <c r="W968" s="121"/>
      <c r="X968" s="120"/>
      <c r="Y968" s="120"/>
      <c r="Z968" s="120"/>
      <c r="AA968" s="120"/>
      <c r="AB968" s="120"/>
      <c r="AC968" s="120"/>
      <c r="AD968" s="120"/>
      <c r="AE968" s="120"/>
      <c r="AF968" s="120"/>
      <c r="AG968" s="120"/>
      <c r="AH968" s="120"/>
      <c r="AI968" s="120"/>
      <c r="AJ968" s="120"/>
      <c r="AK968" s="120"/>
      <c r="AL968" s="121"/>
    </row>
    <row r="969" spans="1:38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0"/>
      <c r="U969" s="121"/>
      <c r="V969" s="120"/>
      <c r="W969" s="121"/>
      <c r="X969" s="120"/>
      <c r="Y969" s="120"/>
      <c r="Z969" s="120"/>
      <c r="AA969" s="120"/>
      <c r="AB969" s="120"/>
      <c r="AC969" s="120"/>
      <c r="AD969" s="120"/>
      <c r="AE969" s="120"/>
      <c r="AF969" s="120"/>
      <c r="AG969" s="120"/>
      <c r="AH969" s="120"/>
      <c r="AI969" s="120"/>
      <c r="AJ969" s="120"/>
      <c r="AK969" s="120"/>
      <c r="AL969" s="121"/>
    </row>
    <row r="970" spans="1:38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0"/>
      <c r="U970" s="121"/>
      <c r="V970" s="120"/>
      <c r="W970" s="121"/>
      <c r="X970" s="120"/>
      <c r="Y970" s="120"/>
      <c r="Z970" s="120"/>
      <c r="AA970" s="120"/>
      <c r="AB970" s="120"/>
      <c r="AC970" s="120"/>
      <c r="AD970" s="120"/>
      <c r="AE970" s="120"/>
      <c r="AF970" s="120"/>
      <c r="AG970" s="120"/>
      <c r="AH970" s="120"/>
      <c r="AI970" s="120"/>
      <c r="AJ970" s="120"/>
      <c r="AK970" s="120"/>
      <c r="AL970" s="121"/>
    </row>
    <row r="971" spans="1:38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0"/>
      <c r="U971" s="121"/>
      <c r="V971" s="120"/>
      <c r="W971" s="121"/>
      <c r="X971" s="120"/>
      <c r="Y971" s="120"/>
      <c r="Z971" s="120"/>
      <c r="AA971" s="120"/>
      <c r="AB971" s="120"/>
      <c r="AC971" s="120"/>
      <c r="AD971" s="120"/>
      <c r="AE971" s="120"/>
      <c r="AF971" s="120"/>
      <c r="AG971" s="120"/>
      <c r="AH971" s="120"/>
      <c r="AI971" s="120"/>
      <c r="AJ971" s="120"/>
      <c r="AK971" s="120"/>
      <c r="AL971" s="121"/>
    </row>
    <row r="972" spans="1:38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0"/>
      <c r="U972" s="121"/>
      <c r="V972" s="120"/>
      <c r="W972" s="121"/>
      <c r="X972" s="120"/>
      <c r="Y972" s="120"/>
      <c r="Z972" s="120"/>
      <c r="AA972" s="120"/>
      <c r="AB972" s="120"/>
      <c r="AC972" s="120"/>
      <c r="AD972" s="120"/>
      <c r="AE972" s="120"/>
      <c r="AF972" s="120"/>
      <c r="AG972" s="120"/>
      <c r="AH972" s="120"/>
      <c r="AI972" s="120"/>
      <c r="AJ972" s="120"/>
      <c r="AK972" s="120"/>
      <c r="AL972" s="121"/>
    </row>
    <row r="973" spans="1:38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0"/>
      <c r="U973" s="121"/>
      <c r="V973" s="120"/>
      <c r="W973" s="121"/>
      <c r="X973" s="120"/>
      <c r="Y973" s="120"/>
      <c r="Z973" s="120"/>
      <c r="AA973" s="120"/>
      <c r="AB973" s="120"/>
      <c r="AC973" s="120"/>
      <c r="AD973" s="120"/>
      <c r="AE973" s="120"/>
      <c r="AF973" s="120"/>
      <c r="AG973" s="120"/>
      <c r="AH973" s="120"/>
      <c r="AI973" s="120"/>
      <c r="AJ973" s="120"/>
      <c r="AK973" s="120"/>
      <c r="AL973" s="121"/>
    </row>
    <row r="974" spans="1:38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0"/>
      <c r="U974" s="121"/>
      <c r="V974" s="120"/>
      <c r="W974" s="121"/>
      <c r="X974" s="120"/>
      <c r="Y974" s="120"/>
      <c r="Z974" s="120"/>
      <c r="AA974" s="120"/>
      <c r="AB974" s="120"/>
      <c r="AC974" s="120"/>
      <c r="AD974" s="120"/>
      <c r="AE974" s="120"/>
      <c r="AF974" s="120"/>
      <c r="AG974" s="120"/>
      <c r="AH974" s="120"/>
      <c r="AI974" s="120"/>
      <c r="AJ974" s="120"/>
      <c r="AK974" s="120"/>
      <c r="AL974" s="121"/>
    </row>
    <row r="975" spans="1:38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0"/>
      <c r="U975" s="121"/>
      <c r="V975" s="120"/>
      <c r="W975" s="121"/>
      <c r="X975" s="120"/>
      <c r="Y975" s="120"/>
      <c r="Z975" s="120"/>
      <c r="AA975" s="120"/>
      <c r="AB975" s="120"/>
      <c r="AC975" s="120"/>
      <c r="AD975" s="120"/>
      <c r="AE975" s="120"/>
      <c r="AF975" s="120"/>
      <c r="AG975" s="120"/>
      <c r="AH975" s="120"/>
      <c r="AI975" s="120"/>
      <c r="AJ975" s="120"/>
      <c r="AK975" s="120"/>
      <c r="AL975" s="121"/>
    </row>
    <row r="976" spans="1:38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0"/>
      <c r="U976" s="121"/>
      <c r="V976" s="120"/>
      <c r="W976" s="121"/>
      <c r="X976" s="120"/>
      <c r="Y976" s="120"/>
      <c r="Z976" s="120"/>
      <c r="AA976" s="120"/>
      <c r="AB976" s="120"/>
      <c r="AC976" s="120"/>
      <c r="AD976" s="120"/>
      <c r="AE976" s="120"/>
      <c r="AF976" s="120"/>
      <c r="AG976" s="120"/>
      <c r="AH976" s="120"/>
      <c r="AI976" s="120"/>
      <c r="AJ976" s="120"/>
      <c r="AK976" s="120"/>
      <c r="AL976" s="121"/>
    </row>
    <row r="977" spans="1:38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0"/>
      <c r="U977" s="121"/>
      <c r="V977" s="120"/>
      <c r="W977" s="121"/>
      <c r="X977" s="120"/>
      <c r="Y977" s="120"/>
      <c r="Z977" s="120"/>
      <c r="AA977" s="120"/>
      <c r="AB977" s="120"/>
      <c r="AC977" s="120"/>
      <c r="AD977" s="120"/>
      <c r="AE977" s="120"/>
      <c r="AF977" s="120"/>
      <c r="AG977" s="120"/>
      <c r="AH977" s="120"/>
      <c r="AI977" s="120"/>
      <c r="AJ977" s="120"/>
      <c r="AK977" s="120"/>
      <c r="AL977" s="121"/>
    </row>
    <row r="978" spans="1:38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0"/>
      <c r="U978" s="121"/>
      <c r="V978" s="120"/>
      <c r="W978" s="121"/>
      <c r="X978" s="120"/>
      <c r="Y978" s="120"/>
      <c r="Z978" s="120"/>
      <c r="AA978" s="120"/>
      <c r="AB978" s="120"/>
      <c r="AC978" s="120"/>
      <c r="AD978" s="120"/>
      <c r="AE978" s="120"/>
      <c r="AF978" s="120"/>
      <c r="AG978" s="120"/>
      <c r="AH978" s="120"/>
      <c r="AI978" s="120"/>
      <c r="AJ978" s="120"/>
      <c r="AK978" s="120"/>
      <c r="AL978" s="121"/>
    </row>
    <row r="979" spans="1:38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0"/>
      <c r="U979" s="121"/>
      <c r="V979" s="120"/>
      <c r="W979" s="121"/>
      <c r="X979" s="120"/>
      <c r="Y979" s="120"/>
      <c r="Z979" s="120"/>
      <c r="AA979" s="120"/>
      <c r="AB979" s="120"/>
      <c r="AC979" s="120"/>
      <c r="AD979" s="120"/>
      <c r="AE979" s="120"/>
      <c r="AF979" s="120"/>
      <c r="AG979" s="120"/>
      <c r="AH979" s="120"/>
      <c r="AI979" s="120"/>
      <c r="AJ979" s="120"/>
      <c r="AK979" s="120"/>
      <c r="AL979" s="121"/>
    </row>
    <row r="980" spans="1:38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0"/>
      <c r="U980" s="121"/>
      <c r="V980" s="120"/>
      <c r="W980" s="121"/>
      <c r="X980" s="120"/>
      <c r="Y980" s="120"/>
      <c r="Z980" s="120"/>
      <c r="AA980" s="120"/>
      <c r="AB980" s="120"/>
      <c r="AC980" s="120"/>
      <c r="AD980" s="120"/>
      <c r="AE980" s="120"/>
      <c r="AF980" s="120"/>
      <c r="AG980" s="120"/>
      <c r="AH980" s="120"/>
      <c r="AI980" s="120"/>
      <c r="AJ980" s="120"/>
      <c r="AK980" s="120"/>
      <c r="AL980" s="121"/>
    </row>
    <row r="981" spans="1:38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0"/>
      <c r="U981" s="121"/>
      <c r="V981" s="120"/>
      <c r="W981" s="121"/>
      <c r="X981" s="120"/>
      <c r="Y981" s="120"/>
      <c r="Z981" s="120"/>
      <c r="AA981" s="120"/>
      <c r="AB981" s="120"/>
      <c r="AC981" s="120"/>
      <c r="AD981" s="120"/>
      <c r="AE981" s="120"/>
      <c r="AF981" s="120"/>
      <c r="AG981" s="120"/>
      <c r="AH981" s="120"/>
      <c r="AI981" s="120"/>
      <c r="AJ981" s="120"/>
      <c r="AK981" s="120"/>
      <c r="AL981" s="121"/>
    </row>
    <row r="982" spans="1:38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0"/>
      <c r="U982" s="121"/>
      <c r="V982" s="120"/>
      <c r="W982" s="121"/>
      <c r="X982" s="120"/>
      <c r="Y982" s="120"/>
      <c r="Z982" s="120"/>
      <c r="AA982" s="120"/>
      <c r="AB982" s="120"/>
      <c r="AC982" s="120"/>
      <c r="AD982" s="120"/>
      <c r="AE982" s="120"/>
      <c r="AF982" s="120"/>
      <c r="AG982" s="120"/>
      <c r="AH982" s="120"/>
      <c r="AI982" s="120"/>
      <c r="AJ982" s="120"/>
      <c r="AK982" s="120"/>
      <c r="AL982" s="121"/>
    </row>
    <row r="983" spans="1:38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0"/>
      <c r="U983" s="121"/>
      <c r="V983" s="120"/>
      <c r="W983" s="121"/>
      <c r="X983" s="120"/>
      <c r="Y983" s="120"/>
      <c r="Z983" s="120"/>
      <c r="AA983" s="120"/>
      <c r="AB983" s="120"/>
      <c r="AC983" s="120"/>
      <c r="AD983" s="120"/>
      <c r="AE983" s="120"/>
      <c r="AF983" s="120"/>
      <c r="AG983" s="120"/>
      <c r="AH983" s="120"/>
      <c r="AI983" s="120"/>
      <c r="AJ983" s="120"/>
      <c r="AK983" s="120"/>
      <c r="AL983" s="121"/>
    </row>
    <row r="984" spans="1:38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0"/>
      <c r="U984" s="121"/>
      <c r="V984" s="120"/>
      <c r="W984" s="121"/>
      <c r="X984" s="120"/>
      <c r="Y984" s="120"/>
      <c r="Z984" s="120"/>
      <c r="AA984" s="120"/>
      <c r="AB984" s="120"/>
      <c r="AC984" s="120"/>
      <c r="AD984" s="120"/>
      <c r="AE984" s="120"/>
      <c r="AF984" s="120"/>
      <c r="AG984" s="120"/>
      <c r="AH984" s="120"/>
      <c r="AI984" s="120"/>
      <c r="AJ984" s="120"/>
      <c r="AK984" s="120"/>
      <c r="AL984" s="121"/>
    </row>
    <row r="985" spans="1:38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0"/>
      <c r="U985" s="121"/>
      <c r="V985" s="120"/>
      <c r="W985" s="121"/>
      <c r="X985" s="120"/>
      <c r="Y985" s="120"/>
      <c r="Z985" s="120"/>
      <c r="AA985" s="120"/>
      <c r="AB985" s="120"/>
      <c r="AC985" s="120"/>
      <c r="AD985" s="120"/>
      <c r="AE985" s="120"/>
      <c r="AF985" s="120"/>
      <c r="AG985" s="120"/>
      <c r="AH985" s="120"/>
      <c r="AI985" s="120"/>
      <c r="AJ985" s="120"/>
      <c r="AK985" s="120"/>
      <c r="AL985" s="121"/>
    </row>
    <row r="986" spans="1:38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0"/>
      <c r="U986" s="121"/>
      <c r="V986" s="120"/>
      <c r="W986" s="121"/>
      <c r="X986" s="120"/>
      <c r="Y986" s="120"/>
      <c r="Z986" s="120"/>
      <c r="AA986" s="120"/>
      <c r="AB986" s="120"/>
      <c r="AC986" s="120"/>
      <c r="AD986" s="120"/>
      <c r="AE986" s="120"/>
      <c r="AF986" s="120"/>
      <c r="AG986" s="120"/>
      <c r="AH986" s="120"/>
      <c r="AI986" s="120"/>
      <c r="AJ986" s="120"/>
      <c r="AK986" s="120"/>
      <c r="AL986" s="121"/>
    </row>
    <row r="987" spans="1:38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0"/>
      <c r="U987" s="121"/>
      <c r="V987" s="120"/>
      <c r="W987" s="121"/>
      <c r="X987" s="120"/>
      <c r="Y987" s="120"/>
      <c r="Z987" s="120"/>
      <c r="AA987" s="120"/>
      <c r="AB987" s="120"/>
      <c r="AC987" s="120"/>
      <c r="AD987" s="120"/>
      <c r="AE987" s="120"/>
      <c r="AF987" s="120"/>
      <c r="AG987" s="120"/>
      <c r="AH987" s="120"/>
      <c r="AI987" s="120"/>
      <c r="AJ987" s="120"/>
      <c r="AK987" s="120"/>
      <c r="AL987" s="121"/>
    </row>
    <row r="988" spans="1:38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0"/>
      <c r="U988" s="121"/>
      <c r="V988" s="120"/>
      <c r="W988" s="121"/>
      <c r="X988" s="120"/>
      <c r="Y988" s="120"/>
      <c r="Z988" s="120"/>
      <c r="AA988" s="120"/>
      <c r="AB988" s="120"/>
      <c r="AC988" s="120"/>
      <c r="AD988" s="120"/>
      <c r="AE988" s="120"/>
      <c r="AF988" s="120"/>
      <c r="AG988" s="120"/>
      <c r="AH988" s="120"/>
      <c r="AI988" s="120"/>
      <c r="AJ988" s="120"/>
      <c r="AK988" s="120"/>
      <c r="AL988" s="121"/>
    </row>
    <row r="989" spans="1:38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0"/>
      <c r="U989" s="121"/>
      <c r="V989" s="120"/>
      <c r="W989" s="121"/>
      <c r="X989" s="120"/>
      <c r="Y989" s="120"/>
      <c r="Z989" s="120"/>
      <c r="AA989" s="120"/>
      <c r="AB989" s="120"/>
      <c r="AC989" s="120"/>
      <c r="AD989" s="120"/>
      <c r="AE989" s="120"/>
      <c r="AF989" s="120"/>
      <c r="AG989" s="120"/>
      <c r="AH989" s="120"/>
      <c r="AI989" s="120"/>
      <c r="AJ989" s="120"/>
      <c r="AK989" s="120"/>
      <c r="AL989" s="121"/>
    </row>
    <row r="990" spans="1:38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0"/>
      <c r="U990" s="121"/>
      <c r="V990" s="120"/>
      <c r="W990" s="121"/>
      <c r="X990" s="120"/>
      <c r="Y990" s="120"/>
      <c r="Z990" s="120"/>
      <c r="AA990" s="120"/>
      <c r="AB990" s="120"/>
      <c r="AC990" s="120"/>
      <c r="AD990" s="120"/>
      <c r="AE990" s="120"/>
      <c r="AF990" s="120"/>
      <c r="AG990" s="120"/>
      <c r="AH990" s="120"/>
      <c r="AI990" s="120"/>
      <c r="AJ990" s="120"/>
      <c r="AK990" s="120"/>
      <c r="AL990" s="121"/>
    </row>
    <row r="991" spans="1:38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0"/>
      <c r="U991" s="121"/>
      <c r="V991" s="120"/>
      <c r="W991" s="121"/>
      <c r="X991" s="120"/>
      <c r="Y991" s="120"/>
      <c r="Z991" s="120"/>
      <c r="AA991" s="120"/>
      <c r="AB991" s="120"/>
      <c r="AC991" s="120"/>
      <c r="AD991" s="120"/>
      <c r="AE991" s="120"/>
      <c r="AF991" s="120"/>
      <c r="AG991" s="120"/>
      <c r="AH991" s="120"/>
      <c r="AI991" s="120"/>
      <c r="AJ991" s="120"/>
      <c r="AK991" s="120"/>
      <c r="AL991" s="121"/>
    </row>
    <row r="992" spans="1:38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0"/>
      <c r="U992" s="121"/>
      <c r="V992" s="120"/>
      <c r="W992" s="121"/>
      <c r="X992" s="120"/>
      <c r="Y992" s="120"/>
      <c r="Z992" s="120"/>
      <c r="AA992" s="120"/>
      <c r="AB992" s="120"/>
      <c r="AC992" s="120"/>
      <c r="AD992" s="120"/>
      <c r="AE992" s="120"/>
      <c r="AF992" s="120"/>
      <c r="AG992" s="120"/>
      <c r="AH992" s="120"/>
      <c r="AI992" s="120"/>
      <c r="AJ992" s="120"/>
      <c r="AK992" s="120"/>
      <c r="AL992" s="121"/>
    </row>
    <row r="993" spans="1:38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0"/>
      <c r="U993" s="121"/>
      <c r="V993" s="120"/>
      <c r="W993" s="121"/>
      <c r="X993" s="120"/>
      <c r="Y993" s="120"/>
      <c r="Z993" s="120"/>
      <c r="AA993" s="120"/>
      <c r="AB993" s="120"/>
      <c r="AC993" s="120"/>
      <c r="AD993" s="120"/>
      <c r="AE993" s="120"/>
      <c r="AF993" s="120"/>
      <c r="AG993" s="120"/>
      <c r="AH993" s="120"/>
      <c r="AI993" s="120"/>
      <c r="AJ993" s="120"/>
      <c r="AK993" s="120"/>
      <c r="AL993" s="121"/>
    </row>
    <row r="994" spans="1:38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0"/>
      <c r="U994" s="121"/>
      <c r="V994" s="120"/>
      <c r="W994" s="121"/>
      <c r="X994" s="120"/>
      <c r="Y994" s="120"/>
      <c r="Z994" s="120"/>
      <c r="AA994" s="120"/>
      <c r="AB994" s="120"/>
      <c r="AC994" s="120"/>
      <c r="AD994" s="120"/>
      <c r="AE994" s="120"/>
      <c r="AF994" s="120"/>
      <c r="AG994" s="120"/>
      <c r="AH994" s="120"/>
      <c r="AI994" s="120"/>
      <c r="AJ994" s="120"/>
      <c r="AK994" s="120"/>
      <c r="AL994" s="121"/>
    </row>
    <row r="995" spans="1:38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0"/>
      <c r="U995" s="121"/>
      <c r="V995" s="120"/>
      <c r="W995" s="121"/>
      <c r="X995" s="120"/>
      <c r="Y995" s="120"/>
      <c r="Z995" s="120"/>
      <c r="AA995" s="120"/>
      <c r="AB995" s="120"/>
      <c r="AC995" s="120"/>
      <c r="AD995" s="120"/>
      <c r="AE995" s="120"/>
      <c r="AF995" s="120"/>
      <c r="AG995" s="120"/>
      <c r="AH995" s="120"/>
      <c r="AI995" s="120"/>
      <c r="AJ995" s="120"/>
      <c r="AK995" s="120"/>
      <c r="AL995" s="121"/>
    </row>
    <row r="996" spans="1:38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0"/>
      <c r="U996" s="121"/>
      <c r="V996" s="120"/>
      <c r="W996" s="121"/>
      <c r="X996" s="120"/>
      <c r="Y996" s="120"/>
      <c r="Z996" s="120"/>
      <c r="AA996" s="120"/>
      <c r="AB996" s="120"/>
      <c r="AC996" s="120"/>
      <c r="AD996" s="120"/>
      <c r="AE996" s="120"/>
      <c r="AF996" s="120"/>
      <c r="AG996" s="120"/>
      <c r="AH996" s="120"/>
      <c r="AI996" s="120"/>
      <c r="AJ996" s="120"/>
      <c r="AK996" s="120"/>
      <c r="AL996" s="121"/>
    </row>
    <row r="997" spans="1:38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0"/>
      <c r="U997" s="121"/>
      <c r="V997" s="120"/>
      <c r="W997" s="121"/>
      <c r="X997" s="120"/>
      <c r="Y997" s="120"/>
      <c r="Z997" s="120"/>
      <c r="AA997" s="120"/>
      <c r="AB997" s="120"/>
      <c r="AC997" s="120"/>
      <c r="AD997" s="120"/>
      <c r="AE997" s="120"/>
      <c r="AF997" s="120"/>
      <c r="AG997" s="120"/>
      <c r="AH997" s="120"/>
      <c r="AI997" s="120"/>
      <c r="AJ997" s="120"/>
      <c r="AK997" s="120"/>
      <c r="AL997" s="121"/>
    </row>
    <row r="998" spans="1:38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0"/>
      <c r="U998" s="121"/>
      <c r="V998" s="120"/>
      <c r="W998" s="121"/>
      <c r="X998" s="120"/>
      <c r="Y998" s="120"/>
      <c r="Z998" s="120"/>
      <c r="AA998" s="120"/>
      <c r="AB998" s="120"/>
      <c r="AC998" s="120"/>
      <c r="AD998" s="120"/>
      <c r="AE998" s="120"/>
      <c r="AF998" s="120"/>
      <c r="AG998" s="120"/>
      <c r="AH998" s="120"/>
      <c r="AI998" s="120"/>
      <c r="AJ998" s="120"/>
      <c r="AK998" s="120"/>
      <c r="AL998" s="121"/>
    </row>
    <row r="999" spans="1:38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0"/>
      <c r="U999" s="121"/>
      <c r="V999" s="120"/>
      <c r="W999" s="121"/>
      <c r="X999" s="120"/>
      <c r="Y999" s="120"/>
      <c r="Z999" s="120"/>
      <c r="AA999" s="120"/>
      <c r="AB999" s="120"/>
      <c r="AC999" s="120"/>
      <c r="AD999" s="120"/>
      <c r="AE999" s="120"/>
      <c r="AF999" s="120"/>
      <c r="AG999" s="120"/>
      <c r="AH999" s="120"/>
      <c r="AI999" s="120"/>
      <c r="AJ999" s="120"/>
      <c r="AK999" s="120"/>
      <c r="AL999" s="121"/>
    </row>
  </sheetData>
  <mergeCells count="36"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AH5:AI5"/>
    <mergeCell ref="AK5:AL5"/>
    <mergeCell ref="J4:Q4"/>
    <mergeCell ref="R4:W4"/>
    <mergeCell ref="J5:K5"/>
    <mergeCell ref="L5:N5"/>
    <mergeCell ref="O5:Q5"/>
    <mergeCell ref="R5:S5"/>
    <mergeCell ref="T5:W5"/>
    <mergeCell ref="X5:Y5"/>
    <mergeCell ref="Z5:AA5"/>
    <mergeCell ref="AB5:AC5"/>
    <mergeCell ref="AD5:AE5"/>
    <mergeCell ref="AF5:AG5"/>
    <mergeCell ref="X4:AA4"/>
    <mergeCell ref="AB4:AE4"/>
    <mergeCell ref="C2:AL2"/>
    <mergeCell ref="C3:Q3"/>
    <mergeCell ref="R3:AI3"/>
    <mergeCell ref="AJ3:AL4"/>
    <mergeCell ref="C4:G4"/>
    <mergeCell ref="H4:I4"/>
    <mergeCell ref="AF4:AI4"/>
  </mergeCells>
  <printOptions horizontalCentered="1"/>
  <pageMargins left="0.23622047244094491" right="0.23622047244094491" top="0.74803149606299213" bottom="0.74803149606299213" header="0" footer="0"/>
  <pageSetup paperSize="9" scale="36" fitToHeight="0" orientation="landscape" r:id="rId1"/>
  <headerFooter>
    <oddFooter>&amp;Cหน้า &amp;P/&amp;N</oddFooter>
  </headerFooter>
  <rowBreaks count="6" manualBreakCount="6">
    <brk id="30" max="16383" man="1"/>
    <brk id="51" max="16383" man="1"/>
    <brk id="73" max="16383" man="1"/>
    <brk id="88" max="16383" man="1"/>
    <brk id="73" man="1"/>
    <brk id="3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B1000"/>
  <sheetViews>
    <sheetView view="pageBreakPreview" zoomScale="60" zoomScaleNormal="100" workbookViewId="0">
      <pane xSplit="2" ySplit="7" topLeftCell="E8" activePane="bottomRight" state="frozen"/>
      <selection activeCell="J17" sqref="J17"/>
      <selection pane="topRight" activeCell="J17" sqref="J17"/>
      <selection pane="bottomLeft" activeCell="J17" sqref="J17"/>
      <selection pane="bottomRight" activeCell="Y52" sqref="Y52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5703125" bestFit="1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7" width="13.7109375" customWidth="1"/>
    <col min="18" max="18" width="12.5703125" customWidth="1"/>
    <col min="24" max="24" width="10.85546875" customWidth="1"/>
    <col min="25" max="25" width="12.85546875" customWidth="1"/>
    <col min="27" max="27" width="12.57031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336"/>
      <c r="T1" s="336"/>
      <c r="U1" s="126"/>
      <c r="V1" s="336"/>
      <c r="W1" s="126"/>
      <c r="X1" s="336"/>
      <c r="Y1" s="126"/>
      <c r="Z1" s="336"/>
      <c r="AA1" s="336"/>
      <c r="AB1" s="126"/>
    </row>
    <row r="2" spans="1:28" ht="24" customHeight="1" x14ac:dyDescent="0.2">
      <c r="A2" s="382" t="s">
        <v>1</v>
      </c>
      <c r="B2" s="383"/>
      <c r="C2" s="352" t="s">
        <v>207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4"/>
    </row>
    <row r="3" spans="1:28" ht="30" customHeight="1" x14ac:dyDescent="0.2">
      <c r="A3" s="384"/>
      <c r="B3" s="385"/>
      <c r="C3" s="355" t="s">
        <v>3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427" t="s">
        <v>208</v>
      </c>
      <c r="S3" s="429" t="s">
        <v>209</v>
      </c>
      <c r="T3" s="361"/>
      <c r="U3" s="362"/>
      <c r="V3" s="430" t="s">
        <v>210</v>
      </c>
      <c r="W3" s="362"/>
      <c r="X3" s="431" t="s">
        <v>211</v>
      </c>
      <c r="Y3" s="462"/>
      <c r="Z3" s="431" t="s">
        <v>212</v>
      </c>
      <c r="AA3" s="463"/>
      <c r="AB3" s="462"/>
    </row>
    <row r="4" spans="1:28" ht="30" customHeight="1" x14ac:dyDescent="0.2">
      <c r="A4" s="384"/>
      <c r="B4" s="385"/>
      <c r="C4" s="366" t="s">
        <v>6</v>
      </c>
      <c r="D4" s="356"/>
      <c r="E4" s="356"/>
      <c r="F4" s="356"/>
      <c r="G4" s="359"/>
      <c r="H4" s="367" t="s">
        <v>7</v>
      </c>
      <c r="I4" s="359"/>
      <c r="J4" s="371" t="s">
        <v>8</v>
      </c>
      <c r="K4" s="356"/>
      <c r="L4" s="356"/>
      <c r="M4" s="356"/>
      <c r="N4" s="356"/>
      <c r="O4" s="356"/>
      <c r="P4" s="356"/>
      <c r="Q4" s="359"/>
      <c r="R4" s="428"/>
      <c r="S4" s="415"/>
      <c r="T4" s="364"/>
      <c r="U4" s="365"/>
      <c r="V4" s="415"/>
      <c r="W4" s="365"/>
      <c r="X4" s="464"/>
      <c r="Y4" s="465"/>
      <c r="Z4" s="464"/>
      <c r="AA4" s="466"/>
      <c r="AB4" s="465"/>
    </row>
    <row r="5" spans="1:28" ht="24" customHeight="1" x14ac:dyDescent="0.3">
      <c r="A5" s="384"/>
      <c r="B5" s="385"/>
      <c r="C5" s="437" t="s">
        <v>13</v>
      </c>
      <c r="D5" s="438" t="s">
        <v>14</v>
      </c>
      <c r="E5" s="439" t="s">
        <v>15</v>
      </c>
      <c r="F5" s="440" t="s">
        <v>16</v>
      </c>
      <c r="G5" s="441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64"/>
      <c r="N5" s="365"/>
      <c r="O5" s="375" t="s">
        <v>19</v>
      </c>
      <c r="P5" s="364"/>
      <c r="Q5" s="365"/>
      <c r="R5" s="290" t="s">
        <v>22</v>
      </c>
      <c r="S5" s="337" t="s">
        <v>21</v>
      </c>
      <c r="T5" s="411" t="s">
        <v>22</v>
      </c>
      <c r="U5" s="365"/>
      <c r="V5" s="411" t="s">
        <v>22</v>
      </c>
      <c r="W5" s="365"/>
      <c r="X5" s="411" t="s">
        <v>22</v>
      </c>
      <c r="Y5" s="365"/>
      <c r="Z5" s="337" t="s">
        <v>21</v>
      </c>
      <c r="AA5" s="411" t="s">
        <v>22</v>
      </c>
      <c r="AB5" s="365"/>
    </row>
    <row r="6" spans="1:28" ht="36" customHeight="1" x14ac:dyDescent="0.3">
      <c r="A6" s="386"/>
      <c r="B6" s="387"/>
      <c r="C6" s="442"/>
      <c r="D6" s="443"/>
      <c r="E6" s="443"/>
      <c r="F6" s="443"/>
      <c r="G6" s="443"/>
      <c r="H6" s="6"/>
      <c r="I6" s="6"/>
      <c r="J6" s="8" t="s">
        <v>23</v>
      </c>
      <c r="K6" s="9" t="s">
        <v>24</v>
      </c>
      <c r="L6" s="8" t="s">
        <v>23</v>
      </c>
      <c r="M6" s="450" t="s">
        <v>25</v>
      </c>
      <c r="N6" s="451" t="s">
        <v>26</v>
      </c>
      <c r="O6" s="452" t="s">
        <v>23</v>
      </c>
      <c r="P6" s="450" t="s">
        <v>25</v>
      </c>
      <c r="Q6" s="451" t="s">
        <v>26</v>
      </c>
      <c r="R6" s="17" t="s">
        <v>28</v>
      </c>
      <c r="S6" s="338" t="s">
        <v>28</v>
      </c>
      <c r="T6" s="339" t="s">
        <v>28</v>
      </c>
      <c r="U6" s="340" t="s">
        <v>24</v>
      </c>
      <c r="V6" s="339" t="s">
        <v>28</v>
      </c>
      <c r="W6" s="340" t="s">
        <v>24</v>
      </c>
      <c r="X6" s="339" t="s">
        <v>28</v>
      </c>
      <c r="Y6" s="340" t="s">
        <v>24</v>
      </c>
      <c r="Z6" s="338" t="s">
        <v>28</v>
      </c>
      <c r="AA6" s="339" t="s">
        <v>28</v>
      </c>
      <c r="AB6" s="340" t="s">
        <v>24</v>
      </c>
    </row>
    <row r="7" spans="1:28" ht="24" customHeight="1" x14ac:dyDescent="0.3">
      <c r="A7" s="389" t="s">
        <v>233</v>
      </c>
      <c r="B7" s="390"/>
      <c r="C7" s="210">
        <f t="shared" ref="C7:C116" ca="1" si="0">D7+G7</f>
        <v>8336100</v>
      </c>
      <c r="D7" s="211">
        <f t="shared" ref="D7:E7" ca="1" si="1">D8+D9+D12</f>
        <v>8336100</v>
      </c>
      <c r="E7" s="23">
        <f t="shared" ca="1" si="1"/>
        <v>3751200</v>
      </c>
      <c r="F7" s="24">
        <f ca="1">F8+F9</f>
        <v>4584900</v>
      </c>
      <c r="G7" s="25">
        <f t="shared" ref="G7:I7" ca="1" si="2">G8+G9+G12</f>
        <v>0</v>
      </c>
      <c r="H7" s="26">
        <f t="shared" ca="1" si="2"/>
        <v>6130000</v>
      </c>
      <c r="I7" s="26">
        <f t="shared" ca="1" si="2"/>
        <v>0</v>
      </c>
      <c r="J7" s="27">
        <f t="shared" ref="J7:J116" ca="1" si="3">L7+O7</f>
        <v>2493022.59</v>
      </c>
      <c r="K7" s="28">
        <f t="shared" ref="K7:K116" ca="1" si="4">IF(C7&gt;0,J7*100/C7,0)</f>
        <v>29.906342174398098</v>
      </c>
      <c r="L7" s="27">
        <f ca="1">L8+L9+L12</f>
        <v>2493022.59</v>
      </c>
      <c r="M7" s="29">
        <f t="shared" ref="M7:M116" ca="1" si="5">IF(D7&gt;0,L7*100/D7,0)</f>
        <v>29.906342174398098</v>
      </c>
      <c r="N7" s="29">
        <f t="shared" ref="N7:N116" ca="1" si="6">IF(H7&gt;0,L7*100/H7,0)</f>
        <v>40.66921027732463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2">
        <f t="shared" ref="R7:T7" ca="1" si="9">R8</f>
        <v>25</v>
      </c>
      <c r="S7" s="341">
        <f t="shared" ca="1" si="9"/>
        <v>800</v>
      </c>
      <c r="T7" s="153">
        <f t="shared" ca="1" si="9"/>
        <v>610</v>
      </c>
      <c r="U7" s="154">
        <f t="shared" ref="U7:U8" ca="1" si="10">IF(S7&gt;0,T7*100/S7,0)</f>
        <v>76.25</v>
      </c>
      <c r="V7" s="153">
        <f ca="1">V8</f>
        <v>250</v>
      </c>
      <c r="W7" s="154">
        <f t="shared" ref="W7:W88" ca="1" si="11">IF(S7&gt;0,V7*100/S7,0)</f>
        <v>31.25</v>
      </c>
      <c r="X7" s="153">
        <f ca="1">X8</f>
        <v>20</v>
      </c>
      <c r="Y7" s="154">
        <f t="shared" ref="Y7:Y88" ca="1" si="12">IF(S7&gt;0,X7*100/S7,0)</f>
        <v>2.5</v>
      </c>
      <c r="Z7" s="341">
        <f t="shared" ref="Z7:AA7" ca="1" si="13">Z8</f>
        <v>160</v>
      </c>
      <c r="AA7" s="153">
        <f t="shared" ca="1" si="13"/>
        <v>22</v>
      </c>
      <c r="AB7" s="154">
        <f t="shared" ref="AB7:AB88" ca="1" si="14">IF(S7&gt;0,AA7*100/S7,0)</f>
        <v>2.75</v>
      </c>
    </row>
    <row r="8" spans="1:28" ht="28.5" customHeight="1" x14ac:dyDescent="0.3">
      <c r="A8" s="34" t="s">
        <v>31</v>
      </c>
      <c r="B8" s="35"/>
      <c r="C8" s="36">
        <f t="shared" ca="1" si="0"/>
        <v>6442000</v>
      </c>
      <c r="D8" s="37">
        <f t="shared" ref="D8:I8" ca="1" si="15">+D13+D31+D52+D74</f>
        <v>6442000</v>
      </c>
      <c r="E8" s="38">
        <f t="shared" ca="1" si="15"/>
        <v>3146000</v>
      </c>
      <c r="F8" s="38">
        <f t="shared" ca="1" si="15"/>
        <v>3296000</v>
      </c>
      <c r="G8" s="38">
        <f t="shared" ca="1" si="15"/>
        <v>0</v>
      </c>
      <c r="H8" s="38">
        <f t="shared" ca="1" si="15"/>
        <v>4252800</v>
      </c>
      <c r="I8" s="38">
        <f t="shared" ca="1" si="15"/>
        <v>0</v>
      </c>
      <c r="J8" s="38">
        <f t="shared" ca="1" si="3"/>
        <v>2266835.9</v>
      </c>
      <c r="K8" s="39">
        <f t="shared" ca="1" si="4"/>
        <v>35.188387146848804</v>
      </c>
      <c r="L8" s="38">
        <f ca="1">+L13+L31+L52+L74</f>
        <v>2266835.9</v>
      </c>
      <c r="M8" s="40">
        <f t="shared" ca="1" si="5"/>
        <v>35.188387146848804</v>
      </c>
      <c r="N8" s="40">
        <f t="shared" ca="1" si="6"/>
        <v>53.30219855154251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8">
        <f t="shared" ref="R8:T8" ca="1" si="16">+R13+R31+R52+R74</f>
        <v>25</v>
      </c>
      <c r="S8" s="295">
        <f t="shared" ca="1" si="16"/>
        <v>800</v>
      </c>
      <c r="T8" s="158">
        <f t="shared" ca="1" si="16"/>
        <v>610</v>
      </c>
      <c r="U8" s="160">
        <f t="shared" ca="1" si="10"/>
        <v>76.25</v>
      </c>
      <c r="V8" s="158">
        <f ca="1">+V13+V31+V52+V74</f>
        <v>250</v>
      </c>
      <c r="W8" s="160">
        <f t="shared" ca="1" si="11"/>
        <v>31.25</v>
      </c>
      <c r="X8" s="158">
        <f ca="1">+X13+X31+X52+X74</f>
        <v>20</v>
      </c>
      <c r="Y8" s="160">
        <f t="shared" ca="1" si="12"/>
        <v>2.5</v>
      </c>
      <c r="Z8" s="295">
        <f t="shared" ref="Z8:AA8" ca="1" si="17">+Z13+Z31+Z52+Z74</f>
        <v>160</v>
      </c>
      <c r="AA8" s="158">
        <f t="shared" ca="1" si="17"/>
        <v>22</v>
      </c>
      <c r="AB8" s="160">
        <f t="shared" ca="1" si="14"/>
        <v>2.75</v>
      </c>
    </row>
    <row r="9" spans="1:28" ht="28.5" customHeight="1" x14ac:dyDescent="0.2">
      <c r="A9" s="44" t="s">
        <v>234</v>
      </c>
      <c r="B9" s="45"/>
      <c r="C9" s="46">
        <f t="shared" ca="1" si="0"/>
        <v>1894100</v>
      </c>
      <c r="D9" s="47">
        <f t="shared" ref="D9:I9" ca="1" si="18">+D10+D11</f>
        <v>1894100</v>
      </c>
      <c r="E9" s="46">
        <f t="shared" ca="1" si="18"/>
        <v>605200</v>
      </c>
      <c r="F9" s="46">
        <f t="shared" ca="1" si="18"/>
        <v>1288900</v>
      </c>
      <c r="G9" s="46">
        <f t="shared" ca="1" si="18"/>
        <v>0</v>
      </c>
      <c r="H9" s="46">
        <f t="shared" ca="1" si="18"/>
        <v>1877200</v>
      </c>
      <c r="I9" s="46">
        <f t="shared" ca="1" si="18"/>
        <v>0</v>
      </c>
      <c r="J9" s="46">
        <f t="shared" ca="1" si="3"/>
        <v>226186.69</v>
      </c>
      <c r="K9" s="48">
        <f t="shared" ca="1" si="4"/>
        <v>11.94164458053957</v>
      </c>
      <c r="L9" s="46">
        <f ca="1">+L10+L11</f>
        <v>226186.69</v>
      </c>
      <c r="M9" s="49">
        <f t="shared" ca="1" si="5"/>
        <v>11.94164458053957</v>
      </c>
      <c r="N9" s="49">
        <f t="shared" ca="1" si="6"/>
        <v>12.049152461112294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296"/>
      <c r="T9" s="202"/>
      <c r="U9" s="342"/>
      <c r="V9" s="202"/>
      <c r="W9" s="49">
        <f t="shared" si="11"/>
        <v>0</v>
      </c>
      <c r="X9" s="202"/>
      <c r="Y9" s="49">
        <f t="shared" si="12"/>
        <v>0</v>
      </c>
      <c r="Z9" s="296"/>
      <c r="AA9" s="202"/>
      <c r="AB9" s="49">
        <f t="shared" si="14"/>
        <v>0</v>
      </c>
    </row>
    <row r="10" spans="1:28" ht="28.5" hidden="1" customHeight="1" x14ac:dyDescent="0.2">
      <c r="A10" s="44" t="s">
        <v>32</v>
      </c>
      <c r="B10" s="45"/>
      <c r="C10" s="46">
        <f t="shared" ca="1" si="0"/>
        <v>1288900</v>
      </c>
      <c r="D10" s="47">
        <f t="shared" ref="D10:I10" ca="1" si="19">+D89</f>
        <v>1288900</v>
      </c>
      <c r="E10" s="46">
        <f t="shared" ca="1" si="19"/>
        <v>0</v>
      </c>
      <c r="F10" s="46">
        <f t="shared" ca="1" si="19"/>
        <v>1288900</v>
      </c>
      <c r="G10" s="46">
        <f t="shared" ca="1" si="19"/>
        <v>0</v>
      </c>
      <c r="H10" s="46">
        <f t="shared" ca="1" si="19"/>
        <v>1797500</v>
      </c>
      <c r="I10" s="46">
        <f t="shared" ca="1" si="19"/>
        <v>0</v>
      </c>
      <c r="J10" s="46">
        <f t="shared" ca="1" si="3"/>
        <v>226186.69</v>
      </c>
      <c r="K10" s="48">
        <f t="shared" ca="1" si="4"/>
        <v>17.548816044689271</v>
      </c>
      <c r="L10" s="46">
        <f ca="1">+L89</f>
        <v>226186.69</v>
      </c>
      <c r="M10" s="49">
        <f t="shared" ca="1" si="5"/>
        <v>17.548816044689271</v>
      </c>
      <c r="N10" s="49">
        <f t="shared" ca="1" si="6"/>
        <v>12.583404172461753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296"/>
      <c r="T10" s="202"/>
      <c r="U10" s="342"/>
      <c r="V10" s="202"/>
      <c r="W10" s="49">
        <f t="shared" si="11"/>
        <v>0</v>
      </c>
      <c r="X10" s="202"/>
      <c r="Y10" s="49">
        <f t="shared" si="12"/>
        <v>0</v>
      </c>
      <c r="Z10" s="296"/>
      <c r="AA10" s="202"/>
      <c r="AB10" s="49">
        <f t="shared" si="14"/>
        <v>0</v>
      </c>
    </row>
    <row r="11" spans="1:28" ht="28.5" hidden="1" customHeight="1" x14ac:dyDescent="0.2">
      <c r="A11" s="53" t="s">
        <v>33</v>
      </c>
      <c r="B11" s="45"/>
      <c r="C11" s="46">
        <f t="shared" ca="1" si="0"/>
        <v>605200</v>
      </c>
      <c r="D11" s="47">
        <f t="shared" ref="D11:I11" ca="1" si="20">+D104</f>
        <v>605200</v>
      </c>
      <c r="E11" s="46">
        <f t="shared" ca="1" si="20"/>
        <v>605200</v>
      </c>
      <c r="F11" s="46">
        <f t="shared" ca="1" si="20"/>
        <v>0</v>
      </c>
      <c r="G11" s="46">
        <f t="shared" ca="1" si="20"/>
        <v>0</v>
      </c>
      <c r="H11" s="46">
        <f t="shared" ca="1" si="20"/>
        <v>79700</v>
      </c>
      <c r="I11" s="46">
        <f t="shared" ca="1" si="20"/>
        <v>0</v>
      </c>
      <c r="J11" s="46">
        <f t="shared" ca="1" si="3"/>
        <v>0</v>
      </c>
      <c r="K11" s="48">
        <f t="shared" ca="1" si="4"/>
        <v>0</v>
      </c>
      <c r="L11" s="46">
        <f ca="1">+L104</f>
        <v>0</v>
      </c>
      <c r="M11" s="49">
        <f t="shared" ca="1" si="5"/>
        <v>0</v>
      </c>
      <c r="N11" s="49">
        <f t="shared" ca="1" si="6"/>
        <v>0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296"/>
      <c r="T11" s="202"/>
      <c r="U11" s="342"/>
      <c r="V11" s="202"/>
      <c r="W11" s="49">
        <f t="shared" si="11"/>
        <v>0</v>
      </c>
      <c r="X11" s="202"/>
      <c r="Y11" s="49">
        <f t="shared" si="12"/>
        <v>0</v>
      </c>
      <c r="Z11" s="296"/>
      <c r="AA11" s="202"/>
      <c r="AB11" s="49">
        <f t="shared" si="14"/>
        <v>0</v>
      </c>
    </row>
    <row r="12" spans="1:28" ht="28.5" hidden="1" customHeight="1" x14ac:dyDescent="0.3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297">
        <v>0</v>
      </c>
      <c r="T12" s="171">
        <v>0</v>
      </c>
      <c r="U12" s="173">
        <f t="shared" ref="U12:U88" si="21">IF(S12&gt;0,T12*100/S12,0)</f>
        <v>0</v>
      </c>
      <c r="V12" s="171">
        <v>0</v>
      </c>
      <c r="W12" s="173">
        <f t="shared" si="11"/>
        <v>0</v>
      </c>
      <c r="X12" s="171">
        <v>0</v>
      </c>
      <c r="Y12" s="173">
        <f t="shared" si="12"/>
        <v>0</v>
      </c>
      <c r="Z12" s="297">
        <v>0</v>
      </c>
      <c r="AA12" s="171">
        <v>0</v>
      </c>
      <c r="AB12" s="173">
        <f t="shared" si="14"/>
        <v>0</v>
      </c>
    </row>
    <row r="13" spans="1:28" ht="28.5" customHeight="1" x14ac:dyDescent="0.3">
      <c r="A13" s="377" t="s">
        <v>35</v>
      </c>
      <c r="B13" s="359"/>
      <c r="C13" s="62">
        <f t="shared" ca="1" si="0"/>
        <v>2230600</v>
      </c>
      <c r="D13" s="63">
        <f t="shared" ref="D13:I13" ca="1" si="22">SUM(D14:D30)</f>
        <v>2230600</v>
      </c>
      <c r="E13" s="64">
        <f t="shared" ca="1" si="22"/>
        <v>1287000</v>
      </c>
      <c r="F13" s="64">
        <f t="shared" ca="1" si="22"/>
        <v>943600</v>
      </c>
      <c r="G13" s="64">
        <f t="shared" ca="1" si="22"/>
        <v>0</v>
      </c>
      <c r="H13" s="64">
        <f t="shared" ca="1" si="22"/>
        <v>1498880</v>
      </c>
      <c r="I13" s="64">
        <f t="shared" ca="1" si="22"/>
        <v>0</v>
      </c>
      <c r="J13" s="64">
        <f t="shared" ca="1" si="3"/>
        <v>801624.33000000007</v>
      </c>
      <c r="K13" s="65">
        <f t="shared" ca="1" si="4"/>
        <v>35.937610060073524</v>
      </c>
      <c r="L13" s="64">
        <f ca="1">SUM(L14:L30)</f>
        <v>801624.33000000007</v>
      </c>
      <c r="M13" s="66">
        <f t="shared" ca="1" si="5"/>
        <v>35.937610060073524</v>
      </c>
      <c r="N13" s="66">
        <f t="shared" ca="1" si="6"/>
        <v>53.481554894321093</v>
      </c>
      <c r="O13" s="67">
        <f ca="1">SUM(O14:O30)</f>
        <v>0</v>
      </c>
      <c r="P13" s="67">
        <f t="shared" ref="P13:P116" ca="1" si="23">IF(G13&gt;0,O13*100/G13,0)</f>
        <v>0</v>
      </c>
      <c r="Q13" s="66">
        <f t="shared" ca="1" si="8"/>
        <v>0</v>
      </c>
      <c r="R13" s="64">
        <f t="shared" ref="R13:T13" ca="1" si="24">SUM(R14:R30)</f>
        <v>6</v>
      </c>
      <c r="S13" s="295">
        <f t="shared" ca="1" si="24"/>
        <v>230</v>
      </c>
      <c r="T13" s="158">
        <f t="shared" ca="1" si="24"/>
        <v>190</v>
      </c>
      <c r="U13" s="160">
        <f t="shared" ca="1" si="21"/>
        <v>82.608695652173907</v>
      </c>
      <c r="V13" s="158">
        <f ca="1">SUM(V14:V30)</f>
        <v>105</v>
      </c>
      <c r="W13" s="160">
        <f t="shared" ca="1" si="11"/>
        <v>45.652173913043477</v>
      </c>
      <c r="X13" s="158">
        <f ca="1">SUM(X14:X30)</f>
        <v>0</v>
      </c>
      <c r="Y13" s="160">
        <f t="shared" ca="1" si="12"/>
        <v>0</v>
      </c>
      <c r="Z13" s="295">
        <f t="shared" ref="Z13:AA13" ca="1" si="25">SUM(Z14:Z30)</f>
        <v>46</v>
      </c>
      <c r="AA13" s="158">
        <f t="shared" ca="1" si="25"/>
        <v>18</v>
      </c>
      <c r="AB13" s="160">
        <f t="shared" ca="1" si="14"/>
        <v>7.8260869565217392</v>
      </c>
    </row>
    <row r="14" spans="1:28" ht="24" customHeight="1" x14ac:dyDescent="0.3">
      <c r="A14" s="68">
        <v>1</v>
      </c>
      <c r="B14" s="69" t="s">
        <v>36</v>
      </c>
      <c r="C14" s="70">
        <f t="shared" ca="1" si="0"/>
        <v>82400</v>
      </c>
      <c r="D14" s="71">
        <f t="shared" ref="D14:D30" ca="1" si="26">+E14+F14</f>
        <v>82400</v>
      </c>
      <c r="E14" s="72">
        <f ca="1">IFERROR(__xludf.DUMMYFUNCTION("IMPORTRANGE(""https://docs.google.com/spreadsheets/d/1MeEWN-I1oV_STSDYn1IFDPWt_1FKiwhDph83XaGc0o0/edit?usp=sharing"",""งบพรบ!DT14"")"),0)</f>
        <v>0</v>
      </c>
      <c r="F14" s="72">
        <f ca="1">IFERROR(__xludf.DUMMYFUNCTION("IMPORTRANGE(""https://docs.google.com/spreadsheets/d/1MeEWN-I1oV_STSDYn1IFDPWt_1FKiwhDph83XaGc0o0/edit?usp=sharing"",""งบพรบ!DU14"")"),82400)</f>
        <v>82400</v>
      </c>
      <c r="G14" s="73">
        <f ca="1">IFERROR(__xludf.DUMMYFUNCTION("IMPORTRANGE(""https://docs.google.com/spreadsheets/d/1MeEWN-I1oV_STSDYn1IFDPWt_1FKiwhDph83XaGc0o0/edit?usp=sharing"",""งบพรบ!DV14"")"),0)</f>
        <v>0</v>
      </c>
      <c r="H14" s="73">
        <f ca="1">IFERROR(__xludf.DUMMYFUNCTION("IMPORTRANGE(""https://docs.google.com/spreadsheets/d/1MeEWN-I1oV_STSDYn1IFDPWt_1FKiwhDph83XaGc0o0/edit?usp=sharing"",""งบพรบ!DX14"")"),49120)</f>
        <v>49120</v>
      </c>
      <c r="I14" s="73">
        <f ca="1">IFERROR(__xludf.DUMMYFUNCTION("IMPORTRANGE(""https://docs.google.com/spreadsheets/d/1MeEWN-I1oV_STSDYn1IFDPWt_1FKiwhDph83XaGc0o0/edit?usp=sharing"",""งบพรบ!DY14"")"),0)</f>
        <v>0</v>
      </c>
      <c r="J14" s="73">
        <f t="shared" ca="1" si="3"/>
        <v>0</v>
      </c>
      <c r="K14" s="74">
        <f t="shared" ca="1" si="4"/>
        <v>0</v>
      </c>
      <c r="L14" s="73">
        <f ca="1">IFERROR(__xludf.DUMMYFUNCTION("IMPORTRANGE(""https://docs.google.com/spreadsheets/d/1MeEWN-I1oV_STSDYn1IFDPWt_1FKiwhDph83XaGc0o0/edit?usp=sharing"",""งบพรบ!DZ14"")"),0)</f>
        <v>0</v>
      </c>
      <c r="M14" s="75">
        <f t="shared" ca="1" si="5"/>
        <v>0</v>
      </c>
      <c r="N14" s="75">
        <f t="shared" ca="1" si="6"/>
        <v>0</v>
      </c>
      <c r="O14" s="76">
        <f ca="1">IFERROR(__xludf.DUMMYFUNCTION("IMPORTRANGE(""https://docs.google.com/spreadsheets/d/1MeEWN-I1oV_STSDYn1IFDPWt_1FKiwhDph83XaGc0o0/edit?usp=sharing"",""งบพรบ!EA14"")"),0)</f>
        <v>0</v>
      </c>
      <c r="P14" s="76">
        <f t="shared" ca="1" si="23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IFERROR(__xludf.DUMMYFUNCTION("IMPORTRANGE(""https://docs.google.com/spreadsheets/d/1KxicF4apzSqm0-jIpmueT4kyZtE-Cwn5zskl7GD4loQ/edit?usp=sharing"",""กำแพงเพชร!J308"")"),0)</f>
        <v>0</v>
      </c>
      <c r="S14" s="298">
        <f ca="1">IFERROR(__xludf.DUMMYFUNCTION("IMPORTRANGE(""https://docs.google.com/spreadsheets/d/1KxicF4apzSqm0-jIpmueT4kyZtE-Cwn5zskl7GD4loQ/edit?usp=sharing"",""กำแพงเพชร!I309"")"),20)</f>
        <v>20</v>
      </c>
      <c r="T14" s="181">
        <f ca="1">IFERROR(__xludf.DUMMYFUNCTION("IMPORTRANGE(""https://docs.google.com/spreadsheets/d/1KxicF4apzSqm0-jIpmueT4kyZtE-Cwn5zskl7GD4loQ/edit?usp=sharing"",""กำแพงเพชร!J309"")"),20)</f>
        <v>20</v>
      </c>
      <c r="U14" s="185">
        <f t="shared" ca="1" si="21"/>
        <v>100</v>
      </c>
      <c r="V14" s="181">
        <f ca="1">IFERROR(__xludf.DUMMYFUNCTION("IMPORTRANGE(""https://docs.google.com/spreadsheets/d/1KxicF4apzSqm0-jIpmueT4kyZtE-Cwn5zskl7GD4loQ/edit?usp=sharing"",""กำแพงเพชร!J310"")"),0)</f>
        <v>0</v>
      </c>
      <c r="W14" s="185">
        <f t="shared" ca="1" si="11"/>
        <v>0</v>
      </c>
      <c r="X14" s="181">
        <f ca="1">IFERROR(__xludf.DUMMYFUNCTION("IMPORTRANGE(""https://docs.google.com/spreadsheets/d/1KxicF4apzSqm0-jIpmueT4kyZtE-Cwn5zskl7GD4loQ/edit?usp=sharing"",""กำแพงเพชร!J311"")"),0)</f>
        <v>0</v>
      </c>
      <c r="Y14" s="185">
        <f t="shared" ca="1" si="12"/>
        <v>0</v>
      </c>
      <c r="Z14" s="298">
        <f ca="1">IFERROR(__xludf.DUMMYFUNCTION("IMPORTRANGE(""https://docs.google.com/spreadsheets/d/1KxicF4apzSqm0-jIpmueT4kyZtE-Cwn5zskl7GD4loQ/edit?usp=sharing"",""กำแพงเพชร!I312"")"),4)</f>
        <v>4</v>
      </c>
      <c r="AA14" s="181">
        <f ca="1">IFERROR(__xludf.DUMMYFUNCTION("IMPORTRANGE(""https://docs.google.com/spreadsheets/d/1KxicF4apzSqm0-jIpmueT4kyZtE-Cwn5zskl7GD4loQ/edit?usp=sharing"",""กำแพงเพชร!J312"")"),4)</f>
        <v>4</v>
      </c>
      <c r="AB14" s="185">
        <f t="shared" ca="1" si="14"/>
        <v>20</v>
      </c>
    </row>
    <row r="15" spans="1:28" ht="24" customHeight="1" x14ac:dyDescent="0.3">
      <c r="A15" s="78">
        <v>2</v>
      </c>
      <c r="B15" s="79" t="s">
        <v>37</v>
      </c>
      <c r="C15" s="80">
        <f t="shared" ca="1" si="0"/>
        <v>368400</v>
      </c>
      <c r="D15" s="81">
        <f t="shared" ca="1" si="26"/>
        <v>368400</v>
      </c>
      <c r="E15" s="82">
        <f ca="1">IFERROR(__xludf.DUMMYFUNCTION("IMPORTRANGE(""https://docs.google.com/spreadsheets/d/1MeEWN-I1oV_STSDYn1IFDPWt_1FKiwhDph83XaGc0o0/edit?usp=sharing"",""งบพรบ!DT15"")"),286000)</f>
        <v>286000</v>
      </c>
      <c r="F15" s="82">
        <f ca="1">IFERROR(__xludf.DUMMYFUNCTION("IMPORTRANGE(""https://docs.google.com/spreadsheets/d/1MeEWN-I1oV_STSDYn1IFDPWt_1FKiwhDph83XaGc0o0/edit?usp=sharing"",""งบพรบ!DU15"")"),82400)</f>
        <v>82400</v>
      </c>
      <c r="G15" s="82">
        <f ca="1">IFERROR(__xludf.DUMMYFUNCTION("IMPORTRANGE(""https://docs.google.com/spreadsheets/d/1MeEWN-I1oV_STSDYn1IFDPWt_1FKiwhDph83XaGc0o0/edit?usp=sharing"",""งบพรบ!DV15"")"),0)</f>
        <v>0</v>
      </c>
      <c r="H15" s="82">
        <f ca="1">IFERROR(__xludf.DUMMYFUNCTION("IMPORTRANGE(""https://docs.google.com/spreadsheets/d/1MeEWN-I1oV_STSDYn1IFDPWt_1FKiwhDph83XaGc0o0/edit?usp=sharing"",""งบพรบ!DX15"")"),257120)</f>
        <v>257120</v>
      </c>
      <c r="I15" s="82">
        <f ca="1">IFERROR(__xludf.DUMMYFUNCTION("IMPORTRANGE(""https://docs.google.com/spreadsheets/d/1MeEWN-I1oV_STSDYn1IFDPWt_1FKiwhDph83XaGc0o0/edit?usp=sharing"",""งบพรบ!DY15"")"),0)</f>
        <v>0</v>
      </c>
      <c r="J15" s="82">
        <f t="shared" ca="1" si="3"/>
        <v>131530.01</v>
      </c>
      <c r="K15" s="83">
        <f t="shared" ca="1" si="4"/>
        <v>35.703042888165037</v>
      </c>
      <c r="L15" s="82">
        <f ca="1">IFERROR(__xludf.DUMMYFUNCTION("IMPORTRANGE(""https://docs.google.com/spreadsheets/d/1MeEWN-I1oV_STSDYn1IFDPWt_1FKiwhDph83XaGc0o0/edit?usp=sharing"",""งบพรบ!DZ15"")"),131530.01)</f>
        <v>131530.01</v>
      </c>
      <c r="M15" s="84">
        <f t="shared" ca="1" si="5"/>
        <v>35.703042888165037</v>
      </c>
      <c r="N15" s="84">
        <f t="shared" ca="1" si="6"/>
        <v>51.155106565027999</v>
      </c>
      <c r="O15" s="85">
        <f ca="1">IFERROR(__xludf.DUMMYFUNCTION("IMPORTRANGE(""https://docs.google.com/spreadsheets/d/1MeEWN-I1oV_STSDYn1IFDPWt_1FKiwhDph83XaGc0o0/edit?usp=sharing"",""งบพรบ!EA15"")"),0)</f>
        <v>0</v>
      </c>
      <c r="P15" s="85">
        <f t="shared" ca="1" si="23"/>
        <v>0</v>
      </c>
      <c r="Q15" s="84">
        <f t="shared" ca="1" si="8"/>
        <v>0</v>
      </c>
      <c r="R15" s="86">
        <f ca="1">IFERROR(__xludf.DUMMYFUNCTION("IMPORTRANGE(""https://docs.google.com/spreadsheets/d/1ZNYWeiFoFA1K1U4xKWqRX29MBvEyRHXORjo734Gnq_c/edit?usp=sharing"",""เชียงราย!J308"")"),1)</f>
        <v>1</v>
      </c>
      <c r="S15" s="298">
        <f ca="1">IFERROR(__xludf.DUMMYFUNCTION("IMPORTRANGE(""https://docs.google.com/spreadsheets/d/1ZNYWeiFoFA1K1U4xKWqRX29MBvEyRHXORjo734Gnq_c/edit?usp=sharing"",""เชียงราย!I309"")"),20)</f>
        <v>20</v>
      </c>
      <c r="T15" s="181">
        <f ca="1">IFERROR(__xludf.DUMMYFUNCTION("IMPORTRANGE(""https://docs.google.com/spreadsheets/d/1ZNYWeiFoFA1K1U4xKWqRX29MBvEyRHXORjo734Gnq_c/edit?usp=sharing"",""เชียงราย!J309"")"),0)</f>
        <v>0</v>
      </c>
      <c r="U15" s="185">
        <f t="shared" ca="1" si="21"/>
        <v>0</v>
      </c>
      <c r="V15" s="181">
        <f ca="1">IFERROR(__xludf.DUMMYFUNCTION("IMPORTRANGE(""https://docs.google.com/spreadsheets/d/1ZNYWeiFoFA1K1U4xKWqRX29MBvEyRHXORjo734Gnq_c/edit?usp=sharing"",""เชียงราย!J310"")"),20)</f>
        <v>20</v>
      </c>
      <c r="W15" s="185">
        <f t="shared" ca="1" si="11"/>
        <v>100</v>
      </c>
      <c r="X15" s="181">
        <f ca="1">IFERROR(__xludf.DUMMYFUNCTION("IMPORTRANGE(""https://docs.google.com/spreadsheets/d/1ZNYWeiFoFA1K1U4xKWqRX29MBvEyRHXORjo734Gnq_c/edit?usp=sharing"",""เชียงราย!J311"")"),0)</f>
        <v>0</v>
      </c>
      <c r="Y15" s="185">
        <f t="shared" ca="1" si="12"/>
        <v>0</v>
      </c>
      <c r="Z15" s="298">
        <f ca="1">IFERROR(__xludf.DUMMYFUNCTION("IMPORTRANGE(""https://docs.google.com/spreadsheets/d/1ZNYWeiFoFA1K1U4xKWqRX29MBvEyRHXORjo734Gnq_c/edit?usp=sharing"",""เชียงราย!I312"")"),4)</f>
        <v>4</v>
      </c>
      <c r="AA15" s="181">
        <f ca="1">IFERROR(__xludf.DUMMYFUNCTION("IMPORTRANGE(""https://docs.google.com/spreadsheets/d/1ZNYWeiFoFA1K1U4xKWqRX29MBvEyRHXORjo734Gnq_c/edit?usp=sharing"",""เชียงราย!J312"")"),0)</f>
        <v>0</v>
      </c>
      <c r="AB15" s="185">
        <f t="shared" ca="1" si="14"/>
        <v>0</v>
      </c>
    </row>
    <row r="16" spans="1:28" ht="24" customHeight="1" x14ac:dyDescent="0.3">
      <c r="A16" s="78">
        <v>3</v>
      </c>
      <c r="B16" s="79" t="s">
        <v>38</v>
      </c>
      <c r="C16" s="80">
        <f t="shared" ca="1" si="0"/>
        <v>225400</v>
      </c>
      <c r="D16" s="81">
        <f t="shared" ca="1" si="26"/>
        <v>225400</v>
      </c>
      <c r="E16" s="82">
        <f ca="1">IFERROR(__xludf.DUMMYFUNCTION("IMPORTRANGE(""https://docs.google.com/spreadsheets/d/1MeEWN-I1oV_STSDYn1IFDPWt_1FKiwhDph83XaGc0o0/edit?usp=sharing"",""งบพรบ!DT16"")"),143000)</f>
        <v>143000</v>
      </c>
      <c r="F16" s="82">
        <f ca="1">IFERROR(__xludf.DUMMYFUNCTION("IMPORTRANGE(""https://docs.google.com/spreadsheets/d/1MeEWN-I1oV_STSDYn1IFDPWt_1FKiwhDph83XaGc0o0/edit?usp=sharing"",""งบพรบ!DU16"")"),82400)</f>
        <v>82400</v>
      </c>
      <c r="G16" s="82">
        <f ca="1">IFERROR(__xludf.DUMMYFUNCTION("IMPORTRANGE(""https://docs.google.com/spreadsheets/d/1MeEWN-I1oV_STSDYn1IFDPWt_1FKiwhDph83XaGc0o0/edit?usp=sharing"",""งบพรบ!DV16"")"),0)</f>
        <v>0</v>
      </c>
      <c r="H16" s="82">
        <f ca="1">IFERROR(__xludf.DUMMYFUNCTION("IMPORTRANGE(""https://docs.google.com/spreadsheets/d/1MeEWN-I1oV_STSDYn1IFDPWt_1FKiwhDph83XaGc0o0/edit?usp=sharing"",""งบพรบ!DX16"")"),153120)</f>
        <v>153120</v>
      </c>
      <c r="I16" s="82">
        <f ca="1">IFERROR(__xludf.DUMMYFUNCTION("IMPORTRANGE(""https://docs.google.com/spreadsheets/d/1MeEWN-I1oV_STSDYn1IFDPWt_1FKiwhDph83XaGc0o0/edit?usp=sharing"",""งบพรบ!DY16"")"),0)</f>
        <v>0</v>
      </c>
      <c r="J16" s="82">
        <f t="shared" ca="1" si="3"/>
        <v>76872.45</v>
      </c>
      <c r="K16" s="83">
        <f t="shared" ca="1" si="4"/>
        <v>34.104902395740908</v>
      </c>
      <c r="L16" s="82">
        <f ca="1">IFERROR(__xludf.DUMMYFUNCTION("IMPORTRANGE(""https://docs.google.com/spreadsheets/d/1MeEWN-I1oV_STSDYn1IFDPWt_1FKiwhDph83XaGc0o0/edit?usp=sharing"",""งบพรบ!DZ16"")"),76872.45)</f>
        <v>76872.45</v>
      </c>
      <c r="M16" s="84">
        <f t="shared" ca="1" si="5"/>
        <v>34.104902395740908</v>
      </c>
      <c r="N16" s="84">
        <f t="shared" ca="1" si="6"/>
        <v>50.204055642633229</v>
      </c>
      <c r="O16" s="85">
        <f ca="1">IFERROR(__xludf.DUMMYFUNCTION("IMPORTRANGE(""https://docs.google.com/spreadsheets/d/1MeEWN-I1oV_STSDYn1IFDPWt_1FKiwhDph83XaGc0o0/edit?usp=sharing"",""งบพรบ!EA16"")"),0)</f>
        <v>0</v>
      </c>
      <c r="P16" s="85">
        <f t="shared" ca="1" si="23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IFERROR(__xludf.DUMMYFUNCTION("IMPORTRANGE(""https://docs.google.com/spreadsheets/d/1Jgv0Y7YlHDtsiDawwp-uvifEJ8HVaSn0k2aGHG8-hwM/edit?usp=sharing"",""เชียงใหม่!J308"")"),1)</f>
        <v>1</v>
      </c>
      <c r="S16" s="298">
        <f ca="1">IFERROR(__xludf.DUMMYFUNCTION("IMPORTRANGE(""https://docs.google.com/spreadsheets/d/1Jgv0Y7YlHDtsiDawwp-uvifEJ8HVaSn0k2aGHG8-hwM/edit?usp=sharing"",""เชียงใหม่!I309"")"),20)</f>
        <v>20</v>
      </c>
      <c r="T16" s="181">
        <f ca="1">IFERROR(__xludf.DUMMYFUNCTION("IMPORTRANGE(""https://docs.google.com/spreadsheets/d/1Jgv0Y7YlHDtsiDawwp-uvifEJ8HVaSn0k2aGHG8-hwM/edit?usp=sharing"",""เชียงใหม่!J309"")"),20)</f>
        <v>20</v>
      </c>
      <c r="U16" s="185">
        <f t="shared" ca="1" si="21"/>
        <v>100</v>
      </c>
      <c r="V16" s="181">
        <f ca="1">IFERROR(__xludf.DUMMYFUNCTION("IMPORTRANGE(""https://docs.google.com/spreadsheets/d/1Jgv0Y7YlHDtsiDawwp-uvifEJ8HVaSn0k2aGHG8-hwM/edit?usp=sharing"",""เชียงใหม่!J310"")"),0)</f>
        <v>0</v>
      </c>
      <c r="W16" s="185">
        <f t="shared" ca="1" si="11"/>
        <v>0</v>
      </c>
      <c r="X16" s="181">
        <f ca="1">IFERROR(__xludf.DUMMYFUNCTION("IMPORTRANGE(""https://docs.google.com/spreadsheets/d/1Jgv0Y7YlHDtsiDawwp-uvifEJ8HVaSn0k2aGHG8-hwM/edit?usp=sharing"",""เชียงใหม่!J311"")"),0)</f>
        <v>0</v>
      </c>
      <c r="Y16" s="185">
        <f t="shared" ca="1" si="12"/>
        <v>0</v>
      </c>
      <c r="Z16" s="298">
        <f ca="1">IFERROR(__xludf.DUMMYFUNCTION("IMPORTRANGE(""https://docs.google.com/spreadsheets/d/1Jgv0Y7YlHDtsiDawwp-uvifEJ8HVaSn0k2aGHG8-hwM/edit?usp=sharing"",""เชียงใหม่!I312"")"),4)</f>
        <v>4</v>
      </c>
      <c r="AA16" s="181">
        <f ca="1">IFERROR(__xludf.DUMMYFUNCTION("IMPORTRANGE(""https://docs.google.com/spreadsheets/d/1Jgv0Y7YlHDtsiDawwp-uvifEJ8HVaSn0k2aGHG8-hwM/edit?usp=sharing"",""เชียงใหม่!J312"")"),0)</f>
        <v>0</v>
      </c>
      <c r="AB16" s="185">
        <f t="shared" ca="1" si="14"/>
        <v>0</v>
      </c>
    </row>
    <row r="17" spans="1:28" ht="24" customHeight="1" x14ac:dyDescent="0.3">
      <c r="A17" s="78">
        <v>4</v>
      </c>
      <c r="B17" s="79" t="s">
        <v>39</v>
      </c>
      <c r="C17" s="80">
        <f t="shared" ca="1" si="0"/>
        <v>368400</v>
      </c>
      <c r="D17" s="81">
        <f t="shared" ca="1" si="26"/>
        <v>368400</v>
      </c>
      <c r="E17" s="82">
        <f ca="1">IFERROR(__xludf.DUMMYFUNCTION("IMPORTRANGE(""https://docs.google.com/spreadsheets/d/1MeEWN-I1oV_STSDYn1IFDPWt_1FKiwhDph83XaGc0o0/edit?usp=sharing"",""งบพรบ!DT17"")"),286000)</f>
        <v>286000</v>
      </c>
      <c r="F17" s="82">
        <f ca="1">IFERROR(__xludf.DUMMYFUNCTION("IMPORTRANGE(""https://docs.google.com/spreadsheets/d/1MeEWN-I1oV_STSDYn1IFDPWt_1FKiwhDph83XaGc0o0/edit?usp=sharing"",""งบพรบ!DU17"")"),82400)</f>
        <v>82400</v>
      </c>
      <c r="G17" s="82">
        <f ca="1">IFERROR(__xludf.DUMMYFUNCTION("IMPORTRANGE(""https://docs.google.com/spreadsheets/d/1MeEWN-I1oV_STSDYn1IFDPWt_1FKiwhDph83XaGc0o0/edit?usp=sharing"",""งบพรบ!DV17"")"),0)</f>
        <v>0</v>
      </c>
      <c r="H17" s="82">
        <f ca="1">IFERROR(__xludf.DUMMYFUNCTION("IMPORTRANGE(""https://docs.google.com/spreadsheets/d/1MeEWN-I1oV_STSDYn1IFDPWt_1FKiwhDph83XaGc0o0/edit?usp=sharing"",""งบพรบ!DX17"")"),257120)</f>
        <v>257120</v>
      </c>
      <c r="I17" s="82">
        <f ca="1">IFERROR(__xludf.DUMMYFUNCTION("IMPORTRANGE(""https://docs.google.com/spreadsheets/d/1MeEWN-I1oV_STSDYn1IFDPWt_1FKiwhDph83XaGc0o0/edit?usp=sharing"",""งบพรบ!DY17"")"),0)</f>
        <v>0</v>
      </c>
      <c r="J17" s="82">
        <f t="shared" ca="1" si="3"/>
        <v>119545</v>
      </c>
      <c r="K17" s="83">
        <f t="shared" ca="1" si="4"/>
        <v>32.449782844733981</v>
      </c>
      <c r="L17" s="82">
        <f ca="1">IFERROR(__xludf.DUMMYFUNCTION("IMPORTRANGE(""https://docs.google.com/spreadsheets/d/1MeEWN-I1oV_STSDYn1IFDPWt_1FKiwhDph83XaGc0o0/edit?usp=sharing"",""งบพรบ!DZ17"")"),119545)</f>
        <v>119545</v>
      </c>
      <c r="M17" s="84">
        <f t="shared" ca="1" si="5"/>
        <v>32.449782844733981</v>
      </c>
      <c r="N17" s="84">
        <f t="shared" ca="1" si="6"/>
        <v>46.493855009334162</v>
      </c>
      <c r="O17" s="85">
        <f ca="1">IFERROR(__xludf.DUMMYFUNCTION("IMPORTRANGE(""https://docs.google.com/spreadsheets/d/1MeEWN-I1oV_STSDYn1IFDPWt_1FKiwhDph83XaGc0o0/edit?usp=sharing"",""งบพรบ!EA17"")"),0)</f>
        <v>0</v>
      </c>
      <c r="P17" s="85">
        <f t="shared" ca="1" si="23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IFERROR(__xludf.DUMMYFUNCTION("IMPORTRANGE(""https://docs.google.com/spreadsheets/d/1JWG2rZePOz9pe-f-ObA-yDr0VoOX2kSb0qIix2mTUo8/edit?usp=sharing"",""ตาก!J308"")"),1)</f>
        <v>1</v>
      </c>
      <c r="S17" s="298">
        <f ca="1">IFERROR(__xludf.DUMMYFUNCTION("IMPORTRANGE(""https://docs.google.com/spreadsheets/d/1JWG2rZePOz9pe-f-ObA-yDr0VoOX2kSb0qIix2mTUo8/edit?usp=sharing"",""ตาก!I309"")"),20)</f>
        <v>20</v>
      </c>
      <c r="T17" s="181">
        <f ca="1">IFERROR(__xludf.DUMMYFUNCTION("IMPORTRANGE(""https://docs.google.com/spreadsheets/d/1JWG2rZePOz9pe-f-ObA-yDr0VoOX2kSb0qIix2mTUo8/edit?usp=sharing"",""ตาก!J309"")"),20)</f>
        <v>20</v>
      </c>
      <c r="U17" s="185">
        <f t="shared" ca="1" si="21"/>
        <v>100</v>
      </c>
      <c r="V17" s="181">
        <f ca="1">IFERROR(__xludf.DUMMYFUNCTION("IMPORTRANGE(""https://docs.google.com/spreadsheets/d/1JWG2rZePOz9pe-f-ObA-yDr0VoOX2kSb0qIix2mTUo8/edit?usp=sharing"",""ตาก!J310"")"),0)</f>
        <v>0</v>
      </c>
      <c r="W17" s="185">
        <f t="shared" ca="1" si="11"/>
        <v>0</v>
      </c>
      <c r="X17" s="181">
        <f ca="1">IFERROR(__xludf.DUMMYFUNCTION("IMPORTRANGE(""https://docs.google.com/spreadsheets/d/1JWG2rZePOz9pe-f-ObA-yDr0VoOX2kSb0qIix2mTUo8/edit?usp=sharing"",""ตาก!J311"")"),0)</f>
        <v>0</v>
      </c>
      <c r="Y17" s="185">
        <f t="shared" ca="1" si="12"/>
        <v>0</v>
      </c>
      <c r="Z17" s="298">
        <f ca="1">IFERROR(__xludf.DUMMYFUNCTION("IMPORTRANGE(""https://docs.google.com/spreadsheets/d/1JWG2rZePOz9pe-f-ObA-yDr0VoOX2kSb0qIix2mTUo8/edit?usp=sharing"",""ตาก!I312"")"),4)</f>
        <v>4</v>
      </c>
      <c r="AA17" s="181">
        <f ca="1">IFERROR(__xludf.DUMMYFUNCTION("IMPORTRANGE(""https://docs.google.com/spreadsheets/d/1JWG2rZePOz9pe-f-ObA-yDr0VoOX2kSb0qIix2mTUo8/edit?usp=sharing"",""ตาก!J312"")"),0)</f>
        <v>0</v>
      </c>
      <c r="AB17" s="185">
        <f t="shared" ca="1" si="14"/>
        <v>0</v>
      </c>
    </row>
    <row r="18" spans="1:28" ht="24" customHeight="1" x14ac:dyDescent="0.3">
      <c r="A18" s="78">
        <v>5</v>
      </c>
      <c r="B18" s="79" t="s">
        <v>40</v>
      </c>
      <c r="C18" s="80">
        <f t="shared" ca="1" si="0"/>
        <v>101000</v>
      </c>
      <c r="D18" s="81">
        <f t="shared" ca="1" si="26"/>
        <v>101000</v>
      </c>
      <c r="E18" s="82">
        <f ca="1">IFERROR(__xludf.DUMMYFUNCTION("IMPORTRANGE(""https://docs.google.com/spreadsheets/d/1MeEWN-I1oV_STSDYn1IFDPWt_1FKiwhDph83XaGc0o0/edit?usp=sharing"",""งบพรบ!DT18"")"),0)</f>
        <v>0</v>
      </c>
      <c r="F18" s="82">
        <f ca="1">IFERROR(__xludf.DUMMYFUNCTION("IMPORTRANGE(""https://docs.google.com/spreadsheets/d/1MeEWN-I1oV_STSDYn1IFDPWt_1FKiwhDph83XaGc0o0/edit?usp=sharing"",""งบพรบ!DU18"")"),101000)</f>
        <v>101000</v>
      </c>
      <c r="G18" s="82">
        <f ca="1">IFERROR(__xludf.DUMMYFUNCTION("IMPORTRANGE(""https://docs.google.com/spreadsheets/d/1MeEWN-I1oV_STSDYn1IFDPWt_1FKiwhDph83XaGc0o0/edit?usp=sharing"",""งบพรบ!DV18"")"),0)</f>
        <v>0</v>
      </c>
      <c r="H18" s="82">
        <f ca="1">IFERROR(__xludf.DUMMYFUNCTION("IMPORTRANGE(""https://docs.google.com/spreadsheets/d/1MeEWN-I1oV_STSDYn1IFDPWt_1FKiwhDph83XaGc0o0/edit?usp=sharing"",""งบพรบ!DX18"")"),60400)</f>
        <v>60400</v>
      </c>
      <c r="I18" s="82">
        <f ca="1">IFERROR(__xludf.DUMMYFUNCTION("IMPORTRANGE(""https://docs.google.com/spreadsheets/d/1MeEWN-I1oV_STSDYn1IFDPWt_1FKiwhDph83XaGc0o0/edit?usp=sharing"",""งบพรบ!DY18"")"),0)</f>
        <v>0</v>
      </c>
      <c r="J18" s="82">
        <f t="shared" ca="1" si="3"/>
        <v>60400</v>
      </c>
      <c r="K18" s="83">
        <f t="shared" ca="1" si="4"/>
        <v>59.801980198019805</v>
      </c>
      <c r="L18" s="82">
        <f ca="1">IFERROR(__xludf.DUMMYFUNCTION("IMPORTRANGE(""https://docs.google.com/spreadsheets/d/1MeEWN-I1oV_STSDYn1IFDPWt_1FKiwhDph83XaGc0o0/edit?usp=sharing"",""งบพรบ!DZ18"")"),60400)</f>
        <v>60400</v>
      </c>
      <c r="M18" s="84">
        <f t="shared" ca="1" si="5"/>
        <v>59.801980198019805</v>
      </c>
      <c r="N18" s="84">
        <f t="shared" ca="1" si="6"/>
        <v>100</v>
      </c>
      <c r="O18" s="85">
        <f ca="1">IFERROR(__xludf.DUMMYFUNCTION("IMPORTRANGE(""https://docs.google.com/spreadsheets/d/1MeEWN-I1oV_STSDYn1IFDPWt_1FKiwhDph83XaGc0o0/edit?usp=sharing"",""งบพรบ!EA18"")"),0)</f>
        <v>0</v>
      </c>
      <c r="P18" s="85">
        <f t="shared" ca="1" si="23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IFERROR(__xludf.DUMMYFUNCTION("IMPORTRANGE(""https://docs.google.com/spreadsheets/d/10nSRjK08hx8Y6HgSOQKNw81lyY46Zc7U_Cj72hBMp9U/edit?usp=sharing"",""นครสวรรค์!J308"")"),0)</f>
        <v>0</v>
      </c>
      <c r="S18" s="298">
        <f ca="1">IFERROR(__xludf.DUMMYFUNCTION("IMPORTRANGE(""https://docs.google.com/spreadsheets/d/10nSRjK08hx8Y6HgSOQKNw81lyY46Zc7U_Cj72hBMp9U/edit?usp=sharing"",""นครสวรรค์!I309"")"),25)</f>
        <v>25</v>
      </c>
      <c r="T18" s="181">
        <f ca="1">IFERROR(__xludf.DUMMYFUNCTION("IMPORTRANGE(""https://docs.google.com/spreadsheets/d/10nSRjK08hx8Y6HgSOQKNw81lyY46Zc7U_Cj72hBMp9U/edit?usp=sharing"",""นครสวรรค์!J309"")"),25)</f>
        <v>25</v>
      </c>
      <c r="U18" s="185">
        <f t="shared" ca="1" si="21"/>
        <v>100</v>
      </c>
      <c r="V18" s="181">
        <f ca="1">IFERROR(__xludf.DUMMYFUNCTION("IMPORTRANGE(""https://docs.google.com/spreadsheets/d/10nSRjK08hx8Y6HgSOQKNw81lyY46Zc7U_Cj72hBMp9U/edit?usp=sharing"",""นครสวรรค์!J310"")"),0)</f>
        <v>0</v>
      </c>
      <c r="W18" s="185">
        <f t="shared" ca="1" si="11"/>
        <v>0</v>
      </c>
      <c r="X18" s="181">
        <f ca="1">IFERROR(__xludf.DUMMYFUNCTION("IMPORTRANGE(""https://docs.google.com/spreadsheets/d/10nSRjK08hx8Y6HgSOQKNw81lyY46Zc7U_Cj72hBMp9U/edit?usp=sharing"",""นครสวรรค์!J311"")"),0)</f>
        <v>0</v>
      </c>
      <c r="Y18" s="185">
        <f t="shared" ca="1" si="12"/>
        <v>0</v>
      </c>
      <c r="Z18" s="298">
        <f ca="1">IFERROR(__xludf.DUMMYFUNCTION("IMPORTRANGE(""https://docs.google.com/spreadsheets/d/10nSRjK08hx8Y6HgSOQKNw81lyY46Zc7U_Cj72hBMp9U/edit?usp=sharing"",""นครสวรรค์!I312"")"),5)</f>
        <v>5</v>
      </c>
      <c r="AA18" s="181">
        <f ca="1">IFERROR(__xludf.DUMMYFUNCTION("IMPORTRANGE(""https://docs.google.com/spreadsheets/d/10nSRjK08hx8Y6HgSOQKNw81lyY46Zc7U_Cj72hBMp9U/edit?usp=sharing"",""นครสวรรค์!J312"")"),5)</f>
        <v>5</v>
      </c>
      <c r="AB18" s="185">
        <f t="shared" ca="1" si="14"/>
        <v>20</v>
      </c>
    </row>
    <row r="19" spans="1:28" ht="24" customHeight="1" x14ac:dyDescent="0.3">
      <c r="A19" s="78">
        <v>6</v>
      </c>
      <c r="B19" s="79" t="s">
        <v>41</v>
      </c>
      <c r="C19" s="80">
        <f t="shared" ca="1" si="0"/>
        <v>0</v>
      </c>
      <c r="D19" s="81">
        <f t="shared" ca="1" si="26"/>
        <v>0</v>
      </c>
      <c r="E19" s="82">
        <f ca="1">IFERROR(__xludf.DUMMYFUNCTION("IMPORTRANGE(""https://docs.google.com/spreadsheets/d/1MeEWN-I1oV_STSDYn1IFDPWt_1FKiwhDph83XaGc0o0/edit?usp=sharing"",""งบพรบ!DT19"")"),0)</f>
        <v>0</v>
      </c>
      <c r="F19" s="82">
        <f ca="1">IFERROR(__xludf.DUMMYFUNCTION("IMPORTRANGE(""https://docs.google.com/spreadsheets/d/1MeEWN-I1oV_STSDYn1IFDPWt_1FKiwhDph83XaGc0o0/edit?usp=sharing"",""งบพรบ!DU19"")"),0)</f>
        <v>0</v>
      </c>
      <c r="G19" s="82">
        <f ca="1">IFERROR(__xludf.DUMMYFUNCTION("IMPORTRANGE(""https://docs.google.com/spreadsheets/d/1MeEWN-I1oV_STSDYn1IFDPWt_1FKiwhDph83XaGc0o0/edit?usp=sharing"",""งบพรบ!DV19"")"),0)</f>
        <v>0</v>
      </c>
      <c r="H19" s="82">
        <f ca="1">IFERROR(__xludf.DUMMYFUNCTION("IMPORTRANGE(""https://docs.google.com/spreadsheets/d/1MeEWN-I1oV_STSDYn1IFDPWt_1FKiwhDph83XaGc0o0/edit?usp=sharing"",""งบพรบ!DX19"")"),0)</f>
        <v>0</v>
      </c>
      <c r="I19" s="82">
        <f ca="1">IFERROR(__xludf.DUMMYFUNCTION("IMPORTRANGE(""https://docs.google.com/spreadsheets/d/1MeEWN-I1oV_STSDYn1IFDPWt_1FKiwhDph83XaGc0o0/edit?usp=sharing"",""งบพรบ!DY19"")"),0)</f>
        <v>0</v>
      </c>
      <c r="J19" s="82">
        <f t="shared" ca="1" si="3"/>
        <v>0</v>
      </c>
      <c r="K19" s="83">
        <f t="shared" ca="1" si="4"/>
        <v>0</v>
      </c>
      <c r="L19" s="82">
        <f ca="1">IFERROR(__xludf.DUMMYFUNCTION("IMPORTRANGE(""https://docs.google.com/spreadsheets/d/1MeEWN-I1oV_STSDYn1IFDPWt_1FKiwhDph83XaGc0o0/edit?usp=sharing"",""งบพรบ!DZ19"")"),0)</f>
        <v>0</v>
      </c>
      <c r="M19" s="84">
        <f t="shared" ca="1" si="5"/>
        <v>0</v>
      </c>
      <c r="N19" s="84">
        <f t="shared" ca="1" si="6"/>
        <v>0</v>
      </c>
      <c r="O19" s="85">
        <f ca="1">IFERROR(__xludf.DUMMYFUNCTION("IMPORTRANGE(""https://docs.google.com/spreadsheets/d/1MeEWN-I1oV_STSDYn1IFDPWt_1FKiwhDph83XaGc0o0/edit?usp=sharing"",""งบพรบ!EA19"")"),0)</f>
        <v>0</v>
      </c>
      <c r="P19" s="85">
        <f t="shared" ca="1" si="23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IFERROR(__xludf.DUMMYFUNCTION("IMPORTRANGE(""https://docs.google.com/spreadsheets/d/1gFVb7qd7amutrIxAAoM7lcy35hllxznovot8lyOfvDo/edit?usp=sharing"",""น่าน!J308"")"),0)</f>
        <v>0</v>
      </c>
      <c r="S19" s="298">
        <f ca="1">IFERROR(__xludf.DUMMYFUNCTION("IMPORTRANGE(""https://docs.google.com/spreadsheets/d/1gFVb7qd7amutrIxAAoM7lcy35hllxznovot8lyOfvDo/edit?usp=sharing"",""น่าน!I309"")"),0)</f>
        <v>0</v>
      </c>
      <c r="T19" s="181">
        <f ca="1">IFERROR(__xludf.DUMMYFUNCTION("IMPORTRANGE(""https://docs.google.com/spreadsheets/d/1gFVb7qd7amutrIxAAoM7lcy35hllxznovot8lyOfvDo/edit?usp=sharing"",""น่าน!J309"")"),0)</f>
        <v>0</v>
      </c>
      <c r="U19" s="185">
        <f t="shared" ca="1" si="21"/>
        <v>0</v>
      </c>
      <c r="V19" s="181">
        <f ca="1">IFERROR(__xludf.DUMMYFUNCTION("IMPORTRANGE(""https://docs.google.com/spreadsheets/d/1gFVb7qd7amutrIxAAoM7lcy35hllxznovot8lyOfvDo/edit?usp=sharing"",""น่าน!J310"")"),0)</f>
        <v>0</v>
      </c>
      <c r="W19" s="185">
        <f t="shared" ca="1" si="11"/>
        <v>0</v>
      </c>
      <c r="X19" s="181">
        <f ca="1">IFERROR(__xludf.DUMMYFUNCTION("IMPORTRANGE(""https://docs.google.com/spreadsheets/d/1gFVb7qd7amutrIxAAoM7lcy35hllxznovot8lyOfvDo/edit?usp=sharing"",""น่าน!J311"")"),0)</f>
        <v>0</v>
      </c>
      <c r="Y19" s="185">
        <f t="shared" ca="1" si="12"/>
        <v>0</v>
      </c>
      <c r="Z19" s="298">
        <f ca="1">IFERROR(__xludf.DUMMYFUNCTION("IMPORTRANGE(""https://docs.google.com/spreadsheets/d/1gFVb7qd7amutrIxAAoM7lcy35hllxznovot8lyOfvDo/edit?usp=sharing"",""น่าน!I312"")"),0)</f>
        <v>0</v>
      </c>
      <c r="AA19" s="181">
        <f ca="1">IFERROR(__xludf.DUMMYFUNCTION("IMPORTRANGE(""https://docs.google.com/spreadsheets/d/1gFVb7qd7amutrIxAAoM7lcy35hllxznovot8lyOfvDo/edit?usp=sharing"",""น่าน!J312"")"),0)</f>
        <v>0</v>
      </c>
      <c r="AB19" s="185">
        <f t="shared" ca="1" si="14"/>
        <v>0</v>
      </c>
    </row>
    <row r="20" spans="1:28" ht="24" customHeight="1" x14ac:dyDescent="0.3">
      <c r="A20" s="78">
        <v>7</v>
      </c>
      <c r="B20" s="79" t="s">
        <v>42</v>
      </c>
      <c r="C20" s="80">
        <f t="shared" ca="1" si="0"/>
        <v>368400</v>
      </c>
      <c r="D20" s="81">
        <f t="shared" ca="1" si="26"/>
        <v>368400</v>
      </c>
      <c r="E20" s="82">
        <f ca="1">IFERROR(__xludf.DUMMYFUNCTION("IMPORTRANGE(""https://docs.google.com/spreadsheets/d/1MeEWN-I1oV_STSDYn1IFDPWt_1FKiwhDph83XaGc0o0/edit?usp=sharing"",""งบพรบ!DT20"")"),286000)</f>
        <v>286000</v>
      </c>
      <c r="F20" s="82">
        <f ca="1">IFERROR(__xludf.DUMMYFUNCTION("IMPORTRANGE(""https://docs.google.com/spreadsheets/d/1MeEWN-I1oV_STSDYn1IFDPWt_1FKiwhDph83XaGc0o0/edit?usp=sharing"",""งบพรบ!DU20"")"),82400)</f>
        <v>82400</v>
      </c>
      <c r="G20" s="82">
        <f ca="1">IFERROR(__xludf.DUMMYFUNCTION("IMPORTRANGE(""https://docs.google.com/spreadsheets/d/1MeEWN-I1oV_STSDYn1IFDPWt_1FKiwhDph83XaGc0o0/edit?usp=sharing"",""งบพรบ!DV20"")"),0)</f>
        <v>0</v>
      </c>
      <c r="H20" s="82">
        <f ca="1">IFERROR(__xludf.DUMMYFUNCTION("IMPORTRANGE(""https://docs.google.com/spreadsheets/d/1MeEWN-I1oV_STSDYn1IFDPWt_1FKiwhDph83XaGc0o0/edit?usp=sharing"",""งบพรบ!DX20"")"),257120)</f>
        <v>257120</v>
      </c>
      <c r="I20" s="82">
        <f ca="1">IFERROR(__xludf.DUMMYFUNCTION("IMPORTRANGE(""https://docs.google.com/spreadsheets/d/1MeEWN-I1oV_STSDYn1IFDPWt_1FKiwhDph83XaGc0o0/edit?usp=sharing"",""งบพรบ!DY20"")"),0)</f>
        <v>0</v>
      </c>
      <c r="J20" s="82">
        <f t="shared" ca="1" si="3"/>
        <v>159932</v>
      </c>
      <c r="K20" s="83">
        <f t="shared" ca="1" si="4"/>
        <v>43.412595005428884</v>
      </c>
      <c r="L20" s="82">
        <f ca="1">IFERROR(__xludf.DUMMYFUNCTION("IMPORTRANGE(""https://docs.google.com/spreadsheets/d/1MeEWN-I1oV_STSDYn1IFDPWt_1FKiwhDph83XaGc0o0/edit?usp=sharing"",""งบพรบ!DZ20"")"),159932)</f>
        <v>159932</v>
      </c>
      <c r="M20" s="84">
        <f t="shared" ca="1" si="5"/>
        <v>43.412595005428884</v>
      </c>
      <c r="N20" s="84">
        <f t="shared" ca="1" si="6"/>
        <v>62.201306782825142</v>
      </c>
      <c r="O20" s="85">
        <f ca="1">IFERROR(__xludf.DUMMYFUNCTION("IMPORTRANGE(""https://docs.google.com/spreadsheets/d/1MeEWN-I1oV_STSDYn1IFDPWt_1FKiwhDph83XaGc0o0/edit?usp=sharing"",""งบพรบ!EA20"")"),0)</f>
        <v>0</v>
      </c>
      <c r="P20" s="85">
        <f t="shared" ca="1" si="23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IFERROR(__xludf.DUMMYFUNCTION("IMPORTRANGE(""https://docs.google.com/spreadsheets/d/1K0Aa9s-6EuHE5M0FG1F9aHLXRCOV917xvycTdLdct0w/edit?usp=sharing"",""พะเยา!J308"")"),1)</f>
        <v>1</v>
      </c>
      <c r="S20" s="298">
        <f ca="1">IFERROR(__xludf.DUMMYFUNCTION("IMPORTRANGE(""https://docs.google.com/spreadsheets/d/1K0Aa9s-6EuHE5M0FG1F9aHLXRCOV917xvycTdLdct0w/edit?usp=sharing"",""พะเยา!I309"")"),20)</f>
        <v>20</v>
      </c>
      <c r="T20" s="181">
        <f ca="1">IFERROR(__xludf.DUMMYFUNCTION("IMPORTRANGE(""https://docs.google.com/spreadsheets/d/1K0Aa9s-6EuHE5M0FG1F9aHLXRCOV917xvycTdLdct0w/edit?usp=sharing"",""พะเยา!J309"")"),20)</f>
        <v>20</v>
      </c>
      <c r="U20" s="185">
        <f t="shared" ca="1" si="21"/>
        <v>100</v>
      </c>
      <c r="V20" s="181">
        <f ca="1">IFERROR(__xludf.DUMMYFUNCTION("IMPORTRANGE(""https://docs.google.com/spreadsheets/d/1K0Aa9s-6EuHE5M0FG1F9aHLXRCOV917xvycTdLdct0w/edit?usp=sharing"",""พะเยา!J310"")"),20)</f>
        <v>20</v>
      </c>
      <c r="W20" s="185">
        <f t="shared" ca="1" si="11"/>
        <v>100</v>
      </c>
      <c r="X20" s="181">
        <f ca="1">IFERROR(__xludf.DUMMYFUNCTION("IMPORTRANGE(""https://docs.google.com/spreadsheets/d/1K0Aa9s-6EuHE5M0FG1F9aHLXRCOV917xvycTdLdct0w/edit?usp=sharing"",""พะเยา!J311"")"),0)</f>
        <v>0</v>
      </c>
      <c r="Y20" s="185">
        <f t="shared" ca="1" si="12"/>
        <v>0</v>
      </c>
      <c r="Z20" s="298">
        <f ca="1">IFERROR(__xludf.DUMMYFUNCTION("IMPORTRANGE(""https://docs.google.com/spreadsheets/d/1K0Aa9s-6EuHE5M0FG1F9aHLXRCOV917xvycTdLdct0w/edit?usp=sharing"",""พะเยา!I312"")"),4)</f>
        <v>4</v>
      </c>
      <c r="AA20" s="181">
        <f ca="1">IFERROR(__xludf.DUMMYFUNCTION("IMPORTRANGE(""https://docs.google.com/spreadsheets/d/1K0Aa9s-6EuHE5M0FG1F9aHLXRCOV917xvycTdLdct0w/edit?usp=sharing"",""พะเยา!J312"")"),0)</f>
        <v>0</v>
      </c>
      <c r="AB20" s="185">
        <f t="shared" ca="1" si="14"/>
        <v>0</v>
      </c>
    </row>
    <row r="21" spans="1:28" ht="24" customHeight="1" x14ac:dyDescent="0.3">
      <c r="A21" s="78">
        <v>8</v>
      </c>
      <c r="B21" s="79" t="s">
        <v>43</v>
      </c>
      <c r="C21" s="80">
        <f t="shared" ca="1" si="0"/>
        <v>0</v>
      </c>
      <c r="D21" s="81">
        <f t="shared" ca="1" si="26"/>
        <v>0</v>
      </c>
      <c r="E21" s="82">
        <f ca="1">IFERROR(__xludf.DUMMYFUNCTION("IMPORTRANGE(""https://docs.google.com/spreadsheets/d/1MeEWN-I1oV_STSDYn1IFDPWt_1FKiwhDph83XaGc0o0/edit?usp=sharing"",""งบพรบ!DT21"")"),0)</f>
        <v>0</v>
      </c>
      <c r="F21" s="82">
        <f ca="1">IFERROR(__xludf.DUMMYFUNCTION("IMPORTRANGE(""https://docs.google.com/spreadsheets/d/1MeEWN-I1oV_STSDYn1IFDPWt_1FKiwhDph83XaGc0o0/edit?usp=sharing"",""งบพรบ!DU21"")"),0)</f>
        <v>0</v>
      </c>
      <c r="G21" s="82">
        <f ca="1">IFERROR(__xludf.DUMMYFUNCTION("IMPORTRANGE(""https://docs.google.com/spreadsheets/d/1MeEWN-I1oV_STSDYn1IFDPWt_1FKiwhDph83XaGc0o0/edit?usp=sharing"",""งบพรบ!DV21"")"),0)</f>
        <v>0</v>
      </c>
      <c r="H21" s="82">
        <f ca="1">IFERROR(__xludf.DUMMYFUNCTION("IMPORTRANGE(""https://docs.google.com/spreadsheets/d/1MeEWN-I1oV_STSDYn1IFDPWt_1FKiwhDph83XaGc0o0/edit?usp=sharing"",""งบพรบ!DX21"")"),0)</f>
        <v>0</v>
      </c>
      <c r="I21" s="82">
        <f ca="1">IFERROR(__xludf.DUMMYFUNCTION("IMPORTRANGE(""https://docs.google.com/spreadsheets/d/1MeEWN-I1oV_STSDYn1IFDPWt_1FKiwhDph83XaGc0o0/edit?usp=sharing"",""งบพรบ!DY21"")"),0)</f>
        <v>0</v>
      </c>
      <c r="J21" s="82">
        <f t="shared" ca="1" si="3"/>
        <v>0</v>
      </c>
      <c r="K21" s="83">
        <f t="shared" ca="1" si="4"/>
        <v>0</v>
      </c>
      <c r="L21" s="82">
        <f ca="1">IFERROR(__xludf.DUMMYFUNCTION("IMPORTRANGE(""https://docs.google.com/spreadsheets/d/1MeEWN-I1oV_STSDYn1IFDPWt_1FKiwhDph83XaGc0o0/edit?usp=sharing"",""งบพรบ!DZ21"")"),0)</f>
        <v>0</v>
      </c>
      <c r="M21" s="84">
        <f t="shared" ca="1" si="5"/>
        <v>0</v>
      </c>
      <c r="N21" s="84">
        <f t="shared" ca="1" si="6"/>
        <v>0</v>
      </c>
      <c r="O21" s="85">
        <f ca="1">IFERROR(__xludf.DUMMYFUNCTION("IMPORTRANGE(""https://docs.google.com/spreadsheets/d/1MeEWN-I1oV_STSDYn1IFDPWt_1FKiwhDph83XaGc0o0/edit?usp=sharing"",""งบพรบ!EA21"")"),0)</f>
        <v>0</v>
      </c>
      <c r="P21" s="85">
        <f t="shared" ca="1" si="23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IFERROR(__xludf.DUMMYFUNCTION("IMPORTRANGE(""https://docs.google.com/spreadsheets/d/1Y9LPKx95PyL5OKy09d-KbKJSuuEZCFdkhYjwC0XQjBA/edit?usp=sharing"",""พิจิตร!J308"")"),0)</f>
        <v>0</v>
      </c>
      <c r="S21" s="298">
        <f ca="1">IFERROR(__xludf.DUMMYFUNCTION("IMPORTRANGE(""https://docs.google.com/spreadsheets/d/1Y9LPKx95PyL5OKy09d-KbKJSuuEZCFdkhYjwC0XQjBA/edit?usp=sharing"",""พิจิตร!I309"")"),0)</f>
        <v>0</v>
      </c>
      <c r="T21" s="181">
        <f ca="1">IFERROR(__xludf.DUMMYFUNCTION("IMPORTRANGE(""https://docs.google.com/spreadsheets/d/1Y9LPKx95PyL5OKy09d-KbKJSuuEZCFdkhYjwC0XQjBA/edit?usp=sharing"",""พิจิตร!J309"")"),0)</f>
        <v>0</v>
      </c>
      <c r="U21" s="185">
        <f t="shared" ca="1" si="21"/>
        <v>0</v>
      </c>
      <c r="V21" s="181">
        <f ca="1">IFERROR(__xludf.DUMMYFUNCTION("IMPORTRANGE(""https://docs.google.com/spreadsheets/d/1Y9LPKx95PyL5OKy09d-KbKJSuuEZCFdkhYjwC0XQjBA/edit?usp=sharing"",""พิจิตร!J310"")"),0)</f>
        <v>0</v>
      </c>
      <c r="W21" s="185">
        <f t="shared" ca="1" si="11"/>
        <v>0</v>
      </c>
      <c r="X21" s="181">
        <f ca="1">IFERROR(__xludf.DUMMYFUNCTION("IMPORTRANGE(""https://docs.google.com/spreadsheets/d/1Y9LPKx95PyL5OKy09d-KbKJSuuEZCFdkhYjwC0XQjBA/edit?usp=sharing"",""พิจิตร!J311"")"),0)</f>
        <v>0</v>
      </c>
      <c r="Y21" s="185">
        <f t="shared" ca="1" si="12"/>
        <v>0</v>
      </c>
      <c r="Z21" s="298">
        <f ca="1">IFERROR(__xludf.DUMMYFUNCTION("IMPORTRANGE(""https://docs.google.com/spreadsheets/d/1Y9LPKx95PyL5OKy09d-KbKJSuuEZCFdkhYjwC0XQjBA/edit?usp=sharing"",""พิจิตร!I312"")"),0)</f>
        <v>0</v>
      </c>
      <c r="AA21" s="181">
        <f ca="1">IFERROR(__xludf.DUMMYFUNCTION("IMPORTRANGE(""https://docs.google.com/spreadsheets/d/1Y9LPKx95PyL5OKy09d-KbKJSuuEZCFdkhYjwC0XQjBA/edit?usp=sharing"",""พิจิตร!J312"")"),0)</f>
        <v>0</v>
      </c>
      <c r="AB21" s="185">
        <f t="shared" ca="1" si="14"/>
        <v>0</v>
      </c>
    </row>
    <row r="22" spans="1:28" ht="24" customHeight="1" x14ac:dyDescent="0.3">
      <c r="A22" s="78">
        <v>9</v>
      </c>
      <c r="B22" s="79" t="s">
        <v>44</v>
      </c>
      <c r="C22" s="80">
        <f t="shared" ca="1" si="0"/>
        <v>0</v>
      </c>
      <c r="D22" s="81">
        <f t="shared" ca="1" si="26"/>
        <v>0</v>
      </c>
      <c r="E22" s="82">
        <f ca="1">IFERROR(__xludf.DUMMYFUNCTION("IMPORTRANGE(""https://docs.google.com/spreadsheets/d/1MeEWN-I1oV_STSDYn1IFDPWt_1FKiwhDph83XaGc0o0/edit?usp=sharing"",""งบพรบ!DT22"")"),0)</f>
        <v>0</v>
      </c>
      <c r="F22" s="82">
        <f ca="1">IFERROR(__xludf.DUMMYFUNCTION("IMPORTRANGE(""https://docs.google.com/spreadsheets/d/1MeEWN-I1oV_STSDYn1IFDPWt_1FKiwhDph83XaGc0o0/edit?usp=sharing"",""งบพรบ!DU22"")"),0)</f>
        <v>0</v>
      </c>
      <c r="G22" s="82">
        <f ca="1">IFERROR(__xludf.DUMMYFUNCTION("IMPORTRANGE(""https://docs.google.com/spreadsheets/d/1MeEWN-I1oV_STSDYn1IFDPWt_1FKiwhDph83XaGc0o0/edit?usp=sharing"",""งบพรบ!DV22"")"),0)</f>
        <v>0</v>
      </c>
      <c r="H22" s="82">
        <f ca="1">IFERROR(__xludf.DUMMYFUNCTION("IMPORTRANGE(""https://docs.google.com/spreadsheets/d/1MeEWN-I1oV_STSDYn1IFDPWt_1FKiwhDph83XaGc0o0/edit?usp=sharing"",""งบพรบ!DX22"")"),0)</f>
        <v>0</v>
      </c>
      <c r="I22" s="82">
        <f ca="1">IFERROR(__xludf.DUMMYFUNCTION("IMPORTRANGE(""https://docs.google.com/spreadsheets/d/1MeEWN-I1oV_STSDYn1IFDPWt_1FKiwhDph83XaGc0o0/edit?usp=sharing"",""งบพรบ!DY22"")"),0)</f>
        <v>0</v>
      </c>
      <c r="J22" s="82">
        <f t="shared" ca="1" si="3"/>
        <v>0</v>
      </c>
      <c r="K22" s="83">
        <f t="shared" ca="1" si="4"/>
        <v>0</v>
      </c>
      <c r="L22" s="82">
        <f ca="1">IFERROR(__xludf.DUMMYFUNCTION("IMPORTRANGE(""https://docs.google.com/spreadsheets/d/1MeEWN-I1oV_STSDYn1IFDPWt_1FKiwhDph83XaGc0o0/edit?usp=sharing"",""งบพรบ!DZ22"")"),0)</f>
        <v>0</v>
      </c>
      <c r="M22" s="84">
        <f t="shared" ca="1" si="5"/>
        <v>0</v>
      </c>
      <c r="N22" s="84">
        <f t="shared" ca="1" si="6"/>
        <v>0</v>
      </c>
      <c r="O22" s="85">
        <f ca="1">IFERROR(__xludf.DUMMYFUNCTION("IMPORTRANGE(""https://docs.google.com/spreadsheets/d/1MeEWN-I1oV_STSDYn1IFDPWt_1FKiwhDph83XaGc0o0/edit?usp=sharing"",""งบพรบ!EA22"")"),0)</f>
        <v>0</v>
      </c>
      <c r="P22" s="85">
        <f t="shared" ca="1" si="23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IFERROR(__xludf.DUMMYFUNCTION("IMPORTRANGE(""https://docs.google.com/spreadsheets/d/16OMuOwy2eVqZcYWOouQtTpa8X1L23h4660uVHc0C8os/edit?usp=sharing"",""พิษณุโลก!J308"")"),0)</f>
        <v>0</v>
      </c>
      <c r="S22" s="298">
        <f ca="1">IFERROR(__xludf.DUMMYFUNCTION("IMPORTRANGE(""https://docs.google.com/spreadsheets/d/16OMuOwy2eVqZcYWOouQtTpa8X1L23h4660uVHc0C8os/edit?usp=sharing"",""พิษณุโลก!I309"")"),0)</f>
        <v>0</v>
      </c>
      <c r="T22" s="181">
        <f ca="1">IFERROR(__xludf.DUMMYFUNCTION("IMPORTRANGE(""https://docs.google.com/spreadsheets/d/16OMuOwy2eVqZcYWOouQtTpa8X1L23h4660uVHc0C8os/edit?usp=sharing"",""พิษณุโลก!J309"")"),0)</f>
        <v>0</v>
      </c>
      <c r="U22" s="185">
        <f t="shared" ca="1" si="21"/>
        <v>0</v>
      </c>
      <c r="V22" s="181">
        <f ca="1">IFERROR(__xludf.DUMMYFUNCTION("IMPORTRANGE(""https://docs.google.com/spreadsheets/d/16OMuOwy2eVqZcYWOouQtTpa8X1L23h4660uVHc0C8os/edit?usp=sharing"",""พิษณุโลก!J310"")"),0)</f>
        <v>0</v>
      </c>
      <c r="W22" s="185">
        <f t="shared" ca="1" si="11"/>
        <v>0</v>
      </c>
      <c r="X22" s="181">
        <f ca="1">IFERROR(__xludf.DUMMYFUNCTION("IMPORTRANGE(""https://docs.google.com/spreadsheets/d/16OMuOwy2eVqZcYWOouQtTpa8X1L23h4660uVHc0C8os/edit?usp=sharing"",""พิษณุโลก!J311"")"),0)</f>
        <v>0</v>
      </c>
      <c r="Y22" s="185">
        <f t="shared" ca="1" si="12"/>
        <v>0</v>
      </c>
      <c r="Z22" s="298">
        <f ca="1">IFERROR(__xludf.DUMMYFUNCTION("IMPORTRANGE(""https://docs.google.com/spreadsheets/d/16OMuOwy2eVqZcYWOouQtTpa8X1L23h4660uVHc0C8os/edit?usp=sharing"",""พิษณุโลก!I312"")"),0)</f>
        <v>0</v>
      </c>
      <c r="AA22" s="181">
        <f ca="1">IFERROR(__xludf.DUMMYFUNCTION("IMPORTRANGE(""https://docs.google.com/spreadsheets/d/16OMuOwy2eVqZcYWOouQtTpa8X1L23h4660uVHc0C8os/edit?usp=sharing"",""พิษณุโลก!J312"")"),0)</f>
        <v>0</v>
      </c>
      <c r="AB22" s="185">
        <f t="shared" ca="1" si="14"/>
        <v>0</v>
      </c>
    </row>
    <row r="23" spans="1:28" ht="24" customHeight="1" x14ac:dyDescent="0.3">
      <c r="A23" s="78">
        <v>10</v>
      </c>
      <c r="B23" s="79" t="s">
        <v>45</v>
      </c>
      <c r="C23" s="80">
        <f t="shared" ca="1" si="0"/>
        <v>101000</v>
      </c>
      <c r="D23" s="81">
        <f t="shared" ca="1" si="26"/>
        <v>101000</v>
      </c>
      <c r="E23" s="82">
        <f ca="1">IFERROR(__xludf.DUMMYFUNCTION("IMPORTRANGE(""https://docs.google.com/spreadsheets/d/1MeEWN-I1oV_STSDYn1IFDPWt_1FKiwhDph83XaGc0o0/edit?usp=sharing"",""งบพรบ!DT23"")"),0)</f>
        <v>0</v>
      </c>
      <c r="F23" s="82">
        <f ca="1">IFERROR(__xludf.DUMMYFUNCTION("IMPORTRANGE(""https://docs.google.com/spreadsheets/d/1MeEWN-I1oV_STSDYn1IFDPWt_1FKiwhDph83XaGc0o0/edit?usp=sharing"",""งบพรบ!DU23"")"),101000)</f>
        <v>101000</v>
      </c>
      <c r="G23" s="82">
        <f ca="1">IFERROR(__xludf.DUMMYFUNCTION("IMPORTRANGE(""https://docs.google.com/spreadsheets/d/1MeEWN-I1oV_STSDYn1IFDPWt_1FKiwhDph83XaGc0o0/edit?usp=sharing"",""งบพรบ!DV23"")"),0)</f>
        <v>0</v>
      </c>
      <c r="H23" s="82">
        <f ca="1">IFERROR(__xludf.DUMMYFUNCTION("IMPORTRANGE(""https://docs.google.com/spreadsheets/d/1MeEWN-I1oV_STSDYn1IFDPWt_1FKiwhDph83XaGc0o0/edit?usp=sharing"",""งบพรบ!DX23"")"),60400)</f>
        <v>60400</v>
      </c>
      <c r="I23" s="82">
        <f ca="1">IFERROR(__xludf.DUMMYFUNCTION("IMPORTRANGE(""https://docs.google.com/spreadsheets/d/1MeEWN-I1oV_STSDYn1IFDPWt_1FKiwhDph83XaGc0o0/edit?usp=sharing"",""งบพรบ!DY23"")"),0)</f>
        <v>0</v>
      </c>
      <c r="J23" s="82">
        <f t="shared" ca="1" si="3"/>
        <v>60400</v>
      </c>
      <c r="K23" s="83">
        <f t="shared" ca="1" si="4"/>
        <v>59.801980198019805</v>
      </c>
      <c r="L23" s="82">
        <f ca="1">IFERROR(__xludf.DUMMYFUNCTION("IMPORTRANGE(""https://docs.google.com/spreadsheets/d/1MeEWN-I1oV_STSDYn1IFDPWt_1FKiwhDph83XaGc0o0/edit?usp=sharing"",""งบพรบ!DZ23"")"),60400)</f>
        <v>60400</v>
      </c>
      <c r="M23" s="84">
        <f t="shared" ca="1" si="5"/>
        <v>59.801980198019805</v>
      </c>
      <c r="N23" s="84">
        <f t="shared" ca="1" si="6"/>
        <v>100</v>
      </c>
      <c r="O23" s="85">
        <f ca="1">IFERROR(__xludf.DUMMYFUNCTION("IMPORTRANGE(""https://docs.google.com/spreadsheets/d/1MeEWN-I1oV_STSDYn1IFDPWt_1FKiwhDph83XaGc0o0/edit?usp=sharing"",""งบพรบ!EA23"")"),0)</f>
        <v>0</v>
      </c>
      <c r="P23" s="85">
        <f t="shared" ca="1" si="23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IFERROR(__xludf.DUMMYFUNCTION("IMPORTRANGE(""https://docs.google.com/spreadsheets/d/1GfgTldLG6k77HXaMQzaafODklYuucJZQNs_GAPEfZyY/edit?usp=sharing"",""เพชรบูรณ์!J308"")"),1)</f>
        <v>1</v>
      </c>
      <c r="S23" s="298">
        <f ca="1">IFERROR(__xludf.DUMMYFUNCTION("IMPORTRANGE(""https://docs.google.com/spreadsheets/d/1GfgTldLG6k77HXaMQzaafODklYuucJZQNs_GAPEfZyY/edit?usp=sharing"",""เพชรบูรณ์!I309"")"),25)</f>
        <v>25</v>
      </c>
      <c r="T23" s="181">
        <f ca="1">IFERROR(__xludf.DUMMYFUNCTION("IMPORTRANGE(""https://docs.google.com/spreadsheets/d/1GfgTldLG6k77HXaMQzaafODklYuucJZQNs_GAPEfZyY/edit?usp=sharing"",""เพชรบูรณ์!J309"")"),25)</f>
        <v>25</v>
      </c>
      <c r="U23" s="185">
        <f t="shared" ca="1" si="21"/>
        <v>100</v>
      </c>
      <c r="V23" s="181">
        <f ca="1">IFERROR(__xludf.DUMMYFUNCTION("IMPORTRANGE(""https://docs.google.com/spreadsheets/d/1GfgTldLG6k77HXaMQzaafODklYuucJZQNs_GAPEfZyY/edit?usp=sharing"",""เพชรบูรณ์!J310"")"),25)</f>
        <v>25</v>
      </c>
      <c r="W23" s="185">
        <f t="shared" ca="1" si="11"/>
        <v>100</v>
      </c>
      <c r="X23" s="181">
        <f ca="1">IFERROR(__xludf.DUMMYFUNCTION("IMPORTRANGE(""https://docs.google.com/spreadsheets/d/1GfgTldLG6k77HXaMQzaafODklYuucJZQNs_GAPEfZyY/edit?usp=sharing"",""เพชรบูรณ์!J311"")"),0)</f>
        <v>0</v>
      </c>
      <c r="Y23" s="185">
        <f t="shared" ca="1" si="12"/>
        <v>0</v>
      </c>
      <c r="Z23" s="298">
        <f ca="1">IFERROR(__xludf.DUMMYFUNCTION("IMPORTRANGE(""https://docs.google.com/spreadsheets/d/1GfgTldLG6k77HXaMQzaafODklYuucJZQNs_GAPEfZyY/edit?usp=sharing"",""เพชรบูรณ์!I312"")"),5)</f>
        <v>5</v>
      </c>
      <c r="AA23" s="181">
        <f ca="1">IFERROR(__xludf.DUMMYFUNCTION("IMPORTRANGE(""https://docs.google.com/spreadsheets/d/1GfgTldLG6k77HXaMQzaafODklYuucJZQNs_GAPEfZyY/edit?usp=sharing"",""เพชรบูรณ์!J312"")"),5)</f>
        <v>5</v>
      </c>
      <c r="AB23" s="185">
        <f t="shared" ca="1" si="14"/>
        <v>20</v>
      </c>
    </row>
    <row r="24" spans="1:28" ht="24" customHeight="1" x14ac:dyDescent="0.3">
      <c r="A24" s="78">
        <v>11</v>
      </c>
      <c r="B24" s="79" t="s">
        <v>46</v>
      </c>
      <c r="C24" s="80">
        <f t="shared" ca="1" si="0"/>
        <v>225400</v>
      </c>
      <c r="D24" s="81">
        <f t="shared" ca="1" si="26"/>
        <v>225400</v>
      </c>
      <c r="E24" s="82">
        <f ca="1">IFERROR(__xludf.DUMMYFUNCTION("IMPORTRANGE(""https://docs.google.com/spreadsheets/d/1MeEWN-I1oV_STSDYn1IFDPWt_1FKiwhDph83XaGc0o0/edit?usp=sharing"",""งบพรบ!DT24"")"),143000)</f>
        <v>143000</v>
      </c>
      <c r="F24" s="82">
        <f ca="1">IFERROR(__xludf.DUMMYFUNCTION("IMPORTRANGE(""https://docs.google.com/spreadsheets/d/1MeEWN-I1oV_STSDYn1IFDPWt_1FKiwhDph83XaGc0o0/edit?usp=sharing"",""งบพรบ!DU24"")"),82400)</f>
        <v>82400</v>
      </c>
      <c r="G24" s="82">
        <f ca="1">IFERROR(__xludf.DUMMYFUNCTION("IMPORTRANGE(""https://docs.google.com/spreadsheets/d/1MeEWN-I1oV_STSDYn1IFDPWt_1FKiwhDph83XaGc0o0/edit?usp=sharing"",""งบพรบ!DV24"")"),0)</f>
        <v>0</v>
      </c>
      <c r="H24" s="82">
        <f ca="1">IFERROR(__xludf.DUMMYFUNCTION("IMPORTRANGE(""https://docs.google.com/spreadsheets/d/1MeEWN-I1oV_STSDYn1IFDPWt_1FKiwhDph83XaGc0o0/edit?usp=sharing"",""งบพรบ!DX24"")"),153120)</f>
        <v>153120</v>
      </c>
      <c r="I24" s="82">
        <f ca="1">IFERROR(__xludf.DUMMYFUNCTION("IMPORTRANGE(""https://docs.google.com/spreadsheets/d/1MeEWN-I1oV_STSDYn1IFDPWt_1FKiwhDph83XaGc0o0/edit?usp=sharing"",""งบพรบ!DY24"")"),0)</f>
        <v>0</v>
      </c>
      <c r="J24" s="82">
        <f t="shared" ca="1" si="3"/>
        <v>87656</v>
      </c>
      <c r="K24" s="83">
        <f t="shared" ca="1" si="4"/>
        <v>38.889086069210293</v>
      </c>
      <c r="L24" s="82">
        <f ca="1">IFERROR(__xludf.DUMMYFUNCTION("IMPORTRANGE(""https://docs.google.com/spreadsheets/d/1MeEWN-I1oV_STSDYn1IFDPWt_1FKiwhDph83XaGc0o0/edit?usp=sharing"",""งบพรบ!DZ24"")"),87656)</f>
        <v>87656</v>
      </c>
      <c r="M24" s="84">
        <f t="shared" ca="1" si="5"/>
        <v>38.889086069210293</v>
      </c>
      <c r="N24" s="84">
        <f t="shared" ca="1" si="6"/>
        <v>57.246603970741901</v>
      </c>
      <c r="O24" s="85">
        <f ca="1">IFERROR(__xludf.DUMMYFUNCTION("IMPORTRANGE(""https://docs.google.com/spreadsheets/d/1MeEWN-I1oV_STSDYn1IFDPWt_1FKiwhDph83XaGc0o0/edit?usp=sharing"",""งบพรบ!EA24"")"),0)</f>
        <v>0</v>
      </c>
      <c r="P24" s="85">
        <f t="shared" ca="1" si="23"/>
        <v>0</v>
      </c>
      <c r="Q24" s="84">
        <f t="shared" ca="1" si="8"/>
        <v>0</v>
      </c>
      <c r="R24" s="86" t="str">
        <f ca="1">IFERROR(__xludf.DUMMYFUNCTION("IMPORTRANGE(""https://docs.google.com/spreadsheets/d/1gvTMYAnm7v1yG1BKWFtr0DnaTsq59oW9dwWvFgq6hs0/edit?usp=sharing"",""แพร่!J308"")"),"")</f>
        <v/>
      </c>
      <c r="S24" s="298">
        <f ca="1">IFERROR(__xludf.DUMMYFUNCTION("IMPORTRANGE(""https://docs.google.com/spreadsheets/d/1gvTMYAnm7v1yG1BKWFtr0DnaTsq59oW9dwWvFgq6hs0/edit?usp=sharing"",""แพร่!I309"")"),20)</f>
        <v>20</v>
      </c>
      <c r="T24" s="181">
        <f ca="1">IFERROR(__xludf.DUMMYFUNCTION("IMPORTRANGE(""https://docs.google.com/spreadsheets/d/1gvTMYAnm7v1yG1BKWFtr0DnaTsq59oW9dwWvFgq6hs0/edit?usp=sharing"",""แพร่!J309"")"),20)</f>
        <v>20</v>
      </c>
      <c r="U24" s="185">
        <f t="shared" ca="1" si="21"/>
        <v>100</v>
      </c>
      <c r="V24" s="181">
        <f ca="1">IFERROR(__xludf.DUMMYFUNCTION("IMPORTRANGE(""https://docs.google.com/spreadsheets/d/1gvTMYAnm7v1yG1BKWFtr0DnaTsq59oW9dwWvFgq6hs0/edit?usp=sharing"",""แพร่!J310"")"),20)</f>
        <v>20</v>
      </c>
      <c r="W24" s="185">
        <f t="shared" ca="1" si="11"/>
        <v>100</v>
      </c>
      <c r="X24" s="181">
        <f ca="1">IFERROR(__xludf.DUMMYFUNCTION("IMPORTRANGE(""https://docs.google.com/spreadsheets/d/1gvTMYAnm7v1yG1BKWFtr0DnaTsq59oW9dwWvFgq6hs0/edit?usp=sharing"",""แพร่!J311"")"),0)</f>
        <v>0</v>
      </c>
      <c r="Y24" s="185">
        <f t="shared" ca="1" si="12"/>
        <v>0</v>
      </c>
      <c r="Z24" s="298">
        <f ca="1">IFERROR(__xludf.DUMMYFUNCTION("IMPORTRANGE(""https://docs.google.com/spreadsheets/d/1gvTMYAnm7v1yG1BKWFtr0DnaTsq59oW9dwWvFgq6hs0/edit?usp=sharing"",""แพร่!I312"")"),4)</f>
        <v>4</v>
      </c>
      <c r="AA24" s="181">
        <f ca="1">IFERROR(__xludf.DUMMYFUNCTION("IMPORTRANGE(""https://docs.google.com/spreadsheets/d/1gvTMYAnm7v1yG1BKWFtr0DnaTsq59oW9dwWvFgq6hs0/edit?usp=sharing"",""แพร่!J312"")"),0)</f>
        <v>0</v>
      </c>
      <c r="AB24" s="185">
        <f t="shared" ca="1" si="14"/>
        <v>0</v>
      </c>
    </row>
    <row r="25" spans="1:28" ht="24" customHeight="1" x14ac:dyDescent="0.3">
      <c r="A25" s="78">
        <v>12</v>
      </c>
      <c r="B25" s="79" t="s">
        <v>47</v>
      </c>
      <c r="C25" s="80">
        <f t="shared" ca="1" si="0"/>
        <v>0</v>
      </c>
      <c r="D25" s="81">
        <f t="shared" ca="1" si="26"/>
        <v>0</v>
      </c>
      <c r="E25" s="82">
        <f ca="1">IFERROR(__xludf.DUMMYFUNCTION("IMPORTRANGE(""https://docs.google.com/spreadsheets/d/1MeEWN-I1oV_STSDYn1IFDPWt_1FKiwhDph83XaGc0o0/edit?usp=sharing"",""งบพรบ!DT25"")"),0)</f>
        <v>0</v>
      </c>
      <c r="F25" s="82">
        <f ca="1">IFERROR(__xludf.DUMMYFUNCTION("IMPORTRANGE(""https://docs.google.com/spreadsheets/d/1MeEWN-I1oV_STSDYn1IFDPWt_1FKiwhDph83XaGc0o0/edit?usp=sharing"",""งบพรบ!DU25"")"),0)</f>
        <v>0</v>
      </c>
      <c r="G25" s="82">
        <f ca="1">IFERROR(__xludf.DUMMYFUNCTION("IMPORTRANGE(""https://docs.google.com/spreadsheets/d/1MeEWN-I1oV_STSDYn1IFDPWt_1FKiwhDph83XaGc0o0/edit?usp=sharing"",""งบพรบ!DV25"")"),0)</f>
        <v>0</v>
      </c>
      <c r="H25" s="82">
        <f ca="1">IFERROR(__xludf.DUMMYFUNCTION("IMPORTRANGE(""https://docs.google.com/spreadsheets/d/1MeEWN-I1oV_STSDYn1IFDPWt_1FKiwhDph83XaGc0o0/edit?usp=sharing"",""งบพรบ!DX25"")"),0)</f>
        <v>0</v>
      </c>
      <c r="I25" s="82">
        <f ca="1">IFERROR(__xludf.DUMMYFUNCTION("IMPORTRANGE(""https://docs.google.com/spreadsheets/d/1MeEWN-I1oV_STSDYn1IFDPWt_1FKiwhDph83XaGc0o0/edit?usp=sharing"",""งบพรบ!DY25"")"),0)</f>
        <v>0</v>
      </c>
      <c r="J25" s="82">
        <f t="shared" ca="1" si="3"/>
        <v>0</v>
      </c>
      <c r="K25" s="83">
        <f t="shared" ca="1" si="4"/>
        <v>0</v>
      </c>
      <c r="L25" s="82">
        <f ca="1">IFERROR(__xludf.DUMMYFUNCTION("IMPORTRANGE(""https://docs.google.com/spreadsheets/d/1MeEWN-I1oV_STSDYn1IFDPWt_1FKiwhDph83XaGc0o0/edit?usp=sharing"",""งบพรบ!DZ25"")"),0)</f>
        <v>0</v>
      </c>
      <c r="M25" s="84">
        <f t="shared" ca="1" si="5"/>
        <v>0</v>
      </c>
      <c r="N25" s="84">
        <f t="shared" ca="1" si="6"/>
        <v>0</v>
      </c>
      <c r="O25" s="85">
        <f ca="1">IFERROR(__xludf.DUMMYFUNCTION("IMPORTRANGE(""https://docs.google.com/spreadsheets/d/1MeEWN-I1oV_STSDYn1IFDPWt_1FKiwhDph83XaGc0o0/edit?usp=sharing"",""งบพรบ!EA25"")"),0)</f>
        <v>0</v>
      </c>
      <c r="P25" s="85">
        <f t="shared" ca="1" si="23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IFERROR(__xludf.DUMMYFUNCTION("IMPORTRANGE(""https://docs.google.com/spreadsheets/d/1Wbcosgy-Xa1xXUArJSOenub6EfZHUSzc_bpJFWwQUf0/edit?usp=sharing"",""แม่ฮ่องสอน!J308"")"),0)</f>
        <v>0</v>
      </c>
      <c r="S25" s="298">
        <f ca="1">IFERROR(__xludf.DUMMYFUNCTION("IMPORTRANGE(""https://docs.google.com/spreadsheets/d/1Wbcosgy-Xa1xXUArJSOenub6EfZHUSzc_bpJFWwQUf0/edit?usp=sharing"",""แม่ฮ่องสอน!I309"")"),0)</f>
        <v>0</v>
      </c>
      <c r="T25" s="181">
        <f ca="1">IFERROR(__xludf.DUMMYFUNCTION("IMPORTRANGE(""https://docs.google.com/spreadsheets/d/1Wbcosgy-Xa1xXUArJSOenub6EfZHUSzc_bpJFWwQUf0/edit?usp=sharing"",""แม่ฮ่องสอน!J309"")"),0)</f>
        <v>0</v>
      </c>
      <c r="U25" s="185">
        <f t="shared" ca="1" si="21"/>
        <v>0</v>
      </c>
      <c r="V25" s="181">
        <f ca="1">IFERROR(__xludf.DUMMYFUNCTION("IMPORTRANGE(""https://docs.google.com/spreadsheets/d/1Wbcosgy-Xa1xXUArJSOenub6EfZHUSzc_bpJFWwQUf0/edit?usp=sharing"",""แม่ฮ่องสอน!J310"")"),0)</f>
        <v>0</v>
      </c>
      <c r="W25" s="185">
        <f t="shared" ca="1" si="11"/>
        <v>0</v>
      </c>
      <c r="X25" s="181">
        <f ca="1">IFERROR(__xludf.DUMMYFUNCTION("IMPORTRANGE(""https://docs.google.com/spreadsheets/d/1Wbcosgy-Xa1xXUArJSOenub6EfZHUSzc_bpJFWwQUf0/edit?usp=sharing"",""แม่ฮ่องสอน!J311"")"),0)</f>
        <v>0</v>
      </c>
      <c r="Y25" s="185">
        <f t="shared" ca="1" si="12"/>
        <v>0</v>
      </c>
      <c r="Z25" s="298">
        <f ca="1">IFERROR(__xludf.DUMMYFUNCTION("IMPORTRANGE(""https://docs.google.com/spreadsheets/d/1Wbcosgy-Xa1xXUArJSOenub6EfZHUSzc_bpJFWwQUf0/edit?usp=sharing"",""แม่ฮ่องสอน!I312"")"),0)</f>
        <v>0</v>
      </c>
      <c r="AA25" s="181">
        <f ca="1">IFERROR(__xludf.DUMMYFUNCTION("IMPORTRANGE(""https://docs.google.com/spreadsheets/d/1Wbcosgy-Xa1xXUArJSOenub6EfZHUSzc_bpJFWwQUf0/edit?usp=sharing"",""แม่ฮ่องสอน!J312"")"),0)</f>
        <v>0</v>
      </c>
      <c r="AB25" s="185">
        <f t="shared" ca="1" si="14"/>
        <v>0</v>
      </c>
    </row>
    <row r="26" spans="1:28" ht="24" customHeight="1" x14ac:dyDescent="0.3">
      <c r="A26" s="78">
        <v>13</v>
      </c>
      <c r="B26" s="79" t="s">
        <v>48</v>
      </c>
      <c r="C26" s="80">
        <f t="shared" ca="1" si="0"/>
        <v>0</v>
      </c>
      <c r="D26" s="81">
        <f t="shared" ca="1" si="26"/>
        <v>0</v>
      </c>
      <c r="E26" s="82">
        <f ca="1">IFERROR(__xludf.DUMMYFUNCTION("IMPORTRANGE(""https://docs.google.com/spreadsheets/d/1MeEWN-I1oV_STSDYn1IFDPWt_1FKiwhDph83XaGc0o0/edit?usp=sharing"",""งบพรบ!DT26"")"),0)</f>
        <v>0</v>
      </c>
      <c r="F26" s="82">
        <f ca="1">IFERROR(__xludf.DUMMYFUNCTION("IMPORTRANGE(""https://docs.google.com/spreadsheets/d/1MeEWN-I1oV_STSDYn1IFDPWt_1FKiwhDph83XaGc0o0/edit?usp=sharing"",""งบพรบ!DU26"")"),0)</f>
        <v>0</v>
      </c>
      <c r="G26" s="82">
        <f ca="1">IFERROR(__xludf.DUMMYFUNCTION("IMPORTRANGE(""https://docs.google.com/spreadsheets/d/1MeEWN-I1oV_STSDYn1IFDPWt_1FKiwhDph83XaGc0o0/edit?usp=sharing"",""งบพรบ!DV26"")"),0)</f>
        <v>0</v>
      </c>
      <c r="H26" s="82">
        <f ca="1">IFERROR(__xludf.DUMMYFUNCTION("IMPORTRANGE(""https://docs.google.com/spreadsheets/d/1MeEWN-I1oV_STSDYn1IFDPWt_1FKiwhDph83XaGc0o0/edit?usp=sharing"",""งบพรบ!DX26"")"),0)</f>
        <v>0</v>
      </c>
      <c r="I26" s="82">
        <f ca="1">IFERROR(__xludf.DUMMYFUNCTION("IMPORTRANGE(""https://docs.google.com/spreadsheets/d/1MeEWN-I1oV_STSDYn1IFDPWt_1FKiwhDph83XaGc0o0/edit?usp=sharing"",""งบพรบ!DY26"")"),0)</f>
        <v>0</v>
      </c>
      <c r="J26" s="82">
        <f t="shared" ca="1" si="3"/>
        <v>0</v>
      </c>
      <c r="K26" s="83">
        <f t="shared" ca="1" si="4"/>
        <v>0</v>
      </c>
      <c r="L26" s="82">
        <f ca="1">IFERROR(__xludf.DUMMYFUNCTION("IMPORTRANGE(""https://docs.google.com/spreadsheets/d/1MeEWN-I1oV_STSDYn1IFDPWt_1FKiwhDph83XaGc0o0/edit?usp=sharing"",""งบพรบ!DZ26"")"),0)</f>
        <v>0</v>
      </c>
      <c r="M26" s="84">
        <f t="shared" ca="1" si="5"/>
        <v>0</v>
      </c>
      <c r="N26" s="84">
        <f t="shared" ca="1" si="6"/>
        <v>0</v>
      </c>
      <c r="O26" s="85">
        <f ca="1">IFERROR(__xludf.DUMMYFUNCTION("IMPORTRANGE(""https://docs.google.com/spreadsheets/d/1MeEWN-I1oV_STSDYn1IFDPWt_1FKiwhDph83XaGc0o0/edit?usp=sharing"",""งบพรบ!EA26"")"),0)</f>
        <v>0</v>
      </c>
      <c r="P26" s="85">
        <f t="shared" ca="1" si="23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IFERROR(__xludf.DUMMYFUNCTION("IMPORTRANGE(""https://docs.google.com/spreadsheets/d/1p7ERhsr0qZeSn-KSOdeHS9r0heI-lHtkcn2OH7hP0jQ/edit?usp=sharing"",""ลำปาง!J308"")"),0)</f>
        <v>0</v>
      </c>
      <c r="S26" s="298">
        <f ca="1">IFERROR(__xludf.DUMMYFUNCTION("IMPORTRANGE(""https://docs.google.com/spreadsheets/d/1p7ERhsr0qZeSn-KSOdeHS9r0heI-lHtkcn2OH7hP0jQ/edit?usp=sharing"",""ลำปาง!I309"")"),0)</f>
        <v>0</v>
      </c>
      <c r="T26" s="181">
        <f ca="1">IFERROR(__xludf.DUMMYFUNCTION("IMPORTRANGE(""https://docs.google.com/spreadsheets/d/1p7ERhsr0qZeSn-KSOdeHS9r0heI-lHtkcn2OH7hP0jQ/edit?usp=sharing"",""ลำปาง!J309"")"),0)</f>
        <v>0</v>
      </c>
      <c r="U26" s="185">
        <f t="shared" ca="1" si="21"/>
        <v>0</v>
      </c>
      <c r="V26" s="181">
        <f ca="1">IFERROR(__xludf.DUMMYFUNCTION("IMPORTRANGE(""https://docs.google.com/spreadsheets/d/1p7ERhsr0qZeSn-KSOdeHS9r0heI-lHtkcn2OH7hP0jQ/edit?usp=sharing"",""ลำปาง!J310"")"),0)</f>
        <v>0</v>
      </c>
      <c r="W26" s="185">
        <f t="shared" ca="1" si="11"/>
        <v>0</v>
      </c>
      <c r="X26" s="181">
        <f ca="1">IFERROR(__xludf.DUMMYFUNCTION("IMPORTRANGE(""https://docs.google.com/spreadsheets/d/1p7ERhsr0qZeSn-KSOdeHS9r0heI-lHtkcn2OH7hP0jQ/edit?usp=sharing"",""ลำปาง!J311"")"),0)</f>
        <v>0</v>
      </c>
      <c r="Y26" s="185">
        <f t="shared" ca="1" si="12"/>
        <v>0</v>
      </c>
      <c r="Z26" s="298">
        <f ca="1">IFERROR(__xludf.DUMMYFUNCTION("IMPORTRANGE(""https://docs.google.com/spreadsheets/d/1p7ERhsr0qZeSn-KSOdeHS9r0heI-lHtkcn2OH7hP0jQ/edit?usp=sharing"",""ลำปาง!I312"")"),0)</f>
        <v>0</v>
      </c>
      <c r="AA26" s="181">
        <f ca="1">IFERROR(__xludf.DUMMYFUNCTION("IMPORTRANGE(""https://docs.google.com/spreadsheets/d/1p7ERhsr0qZeSn-KSOdeHS9r0heI-lHtkcn2OH7hP0jQ/edit?usp=sharing"",""ลำปาง!J312"")"),0)</f>
        <v>0</v>
      </c>
      <c r="AB26" s="185">
        <f t="shared" ca="1" si="14"/>
        <v>0</v>
      </c>
    </row>
    <row r="27" spans="1:28" ht="24" customHeight="1" x14ac:dyDescent="0.3">
      <c r="A27" s="78">
        <v>14</v>
      </c>
      <c r="B27" s="79" t="s">
        <v>49</v>
      </c>
      <c r="C27" s="80">
        <f t="shared" ca="1" si="0"/>
        <v>0</v>
      </c>
      <c r="D27" s="81">
        <f t="shared" ca="1" si="26"/>
        <v>0</v>
      </c>
      <c r="E27" s="82">
        <f ca="1">IFERROR(__xludf.DUMMYFUNCTION("IMPORTRANGE(""https://docs.google.com/spreadsheets/d/1MeEWN-I1oV_STSDYn1IFDPWt_1FKiwhDph83XaGc0o0/edit?usp=sharing"",""งบพรบ!DT27"")"),0)</f>
        <v>0</v>
      </c>
      <c r="F27" s="82">
        <f ca="1">IFERROR(__xludf.DUMMYFUNCTION("IMPORTRANGE(""https://docs.google.com/spreadsheets/d/1MeEWN-I1oV_STSDYn1IFDPWt_1FKiwhDph83XaGc0o0/edit?usp=sharing"",""งบพรบ!DU27"")"),0)</f>
        <v>0</v>
      </c>
      <c r="G27" s="82">
        <f ca="1">IFERROR(__xludf.DUMMYFUNCTION("IMPORTRANGE(""https://docs.google.com/spreadsheets/d/1MeEWN-I1oV_STSDYn1IFDPWt_1FKiwhDph83XaGc0o0/edit?usp=sharing"",""งบพรบ!DV27"")"),0)</f>
        <v>0</v>
      </c>
      <c r="H27" s="82">
        <f ca="1">IFERROR(__xludf.DUMMYFUNCTION("IMPORTRANGE(""https://docs.google.com/spreadsheets/d/1MeEWN-I1oV_STSDYn1IFDPWt_1FKiwhDph83XaGc0o0/edit?usp=sharing"",""งบพรบ!DX27"")"),0)</f>
        <v>0</v>
      </c>
      <c r="I27" s="82">
        <f ca="1">IFERROR(__xludf.DUMMYFUNCTION("IMPORTRANGE(""https://docs.google.com/spreadsheets/d/1MeEWN-I1oV_STSDYn1IFDPWt_1FKiwhDph83XaGc0o0/edit?usp=sharing"",""งบพรบ!DY27"")"),0)</f>
        <v>0</v>
      </c>
      <c r="J27" s="82">
        <f t="shared" ca="1" si="3"/>
        <v>0</v>
      </c>
      <c r="K27" s="83">
        <f t="shared" ca="1" si="4"/>
        <v>0</v>
      </c>
      <c r="L27" s="82">
        <f ca="1">IFERROR(__xludf.DUMMYFUNCTION("IMPORTRANGE(""https://docs.google.com/spreadsheets/d/1MeEWN-I1oV_STSDYn1IFDPWt_1FKiwhDph83XaGc0o0/edit?usp=sharing"",""งบพรบ!DZ27"")"),0)</f>
        <v>0</v>
      </c>
      <c r="M27" s="84">
        <f t="shared" ca="1" si="5"/>
        <v>0</v>
      </c>
      <c r="N27" s="84">
        <f t="shared" ca="1" si="6"/>
        <v>0</v>
      </c>
      <c r="O27" s="85">
        <f ca="1">IFERROR(__xludf.DUMMYFUNCTION("IMPORTRANGE(""https://docs.google.com/spreadsheets/d/1MeEWN-I1oV_STSDYn1IFDPWt_1FKiwhDph83XaGc0o0/edit?usp=sharing"",""งบพรบ!EA27"")"),0)</f>
        <v>0</v>
      </c>
      <c r="P27" s="85">
        <f t="shared" ca="1" si="23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IFERROR(__xludf.DUMMYFUNCTION("IMPORTRANGE(""https://docs.google.com/spreadsheets/d/1-uUXvimVhiU2U0bMN-xi2te0tS4X7DI2GLPnMjzl8cA/edit?usp=sharing"",""ลำพูน!J308"")"),0)</f>
        <v>0</v>
      </c>
      <c r="S27" s="298">
        <f ca="1">IFERROR(__xludf.DUMMYFUNCTION("IMPORTRANGE(""https://docs.google.com/spreadsheets/d/1-uUXvimVhiU2U0bMN-xi2te0tS4X7DI2GLPnMjzl8cA/edit?usp=sharing"",""ลำพูน!I309"")"),0)</f>
        <v>0</v>
      </c>
      <c r="T27" s="181">
        <f ca="1">IFERROR(__xludf.DUMMYFUNCTION("IMPORTRANGE(""https://docs.google.com/spreadsheets/d/1-uUXvimVhiU2U0bMN-xi2te0tS4X7DI2GLPnMjzl8cA/edit?usp=sharing"",""ลำพูน!J309"")"),0)</f>
        <v>0</v>
      </c>
      <c r="U27" s="185">
        <f t="shared" ca="1" si="21"/>
        <v>0</v>
      </c>
      <c r="V27" s="181">
        <f ca="1">IFERROR(__xludf.DUMMYFUNCTION("IMPORTRANGE(""https://docs.google.com/spreadsheets/d/1-uUXvimVhiU2U0bMN-xi2te0tS4X7DI2GLPnMjzl8cA/edit?usp=sharing"",""ลำพูน!J310"")"),0)</f>
        <v>0</v>
      </c>
      <c r="W27" s="185">
        <f t="shared" ca="1" si="11"/>
        <v>0</v>
      </c>
      <c r="X27" s="181">
        <f ca="1">IFERROR(__xludf.DUMMYFUNCTION("IMPORTRANGE(""https://docs.google.com/spreadsheets/d/1-uUXvimVhiU2U0bMN-xi2te0tS4X7DI2GLPnMjzl8cA/edit?usp=sharing"",""ลำพูน!J311"")"),0)</f>
        <v>0</v>
      </c>
      <c r="Y27" s="185">
        <f t="shared" ca="1" si="12"/>
        <v>0</v>
      </c>
      <c r="Z27" s="298">
        <f ca="1">IFERROR(__xludf.DUMMYFUNCTION("IMPORTRANGE(""https://docs.google.com/spreadsheets/d/1-uUXvimVhiU2U0bMN-xi2te0tS4X7DI2GLPnMjzl8cA/edit?usp=sharing"",""ลำพูน!I312"")"),0)</f>
        <v>0</v>
      </c>
      <c r="AA27" s="181">
        <f ca="1">IFERROR(__xludf.DUMMYFUNCTION("IMPORTRANGE(""https://docs.google.com/spreadsheets/d/1-uUXvimVhiU2U0bMN-xi2te0tS4X7DI2GLPnMjzl8cA/edit?usp=sharing"",""ลำพูน!J312"")"),0)</f>
        <v>0</v>
      </c>
      <c r="AB27" s="185">
        <f t="shared" ca="1" si="14"/>
        <v>0</v>
      </c>
    </row>
    <row r="28" spans="1:28" ht="24" customHeight="1" x14ac:dyDescent="0.3">
      <c r="A28" s="78">
        <v>15</v>
      </c>
      <c r="B28" s="79" t="s">
        <v>50</v>
      </c>
      <c r="C28" s="80">
        <f t="shared" ca="1" si="0"/>
        <v>225400</v>
      </c>
      <c r="D28" s="81">
        <f t="shared" ca="1" si="26"/>
        <v>225400</v>
      </c>
      <c r="E28" s="82">
        <f ca="1">IFERROR(__xludf.DUMMYFUNCTION("IMPORTRANGE(""https://docs.google.com/spreadsheets/d/1MeEWN-I1oV_STSDYn1IFDPWt_1FKiwhDph83XaGc0o0/edit?usp=sharing"",""งบพรบ!DT28"")"),143000)</f>
        <v>143000</v>
      </c>
      <c r="F28" s="82">
        <f ca="1">IFERROR(__xludf.DUMMYFUNCTION("IMPORTRANGE(""https://docs.google.com/spreadsheets/d/1MeEWN-I1oV_STSDYn1IFDPWt_1FKiwhDph83XaGc0o0/edit?usp=sharing"",""งบพรบ!DU28"")"),82400)</f>
        <v>82400</v>
      </c>
      <c r="G28" s="82">
        <f ca="1">IFERROR(__xludf.DUMMYFUNCTION("IMPORTRANGE(""https://docs.google.com/spreadsheets/d/1MeEWN-I1oV_STSDYn1IFDPWt_1FKiwhDph83XaGc0o0/edit?usp=sharing"",""งบพรบ!DV28"")"),0)</f>
        <v>0</v>
      </c>
      <c r="H28" s="82">
        <f ca="1">IFERROR(__xludf.DUMMYFUNCTION("IMPORTRANGE(""https://docs.google.com/spreadsheets/d/1MeEWN-I1oV_STSDYn1IFDPWt_1FKiwhDph83XaGc0o0/edit?usp=sharing"",""งบพรบ!DX28"")"),153120)</f>
        <v>153120</v>
      </c>
      <c r="I28" s="82">
        <f ca="1">IFERROR(__xludf.DUMMYFUNCTION("IMPORTRANGE(""https://docs.google.com/spreadsheets/d/1MeEWN-I1oV_STSDYn1IFDPWt_1FKiwhDph83XaGc0o0/edit?usp=sharing"",""งบพรบ!DY28"")"),0)</f>
        <v>0</v>
      </c>
      <c r="J28" s="82">
        <f t="shared" ca="1" si="3"/>
        <v>79200.320000000007</v>
      </c>
      <c r="K28" s="83">
        <f t="shared" ca="1" si="4"/>
        <v>35.137675244010651</v>
      </c>
      <c r="L28" s="82">
        <f ca="1">IFERROR(__xludf.DUMMYFUNCTION("IMPORTRANGE(""https://docs.google.com/spreadsheets/d/1MeEWN-I1oV_STSDYn1IFDPWt_1FKiwhDph83XaGc0o0/edit?usp=sharing"",""งบพรบ!DZ28"")"),79200.32)</f>
        <v>79200.320000000007</v>
      </c>
      <c r="M28" s="84">
        <f t="shared" ca="1" si="5"/>
        <v>35.137675244010651</v>
      </c>
      <c r="N28" s="84">
        <f t="shared" ca="1" si="6"/>
        <v>51.724346917450369</v>
      </c>
      <c r="O28" s="85">
        <f ca="1">IFERROR(__xludf.DUMMYFUNCTION("IMPORTRANGE(""https://docs.google.com/spreadsheets/d/1MeEWN-I1oV_STSDYn1IFDPWt_1FKiwhDph83XaGc0o0/edit?usp=sharing"",""งบพรบ!EA28"")"),0)</f>
        <v>0</v>
      </c>
      <c r="P28" s="85">
        <f t="shared" ca="1" si="23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IFERROR(__xludf.DUMMYFUNCTION("IMPORTRANGE(""https://docs.google.com/spreadsheets/d/17HrOaa5pBUI1onckFfumXB8xlg35qb2uBAFfF1D-Myo/edit?usp=sharing"",""สุโขทัย!J308"")"),0)</f>
        <v>0</v>
      </c>
      <c r="S28" s="298">
        <f ca="1">IFERROR(__xludf.DUMMYFUNCTION("IMPORTRANGE(""https://docs.google.com/spreadsheets/d/17HrOaa5pBUI1onckFfumXB8xlg35qb2uBAFfF1D-Myo/edit?usp=sharing"",""สุโขทัย!I309"")"),20)</f>
        <v>20</v>
      </c>
      <c r="T28" s="181">
        <f ca="1">IFERROR(__xludf.DUMMYFUNCTION("IMPORTRANGE(""https://docs.google.com/spreadsheets/d/17HrOaa5pBUI1onckFfumXB8xlg35qb2uBAFfF1D-Myo/edit?usp=sharing"",""สุโขทัย!J309"")"),20)</f>
        <v>20</v>
      </c>
      <c r="U28" s="185">
        <f t="shared" ca="1" si="21"/>
        <v>100</v>
      </c>
      <c r="V28" s="181">
        <f ca="1">IFERROR(__xludf.DUMMYFUNCTION("IMPORTRANGE(""https://docs.google.com/spreadsheets/d/17HrOaa5pBUI1onckFfumXB8xlg35qb2uBAFfF1D-Myo/edit?usp=sharing"",""สุโขทัย!J310"")"),20)</f>
        <v>20</v>
      </c>
      <c r="W28" s="185">
        <f t="shared" ca="1" si="11"/>
        <v>100</v>
      </c>
      <c r="X28" s="181">
        <f ca="1">IFERROR(__xludf.DUMMYFUNCTION("IMPORTRANGE(""https://docs.google.com/spreadsheets/d/17HrOaa5pBUI1onckFfumXB8xlg35qb2uBAFfF1D-Myo/edit?usp=sharing"",""สุโขทัย!J311"")"),0)</f>
        <v>0</v>
      </c>
      <c r="Y28" s="185">
        <f t="shared" ca="1" si="12"/>
        <v>0</v>
      </c>
      <c r="Z28" s="298">
        <f ca="1">IFERROR(__xludf.DUMMYFUNCTION("IMPORTRANGE(""https://docs.google.com/spreadsheets/d/17HrOaa5pBUI1onckFfumXB8xlg35qb2uBAFfF1D-Myo/edit?usp=sharing"",""สุโขทัย!I312"")"),4)</f>
        <v>4</v>
      </c>
      <c r="AA28" s="181">
        <f ca="1">IFERROR(__xludf.DUMMYFUNCTION("IMPORTRANGE(""https://docs.google.com/spreadsheets/d/17HrOaa5pBUI1onckFfumXB8xlg35qb2uBAFfF1D-Myo/edit?usp=sharing"",""สุโขทัย!J312"")"),0)</f>
        <v>0</v>
      </c>
      <c r="AB28" s="185">
        <f t="shared" ca="1" si="14"/>
        <v>0</v>
      </c>
    </row>
    <row r="29" spans="1:28" ht="24" customHeight="1" x14ac:dyDescent="0.3">
      <c r="A29" s="78">
        <v>16</v>
      </c>
      <c r="B29" s="79" t="s">
        <v>51</v>
      </c>
      <c r="C29" s="80">
        <f t="shared" ca="1" si="0"/>
        <v>82400</v>
      </c>
      <c r="D29" s="81">
        <f t="shared" ca="1" si="26"/>
        <v>82400</v>
      </c>
      <c r="E29" s="82">
        <f ca="1">IFERROR(__xludf.DUMMYFUNCTION("IMPORTRANGE(""https://docs.google.com/spreadsheets/d/1MeEWN-I1oV_STSDYn1IFDPWt_1FKiwhDph83XaGc0o0/edit?usp=sharing"",""งบพรบ!DT29"")"),0)</f>
        <v>0</v>
      </c>
      <c r="F29" s="82">
        <f ca="1">IFERROR(__xludf.DUMMYFUNCTION("IMPORTRANGE(""https://docs.google.com/spreadsheets/d/1MeEWN-I1oV_STSDYn1IFDPWt_1FKiwhDph83XaGc0o0/edit?usp=sharing"",""งบพรบ!DU29"")"),82400)</f>
        <v>82400</v>
      </c>
      <c r="G29" s="82">
        <f ca="1">IFERROR(__xludf.DUMMYFUNCTION("IMPORTRANGE(""https://docs.google.com/spreadsheets/d/1MeEWN-I1oV_STSDYn1IFDPWt_1FKiwhDph83XaGc0o0/edit?usp=sharing"",""งบพรบ!DV29"")"),0)</f>
        <v>0</v>
      </c>
      <c r="H29" s="82">
        <f ca="1">IFERROR(__xludf.DUMMYFUNCTION("IMPORTRANGE(""https://docs.google.com/spreadsheets/d/1MeEWN-I1oV_STSDYn1IFDPWt_1FKiwhDph83XaGc0o0/edit?usp=sharing"",""งบพรบ!DX29"")"),49120)</f>
        <v>49120</v>
      </c>
      <c r="I29" s="82">
        <f ca="1">IFERROR(__xludf.DUMMYFUNCTION("IMPORTRANGE(""https://docs.google.com/spreadsheets/d/1MeEWN-I1oV_STSDYn1IFDPWt_1FKiwhDph83XaGc0o0/edit?usp=sharing"",""งบพรบ!DY29"")"),0)</f>
        <v>0</v>
      </c>
      <c r="J29" s="82">
        <f t="shared" ca="1" si="3"/>
        <v>7603.55</v>
      </c>
      <c r="K29" s="83">
        <f t="shared" ca="1" si="4"/>
        <v>9.2276092233009717</v>
      </c>
      <c r="L29" s="82">
        <f ca="1">IFERROR(__xludf.DUMMYFUNCTION("IMPORTRANGE(""https://docs.google.com/spreadsheets/d/1MeEWN-I1oV_STSDYn1IFDPWt_1FKiwhDph83XaGc0o0/edit?usp=sharing"",""งบพรบ!DZ29"")"),7603.55)</f>
        <v>7603.55</v>
      </c>
      <c r="M29" s="84">
        <f t="shared" ca="1" si="5"/>
        <v>9.2276092233009717</v>
      </c>
      <c r="N29" s="84">
        <f t="shared" ca="1" si="6"/>
        <v>15.479539902280131</v>
      </c>
      <c r="O29" s="85">
        <f ca="1">IFERROR(__xludf.DUMMYFUNCTION("IMPORTRANGE(""https://docs.google.com/spreadsheets/d/1MeEWN-I1oV_STSDYn1IFDPWt_1FKiwhDph83XaGc0o0/edit?usp=sharing"",""งบพรบ!EA29"")"),0)</f>
        <v>0</v>
      </c>
      <c r="P29" s="85">
        <f t="shared" ca="1" si="23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IFERROR(__xludf.DUMMYFUNCTION("IMPORTRANGE(""https://docs.google.com/spreadsheets/d/1ubs5cl16eYL9gHbdHTJtmtYb9MGzHBs7CAphn8kNCgM/edit?usp=sharing"",""อุตรดิตถ์!J308"")"),0)</f>
        <v>0</v>
      </c>
      <c r="S29" s="298">
        <f ca="1">IFERROR(__xludf.DUMMYFUNCTION("IMPORTRANGE(""https://docs.google.com/spreadsheets/d/1ubs5cl16eYL9gHbdHTJtmtYb9MGzHBs7CAphn8kNCgM/edit?usp=sharing"",""อุตรดิตถ์!I309"")"),20)</f>
        <v>20</v>
      </c>
      <c r="T29" s="181">
        <f ca="1">IFERROR(__xludf.DUMMYFUNCTION("IMPORTRANGE(""https://docs.google.com/spreadsheets/d/1ubs5cl16eYL9gHbdHTJtmtYb9MGzHBs7CAphn8kNCgM/edit?usp=sharing"",""อุตรดิตถ์!J309"")"),0)</f>
        <v>0</v>
      </c>
      <c r="U29" s="185">
        <f t="shared" ca="1" si="21"/>
        <v>0</v>
      </c>
      <c r="V29" s="181">
        <f ca="1">IFERROR(__xludf.DUMMYFUNCTION("IMPORTRANGE(""https://docs.google.com/spreadsheets/d/1ubs5cl16eYL9gHbdHTJtmtYb9MGzHBs7CAphn8kNCgM/edit?usp=sharing"",""อุตรดิตถ์!J310"")"),0)</f>
        <v>0</v>
      </c>
      <c r="W29" s="185">
        <f t="shared" ca="1" si="11"/>
        <v>0</v>
      </c>
      <c r="X29" s="181">
        <f ca="1">IFERROR(__xludf.DUMMYFUNCTION("IMPORTRANGE(""https://docs.google.com/spreadsheets/d/1ubs5cl16eYL9gHbdHTJtmtYb9MGzHBs7CAphn8kNCgM/edit?usp=sharing"",""อุตรดิตถ์!J311"")"),0)</f>
        <v>0</v>
      </c>
      <c r="Y29" s="185">
        <f t="shared" ca="1" si="12"/>
        <v>0</v>
      </c>
      <c r="Z29" s="298">
        <f ca="1">IFERROR(__xludf.DUMMYFUNCTION("IMPORTRANGE(""https://docs.google.com/spreadsheets/d/1ubs5cl16eYL9gHbdHTJtmtYb9MGzHBs7CAphn8kNCgM/edit?usp=sharing"",""อุตรดิตถ์!I312"")"),4)</f>
        <v>4</v>
      </c>
      <c r="AA29" s="181">
        <f ca="1">IFERROR(__xludf.DUMMYFUNCTION("IMPORTRANGE(""https://docs.google.com/spreadsheets/d/1ubs5cl16eYL9gHbdHTJtmtYb9MGzHBs7CAphn8kNCgM/edit?usp=sharing"",""อุตรดิตถ์!J312"")"),0)</f>
        <v>0</v>
      </c>
      <c r="AB29" s="185">
        <f t="shared" ca="1" si="14"/>
        <v>0</v>
      </c>
    </row>
    <row r="30" spans="1:28" ht="24" customHeight="1" x14ac:dyDescent="0.3">
      <c r="A30" s="89">
        <v>17</v>
      </c>
      <c r="B30" s="90" t="s">
        <v>52</v>
      </c>
      <c r="C30" s="91">
        <f t="shared" ca="1" si="0"/>
        <v>82400</v>
      </c>
      <c r="D30" s="92">
        <f t="shared" ca="1" si="26"/>
        <v>82400</v>
      </c>
      <c r="E30" s="93">
        <f ca="1">IFERROR(__xludf.DUMMYFUNCTION("IMPORTRANGE(""https://docs.google.com/spreadsheets/d/1MeEWN-I1oV_STSDYn1IFDPWt_1FKiwhDph83XaGc0o0/edit?usp=sharing"",""งบพรบ!DT30"")"),0)</f>
        <v>0</v>
      </c>
      <c r="F30" s="93">
        <f ca="1">IFERROR(__xludf.DUMMYFUNCTION("IMPORTRANGE(""https://docs.google.com/spreadsheets/d/1MeEWN-I1oV_STSDYn1IFDPWt_1FKiwhDph83XaGc0o0/edit?usp=sharing"",""งบพรบ!DU30"")"),82400)</f>
        <v>82400</v>
      </c>
      <c r="G30" s="93">
        <f ca="1">IFERROR(__xludf.DUMMYFUNCTION("IMPORTRANGE(""https://docs.google.com/spreadsheets/d/1MeEWN-I1oV_STSDYn1IFDPWt_1FKiwhDph83XaGc0o0/edit?usp=sharing"",""งบพรบ!DV30"")"),0)</f>
        <v>0</v>
      </c>
      <c r="H30" s="93">
        <f ca="1">IFERROR(__xludf.DUMMYFUNCTION("IMPORTRANGE(""https://docs.google.com/spreadsheets/d/1MeEWN-I1oV_STSDYn1IFDPWt_1FKiwhDph83XaGc0o0/edit?usp=sharing"",""งบพรบ!DX30"")"),49120)</f>
        <v>49120</v>
      </c>
      <c r="I30" s="93">
        <f ca="1">IFERROR(__xludf.DUMMYFUNCTION("IMPORTRANGE(""https://docs.google.com/spreadsheets/d/1MeEWN-I1oV_STSDYn1IFDPWt_1FKiwhDph83XaGc0o0/edit?usp=sharing"",""งบพรบ!DY30"")"),0)</f>
        <v>0</v>
      </c>
      <c r="J30" s="93">
        <f t="shared" ca="1" si="3"/>
        <v>18485</v>
      </c>
      <c r="K30" s="94">
        <f t="shared" ca="1" si="4"/>
        <v>22.433252427184467</v>
      </c>
      <c r="L30" s="93">
        <f ca="1">IFERROR(__xludf.DUMMYFUNCTION("IMPORTRANGE(""https://docs.google.com/spreadsheets/d/1MeEWN-I1oV_STSDYn1IFDPWt_1FKiwhDph83XaGc0o0/edit?usp=sharing"",""งบพรบ!DZ30"")"),18485)</f>
        <v>18485</v>
      </c>
      <c r="M30" s="95">
        <f t="shared" ca="1" si="5"/>
        <v>22.433252427184467</v>
      </c>
      <c r="N30" s="95">
        <f t="shared" ca="1" si="6"/>
        <v>37.632328990228011</v>
      </c>
      <c r="O30" s="96">
        <f ca="1">IFERROR(__xludf.DUMMYFUNCTION("IMPORTRANGE(""https://docs.google.com/spreadsheets/d/1MeEWN-I1oV_STSDYn1IFDPWt_1FKiwhDph83XaGc0o0/edit?usp=sharing"",""งบพรบ!EA30"")"),0)</f>
        <v>0</v>
      </c>
      <c r="P30" s="96">
        <f t="shared" ca="1" si="23"/>
        <v>0</v>
      </c>
      <c r="Q30" s="95">
        <f t="shared" ca="1" si="8"/>
        <v>0</v>
      </c>
      <c r="R30" s="97">
        <f ca="1">IFERROR(__xludf.DUMMYFUNCTION("IMPORTRANGE(""https://docs.google.com/spreadsheets/d/1kII0BjS6CtVrBvI8IrytgPdxDrlyQDyigzMsohRtDMs/edit?usp=sharing"",""อุทัยธานี!J308"")"),1)</f>
        <v>1</v>
      </c>
      <c r="S30" s="299">
        <f ca="1">IFERROR(__xludf.DUMMYFUNCTION("IMPORTRANGE(""https://docs.google.com/spreadsheets/d/1kII0BjS6CtVrBvI8IrytgPdxDrlyQDyigzMsohRtDMs/edit?usp=sharing"",""อุทัยธานี!I309"")"),20)</f>
        <v>20</v>
      </c>
      <c r="T30" s="196">
        <f ca="1">IFERROR(__xludf.DUMMYFUNCTION("IMPORTRANGE(""https://docs.google.com/spreadsheets/d/1kII0BjS6CtVrBvI8IrytgPdxDrlyQDyigzMsohRtDMs/edit?usp=sharing"",""อุทัยธานี!J309"")"),20)</f>
        <v>20</v>
      </c>
      <c r="U30" s="197">
        <f t="shared" ca="1" si="21"/>
        <v>100</v>
      </c>
      <c r="V30" s="196">
        <f ca="1">IFERROR(__xludf.DUMMYFUNCTION("IMPORTRANGE(""https://docs.google.com/spreadsheets/d/1kII0BjS6CtVrBvI8IrytgPdxDrlyQDyigzMsohRtDMs/edit?usp=sharing"",""อุทัยธานี!J310"")"),0)</f>
        <v>0</v>
      </c>
      <c r="W30" s="197">
        <f t="shared" ca="1" si="11"/>
        <v>0</v>
      </c>
      <c r="X30" s="196">
        <f ca="1">IFERROR(__xludf.DUMMYFUNCTION("IMPORTRANGE(""https://docs.google.com/spreadsheets/d/1kII0BjS6CtVrBvI8IrytgPdxDrlyQDyigzMsohRtDMs/edit?usp=sharing"",""อุทัยธานี!J311"")"),0)</f>
        <v>0</v>
      </c>
      <c r="Y30" s="197">
        <f t="shared" ca="1" si="12"/>
        <v>0</v>
      </c>
      <c r="Z30" s="299">
        <f ca="1">IFERROR(__xludf.DUMMYFUNCTION("IMPORTRANGE(""https://docs.google.com/spreadsheets/d/1kII0BjS6CtVrBvI8IrytgPdxDrlyQDyigzMsohRtDMs/edit?usp=sharing"",""อุทัยธานี!I312"")"),4)</f>
        <v>4</v>
      </c>
      <c r="AA30" s="196">
        <f ca="1">IFERROR(__xludf.DUMMYFUNCTION("IMPORTRANGE(""https://docs.google.com/spreadsheets/d/1kII0BjS6CtVrBvI8IrytgPdxDrlyQDyigzMsohRtDMs/edit?usp=sharing"",""อุทัยธานี!J312"")"),4)</f>
        <v>4</v>
      </c>
      <c r="AB30" s="197">
        <f t="shared" ca="1" si="14"/>
        <v>20</v>
      </c>
    </row>
    <row r="31" spans="1:28" ht="21" customHeight="1" x14ac:dyDescent="0.3">
      <c r="A31" s="378" t="s">
        <v>53</v>
      </c>
      <c r="B31" s="379"/>
      <c r="C31" s="99">
        <f t="shared" ca="1" si="0"/>
        <v>1579400</v>
      </c>
      <c r="D31" s="62">
        <f t="shared" ref="D31:I31" ca="1" si="27">SUM(D32:D51)</f>
        <v>1579400</v>
      </c>
      <c r="E31" s="62">
        <f t="shared" ca="1" si="27"/>
        <v>572000</v>
      </c>
      <c r="F31" s="62">
        <f t="shared" ca="1" si="27"/>
        <v>1007400</v>
      </c>
      <c r="G31" s="62">
        <f t="shared" ca="1" si="27"/>
        <v>0</v>
      </c>
      <c r="H31" s="62">
        <f t="shared" ca="1" si="27"/>
        <v>1016720</v>
      </c>
      <c r="I31" s="62">
        <f t="shared" ca="1" si="27"/>
        <v>0</v>
      </c>
      <c r="J31" s="62">
        <f t="shared" ca="1" si="3"/>
        <v>572960.18999999994</v>
      </c>
      <c r="K31" s="100">
        <f t="shared" ca="1" si="4"/>
        <v>36.277079270609086</v>
      </c>
      <c r="L31" s="62">
        <f ca="1">SUM(L32:L51)</f>
        <v>572960.18999999994</v>
      </c>
      <c r="M31" s="101">
        <f t="shared" ca="1" si="5"/>
        <v>36.277079270609086</v>
      </c>
      <c r="N31" s="101">
        <f t="shared" ca="1" si="6"/>
        <v>56.35378373593516</v>
      </c>
      <c r="O31" s="102">
        <f ca="1">SUM(O32:O51)</f>
        <v>0</v>
      </c>
      <c r="P31" s="102">
        <f t="shared" ca="1" si="23"/>
        <v>0</v>
      </c>
      <c r="Q31" s="101">
        <f t="shared" ca="1" si="8"/>
        <v>0</v>
      </c>
      <c r="R31" s="62">
        <f t="shared" ref="R31:T31" ca="1" si="28">SUM(R32:R51)</f>
        <v>8</v>
      </c>
      <c r="S31" s="295">
        <f t="shared" ca="1" si="28"/>
        <v>245</v>
      </c>
      <c r="T31" s="158">
        <f t="shared" ca="1" si="28"/>
        <v>195</v>
      </c>
      <c r="U31" s="160">
        <f t="shared" ca="1" si="21"/>
        <v>79.591836734693871</v>
      </c>
      <c r="V31" s="158">
        <f ca="1">SUM(V32:V51)</f>
        <v>70</v>
      </c>
      <c r="W31" s="160">
        <f t="shared" ca="1" si="11"/>
        <v>28.571428571428573</v>
      </c>
      <c r="X31" s="158">
        <f ca="1">SUM(X32:X51)</f>
        <v>20</v>
      </c>
      <c r="Y31" s="160">
        <f t="shared" ca="1" si="12"/>
        <v>8.1632653061224492</v>
      </c>
      <c r="Z31" s="295">
        <f t="shared" ref="Z31:AA31" ca="1" si="29">SUM(Z32:Z51)</f>
        <v>49</v>
      </c>
      <c r="AA31" s="158">
        <f t="shared" ca="1" si="29"/>
        <v>4</v>
      </c>
      <c r="AB31" s="160">
        <f t="shared" ca="1" si="14"/>
        <v>1.6326530612244898</v>
      </c>
    </row>
    <row r="32" spans="1:28" ht="21" customHeight="1" x14ac:dyDescent="0.3">
      <c r="A32" s="68">
        <v>1</v>
      </c>
      <c r="B32" s="69" t="s">
        <v>54</v>
      </c>
      <c r="C32" s="103">
        <f t="shared" ca="1" si="0"/>
        <v>0</v>
      </c>
      <c r="D32" s="71">
        <f t="shared" ref="D32:D51" ca="1" si="30">+E32+F32</f>
        <v>0</v>
      </c>
      <c r="E32" s="72">
        <f ca="1">IFERROR(__xludf.DUMMYFUNCTION("IMPORTRANGE(""https://docs.google.com/spreadsheets/d/1MeEWN-I1oV_STSDYn1IFDPWt_1FKiwhDph83XaGc0o0/edit?usp=sharing"",""งบพรบ!DT32"")"),0)</f>
        <v>0</v>
      </c>
      <c r="F32" s="72">
        <f ca="1">IFERROR(__xludf.DUMMYFUNCTION("IMPORTRANGE(""https://docs.google.com/spreadsheets/d/1MeEWN-I1oV_STSDYn1IFDPWt_1FKiwhDph83XaGc0o0/edit?usp=sharing"",""งบพรบ!DU32"")"),0)</f>
        <v>0</v>
      </c>
      <c r="G32" s="73">
        <f ca="1">IFERROR(__xludf.DUMMYFUNCTION("IMPORTRANGE(""https://docs.google.com/spreadsheets/d/1MeEWN-I1oV_STSDYn1IFDPWt_1FKiwhDph83XaGc0o0/edit?usp=sharing"",""งบพรบ!DV32"")"),0)</f>
        <v>0</v>
      </c>
      <c r="H32" s="73">
        <f ca="1">IFERROR(__xludf.DUMMYFUNCTION("IMPORTRANGE(""https://docs.google.com/spreadsheets/d/1MeEWN-I1oV_STSDYn1IFDPWt_1FKiwhDph83XaGc0o0/edit?usp=sharing"",""งบพรบ!DX32"")"),0)</f>
        <v>0</v>
      </c>
      <c r="I32" s="73">
        <f ca="1">IFERROR(__xludf.DUMMYFUNCTION("IMPORTRANGE(""https://docs.google.com/spreadsheets/d/1MeEWN-I1oV_STSDYn1IFDPWt_1FKiwhDph83XaGc0o0/edit?usp=sharing"",""งบพรบ!DY32"")"),0)</f>
        <v>0</v>
      </c>
      <c r="J32" s="73">
        <f t="shared" ca="1" si="3"/>
        <v>0</v>
      </c>
      <c r="K32" s="74">
        <f t="shared" ca="1" si="4"/>
        <v>0</v>
      </c>
      <c r="L32" s="73">
        <f ca="1">IFERROR(__xludf.DUMMYFUNCTION("IMPORTRANGE(""https://docs.google.com/spreadsheets/d/1MeEWN-I1oV_STSDYn1IFDPWt_1FKiwhDph83XaGc0o0/edit?usp=sharing"",""งบพรบ!DZ32"")"),0)</f>
        <v>0</v>
      </c>
      <c r="M32" s="75">
        <f t="shared" ca="1" si="5"/>
        <v>0</v>
      </c>
      <c r="N32" s="75">
        <f t="shared" ca="1" si="6"/>
        <v>0</v>
      </c>
      <c r="O32" s="76">
        <f ca="1">IFERROR(__xludf.DUMMYFUNCTION("IMPORTRANGE(""https://docs.google.com/spreadsheets/d/1MeEWN-I1oV_STSDYn1IFDPWt_1FKiwhDph83XaGc0o0/edit?usp=sharing"",""งบพรบ!EA32"")"),0)</f>
        <v>0</v>
      </c>
      <c r="P32" s="76">
        <f t="shared" ca="1" si="23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IFERROR(__xludf.DUMMYFUNCTION("IMPORTRANGE(""https://docs.google.com/spreadsheets/d/1fb2B9NLcpJgjIieIJvenUTNPn0TimZDUi0OtYeiSQ_s/edit?usp=sharing"",""กาฬสินธุ์!J308"")"),0)</f>
        <v>0</v>
      </c>
      <c r="S32" s="298">
        <f ca="1">IFERROR(__xludf.DUMMYFUNCTION("IMPORTRANGE(""https://docs.google.com/spreadsheets/d/1fb2B9NLcpJgjIieIJvenUTNPn0TimZDUi0OtYeiSQ_s/edit?usp=sharing"",""กาฬสินธุ์!I309"")"),0)</f>
        <v>0</v>
      </c>
      <c r="T32" s="181">
        <f ca="1">IFERROR(__xludf.DUMMYFUNCTION("IMPORTRANGE(""https://docs.google.com/spreadsheets/d/1fb2B9NLcpJgjIieIJvenUTNPn0TimZDUi0OtYeiSQ_s/edit?usp=sharing"",""กาฬสินธุ์!J309"")"),0)</f>
        <v>0</v>
      </c>
      <c r="U32" s="185">
        <f t="shared" ca="1" si="21"/>
        <v>0</v>
      </c>
      <c r="V32" s="181">
        <f ca="1">IFERROR(__xludf.DUMMYFUNCTION("IMPORTRANGE(""https://docs.google.com/spreadsheets/d/1fb2B9NLcpJgjIieIJvenUTNPn0TimZDUi0OtYeiSQ_s/edit?usp=sharing"",""กาฬสินธุ์!J310"")"),0)</f>
        <v>0</v>
      </c>
      <c r="W32" s="185">
        <f t="shared" ca="1" si="11"/>
        <v>0</v>
      </c>
      <c r="X32" s="181">
        <f ca="1">IFERROR(__xludf.DUMMYFUNCTION("IMPORTRANGE(""https://docs.google.com/spreadsheets/d/1fb2B9NLcpJgjIieIJvenUTNPn0TimZDUi0OtYeiSQ_s/edit?usp=sharing"",""กาฬสินธุ์!J311"")"),0)</f>
        <v>0</v>
      </c>
      <c r="Y32" s="185">
        <f t="shared" ca="1" si="12"/>
        <v>0</v>
      </c>
      <c r="Z32" s="298">
        <f ca="1">IFERROR(__xludf.DUMMYFUNCTION("IMPORTRANGE(""https://docs.google.com/spreadsheets/d/1fb2B9NLcpJgjIieIJvenUTNPn0TimZDUi0OtYeiSQ_s/edit?usp=sharing"",""กาฬสินธุ์!I312"")"),0)</f>
        <v>0</v>
      </c>
      <c r="AA32" s="181">
        <f ca="1">IFERROR(__xludf.DUMMYFUNCTION("IMPORTRANGE(""https://docs.google.com/spreadsheets/d/1fb2B9NLcpJgjIieIJvenUTNPn0TimZDUi0OtYeiSQ_s/edit?usp=sharing"",""กาฬสินธุ์!J312"")"),0)</f>
        <v>0</v>
      </c>
      <c r="AB32" s="185">
        <f t="shared" ca="1" si="14"/>
        <v>0</v>
      </c>
    </row>
    <row r="33" spans="1:28" ht="21" customHeight="1" x14ac:dyDescent="0.3">
      <c r="A33" s="78">
        <v>2</v>
      </c>
      <c r="B33" s="79" t="s">
        <v>55</v>
      </c>
      <c r="C33" s="80">
        <f t="shared" ca="1" si="0"/>
        <v>82400</v>
      </c>
      <c r="D33" s="81">
        <f t="shared" ca="1" si="30"/>
        <v>82400</v>
      </c>
      <c r="E33" s="82">
        <f ca="1">IFERROR(__xludf.DUMMYFUNCTION("IMPORTRANGE(""https://docs.google.com/spreadsheets/d/1MeEWN-I1oV_STSDYn1IFDPWt_1FKiwhDph83XaGc0o0/edit?usp=sharing"",""งบพรบ!DT33"")"),0)</f>
        <v>0</v>
      </c>
      <c r="F33" s="82">
        <f ca="1">IFERROR(__xludf.DUMMYFUNCTION("IMPORTRANGE(""https://docs.google.com/spreadsheets/d/1MeEWN-I1oV_STSDYn1IFDPWt_1FKiwhDph83XaGc0o0/edit?usp=sharing"",""งบพรบ!DU33"")"),82400)</f>
        <v>82400</v>
      </c>
      <c r="G33" s="82">
        <f ca="1">IFERROR(__xludf.DUMMYFUNCTION("IMPORTRANGE(""https://docs.google.com/spreadsheets/d/1MeEWN-I1oV_STSDYn1IFDPWt_1FKiwhDph83XaGc0o0/edit?usp=sharing"",""งบพรบ!DV33"")"),0)</f>
        <v>0</v>
      </c>
      <c r="H33" s="82">
        <f ca="1">IFERROR(__xludf.DUMMYFUNCTION("IMPORTRANGE(""https://docs.google.com/spreadsheets/d/1MeEWN-I1oV_STSDYn1IFDPWt_1FKiwhDph83XaGc0o0/edit?usp=sharing"",""งบพรบ!DX33"")"),49120)</f>
        <v>49120</v>
      </c>
      <c r="I33" s="82">
        <f ca="1">IFERROR(__xludf.DUMMYFUNCTION("IMPORTRANGE(""https://docs.google.com/spreadsheets/d/1MeEWN-I1oV_STSDYn1IFDPWt_1FKiwhDph83XaGc0o0/edit?usp=sharing"",""งบพรบ!DY33"")"),0)</f>
        <v>0</v>
      </c>
      <c r="J33" s="82">
        <f t="shared" ca="1" si="3"/>
        <v>4920</v>
      </c>
      <c r="K33" s="83">
        <f t="shared" ca="1" si="4"/>
        <v>5.9708737864077666</v>
      </c>
      <c r="L33" s="82">
        <f ca="1">IFERROR(__xludf.DUMMYFUNCTION("IMPORTRANGE(""https://docs.google.com/spreadsheets/d/1MeEWN-I1oV_STSDYn1IFDPWt_1FKiwhDph83XaGc0o0/edit?usp=sharing"",""งบพรบ!DZ33"")"),4920)</f>
        <v>4920</v>
      </c>
      <c r="M33" s="84">
        <f t="shared" ca="1" si="5"/>
        <v>5.9708737864077666</v>
      </c>
      <c r="N33" s="84">
        <f t="shared" ca="1" si="6"/>
        <v>10.016286644951141</v>
      </c>
      <c r="O33" s="85">
        <f ca="1">IFERROR(__xludf.DUMMYFUNCTION("IMPORTRANGE(""https://docs.google.com/spreadsheets/d/1MeEWN-I1oV_STSDYn1IFDPWt_1FKiwhDph83XaGc0o0/edit?usp=sharing"",""งบพรบ!EA33"")"),0)</f>
        <v>0</v>
      </c>
      <c r="P33" s="85">
        <f t="shared" ca="1" si="23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IFERROR(__xludf.DUMMYFUNCTION("IMPORTRANGE(""https://docs.google.com/spreadsheets/d/1SaMnqrwRGmFYNR0MhpWmHuL5niYUd5E7vDq8X7whAlI/edit?usp=sharing"",""ขอนแก่น!J308"")"),0)</f>
        <v>0</v>
      </c>
      <c r="S33" s="298">
        <f ca="1">IFERROR(__xludf.DUMMYFUNCTION("IMPORTRANGE(""https://docs.google.com/spreadsheets/d/1SaMnqrwRGmFYNR0MhpWmHuL5niYUd5E7vDq8X7whAlI/edit?usp=sharing"",""ขอนแก่น!I309"")"),20)</f>
        <v>20</v>
      </c>
      <c r="T33" s="181">
        <f ca="1">IFERROR(__xludf.DUMMYFUNCTION("IMPORTRANGE(""https://docs.google.com/spreadsheets/d/1SaMnqrwRGmFYNR0MhpWmHuL5niYUd5E7vDq8X7whAlI/edit?usp=sharing"",""ขอนแก่น!J309"")"),0)</f>
        <v>0</v>
      </c>
      <c r="U33" s="185">
        <f t="shared" ca="1" si="21"/>
        <v>0</v>
      </c>
      <c r="V33" s="181">
        <f ca="1">IFERROR(__xludf.DUMMYFUNCTION("IMPORTRANGE(""https://docs.google.com/spreadsheets/d/1SaMnqrwRGmFYNR0MhpWmHuL5niYUd5E7vDq8X7whAlI/edit?usp=sharing"",""ขอนแก่น!J310"")"),0)</f>
        <v>0</v>
      </c>
      <c r="W33" s="185">
        <f t="shared" ca="1" si="11"/>
        <v>0</v>
      </c>
      <c r="X33" s="181">
        <f ca="1">IFERROR(__xludf.DUMMYFUNCTION("IMPORTRANGE(""https://docs.google.com/spreadsheets/d/1SaMnqrwRGmFYNR0MhpWmHuL5niYUd5E7vDq8X7whAlI/edit?usp=sharing"",""ขอนแก่น!J311"")"),0)</f>
        <v>0</v>
      </c>
      <c r="Y33" s="185">
        <f t="shared" ca="1" si="12"/>
        <v>0</v>
      </c>
      <c r="Z33" s="298">
        <f ca="1">IFERROR(__xludf.DUMMYFUNCTION("IMPORTRANGE(""https://docs.google.com/spreadsheets/d/1SaMnqrwRGmFYNR0MhpWmHuL5niYUd5E7vDq8X7whAlI/edit?usp=sharing"",""ขอนแก่น!I312"")"),4)</f>
        <v>4</v>
      </c>
      <c r="AA33" s="181">
        <f ca="1">IFERROR(__xludf.DUMMYFUNCTION("IMPORTRANGE(""https://docs.google.com/spreadsheets/d/1SaMnqrwRGmFYNR0MhpWmHuL5niYUd5E7vDq8X7whAlI/edit?usp=sharing"",""ขอนแก่น!J312"")"),0)</f>
        <v>0</v>
      </c>
      <c r="AB33" s="185">
        <f t="shared" ca="1" si="14"/>
        <v>0</v>
      </c>
    </row>
    <row r="34" spans="1:28" ht="21" customHeight="1" x14ac:dyDescent="0.3">
      <c r="A34" s="78">
        <v>3</v>
      </c>
      <c r="B34" s="79" t="s">
        <v>56</v>
      </c>
      <c r="C34" s="80">
        <f t="shared" ca="1" si="0"/>
        <v>0</v>
      </c>
      <c r="D34" s="81">
        <f t="shared" ca="1" si="30"/>
        <v>0</v>
      </c>
      <c r="E34" s="82">
        <f ca="1">IFERROR(__xludf.DUMMYFUNCTION("IMPORTRANGE(""https://docs.google.com/spreadsheets/d/1MeEWN-I1oV_STSDYn1IFDPWt_1FKiwhDph83XaGc0o0/edit?usp=sharing"",""งบพรบ!DT34"")"),0)</f>
        <v>0</v>
      </c>
      <c r="F34" s="82">
        <f ca="1">IFERROR(__xludf.DUMMYFUNCTION("IMPORTRANGE(""https://docs.google.com/spreadsheets/d/1MeEWN-I1oV_STSDYn1IFDPWt_1FKiwhDph83XaGc0o0/edit?usp=sharing"",""งบพรบ!DU34"")"),0)</f>
        <v>0</v>
      </c>
      <c r="G34" s="82">
        <f ca="1">IFERROR(__xludf.DUMMYFUNCTION("IMPORTRANGE(""https://docs.google.com/spreadsheets/d/1MeEWN-I1oV_STSDYn1IFDPWt_1FKiwhDph83XaGc0o0/edit?usp=sharing"",""งบพรบ!DV34"")"),0)</f>
        <v>0</v>
      </c>
      <c r="H34" s="82">
        <f ca="1">IFERROR(__xludf.DUMMYFUNCTION("IMPORTRANGE(""https://docs.google.com/spreadsheets/d/1MeEWN-I1oV_STSDYn1IFDPWt_1FKiwhDph83XaGc0o0/edit?usp=sharing"",""งบพรบ!DX34"")"),0)</f>
        <v>0</v>
      </c>
      <c r="I34" s="82">
        <f ca="1">IFERROR(__xludf.DUMMYFUNCTION("IMPORTRANGE(""https://docs.google.com/spreadsheets/d/1MeEWN-I1oV_STSDYn1IFDPWt_1FKiwhDph83XaGc0o0/edit?usp=sharing"",""งบพรบ!DY34"")"),0)</f>
        <v>0</v>
      </c>
      <c r="J34" s="82">
        <f t="shared" ca="1" si="3"/>
        <v>0</v>
      </c>
      <c r="K34" s="83">
        <f t="shared" ca="1" si="4"/>
        <v>0</v>
      </c>
      <c r="L34" s="82">
        <f ca="1">IFERROR(__xludf.DUMMYFUNCTION("IMPORTRANGE(""https://docs.google.com/spreadsheets/d/1MeEWN-I1oV_STSDYn1IFDPWt_1FKiwhDph83XaGc0o0/edit?usp=sharing"",""งบพรบ!DZ34"")"),0)</f>
        <v>0</v>
      </c>
      <c r="M34" s="84">
        <f t="shared" ca="1" si="5"/>
        <v>0</v>
      </c>
      <c r="N34" s="84">
        <f t="shared" ca="1" si="6"/>
        <v>0</v>
      </c>
      <c r="O34" s="85">
        <f ca="1">IFERROR(__xludf.DUMMYFUNCTION("IMPORTRANGE(""https://docs.google.com/spreadsheets/d/1MeEWN-I1oV_STSDYn1IFDPWt_1FKiwhDph83XaGc0o0/edit?usp=sharing"",""งบพรบ!EA34"")"),0)</f>
        <v>0</v>
      </c>
      <c r="P34" s="85">
        <f t="shared" ca="1" si="23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IFERROR(__xludf.DUMMYFUNCTION("IMPORTRANGE(""https://docs.google.com/spreadsheets/d/1xQzEtGHhTTgxHh6YUkKY1P4dRyjVhS74dGswLfAASA4/edit?usp=sharing"",""ชัยภูมิ!J308"")"),0)</f>
        <v>0</v>
      </c>
      <c r="S34" s="298">
        <f ca="1">IFERROR(__xludf.DUMMYFUNCTION("IMPORTRANGE(""https://docs.google.com/spreadsheets/d/1xQzEtGHhTTgxHh6YUkKY1P4dRyjVhS74dGswLfAASA4/edit?usp=sharing"",""ชัยภูมิ!I309"")"),0)</f>
        <v>0</v>
      </c>
      <c r="T34" s="181">
        <f ca="1">IFERROR(__xludf.DUMMYFUNCTION("IMPORTRANGE(""https://docs.google.com/spreadsheets/d/1xQzEtGHhTTgxHh6YUkKY1P4dRyjVhS74dGswLfAASA4/edit?usp=sharing"",""ชัยภูมิ!J309"")"),0)</f>
        <v>0</v>
      </c>
      <c r="U34" s="185">
        <f t="shared" ca="1" si="21"/>
        <v>0</v>
      </c>
      <c r="V34" s="181">
        <f ca="1">IFERROR(__xludf.DUMMYFUNCTION("IMPORTRANGE(""https://docs.google.com/spreadsheets/d/1xQzEtGHhTTgxHh6YUkKY1P4dRyjVhS74dGswLfAASA4/edit?usp=sharing"",""ชัยภูมิ!J310"")"),0)</f>
        <v>0</v>
      </c>
      <c r="W34" s="185">
        <f t="shared" ca="1" si="11"/>
        <v>0</v>
      </c>
      <c r="X34" s="181">
        <f ca="1">IFERROR(__xludf.DUMMYFUNCTION("IMPORTRANGE(""https://docs.google.com/spreadsheets/d/1xQzEtGHhTTgxHh6YUkKY1P4dRyjVhS74dGswLfAASA4/edit?usp=sharing"",""ชัยภูมิ!J311"")"),0)</f>
        <v>0</v>
      </c>
      <c r="Y34" s="185">
        <f t="shared" ca="1" si="12"/>
        <v>0</v>
      </c>
      <c r="Z34" s="298">
        <f ca="1">IFERROR(__xludf.DUMMYFUNCTION("IMPORTRANGE(""https://docs.google.com/spreadsheets/d/1xQzEtGHhTTgxHh6YUkKY1P4dRyjVhS74dGswLfAASA4/edit?usp=sharing"",""ชัยภูมิ!I312"")"),0)</f>
        <v>0</v>
      </c>
      <c r="AA34" s="181">
        <f ca="1">IFERROR(__xludf.DUMMYFUNCTION("IMPORTRANGE(""https://docs.google.com/spreadsheets/d/1xQzEtGHhTTgxHh6YUkKY1P4dRyjVhS74dGswLfAASA4/edit?usp=sharing"",""ชัยภูมิ!J312"")"),0)</f>
        <v>0</v>
      </c>
      <c r="AB34" s="185">
        <f t="shared" ca="1" si="14"/>
        <v>0</v>
      </c>
    </row>
    <row r="35" spans="1:28" ht="21" customHeight="1" x14ac:dyDescent="0.3">
      <c r="A35" s="78">
        <v>4</v>
      </c>
      <c r="B35" s="79" t="s">
        <v>57</v>
      </c>
      <c r="C35" s="80">
        <f t="shared" ca="1" si="0"/>
        <v>63800</v>
      </c>
      <c r="D35" s="81">
        <f t="shared" ca="1" si="30"/>
        <v>63800</v>
      </c>
      <c r="E35" s="82">
        <f ca="1">IFERROR(__xludf.DUMMYFUNCTION("IMPORTRANGE(""https://docs.google.com/spreadsheets/d/1MeEWN-I1oV_STSDYn1IFDPWt_1FKiwhDph83XaGc0o0/edit?usp=sharing"",""งบพรบ!DT35"")"),0)</f>
        <v>0</v>
      </c>
      <c r="F35" s="82">
        <f ca="1">IFERROR(__xludf.DUMMYFUNCTION("IMPORTRANGE(""https://docs.google.com/spreadsheets/d/1MeEWN-I1oV_STSDYn1IFDPWt_1FKiwhDph83XaGc0o0/edit?usp=sharing"",""งบพรบ!DU35"")"),63800)</f>
        <v>63800</v>
      </c>
      <c r="G35" s="82">
        <f ca="1">IFERROR(__xludf.DUMMYFUNCTION("IMPORTRANGE(""https://docs.google.com/spreadsheets/d/1MeEWN-I1oV_STSDYn1IFDPWt_1FKiwhDph83XaGc0o0/edit?usp=sharing"",""งบพรบ!DV35"")"),0)</f>
        <v>0</v>
      </c>
      <c r="H35" s="82">
        <f ca="1">IFERROR(__xludf.DUMMYFUNCTION("IMPORTRANGE(""https://docs.google.com/spreadsheets/d/1MeEWN-I1oV_STSDYn1IFDPWt_1FKiwhDph83XaGc0o0/edit?usp=sharing"",""งบพรบ!DX35"")"),37840)</f>
        <v>37840</v>
      </c>
      <c r="I35" s="82">
        <f ca="1">IFERROR(__xludf.DUMMYFUNCTION("IMPORTRANGE(""https://docs.google.com/spreadsheets/d/1MeEWN-I1oV_STSDYn1IFDPWt_1FKiwhDph83XaGc0o0/edit?usp=sharing"",""งบพรบ!DY35"")"),0)</f>
        <v>0</v>
      </c>
      <c r="J35" s="82">
        <f t="shared" ca="1" si="3"/>
        <v>11100</v>
      </c>
      <c r="K35" s="83">
        <f t="shared" ca="1" si="4"/>
        <v>17.398119122257054</v>
      </c>
      <c r="L35" s="82">
        <f ca="1">IFERROR(__xludf.DUMMYFUNCTION("IMPORTRANGE(""https://docs.google.com/spreadsheets/d/1MeEWN-I1oV_STSDYn1IFDPWt_1FKiwhDph83XaGc0o0/edit?usp=sharing"",""งบพรบ!DZ35"")"),11100)</f>
        <v>11100</v>
      </c>
      <c r="M35" s="84">
        <f t="shared" ca="1" si="5"/>
        <v>17.398119122257054</v>
      </c>
      <c r="N35" s="84">
        <f t="shared" ca="1" si="6"/>
        <v>29.334038054968289</v>
      </c>
      <c r="O35" s="85">
        <f ca="1">IFERROR(__xludf.DUMMYFUNCTION("IMPORTRANGE(""https://docs.google.com/spreadsheets/d/1MeEWN-I1oV_STSDYn1IFDPWt_1FKiwhDph83XaGc0o0/edit?usp=sharing"",""งบพรบ!EA35"")"),0)</f>
        <v>0</v>
      </c>
      <c r="P35" s="85">
        <f t="shared" ca="1" si="23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IFERROR(__xludf.DUMMYFUNCTION("IMPORTRANGE(""https://docs.google.com/spreadsheets/d/1EXMBoBxU3OFbjT2TRpneM33qFjqDzrKmn9ydcflfI0o/edit?usp=sharing"",""นครพนม!J308"")"),1)</f>
        <v>1</v>
      </c>
      <c r="S35" s="298">
        <f ca="1">IFERROR(__xludf.DUMMYFUNCTION("IMPORTRANGE(""https://docs.google.com/spreadsheets/d/1EXMBoBxU3OFbjT2TRpneM33qFjqDzrKmn9ydcflfI0o/edit?usp=sharing"",""นครพนม!I309"")"),15)</f>
        <v>15</v>
      </c>
      <c r="T35" s="181">
        <f ca="1">IFERROR(__xludf.DUMMYFUNCTION("IMPORTRANGE(""https://docs.google.com/spreadsheets/d/1EXMBoBxU3OFbjT2TRpneM33qFjqDzrKmn9ydcflfI0o/edit?usp=sharing"",""นครพนม!J309"")"),15)</f>
        <v>15</v>
      </c>
      <c r="U35" s="185">
        <f t="shared" ca="1" si="21"/>
        <v>100</v>
      </c>
      <c r="V35" s="181">
        <f ca="1">IFERROR(__xludf.DUMMYFUNCTION("IMPORTRANGE(""https://docs.google.com/spreadsheets/d/1EXMBoBxU3OFbjT2TRpneM33qFjqDzrKmn9ydcflfI0o/edit?usp=sharing"",""นครพนม!J310"")"),0)</f>
        <v>0</v>
      </c>
      <c r="W35" s="185">
        <f t="shared" ca="1" si="11"/>
        <v>0</v>
      </c>
      <c r="X35" s="181">
        <f ca="1">IFERROR(__xludf.DUMMYFUNCTION("IMPORTRANGE(""https://docs.google.com/spreadsheets/d/1EXMBoBxU3OFbjT2TRpneM33qFjqDzrKmn9ydcflfI0o/edit?usp=sharing"",""นครพนม!J311"")"),0)</f>
        <v>0</v>
      </c>
      <c r="Y35" s="185">
        <f t="shared" ca="1" si="12"/>
        <v>0</v>
      </c>
      <c r="Z35" s="298">
        <f ca="1">IFERROR(__xludf.DUMMYFUNCTION("IMPORTRANGE(""https://docs.google.com/spreadsheets/d/1EXMBoBxU3OFbjT2TRpneM33qFjqDzrKmn9ydcflfI0o/edit?usp=sharing"",""นครพนม!I312"")"),3)</f>
        <v>3</v>
      </c>
      <c r="AA35" s="181">
        <f ca="1">IFERROR(__xludf.DUMMYFUNCTION("IMPORTRANGE(""https://docs.google.com/spreadsheets/d/1EXMBoBxU3OFbjT2TRpneM33qFjqDzrKmn9ydcflfI0o/edit?usp=sharing"",""นครพนม!J312"")"),0)</f>
        <v>0</v>
      </c>
      <c r="AB35" s="185">
        <f t="shared" ca="1" si="14"/>
        <v>0</v>
      </c>
    </row>
    <row r="36" spans="1:28" ht="21" customHeight="1" x14ac:dyDescent="0.3">
      <c r="A36" s="78">
        <v>5</v>
      </c>
      <c r="B36" s="79" t="s">
        <v>58</v>
      </c>
      <c r="C36" s="80">
        <f t="shared" ca="1" si="0"/>
        <v>101000</v>
      </c>
      <c r="D36" s="81">
        <f t="shared" ca="1" si="30"/>
        <v>101000</v>
      </c>
      <c r="E36" s="82">
        <f ca="1">IFERROR(__xludf.DUMMYFUNCTION("IMPORTRANGE(""https://docs.google.com/spreadsheets/d/1MeEWN-I1oV_STSDYn1IFDPWt_1FKiwhDph83XaGc0o0/edit?usp=sharing"",""งบพรบ!DT36"")"),0)</f>
        <v>0</v>
      </c>
      <c r="F36" s="82">
        <f ca="1">IFERROR(__xludf.DUMMYFUNCTION("IMPORTRANGE(""https://docs.google.com/spreadsheets/d/1MeEWN-I1oV_STSDYn1IFDPWt_1FKiwhDph83XaGc0o0/edit?usp=sharing"",""งบพรบ!DU36"")"),101000)</f>
        <v>101000</v>
      </c>
      <c r="G36" s="82">
        <f ca="1">IFERROR(__xludf.DUMMYFUNCTION("IMPORTRANGE(""https://docs.google.com/spreadsheets/d/1MeEWN-I1oV_STSDYn1IFDPWt_1FKiwhDph83XaGc0o0/edit?usp=sharing"",""งบพรบ!DV36"")"),0)</f>
        <v>0</v>
      </c>
      <c r="H36" s="82">
        <f ca="1">IFERROR(__xludf.DUMMYFUNCTION("IMPORTRANGE(""https://docs.google.com/spreadsheets/d/1MeEWN-I1oV_STSDYn1IFDPWt_1FKiwhDph83XaGc0o0/edit?usp=sharing"",""งบพรบ!DX36"")"),60400)</f>
        <v>60400</v>
      </c>
      <c r="I36" s="82">
        <f ca="1">IFERROR(__xludf.DUMMYFUNCTION("IMPORTRANGE(""https://docs.google.com/spreadsheets/d/1MeEWN-I1oV_STSDYn1IFDPWt_1FKiwhDph83XaGc0o0/edit?usp=sharing"",""งบพรบ!DY36"")"),0)</f>
        <v>0</v>
      </c>
      <c r="J36" s="82">
        <f t="shared" ca="1" si="3"/>
        <v>54860</v>
      </c>
      <c r="K36" s="83">
        <f t="shared" ca="1" si="4"/>
        <v>54.316831683168317</v>
      </c>
      <c r="L36" s="82">
        <f ca="1">IFERROR(__xludf.DUMMYFUNCTION("IMPORTRANGE(""https://docs.google.com/spreadsheets/d/1MeEWN-I1oV_STSDYn1IFDPWt_1FKiwhDph83XaGc0o0/edit?usp=sharing"",""งบพรบ!DZ36"")"),54860)</f>
        <v>54860</v>
      </c>
      <c r="M36" s="84">
        <f t="shared" ca="1" si="5"/>
        <v>54.316831683168317</v>
      </c>
      <c r="N36" s="84">
        <f t="shared" ca="1" si="6"/>
        <v>90.827814569536429</v>
      </c>
      <c r="O36" s="85">
        <f ca="1">IFERROR(__xludf.DUMMYFUNCTION("IMPORTRANGE(""https://docs.google.com/spreadsheets/d/1MeEWN-I1oV_STSDYn1IFDPWt_1FKiwhDph83XaGc0o0/edit?usp=sharing"",""งบพรบ!EA36"")"),0)</f>
        <v>0</v>
      </c>
      <c r="P36" s="85">
        <f t="shared" ca="1" si="23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IFERROR(__xludf.DUMMYFUNCTION("IMPORTRANGE(""https://docs.google.com/spreadsheets/d/1bDQrolntRWtHumK8W-x-HXKntwxB9S3sF5aDeRS66Ko/edit?usp=sharing"",""นครราชสีมา!J308"")"),1)</f>
        <v>1</v>
      </c>
      <c r="S36" s="298">
        <f ca="1">IFERROR(__xludf.DUMMYFUNCTION("IMPORTRANGE(""https://docs.google.com/spreadsheets/d/1bDQrolntRWtHumK8W-x-HXKntwxB9S3sF5aDeRS66Ko/edit?usp=sharing"",""นครราชสีมา!I309"")"),25)</f>
        <v>25</v>
      </c>
      <c r="T36" s="181">
        <f ca="1">IFERROR(__xludf.DUMMYFUNCTION("IMPORTRANGE(""https://docs.google.com/spreadsheets/d/1bDQrolntRWtHumK8W-x-HXKntwxB9S3sF5aDeRS66Ko/edit?usp=sharing"",""นครราชสีมา!J309"")"),25)</f>
        <v>25</v>
      </c>
      <c r="U36" s="185">
        <f t="shared" ca="1" si="21"/>
        <v>100</v>
      </c>
      <c r="V36" s="181">
        <f ca="1">IFERROR(__xludf.DUMMYFUNCTION("IMPORTRANGE(""https://docs.google.com/spreadsheets/d/1bDQrolntRWtHumK8W-x-HXKntwxB9S3sF5aDeRS66Ko/edit?usp=sharing"",""นครราชสีมา!J310"")"),25)</f>
        <v>25</v>
      </c>
      <c r="W36" s="185">
        <f t="shared" ca="1" si="11"/>
        <v>100</v>
      </c>
      <c r="X36" s="181">
        <f ca="1">IFERROR(__xludf.DUMMYFUNCTION("IMPORTRANGE(""https://docs.google.com/spreadsheets/d/1bDQrolntRWtHumK8W-x-HXKntwxB9S3sF5aDeRS66Ko/edit?usp=sharing"",""นครราชสีมา!J311"")"),0)</f>
        <v>0</v>
      </c>
      <c r="Y36" s="185">
        <f t="shared" ca="1" si="12"/>
        <v>0</v>
      </c>
      <c r="Z36" s="298">
        <f ca="1">IFERROR(__xludf.DUMMYFUNCTION("IMPORTRANGE(""https://docs.google.com/spreadsheets/d/1bDQrolntRWtHumK8W-x-HXKntwxB9S3sF5aDeRS66Ko/edit?usp=sharing"",""นครราชสีมา!I312"")"),5)</f>
        <v>5</v>
      </c>
      <c r="AA36" s="181">
        <f ca="1">IFERROR(__xludf.DUMMYFUNCTION("IMPORTRANGE(""https://docs.google.com/spreadsheets/d/1bDQrolntRWtHumK8W-x-HXKntwxB9S3sF5aDeRS66Ko/edit?usp=sharing"",""นครราชสีมา!J312"")"),0)</f>
        <v>0</v>
      </c>
      <c r="AB36" s="185">
        <f t="shared" ca="1" si="14"/>
        <v>0</v>
      </c>
    </row>
    <row r="37" spans="1:28" ht="21" customHeight="1" x14ac:dyDescent="0.3">
      <c r="A37" s="78">
        <v>6</v>
      </c>
      <c r="B37" s="79" t="s">
        <v>59</v>
      </c>
      <c r="C37" s="80">
        <f t="shared" ca="1" si="0"/>
        <v>0</v>
      </c>
      <c r="D37" s="81">
        <f t="shared" ca="1" si="30"/>
        <v>0</v>
      </c>
      <c r="E37" s="82">
        <f ca="1">IFERROR(__xludf.DUMMYFUNCTION("IMPORTRANGE(""https://docs.google.com/spreadsheets/d/1MeEWN-I1oV_STSDYn1IFDPWt_1FKiwhDph83XaGc0o0/edit?usp=sharing"",""งบพรบ!DT37"")"),0)</f>
        <v>0</v>
      </c>
      <c r="F37" s="82">
        <f ca="1">IFERROR(__xludf.DUMMYFUNCTION("IMPORTRANGE(""https://docs.google.com/spreadsheets/d/1MeEWN-I1oV_STSDYn1IFDPWt_1FKiwhDph83XaGc0o0/edit?usp=sharing"",""งบพรบ!DU37"")"),0)</f>
        <v>0</v>
      </c>
      <c r="G37" s="82">
        <f ca="1">IFERROR(__xludf.DUMMYFUNCTION("IMPORTRANGE(""https://docs.google.com/spreadsheets/d/1MeEWN-I1oV_STSDYn1IFDPWt_1FKiwhDph83XaGc0o0/edit?usp=sharing"",""งบพรบ!DV37"")"),0)</f>
        <v>0</v>
      </c>
      <c r="H37" s="82">
        <f ca="1">IFERROR(__xludf.DUMMYFUNCTION("IMPORTRANGE(""https://docs.google.com/spreadsheets/d/1MeEWN-I1oV_STSDYn1IFDPWt_1FKiwhDph83XaGc0o0/edit?usp=sharing"",""งบพรบ!DX37"")"),0)</f>
        <v>0</v>
      </c>
      <c r="I37" s="82">
        <f ca="1">IFERROR(__xludf.DUMMYFUNCTION("IMPORTRANGE(""https://docs.google.com/spreadsheets/d/1MeEWN-I1oV_STSDYn1IFDPWt_1FKiwhDph83XaGc0o0/edit?usp=sharing"",""งบพรบ!DY37"")"),0)</f>
        <v>0</v>
      </c>
      <c r="J37" s="82">
        <f t="shared" ca="1" si="3"/>
        <v>0</v>
      </c>
      <c r="K37" s="83">
        <f t="shared" ca="1" si="4"/>
        <v>0</v>
      </c>
      <c r="L37" s="82">
        <f ca="1">IFERROR(__xludf.DUMMYFUNCTION("IMPORTRANGE(""https://docs.google.com/spreadsheets/d/1MeEWN-I1oV_STSDYn1IFDPWt_1FKiwhDph83XaGc0o0/edit?usp=sharing"",""งบพรบ!DZ37"")"),0)</f>
        <v>0</v>
      </c>
      <c r="M37" s="84">
        <f t="shared" ca="1" si="5"/>
        <v>0</v>
      </c>
      <c r="N37" s="84">
        <f t="shared" ca="1" si="6"/>
        <v>0</v>
      </c>
      <c r="O37" s="85">
        <f ca="1">IFERROR(__xludf.DUMMYFUNCTION("IMPORTRANGE(""https://docs.google.com/spreadsheets/d/1MeEWN-I1oV_STSDYn1IFDPWt_1FKiwhDph83XaGc0o0/edit?usp=sharing"",""งบพรบ!EA37"")"),0)</f>
        <v>0</v>
      </c>
      <c r="P37" s="85">
        <f t="shared" ca="1" si="23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IFERROR(__xludf.DUMMYFUNCTION("IMPORTRANGE(""https://docs.google.com/spreadsheets/d/1_MzZ-2gVPiCW-d2VcafoCmFJQTSrZ6SQyFcMqRRQQ2w/edit?usp=sharing"",""บึงกาฬ!J308"")"),0)</f>
        <v>0</v>
      </c>
      <c r="S37" s="298">
        <f ca="1">IFERROR(__xludf.DUMMYFUNCTION("IMPORTRANGE(""https://docs.google.com/spreadsheets/d/1_MzZ-2gVPiCW-d2VcafoCmFJQTSrZ6SQyFcMqRRQQ2w/edit?usp=sharing"",""บึงกาฬ!I309"")"),0)</f>
        <v>0</v>
      </c>
      <c r="T37" s="181">
        <f ca="1">IFERROR(__xludf.DUMMYFUNCTION("IMPORTRANGE(""https://docs.google.com/spreadsheets/d/1_MzZ-2gVPiCW-d2VcafoCmFJQTSrZ6SQyFcMqRRQQ2w/edit?usp=sharing"",""บึงกาฬ!J309"")"),0)</f>
        <v>0</v>
      </c>
      <c r="U37" s="185">
        <f t="shared" ca="1" si="21"/>
        <v>0</v>
      </c>
      <c r="V37" s="181">
        <f ca="1">IFERROR(__xludf.DUMMYFUNCTION("IMPORTRANGE(""https://docs.google.com/spreadsheets/d/1_MzZ-2gVPiCW-d2VcafoCmFJQTSrZ6SQyFcMqRRQQ2w/edit?usp=sharing"",""บึงกาฬ!J310"")"),0)</f>
        <v>0</v>
      </c>
      <c r="W37" s="185">
        <f t="shared" ca="1" si="11"/>
        <v>0</v>
      </c>
      <c r="X37" s="181">
        <f ca="1">IFERROR(__xludf.DUMMYFUNCTION("IMPORTRANGE(""https://docs.google.com/spreadsheets/d/1_MzZ-2gVPiCW-d2VcafoCmFJQTSrZ6SQyFcMqRRQQ2w/edit?usp=sharing"",""บึงกาฬ!J311"")"),0)</f>
        <v>0</v>
      </c>
      <c r="Y37" s="185">
        <f t="shared" ca="1" si="12"/>
        <v>0</v>
      </c>
      <c r="Z37" s="298">
        <f ca="1">IFERROR(__xludf.DUMMYFUNCTION("IMPORTRANGE(""https://docs.google.com/spreadsheets/d/1_MzZ-2gVPiCW-d2VcafoCmFJQTSrZ6SQyFcMqRRQQ2w/edit?usp=sharing"",""บึงกาฬ!I312"")"),0)</f>
        <v>0</v>
      </c>
      <c r="AA37" s="181">
        <f ca="1">IFERROR(__xludf.DUMMYFUNCTION("IMPORTRANGE(""https://docs.google.com/spreadsheets/d/1_MzZ-2gVPiCW-d2VcafoCmFJQTSrZ6SQyFcMqRRQQ2w/edit?usp=sharing"",""บึงกาฬ!J312"")"),0)</f>
        <v>0</v>
      </c>
      <c r="AB37" s="185">
        <f t="shared" ca="1" si="14"/>
        <v>0</v>
      </c>
    </row>
    <row r="38" spans="1:28" ht="21" customHeight="1" x14ac:dyDescent="0.3">
      <c r="A38" s="78">
        <v>7</v>
      </c>
      <c r="B38" s="79" t="s">
        <v>60</v>
      </c>
      <c r="C38" s="80">
        <f t="shared" ca="1" si="0"/>
        <v>387000</v>
      </c>
      <c r="D38" s="81">
        <f t="shared" ca="1" si="30"/>
        <v>387000</v>
      </c>
      <c r="E38" s="82">
        <f ca="1">IFERROR(__xludf.DUMMYFUNCTION("IMPORTRANGE(""https://docs.google.com/spreadsheets/d/1MeEWN-I1oV_STSDYn1IFDPWt_1FKiwhDph83XaGc0o0/edit?usp=sharing"",""งบพรบ!DT38"")"),286000)</f>
        <v>286000</v>
      </c>
      <c r="F38" s="82">
        <f ca="1">IFERROR(__xludf.DUMMYFUNCTION("IMPORTRANGE(""https://docs.google.com/spreadsheets/d/1MeEWN-I1oV_STSDYn1IFDPWt_1FKiwhDph83XaGc0o0/edit?usp=sharing"",""งบพรบ!DU38"")"),101000)</f>
        <v>101000</v>
      </c>
      <c r="G38" s="82">
        <f ca="1">IFERROR(__xludf.DUMMYFUNCTION("IMPORTRANGE(""https://docs.google.com/spreadsheets/d/1MeEWN-I1oV_STSDYn1IFDPWt_1FKiwhDph83XaGc0o0/edit?usp=sharing"",""งบพรบ!DV38"")"),0)</f>
        <v>0</v>
      </c>
      <c r="H38" s="82">
        <f ca="1">IFERROR(__xludf.DUMMYFUNCTION("IMPORTRANGE(""https://docs.google.com/spreadsheets/d/1MeEWN-I1oV_STSDYn1IFDPWt_1FKiwhDph83XaGc0o0/edit?usp=sharing"",""งบพรบ!DX38"")"),268400)</f>
        <v>268400</v>
      </c>
      <c r="I38" s="82">
        <f ca="1">IFERROR(__xludf.DUMMYFUNCTION("IMPORTRANGE(""https://docs.google.com/spreadsheets/d/1MeEWN-I1oV_STSDYn1IFDPWt_1FKiwhDph83XaGc0o0/edit?usp=sharing"",""งบพรบ!DY38"")"),0)</f>
        <v>0</v>
      </c>
      <c r="J38" s="82">
        <f t="shared" ca="1" si="3"/>
        <v>139495.09</v>
      </c>
      <c r="K38" s="83">
        <f t="shared" ca="1" si="4"/>
        <v>36.045242894056848</v>
      </c>
      <c r="L38" s="82">
        <f ca="1">IFERROR(__xludf.DUMMYFUNCTION("IMPORTRANGE(""https://docs.google.com/spreadsheets/d/1MeEWN-I1oV_STSDYn1IFDPWt_1FKiwhDph83XaGc0o0/edit?usp=sharing"",""งบพรบ!DZ38"")"),139495.09)</f>
        <v>139495.09</v>
      </c>
      <c r="M38" s="84">
        <f t="shared" ca="1" si="5"/>
        <v>36.045242894056848</v>
      </c>
      <c r="N38" s="84">
        <f t="shared" ca="1" si="6"/>
        <v>51.972835320417289</v>
      </c>
      <c r="O38" s="85">
        <f ca="1">IFERROR(__xludf.DUMMYFUNCTION("IMPORTRANGE(""https://docs.google.com/spreadsheets/d/1MeEWN-I1oV_STSDYn1IFDPWt_1FKiwhDph83XaGc0o0/edit?usp=sharing"",""งบพรบ!EA38"")"),0)</f>
        <v>0</v>
      </c>
      <c r="P38" s="85">
        <f t="shared" ca="1" si="23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IFERROR(__xludf.DUMMYFUNCTION("IMPORTRANGE(""https://docs.google.com/spreadsheets/d/1B3lPpzOuaNwVItLwLEZYl_qEblfcx7dRnbRkAw0l-pE/edit?usp=sharing"",""บุรีรัมย์!J308"")"),1)</f>
        <v>1</v>
      </c>
      <c r="S38" s="298">
        <f ca="1">IFERROR(__xludf.DUMMYFUNCTION("IMPORTRANGE(""https://docs.google.com/spreadsheets/d/1B3lPpzOuaNwVItLwLEZYl_qEblfcx7dRnbRkAw0l-pE/edit?usp=sharing"",""บุรีรัมย์!I309"")"),25)</f>
        <v>25</v>
      </c>
      <c r="T38" s="181">
        <f ca="1">IFERROR(__xludf.DUMMYFUNCTION("IMPORTRANGE(""https://docs.google.com/spreadsheets/d/1B3lPpzOuaNwVItLwLEZYl_qEblfcx7dRnbRkAw0l-pE/edit?usp=sharing"",""บุรีรัมย์!J309"")"),25)</f>
        <v>25</v>
      </c>
      <c r="U38" s="185">
        <f t="shared" ca="1" si="21"/>
        <v>100</v>
      </c>
      <c r="V38" s="181">
        <f ca="1">IFERROR(__xludf.DUMMYFUNCTION("IMPORTRANGE(""https://docs.google.com/spreadsheets/d/1B3lPpzOuaNwVItLwLEZYl_qEblfcx7dRnbRkAw0l-pE/edit?usp=sharing"",""บุรีรัมย์!J310"")"),25)</f>
        <v>25</v>
      </c>
      <c r="W38" s="185">
        <f t="shared" ca="1" si="11"/>
        <v>100</v>
      </c>
      <c r="X38" s="181">
        <f ca="1">IFERROR(__xludf.DUMMYFUNCTION("IMPORTRANGE(""https://docs.google.com/spreadsheets/d/1B3lPpzOuaNwVItLwLEZYl_qEblfcx7dRnbRkAw0l-pE/edit?usp=sharing"",""บุรีรัมย์!J311"")"),0)</f>
        <v>0</v>
      </c>
      <c r="Y38" s="185">
        <f t="shared" ca="1" si="12"/>
        <v>0</v>
      </c>
      <c r="Z38" s="298">
        <f ca="1">IFERROR(__xludf.DUMMYFUNCTION("IMPORTRANGE(""https://docs.google.com/spreadsheets/d/1B3lPpzOuaNwVItLwLEZYl_qEblfcx7dRnbRkAw0l-pE/edit?usp=sharing"",""บุรีรัมย์!I312"")"),5)</f>
        <v>5</v>
      </c>
      <c r="AA38" s="181">
        <f ca="1">IFERROR(__xludf.DUMMYFUNCTION("IMPORTRANGE(""https://docs.google.com/spreadsheets/d/1B3lPpzOuaNwVItLwLEZYl_qEblfcx7dRnbRkAw0l-pE/edit?usp=sharing"",""บุรีรัมย์!J312"")"),0)</f>
        <v>0</v>
      </c>
      <c r="AB38" s="185">
        <f t="shared" ca="1" si="14"/>
        <v>0</v>
      </c>
    </row>
    <row r="39" spans="1:28" ht="21" customHeight="1" x14ac:dyDescent="0.3">
      <c r="A39" s="78">
        <v>8</v>
      </c>
      <c r="B39" s="79" t="s">
        <v>61</v>
      </c>
      <c r="C39" s="80">
        <f t="shared" ca="1" si="0"/>
        <v>0</v>
      </c>
      <c r="D39" s="81">
        <f t="shared" ca="1" si="30"/>
        <v>0</v>
      </c>
      <c r="E39" s="82">
        <f ca="1">IFERROR(__xludf.DUMMYFUNCTION("IMPORTRANGE(""https://docs.google.com/spreadsheets/d/1MeEWN-I1oV_STSDYn1IFDPWt_1FKiwhDph83XaGc0o0/edit?usp=sharing"",""งบพรบ!DT39"")"),0)</f>
        <v>0</v>
      </c>
      <c r="F39" s="82">
        <f ca="1">IFERROR(__xludf.DUMMYFUNCTION("IMPORTRANGE(""https://docs.google.com/spreadsheets/d/1MeEWN-I1oV_STSDYn1IFDPWt_1FKiwhDph83XaGc0o0/edit?usp=sharing"",""งบพรบ!DU39"")"),0)</f>
        <v>0</v>
      </c>
      <c r="G39" s="82">
        <f ca="1">IFERROR(__xludf.DUMMYFUNCTION("IMPORTRANGE(""https://docs.google.com/spreadsheets/d/1MeEWN-I1oV_STSDYn1IFDPWt_1FKiwhDph83XaGc0o0/edit?usp=sharing"",""งบพรบ!DV39"")"),0)</f>
        <v>0</v>
      </c>
      <c r="H39" s="82">
        <f ca="1">IFERROR(__xludf.DUMMYFUNCTION("IMPORTRANGE(""https://docs.google.com/spreadsheets/d/1MeEWN-I1oV_STSDYn1IFDPWt_1FKiwhDph83XaGc0o0/edit?usp=sharing"",""งบพรบ!DX39"")"),0)</f>
        <v>0</v>
      </c>
      <c r="I39" s="82">
        <f ca="1">IFERROR(__xludf.DUMMYFUNCTION("IMPORTRANGE(""https://docs.google.com/spreadsheets/d/1MeEWN-I1oV_STSDYn1IFDPWt_1FKiwhDph83XaGc0o0/edit?usp=sharing"",""งบพรบ!DY39"")"),0)</f>
        <v>0</v>
      </c>
      <c r="J39" s="82">
        <f t="shared" ca="1" si="3"/>
        <v>0</v>
      </c>
      <c r="K39" s="83">
        <f t="shared" ca="1" si="4"/>
        <v>0</v>
      </c>
      <c r="L39" s="82">
        <f ca="1">IFERROR(__xludf.DUMMYFUNCTION("IMPORTRANGE(""https://docs.google.com/spreadsheets/d/1MeEWN-I1oV_STSDYn1IFDPWt_1FKiwhDph83XaGc0o0/edit?usp=sharing"",""งบพรบ!DZ39"")"),0)</f>
        <v>0</v>
      </c>
      <c r="M39" s="84">
        <f t="shared" ca="1" si="5"/>
        <v>0</v>
      </c>
      <c r="N39" s="84">
        <f t="shared" ca="1" si="6"/>
        <v>0</v>
      </c>
      <c r="O39" s="85">
        <f ca="1">IFERROR(__xludf.DUMMYFUNCTION("IMPORTRANGE(""https://docs.google.com/spreadsheets/d/1MeEWN-I1oV_STSDYn1IFDPWt_1FKiwhDph83XaGc0o0/edit?usp=sharing"",""งบพรบ!EA39"")"),0)</f>
        <v>0</v>
      </c>
      <c r="P39" s="85">
        <f t="shared" ca="1" si="23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IFERROR(__xludf.DUMMYFUNCTION("IMPORTRANGE(""https://docs.google.com/spreadsheets/d/19GOkiOqnzYbevLYWrMk4qFOXe3rX14BkSA8X-mq-a40/edit?usp=sharing"",""มหาสารคาม!J308"")"),0)</f>
        <v>0</v>
      </c>
      <c r="S39" s="298">
        <f ca="1">IFERROR(__xludf.DUMMYFUNCTION("IMPORTRANGE(""https://docs.google.com/spreadsheets/d/19GOkiOqnzYbevLYWrMk4qFOXe3rX14BkSA8X-mq-a40/edit?usp=sharing"",""มหาสารคาม!I309"")"),0)</f>
        <v>0</v>
      </c>
      <c r="T39" s="181">
        <f ca="1">IFERROR(__xludf.DUMMYFUNCTION("IMPORTRANGE(""https://docs.google.com/spreadsheets/d/19GOkiOqnzYbevLYWrMk4qFOXe3rX14BkSA8X-mq-a40/edit?usp=sharing"",""มหาสารคาม!J309"")"),0)</f>
        <v>0</v>
      </c>
      <c r="U39" s="185">
        <f t="shared" ca="1" si="21"/>
        <v>0</v>
      </c>
      <c r="V39" s="181">
        <f ca="1">IFERROR(__xludf.DUMMYFUNCTION("IMPORTRANGE(""https://docs.google.com/spreadsheets/d/19GOkiOqnzYbevLYWrMk4qFOXe3rX14BkSA8X-mq-a40/edit?usp=sharing"",""มหาสารคาม!J310"")"),0)</f>
        <v>0</v>
      </c>
      <c r="W39" s="185">
        <f t="shared" ca="1" si="11"/>
        <v>0</v>
      </c>
      <c r="X39" s="181">
        <f ca="1">IFERROR(__xludf.DUMMYFUNCTION("IMPORTRANGE(""https://docs.google.com/spreadsheets/d/19GOkiOqnzYbevLYWrMk4qFOXe3rX14BkSA8X-mq-a40/edit?usp=sharing"",""มหาสารคาม!J311"")"),0)</f>
        <v>0</v>
      </c>
      <c r="Y39" s="185">
        <f t="shared" ca="1" si="12"/>
        <v>0</v>
      </c>
      <c r="Z39" s="298">
        <f ca="1">IFERROR(__xludf.DUMMYFUNCTION("IMPORTRANGE(""https://docs.google.com/spreadsheets/d/19GOkiOqnzYbevLYWrMk4qFOXe3rX14BkSA8X-mq-a40/edit?usp=sharing"",""มหาสารคาม!I312"")"),0)</f>
        <v>0</v>
      </c>
      <c r="AA39" s="181">
        <f ca="1">IFERROR(__xludf.DUMMYFUNCTION("IMPORTRANGE(""https://docs.google.com/spreadsheets/d/19GOkiOqnzYbevLYWrMk4qFOXe3rX14BkSA8X-mq-a40/edit?usp=sharing"",""มหาสารคาม!J312"")"),0)</f>
        <v>0</v>
      </c>
      <c r="AB39" s="185">
        <f t="shared" ca="1" si="14"/>
        <v>0</v>
      </c>
    </row>
    <row r="40" spans="1:28" ht="21" customHeight="1" x14ac:dyDescent="0.3">
      <c r="A40" s="78">
        <v>9</v>
      </c>
      <c r="B40" s="79" t="s">
        <v>62</v>
      </c>
      <c r="C40" s="80">
        <f t="shared" ca="1" si="0"/>
        <v>82400</v>
      </c>
      <c r="D40" s="81">
        <f t="shared" ca="1" si="30"/>
        <v>82400</v>
      </c>
      <c r="E40" s="82">
        <f ca="1">IFERROR(__xludf.DUMMYFUNCTION("IMPORTRANGE(""https://docs.google.com/spreadsheets/d/1MeEWN-I1oV_STSDYn1IFDPWt_1FKiwhDph83XaGc0o0/edit?usp=sharing"",""งบพรบ!DT40"")"),0)</f>
        <v>0</v>
      </c>
      <c r="F40" s="82">
        <f ca="1">IFERROR(__xludf.DUMMYFUNCTION("IMPORTRANGE(""https://docs.google.com/spreadsheets/d/1MeEWN-I1oV_STSDYn1IFDPWt_1FKiwhDph83XaGc0o0/edit?usp=sharing"",""งบพรบ!DU40"")"),82400)</f>
        <v>82400</v>
      </c>
      <c r="G40" s="82">
        <f ca="1">IFERROR(__xludf.DUMMYFUNCTION("IMPORTRANGE(""https://docs.google.com/spreadsheets/d/1MeEWN-I1oV_STSDYn1IFDPWt_1FKiwhDph83XaGc0o0/edit?usp=sharing"",""งบพรบ!DV40"")"),0)</f>
        <v>0</v>
      </c>
      <c r="H40" s="82">
        <f ca="1">IFERROR(__xludf.DUMMYFUNCTION("IMPORTRANGE(""https://docs.google.com/spreadsheets/d/1MeEWN-I1oV_STSDYn1IFDPWt_1FKiwhDph83XaGc0o0/edit?usp=sharing"",""งบพรบ!DX40"")"),49120)</f>
        <v>49120</v>
      </c>
      <c r="I40" s="82">
        <f ca="1">IFERROR(__xludf.DUMMYFUNCTION("IMPORTRANGE(""https://docs.google.com/spreadsheets/d/1MeEWN-I1oV_STSDYn1IFDPWt_1FKiwhDph83XaGc0o0/edit?usp=sharing"",""งบพรบ!DY40"")"),0)</f>
        <v>0</v>
      </c>
      <c r="J40" s="82">
        <f t="shared" ca="1" si="3"/>
        <v>48870</v>
      </c>
      <c r="K40" s="83">
        <f t="shared" ca="1" si="4"/>
        <v>59.308252427184463</v>
      </c>
      <c r="L40" s="82">
        <f ca="1">IFERROR(__xludf.DUMMYFUNCTION("IMPORTRANGE(""https://docs.google.com/spreadsheets/d/1MeEWN-I1oV_STSDYn1IFDPWt_1FKiwhDph83XaGc0o0/edit?usp=sharing"",""งบพรบ!DZ40"")"),48870)</f>
        <v>48870</v>
      </c>
      <c r="M40" s="84">
        <f t="shared" ca="1" si="5"/>
        <v>59.308252427184463</v>
      </c>
      <c r="N40" s="84">
        <f t="shared" ca="1" si="6"/>
        <v>99.491042345276867</v>
      </c>
      <c r="O40" s="85">
        <f ca="1">IFERROR(__xludf.DUMMYFUNCTION("IMPORTRANGE(""https://docs.google.com/spreadsheets/d/1MeEWN-I1oV_STSDYn1IFDPWt_1FKiwhDph83XaGc0o0/edit?usp=sharing"",""งบพรบ!EA40"")"),0)</f>
        <v>0</v>
      </c>
      <c r="P40" s="85">
        <f t="shared" ca="1" si="23"/>
        <v>0</v>
      </c>
      <c r="Q40" s="84">
        <f t="shared" ca="1" si="8"/>
        <v>0</v>
      </c>
      <c r="R40" s="86">
        <f ca="1">IFERROR(__xludf.DUMMYFUNCTION("IMPORTRANGE(""https://docs.google.com/spreadsheets/d/1uMKqWwuNQ-TCKboGA3Bb1qXb5uj2-faACNUINCz8PN4/edit?usp=sharing"",""มุกดาหาร!J308"")"),1)</f>
        <v>1</v>
      </c>
      <c r="S40" s="298">
        <f ca="1">IFERROR(__xludf.DUMMYFUNCTION("IMPORTRANGE(""https://docs.google.com/spreadsheets/d/1uMKqWwuNQ-TCKboGA3Bb1qXb5uj2-faACNUINCz8PN4/edit?usp=sharing"",""มุกดาหาร!I309"")"),20)</f>
        <v>20</v>
      </c>
      <c r="T40" s="181">
        <f ca="1">IFERROR(__xludf.DUMMYFUNCTION("IMPORTRANGE(""https://docs.google.com/spreadsheets/d/1uMKqWwuNQ-TCKboGA3Bb1qXb5uj2-faACNUINCz8PN4/edit?usp=sharing"",""มุกดาหาร!J309"")"),20)</f>
        <v>20</v>
      </c>
      <c r="U40" s="185">
        <f t="shared" ca="1" si="21"/>
        <v>100</v>
      </c>
      <c r="V40" s="181">
        <f ca="1">IFERROR(__xludf.DUMMYFUNCTION("IMPORTRANGE(""https://docs.google.com/spreadsheets/d/1uMKqWwuNQ-TCKboGA3Bb1qXb5uj2-faACNUINCz8PN4/edit?usp=sharing"",""มุกดาหาร!J310"")"),0)</f>
        <v>0</v>
      </c>
      <c r="W40" s="185">
        <f t="shared" ca="1" si="11"/>
        <v>0</v>
      </c>
      <c r="X40" s="181">
        <f ca="1">IFERROR(__xludf.DUMMYFUNCTION("IMPORTRANGE(""https://docs.google.com/spreadsheets/d/1uMKqWwuNQ-TCKboGA3Bb1qXb5uj2-faACNUINCz8PN4/edit?usp=sharing"",""มุกดาหาร!J311"")"),0)</f>
        <v>0</v>
      </c>
      <c r="Y40" s="185">
        <f t="shared" ca="1" si="12"/>
        <v>0</v>
      </c>
      <c r="Z40" s="298">
        <f ca="1">IFERROR(__xludf.DUMMYFUNCTION("IMPORTRANGE(""https://docs.google.com/spreadsheets/d/1uMKqWwuNQ-TCKboGA3Bb1qXb5uj2-faACNUINCz8PN4/edit?usp=sharing"",""มุกดาหาร!I312"")"),4)</f>
        <v>4</v>
      </c>
      <c r="AA40" s="181">
        <f ca="1">IFERROR(__xludf.DUMMYFUNCTION("IMPORTRANGE(""https://docs.google.com/spreadsheets/d/1uMKqWwuNQ-TCKboGA3Bb1qXb5uj2-faACNUINCz8PN4/edit?usp=sharing"",""มุกดาหาร!J312"")"),0)</f>
        <v>0</v>
      </c>
      <c r="AB40" s="185">
        <f t="shared" ca="1" si="14"/>
        <v>0</v>
      </c>
    </row>
    <row r="41" spans="1:28" ht="21" customHeight="1" x14ac:dyDescent="0.3">
      <c r="A41" s="78">
        <v>10</v>
      </c>
      <c r="B41" s="79" t="s">
        <v>63</v>
      </c>
      <c r="C41" s="80">
        <f t="shared" ca="1" si="0"/>
        <v>82400</v>
      </c>
      <c r="D41" s="81">
        <f t="shared" ca="1" si="30"/>
        <v>82400</v>
      </c>
      <c r="E41" s="82">
        <f ca="1">IFERROR(__xludf.DUMMYFUNCTION("IMPORTRANGE(""https://docs.google.com/spreadsheets/d/1MeEWN-I1oV_STSDYn1IFDPWt_1FKiwhDph83XaGc0o0/edit?usp=sharing"",""งบพรบ!DT41"")"),0)</f>
        <v>0</v>
      </c>
      <c r="F41" s="82">
        <f ca="1">IFERROR(__xludf.DUMMYFUNCTION("IMPORTRANGE(""https://docs.google.com/spreadsheets/d/1MeEWN-I1oV_STSDYn1IFDPWt_1FKiwhDph83XaGc0o0/edit?usp=sharing"",""งบพรบ!DU41"")"),82400)</f>
        <v>82400</v>
      </c>
      <c r="G41" s="82">
        <f ca="1">IFERROR(__xludf.DUMMYFUNCTION("IMPORTRANGE(""https://docs.google.com/spreadsheets/d/1MeEWN-I1oV_STSDYn1IFDPWt_1FKiwhDph83XaGc0o0/edit?usp=sharing"",""งบพรบ!DV41"")"),0)</f>
        <v>0</v>
      </c>
      <c r="H41" s="82">
        <f ca="1">IFERROR(__xludf.DUMMYFUNCTION("IMPORTRANGE(""https://docs.google.com/spreadsheets/d/1MeEWN-I1oV_STSDYn1IFDPWt_1FKiwhDph83XaGc0o0/edit?usp=sharing"",""งบพรบ!DX41"")"),49120)</f>
        <v>49120</v>
      </c>
      <c r="I41" s="82">
        <f ca="1">IFERROR(__xludf.DUMMYFUNCTION("IMPORTRANGE(""https://docs.google.com/spreadsheets/d/1MeEWN-I1oV_STSDYn1IFDPWt_1FKiwhDph83XaGc0o0/edit?usp=sharing"",""งบพรบ!DY41"")"),0)</f>
        <v>0</v>
      </c>
      <c r="J41" s="82">
        <f t="shared" ca="1" si="3"/>
        <v>2000</v>
      </c>
      <c r="K41" s="83">
        <f t="shared" ca="1" si="4"/>
        <v>2.4271844660194173</v>
      </c>
      <c r="L41" s="82">
        <f ca="1">IFERROR(__xludf.DUMMYFUNCTION("IMPORTRANGE(""https://docs.google.com/spreadsheets/d/1MeEWN-I1oV_STSDYn1IFDPWt_1FKiwhDph83XaGc0o0/edit?usp=sharing"",""งบพรบ!DZ41"")"),2000)</f>
        <v>2000</v>
      </c>
      <c r="M41" s="84">
        <f t="shared" ca="1" si="5"/>
        <v>2.4271844660194173</v>
      </c>
      <c r="N41" s="84">
        <f t="shared" ca="1" si="6"/>
        <v>4.0716612377850163</v>
      </c>
      <c r="O41" s="85">
        <f ca="1">IFERROR(__xludf.DUMMYFUNCTION("IMPORTRANGE(""https://docs.google.com/spreadsheets/d/1MeEWN-I1oV_STSDYn1IFDPWt_1FKiwhDph83XaGc0o0/edit?usp=sharing"",""งบพรบ!EA41"")"),0)</f>
        <v>0</v>
      </c>
      <c r="P41" s="85">
        <f t="shared" ca="1" si="23"/>
        <v>0</v>
      </c>
      <c r="Q41" s="84">
        <f t="shared" ca="1" si="8"/>
        <v>0</v>
      </c>
      <c r="R41" s="86">
        <f ca="1">IFERROR(__xludf.DUMMYFUNCTION("IMPORTRANGE(""https://docs.google.com/spreadsheets/d/1oKaccgDdQABndOzGr688Dbfxb_V3YcF67VqEPBtdzsc/edit?usp=sharing"",""ยโสธร!J308"")"),0)</f>
        <v>0</v>
      </c>
      <c r="S41" s="298">
        <f ca="1">IFERROR(__xludf.DUMMYFUNCTION("IMPORTRANGE(""https://docs.google.com/spreadsheets/d/1oKaccgDdQABndOzGr688Dbfxb_V3YcF67VqEPBtdzsc/edit?usp=sharing"",""ยโสธร!I309"")"),20)</f>
        <v>20</v>
      </c>
      <c r="T41" s="181">
        <f ca="1">IFERROR(__xludf.DUMMYFUNCTION("IMPORTRANGE(""https://docs.google.com/spreadsheets/d/1oKaccgDdQABndOzGr688Dbfxb_V3YcF67VqEPBtdzsc/edit?usp=sharing"",""ยโสธร!J309"")"),0)</f>
        <v>0</v>
      </c>
      <c r="U41" s="185">
        <f t="shared" ca="1" si="21"/>
        <v>0</v>
      </c>
      <c r="V41" s="181">
        <f ca="1">IFERROR(__xludf.DUMMYFUNCTION("IMPORTRANGE(""https://docs.google.com/spreadsheets/d/1oKaccgDdQABndOzGr688Dbfxb_V3YcF67VqEPBtdzsc/edit?usp=sharing"",""ยโสธร!J310"")"),0)</f>
        <v>0</v>
      </c>
      <c r="W41" s="185">
        <f t="shared" ca="1" si="11"/>
        <v>0</v>
      </c>
      <c r="X41" s="181">
        <f ca="1">IFERROR(__xludf.DUMMYFUNCTION("IMPORTRANGE(""https://docs.google.com/spreadsheets/d/1oKaccgDdQABndOzGr688Dbfxb_V3YcF67VqEPBtdzsc/edit?usp=sharing"",""ยโสธร!J311"")"),0)</f>
        <v>0</v>
      </c>
      <c r="Y41" s="185">
        <f t="shared" ca="1" si="12"/>
        <v>0</v>
      </c>
      <c r="Z41" s="298">
        <f ca="1">IFERROR(__xludf.DUMMYFUNCTION("IMPORTRANGE(""https://docs.google.com/spreadsheets/d/1oKaccgDdQABndOzGr688Dbfxb_V3YcF67VqEPBtdzsc/edit?usp=sharing"",""ยโสธร!I312"")"),4)</f>
        <v>4</v>
      </c>
      <c r="AA41" s="181">
        <f ca="1">IFERROR(__xludf.DUMMYFUNCTION("IMPORTRANGE(""https://docs.google.com/spreadsheets/d/1oKaccgDdQABndOzGr688Dbfxb_V3YcF67VqEPBtdzsc/edit?usp=sharing"",""ยโสธร!J312"")"),0)</f>
        <v>0</v>
      </c>
      <c r="AB41" s="185">
        <f t="shared" ca="1" si="14"/>
        <v>0</v>
      </c>
    </row>
    <row r="42" spans="1:28" ht="21" customHeight="1" x14ac:dyDescent="0.3">
      <c r="A42" s="78">
        <v>11</v>
      </c>
      <c r="B42" s="79" t="s">
        <v>64</v>
      </c>
      <c r="C42" s="80">
        <f t="shared" ca="1" si="0"/>
        <v>82400</v>
      </c>
      <c r="D42" s="81">
        <f t="shared" ca="1" si="30"/>
        <v>82400</v>
      </c>
      <c r="E42" s="82">
        <f ca="1">IFERROR(__xludf.DUMMYFUNCTION("IMPORTRANGE(""https://docs.google.com/spreadsheets/d/1MeEWN-I1oV_STSDYn1IFDPWt_1FKiwhDph83XaGc0o0/edit?usp=sharing"",""งบพรบ!DT42"")"),0)</f>
        <v>0</v>
      </c>
      <c r="F42" s="82">
        <f ca="1">IFERROR(__xludf.DUMMYFUNCTION("IMPORTRANGE(""https://docs.google.com/spreadsheets/d/1MeEWN-I1oV_STSDYn1IFDPWt_1FKiwhDph83XaGc0o0/edit?usp=sharing"",""งบพรบ!DU42"")"),82400)</f>
        <v>82400</v>
      </c>
      <c r="G42" s="82">
        <f ca="1">IFERROR(__xludf.DUMMYFUNCTION("IMPORTRANGE(""https://docs.google.com/spreadsheets/d/1MeEWN-I1oV_STSDYn1IFDPWt_1FKiwhDph83XaGc0o0/edit?usp=sharing"",""งบพรบ!DV42"")"),0)</f>
        <v>0</v>
      </c>
      <c r="H42" s="82">
        <f ca="1">IFERROR(__xludf.DUMMYFUNCTION("IMPORTRANGE(""https://docs.google.com/spreadsheets/d/1MeEWN-I1oV_STSDYn1IFDPWt_1FKiwhDph83XaGc0o0/edit?usp=sharing"",""งบพรบ!DX42"")"),49120)</f>
        <v>49120</v>
      </c>
      <c r="I42" s="82">
        <f ca="1">IFERROR(__xludf.DUMMYFUNCTION("IMPORTRANGE(""https://docs.google.com/spreadsheets/d/1MeEWN-I1oV_STSDYn1IFDPWt_1FKiwhDph83XaGc0o0/edit?usp=sharing"",""งบพรบ!DY42"")"),0)</f>
        <v>0</v>
      </c>
      <c r="J42" s="82">
        <f t="shared" ca="1" si="3"/>
        <v>41840</v>
      </c>
      <c r="K42" s="83">
        <f t="shared" ca="1" si="4"/>
        <v>50.776699029126213</v>
      </c>
      <c r="L42" s="82">
        <f ca="1">IFERROR(__xludf.DUMMYFUNCTION("IMPORTRANGE(""https://docs.google.com/spreadsheets/d/1MeEWN-I1oV_STSDYn1IFDPWt_1FKiwhDph83XaGc0o0/edit?usp=sharing"",""งบพรบ!DZ42"")"),41840)</f>
        <v>41840</v>
      </c>
      <c r="M42" s="84">
        <f t="shared" ca="1" si="5"/>
        <v>50.776699029126213</v>
      </c>
      <c r="N42" s="84">
        <f t="shared" ca="1" si="6"/>
        <v>85.179153094462535</v>
      </c>
      <c r="O42" s="85">
        <f ca="1">IFERROR(__xludf.DUMMYFUNCTION("IMPORTRANGE(""https://docs.google.com/spreadsheets/d/1MeEWN-I1oV_STSDYn1IFDPWt_1FKiwhDph83XaGc0o0/edit?usp=sharing"",""งบพรบ!EA42"")"),0)</f>
        <v>0</v>
      </c>
      <c r="P42" s="85">
        <f t="shared" ca="1" si="23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IFERROR(__xludf.DUMMYFUNCTION("IMPORTRANGE(""https://docs.google.com/spreadsheets/d/1BRgc8xKpxZ0PX-gauieMVkV_IOxKSotf0yW8MabGprQ/edit?usp=sharing"",""ร้อยเอ็ด!J308"")"),1)</f>
        <v>1</v>
      </c>
      <c r="S42" s="298">
        <f ca="1">IFERROR(__xludf.DUMMYFUNCTION("IMPORTRANGE(""https://docs.google.com/spreadsheets/d/1BRgc8xKpxZ0PX-gauieMVkV_IOxKSotf0yW8MabGprQ/edit?usp=sharing"",""ร้อยเอ็ด!I309"")"),20)</f>
        <v>20</v>
      </c>
      <c r="T42" s="181">
        <f ca="1">IFERROR(__xludf.DUMMYFUNCTION("IMPORTRANGE(""https://docs.google.com/spreadsheets/d/1BRgc8xKpxZ0PX-gauieMVkV_IOxKSotf0yW8MabGprQ/edit?usp=sharing"",""ร้อยเอ็ด!J309"")"),20)</f>
        <v>20</v>
      </c>
      <c r="U42" s="185">
        <f t="shared" ca="1" si="21"/>
        <v>100</v>
      </c>
      <c r="V42" s="181">
        <f ca="1">IFERROR(__xludf.DUMMYFUNCTION("IMPORTRANGE(""https://docs.google.com/spreadsheets/d/1BRgc8xKpxZ0PX-gauieMVkV_IOxKSotf0yW8MabGprQ/edit?usp=sharing"",""ร้อยเอ็ด!J310"")"),0)</f>
        <v>0</v>
      </c>
      <c r="W42" s="185">
        <f t="shared" ca="1" si="11"/>
        <v>0</v>
      </c>
      <c r="X42" s="181">
        <f ca="1">IFERROR(__xludf.DUMMYFUNCTION("IMPORTRANGE(""https://docs.google.com/spreadsheets/d/1BRgc8xKpxZ0PX-gauieMVkV_IOxKSotf0yW8MabGprQ/edit?usp=sharing"",""ร้อยเอ็ด!J311"")"),20)</f>
        <v>20</v>
      </c>
      <c r="Y42" s="185">
        <f ca="1">IF(S42&gt;0,X42*100/S42,0)</f>
        <v>100</v>
      </c>
      <c r="Z42" s="298">
        <f ca="1">IFERROR(__xludf.DUMMYFUNCTION("IMPORTRANGE(""https://docs.google.com/spreadsheets/d/1BRgc8xKpxZ0PX-gauieMVkV_IOxKSotf0yW8MabGprQ/edit?usp=sharing"",""ร้อยเอ็ด!I312"")"),4)</f>
        <v>4</v>
      </c>
      <c r="AA42" s="181">
        <f ca="1">IFERROR(__xludf.DUMMYFUNCTION("IMPORTRANGE(""https://docs.google.com/spreadsheets/d/1BRgc8xKpxZ0PX-gauieMVkV_IOxKSotf0yW8MabGprQ/edit?usp=sharing"",""ร้อยเอ็ด!J312"")"),0)</f>
        <v>0</v>
      </c>
      <c r="AB42" s="185">
        <f t="shared" ca="1" si="14"/>
        <v>0</v>
      </c>
    </row>
    <row r="43" spans="1:28" ht="21" customHeight="1" x14ac:dyDescent="0.3">
      <c r="A43" s="78">
        <v>12</v>
      </c>
      <c r="B43" s="79" t="s">
        <v>65</v>
      </c>
      <c r="C43" s="80">
        <f t="shared" ca="1" si="0"/>
        <v>0</v>
      </c>
      <c r="D43" s="81">
        <f t="shared" ca="1" si="30"/>
        <v>0</v>
      </c>
      <c r="E43" s="82">
        <f ca="1">IFERROR(__xludf.DUMMYFUNCTION("IMPORTRANGE(""https://docs.google.com/spreadsheets/d/1MeEWN-I1oV_STSDYn1IFDPWt_1FKiwhDph83XaGc0o0/edit?usp=sharing"",""งบพรบ!DT43"")"),0)</f>
        <v>0</v>
      </c>
      <c r="F43" s="82">
        <f ca="1">IFERROR(__xludf.DUMMYFUNCTION("IMPORTRANGE(""https://docs.google.com/spreadsheets/d/1MeEWN-I1oV_STSDYn1IFDPWt_1FKiwhDph83XaGc0o0/edit?usp=sharing"",""งบพรบ!DU43"")"),0)</f>
        <v>0</v>
      </c>
      <c r="G43" s="82">
        <f ca="1">IFERROR(__xludf.DUMMYFUNCTION("IMPORTRANGE(""https://docs.google.com/spreadsheets/d/1MeEWN-I1oV_STSDYn1IFDPWt_1FKiwhDph83XaGc0o0/edit?usp=sharing"",""งบพรบ!DV43"")"),0)</f>
        <v>0</v>
      </c>
      <c r="H43" s="82">
        <f ca="1">IFERROR(__xludf.DUMMYFUNCTION("IMPORTRANGE(""https://docs.google.com/spreadsheets/d/1MeEWN-I1oV_STSDYn1IFDPWt_1FKiwhDph83XaGc0o0/edit?usp=sharing"",""งบพรบ!DX43"")"),0)</f>
        <v>0</v>
      </c>
      <c r="I43" s="82">
        <f ca="1">IFERROR(__xludf.DUMMYFUNCTION("IMPORTRANGE(""https://docs.google.com/spreadsheets/d/1MeEWN-I1oV_STSDYn1IFDPWt_1FKiwhDph83XaGc0o0/edit?usp=sharing"",""งบพรบ!DY43"")"),0)</f>
        <v>0</v>
      </c>
      <c r="J43" s="82">
        <f t="shared" ca="1" si="3"/>
        <v>0</v>
      </c>
      <c r="K43" s="83">
        <f t="shared" ca="1" si="4"/>
        <v>0</v>
      </c>
      <c r="L43" s="82">
        <f ca="1">IFERROR(__xludf.DUMMYFUNCTION("IMPORTRANGE(""https://docs.google.com/spreadsheets/d/1MeEWN-I1oV_STSDYn1IFDPWt_1FKiwhDph83XaGc0o0/edit?usp=sharing"",""งบพรบ!DZ43"")"),0)</f>
        <v>0</v>
      </c>
      <c r="M43" s="84">
        <f t="shared" ca="1" si="5"/>
        <v>0</v>
      </c>
      <c r="N43" s="84">
        <f t="shared" ca="1" si="6"/>
        <v>0</v>
      </c>
      <c r="O43" s="85">
        <f ca="1">IFERROR(__xludf.DUMMYFUNCTION("IMPORTRANGE(""https://docs.google.com/spreadsheets/d/1MeEWN-I1oV_STSDYn1IFDPWt_1FKiwhDph83XaGc0o0/edit?usp=sharing"",""งบพรบ!EA43"")"),0)</f>
        <v>0</v>
      </c>
      <c r="P43" s="85">
        <f t="shared" ca="1" si="23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IFERROR(__xludf.DUMMYFUNCTION("IMPORTRANGE(""https://docs.google.com/spreadsheets/d/1IdolZc-dfdgMwAm_KZxYJl1sUOcIgnbGQzbWOlddedo/edit?usp=sharing"",""เลย!J308"")"),0)</f>
        <v>0</v>
      </c>
      <c r="S43" s="298">
        <f ca="1">IFERROR(__xludf.DUMMYFUNCTION("IMPORTRANGE(""https://docs.google.com/spreadsheets/d/1IdolZc-dfdgMwAm_KZxYJl1sUOcIgnbGQzbWOlddedo/edit?usp=sharing"",""เลย!I309"")"),0)</f>
        <v>0</v>
      </c>
      <c r="T43" s="181">
        <f ca="1">IFERROR(__xludf.DUMMYFUNCTION("IMPORTRANGE(""https://docs.google.com/spreadsheets/d/1IdolZc-dfdgMwAm_KZxYJl1sUOcIgnbGQzbWOlddedo/edit?usp=sharing"",""เลย!J309"")"),0)</f>
        <v>0</v>
      </c>
      <c r="U43" s="185">
        <f t="shared" ca="1" si="21"/>
        <v>0</v>
      </c>
      <c r="V43" s="181">
        <f ca="1">IFERROR(__xludf.DUMMYFUNCTION("IMPORTRANGE(""https://docs.google.com/spreadsheets/d/1IdolZc-dfdgMwAm_KZxYJl1sUOcIgnbGQzbWOlddedo/edit?usp=sharing"",""เลย!J310"")"),0)</f>
        <v>0</v>
      </c>
      <c r="W43" s="185">
        <f t="shared" ca="1" si="11"/>
        <v>0</v>
      </c>
      <c r="X43" s="181">
        <f ca="1">IFERROR(__xludf.DUMMYFUNCTION("IMPORTRANGE(""https://docs.google.com/spreadsheets/d/1IdolZc-dfdgMwAm_KZxYJl1sUOcIgnbGQzbWOlddedo/edit?usp=sharing"",""เลย!J311"")"),0)</f>
        <v>0</v>
      </c>
      <c r="Y43" s="185">
        <f t="shared" ca="1" si="12"/>
        <v>0</v>
      </c>
      <c r="Z43" s="298">
        <f ca="1">IFERROR(__xludf.DUMMYFUNCTION("IMPORTRANGE(""https://docs.google.com/spreadsheets/d/1IdolZc-dfdgMwAm_KZxYJl1sUOcIgnbGQzbWOlddedo/edit?usp=sharing"",""เลย!I312"")"),0)</f>
        <v>0</v>
      </c>
      <c r="AA43" s="181">
        <f ca="1">IFERROR(__xludf.DUMMYFUNCTION("IMPORTRANGE(""https://docs.google.com/spreadsheets/d/1IdolZc-dfdgMwAm_KZxYJl1sUOcIgnbGQzbWOlddedo/edit?usp=sharing"",""เลย!J312"")"),0)</f>
        <v>0</v>
      </c>
      <c r="AB43" s="185">
        <f t="shared" ca="1" si="14"/>
        <v>0</v>
      </c>
    </row>
    <row r="44" spans="1:28" ht="21" customHeight="1" x14ac:dyDescent="0.3">
      <c r="A44" s="78">
        <v>13</v>
      </c>
      <c r="B44" s="79" t="s">
        <v>66</v>
      </c>
      <c r="C44" s="80">
        <f t="shared" ca="1" si="0"/>
        <v>82400</v>
      </c>
      <c r="D44" s="81">
        <f t="shared" ca="1" si="30"/>
        <v>82400</v>
      </c>
      <c r="E44" s="82">
        <f ca="1">IFERROR(__xludf.DUMMYFUNCTION("IMPORTRANGE(""https://docs.google.com/spreadsheets/d/1MeEWN-I1oV_STSDYn1IFDPWt_1FKiwhDph83XaGc0o0/edit?usp=sharing"",""งบพรบ!DT44"")"),0)</f>
        <v>0</v>
      </c>
      <c r="F44" s="82">
        <f ca="1">IFERROR(__xludf.DUMMYFUNCTION("IMPORTRANGE(""https://docs.google.com/spreadsheets/d/1MeEWN-I1oV_STSDYn1IFDPWt_1FKiwhDph83XaGc0o0/edit?usp=sharing"",""งบพรบ!DU44"")"),82400)</f>
        <v>82400</v>
      </c>
      <c r="G44" s="82">
        <f ca="1">IFERROR(__xludf.DUMMYFUNCTION("IMPORTRANGE(""https://docs.google.com/spreadsheets/d/1MeEWN-I1oV_STSDYn1IFDPWt_1FKiwhDph83XaGc0o0/edit?usp=sharing"",""งบพรบ!DV44"")"),0)</f>
        <v>0</v>
      </c>
      <c r="H44" s="82">
        <f ca="1">IFERROR(__xludf.DUMMYFUNCTION("IMPORTRANGE(""https://docs.google.com/spreadsheets/d/1MeEWN-I1oV_STSDYn1IFDPWt_1FKiwhDph83XaGc0o0/edit?usp=sharing"",""งบพรบ!DX44"")"),49120)</f>
        <v>49120</v>
      </c>
      <c r="I44" s="82">
        <f ca="1">IFERROR(__xludf.DUMMYFUNCTION("IMPORTRANGE(""https://docs.google.com/spreadsheets/d/1MeEWN-I1oV_STSDYn1IFDPWt_1FKiwhDph83XaGc0o0/edit?usp=sharing"",""งบพรบ!DY44"")"),0)</f>
        <v>0</v>
      </c>
      <c r="J44" s="82">
        <f t="shared" ca="1" si="3"/>
        <v>30880</v>
      </c>
      <c r="K44" s="83">
        <f t="shared" ca="1" si="4"/>
        <v>37.475728155339809</v>
      </c>
      <c r="L44" s="82">
        <f ca="1">IFERROR(__xludf.DUMMYFUNCTION("IMPORTRANGE(""https://docs.google.com/spreadsheets/d/1MeEWN-I1oV_STSDYn1IFDPWt_1FKiwhDph83XaGc0o0/edit?usp=sharing"",""งบพรบ!DZ44"")"),30880)</f>
        <v>30880</v>
      </c>
      <c r="M44" s="84">
        <f t="shared" ca="1" si="5"/>
        <v>37.475728155339809</v>
      </c>
      <c r="N44" s="84">
        <f t="shared" ca="1" si="6"/>
        <v>62.866449511400653</v>
      </c>
      <c r="O44" s="85">
        <f ca="1">IFERROR(__xludf.DUMMYFUNCTION("IMPORTRANGE(""https://docs.google.com/spreadsheets/d/1MeEWN-I1oV_STSDYn1IFDPWt_1FKiwhDph83XaGc0o0/edit?usp=sharing"",""งบพรบ!EA44"")"),0)</f>
        <v>0</v>
      </c>
      <c r="P44" s="85">
        <f t="shared" ca="1" si="23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IFERROR(__xludf.DUMMYFUNCTION("IMPORTRANGE(""https://docs.google.com/spreadsheets/d/1tZ0nmtGuIRCaGAMXHlQU8EpR9LOAJvyKfc4f7EFmE34/edit?usp=sharing"",""ศรีสะเกษ!J308"")"),1)</f>
        <v>1</v>
      </c>
      <c r="S44" s="298">
        <f ca="1">IFERROR(__xludf.DUMMYFUNCTION("IMPORTRANGE(""https://docs.google.com/spreadsheets/d/1tZ0nmtGuIRCaGAMXHlQU8EpR9LOAJvyKfc4f7EFmE34/edit?usp=sharing"",""ศรีสะเกษ!I309"")"),20)</f>
        <v>20</v>
      </c>
      <c r="T44" s="181">
        <f ca="1">IFERROR(__xludf.DUMMYFUNCTION("IMPORTRANGE(""https://docs.google.com/spreadsheets/d/1tZ0nmtGuIRCaGAMXHlQU8EpR9LOAJvyKfc4f7EFmE34/edit?usp=sharing"",""ศรีสะเกษ!J309"")"),20)</f>
        <v>20</v>
      </c>
      <c r="U44" s="185">
        <f t="shared" ca="1" si="21"/>
        <v>100</v>
      </c>
      <c r="V44" s="181">
        <f ca="1">IFERROR(__xludf.DUMMYFUNCTION("IMPORTRANGE(""https://docs.google.com/spreadsheets/d/1tZ0nmtGuIRCaGAMXHlQU8EpR9LOAJvyKfc4f7EFmE34/edit?usp=sharing"",""ศรีสะเกษ!J310"")"),0)</f>
        <v>0</v>
      </c>
      <c r="W44" s="185">
        <f t="shared" ca="1" si="11"/>
        <v>0</v>
      </c>
      <c r="X44" s="181">
        <f ca="1">IFERROR(__xludf.DUMMYFUNCTION("IMPORTRANGE(""https://docs.google.com/spreadsheets/d/1tZ0nmtGuIRCaGAMXHlQU8EpR9LOAJvyKfc4f7EFmE34/edit?usp=sharing"",""ศรีสะเกษ!J311"")"),0)</f>
        <v>0</v>
      </c>
      <c r="Y44" s="185">
        <f t="shared" ca="1" si="12"/>
        <v>0</v>
      </c>
      <c r="Z44" s="298">
        <f ca="1">IFERROR(__xludf.DUMMYFUNCTION("IMPORTRANGE(""https://docs.google.com/spreadsheets/d/1tZ0nmtGuIRCaGAMXHlQU8EpR9LOAJvyKfc4f7EFmE34/edit?usp=sharing"",""ศรีสะเกษ!I312"")"),4)</f>
        <v>4</v>
      </c>
      <c r="AA44" s="181">
        <f ca="1">IFERROR(__xludf.DUMMYFUNCTION("IMPORTRANGE(""https://docs.google.com/spreadsheets/d/1tZ0nmtGuIRCaGAMXHlQU8EpR9LOAJvyKfc4f7EFmE34/edit?usp=sharing"",""ศรีสะเกษ!J312"")"),0)</f>
        <v>0</v>
      </c>
      <c r="AB44" s="185">
        <f t="shared" ca="1" si="14"/>
        <v>0</v>
      </c>
    </row>
    <row r="45" spans="1:28" ht="21" customHeight="1" x14ac:dyDescent="0.3">
      <c r="A45" s="78">
        <v>14</v>
      </c>
      <c r="B45" s="79" t="s">
        <v>67</v>
      </c>
      <c r="C45" s="80">
        <f t="shared" ca="1" si="0"/>
        <v>82400</v>
      </c>
      <c r="D45" s="81">
        <f t="shared" ca="1" si="30"/>
        <v>82400</v>
      </c>
      <c r="E45" s="82">
        <f ca="1">IFERROR(__xludf.DUMMYFUNCTION("IMPORTRANGE(""https://docs.google.com/spreadsheets/d/1MeEWN-I1oV_STSDYn1IFDPWt_1FKiwhDph83XaGc0o0/edit?usp=sharing"",""งบพรบ!DT45"")"),0)</f>
        <v>0</v>
      </c>
      <c r="F45" s="82">
        <f ca="1">IFERROR(__xludf.DUMMYFUNCTION("IMPORTRANGE(""https://docs.google.com/spreadsheets/d/1MeEWN-I1oV_STSDYn1IFDPWt_1FKiwhDph83XaGc0o0/edit?usp=sharing"",""งบพรบ!DU45"")"),82400)</f>
        <v>82400</v>
      </c>
      <c r="G45" s="82">
        <f ca="1">IFERROR(__xludf.DUMMYFUNCTION("IMPORTRANGE(""https://docs.google.com/spreadsheets/d/1MeEWN-I1oV_STSDYn1IFDPWt_1FKiwhDph83XaGc0o0/edit?usp=sharing"",""งบพรบ!DV45"")"),0)</f>
        <v>0</v>
      </c>
      <c r="H45" s="82">
        <f ca="1">IFERROR(__xludf.DUMMYFUNCTION("IMPORTRANGE(""https://docs.google.com/spreadsheets/d/1MeEWN-I1oV_STSDYn1IFDPWt_1FKiwhDph83XaGc0o0/edit?usp=sharing"",""งบพรบ!DX45"")"),49120)</f>
        <v>49120</v>
      </c>
      <c r="I45" s="82">
        <f ca="1">IFERROR(__xludf.DUMMYFUNCTION("IMPORTRANGE(""https://docs.google.com/spreadsheets/d/1MeEWN-I1oV_STSDYn1IFDPWt_1FKiwhDph83XaGc0o0/edit?usp=sharing"",""งบพรบ!DY45"")"),0)</f>
        <v>0</v>
      </c>
      <c r="J45" s="82">
        <f t="shared" ca="1" si="3"/>
        <v>22280</v>
      </c>
      <c r="K45" s="83">
        <f t="shared" ca="1" si="4"/>
        <v>27.038834951456312</v>
      </c>
      <c r="L45" s="82">
        <f ca="1">IFERROR(__xludf.DUMMYFUNCTION("IMPORTRANGE(""https://docs.google.com/spreadsheets/d/1MeEWN-I1oV_STSDYn1IFDPWt_1FKiwhDph83XaGc0o0/edit?usp=sharing"",""งบพรบ!DZ45"")"),22280)</f>
        <v>22280</v>
      </c>
      <c r="M45" s="84">
        <f t="shared" ca="1" si="5"/>
        <v>27.038834951456312</v>
      </c>
      <c r="N45" s="84">
        <f t="shared" ca="1" si="6"/>
        <v>45.358306188925084</v>
      </c>
      <c r="O45" s="85">
        <f ca="1">IFERROR(__xludf.DUMMYFUNCTION("IMPORTRANGE(""https://docs.google.com/spreadsheets/d/1MeEWN-I1oV_STSDYn1IFDPWt_1FKiwhDph83XaGc0o0/edit?usp=sharing"",""งบพรบ!EA45"")"),0)</f>
        <v>0</v>
      </c>
      <c r="P45" s="85">
        <f t="shared" ca="1" si="23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IFERROR(__xludf.DUMMYFUNCTION("IMPORTRANGE(""https://docs.google.com/spreadsheets/d/1QC8psz9w0f9IVE9Xuc2FT_btkaOzZbbUSgYObpBuetM/edit?usp=sharing"",""สกลนคร!J308"")"),0)</f>
        <v>0</v>
      </c>
      <c r="S45" s="298">
        <f ca="1">IFERROR(__xludf.DUMMYFUNCTION("IMPORTRANGE(""https://docs.google.com/spreadsheets/d/1QC8psz9w0f9IVE9Xuc2FT_btkaOzZbbUSgYObpBuetM/edit?usp=sharing"",""สกลนคร!I309"")"),20)</f>
        <v>20</v>
      </c>
      <c r="T45" s="181">
        <f ca="1">IFERROR(__xludf.DUMMYFUNCTION("IMPORTRANGE(""https://docs.google.com/spreadsheets/d/1QC8psz9w0f9IVE9Xuc2FT_btkaOzZbbUSgYObpBuetM/edit?usp=sharing"",""สกลนคร!J309"")"),10)</f>
        <v>10</v>
      </c>
      <c r="U45" s="185">
        <f t="shared" ca="1" si="21"/>
        <v>50</v>
      </c>
      <c r="V45" s="181">
        <f ca="1">IFERROR(__xludf.DUMMYFUNCTION("IMPORTRANGE(""https://docs.google.com/spreadsheets/d/1QC8psz9w0f9IVE9Xuc2FT_btkaOzZbbUSgYObpBuetM/edit?usp=sharing"",""สกลนคร!J310"")"),0)</f>
        <v>0</v>
      </c>
      <c r="W45" s="185">
        <f t="shared" ca="1" si="11"/>
        <v>0</v>
      </c>
      <c r="X45" s="181">
        <f ca="1">IFERROR(__xludf.DUMMYFUNCTION("IMPORTRANGE(""https://docs.google.com/spreadsheets/d/1QC8psz9w0f9IVE9Xuc2FT_btkaOzZbbUSgYObpBuetM/edit?usp=sharing"",""สกลนคร!J311"")"),0)</f>
        <v>0</v>
      </c>
      <c r="Y45" s="185">
        <f t="shared" ca="1" si="12"/>
        <v>0</v>
      </c>
      <c r="Z45" s="298">
        <f ca="1">IFERROR(__xludf.DUMMYFUNCTION("IMPORTRANGE(""https://docs.google.com/spreadsheets/d/1QC8psz9w0f9IVE9Xuc2FT_btkaOzZbbUSgYObpBuetM/edit?usp=sharing"",""สกลนคร!I312"")"),4)</f>
        <v>4</v>
      </c>
      <c r="AA45" s="181">
        <f ca="1">IFERROR(__xludf.DUMMYFUNCTION("IMPORTRANGE(""https://docs.google.com/spreadsheets/d/1QC8psz9w0f9IVE9Xuc2FT_btkaOzZbbUSgYObpBuetM/edit?usp=sharing"",""สกลนคร!J312"")"),0)</f>
        <v>0</v>
      </c>
      <c r="AB45" s="185">
        <f t="shared" ca="1" si="14"/>
        <v>0</v>
      </c>
    </row>
    <row r="46" spans="1:28" ht="21" customHeight="1" x14ac:dyDescent="0.3">
      <c r="A46" s="78">
        <v>15</v>
      </c>
      <c r="B46" s="79" t="s">
        <v>68</v>
      </c>
      <c r="C46" s="80">
        <f t="shared" ca="1" si="0"/>
        <v>82400</v>
      </c>
      <c r="D46" s="81">
        <f t="shared" ca="1" si="30"/>
        <v>82400</v>
      </c>
      <c r="E46" s="82">
        <f ca="1">IFERROR(__xludf.DUMMYFUNCTION("IMPORTRANGE(""https://docs.google.com/spreadsheets/d/1MeEWN-I1oV_STSDYn1IFDPWt_1FKiwhDph83XaGc0o0/edit?usp=sharing"",""งบพรบ!DT46"")"),0)</f>
        <v>0</v>
      </c>
      <c r="F46" s="82">
        <f ca="1">IFERROR(__xludf.DUMMYFUNCTION("IMPORTRANGE(""https://docs.google.com/spreadsheets/d/1MeEWN-I1oV_STSDYn1IFDPWt_1FKiwhDph83XaGc0o0/edit?usp=sharing"",""งบพรบ!DU46"")"),82400)</f>
        <v>82400</v>
      </c>
      <c r="G46" s="82">
        <f ca="1">IFERROR(__xludf.DUMMYFUNCTION("IMPORTRANGE(""https://docs.google.com/spreadsheets/d/1MeEWN-I1oV_STSDYn1IFDPWt_1FKiwhDph83XaGc0o0/edit?usp=sharing"",""งบพรบ!DV46"")"),0)</f>
        <v>0</v>
      </c>
      <c r="H46" s="82">
        <f ca="1">IFERROR(__xludf.DUMMYFUNCTION("IMPORTRANGE(""https://docs.google.com/spreadsheets/d/1MeEWN-I1oV_STSDYn1IFDPWt_1FKiwhDph83XaGc0o0/edit?usp=sharing"",""งบพรบ!DX46"")"),49120)</f>
        <v>49120</v>
      </c>
      <c r="I46" s="82">
        <f ca="1">IFERROR(__xludf.DUMMYFUNCTION("IMPORTRANGE(""https://docs.google.com/spreadsheets/d/1MeEWN-I1oV_STSDYn1IFDPWt_1FKiwhDph83XaGc0o0/edit?usp=sharing"",""งบพรบ!DY46"")"),0)</f>
        <v>0</v>
      </c>
      <c r="J46" s="82">
        <f t="shared" ca="1" si="3"/>
        <v>27390</v>
      </c>
      <c r="K46" s="83">
        <f t="shared" ca="1" si="4"/>
        <v>33.240291262135919</v>
      </c>
      <c r="L46" s="82">
        <f ca="1">IFERROR(__xludf.DUMMYFUNCTION("IMPORTRANGE(""https://docs.google.com/spreadsheets/d/1MeEWN-I1oV_STSDYn1IFDPWt_1FKiwhDph83XaGc0o0/edit?usp=sharing"",""งบพรบ!DZ46"")"),27390)</f>
        <v>27390</v>
      </c>
      <c r="M46" s="84">
        <f t="shared" ca="1" si="5"/>
        <v>33.240291262135919</v>
      </c>
      <c r="N46" s="84">
        <f t="shared" ca="1" si="6"/>
        <v>55.761400651465799</v>
      </c>
      <c r="O46" s="85">
        <f ca="1">IFERROR(__xludf.DUMMYFUNCTION("IMPORTRANGE(""https://docs.google.com/spreadsheets/d/1MeEWN-I1oV_STSDYn1IFDPWt_1FKiwhDph83XaGc0o0/edit?usp=sharing"",""งบพรบ!EA46"")"),0)</f>
        <v>0</v>
      </c>
      <c r="P46" s="85">
        <f t="shared" ca="1" si="23"/>
        <v>0</v>
      </c>
      <c r="Q46" s="84">
        <f t="shared" ca="1" si="8"/>
        <v>0</v>
      </c>
      <c r="R46" s="86" t="str">
        <f ca="1">IFERROR(__xludf.DUMMYFUNCTION("IMPORTRANGE(""https://docs.google.com/spreadsheets/d/1wPdvRbu02d33MYVlbsCnyTiZpefEBs9NNktAnT1HZvw/edit?usp=sharing"",""สุรินทร์!J308"")"),"")</f>
        <v/>
      </c>
      <c r="S46" s="298">
        <f ca="1">IFERROR(__xludf.DUMMYFUNCTION("IMPORTRANGE(""https://docs.google.com/spreadsheets/d/1wPdvRbu02d33MYVlbsCnyTiZpefEBs9NNktAnT1HZvw/edit?usp=sharing"",""สุรินทร์!I309"")"),20)</f>
        <v>20</v>
      </c>
      <c r="T46" s="181">
        <f ca="1">IFERROR(__xludf.DUMMYFUNCTION("IMPORTRANGE(""https://docs.google.com/spreadsheets/d/1wPdvRbu02d33MYVlbsCnyTiZpefEBs9NNktAnT1HZvw/edit?usp=sharing"",""สุรินทร์!J309"")"),20)</f>
        <v>20</v>
      </c>
      <c r="U46" s="185">
        <f t="shared" ca="1" si="21"/>
        <v>100</v>
      </c>
      <c r="V46" s="181">
        <f ca="1">IFERROR(__xludf.DUMMYFUNCTION("IMPORTRANGE(""https://docs.google.com/spreadsheets/d/1wPdvRbu02d33MYVlbsCnyTiZpefEBs9NNktAnT1HZvw/edit?usp=sharing"",""สุรินทร์!J310"")"),0)</f>
        <v>0</v>
      </c>
      <c r="W46" s="185">
        <f t="shared" ca="1" si="11"/>
        <v>0</v>
      </c>
      <c r="X46" s="181">
        <f ca="1">IFERROR(__xludf.DUMMYFUNCTION("IMPORTRANGE(""https://docs.google.com/spreadsheets/d/1wPdvRbu02d33MYVlbsCnyTiZpefEBs9NNktAnT1HZvw/edit?usp=sharing"",""สุรินทร์!J311"")"),0)</f>
        <v>0</v>
      </c>
      <c r="Y46" s="185">
        <f t="shared" ca="1" si="12"/>
        <v>0</v>
      </c>
      <c r="Z46" s="298">
        <f ca="1">IFERROR(__xludf.DUMMYFUNCTION("IMPORTRANGE(""https://docs.google.com/spreadsheets/d/1wPdvRbu02d33MYVlbsCnyTiZpefEBs9NNktAnT1HZvw/edit?usp=sharing"",""สุรินทร์!I312"")"),4)</f>
        <v>4</v>
      </c>
      <c r="AA46" s="181">
        <f ca="1">IFERROR(__xludf.DUMMYFUNCTION("IMPORTRANGE(""https://docs.google.com/spreadsheets/d/1wPdvRbu02d33MYVlbsCnyTiZpefEBs9NNktAnT1HZvw/edit?usp=sharing"",""สุรินทร์!J312"")"),4)</f>
        <v>4</v>
      </c>
      <c r="AB46" s="185">
        <f t="shared" ca="1" si="14"/>
        <v>20</v>
      </c>
    </row>
    <row r="47" spans="1:28" ht="21" customHeight="1" x14ac:dyDescent="0.3">
      <c r="A47" s="78">
        <v>16</v>
      </c>
      <c r="B47" s="79" t="s">
        <v>69</v>
      </c>
      <c r="C47" s="80">
        <f t="shared" ca="1" si="0"/>
        <v>0</v>
      </c>
      <c r="D47" s="81">
        <f t="shared" ca="1" si="30"/>
        <v>0</v>
      </c>
      <c r="E47" s="82">
        <f ca="1">IFERROR(__xludf.DUMMYFUNCTION("IMPORTRANGE(""https://docs.google.com/spreadsheets/d/1MeEWN-I1oV_STSDYn1IFDPWt_1FKiwhDph83XaGc0o0/edit?usp=sharing"",""งบพรบ!DT47"")"),0)</f>
        <v>0</v>
      </c>
      <c r="F47" s="82">
        <f ca="1">IFERROR(__xludf.DUMMYFUNCTION("IMPORTRANGE(""https://docs.google.com/spreadsheets/d/1MeEWN-I1oV_STSDYn1IFDPWt_1FKiwhDph83XaGc0o0/edit?usp=sharing"",""งบพรบ!DU47"")"),0)</f>
        <v>0</v>
      </c>
      <c r="G47" s="82">
        <f ca="1">IFERROR(__xludf.DUMMYFUNCTION("IMPORTRANGE(""https://docs.google.com/spreadsheets/d/1MeEWN-I1oV_STSDYn1IFDPWt_1FKiwhDph83XaGc0o0/edit?usp=sharing"",""งบพรบ!DV47"")"),0)</f>
        <v>0</v>
      </c>
      <c r="H47" s="82">
        <f ca="1">IFERROR(__xludf.DUMMYFUNCTION("IMPORTRANGE(""https://docs.google.com/spreadsheets/d/1MeEWN-I1oV_STSDYn1IFDPWt_1FKiwhDph83XaGc0o0/edit?usp=sharing"",""งบพรบ!DX47"")"),0)</f>
        <v>0</v>
      </c>
      <c r="I47" s="82">
        <f ca="1">IFERROR(__xludf.DUMMYFUNCTION("IMPORTRANGE(""https://docs.google.com/spreadsheets/d/1MeEWN-I1oV_STSDYn1IFDPWt_1FKiwhDph83XaGc0o0/edit?usp=sharing"",""งบพรบ!DY47"")"),0)</f>
        <v>0</v>
      </c>
      <c r="J47" s="82">
        <f t="shared" ca="1" si="3"/>
        <v>0</v>
      </c>
      <c r="K47" s="83">
        <f t="shared" ca="1" si="4"/>
        <v>0</v>
      </c>
      <c r="L47" s="82">
        <f ca="1">IFERROR(__xludf.DUMMYFUNCTION("IMPORTRANGE(""https://docs.google.com/spreadsheets/d/1MeEWN-I1oV_STSDYn1IFDPWt_1FKiwhDph83XaGc0o0/edit?usp=sharing"",""งบพรบ!DZ47"")"),0)</f>
        <v>0</v>
      </c>
      <c r="M47" s="84">
        <f t="shared" ca="1" si="5"/>
        <v>0</v>
      </c>
      <c r="N47" s="84">
        <f t="shared" ca="1" si="6"/>
        <v>0</v>
      </c>
      <c r="O47" s="85">
        <f ca="1">IFERROR(__xludf.DUMMYFUNCTION("IMPORTRANGE(""https://docs.google.com/spreadsheets/d/1MeEWN-I1oV_STSDYn1IFDPWt_1FKiwhDph83XaGc0o0/edit?usp=sharing"",""งบพรบ!EA47"")"),0)</f>
        <v>0</v>
      </c>
      <c r="P47" s="85">
        <f t="shared" ca="1" si="23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IFERROR(__xludf.DUMMYFUNCTION("IMPORTRANGE(""https://docs.google.com/spreadsheets/d/1GVExpf-Exi_2gmuqTYH28fseTB9MoKPXWcXCbSt_YrM/edit?usp=sharing"",""หนองคาย!J308"")"),0)</f>
        <v>0</v>
      </c>
      <c r="S47" s="298">
        <f ca="1">IFERROR(__xludf.DUMMYFUNCTION("IMPORTRANGE(""https://docs.google.com/spreadsheets/d/1GVExpf-Exi_2gmuqTYH28fseTB9MoKPXWcXCbSt_YrM/edit?usp=sharing"",""หนองคาย!I309"")"),0)</f>
        <v>0</v>
      </c>
      <c r="T47" s="181">
        <f ca="1">IFERROR(__xludf.DUMMYFUNCTION("IMPORTRANGE(""https://docs.google.com/spreadsheets/d/1GVExpf-Exi_2gmuqTYH28fseTB9MoKPXWcXCbSt_YrM/edit?usp=sharing"",""หนองคาย!J309"")"),0)</f>
        <v>0</v>
      </c>
      <c r="U47" s="185">
        <f t="shared" ca="1" si="21"/>
        <v>0</v>
      </c>
      <c r="V47" s="181">
        <f ca="1">IFERROR(__xludf.DUMMYFUNCTION("IMPORTRANGE(""https://docs.google.com/spreadsheets/d/1GVExpf-Exi_2gmuqTYH28fseTB9MoKPXWcXCbSt_YrM/edit?usp=sharing"",""หนองคาย!J310"")"),0)</f>
        <v>0</v>
      </c>
      <c r="W47" s="185">
        <f t="shared" ca="1" si="11"/>
        <v>0</v>
      </c>
      <c r="X47" s="181">
        <f ca="1">IFERROR(__xludf.DUMMYFUNCTION("IMPORTRANGE(""https://docs.google.com/spreadsheets/d/1GVExpf-Exi_2gmuqTYH28fseTB9MoKPXWcXCbSt_YrM/edit?usp=sharing"",""หนองคาย!J311"")"),0)</f>
        <v>0</v>
      </c>
      <c r="Y47" s="185">
        <f t="shared" ca="1" si="12"/>
        <v>0</v>
      </c>
      <c r="Z47" s="298">
        <f ca="1">IFERROR(__xludf.DUMMYFUNCTION("IMPORTRANGE(""https://docs.google.com/spreadsheets/d/1GVExpf-Exi_2gmuqTYH28fseTB9MoKPXWcXCbSt_YrM/edit?usp=sharing"",""หนองคาย!I312"")"),0)</f>
        <v>0</v>
      </c>
      <c r="AA47" s="181">
        <f ca="1">IFERROR(__xludf.DUMMYFUNCTION("IMPORTRANGE(""https://docs.google.com/spreadsheets/d/1GVExpf-Exi_2gmuqTYH28fseTB9MoKPXWcXCbSt_YrM/edit?usp=sharing"",""หนองคาย!J312"")"),0)</f>
        <v>0</v>
      </c>
      <c r="AB47" s="185">
        <f t="shared" ca="1" si="14"/>
        <v>0</v>
      </c>
    </row>
    <row r="48" spans="1:28" ht="21" customHeight="1" x14ac:dyDescent="0.3">
      <c r="A48" s="78">
        <v>17</v>
      </c>
      <c r="B48" s="79" t="s">
        <v>70</v>
      </c>
      <c r="C48" s="80">
        <f t="shared" ca="1" si="0"/>
        <v>0</v>
      </c>
      <c r="D48" s="81">
        <f t="shared" ca="1" si="30"/>
        <v>0</v>
      </c>
      <c r="E48" s="82">
        <f ca="1">IFERROR(__xludf.DUMMYFUNCTION("IMPORTRANGE(""https://docs.google.com/spreadsheets/d/1MeEWN-I1oV_STSDYn1IFDPWt_1FKiwhDph83XaGc0o0/edit?usp=sharing"",""งบพรบ!DT48"")"),0)</f>
        <v>0</v>
      </c>
      <c r="F48" s="82">
        <f ca="1">IFERROR(__xludf.DUMMYFUNCTION("IMPORTRANGE(""https://docs.google.com/spreadsheets/d/1MeEWN-I1oV_STSDYn1IFDPWt_1FKiwhDph83XaGc0o0/edit?usp=sharing"",""งบพรบ!DU48"")"),0)</f>
        <v>0</v>
      </c>
      <c r="G48" s="82">
        <f ca="1">IFERROR(__xludf.DUMMYFUNCTION("IMPORTRANGE(""https://docs.google.com/spreadsheets/d/1MeEWN-I1oV_STSDYn1IFDPWt_1FKiwhDph83XaGc0o0/edit?usp=sharing"",""งบพรบ!DV48"")"),0)</f>
        <v>0</v>
      </c>
      <c r="H48" s="82">
        <f ca="1">IFERROR(__xludf.DUMMYFUNCTION("IMPORTRANGE(""https://docs.google.com/spreadsheets/d/1MeEWN-I1oV_STSDYn1IFDPWt_1FKiwhDph83XaGc0o0/edit?usp=sharing"",""งบพรบ!DX48"")"),0)</f>
        <v>0</v>
      </c>
      <c r="I48" s="82">
        <f ca="1">IFERROR(__xludf.DUMMYFUNCTION("IMPORTRANGE(""https://docs.google.com/spreadsheets/d/1MeEWN-I1oV_STSDYn1IFDPWt_1FKiwhDph83XaGc0o0/edit?usp=sharing"",""งบพรบ!DY48"")"),0)</f>
        <v>0</v>
      </c>
      <c r="J48" s="82">
        <f t="shared" ca="1" si="3"/>
        <v>0</v>
      </c>
      <c r="K48" s="83">
        <f t="shared" ca="1" si="4"/>
        <v>0</v>
      </c>
      <c r="L48" s="82">
        <f ca="1">IFERROR(__xludf.DUMMYFUNCTION("IMPORTRANGE(""https://docs.google.com/spreadsheets/d/1MeEWN-I1oV_STSDYn1IFDPWt_1FKiwhDph83XaGc0o0/edit?usp=sharing"",""งบพรบ!DZ48"")"),0)</f>
        <v>0</v>
      </c>
      <c r="M48" s="84">
        <f t="shared" ca="1" si="5"/>
        <v>0</v>
      </c>
      <c r="N48" s="84">
        <f t="shared" ca="1" si="6"/>
        <v>0</v>
      </c>
      <c r="O48" s="85">
        <f ca="1">IFERROR(__xludf.DUMMYFUNCTION("IMPORTRANGE(""https://docs.google.com/spreadsheets/d/1MeEWN-I1oV_STSDYn1IFDPWt_1FKiwhDph83XaGc0o0/edit?usp=sharing"",""งบพรบ!EA48"")"),0)</f>
        <v>0</v>
      </c>
      <c r="P48" s="85">
        <f t="shared" ca="1" si="23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IFERROR(__xludf.DUMMYFUNCTION("IMPORTRANGE(""https://docs.google.com/spreadsheets/d/16UeMz0UgOB5BZcoxP75eYGcLFtGYRn9GoesD4OX9m5U/edit?usp=sharing"",""หนองบัวลำภู!J308"")"),0)</f>
        <v>0</v>
      </c>
      <c r="S48" s="298">
        <f ca="1">IFERROR(__xludf.DUMMYFUNCTION("IMPORTRANGE(""https://docs.google.com/spreadsheets/d/16UeMz0UgOB5BZcoxP75eYGcLFtGYRn9GoesD4OX9m5U/edit?usp=sharing"",""หนองบัวลำภู!I309"")"),0)</f>
        <v>0</v>
      </c>
      <c r="T48" s="181">
        <f ca="1">IFERROR(__xludf.DUMMYFUNCTION("IMPORTRANGE(""https://docs.google.com/spreadsheets/d/16UeMz0UgOB5BZcoxP75eYGcLFtGYRn9GoesD4OX9m5U/edit?usp=sharing"",""หนองบัวลำภู!J309"")"),0)</f>
        <v>0</v>
      </c>
      <c r="U48" s="185">
        <f t="shared" ca="1" si="21"/>
        <v>0</v>
      </c>
      <c r="V48" s="181">
        <f ca="1">IFERROR(__xludf.DUMMYFUNCTION("IMPORTRANGE(""https://docs.google.com/spreadsheets/d/16UeMz0UgOB5BZcoxP75eYGcLFtGYRn9GoesD4OX9m5U/edit?usp=sharing"",""หนองบัวลำภู!J310"")"),0)</f>
        <v>0</v>
      </c>
      <c r="W48" s="185">
        <f t="shared" ca="1" si="11"/>
        <v>0</v>
      </c>
      <c r="X48" s="181">
        <f ca="1">IFERROR(__xludf.DUMMYFUNCTION("IMPORTRANGE(""https://docs.google.com/spreadsheets/d/16UeMz0UgOB5BZcoxP75eYGcLFtGYRn9GoesD4OX9m5U/edit?usp=sharing"",""หนองบัวลำภู!J311"")"),0)</f>
        <v>0</v>
      </c>
      <c r="Y48" s="185">
        <f t="shared" ca="1" si="12"/>
        <v>0</v>
      </c>
      <c r="Z48" s="298">
        <f ca="1">IFERROR(__xludf.DUMMYFUNCTION("IMPORTRANGE(""https://docs.google.com/spreadsheets/d/16UeMz0UgOB5BZcoxP75eYGcLFtGYRn9GoesD4OX9m5U/edit?usp=sharing"",""หนองบัวลำภู!I312"")"),0)</f>
        <v>0</v>
      </c>
      <c r="AA48" s="181">
        <f ca="1">IFERROR(__xludf.DUMMYFUNCTION("IMPORTRANGE(""https://docs.google.com/spreadsheets/d/16UeMz0UgOB5BZcoxP75eYGcLFtGYRn9GoesD4OX9m5U/edit?usp=sharing"",""หนองบัวลำภู!J312"")"),0)</f>
        <v>0</v>
      </c>
      <c r="AB48" s="185">
        <f t="shared" ca="1" si="14"/>
        <v>0</v>
      </c>
    </row>
    <row r="49" spans="1:28" ht="21" customHeight="1" x14ac:dyDescent="0.3">
      <c r="A49" s="78">
        <v>18</v>
      </c>
      <c r="B49" s="79" t="s">
        <v>71</v>
      </c>
      <c r="C49" s="80">
        <f t="shared" ca="1" si="0"/>
        <v>0</v>
      </c>
      <c r="D49" s="81">
        <f t="shared" ca="1" si="30"/>
        <v>0</v>
      </c>
      <c r="E49" s="82">
        <f ca="1">IFERROR(__xludf.DUMMYFUNCTION("IMPORTRANGE(""https://docs.google.com/spreadsheets/d/1MeEWN-I1oV_STSDYn1IFDPWt_1FKiwhDph83XaGc0o0/edit?usp=sharing"",""งบพรบ!DT49"")"),0)</f>
        <v>0</v>
      </c>
      <c r="F49" s="82">
        <f ca="1">IFERROR(__xludf.DUMMYFUNCTION("IMPORTRANGE(""https://docs.google.com/spreadsheets/d/1MeEWN-I1oV_STSDYn1IFDPWt_1FKiwhDph83XaGc0o0/edit?usp=sharing"",""งบพรบ!DU49"")"),0)</f>
        <v>0</v>
      </c>
      <c r="G49" s="82">
        <f ca="1">IFERROR(__xludf.DUMMYFUNCTION("IMPORTRANGE(""https://docs.google.com/spreadsheets/d/1MeEWN-I1oV_STSDYn1IFDPWt_1FKiwhDph83XaGc0o0/edit?usp=sharing"",""งบพรบ!DV49"")"),0)</f>
        <v>0</v>
      </c>
      <c r="H49" s="82">
        <f ca="1">IFERROR(__xludf.DUMMYFUNCTION("IMPORTRANGE(""https://docs.google.com/spreadsheets/d/1MeEWN-I1oV_STSDYn1IFDPWt_1FKiwhDph83XaGc0o0/edit?usp=sharing"",""งบพรบ!DX49"")"),0)</f>
        <v>0</v>
      </c>
      <c r="I49" s="82">
        <f ca="1">IFERROR(__xludf.DUMMYFUNCTION("IMPORTRANGE(""https://docs.google.com/spreadsheets/d/1MeEWN-I1oV_STSDYn1IFDPWt_1FKiwhDph83XaGc0o0/edit?usp=sharing"",""งบพรบ!DY49"")"),0)</f>
        <v>0</v>
      </c>
      <c r="J49" s="82">
        <f t="shared" ca="1" si="3"/>
        <v>0</v>
      </c>
      <c r="K49" s="83">
        <f t="shared" ca="1" si="4"/>
        <v>0</v>
      </c>
      <c r="L49" s="82">
        <f ca="1">IFERROR(__xludf.DUMMYFUNCTION("IMPORTRANGE(""https://docs.google.com/spreadsheets/d/1MeEWN-I1oV_STSDYn1IFDPWt_1FKiwhDph83XaGc0o0/edit?usp=sharing"",""งบพรบ!DZ49"")"),0)</f>
        <v>0</v>
      </c>
      <c r="M49" s="84">
        <f t="shared" ca="1" si="5"/>
        <v>0</v>
      </c>
      <c r="N49" s="84">
        <f t="shared" ca="1" si="6"/>
        <v>0</v>
      </c>
      <c r="O49" s="85">
        <f ca="1">IFERROR(__xludf.DUMMYFUNCTION("IMPORTRANGE(""https://docs.google.com/spreadsheets/d/1MeEWN-I1oV_STSDYn1IFDPWt_1FKiwhDph83XaGc0o0/edit?usp=sharing"",""งบพรบ!EA49"")"),0)</f>
        <v>0</v>
      </c>
      <c r="P49" s="85">
        <f t="shared" ca="1" si="23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IFERROR(__xludf.DUMMYFUNCTION("IMPORTRANGE(""https://docs.google.com/spreadsheets/d/1uUP8Zo1-qaJLuIkRU0qlwLSE3DHkbdrrj2JGJiWBQZE/edit?usp=sharing"",""อำนาจเจริญ!J308"")"),0)</f>
        <v>0</v>
      </c>
      <c r="S49" s="298">
        <f ca="1">IFERROR(__xludf.DUMMYFUNCTION("IMPORTRANGE(""https://docs.google.com/spreadsheets/d/1uUP8Zo1-qaJLuIkRU0qlwLSE3DHkbdrrj2JGJiWBQZE/edit?usp=sharing"",""อำนาจเจริญ!I309"")"),0)</f>
        <v>0</v>
      </c>
      <c r="T49" s="181">
        <f ca="1">IFERROR(__xludf.DUMMYFUNCTION("IMPORTRANGE(""https://docs.google.com/spreadsheets/d/1uUP8Zo1-qaJLuIkRU0qlwLSE3DHkbdrrj2JGJiWBQZE/edit?usp=sharing"",""อำนาจเจริญ!J309"")"),0)</f>
        <v>0</v>
      </c>
      <c r="U49" s="185">
        <f t="shared" ca="1" si="21"/>
        <v>0</v>
      </c>
      <c r="V49" s="181">
        <f ca="1">IFERROR(__xludf.DUMMYFUNCTION("IMPORTRANGE(""https://docs.google.com/spreadsheets/d/1uUP8Zo1-qaJLuIkRU0qlwLSE3DHkbdrrj2JGJiWBQZE/edit?usp=sharing"",""อำนาจเจริญ!J310"")"),0)</f>
        <v>0</v>
      </c>
      <c r="W49" s="185">
        <f t="shared" ca="1" si="11"/>
        <v>0</v>
      </c>
      <c r="X49" s="181">
        <f ca="1">IFERROR(__xludf.DUMMYFUNCTION("IMPORTRANGE(""https://docs.google.com/spreadsheets/d/1uUP8Zo1-qaJLuIkRU0qlwLSE3DHkbdrrj2JGJiWBQZE/edit?usp=sharing"",""อำนาจเจริญ!J311"")"),0)</f>
        <v>0</v>
      </c>
      <c r="Y49" s="185">
        <f t="shared" ca="1" si="12"/>
        <v>0</v>
      </c>
      <c r="Z49" s="298">
        <f ca="1">IFERROR(__xludf.DUMMYFUNCTION("IMPORTRANGE(""https://docs.google.com/spreadsheets/d/1uUP8Zo1-qaJLuIkRU0qlwLSE3DHkbdrrj2JGJiWBQZE/edit?usp=sharing"",""อำนาจเจริญ!I312"")"),0)</f>
        <v>0</v>
      </c>
      <c r="AA49" s="181">
        <f ca="1">IFERROR(__xludf.DUMMYFUNCTION("IMPORTRANGE(""https://docs.google.com/spreadsheets/d/1uUP8Zo1-qaJLuIkRU0qlwLSE3DHkbdrrj2JGJiWBQZE/edit?usp=sharing"",""อำนาจเจริญ!J312"")"),0)</f>
        <v>0</v>
      </c>
      <c r="AB49" s="185">
        <f t="shared" ca="1" si="14"/>
        <v>0</v>
      </c>
    </row>
    <row r="50" spans="1:28" ht="21" customHeight="1" x14ac:dyDescent="0.3">
      <c r="A50" s="78">
        <v>19</v>
      </c>
      <c r="B50" s="79" t="s">
        <v>72</v>
      </c>
      <c r="C50" s="80">
        <f t="shared" ca="1" si="0"/>
        <v>82400</v>
      </c>
      <c r="D50" s="81">
        <f t="shared" ca="1" si="30"/>
        <v>82400</v>
      </c>
      <c r="E50" s="82">
        <f ca="1">IFERROR(__xludf.DUMMYFUNCTION("IMPORTRANGE(""https://docs.google.com/spreadsheets/d/1MeEWN-I1oV_STSDYn1IFDPWt_1FKiwhDph83XaGc0o0/edit?usp=sharing"",""งบพรบ!DT50"")"),0)</f>
        <v>0</v>
      </c>
      <c r="F50" s="82">
        <f ca="1">IFERROR(__xludf.DUMMYFUNCTION("IMPORTRANGE(""https://docs.google.com/spreadsheets/d/1MeEWN-I1oV_STSDYn1IFDPWt_1FKiwhDph83XaGc0o0/edit?usp=sharing"",""งบพรบ!DU50"")"),82400)</f>
        <v>82400</v>
      </c>
      <c r="G50" s="82">
        <f ca="1">IFERROR(__xludf.DUMMYFUNCTION("IMPORTRANGE(""https://docs.google.com/spreadsheets/d/1MeEWN-I1oV_STSDYn1IFDPWt_1FKiwhDph83XaGc0o0/edit?usp=sharing"",""งบพรบ!DV50"")"),0)</f>
        <v>0</v>
      </c>
      <c r="H50" s="82">
        <f ca="1">IFERROR(__xludf.DUMMYFUNCTION("IMPORTRANGE(""https://docs.google.com/spreadsheets/d/1MeEWN-I1oV_STSDYn1IFDPWt_1FKiwhDph83XaGc0o0/edit?usp=sharing"",""งบพรบ!DX50"")"),49120)</f>
        <v>49120</v>
      </c>
      <c r="I50" s="82">
        <f ca="1">IFERROR(__xludf.DUMMYFUNCTION("IMPORTRANGE(""https://docs.google.com/spreadsheets/d/1MeEWN-I1oV_STSDYn1IFDPWt_1FKiwhDph83XaGc0o0/edit?usp=sharing"",""งบพรบ!DY50"")"),0)</f>
        <v>0</v>
      </c>
      <c r="J50" s="82">
        <f t="shared" ca="1" si="3"/>
        <v>47830</v>
      </c>
      <c r="K50" s="83">
        <f t="shared" ca="1" si="4"/>
        <v>58.046116504854368</v>
      </c>
      <c r="L50" s="82">
        <f ca="1">IFERROR(__xludf.DUMMYFUNCTION("IMPORTRANGE(""https://docs.google.com/spreadsheets/d/1MeEWN-I1oV_STSDYn1IFDPWt_1FKiwhDph83XaGc0o0/edit?usp=sharing"",""งบพรบ!DZ50"")"),47830)</f>
        <v>47830</v>
      </c>
      <c r="M50" s="84">
        <f t="shared" ca="1" si="5"/>
        <v>58.046116504854368</v>
      </c>
      <c r="N50" s="84">
        <f t="shared" ca="1" si="6"/>
        <v>97.373778501628664</v>
      </c>
      <c r="O50" s="85">
        <f ca="1">IFERROR(__xludf.DUMMYFUNCTION("IMPORTRANGE(""https://docs.google.com/spreadsheets/d/1MeEWN-I1oV_STSDYn1IFDPWt_1FKiwhDph83XaGc0o0/edit?usp=sharing"",""งบพรบ!EA50"")"),0)</f>
        <v>0</v>
      </c>
      <c r="P50" s="85">
        <f t="shared" ca="1" si="23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IFERROR(__xludf.DUMMYFUNCTION("IMPORTRANGE(""https://docs.google.com/spreadsheets/d/1hb_taSOHanzRjqfzWPiFo8yiT83VV1L7vvUCLhOiHKc/edit?usp=sharing"",""อุดรธานี!J308"")"),1)</f>
        <v>1</v>
      </c>
      <c r="S50" s="298">
        <f ca="1">IFERROR(__xludf.DUMMYFUNCTION("IMPORTRANGE(""https://docs.google.com/spreadsheets/d/1hb_taSOHanzRjqfzWPiFo8yiT83VV1L7vvUCLhOiHKc/edit?usp=sharing"",""อุดรธานี!I309"")"),20)</f>
        <v>20</v>
      </c>
      <c r="T50" s="181">
        <f ca="1">IFERROR(__xludf.DUMMYFUNCTION("IMPORTRANGE(""https://docs.google.com/spreadsheets/d/1hb_taSOHanzRjqfzWPiFo8yiT83VV1L7vvUCLhOiHKc/edit?usp=sharing"",""อุดรธานี!J309"")"),20)</f>
        <v>20</v>
      </c>
      <c r="U50" s="185">
        <f t="shared" ca="1" si="21"/>
        <v>100</v>
      </c>
      <c r="V50" s="181">
        <f ca="1">IFERROR(__xludf.DUMMYFUNCTION("IMPORTRANGE(""https://docs.google.com/spreadsheets/d/1hb_taSOHanzRjqfzWPiFo8yiT83VV1L7vvUCLhOiHKc/edit?usp=sharing"",""อุดรธานี!J310"")"),20)</f>
        <v>20</v>
      </c>
      <c r="W50" s="185">
        <f t="shared" ca="1" si="11"/>
        <v>100</v>
      </c>
      <c r="X50" s="181">
        <f ca="1">IFERROR(__xludf.DUMMYFUNCTION("IMPORTRANGE(""https://docs.google.com/spreadsheets/d/1hb_taSOHanzRjqfzWPiFo8yiT83VV1L7vvUCLhOiHKc/edit?usp=sharing"",""อุดรธานี!J311"")"),0)</f>
        <v>0</v>
      </c>
      <c r="Y50" s="185">
        <f t="shared" ca="1" si="12"/>
        <v>0</v>
      </c>
      <c r="Z50" s="298">
        <f ca="1">IFERROR(__xludf.DUMMYFUNCTION("IMPORTRANGE(""https://docs.google.com/spreadsheets/d/1hb_taSOHanzRjqfzWPiFo8yiT83VV1L7vvUCLhOiHKc/edit?usp=sharing"",""อุดรธานี!I312"")"),4)</f>
        <v>4</v>
      </c>
      <c r="AA50" s="181">
        <f ca="1">IFERROR(__xludf.DUMMYFUNCTION("IMPORTRANGE(""https://docs.google.com/spreadsheets/d/1hb_taSOHanzRjqfzWPiFo8yiT83VV1L7vvUCLhOiHKc/edit?usp=sharing"",""อุดรธานี!J312"")"),0)</f>
        <v>0</v>
      </c>
      <c r="AB50" s="185">
        <f t="shared" ca="1" si="14"/>
        <v>0</v>
      </c>
    </row>
    <row r="51" spans="1:28" ht="21" customHeight="1" x14ac:dyDescent="0.3">
      <c r="A51" s="89">
        <v>20</v>
      </c>
      <c r="B51" s="90" t="s">
        <v>73</v>
      </c>
      <c r="C51" s="91">
        <f t="shared" ca="1" si="0"/>
        <v>368400</v>
      </c>
      <c r="D51" s="92">
        <f t="shared" ca="1" si="30"/>
        <v>368400</v>
      </c>
      <c r="E51" s="93">
        <f ca="1">IFERROR(__xludf.DUMMYFUNCTION("IMPORTRANGE(""https://docs.google.com/spreadsheets/d/1MeEWN-I1oV_STSDYn1IFDPWt_1FKiwhDph83XaGc0o0/edit?usp=sharing"",""งบพรบ!DT51"")"),286000)</f>
        <v>286000</v>
      </c>
      <c r="F51" s="93">
        <f ca="1">IFERROR(__xludf.DUMMYFUNCTION("IMPORTRANGE(""https://docs.google.com/spreadsheets/d/1MeEWN-I1oV_STSDYn1IFDPWt_1FKiwhDph83XaGc0o0/edit?usp=sharing"",""งบพรบ!DU51"")"),82400)</f>
        <v>82400</v>
      </c>
      <c r="G51" s="93">
        <f ca="1">IFERROR(__xludf.DUMMYFUNCTION("IMPORTRANGE(""https://docs.google.com/spreadsheets/d/1MeEWN-I1oV_STSDYn1IFDPWt_1FKiwhDph83XaGc0o0/edit?usp=sharing"",""งบพรบ!DV51"")"),0)</f>
        <v>0</v>
      </c>
      <c r="H51" s="93">
        <f ca="1">IFERROR(__xludf.DUMMYFUNCTION("IMPORTRANGE(""https://docs.google.com/spreadsheets/d/1MeEWN-I1oV_STSDYn1IFDPWt_1FKiwhDph83XaGc0o0/edit?usp=sharing"",""งบพรบ!DX51"")"),257120)</f>
        <v>257120</v>
      </c>
      <c r="I51" s="93">
        <f ca="1">IFERROR(__xludf.DUMMYFUNCTION("IMPORTRANGE(""https://docs.google.com/spreadsheets/d/1MeEWN-I1oV_STSDYn1IFDPWt_1FKiwhDph83XaGc0o0/edit?usp=sharing"",""งบพรบ!DY51"")"),0)</f>
        <v>0</v>
      </c>
      <c r="J51" s="93">
        <f t="shared" ca="1" si="3"/>
        <v>141495.1</v>
      </c>
      <c r="K51" s="94">
        <f t="shared" ca="1" si="4"/>
        <v>38.40800760043431</v>
      </c>
      <c r="L51" s="93">
        <f ca="1">IFERROR(__xludf.DUMMYFUNCTION("IMPORTRANGE(""https://docs.google.com/spreadsheets/d/1MeEWN-I1oV_STSDYn1IFDPWt_1FKiwhDph83XaGc0o0/edit?usp=sharing"",""งบพรบ!DZ51"")"),141495.1)</f>
        <v>141495.1</v>
      </c>
      <c r="M51" s="95">
        <f t="shared" ca="1" si="5"/>
        <v>38.40800760043431</v>
      </c>
      <c r="N51" s="95">
        <f t="shared" ca="1" si="6"/>
        <v>55.030763845675175</v>
      </c>
      <c r="O51" s="96">
        <f ca="1">IFERROR(__xludf.DUMMYFUNCTION("IMPORTRANGE(""https://docs.google.com/spreadsheets/d/1MeEWN-I1oV_STSDYn1IFDPWt_1FKiwhDph83XaGc0o0/edit?usp=sharing"",""งบพรบ!EA51"")"),0)</f>
        <v>0</v>
      </c>
      <c r="P51" s="96">
        <f t="shared" ca="1" si="23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IFERROR(__xludf.DUMMYFUNCTION("IMPORTRANGE(""https://docs.google.com/spreadsheets/d/17IOkEwkUd63EGNfyNDnM5de9YlZ7rwzTiW6-dokVjKI/edit?usp=sharing"",""อุบลราชธานี!J308"")"),1)</f>
        <v>1</v>
      </c>
      <c r="S51" s="299">
        <f ca="1">IFERROR(__xludf.DUMMYFUNCTION("IMPORTRANGE(""https://docs.google.com/spreadsheets/d/17IOkEwkUd63EGNfyNDnM5de9YlZ7rwzTiW6-dokVjKI/edit?usp=sharing"",""อุบลราชธานี!I309"")"),20)</f>
        <v>20</v>
      </c>
      <c r="T51" s="196">
        <f ca="1">IFERROR(__xludf.DUMMYFUNCTION("IMPORTRANGE(""https://docs.google.com/spreadsheets/d/17IOkEwkUd63EGNfyNDnM5de9YlZ7rwzTiW6-dokVjKI/edit?usp=sharing"",""อุบลราชธานี!J309"")"),20)</f>
        <v>20</v>
      </c>
      <c r="U51" s="197">
        <f t="shared" ca="1" si="21"/>
        <v>100</v>
      </c>
      <c r="V51" s="196">
        <f ca="1">IFERROR(__xludf.DUMMYFUNCTION("IMPORTRANGE(""https://docs.google.com/spreadsheets/d/17IOkEwkUd63EGNfyNDnM5de9YlZ7rwzTiW6-dokVjKI/edit?usp=sharing"",""อุบลราชธานี!J310"")"),0)</f>
        <v>0</v>
      </c>
      <c r="W51" s="197">
        <f t="shared" ca="1" si="11"/>
        <v>0</v>
      </c>
      <c r="X51" s="196">
        <f ca="1">IFERROR(__xludf.DUMMYFUNCTION("IMPORTRANGE(""https://docs.google.com/spreadsheets/d/17IOkEwkUd63EGNfyNDnM5de9YlZ7rwzTiW6-dokVjKI/edit?usp=sharing"",""อุบลราชธานี!J311"")"),0)</f>
        <v>0</v>
      </c>
      <c r="Y51" s="197">
        <f t="shared" ca="1" si="12"/>
        <v>0</v>
      </c>
      <c r="Z51" s="299">
        <f ca="1">IFERROR(__xludf.DUMMYFUNCTION("IMPORTRANGE(""https://docs.google.com/spreadsheets/d/17IOkEwkUd63EGNfyNDnM5de9YlZ7rwzTiW6-dokVjKI/edit?usp=sharing"",""อุบลราชธานี!I312"")"),4)</f>
        <v>4</v>
      </c>
      <c r="AA51" s="196">
        <f ca="1">IFERROR(__xludf.DUMMYFUNCTION("IMPORTRANGE(""https://docs.google.com/spreadsheets/d/17IOkEwkUd63EGNfyNDnM5de9YlZ7rwzTiW6-dokVjKI/edit?usp=sharing"",""อุบลราชธานี!J312"")"),0)</f>
        <v>0</v>
      </c>
      <c r="AB51" s="197">
        <f t="shared" ca="1" si="14"/>
        <v>0</v>
      </c>
    </row>
    <row r="52" spans="1:28" ht="21" customHeight="1" x14ac:dyDescent="0.3">
      <c r="A52" s="380" t="s">
        <v>74</v>
      </c>
      <c r="B52" s="379"/>
      <c r="C52" s="99">
        <f t="shared" ca="1" si="0"/>
        <v>2220000</v>
      </c>
      <c r="D52" s="62">
        <f t="shared" ref="D52:I52" ca="1" si="31">SUM(D53:D73)</f>
        <v>2220000</v>
      </c>
      <c r="E52" s="62">
        <f t="shared" ca="1" si="31"/>
        <v>1287000</v>
      </c>
      <c r="F52" s="62">
        <f t="shared" ca="1" si="31"/>
        <v>933000</v>
      </c>
      <c r="G52" s="62">
        <f t="shared" ca="1" si="31"/>
        <v>0</v>
      </c>
      <c r="H52" s="62">
        <f t="shared" ca="1" si="31"/>
        <v>1491600</v>
      </c>
      <c r="I52" s="62">
        <f t="shared" ca="1" si="31"/>
        <v>0</v>
      </c>
      <c r="J52" s="62">
        <f t="shared" ca="1" si="3"/>
        <v>739791.38</v>
      </c>
      <c r="K52" s="100">
        <f t="shared" ca="1" si="4"/>
        <v>33.323936036036038</v>
      </c>
      <c r="L52" s="62">
        <f ca="1">SUM(L53:L73)</f>
        <v>739791.38</v>
      </c>
      <c r="M52" s="101">
        <f t="shared" ca="1" si="5"/>
        <v>33.323936036036038</v>
      </c>
      <c r="N52" s="101">
        <f t="shared" ca="1" si="6"/>
        <v>49.597169482434971</v>
      </c>
      <c r="O52" s="102">
        <f ca="1">SUM(O53:O73)</f>
        <v>0</v>
      </c>
      <c r="P52" s="102">
        <f t="shared" ca="1" si="23"/>
        <v>0</v>
      </c>
      <c r="Q52" s="101">
        <f t="shared" ca="1" si="8"/>
        <v>0</v>
      </c>
      <c r="R52" s="62">
        <f t="shared" ref="R52:T52" ca="1" si="32">SUM(R53:R73)</f>
        <v>8</v>
      </c>
      <c r="S52" s="295">
        <f t="shared" ca="1" si="32"/>
        <v>225</v>
      </c>
      <c r="T52" s="158">
        <f t="shared" ca="1" si="32"/>
        <v>165</v>
      </c>
      <c r="U52" s="160">
        <f t="shared" ca="1" si="21"/>
        <v>73.333333333333329</v>
      </c>
      <c r="V52" s="158">
        <f ca="1">SUM(V53:V73)</f>
        <v>55</v>
      </c>
      <c r="W52" s="160">
        <f t="shared" ca="1" si="11"/>
        <v>24.444444444444443</v>
      </c>
      <c r="X52" s="158">
        <f ca="1">SUM(X53:X73)</f>
        <v>0</v>
      </c>
      <c r="Y52" s="160">
        <f t="shared" ca="1" si="12"/>
        <v>0</v>
      </c>
      <c r="Z52" s="295">
        <f t="shared" ref="Z52:AA52" ca="1" si="33">SUM(Z53:Z73)</f>
        <v>45</v>
      </c>
      <c r="AA52" s="158">
        <f t="shared" ca="1" si="33"/>
        <v>0</v>
      </c>
      <c r="AB52" s="160">
        <f t="shared" ca="1" si="14"/>
        <v>0</v>
      </c>
    </row>
    <row r="53" spans="1:28" ht="21" customHeight="1" x14ac:dyDescent="0.3">
      <c r="A53" s="68">
        <v>1</v>
      </c>
      <c r="B53" s="69" t="s">
        <v>75</v>
      </c>
      <c r="C53" s="103">
        <f t="shared" ca="1" si="0"/>
        <v>368400</v>
      </c>
      <c r="D53" s="71">
        <f t="shared" ref="D53:D73" ca="1" si="34">+E53+F53</f>
        <v>368400</v>
      </c>
      <c r="E53" s="72">
        <f ca="1">IFERROR(__xludf.DUMMYFUNCTION("IMPORTRANGE(""https://docs.google.com/spreadsheets/d/1MeEWN-I1oV_STSDYn1IFDPWt_1FKiwhDph83XaGc0o0/edit?usp=sharing"",""งบพรบ!DT53"")"),286000)</f>
        <v>286000</v>
      </c>
      <c r="F53" s="72">
        <f ca="1">IFERROR(__xludf.DUMMYFUNCTION("IMPORTRANGE(""https://docs.google.com/spreadsheets/d/1MeEWN-I1oV_STSDYn1IFDPWt_1FKiwhDph83XaGc0o0/edit?usp=sharing"",""งบพรบ!DU53"")"),82400)</f>
        <v>82400</v>
      </c>
      <c r="G53" s="73">
        <f ca="1">IFERROR(__xludf.DUMMYFUNCTION("IMPORTRANGE(""https://docs.google.com/spreadsheets/d/1MeEWN-I1oV_STSDYn1IFDPWt_1FKiwhDph83XaGc0o0/edit?usp=sharing"",""งบพรบ!DV53"")"),0)</f>
        <v>0</v>
      </c>
      <c r="H53" s="73">
        <f ca="1">IFERROR(__xludf.DUMMYFUNCTION("IMPORTRANGE(""https://docs.google.com/spreadsheets/d/1MeEWN-I1oV_STSDYn1IFDPWt_1FKiwhDph83XaGc0o0/edit?usp=sharing"",""งบพรบ!DX53"")"),257120)</f>
        <v>257120</v>
      </c>
      <c r="I53" s="73">
        <f ca="1">IFERROR(__xludf.DUMMYFUNCTION("IMPORTRANGE(""https://docs.google.com/spreadsheets/d/1MeEWN-I1oV_STSDYn1IFDPWt_1FKiwhDph83XaGc0o0/edit?usp=sharing"",""งบพรบ!DY53"")"),0)</f>
        <v>0</v>
      </c>
      <c r="J53" s="73">
        <f t="shared" ca="1" si="3"/>
        <v>101742</v>
      </c>
      <c r="K53" s="74">
        <f t="shared" ca="1" si="4"/>
        <v>27.617263843648207</v>
      </c>
      <c r="L53" s="73">
        <f ca="1">IFERROR(__xludf.DUMMYFUNCTION("IMPORTRANGE(""https://docs.google.com/spreadsheets/d/1MeEWN-I1oV_STSDYn1IFDPWt_1FKiwhDph83XaGc0o0/edit?usp=sharing"",""งบพรบ!DZ53"")"),101742)</f>
        <v>101742</v>
      </c>
      <c r="M53" s="75">
        <f t="shared" ca="1" si="5"/>
        <v>27.617263843648207</v>
      </c>
      <c r="N53" s="75">
        <f t="shared" ca="1" si="6"/>
        <v>39.569850653391413</v>
      </c>
      <c r="O53" s="76">
        <f ca="1">IFERROR(__xludf.DUMMYFUNCTION("IMPORTRANGE(""https://docs.google.com/spreadsheets/d/1MeEWN-I1oV_STSDYn1IFDPWt_1FKiwhDph83XaGc0o0/edit?usp=sharing"",""งบพรบ!EA53"")"),0)</f>
        <v>0</v>
      </c>
      <c r="P53" s="76">
        <f t="shared" ca="1" si="23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IFERROR(__xludf.DUMMYFUNCTION("IMPORTRANGE(""https://docs.google.com/spreadsheets/d/1hKO5uv94SSRZWOvrh72HRcpyoEQF9TsE_Cvxl77XNU4/edit?usp=sharing"",""กาญจนบุรี!J308"")"),1)</f>
        <v>1</v>
      </c>
      <c r="S53" s="298">
        <f ca="1">IFERROR(__xludf.DUMMYFUNCTION("IMPORTRANGE(""https://docs.google.com/spreadsheets/d/1hKO5uv94SSRZWOvrh72HRcpyoEQF9TsE_Cvxl77XNU4/edit?usp=sharing"",""กาญจนบุรี!I309"")"),20)</f>
        <v>20</v>
      </c>
      <c r="T53" s="181">
        <f ca="1">IFERROR(__xludf.DUMMYFUNCTION("IMPORTRANGE(""https://docs.google.com/spreadsheets/d/1hKO5uv94SSRZWOvrh72HRcpyoEQF9TsE_Cvxl77XNU4/edit?usp=sharing"",""กาญจนบุรี!J309"")"),20)</f>
        <v>20</v>
      </c>
      <c r="U53" s="185">
        <f t="shared" ca="1" si="21"/>
        <v>100</v>
      </c>
      <c r="V53" s="181">
        <f ca="1">IFERROR(__xludf.DUMMYFUNCTION("IMPORTRANGE(""https://docs.google.com/spreadsheets/d/1hKO5uv94SSRZWOvrh72HRcpyoEQF9TsE_Cvxl77XNU4/edit?usp=sharing"",""กาญจนบุรี!J310"")"),0)</f>
        <v>0</v>
      </c>
      <c r="W53" s="185">
        <f t="shared" ca="1" si="11"/>
        <v>0</v>
      </c>
      <c r="X53" s="181">
        <f ca="1">IFERROR(__xludf.DUMMYFUNCTION("IMPORTRANGE(""https://docs.google.com/spreadsheets/d/1hKO5uv94SSRZWOvrh72HRcpyoEQF9TsE_Cvxl77XNU4/edit?usp=sharing"",""กาญจนบุรี!J311"")"),0)</f>
        <v>0</v>
      </c>
      <c r="Y53" s="185">
        <f t="shared" ca="1" si="12"/>
        <v>0</v>
      </c>
      <c r="Z53" s="298">
        <f ca="1">IFERROR(__xludf.DUMMYFUNCTION("IMPORTRANGE(""https://docs.google.com/spreadsheets/d/1hKO5uv94SSRZWOvrh72HRcpyoEQF9TsE_Cvxl77XNU4/edit?usp=sharing"",""กาญจนบุรี!I312"")"),4)</f>
        <v>4</v>
      </c>
      <c r="AA53" s="181">
        <f ca="1">IFERROR(__xludf.DUMMYFUNCTION("IMPORTRANGE(""https://docs.google.com/spreadsheets/d/1hKO5uv94SSRZWOvrh72HRcpyoEQF9TsE_Cvxl77XNU4/edit?usp=sharing"",""กาญจนบุรี!J312"")"),0)</f>
        <v>0</v>
      </c>
      <c r="AB53" s="185">
        <f t="shared" ca="1" si="14"/>
        <v>0</v>
      </c>
    </row>
    <row r="54" spans="1:28" ht="21" customHeight="1" x14ac:dyDescent="0.3">
      <c r="A54" s="78">
        <v>2</v>
      </c>
      <c r="B54" s="79" t="s">
        <v>76</v>
      </c>
      <c r="C54" s="80">
        <f t="shared" ca="1" si="0"/>
        <v>0</v>
      </c>
      <c r="D54" s="81">
        <f t="shared" ca="1" si="34"/>
        <v>0</v>
      </c>
      <c r="E54" s="82">
        <f ca="1">IFERROR(__xludf.DUMMYFUNCTION("IMPORTRANGE(""https://docs.google.com/spreadsheets/d/1MeEWN-I1oV_STSDYn1IFDPWt_1FKiwhDph83XaGc0o0/edit?usp=sharing"",""งบพรบ!DT54"")"),0)</f>
        <v>0</v>
      </c>
      <c r="F54" s="82">
        <f ca="1">IFERROR(__xludf.DUMMYFUNCTION("IMPORTRANGE(""https://docs.google.com/spreadsheets/d/1MeEWN-I1oV_STSDYn1IFDPWt_1FKiwhDph83XaGc0o0/edit?usp=sharing"",""งบพรบ!DU54"")"),0)</f>
        <v>0</v>
      </c>
      <c r="G54" s="82">
        <f ca="1">IFERROR(__xludf.DUMMYFUNCTION("IMPORTRANGE(""https://docs.google.com/spreadsheets/d/1MeEWN-I1oV_STSDYn1IFDPWt_1FKiwhDph83XaGc0o0/edit?usp=sharing"",""งบพรบ!DV54"")"),0)</f>
        <v>0</v>
      </c>
      <c r="H54" s="82">
        <f ca="1">IFERROR(__xludf.DUMMYFUNCTION("IMPORTRANGE(""https://docs.google.com/spreadsheets/d/1MeEWN-I1oV_STSDYn1IFDPWt_1FKiwhDph83XaGc0o0/edit?usp=sharing"",""งบพรบ!DX54"")"),0)</f>
        <v>0</v>
      </c>
      <c r="I54" s="82">
        <f ca="1">IFERROR(__xludf.DUMMYFUNCTION("IMPORTRANGE(""https://docs.google.com/spreadsheets/d/1MeEWN-I1oV_STSDYn1IFDPWt_1FKiwhDph83XaGc0o0/edit?usp=sharing"",""งบพรบ!DY54"")"),0)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IFERROR(__xludf.DUMMYFUNCTION("IMPORTRANGE(""https://docs.google.com/spreadsheets/d/1MeEWN-I1oV_STSDYn1IFDPWt_1FKiwhDph83XaGc0o0/edit?usp=sharing"",""งบพรบ!DZ54"")"),0)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IFERROR(__xludf.DUMMYFUNCTION("IMPORTRANGE(""https://docs.google.com/spreadsheets/d/1MeEWN-I1oV_STSDYn1IFDPWt_1FKiwhDph83XaGc0o0/edit?usp=sharing"",""งบพรบ!EA54"")"),0)</f>
        <v>0</v>
      </c>
      <c r="P54" s="85">
        <f t="shared" ca="1" si="23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IFERROR(__xludf.DUMMYFUNCTION("IMPORTRANGE(""https://docs.google.com/spreadsheets/d/1njBaP_xXd-Uotvo2D9zb01TTCFkLJLDK97Tk1l9Qux0/edit?usp=sharing"",""จันทบุรี!J308"")"),0)</f>
        <v>0</v>
      </c>
      <c r="S54" s="298">
        <f ca="1">IFERROR(__xludf.DUMMYFUNCTION("IMPORTRANGE(""https://docs.google.com/spreadsheets/d/1njBaP_xXd-Uotvo2D9zb01TTCFkLJLDK97Tk1l9Qux0/edit?usp=sharing"",""จันทบุรี!I309"")"),0)</f>
        <v>0</v>
      </c>
      <c r="T54" s="181">
        <f ca="1">IFERROR(__xludf.DUMMYFUNCTION("IMPORTRANGE(""https://docs.google.com/spreadsheets/d/1njBaP_xXd-Uotvo2D9zb01TTCFkLJLDK97Tk1l9Qux0/edit?usp=sharing"",""จันทบุรี!J309"")"),0)</f>
        <v>0</v>
      </c>
      <c r="U54" s="185">
        <f t="shared" ca="1" si="21"/>
        <v>0</v>
      </c>
      <c r="V54" s="181">
        <f ca="1">IFERROR(__xludf.DUMMYFUNCTION("IMPORTRANGE(""https://docs.google.com/spreadsheets/d/1njBaP_xXd-Uotvo2D9zb01TTCFkLJLDK97Tk1l9Qux0/edit?usp=sharing"",""จันทบุรี!J310"")"),0)</f>
        <v>0</v>
      </c>
      <c r="W54" s="185">
        <f t="shared" ca="1" si="11"/>
        <v>0</v>
      </c>
      <c r="X54" s="181">
        <f ca="1">IFERROR(__xludf.DUMMYFUNCTION("IMPORTRANGE(""https://docs.google.com/spreadsheets/d/1njBaP_xXd-Uotvo2D9zb01TTCFkLJLDK97Tk1l9Qux0/edit?usp=sharing"",""จันทบุรี!J311"")"),0)</f>
        <v>0</v>
      </c>
      <c r="Y54" s="185">
        <f t="shared" ca="1" si="12"/>
        <v>0</v>
      </c>
      <c r="Z54" s="298">
        <f ca="1">IFERROR(__xludf.DUMMYFUNCTION("IMPORTRANGE(""https://docs.google.com/spreadsheets/d/1njBaP_xXd-Uotvo2D9zb01TTCFkLJLDK97Tk1l9Qux0/edit?usp=sharing"",""จันทบุรี!I312"")"),0)</f>
        <v>0</v>
      </c>
      <c r="AA54" s="181">
        <f ca="1">IFERROR(__xludf.DUMMYFUNCTION("IMPORTRANGE(""https://docs.google.com/spreadsheets/d/1njBaP_xXd-Uotvo2D9zb01TTCFkLJLDK97Tk1l9Qux0/edit?usp=sharing"",""จันทบุรี!J312"")"),0)</f>
        <v>0</v>
      </c>
      <c r="AB54" s="185">
        <f t="shared" ca="1" si="14"/>
        <v>0</v>
      </c>
    </row>
    <row r="55" spans="1:28" ht="21" customHeight="1" x14ac:dyDescent="0.3">
      <c r="A55" s="78">
        <v>3</v>
      </c>
      <c r="B55" s="79" t="s">
        <v>77</v>
      </c>
      <c r="C55" s="80">
        <f t="shared" ca="1" si="0"/>
        <v>225400</v>
      </c>
      <c r="D55" s="81">
        <f t="shared" ca="1" si="34"/>
        <v>225400</v>
      </c>
      <c r="E55" s="82">
        <f ca="1">IFERROR(__xludf.DUMMYFUNCTION("IMPORTRANGE(""https://docs.google.com/spreadsheets/d/1MeEWN-I1oV_STSDYn1IFDPWt_1FKiwhDph83XaGc0o0/edit?usp=sharing"",""งบพรบ!DT55"")"),143000)</f>
        <v>143000</v>
      </c>
      <c r="F55" s="82">
        <f ca="1">IFERROR(__xludf.DUMMYFUNCTION("IMPORTRANGE(""https://docs.google.com/spreadsheets/d/1MeEWN-I1oV_STSDYn1IFDPWt_1FKiwhDph83XaGc0o0/edit?usp=sharing"",""งบพรบ!DU55"")"),82400)</f>
        <v>82400</v>
      </c>
      <c r="G55" s="82">
        <f ca="1">IFERROR(__xludf.DUMMYFUNCTION("IMPORTRANGE(""https://docs.google.com/spreadsheets/d/1MeEWN-I1oV_STSDYn1IFDPWt_1FKiwhDph83XaGc0o0/edit?usp=sharing"",""งบพรบ!DV55"")"),0)</f>
        <v>0</v>
      </c>
      <c r="H55" s="82">
        <f ca="1">IFERROR(__xludf.DUMMYFUNCTION("IMPORTRANGE(""https://docs.google.com/spreadsheets/d/1MeEWN-I1oV_STSDYn1IFDPWt_1FKiwhDph83XaGc0o0/edit?usp=sharing"",""งบพรบ!DX55"")"),153120)</f>
        <v>153120</v>
      </c>
      <c r="I55" s="82">
        <f ca="1">IFERROR(__xludf.DUMMYFUNCTION("IMPORTRANGE(""https://docs.google.com/spreadsheets/d/1MeEWN-I1oV_STSDYn1IFDPWt_1FKiwhDph83XaGc0o0/edit?usp=sharing"",""งบพรบ!DY55"")"),0)</f>
        <v>0</v>
      </c>
      <c r="J55" s="82">
        <f t="shared" ca="1" si="3"/>
        <v>100293.38</v>
      </c>
      <c r="K55" s="83">
        <f t="shared" ca="1" si="4"/>
        <v>44.495732031943213</v>
      </c>
      <c r="L55" s="82">
        <f ca="1">IFERROR(__xludf.DUMMYFUNCTION("IMPORTRANGE(""https://docs.google.com/spreadsheets/d/1MeEWN-I1oV_STSDYn1IFDPWt_1FKiwhDph83XaGc0o0/edit?usp=sharing"",""งบพรบ!DZ55"")"),100293.38)</f>
        <v>100293.38</v>
      </c>
      <c r="M55" s="84">
        <f t="shared" ca="1" si="5"/>
        <v>44.495732031943213</v>
      </c>
      <c r="N55" s="84">
        <f t="shared" ca="1" si="6"/>
        <v>65.499856321839076</v>
      </c>
      <c r="O55" s="85">
        <f ca="1">IFERROR(__xludf.DUMMYFUNCTION("IMPORTRANGE(""https://docs.google.com/spreadsheets/d/1MeEWN-I1oV_STSDYn1IFDPWt_1FKiwhDph83XaGc0o0/edit?usp=sharing"",""งบพรบ!EA55"")"),0)</f>
        <v>0</v>
      </c>
      <c r="P55" s="85">
        <f t="shared" ca="1" si="23"/>
        <v>0</v>
      </c>
      <c r="Q55" s="84">
        <f t="shared" ca="1" si="8"/>
        <v>0</v>
      </c>
      <c r="R55" s="86">
        <f ca="1">IFERROR(__xludf.DUMMYFUNCTION("IMPORTRANGE(""https://docs.google.com/spreadsheets/d/14xp6qUzrGFnUk_qnc1eEmfiaNRd4_grkhpfQH_46fa8/edit?usp=sharing"",""ฉะเชิงเทรา!J308"")"),1)</f>
        <v>1</v>
      </c>
      <c r="S55" s="298">
        <f ca="1">IFERROR(__xludf.DUMMYFUNCTION("IMPORTRANGE(""https://docs.google.com/spreadsheets/d/14xp6qUzrGFnUk_qnc1eEmfiaNRd4_grkhpfQH_46fa8/edit?usp=sharing"",""ฉะเชิงเทรา!I309"")"),20)</f>
        <v>20</v>
      </c>
      <c r="T55" s="181">
        <f ca="1">IFERROR(__xludf.DUMMYFUNCTION("IMPORTRANGE(""https://docs.google.com/spreadsheets/d/14xp6qUzrGFnUk_qnc1eEmfiaNRd4_grkhpfQH_46fa8/edit?usp=sharing"",""ฉะเชิงเทรา!J309"")"),20)</f>
        <v>20</v>
      </c>
      <c r="U55" s="185">
        <f t="shared" ca="1" si="21"/>
        <v>100</v>
      </c>
      <c r="V55" s="181">
        <f ca="1">IFERROR(__xludf.DUMMYFUNCTION("IMPORTRANGE(""https://docs.google.com/spreadsheets/d/14xp6qUzrGFnUk_qnc1eEmfiaNRd4_grkhpfQH_46fa8/edit?usp=sharing"",""ฉะเชิงเทรา!J310"")"),0)</f>
        <v>0</v>
      </c>
      <c r="W55" s="185">
        <f t="shared" ca="1" si="11"/>
        <v>0</v>
      </c>
      <c r="X55" s="181">
        <f ca="1">IFERROR(__xludf.DUMMYFUNCTION("IMPORTRANGE(""https://docs.google.com/spreadsheets/d/14xp6qUzrGFnUk_qnc1eEmfiaNRd4_grkhpfQH_46fa8/edit?usp=sharing"",""ฉะเชิงเทรา!J311"")"),0)</f>
        <v>0</v>
      </c>
      <c r="Y55" s="185">
        <f t="shared" ca="1" si="12"/>
        <v>0</v>
      </c>
      <c r="Z55" s="298">
        <f ca="1">IFERROR(__xludf.DUMMYFUNCTION("IMPORTRANGE(""https://docs.google.com/spreadsheets/d/14xp6qUzrGFnUk_qnc1eEmfiaNRd4_grkhpfQH_46fa8/edit?usp=sharing"",""ฉะเชิงเทรา!I312"")"),4)</f>
        <v>4</v>
      </c>
      <c r="AA55" s="181">
        <f ca="1">IFERROR(__xludf.DUMMYFUNCTION("IMPORTRANGE(""https://docs.google.com/spreadsheets/d/14xp6qUzrGFnUk_qnc1eEmfiaNRd4_grkhpfQH_46fa8/edit?usp=sharing"",""ฉะเชิงเทรา!J312"")"),0)</f>
        <v>0</v>
      </c>
      <c r="AB55" s="185">
        <f t="shared" ca="1" si="14"/>
        <v>0</v>
      </c>
    </row>
    <row r="56" spans="1:28" ht="21" customHeight="1" x14ac:dyDescent="0.3">
      <c r="A56" s="78">
        <v>4</v>
      </c>
      <c r="B56" s="79" t="s">
        <v>78</v>
      </c>
      <c r="C56" s="80">
        <f t="shared" ca="1" si="0"/>
        <v>206800</v>
      </c>
      <c r="D56" s="81">
        <f t="shared" ca="1" si="34"/>
        <v>206800</v>
      </c>
      <c r="E56" s="82">
        <f ca="1">IFERROR(__xludf.DUMMYFUNCTION("IMPORTRANGE(""https://docs.google.com/spreadsheets/d/1MeEWN-I1oV_STSDYn1IFDPWt_1FKiwhDph83XaGc0o0/edit?usp=sharing"",""งบพรบ!DT56"")"),143000)</f>
        <v>143000</v>
      </c>
      <c r="F56" s="82">
        <f ca="1">IFERROR(__xludf.DUMMYFUNCTION("IMPORTRANGE(""https://docs.google.com/spreadsheets/d/1MeEWN-I1oV_STSDYn1IFDPWt_1FKiwhDph83XaGc0o0/edit?usp=sharing"",""งบพรบ!DU56"")"),63800)</f>
        <v>63800</v>
      </c>
      <c r="G56" s="82">
        <f ca="1">IFERROR(__xludf.DUMMYFUNCTION("IMPORTRANGE(""https://docs.google.com/spreadsheets/d/1MeEWN-I1oV_STSDYn1IFDPWt_1FKiwhDph83XaGc0o0/edit?usp=sharing"",""งบพรบ!DV56"")"),0)</f>
        <v>0</v>
      </c>
      <c r="H56" s="82">
        <f ca="1">IFERROR(__xludf.DUMMYFUNCTION("IMPORTRANGE(""https://docs.google.com/spreadsheets/d/1MeEWN-I1oV_STSDYn1IFDPWt_1FKiwhDph83XaGc0o0/edit?usp=sharing"",""งบพรบ!DX56"")"),141840)</f>
        <v>141840</v>
      </c>
      <c r="I56" s="82">
        <f ca="1">IFERROR(__xludf.DUMMYFUNCTION("IMPORTRANGE(""https://docs.google.com/spreadsheets/d/1MeEWN-I1oV_STSDYn1IFDPWt_1FKiwhDph83XaGc0o0/edit?usp=sharing"",""งบพรบ!DY56"")"),0)</f>
        <v>0</v>
      </c>
      <c r="J56" s="82">
        <f t="shared" ca="1" si="3"/>
        <v>91004</v>
      </c>
      <c r="K56" s="83">
        <f t="shared" ca="1" si="4"/>
        <v>44.005802707930364</v>
      </c>
      <c r="L56" s="82">
        <f ca="1">IFERROR(__xludf.DUMMYFUNCTION("IMPORTRANGE(""https://docs.google.com/spreadsheets/d/1MeEWN-I1oV_STSDYn1IFDPWt_1FKiwhDph83XaGc0o0/edit?usp=sharing"",""งบพรบ!DZ56"")"),91004)</f>
        <v>91004</v>
      </c>
      <c r="M56" s="84">
        <f t="shared" ca="1" si="5"/>
        <v>44.005802707930364</v>
      </c>
      <c r="N56" s="84">
        <f t="shared" ca="1" si="6"/>
        <v>64.159616469261138</v>
      </c>
      <c r="O56" s="85">
        <f ca="1">IFERROR(__xludf.DUMMYFUNCTION("IMPORTRANGE(""https://docs.google.com/spreadsheets/d/1MeEWN-I1oV_STSDYn1IFDPWt_1FKiwhDph83XaGc0o0/edit?usp=sharing"",""งบพรบ!EA56"")"),0)</f>
        <v>0</v>
      </c>
      <c r="P56" s="85">
        <f t="shared" ca="1" si="23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IFERROR(__xludf.DUMMYFUNCTION("IMPORTRANGE(""https://docs.google.com/spreadsheets/d/1_Zwps30dlVa-pZFsorjVf1Pil6WXwzCsJU0U2whO3NI/edit?usp=sharing"",""ชลบุรี!J308"")"),1)</f>
        <v>1</v>
      </c>
      <c r="S56" s="298">
        <f ca="1">IFERROR(__xludf.DUMMYFUNCTION("IMPORTRANGE(""https://docs.google.com/spreadsheets/d/1_Zwps30dlVa-pZFsorjVf1Pil6WXwzCsJU0U2whO3NI/edit?usp=sharing"",""ชลบุรี!I309"")"),15)</f>
        <v>15</v>
      </c>
      <c r="T56" s="181">
        <f ca="1">IFERROR(__xludf.DUMMYFUNCTION("IMPORTRANGE(""https://docs.google.com/spreadsheets/d/1_Zwps30dlVa-pZFsorjVf1Pil6WXwzCsJU0U2whO3NI/edit?usp=sharing"",""ชลบุรี!J309"")"),15)</f>
        <v>15</v>
      </c>
      <c r="U56" s="185">
        <f t="shared" ca="1" si="21"/>
        <v>100</v>
      </c>
      <c r="V56" s="181">
        <f ca="1">IFERROR(__xludf.DUMMYFUNCTION("IMPORTRANGE(""https://docs.google.com/spreadsheets/d/1_Zwps30dlVa-pZFsorjVf1Pil6WXwzCsJU0U2whO3NI/edit?usp=sharing"",""ชลบุรี!J310"")"),0)</f>
        <v>0</v>
      </c>
      <c r="W56" s="185">
        <f t="shared" ca="1" si="11"/>
        <v>0</v>
      </c>
      <c r="X56" s="181">
        <f ca="1">IFERROR(__xludf.DUMMYFUNCTION("IMPORTRANGE(""https://docs.google.com/spreadsheets/d/1_Zwps30dlVa-pZFsorjVf1Pil6WXwzCsJU0U2whO3NI/edit?usp=sharing"",""ชลบุรี!J311"")"),0)</f>
        <v>0</v>
      </c>
      <c r="Y56" s="185">
        <f t="shared" ca="1" si="12"/>
        <v>0</v>
      </c>
      <c r="Z56" s="298">
        <f ca="1">IFERROR(__xludf.DUMMYFUNCTION("IMPORTRANGE(""https://docs.google.com/spreadsheets/d/1_Zwps30dlVa-pZFsorjVf1Pil6WXwzCsJU0U2whO3NI/edit?usp=sharing"",""ชลบุรี!I312"")"),3)</f>
        <v>3</v>
      </c>
      <c r="AA56" s="181">
        <f ca="1">IFERROR(__xludf.DUMMYFUNCTION("IMPORTRANGE(""https://docs.google.com/spreadsheets/d/1_Zwps30dlVa-pZFsorjVf1Pil6WXwzCsJU0U2whO3NI/edit?usp=sharing"",""ชลบุรี!J312"")"),0)</f>
        <v>0</v>
      </c>
      <c r="AB56" s="185">
        <f t="shared" ca="1" si="14"/>
        <v>0</v>
      </c>
    </row>
    <row r="57" spans="1:28" ht="21" customHeight="1" x14ac:dyDescent="0.3">
      <c r="A57" s="78">
        <v>5</v>
      </c>
      <c r="B57" s="79" t="s">
        <v>79</v>
      </c>
      <c r="C57" s="80">
        <f t="shared" ca="1" si="0"/>
        <v>82400</v>
      </c>
      <c r="D57" s="81">
        <f t="shared" ca="1" si="34"/>
        <v>82400</v>
      </c>
      <c r="E57" s="82">
        <f ca="1">IFERROR(__xludf.DUMMYFUNCTION("IMPORTRANGE(""https://docs.google.com/spreadsheets/d/1MeEWN-I1oV_STSDYn1IFDPWt_1FKiwhDph83XaGc0o0/edit?usp=sharing"",""งบพรบ!DT57"")"),0)</f>
        <v>0</v>
      </c>
      <c r="F57" s="82">
        <f ca="1">IFERROR(__xludf.DUMMYFUNCTION("IMPORTRANGE(""https://docs.google.com/spreadsheets/d/1MeEWN-I1oV_STSDYn1IFDPWt_1FKiwhDph83XaGc0o0/edit?usp=sharing"",""งบพรบ!DU57"")"),82400)</f>
        <v>82400</v>
      </c>
      <c r="G57" s="82">
        <f ca="1">IFERROR(__xludf.DUMMYFUNCTION("IMPORTRANGE(""https://docs.google.com/spreadsheets/d/1MeEWN-I1oV_STSDYn1IFDPWt_1FKiwhDph83XaGc0o0/edit?usp=sharing"",""งบพรบ!DV57"")"),0)</f>
        <v>0</v>
      </c>
      <c r="H57" s="82">
        <f ca="1">IFERROR(__xludf.DUMMYFUNCTION("IMPORTRANGE(""https://docs.google.com/spreadsheets/d/1MeEWN-I1oV_STSDYn1IFDPWt_1FKiwhDph83XaGc0o0/edit?usp=sharing"",""งบพรบ!DX57"")"),49120)</f>
        <v>49120</v>
      </c>
      <c r="I57" s="82">
        <f ca="1">IFERROR(__xludf.DUMMYFUNCTION("IMPORTRANGE(""https://docs.google.com/spreadsheets/d/1MeEWN-I1oV_STSDYn1IFDPWt_1FKiwhDph83XaGc0o0/edit?usp=sharing"",""งบพรบ!DY57"")"),0)</f>
        <v>0</v>
      </c>
      <c r="J57" s="82">
        <f t="shared" ca="1" si="3"/>
        <v>2840</v>
      </c>
      <c r="K57" s="83">
        <f t="shared" ca="1" si="4"/>
        <v>3.4466019417475726</v>
      </c>
      <c r="L57" s="82">
        <f ca="1">IFERROR(__xludf.DUMMYFUNCTION("IMPORTRANGE(""https://docs.google.com/spreadsheets/d/1MeEWN-I1oV_STSDYn1IFDPWt_1FKiwhDph83XaGc0o0/edit?usp=sharing"",""งบพรบ!DZ57"")"),2840)</f>
        <v>2840</v>
      </c>
      <c r="M57" s="84">
        <f t="shared" ca="1" si="5"/>
        <v>3.4466019417475726</v>
      </c>
      <c r="N57" s="84">
        <f t="shared" ca="1" si="6"/>
        <v>5.7817589576547235</v>
      </c>
      <c r="O57" s="85">
        <f ca="1">IFERROR(__xludf.DUMMYFUNCTION("IMPORTRANGE(""https://docs.google.com/spreadsheets/d/1MeEWN-I1oV_STSDYn1IFDPWt_1FKiwhDph83XaGc0o0/edit?usp=sharing"",""งบพรบ!EA57"")"),0)</f>
        <v>0</v>
      </c>
      <c r="P57" s="85">
        <f t="shared" ca="1" si="23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IFERROR(__xludf.DUMMYFUNCTION("IMPORTRANGE(""https://docs.google.com/spreadsheets/d/1xAsT4sUbBlom7l0acStESh_15nvjZcXjZM7fK5uZSq8/edit?usp=sharing"",""ชัยนาท!J308"")"),0)</f>
        <v>0</v>
      </c>
      <c r="S57" s="298">
        <f ca="1">IFERROR(__xludf.DUMMYFUNCTION("IMPORTRANGE(""https://docs.google.com/spreadsheets/d/1xAsT4sUbBlom7l0acStESh_15nvjZcXjZM7fK5uZSq8/edit?usp=sharing"",""ชัยนาท!I309"")"),20)</f>
        <v>20</v>
      </c>
      <c r="T57" s="181">
        <f ca="1">IFERROR(__xludf.DUMMYFUNCTION("IMPORTRANGE(""https://docs.google.com/spreadsheets/d/1xAsT4sUbBlom7l0acStESh_15nvjZcXjZM7fK5uZSq8/edit?usp=sharing"",""ชัยนาท!J309"")"),0)</f>
        <v>0</v>
      </c>
      <c r="U57" s="185">
        <f t="shared" ca="1" si="21"/>
        <v>0</v>
      </c>
      <c r="V57" s="181">
        <f ca="1">IFERROR(__xludf.DUMMYFUNCTION("IMPORTRANGE(""https://docs.google.com/spreadsheets/d/1xAsT4sUbBlom7l0acStESh_15nvjZcXjZM7fK5uZSq8/edit?usp=sharing"",""ชัยนาท!J310"")"),0)</f>
        <v>0</v>
      </c>
      <c r="W57" s="185">
        <f t="shared" ca="1" si="11"/>
        <v>0</v>
      </c>
      <c r="X57" s="181">
        <f ca="1">IFERROR(__xludf.DUMMYFUNCTION("IMPORTRANGE(""https://docs.google.com/spreadsheets/d/1xAsT4sUbBlom7l0acStESh_15nvjZcXjZM7fK5uZSq8/edit?usp=sharing"",""ชัยนาท!J311"")"),0)</f>
        <v>0</v>
      </c>
      <c r="Y57" s="185">
        <f t="shared" ca="1" si="12"/>
        <v>0</v>
      </c>
      <c r="Z57" s="298">
        <f ca="1">IFERROR(__xludf.DUMMYFUNCTION("IMPORTRANGE(""https://docs.google.com/spreadsheets/d/1xAsT4sUbBlom7l0acStESh_15nvjZcXjZM7fK5uZSq8/edit?usp=sharing"",""ชัยนาท!I312"")"),4)</f>
        <v>4</v>
      </c>
      <c r="AA57" s="181">
        <f ca="1">IFERROR(__xludf.DUMMYFUNCTION("IMPORTRANGE(""https://docs.google.com/spreadsheets/d/1xAsT4sUbBlom7l0acStESh_15nvjZcXjZM7fK5uZSq8/edit?usp=sharing"",""ชัยนาท!J312"")"),0)</f>
        <v>0</v>
      </c>
      <c r="AB57" s="185">
        <f t="shared" ca="1" si="14"/>
        <v>0</v>
      </c>
    </row>
    <row r="58" spans="1:28" ht="21" customHeight="1" x14ac:dyDescent="0.3">
      <c r="A58" s="78">
        <v>6</v>
      </c>
      <c r="B58" s="79" t="s">
        <v>80</v>
      </c>
      <c r="C58" s="80">
        <f t="shared" ca="1" si="0"/>
        <v>0</v>
      </c>
      <c r="D58" s="81">
        <f t="shared" ca="1" si="34"/>
        <v>0</v>
      </c>
      <c r="E58" s="82">
        <f ca="1">IFERROR(__xludf.DUMMYFUNCTION("IMPORTRANGE(""https://docs.google.com/spreadsheets/d/1MeEWN-I1oV_STSDYn1IFDPWt_1FKiwhDph83XaGc0o0/edit?usp=sharing"",""งบพรบ!DT58"")"),0)</f>
        <v>0</v>
      </c>
      <c r="F58" s="82">
        <f ca="1">IFERROR(__xludf.DUMMYFUNCTION("IMPORTRANGE(""https://docs.google.com/spreadsheets/d/1MeEWN-I1oV_STSDYn1IFDPWt_1FKiwhDph83XaGc0o0/edit?usp=sharing"",""งบพรบ!DU58"")"),0)</f>
        <v>0</v>
      </c>
      <c r="G58" s="82">
        <f ca="1">IFERROR(__xludf.DUMMYFUNCTION("IMPORTRANGE(""https://docs.google.com/spreadsheets/d/1MeEWN-I1oV_STSDYn1IFDPWt_1FKiwhDph83XaGc0o0/edit?usp=sharing"",""งบพรบ!DV58"")"),0)</f>
        <v>0</v>
      </c>
      <c r="H58" s="82">
        <f ca="1">IFERROR(__xludf.DUMMYFUNCTION("IMPORTRANGE(""https://docs.google.com/spreadsheets/d/1MeEWN-I1oV_STSDYn1IFDPWt_1FKiwhDph83XaGc0o0/edit?usp=sharing"",""งบพรบ!DX58"")"),0)</f>
        <v>0</v>
      </c>
      <c r="I58" s="82">
        <f ca="1">IFERROR(__xludf.DUMMYFUNCTION("IMPORTRANGE(""https://docs.google.com/spreadsheets/d/1MeEWN-I1oV_STSDYn1IFDPWt_1FKiwhDph83XaGc0o0/edit?usp=sharing"",""งบพรบ!DY58"")"),0)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IFERROR(__xludf.DUMMYFUNCTION("IMPORTRANGE(""https://docs.google.com/spreadsheets/d/1MeEWN-I1oV_STSDYn1IFDPWt_1FKiwhDph83XaGc0o0/edit?usp=sharing"",""งบพรบ!DZ58"")"),0)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IFERROR(__xludf.DUMMYFUNCTION("IMPORTRANGE(""https://docs.google.com/spreadsheets/d/1MeEWN-I1oV_STSDYn1IFDPWt_1FKiwhDph83XaGc0o0/edit?usp=sharing"",""งบพรบ!EA58"")"),0)</f>
        <v>0</v>
      </c>
      <c r="P58" s="85">
        <f t="shared" ca="1" si="23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IFERROR(__xludf.DUMMYFUNCTION("IMPORTRANGE(""https://docs.google.com/spreadsheets/d/1vWPVBOAaZ6mHSI8yf95DNqHwTJ1cpeFsvqt6cxV34QA/edit?usp=sharing"",""ตราด!J308"")"),0)</f>
        <v>0</v>
      </c>
      <c r="S58" s="298">
        <f ca="1">IFERROR(__xludf.DUMMYFUNCTION("IMPORTRANGE(""https://docs.google.com/spreadsheets/d/1vWPVBOAaZ6mHSI8yf95DNqHwTJ1cpeFsvqt6cxV34QA/edit?usp=sharing"",""ตราด!I309"")"),0)</f>
        <v>0</v>
      </c>
      <c r="T58" s="181">
        <f ca="1">IFERROR(__xludf.DUMMYFUNCTION("IMPORTRANGE(""https://docs.google.com/spreadsheets/d/1vWPVBOAaZ6mHSI8yf95DNqHwTJ1cpeFsvqt6cxV34QA/edit?usp=sharing"",""ตราด!J309"")"),0)</f>
        <v>0</v>
      </c>
      <c r="U58" s="185">
        <f t="shared" ca="1" si="21"/>
        <v>0</v>
      </c>
      <c r="V58" s="181">
        <f ca="1">IFERROR(__xludf.DUMMYFUNCTION("IMPORTRANGE(""https://docs.google.com/spreadsheets/d/1vWPVBOAaZ6mHSI8yf95DNqHwTJ1cpeFsvqt6cxV34QA/edit?usp=sharing"",""ตราด!J310"")"),0)</f>
        <v>0</v>
      </c>
      <c r="W58" s="185">
        <f t="shared" ca="1" si="11"/>
        <v>0</v>
      </c>
      <c r="X58" s="181">
        <f ca="1">IFERROR(__xludf.DUMMYFUNCTION("IMPORTRANGE(""https://docs.google.com/spreadsheets/d/1vWPVBOAaZ6mHSI8yf95DNqHwTJ1cpeFsvqt6cxV34QA/edit?usp=sharing"",""ตราด!J311"")"),0)</f>
        <v>0</v>
      </c>
      <c r="Y58" s="185">
        <f t="shared" ca="1" si="12"/>
        <v>0</v>
      </c>
      <c r="Z58" s="298">
        <f ca="1">IFERROR(__xludf.DUMMYFUNCTION("IMPORTRANGE(""https://docs.google.com/spreadsheets/d/1vWPVBOAaZ6mHSI8yf95DNqHwTJ1cpeFsvqt6cxV34QA/edit?usp=sharing"",""ตราด!I312"")"),0)</f>
        <v>0</v>
      </c>
      <c r="AA58" s="181">
        <f ca="1">IFERROR(__xludf.DUMMYFUNCTION("IMPORTRANGE(""https://docs.google.com/spreadsheets/d/1vWPVBOAaZ6mHSI8yf95DNqHwTJ1cpeFsvqt6cxV34QA/edit?usp=sharing"",""ตราด!J312"")"),0)</f>
        <v>0</v>
      </c>
      <c r="AB58" s="185">
        <f t="shared" ca="1" si="14"/>
        <v>0</v>
      </c>
    </row>
    <row r="59" spans="1:28" ht="21" customHeight="1" x14ac:dyDescent="0.3">
      <c r="A59" s="78">
        <v>7</v>
      </c>
      <c r="B59" s="79" t="s">
        <v>81</v>
      </c>
      <c r="C59" s="80">
        <f t="shared" ca="1" si="0"/>
        <v>206800</v>
      </c>
      <c r="D59" s="81">
        <f t="shared" ca="1" si="34"/>
        <v>206800</v>
      </c>
      <c r="E59" s="82">
        <f ca="1">IFERROR(__xludf.DUMMYFUNCTION("IMPORTRANGE(""https://docs.google.com/spreadsheets/d/1MeEWN-I1oV_STSDYn1IFDPWt_1FKiwhDph83XaGc0o0/edit?usp=sharing"",""งบพรบ!DT59"")"),143000)</f>
        <v>143000</v>
      </c>
      <c r="F59" s="82">
        <f ca="1">IFERROR(__xludf.DUMMYFUNCTION("IMPORTRANGE(""https://docs.google.com/spreadsheets/d/1MeEWN-I1oV_STSDYn1IFDPWt_1FKiwhDph83XaGc0o0/edit?usp=sharing"",""งบพรบ!DU59"")"),63800)</f>
        <v>63800</v>
      </c>
      <c r="G59" s="82">
        <f ca="1">IFERROR(__xludf.DUMMYFUNCTION("IMPORTRANGE(""https://docs.google.com/spreadsheets/d/1MeEWN-I1oV_STSDYn1IFDPWt_1FKiwhDph83XaGc0o0/edit?usp=sharing"",""งบพรบ!DV59"")"),0)</f>
        <v>0</v>
      </c>
      <c r="H59" s="82">
        <f ca="1">IFERROR(__xludf.DUMMYFUNCTION("IMPORTRANGE(""https://docs.google.com/spreadsheets/d/1MeEWN-I1oV_STSDYn1IFDPWt_1FKiwhDph83XaGc0o0/edit?usp=sharing"",""งบพรบ!DX59"")"),141840)</f>
        <v>141840</v>
      </c>
      <c r="I59" s="82">
        <f ca="1">IFERROR(__xludf.DUMMYFUNCTION("IMPORTRANGE(""https://docs.google.com/spreadsheets/d/1MeEWN-I1oV_STSDYn1IFDPWt_1FKiwhDph83XaGc0o0/edit?usp=sharing"",""งบพรบ!DY59"")"),0)</f>
        <v>0</v>
      </c>
      <c r="J59" s="82">
        <f t="shared" ca="1" si="3"/>
        <v>38388</v>
      </c>
      <c r="K59" s="83">
        <f t="shared" ca="1" si="4"/>
        <v>18.562862669245646</v>
      </c>
      <c r="L59" s="82">
        <f ca="1">IFERROR(__xludf.DUMMYFUNCTION("IMPORTRANGE(""https://docs.google.com/spreadsheets/d/1MeEWN-I1oV_STSDYn1IFDPWt_1FKiwhDph83XaGc0o0/edit?usp=sharing"",""งบพรบ!DZ59"")"),38388)</f>
        <v>38388</v>
      </c>
      <c r="M59" s="84">
        <f t="shared" ca="1" si="5"/>
        <v>18.562862669245646</v>
      </c>
      <c r="N59" s="84">
        <f t="shared" ca="1" si="6"/>
        <v>27.064297800338409</v>
      </c>
      <c r="O59" s="85">
        <f ca="1">IFERROR(__xludf.DUMMYFUNCTION("IMPORTRANGE(""https://docs.google.com/spreadsheets/d/1MeEWN-I1oV_STSDYn1IFDPWt_1FKiwhDph83XaGc0o0/edit?usp=sharing"",""งบพรบ!EA59"")"),0)</f>
        <v>0</v>
      </c>
      <c r="P59" s="85">
        <f t="shared" ca="1" si="23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IFERROR(__xludf.DUMMYFUNCTION("IMPORTRANGE(""https://docs.google.com/spreadsheets/d/1phaeSb9lTGgzDpbvVqI9hfmOQQzUom07-HEvpbARzEg/edit?usp=sharing"",""นครนายก!J308"")"),0)</f>
        <v>0</v>
      </c>
      <c r="S59" s="298">
        <f ca="1">IFERROR(__xludf.DUMMYFUNCTION("IMPORTRANGE(""https://docs.google.com/spreadsheets/d/1phaeSb9lTGgzDpbvVqI9hfmOQQzUom07-HEvpbARzEg/edit?usp=sharing"",""นครนายก!I309"")"),15)</f>
        <v>15</v>
      </c>
      <c r="T59" s="181">
        <f ca="1">IFERROR(__xludf.DUMMYFUNCTION("IMPORTRANGE(""https://docs.google.com/spreadsheets/d/1phaeSb9lTGgzDpbvVqI9hfmOQQzUom07-HEvpbARzEg/edit?usp=sharing"",""นครนายก!J309"")"),15)</f>
        <v>15</v>
      </c>
      <c r="U59" s="185">
        <f t="shared" ca="1" si="21"/>
        <v>100</v>
      </c>
      <c r="V59" s="181">
        <f ca="1">IFERROR(__xludf.DUMMYFUNCTION("IMPORTRANGE(""https://docs.google.com/spreadsheets/d/1phaeSb9lTGgzDpbvVqI9hfmOQQzUom07-HEvpbARzEg/edit?usp=sharing"",""นครนายก!J310"")"),0)</f>
        <v>0</v>
      </c>
      <c r="W59" s="185">
        <f t="shared" ca="1" si="11"/>
        <v>0</v>
      </c>
      <c r="X59" s="181">
        <f ca="1">IFERROR(__xludf.DUMMYFUNCTION("IMPORTRANGE(""https://docs.google.com/spreadsheets/d/1phaeSb9lTGgzDpbvVqI9hfmOQQzUom07-HEvpbARzEg/edit?usp=sharing"",""นครนายก!J311"")"),0)</f>
        <v>0</v>
      </c>
      <c r="Y59" s="185">
        <f t="shared" ca="1" si="12"/>
        <v>0</v>
      </c>
      <c r="Z59" s="298">
        <f ca="1">IFERROR(__xludf.DUMMYFUNCTION("IMPORTRANGE(""https://docs.google.com/spreadsheets/d/1phaeSb9lTGgzDpbvVqI9hfmOQQzUom07-HEvpbARzEg/edit?usp=sharing"",""นครนายก!I312"")"),3)</f>
        <v>3</v>
      </c>
      <c r="AA59" s="181">
        <f ca="1">IFERROR(__xludf.DUMMYFUNCTION("IMPORTRANGE(""https://docs.google.com/spreadsheets/d/1phaeSb9lTGgzDpbvVqI9hfmOQQzUom07-HEvpbARzEg/edit?usp=sharing"",""นครนายก!J312"")"),0)</f>
        <v>0</v>
      </c>
      <c r="AB59" s="185">
        <f t="shared" ca="1" si="14"/>
        <v>0</v>
      </c>
    </row>
    <row r="60" spans="1:28" ht="21" customHeight="1" x14ac:dyDescent="0.3">
      <c r="A60" s="78">
        <v>8</v>
      </c>
      <c r="B60" s="79" t="s">
        <v>82</v>
      </c>
      <c r="C60" s="80">
        <f t="shared" ca="1" si="0"/>
        <v>0</v>
      </c>
      <c r="D60" s="81">
        <f t="shared" ca="1" si="34"/>
        <v>0</v>
      </c>
      <c r="E60" s="82">
        <f ca="1">IFERROR(__xludf.DUMMYFUNCTION("IMPORTRANGE(""https://docs.google.com/spreadsheets/d/1MeEWN-I1oV_STSDYn1IFDPWt_1FKiwhDph83XaGc0o0/edit?usp=sharing"",""งบพรบ!DT60"")"),0)</f>
        <v>0</v>
      </c>
      <c r="F60" s="82">
        <f ca="1">IFERROR(__xludf.DUMMYFUNCTION("IMPORTRANGE(""https://docs.google.com/spreadsheets/d/1MeEWN-I1oV_STSDYn1IFDPWt_1FKiwhDph83XaGc0o0/edit?usp=sharing"",""งบพรบ!DU60"")"),0)</f>
        <v>0</v>
      </c>
      <c r="G60" s="82">
        <f ca="1">IFERROR(__xludf.DUMMYFUNCTION("IMPORTRANGE(""https://docs.google.com/spreadsheets/d/1MeEWN-I1oV_STSDYn1IFDPWt_1FKiwhDph83XaGc0o0/edit?usp=sharing"",""งบพรบ!DV60"")"),0)</f>
        <v>0</v>
      </c>
      <c r="H60" s="82">
        <f ca="1">IFERROR(__xludf.DUMMYFUNCTION("IMPORTRANGE(""https://docs.google.com/spreadsheets/d/1MeEWN-I1oV_STSDYn1IFDPWt_1FKiwhDph83XaGc0o0/edit?usp=sharing"",""งบพรบ!DX60"")"),0)</f>
        <v>0</v>
      </c>
      <c r="I60" s="82">
        <f ca="1">IFERROR(__xludf.DUMMYFUNCTION("IMPORTRANGE(""https://docs.google.com/spreadsheets/d/1MeEWN-I1oV_STSDYn1IFDPWt_1FKiwhDph83XaGc0o0/edit?usp=sharing"",""งบพรบ!DY60"")"),0)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IFERROR(__xludf.DUMMYFUNCTION("IMPORTRANGE(""https://docs.google.com/spreadsheets/d/1MeEWN-I1oV_STSDYn1IFDPWt_1FKiwhDph83XaGc0o0/edit?usp=sharing"",""งบพรบ!DZ60"")"),0)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IFERROR(__xludf.DUMMYFUNCTION("IMPORTRANGE(""https://docs.google.com/spreadsheets/d/1MeEWN-I1oV_STSDYn1IFDPWt_1FKiwhDph83XaGc0o0/edit?usp=sharing"",""งบพรบ!EA60"")"),0)</f>
        <v>0</v>
      </c>
      <c r="P60" s="85">
        <f t="shared" ca="1" si="23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IFERROR(__xludf.DUMMYFUNCTION("IMPORTRANGE(""https://docs.google.com/spreadsheets/d/1tpwhWwkqkBeiSWCcfB5f2fbwPRbM9hHOEDSDHpl2MIc/edit?usp=sharing"",""นครปฐม!J308"")"),0)</f>
        <v>0</v>
      </c>
      <c r="S60" s="298">
        <f ca="1">IFERROR(__xludf.DUMMYFUNCTION("IMPORTRANGE(""https://docs.google.com/spreadsheets/d/1tpwhWwkqkBeiSWCcfB5f2fbwPRbM9hHOEDSDHpl2MIc/edit?usp=sharing"",""นครปฐม!I309"")"),0)</f>
        <v>0</v>
      </c>
      <c r="T60" s="181">
        <f ca="1">IFERROR(__xludf.DUMMYFUNCTION("IMPORTRANGE(""https://docs.google.com/spreadsheets/d/1tpwhWwkqkBeiSWCcfB5f2fbwPRbM9hHOEDSDHpl2MIc/edit?usp=sharing"",""นครปฐม!J309"")"),0)</f>
        <v>0</v>
      </c>
      <c r="U60" s="185">
        <f t="shared" ca="1" si="21"/>
        <v>0</v>
      </c>
      <c r="V60" s="181">
        <f ca="1">IFERROR(__xludf.DUMMYFUNCTION("IMPORTRANGE(""https://docs.google.com/spreadsheets/d/1tpwhWwkqkBeiSWCcfB5f2fbwPRbM9hHOEDSDHpl2MIc/edit?usp=sharing"",""นครปฐม!J310"")"),0)</f>
        <v>0</v>
      </c>
      <c r="W60" s="185">
        <f t="shared" ca="1" si="11"/>
        <v>0</v>
      </c>
      <c r="X60" s="181">
        <f ca="1">IFERROR(__xludf.DUMMYFUNCTION("IMPORTRANGE(""https://docs.google.com/spreadsheets/d/1tpwhWwkqkBeiSWCcfB5f2fbwPRbM9hHOEDSDHpl2MIc/edit?usp=sharing"",""นครปฐม!J311"")"),0)</f>
        <v>0</v>
      </c>
      <c r="Y60" s="185">
        <f t="shared" ca="1" si="12"/>
        <v>0</v>
      </c>
      <c r="Z60" s="298">
        <f ca="1">IFERROR(__xludf.DUMMYFUNCTION("IMPORTRANGE(""https://docs.google.com/spreadsheets/d/1tpwhWwkqkBeiSWCcfB5f2fbwPRbM9hHOEDSDHpl2MIc/edit?usp=sharing"",""นครปฐม!I312"")"),0)</f>
        <v>0</v>
      </c>
      <c r="AA60" s="181">
        <f ca="1">IFERROR(__xludf.DUMMYFUNCTION("IMPORTRANGE(""https://docs.google.com/spreadsheets/d/1tpwhWwkqkBeiSWCcfB5f2fbwPRbM9hHOEDSDHpl2MIc/edit?usp=sharing"",""นครปฐม!J312"")"),0)</f>
        <v>0</v>
      </c>
      <c r="AB60" s="185">
        <f t="shared" ca="1" si="14"/>
        <v>0</v>
      </c>
    </row>
    <row r="61" spans="1:28" ht="21" customHeight="1" x14ac:dyDescent="0.3">
      <c r="A61" s="78">
        <v>9</v>
      </c>
      <c r="B61" s="79" t="s">
        <v>83</v>
      </c>
      <c r="C61" s="80">
        <f t="shared" ca="1" si="0"/>
        <v>0</v>
      </c>
      <c r="D61" s="81">
        <f t="shared" ca="1" si="34"/>
        <v>0</v>
      </c>
      <c r="E61" s="82">
        <f ca="1">IFERROR(__xludf.DUMMYFUNCTION("IMPORTRANGE(""https://docs.google.com/spreadsheets/d/1MeEWN-I1oV_STSDYn1IFDPWt_1FKiwhDph83XaGc0o0/edit?usp=sharing"",""งบพรบ!DT61"")"),0)</f>
        <v>0</v>
      </c>
      <c r="F61" s="82">
        <f ca="1">IFERROR(__xludf.DUMMYFUNCTION("IMPORTRANGE(""https://docs.google.com/spreadsheets/d/1MeEWN-I1oV_STSDYn1IFDPWt_1FKiwhDph83XaGc0o0/edit?usp=sharing"",""งบพรบ!DU61"")"),0)</f>
        <v>0</v>
      </c>
      <c r="G61" s="82">
        <f ca="1">IFERROR(__xludf.DUMMYFUNCTION("IMPORTRANGE(""https://docs.google.com/spreadsheets/d/1MeEWN-I1oV_STSDYn1IFDPWt_1FKiwhDph83XaGc0o0/edit?usp=sharing"",""งบพรบ!DV61"")"),0)</f>
        <v>0</v>
      </c>
      <c r="H61" s="82">
        <f ca="1">IFERROR(__xludf.DUMMYFUNCTION("IMPORTRANGE(""https://docs.google.com/spreadsheets/d/1MeEWN-I1oV_STSDYn1IFDPWt_1FKiwhDph83XaGc0o0/edit?usp=sharing"",""งบพรบ!DX61"")"),0)</f>
        <v>0</v>
      </c>
      <c r="I61" s="82">
        <f ca="1">IFERROR(__xludf.DUMMYFUNCTION("IMPORTRANGE(""https://docs.google.com/spreadsheets/d/1MeEWN-I1oV_STSDYn1IFDPWt_1FKiwhDph83XaGc0o0/edit?usp=sharing"",""งบพรบ!DY61"")"),0)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IFERROR(__xludf.DUMMYFUNCTION("IMPORTRANGE(""https://docs.google.com/spreadsheets/d/1MeEWN-I1oV_STSDYn1IFDPWt_1FKiwhDph83XaGc0o0/edit?usp=sharing"",""งบพรบ!DZ61"")"),0)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IFERROR(__xludf.DUMMYFUNCTION("IMPORTRANGE(""https://docs.google.com/spreadsheets/d/1MeEWN-I1oV_STSDYn1IFDPWt_1FKiwhDph83XaGc0o0/edit?usp=sharing"",""งบพรบ!EA61"")"),0)</f>
        <v>0</v>
      </c>
      <c r="P61" s="85">
        <f t="shared" ca="1" si="23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IFERROR(__xludf.DUMMYFUNCTION("IMPORTRANGE(""https://docs.google.com/spreadsheets/d/1fJJCVBkBnhriyv0Cp5ZFMr0I_yrfdEITNpb4zILJgUQ/edit?usp=sharing"",""ปทุมธานี!J308"")"),0)</f>
        <v>0</v>
      </c>
      <c r="S61" s="298">
        <f ca="1">IFERROR(__xludf.DUMMYFUNCTION("IMPORTRANGE(""https://docs.google.com/spreadsheets/d/1fJJCVBkBnhriyv0Cp5ZFMr0I_yrfdEITNpb4zILJgUQ/edit?usp=sharing"",""ปทุมธานี!I309"")"),0)</f>
        <v>0</v>
      </c>
      <c r="T61" s="181">
        <f ca="1">IFERROR(__xludf.DUMMYFUNCTION("IMPORTRANGE(""https://docs.google.com/spreadsheets/d/1fJJCVBkBnhriyv0Cp5ZFMr0I_yrfdEITNpb4zILJgUQ/edit?usp=sharing"",""ปทุมธานี!J309"")"),0)</f>
        <v>0</v>
      </c>
      <c r="U61" s="185">
        <f t="shared" ca="1" si="21"/>
        <v>0</v>
      </c>
      <c r="V61" s="181">
        <f ca="1">IFERROR(__xludf.DUMMYFUNCTION("IMPORTRANGE(""https://docs.google.com/spreadsheets/d/1fJJCVBkBnhriyv0Cp5ZFMr0I_yrfdEITNpb4zILJgUQ/edit?usp=sharing"",""ปทุมธานี!J310"")"),0)</f>
        <v>0</v>
      </c>
      <c r="W61" s="185">
        <f t="shared" ca="1" si="11"/>
        <v>0</v>
      </c>
      <c r="X61" s="181">
        <f ca="1">IFERROR(__xludf.DUMMYFUNCTION("IMPORTRANGE(""https://docs.google.com/spreadsheets/d/1fJJCVBkBnhriyv0Cp5ZFMr0I_yrfdEITNpb4zILJgUQ/edit?usp=sharing"",""ปทุมธานี!J311"")"),0)</f>
        <v>0</v>
      </c>
      <c r="Y61" s="185">
        <f t="shared" ca="1" si="12"/>
        <v>0</v>
      </c>
      <c r="Z61" s="298">
        <f ca="1">IFERROR(__xludf.DUMMYFUNCTION("IMPORTRANGE(""https://docs.google.com/spreadsheets/d/1fJJCVBkBnhriyv0Cp5ZFMr0I_yrfdEITNpb4zILJgUQ/edit?usp=sharing"",""ปทุมธานี!I312"")"),0)</f>
        <v>0</v>
      </c>
      <c r="AA61" s="181">
        <f ca="1">IFERROR(__xludf.DUMMYFUNCTION("IMPORTRANGE(""https://docs.google.com/spreadsheets/d/1fJJCVBkBnhriyv0Cp5ZFMr0I_yrfdEITNpb4zILJgUQ/edit?usp=sharing"",""ปทุมธานี!J312"")"),0)</f>
        <v>0</v>
      </c>
      <c r="AB61" s="185">
        <f t="shared" ca="1" si="14"/>
        <v>0</v>
      </c>
    </row>
    <row r="62" spans="1:28" ht="21" customHeight="1" x14ac:dyDescent="0.3">
      <c r="A62" s="78">
        <v>10</v>
      </c>
      <c r="B62" s="79" t="s">
        <v>84</v>
      </c>
      <c r="C62" s="80">
        <f t="shared" ca="1" si="0"/>
        <v>0</v>
      </c>
      <c r="D62" s="81">
        <f t="shared" ca="1" si="34"/>
        <v>0</v>
      </c>
      <c r="E62" s="82">
        <f ca="1">IFERROR(__xludf.DUMMYFUNCTION("IMPORTRANGE(""https://docs.google.com/spreadsheets/d/1MeEWN-I1oV_STSDYn1IFDPWt_1FKiwhDph83XaGc0o0/edit?usp=sharing"",""งบพรบ!DT62"")"),0)</f>
        <v>0</v>
      </c>
      <c r="F62" s="82">
        <f ca="1">IFERROR(__xludf.DUMMYFUNCTION("IMPORTRANGE(""https://docs.google.com/spreadsheets/d/1MeEWN-I1oV_STSDYn1IFDPWt_1FKiwhDph83XaGc0o0/edit?usp=sharing"",""งบพรบ!DU62"")"),0)</f>
        <v>0</v>
      </c>
      <c r="G62" s="82">
        <f ca="1">IFERROR(__xludf.DUMMYFUNCTION("IMPORTRANGE(""https://docs.google.com/spreadsheets/d/1MeEWN-I1oV_STSDYn1IFDPWt_1FKiwhDph83XaGc0o0/edit?usp=sharing"",""งบพรบ!DV62"")"),0)</f>
        <v>0</v>
      </c>
      <c r="H62" s="82">
        <f ca="1">IFERROR(__xludf.DUMMYFUNCTION("IMPORTRANGE(""https://docs.google.com/spreadsheets/d/1MeEWN-I1oV_STSDYn1IFDPWt_1FKiwhDph83XaGc0o0/edit?usp=sharing"",""งบพรบ!DX62"")"),0)</f>
        <v>0</v>
      </c>
      <c r="I62" s="82">
        <f ca="1">IFERROR(__xludf.DUMMYFUNCTION("IMPORTRANGE(""https://docs.google.com/spreadsheets/d/1MeEWN-I1oV_STSDYn1IFDPWt_1FKiwhDph83XaGc0o0/edit?usp=sharing"",""งบพรบ!DY62"")"),0)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IFERROR(__xludf.DUMMYFUNCTION("IMPORTRANGE(""https://docs.google.com/spreadsheets/d/1MeEWN-I1oV_STSDYn1IFDPWt_1FKiwhDph83XaGc0o0/edit?usp=sharing"",""งบพรบ!DZ62"")"),0)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IFERROR(__xludf.DUMMYFUNCTION("IMPORTRANGE(""https://docs.google.com/spreadsheets/d/1MeEWN-I1oV_STSDYn1IFDPWt_1FKiwhDph83XaGc0o0/edit?usp=sharing"",""งบพรบ!EA62"")"),0)</f>
        <v>0</v>
      </c>
      <c r="P62" s="85">
        <f t="shared" ca="1" si="23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IFERROR(__xludf.DUMMYFUNCTION("IMPORTRANGE(""https://docs.google.com/spreadsheets/d/1W5Jj_S0gYw6wSO7QcMI02YgyOBDKYgmm0NSUk-AQEac/edit?usp=sharing"",""ประจวบคีรีขันธ์!J308"")"),0)</f>
        <v>0</v>
      </c>
      <c r="S62" s="298">
        <f ca="1">IFERROR(__xludf.DUMMYFUNCTION("IMPORTRANGE(""https://docs.google.com/spreadsheets/d/1W5Jj_S0gYw6wSO7QcMI02YgyOBDKYgmm0NSUk-AQEac/edit?usp=sharing"",""ประจวบคีรีขันธ์!I309"")"),0)</f>
        <v>0</v>
      </c>
      <c r="T62" s="181">
        <f ca="1">IFERROR(__xludf.DUMMYFUNCTION("IMPORTRANGE(""https://docs.google.com/spreadsheets/d/1W5Jj_S0gYw6wSO7QcMI02YgyOBDKYgmm0NSUk-AQEac/edit?usp=sharing"",""ประจวบคีรีขันธ์!J309"")"),0)</f>
        <v>0</v>
      </c>
      <c r="U62" s="185">
        <f t="shared" ca="1" si="21"/>
        <v>0</v>
      </c>
      <c r="V62" s="181">
        <f ca="1">IFERROR(__xludf.DUMMYFUNCTION("IMPORTRANGE(""https://docs.google.com/spreadsheets/d/1W5Jj_S0gYw6wSO7QcMI02YgyOBDKYgmm0NSUk-AQEac/edit?usp=sharing"",""ประจวบคีรีขันธ์!J310"")"),0)</f>
        <v>0</v>
      </c>
      <c r="W62" s="185">
        <f t="shared" ca="1" si="11"/>
        <v>0</v>
      </c>
      <c r="X62" s="181">
        <f ca="1">IFERROR(__xludf.DUMMYFUNCTION("IMPORTRANGE(""https://docs.google.com/spreadsheets/d/1W5Jj_S0gYw6wSO7QcMI02YgyOBDKYgmm0NSUk-AQEac/edit?usp=sharing"",""ประจวบคีรีขันธ์!J311"")"),0)</f>
        <v>0</v>
      </c>
      <c r="Y62" s="185">
        <f t="shared" ca="1" si="12"/>
        <v>0</v>
      </c>
      <c r="Z62" s="298">
        <f ca="1">IFERROR(__xludf.DUMMYFUNCTION("IMPORTRANGE(""https://docs.google.com/spreadsheets/d/1W5Jj_S0gYw6wSO7QcMI02YgyOBDKYgmm0NSUk-AQEac/edit?usp=sharing"",""ประจวบคีรีขันธ์!I312"")"),0)</f>
        <v>0</v>
      </c>
      <c r="AA62" s="181">
        <f ca="1">IFERROR(__xludf.DUMMYFUNCTION("IMPORTRANGE(""https://docs.google.com/spreadsheets/d/1W5Jj_S0gYw6wSO7QcMI02YgyOBDKYgmm0NSUk-AQEac/edit?usp=sharing"",""ประจวบคีรีขันธ์!J312"")"),0)</f>
        <v>0</v>
      </c>
      <c r="AB62" s="185">
        <f t="shared" ca="1" si="14"/>
        <v>0</v>
      </c>
    </row>
    <row r="63" spans="1:28" ht="21" customHeight="1" x14ac:dyDescent="0.3">
      <c r="A63" s="78">
        <v>11</v>
      </c>
      <c r="B63" s="79" t="s">
        <v>85</v>
      </c>
      <c r="C63" s="80">
        <f t="shared" ca="1" si="0"/>
        <v>206800</v>
      </c>
      <c r="D63" s="81">
        <f t="shared" ca="1" si="34"/>
        <v>206800</v>
      </c>
      <c r="E63" s="82">
        <f ca="1">IFERROR(__xludf.DUMMYFUNCTION("IMPORTRANGE(""https://docs.google.com/spreadsheets/d/1MeEWN-I1oV_STSDYn1IFDPWt_1FKiwhDph83XaGc0o0/edit?usp=sharing"",""งบพรบ!DT63"")"),143000)</f>
        <v>143000</v>
      </c>
      <c r="F63" s="82">
        <f ca="1">IFERROR(__xludf.DUMMYFUNCTION("IMPORTRANGE(""https://docs.google.com/spreadsheets/d/1MeEWN-I1oV_STSDYn1IFDPWt_1FKiwhDph83XaGc0o0/edit?usp=sharing"",""งบพรบ!DU63"")"),63800)</f>
        <v>63800</v>
      </c>
      <c r="G63" s="82">
        <f ca="1">IFERROR(__xludf.DUMMYFUNCTION("IMPORTRANGE(""https://docs.google.com/spreadsheets/d/1MeEWN-I1oV_STSDYn1IFDPWt_1FKiwhDph83XaGc0o0/edit?usp=sharing"",""งบพรบ!DV63"")"),0)</f>
        <v>0</v>
      </c>
      <c r="H63" s="82">
        <f ca="1">IFERROR(__xludf.DUMMYFUNCTION("IMPORTRANGE(""https://docs.google.com/spreadsheets/d/1MeEWN-I1oV_STSDYn1IFDPWt_1FKiwhDph83XaGc0o0/edit?usp=sharing"",""งบพรบ!DX63"")"),141840)</f>
        <v>141840</v>
      </c>
      <c r="I63" s="82">
        <f ca="1">IFERROR(__xludf.DUMMYFUNCTION("IMPORTRANGE(""https://docs.google.com/spreadsheets/d/1MeEWN-I1oV_STSDYn1IFDPWt_1FKiwhDph83XaGc0o0/edit?usp=sharing"",""งบพรบ!DY63"")"),0)</f>
        <v>0</v>
      </c>
      <c r="J63" s="82">
        <f t="shared" ca="1" si="3"/>
        <v>75820</v>
      </c>
      <c r="K63" s="83">
        <f t="shared" ca="1" si="4"/>
        <v>36.663442940038685</v>
      </c>
      <c r="L63" s="82">
        <f ca="1">IFERROR(__xludf.DUMMYFUNCTION("IMPORTRANGE(""https://docs.google.com/spreadsheets/d/1MeEWN-I1oV_STSDYn1IFDPWt_1FKiwhDph83XaGc0o0/edit?usp=sharing"",""งบพรบ!DZ63"")"),75820)</f>
        <v>75820</v>
      </c>
      <c r="M63" s="84">
        <f t="shared" ca="1" si="5"/>
        <v>36.663442940038685</v>
      </c>
      <c r="N63" s="84">
        <f t="shared" ca="1" si="6"/>
        <v>53.454596728708403</v>
      </c>
      <c r="O63" s="85">
        <f ca="1">IFERROR(__xludf.DUMMYFUNCTION("IMPORTRANGE(""https://docs.google.com/spreadsheets/d/1MeEWN-I1oV_STSDYn1IFDPWt_1FKiwhDph83XaGc0o0/edit?usp=sharing"",""งบพรบ!EA63"")"),0)</f>
        <v>0</v>
      </c>
      <c r="P63" s="85">
        <f t="shared" ca="1" si="23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IFERROR(__xludf.DUMMYFUNCTION("IMPORTRANGE(""https://docs.google.com/spreadsheets/d/1nYxRXgnCfTXtqUY1otYuTlnrzE0Tn-Y0YRsW5pkRVqo/edit?usp=sharing"",""ปราจีนบุรี!J308"")"),1)</f>
        <v>1</v>
      </c>
      <c r="S63" s="298">
        <f ca="1">IFERROR(__xludf.DUMMYFUNCTION("IMPORTRANGE(""https://docs.google.com/spreadsheets/d/1nYxRXgnCfTXtqUY1otYuTlnrzE0Tn-Y0YRsW5pkRVqo/edit?usp=sharing"",""ปราจีนบุรี!I309"")"),15)</f>
        <v>15</v>
      </c>
      <c r="T63" s="181">
        <f ca="1">IFERROR(__xludf.DUMMYFUNCTION("IMPORTRANGE(""https://docs.google.com/spreadsheets/d/1nYxRXgnCfTXtqUY1otYuTlnrzE0Tn-Y0YRsW5pkRVqo/edit?usp=sharing"",""ปราจีนบุรี!J309"")"),15)</f>
        <v>15</v>
      </c>
      <c r="U63" s="185">
        <f t="shared" ca="1" si="21"/>
        <v>100</v>
      </c>
      <c r="V63" s="181">
        <f ca="1">IFERROR(__xludf.DUMMYFUNCTION("IMPORTRANGE(""https://docs.google.com/spreadsheets/d/1nYxRXgnCfTXtqUY1otYuTlnrzE0Tn-Y0YRsW5pkRVqo/edit?usp=sharing"",""ปราจีนบุรี!J310"")"),0)</f>
        <v>0</v>
      </c>
      <c r="W63" s="185">
        <f t="shared" ca="1" si="11"/>
        <v>0</v>
      </c>
      <c r="X63" s="181">
        <f ca="1">IFERROR(__xludf.DUMMYFUNCTION("IMPORTRANGE(""https://docs.google.com/spreadsheets/d/1nYxRXgnCfTXtqUY1otYuTlnrzE0Tn-Y0YRsW5pkRVqo/edit?usp=sharing"",""ปราจีนบุรี!J311"")"),0)</f>
        <v>0</v>
      </c>
      <c r="Y63" s="185">
        <f t="shared" ca="1" si="12"/>
        <v>0</v>
      </c>
      <c r="Z63" s="298">
        <f ca="1">IFERROR(__xludf.DUMMYFUNCTION("IMPORTRANGE(""https://docs.google.com/spreadsheets/d/1nYxRXgnCfTXtqUY1otYuTlnrzE0Tn-Y0YRsW5pkRVqo/edit?usp=sharing"",""ปราจีนบุรี!I312"")"),3)</f>
        <v>3</v>
      </c>
      <c r="AA63" s="181">
        <f ca="1">IFERROR(__xludf.DUMMYFUNCTION("IMPORTRANGE(""https://docs.google.com/spreadsheets/d/1nYxRXgnCfTXtqUY1otYuTlnrzE0Tn-Y0YRsW5pkRVqo/edit?usp=sharing"",""ปราจีนบุรี!J312"")"),0)</f>
        <v>0</v>
      </c>
      <c r="AB63" s="185">
        <f t="shared" ca="1" si="14"/>
        <v>0</v>
      </c>
    </row>
    <row r="64" spans="1:28" ht="21" customHeight="1" x14ac:dyDescent="0.3">
      <c r="A64" s="78">
        <v>12</v>
      </c>
      <c r="B64" s="79" t="s">
        <v>86</v>
      </c>
      <c r="C64" s="80">
        <f t="shared" ca="1" si="0"/>
        <v>63800</v>
      </c>
      <c r="D64" s="81">
        <f t="shared" ca="1" si="34"/>
        <v>63800</v>
      </c>
      <c r="E64" s="82">
        <f ca="1">IFERROR(__xludf.DUMMYFUNCTION("IMPORTRANGE(""https://docs.google.com/spreadsheets/d/1MeEWN-I1oV_STSDYn1IFDPWt_1FKiwhDph83XaGc0o0/edit?usp=sharing"",""งบพรบ!DT64"")"),0)</f>
        <v>0</v>
      </c>
      <c r="F64" s="82">
        <f ca="1">IFERROR(__xludf.DUMMYFUNCTION("IMPORTRANGE(""https://docs.google.com/spreadsheets/d/1MeEWN-I1oV_STSDYn1IFDPWt_1FKiwhDph83XaGc0o0/edit?usp=sharing"",""งบพรบ!DU64"")"),63800)</f>
        <v>63800</v>
      </c>
      <c r="G64" s="82">
        <f ca="1">IFERROR(__xludf.DUMMYFUNCTION("IMPORTRANGE(""https://docs.google.com/spreadsheets/d/1MeEWN-I1oV_STSDYn1IFDPWt_1FKiwhDph83XaGc0o0/edit?usp=sharing"",""งบพรบ!DV64"")"),0)</f>
        <v>0</v>
      </c>
      <c r="H64" s="82">
        <f ca="1">IFERROR(__xludf.DUMMYFUNCTION("IMPORTRANGE(""https://docs.google.com/spreadsheets/d/1MeEWN-I1oV_STSDYn1IFDPWt_1FKiwhDph83XaGc0o0/edit?usp=sharing"",""งบพรบ!DX64"")"),37840)</f>
        <v>37840</v>
      </c>
      <c r="I64" s="82">
        <f ca="1">IFERROR(__xludf.DUMMYFUNCTION("IMPORTRANGE(""https://docs.google.com/spreadsheets/d/1MeEWN-I1oV_STSDYn1IFDPWt_1FKiwhDph83XaGc0o0/edit?usp=sharing"",""งบพรบ!DY64"")"),0)</f>
        <v>0</v>
      </c>
      <c r="J64" s="82">
        <f t="shared" ca="1" si="3"/>
        <v>37775.4</v>
      </c>
      <c r="K64" s="83">
        <f t="shared" ca="1" si="4"/>
        <v>59.209090909090911</v>
      </c>
      <c r="L64" s="82">
        <f ca="1">IFERROR(__xludf.DUMMYFUNCTION("IMPORTRANGE(""https://docs.google.com/spreadsheets/d/1MeEWN-I1oV_STSDYn1IFDPWt_1FKiwhDph83XaGc0o0/edit?usp=sharing"",""งบพรบ!DZ64"")"),37775.4)</f>
        <v>37775.4</v>
      </c>
      <c r="M64" s="84">
        <f t="shared" ca="1" si="5"/>
        <v>59.209090909090911</v>
      </c>
      <c r="N64" s="84">
        <f t="shared" ca="1" si="6"/>
        <v>99.829281183932352</v>
      </c>
      <c r="O64" s="85">
        <f ca="1">IFERROR(__xludf.DUMMYFUNCTION("IMPORTRANGE(""https://docs.google.com/spreadsheets/d/1MeEWN-I1oV_STSDYn1IFDPWt_1FKiwhDph83XaGc0o0/edit?usp=sharing"",""งบพรบ!EA64"")"),0)</f>
        <v>0</v>
      </c>
      <c r="P64" s="85">
        <f t="shared" ca="1" si="23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IFERROR(__xludf.DUMMYFUNCTION("IMPORTRANGE(""https://docs.google.com/spreadsheets/d/1nNHCLO8ZAXOMfQvxux7cf_hrzPAh8FAvaHq_ClKbZNo/edit?usp=sharing"",""พระนครศรีอยุธยา!J308"")"),0)</f>
        <v>0</v>
      </c>
      <c r="S64" s="298">
        <f ca="1">IFERROR(__xludf.DUMMYFUNCTION("IMPORTRANGE(""https://docs.google.com/spreadsheets/d/1nNHCLO8ZAXOMfQvxux7cf_hrzPAh8FAvaHq_ClKbZNo/edit?usp=sharing"",""พระนครศรีอยุธยา!I309"")"),15)</f>
        <v>15</v>
      </c>
      <c r="T64" s="181">
        <f ca="1">IFERROR(__xludf.DUMMYFUNCTION("IMPORTRANGE(""https://docs.google.com/spreadsheets/d/1nNHCLO8ZAXOMfQvxux7cf_hrzPAh8FAvaHq_ClKbZNo/edit?usp=sharing"",""พระนครศรีอยุธยา!J309"")"),15)</f>
        <v>15</v>
      </c>
      <c r="U64" s="185">
        <f t="shared" ca="1" si="21"/>
        <v>100</v>
      </c>
      <c r="V64" s="181">
        <f ca="1">IFERROR(__xludf.DUMMYFUNCTION("IMPORTRANGE(""https://docs.google.com/spreadsheets/d/1nNHCLO8ZAXOMfQvxux7cf_hrzPAh8FAvaHq_ClKbZNo/edit?usp=sharing"",""พระนครศรีอยุธยา!J310"")"),15)</f>
        <v>15</v>
      </c>
      <c r="W64" s="185">
        <f t="shared" ca="1" si="11"/>
        <v>100</v>
      </c>
      <c r="X64" s="181">
        <f ca="1">IFERROR(__xludf.DUMMYFUNCTION("IMPORTRANGE(""https://docs.google.com/spreadsheets/d/1nNHCLO8ZAXOMfQvxux7cf_hrzPAh8FAvaHq_ClKbZNo/edit?usp=sharing"",""พระนครศรีอยุธยา!J311"")"),0)</f>
        <v>0</v>
      </c>
      <c r="Y64" s="185">
        <f t="shared" ca="1" si="12"/>
        <v>0</v>
      </c>
      <c r="Z64" s="298">
        <f ca="1">IFERROR(__xludf.DUMMYFUNCTION("IMPORTRANGE(""https://docs.google.com/spreadsheets/d/1nNHCLO8ZAXOMfQvxux7cf_hrzPAh8FAvaHq_ClKbZNo/edit?usp=sharing"",""พระนครศรีอยุธยา!I312"")"),3)</f>
        <v>3</v>
      </c>
      <c r="AA64" s="181">
        <f ca="1">IFERROR(__xludf.DUMMYFUNCTION("IMPORTRANGE(""https://docs.google.com/spreadsheets/d/1nNHCLO8ZAXOMfQvxux7cf_hrzPAh8FAvaHq_ClKbZNo/edit?usp=sharing"",""พระนครศรีอยุธยา!J312"")"),0)</f>
        <v>0</v>
      </c>
      <c r="AB64" s="185">
        <f t="shared" ca="1" si="14"/>
        <v>0</v>
      </c>
    </row>
    <row r="65" spans="1:28" ht="21" customHeight="1" x14ac:dyDescent="0.3">
      <c r="A65" s="78">
        <v>13</v>
      </c>
      <c r="B65" s="79" t="s">
        <v>87</v>
      </c>
      <c r="C65" s="80">
        <f t="shared" ca="1" si="0"/>
        <v>0</v>
      </c>
      <c r="D65" s="81">
        <f t="shared" ca="1" si="34"/>
        <v>0</v>
      </c>
      <c r="E65" s="82">
        <f ca="1">IFERROR(__xludf.DUMMYFUNCTION("IMPORTRANGE(""https://docs.google.com/spreadsheets/d/1MeEWN-I1oV_STSDYn1IFDPWt_1FKiwhDph83XaGc0o0/edit?usp=sharing"",""งบพรบ!DT65"")"),0)</f>
        <v>0</v>
      </c>
      <c r="F65" s="82">
        <f ca="1">IFERROR(__xludf.DUMMYFUNCTION("IMPORTRANGE(""https://docs.google.com/spreadsheets/d/1MeEWN-I1oV_STSDYn1IFDPWt_1FKiwhDph83XaGc0o0/edit?usp=sharing"",""งบพรบ!DU65"")"),0)</f>
        <v>0</v>
      </c>
      <c r="G65" s="82">
        <f ca="1">IFERROR(__xludf.DUMMYFUNCTION("IMPORTRANGE(""https://docs.google.com/spreadsheets/d/1MeEWN-I1oV_STSDYn1IFDPWt_1FKiwhDph83XaGc0o0/edit?usp=sharing"",""งบพรบ!DV65"")"),0)</f>
        <v>0</v>
      </c>
      <c r="H65" s="82">
        <f ca="1">IFERROR(__xludf.DUMMYFUNCTION("IMPORTRANGE(""https://docs.google.com/spreadsheets/d/1MeEWN-I1oV_STSDYn1IFDPWt_1FKiwhDph83XaGc0o0/edit?usp=sharing"",""งบพรบ!DX65"")"),0)</f>
        <v>0</v>
      </c>
      <c r="I65" s="82">
        <f ca="1">IFERROR(__xludf.DUMMYFUNCTION("IMPORTRANGE(""https://docs.google.com/spreadsheets/d/1MeEWN-I1oV_STSDYn1IFDPWt_1FKiwhDph83XaGc0o0/edit?usp=sharing"",""งบพรบ!DY65"")"),0)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IFERROR(__xludf.DUMMYFUNCTION("IMPORTRANGE(""https://docs.google.com/spreadsheets/d/1MeEWN-I1oV_STSDYn1IFDPWt_1FKiwhDph83XaGc0o0/edit?usp=sharing"",""งบพรบ!DZ65"")"),0)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IFERROR(__xludf.DUMMYFUNCTION("IMPORTRANGE(""https://docs.google.com/spreadsheets/d/1MeEWN-I1oV_STSDYn1IFDPWt_1FKiwhDph83XaGc0o0/edit?usp=sharing"",""งบพรบ!EA65"")"),0)</f>
        <v>0</v>
      </c>
      <c r="P65" s="85">
        <f t="shared" ca="1" si="23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IFERROR(__xludf.DUMMYFUNCTION("IMPORTRANGE(""https://docs.google.com/spreadsheets/d/1CdNicvf3i6yt4tJlCePe3V1Va76wYqW0QzMzTsaGRrA/edit?usp=sharing"",""เพชรบุรี!J308"")"),0)</f>
        <v>0</v>
      </c>
      <c r="S65" s="298">
        <f ca="1">IFERROR(__xludf.DUMMYFUNCTION("IMPORTRANGE(""https://docs.google.com/spreadsheets/d/1CdNicvf3i6yt4tJlCePe3V1Va76wYqW0QzMzTsaGRrA/edit?usp=sharing"",""เพชรบุรี!I309"")"),0)</f>
        <v>0</v>
      </c>
      <c r="T65" s="181">
        <f ca="1">IFERROR(__xludf.DUMMYFUNCTION("IMPORTRANGE(""https://docs.google.com/spreadsheets/d/1CdNicvf3i6yt4tJlCePe3V1Va76wYqW0QzMzTsaGRrA/edit?usp=sharing"",""เพชรบุรี!J309"")"),0)</f>
        <v>0</v>
      </c>
      <c r="U65" s="185">
        <f t="shared" ca="1" si="21"/>
        <v>0</v>
      </c>
      <c r="V65" s="181">
        <f ca="1">IFERROR(__xludf.DUMMYFUNCTION("IMPORTRANGE(""https://docs.google.com/spreadsheets/d/1CdNicvf3i6yt4tJlCePe3V1Va76wYqW0QzMzTsaGRrA/edit?usp=sharing"",""เพชรบุรี!J310"")"),0)</f>
        <v>0</v>
      </c>
      <c r="W65" s="185">
        <f t="shared" ca="1" si="11"/>
        <v>0</v>
      </c>
      <c r="X65" s="181">
        <f ca="1">IFERROR(__xludf.DUMMYFUNCTION("IMPORTRANGE(""https://docs.google.com/spreadsheets/d/1CdNicvf3i6yt4tJlCePe3V1Va76wYqW0QzMzTsaGRrA/edit?usp=sharing"",""เพชรบุรี!J311"")"),0)</f>
        <v>0</v>
      </c>
      <c r="Y65" s="185">
        <f t="shared" ca="1" si="12"/>
        <v>0</v>
      </c>
      <c r="Z65" s="298">
        <f ca="1">IFERROR(__xludf.DUMMYFUNCTION("IMPORTRANGE(""https://docs.google.com/spreadsheets/d/1CdNicvf3i6yt4tJlCePe3V1Va76wYqW0QzMzTsaGRrA/edit?usp=sharing"",""เพชรบุรี!I312"")"),0)</f>
        <v>0</v>
      </c>
      <c r="AA65" s="181">
        <f ca="1">IFERROR(__xludf.DUMMYFUNCTION("IMPORTRANGE(""https://docs.google.com/spreadsheets/d/1CdNicvf3i6yt4tJlCePe3V1Va76wYqW0QzMzTsaGRrA/edit?usp=sharing"",""เพชรบุรี!J312"")"),0)</f>
        <v>0</v>
      </c>
      <c r="AB65" s="185">
        <f t="shared" ca="1" si="14"/>
        <v>0</v>
      </c>
    </row>
    <row r="66" spans="1:28" ht="21" customHeight="1" x14ac:dyDescent="0.3">
      <c r="A66" s="78">
        <v>14</v>
      </c>
      <c r="B66" s="79" t="s">
        <v>88</v>
      </c>
      <c r="C66" s="80">
        <f t="shared" ca="1" si="0"/>
        <v>244000</v>
      </c>
      <c r="D66" s="81">
        <f t="shared" ca="1" si="34"/>
        <v>244000</v>
      </c>
      <c r="E66" s="82">
        <f ca="1">IFERROR(__xludf.DUMMYFUNCTION("IMPORTRANGE(""https://docs.google.com/spreadsheets/d/1MeEWN-I1oV_STSDYn1IFDPWt_1FKiwhDph83XaGc0o0/edit?usp=sharing"",""งบพรบ!DT66"")"),143000)</f>
        <v>143000</v>
      </c>
      <c r="F66" s="82">
        <f ca="1">IFERROR(__xludf.DUMMYFUNCTION("IMPORTRANGE(""https://docs.google.com/spreadsheets/d/1MeEWN-I1oV_STSDYn1IFDPWt_1FKiwhDph83XaGc0o0/edit?usp=sharing"",""งบพรบ!DU66"")"),101000)</f>
        <v>101000</v>
      </c>
      <c r="G66" s="82">
        <f ca="1">IFERROR(__xludf.DUMMYFUNCTION("IMPORTRANGE(""https://docs.google.com/spreadsheets/d/1MeEWN-I1oV_STSDYn1IFDPWt_1FKiwhDph83XaGc0o0/edit?usp=sharing"",""งบพรบ!DV66"")"),0)</f>
        <v>0</v>
      </c>
      <c r="H66" s="82">
        <f ca="1">IFERROR(__xludf.DUMMYFUNCTION("IMPORTRANGE(""https://docs.google.com/spreadsheets/d/1MeEWN-I1oV_STSDYn1IFDPWt_1FKiwhDph83XaGc0o0/edit?usp=sharing"",""งบพรบ!DX66"")"),164400)</f>
        <v>164400</v>
      </c>
      <c r="I66" s="82">
        <f ca="1">IFERROR(__xludf.DUMMYFUNCTION("IMPORTRANGE(""https://docs.google.com/spreadsheets/d/1MeEWN-I1oV_STSDYn1IFDPWt_1FKiwhDph83XaGc0o0/edit?usp=sharing"",""งบพรบ!DY66"")"),0)</f>
        <v>0</v>
      </c>
      <c r="J66" s="82">
        <f t="shared" ca="1" si="3"/>
        <v>98047</v>
      </c>
      <c r="K66" s="83">
        <f t="shared" ca="1" si="4"/>
        <v>40.183196721311475</v>
      </c>
      <c r="L66" s="82">
        <f ca="1">IFERROR(__xludf.DUMMYFUNCTION("IMPORTRANGE(""https://docs.google.com/spreadsheets/d/1MeEWN-I1oV_STSDYn1IFDPWt_1FKiwhDph83XaGc0o0/edit?usp=sharing"",""งบพรบ!DZ66"")"),98047)</f>
        <v>98047</v>
      </c>
      <c r="M66" s="84">
        <f t="shared" ca="1" si="5"/>
        <v>40.183196721311475</v>
      </c>
      <c r="N66" s="84">
        <f t="shared" ca="1" si="6"/>
        <v>59.639294403892947</v>
      </c>
      <c r="O66" s="85">
        <f ca="1">IFERROR(__xludf.DUMMYFUNCTION("IMPORTRANGE(""https://docs.google.com/spreadsheets/d/1MeEWN-I1oV_STSDYn1IFDPWt_1FKiwhDph83XaGc0o0/edit?usp=sharing"",""งบพรบ!EA66"")"),0)</f>
        <v>0</v>
      </c>
      <c r="P66" s="85">
        <f t="shared" ca="1" si="23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IFERROR(__xludf.DUMMYFUNCTION("IMPORTRANGE(""https://docs.google.com/spreadsheets/d/1XiF77UIVHV0Kjc6xbXuOuJ10WgJYxd4p_22ngKVV5oM/edit?usp=sharing"",""ระยอง!J308"")"),1)</f>
        <v>1</v>
      </c>
      <c r="S66" s="298">
        <f ca="1">IFERROR(__xludf.DUMMYFUNCTION("IMPORTRANGE(""https://docs.google.com/spreadsheets/d/1XiF77UIVHV0Kjc6xbXuOuJ10WgJYxd4p_22ngKVV5oM/edit?usp=sharing"",""ระยอง!I309"")"),25)</f>
        <v>25</v>
      </c>
      <c r="T66" s="181">
        <f ca="1">IFERROR(__xludf.DUMMYFUNCTION("IMPORTRANGE(""https://docs.google.com/spreadsheets/d/1XiF77UIVHV0Kjc6xbXuOuJ10WgJYxd4p_22ngKVV5oM/edit?usp=sharing"",""ระยอง!J309"")"),25)</f>
        <v>25</v>
      </c>
      <c r="U66" s="185">
        <f t="shared" ca="1" si="21"/>
        <v>100</v>
      </c>
      <c r="V66" s="181">
        <f ca="1">IFERROR(__xludf.DUMMYFUNCTION("IMPORTRANGE(""https://docs.google.com/spreadsheets/d/1XiF77UIVHV0Kjc6xbXuOuJ10WgJYxd4p_22ngKVV5oM/edit?usp=sharing"",""ระยอง!J310"")"),25)</f>
        <v>25</v>
      </c>
      <c r="W66" s="185">
        <f t="shared" ca="1" si="11"/>
        <v>100</v>
      </c>
      <c r="X66" s="181">
        <f ca="1">IFERROR(__xludf.DUMMYFUNCTION("IMPORTRANGE(""https://docs.google.com/spreadsheets/d/1XiF77UIVHV0Kjc6xbXuOuJ10WgJYxd4p_22ngKVV5oM/edit?usp=sharing"",""ระยอง!J311"")"),0)</f>
        <v>0</v>
      </c>
      <c r="Y66" s="185">
        <f t="shared" ca="1" si="12"/>
        <v>0</v>
      </c>
      <c r="Z66" s="298">
        <f ca="1">IFERROR(__xludf.DUMMYFUNCTION("IMPORTRANGE(""https://docs.google.com/spreadsheets/d/1XiF77UIVHV0Kjc6xbXuOuJ10WgJYxd4p_22ngKVV5oM/edit?usp=sharing"",""ระยอง!I312"")"),5)</f>
        <v>5</v>
      </c>
      <c r="AA66" s="181">
        <f ca="1">IFERROR(__xludf.DUMMYFUNCTION("IMPORTRANGE(""https://docs.google.com/spreadsheets/d/1XiF77UIVHV0Kjc6xbXuOuJ10WgJYxd4p_22ngKVV5oM/edit?usp=sharing"",""ระยอง!J312"")"),0)</f>
        <v>0</v>
      </c>
      <c r="AB66" s="185">
        <f t="shared" ca="1" si="14"/>
        <v>0</v>
      </c>
    </row>
    <row r="67" spans="1:28" ht="21" customHeight="1" x14ac:dyDescent="0.3">
      <c r="A67" s="78">
        <v>15</v>
      </c>
      <c r="B67" s="79" t="s">
        <v>89</v>
      </c>
      <c r="C67" s="80">
        <f t="shared" ca="1" si="0"/>
        <v>206800</v>
      </c>
      <c r="D67" s="81">
        <f t="shared" ca="1" si="34"/>
        <v>206800</v>
      </c>
      <c r="E67" s="82">
        <f ca="1">IFERROR(__xludf.DUMMYFUNCTION("IMPORTRANGE(""https://docs.google.com/spreadsheets/d/1MeEWN-I1oV_STSDYn1IFDPWt_1FKiwhDph83XaGc0o0/edit?usp=sharing"",""งบพรบ!DT67"")"),143000)</f>
        <v>143000</v>
      </c>
      <c r="F67" s="82">
        <f ca="1">IFERROR(__xludf.DUMMYFUNCTION("IMPORTRANGE(""https://docs.google.com/spreadsheets/d/1MeEWN-I1oV_STSDYn1IFDPWt_1FKiwhDph83XaGc0o0/edit?usp=sharing"",""งบพรบ!DU67"")"),63800)</f>
        <v>63800</v>
      </c>
      <c r="G67" s="82">
        <f ca="1">IFERROR(__xludf.DUMMYFUNCTION("IMPORTRANGE(""https://docs.google.com/spreadsheets/d/1MeEWN-I1oV_STSDYn1IFDPWt_1FKiwhDph83XaGc0o0/edit?usp=sharing"",""งบพรบ!DV67"")"),0)</f>
        <v>0</v>
      </c>
      <c r="H67" s="82">
        <f ca="1">IFERROR(__xludf.DUMMYFUNCTION("IMPORTRANGE(""https://docs.google.com/spreadsheets/d/1MeEWN-I1oV_STSDYn1IFDPWt_1FKiwhDph83XaGc0o0/edit?usp=sharing"",""งบพรบ!DX67"")"),141840)</f>
        <v>141840</v>
      </c>
      <c r="I67" s="82">
        <f ca="1">IFERROR(__xludf.DUMMYFUNCTION("IMPORTRANGE(""https://docs.google.com/spreadsheets/d/1MeEWN-I1oV_STSDYn1IFDPWt_1FKiwhDph83XaGc0o0/edit?usp=sharing"",""งบพรบ!DY67"")"),0)</f>
        <v>0</v>
      </c>
      <c r="J67" s="82">
        <f t="shared" ca="1" si="3"/>
        <v>79633.600000000006</v>
      </c>
      <c r="K67" s="83">
        <f t="shared" ca="1" si="4"/>
        <v>38.507543520309483</v>
      </c>
      <c r="L67" s="82">
        <f ca="1">IFERROR(__xludf.DUMMYFUNCTION("IMPORTRANGE(""https://docs.google.com/spreadsheets/d/1MeEWN-I1oV_STSDYn1IFDPWt_1FKiwhDph83XaGc0o0/edit?usp=sharing"",""งบพรบ!DZ67"")"),79633.6)</f>
        <v>79633.600000000006</v>
      </c>
      <c r="M67" s="84">
        <f t="shared" ca="1" si="5"/>
        <v>38.507543520309483</v>
      </c>
      <c r="N67" s="84">
        <f t="shared" ca="1" si="6"/>
        <v>56.143260011280326</v>
      </c>
      <c r="O67" s="85">
        <f ca="1">IFERROR(__xludf.DUMMYFUNCTION("IMPORTRANGE(""https://docs.google.com/spreadsheets/d/1MeEWN-I1oV_STSDYn1IFDPWt_1FKiwhDph83XaGc0o0/edit?usp=sharing"",""งบพรบ!EA67"")"),0)</f>
        <v>0</v>
      </c>
      <c r="P67" s="85">
        <f t="shared" ca="1" si="23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IFERROR(__xludf.DUMMYFUNCTION("IMPORTRANGE(""https://docs.google.com/spreadsheets/d/1qU-W_9MCQD1pgIVXGEOjCFo9QqlmJywuebyGgaN92r8/edit?usp=sharing"",""ราชบุรี!J308"")"),1)</f>
        <v>1</v>
      </c>
      <c r="S67" s="298">
        <f ca="1">IFERROR(__xludf.DUMMYFUNCTION("IMPORTRANGE(""https://docs.google.com/spreadsheets/d/1qU-W_9MCQD1pgIVXGEOjCFo9QqlmJywuebyGgaN92r8/edit?usp=sharing"",""ราชบุรี!I309"")"),15)</f>
        <v>15</v>
      </c>
      <c r="T67" s="181">
        <f ca="1">IFERROR(__xludf.DUMMYFUNCTION("IMPORTRANGE(""https://docs.google.com/spreadsheets/d/1qU-W_9MCQD1pgIVXGEOjCFo9QqlmJywuebyGgaN92r8/edit?usp=sharing"",""ราชบุรี!J309"")"),0)</f>
        <v>0</v>
      </c>
      <c r="U67" s="185">
        <f t="shared" ca="1" si="21"/>
        <v>0</v>
      </c>
      <c r="V67" s="181">
        <f ca="1">IFERROR(__xludf.DUMMYFUNCTION("IMPORTRANGE(""https://docs.google.com/spreadsheets/d/1qU-W_9MCQD1pgIVXGEOjCFo9QqlmJywuebyGgaN92r8/edit?usp=sharing"",""ราชบุรี!J310"")"),15)</f>
        <v>15</v>
      </c>
      <c r="W67" s="185">
        <f t="shared" ca="1" si="11"/>
        <v>100</v>
      </c>
      <c r="X67" s="181">
        <f ca="1">IFERROR(__xludf.DUMMYFUNCTION("IMPORTRANGE(""https://docs.google.com/spreadsheets/d/1qU-W_9MCQD1pgIVXGEOjCFo9QqlmJywuebyGgaN92r8/edit?usp=sharing"",""ราชบุรี!J311"")"),0)</f>
        <v>0</v>
      </c>
      <c r="Y67" s="185">
        <f t="shared" ca="1" si="12"/>
        <v>0</v>
      </c>
      <c r="Z67" s="298">
        <f ca="1">IFERROR(__xludf.DUMMYFUNCTION("IMPORTRANGE(""https://docs.google.com/spreadsheets/d/1qU-W_9MCQD1pgIVXGEOjCFo9QqlmJywuebyGgaN92r8/edit?usp=sharing"",""ราชบุรี!I312"")"),3)</f>
        <v>3</v>
      </c>
      <c r="AA67" s="181">
        <f ca="1">IFERROR(__xludf.DUMMYFUNCTION("IMPORTRANGE(""https://docs.google.com/spreadsheets/d/1qU-W_9MCQD1pgIVXGEOjCFo9QqlmJywuebyGgaN92r8/edit?usp=sharing"",""ราชบุรี!J312"")"),0)</f>
        <v>0</v>
      </c>
      <c r="AB67" s="185">
        <f t="shared" ca="1" si="14"/>
        <v>0</v>
      </c>
    </row>
    <row r="68" spans="1:28" ht="24" customHeight="1" x14ac:dyDescent="0.3">
      <c r="A68" s="78">
        <v>16</v>
      </c>
      <c r="B68" s="79" t="s">
        <v>90</v>
      </c>
      <c r="C68" s="80">
        <f t="shared" ca="1" si="0"/>
        <v>101000</v>
      </c>
      <c r="D68" s="81">
        <f t="shared" ca="1" si="34"/>
        <v>101000</v>
      </c>
      <c r="E68" s="82">
        <f ca="1">IFERROR(__xludf.DUMMYFUNCTION("IMPORTRANGE(""https://docs.google.com/spreadsheets/d/1MeEWN-I1oV_STSDYn1IFDPWt_1FKiwhDph83XaGc0o0/edit?usp=sharing"",""งบพรบ!DT68"")"),0)</f>
        <v>0</v>
      </c>
      <c r="F68" s="82">
        <f ca="1">IFERROR(__xludf.DUMMYFUNCTION("IMPORTRANGE(""https://docs.google.com/spreadsheets/d/1MeEWN-I1oV_STSDYn1IFDPWt_1FKiwhDph83XaGc0o0/edit?usp=sharing"",""งบพรบ!DU68"")"),101000)</f>
        <v>101000</v>
      </c>
      <c r="G68" s="82">
        <f ca="1">IFERROR(__xludf.DUMMYFUNCTION("IMPORTRANGE(""https://docs.google.com/spreadsheets/d/1MeEWN-I1oV_STSDYn1IFDPWt_1FKiwhDph83XaGc0o0/edit?usp=sharing"",""งบพรบ!DV68"")"),0)</f>
        <v>0</v>
      </c>
      <c r="H68" s="82">
        <f ca="1">IFERROR(__xludf.DUMMYFUNCTION("IMPORTRANGE(""https://docs.google.com/spreadsheets/d/1MeEWN-I1oV_STSDYn1IFDPWt_1FKiwhDph83XaGc0o0/edit?usp=sharing"",""งบพรบ!DX68"")"),60400)</f>
        <v>60400</v>
      </c>
      <c r="I68" s="82">
        <f ca="1">IFERROR(__xludf.DUMMYFUNCTION("IMPORTRANGE(""https://docs.google.com/spreadsheets/d/1MeEWN-I1oV_STSDYn1IFDPWt_1FKiwhDph83XaGc0o0/edit?usp=sharing"",""งบพรบ!DY68"")"),0)</f>
        <v>0</v>
      </c>
      <c r="J68" s="82">
        <f t="shared" ca="1" si="3"/>
        <v>37190</v>
      </c>
      <c r="K68" s="83">
        <f t="shared" ca="1" si="4"/>
        <v>36.821782178217823</v>
      </c>
      <c r="L68" s="82">
        <f ca="1">IFERROR(__xludf.DUMMYFUNCTION("IMPORTRANGE(""https://docs.google.com/spreadsheets/d/1MeEWN-I1oV_STSDYn1IFDPWt_1FKiwhDph83XaGc0o0/edit?usp=sharing"",""งบพรบ!DZ68"")"),37190)</f>
        <v>37190</v>
      </c>
      <c r="M68" s="84">
        <f t="shared" ca="1" si="5"/>
        <v>36.821782178217823</v>
      </c>
      <c r="N68" s="84">
        <f t="shared" ca="1" si="6"/>
        <v>61.572847682119203</v>
      </c>
      <c r="O68" s="85">
        <f ca="1">IFERROR(__xludf.DUMMYFUNCTION("IMPORTRANGE(""https://docs.google.com/spreadsheets/d/1MeEWN-I1oV_STSDYn1IFDPWt_1FKiwhDph83XaGc0o0/edit?usp=sharing"",""งบพรบ!EA68"")"),0)</f>
        <v>0</v>
      </c>
      <c r="P68" s="85">
        <f t="shared" ca="1" si="23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IFERROR(__xludf.DUMMYFUNCTION("IMPORTRANGE(""https://docs.google.com/spreadsheets/d/1xYFIxIM_CspAP5Q-5Zx_V0T_Ut3cjryrjd2hss28vGk/edit?usp=sharing"",""ลพบุรี!J308"")"),1)</f>
        <v>1</v>
      </c>
      <c r="S68" s="298">
        <f ca="1">IFERROR(__xludf.DUMMYFUNCTION("IMPORTRANGE(""https://docs.google.com/spreadsheets/d/1xYFIxIM_CspAP5Q-5Zx_V0T_Ut3cjryrjd2hss28vGk/edit?usp=sharing"",""ลพบุรี!I309"")"),25)</f>
        <v>25</v>
      </c>
      <c r="T68" s="181">
        <f ca="1">IFERROR(__xludf.DUMMYFUNCTION("IMPORTRANGE(""https://docs.google.com/spreadsheets/d/1xYFIxIM_CspAP5Q-5Zx_V0T_Ut3cjryrjd2hss28vGk/edit?usp=sharing"",""ลพบุรี!J309"")"),25)</f>
        <v>25</v>
      </c>
      <c r="U68" s="185">
        <f t="shared" ca="1" si="21"/>
        <v>100</v>
      </c>
      <c r="V68" s="181">
        <f ca="1">IFERROR(__xludf.DUMMYFUNCTION("IMPORTRANGE(""https://docs.google.com/spreadsheets/d/1xYFIxIM_CspAP5Q-5Zx_V0T_Ut3cjryrjd2hss28vGk/edit?usp=sharing"",""ลพบุรี!J310"")"),0)</f>
        <v>0</v>
      </c>
      <c r="W68" s="185">
        <f t="shared" ca="1" si="11"/>
        <v>0</v>
      </c>
      <c r="X68" s="181">
        <f ca="1">IFERROR(__xludf.DUMMYFUNCTION("IMPORTRANGE(""https://docs.google.com/spreadsheets/d/1xYFIxIM_CspAP5Q-5Zx_V0T_Ut3cjryrjd2hss28vGk/edit?usp=sharing"",""ลพบุรี!J311"")"),0)</f>
        <v>0</v>
      </c>
      <c r="Y68" s="185">
        <f t="shared" ca="1" si="12"/>
        <v>0</v>
      </c>
      <c r="Z68" s="298">
        <f ca="1">IFERROR(__xludf.DUMMYFUNCTION("IMPORTRANGE(""https://docs.google.com/spreadsheets/d/1xYFIxIM_CspAP5Q-5Zx_V0T_Ut3cjryrjd2hss28vGk/edit?usp=sharing"",""ลพบุรี!I312"")"),5)</f>
        <v>5</v>
      </c>
      <c r="AA68" s="181">
        <f ca="1">IFERROR(__xludf.DUMMYFUNCTION("IMPORTRANGE(""https://docs.google.com/spreadsheets/d/1xYFIxIM_CspAP5Q-5Zx_V0T_Ut3cjryrjd2hss28vGk/edit?usp=sharing"",""ลพบุรี!J312"")"),0)</f>
        <v>0</v>
      </c>
      <c r="AB68" s="185">
        <f t="shared" ca="1" si="14"/>
        <v>0</v>
      </c>
    </row>
    <row r="69" spans="1:28" ht="21" customHeight="1" x14ac:dyDescent="0.3">
      <c r="A69" s="78">
        <v>17</v>
      </c>
      <c r="B69" s="79" t="s">
        <v>91</v>
      </c>
      <c r="C69" s="80">
        <f t="shared" ca="1" si="0"/>
        <v>0</v>
      </c>
      <c r="D69" s="81">
        <f t="shared" ca="1" si="34"/>
        <v>0</v>
      </c>
      <c r="E69" s="82">
        <f ca="1">IFERROR(__xludf.DUMMYFUNCTION("IMPORTRANGE(""https://docs.google.com/spreadsheets/d/1MeEWN-I1oV_STSDYn1IFDPWt_1FKiwhDph83XaGc0o0/edit?usp=sharing"",""งบพรบ!DT69"")"),0)</f>
        <v>0</v>
      </c>
      <c r="F69" s="82">
        <f ca="1">IFERROR(__xludf.DUMMYFUNCTION("IMPORTRANGE(""https://docs.google.com/spreadsheets/d/1MeEWN-I1oV_STSDYn1IFDPWt_1FKiwhDph83XaGc0o0/edit?usp=sharing"",""งบพรบ!DU69"")"),0)</f>
        <v>0</v>
      </c>
      <c r="G69" s="82">
        <f ca="1">IFERROR(__xludf.DUMMYFUNCTION("IMPORTRANGE(""https://docs.google.com/spreadsheets/d/1MeEWN-I1oV_STSDYn1IFDPWt_1FKiwhDph83XaGc0o0/edit?usp=sharing"",""งบพรบ!DV69"")"),0)</f>
        <v>0</v>
      </c>
      <c r="H69" s="82">
        <f ca="1">IFERROR(__xludf.DUMMYFUNCTION("IMPORTRANGE(""https://docs.google.com/spreadsheets/d/1MeEWN-I1oV_STSDYn1IFDPWt_1FKiwhDph83XaGc0o0/edit?usp=sharing"",""งบพรบ!DX69"")"),0)</f>
        <v>0</v>
      </c>
      <c r="I69" s="82">
        <f ca="1">IFERROR(__xludf.DUMMYFUNCTION("IMPORTRANGE(""https://docs.google.com/spreadsheets/d/1MeEWN-I1oV_STSDYn1IFDPWt_1FKiwhDph83XaGc0o0/edit?usp=sharing"",""งบพรบ!DY69"")"),0)</f>
        <v>0</v>
      </c>
      <c r="J69" s="82">
        <f t="shared" ca="1" si="3"/>
        <v>0</v>
      </c>
      <c r="K69" s="83">
        <f t="shared" ca="1" si="4"/>
        <v>0</v>
      </c>
      <c r="L69" s="82">
        <f ca="1">IFERROR(__xludf.DUMMYFUNCTION("IMPORTRANGE(""https://docs.google.com/spreadsheets/d/1MeEWN-I1oV_STSDYn1IFDPWt_1FKiwhDph83XaGc0o0/edit?usp=sharing"",""งบพรบ!DZ69"")"),0)</f>
        <v>0</v>
      </c>
      <c r="M69" s="84">
        <f t="shared" ca="1" si="5"/>
        <v>0</v>
      </c>
      <c r="N69" s="84">
        <f t="shared" ca="1" si="6"/>
        <v>0</v>
      </c>
      <c r="O69" s="85">
        <f ca="1">IFERROR(__xludf.DUMMYFUNCTION("IMPORTRANGE(""https://docs.google.com/spreadsheets/d/1MeEWN-I1oV_STSDYn1IFDPWt_1FKiwhDph83XaGc0o0/edit?usp=sharing"",""งบพรบ!EA69"")"),0)</f>
        <v>0</v>
      </c>
      <c r="P69" s="85">
        <f t="shared" ca="1" si="23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IFERROR(__xludf.DUMMYFUNCTION("IMPORTRANGE(""https://docs.google.com/spreadsheets/d/11s9m3tKsCBdPWq6syhZm27eBGbKneDLZc75co106bio/edit?usp=sharing"",""สระแก้ว!J308"")"),0)</f>
        <v>0</v>
      </c>
      <c r="S69" s="298">
        <f ca="1">IFERROR(__xludf.DUMMYFUNCTION("IMPORTRANGE(""https://docs.google.com/spreadsheets/d/11s9m3tKsCBdPWq6syhZm27eBGbKneDLZc75co106bio/edit?usp=sharing"",""สระแก้ว!I309"")"),0)</f>
        <v>0</v>
      </c>
      <c r="T69" s="181">
        <f ca="1">IFERROR(__xludf.DUMMYFUNCTION("IMPORTRANGE(""https://docs.google.com/spreadsheets/d/11s9m3tKsCBdPWq6syhZm27eBGbKneDLZc75co106bio/edit?usp=sharing"",""สระแก้ว!J309"")"),0)</f>
        <v>0</v>
      </c>
      <c r="U69" s="185">
        <f t="shared" ca="1" si="21"/>
        <v>0</v>
      </c>
      <c r="V69" s="181">
        <f ca="1">IFERROR(__xludf.DUMMYFUNCTION("IMPORTRANGE(""https://docs.google.com/spreadsheets/d/11s9m3tKsCBdPWq6syhZm27eBGbKneDLZc75co106bio/edit?usp=sharing"",""สระแก้ว!J310"")"),0)</f>
        <v>0</v>
      </c>
      <c r="W69" s="185">
        <f t="shared" ca="1" si="11"/>
        <v>0</v>
      </c>
      <c r="X69" s="181">
        <f ca="1">IFERROR(__xludf.DUMMYFUNCTION("IMPORTRANGE(""https://docs.google.com/spreadsheets/d/11s9m3tKsCBdPWq6syhZm27eBGbKneDLZc75co106bio/edit?usp=sharing"",""สระแก้ว!J311"")"),0)</f>
        <v>0</v>
      </c>
      <c r="Y69" s="185">
        <f t="shared" ca="1" si="12"/>
        <v>0</v>
      </c>
      <c r="Z69" s="298">
        <f ca="1">IFERROR(__xludf.DUMMYFUNCTION("IMPORTRANGE(""https://docs.google.com/spreadsheets/d/11s9m3tKsCBdPWq6syhZm27eBGbKneDLZc75co106bio/edit?usp=sharing"",""สระแก้ว!I312"")"),0)</f>
        <v>0</v>
      </c>
      <c r="AA69" s="181">
        <f ca="1">IFERROR(__xludf.DUMMYFUNCTION("IMPORTRANGE(""https://docs.google.com/spreadsheets/d/11s9m3tKsCBdPWq6syhZm27eBGbKneDLZc75co106bio/edit?usp=sharing"",""สระแก้ว!J312"")"),0)</f>
        <v>0</v>
      </c>
      <c r="AB69" s="185">
        <f t="shared" ca="1" si="14"/>
        <v>0</v>
      </c>
    </row>
    <row r="70" spans="1:28" ht="21" customHeight="1" x14ac:dyDescent="0.3">
      <c r="A70" s="78">
        <v>18</v>
      </c>
      <c r="B70" s="79" t="s">
        <v>92</v>
      </c>
      <c r="C70" s="80">
        <f t="shared" ca="1" si="0"/>
        <v>244000</v>
      </c>
      <c r="D70" s="81">
        <f t="shared" ca="1" si="34"/>
        <v>244000</v>
      </c>
      <c r="E70" s="82">
        <f ca="1">IFERROR(__xludf.DUMMYFUNCTION("IMPORTRANGE(""https://docs.google.com/spreadsheets/d/1MeEWN-I1oV_STSDYn1IFDPWt_1FKiwhDph83XaGc0o0/edit?usp=sharing"",""งบพรบ!DT70"")"),143000)</f>
        <v>143000</v>
      </c>
      <c r="F70" s="82">
        <f ca="1">IFERROR(__xludf.DUMMYFUNCTION("IMPORTRANGE(""https://docs.google.com/spreadsheets/d/1MeEWN-I1oV_STSDYn1IFDPWt_1FKiwhDph83XaGc0o0/edit?usp=sharing"",""งบพรบ!DU70"")"),101000)</f>
        <v>101000</v>
      </c>
      <c r="G70" s="82">
        <f ca="1">IFERROR(__xludf.DUMMYFUNCTION("IMPORTRANGE(""https://docs.google.com/spreadsheets/d/1MeEWN-I1oV_STSDYn1IFDPWt_1FKiwhDph83XaGc0o0/edit?usp=sharing"",""งบพรบ!DV70"")"),0)</f>
        <v>0</v>
      </c>
      <c r="H70" s="82">
        <f ca="1">IFERROR(__xludf.DUMMYFUNCTION("IMPORTRANGE(""https://docs.google.com/spreadsheets/d/1MeEWN-I1oV_STSDYn1IFDPWt_1FKiwhDph83XaGc0o0/edit?usp=sharing"",""งบพรบ!DX70"")"),164400)</f>
        <v>164400</v>
      </c>
      <c r="I70" s="82">
        <f ca="1">IFERROR(__xludf.DUMMYFUNCTION("IMPORTRANGE(""https://docs.google.com/spreadsheets/d/1MeEWN-I1oV_STSDYn1IFDPWt_1FKiwhDph83XaGc0o0/edit?usp=sharing"",""งบพรบ!DY70"")"),0)</f>
        <v>0</v>
      </c>
      <c r="J70" s="82">
        <f t="shared" ca="1" si="3"/>
        <v>49130</v>
      </c>
      <c r="K70" s="83">
        <f t="shared" ca="1" si="4"/>
        <v>20.135245901639344</v>
      </c>
      <c r="L70" s="82">
        <f ca="1">IFERROR(__xludf.DUMMYFUNCTION("IMPORTRANGE(""https://docs.google.com/spreadsheets/d/1MeEWN-I1oV_STSDYn1IFDPWt_1FKiwhDph83XaGc0o0/edit?usp=sharing"",""งบพรบ!DZ70"")"),49130)</f>
        <v>49130</v>
      </c>
      <c r="M70" s="84">
        <f t="shared" ca="1" si="5"/>
        <v>20.135245901639344</v>
      </c>
      <c r="N70" s="84">
        <f t="shared" ca="1" si="6"/>
        <v>29.884428223844282</v>
      </c>
      <c r="O70" s="85">
        <f ca="1">IFERROR(__xludf.DUMMYFUNCTION("IMPORTRANGE(""https://docs.google.com/spreadsheets/d/1MeEWN-I1oV_STSDYn1IFDPWt_1FKiwhDph83XaGc0o0/edit?usp=sharing"",""งบพรบ!EA70"")"),0)</f>
        <v>0</v>
      </c>
      <c r="P70" s="85">
        <f t="shared" ca="1" si="23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IFERROR(__xludf.DUMMYFUNCTION("IMPORTRANGE(""https://docs.google.com/spreadsheets/d/1Nn1EvsFPtXldgpgVb3Rcng2K2cls68LFQsBh2FyW0Bg/edit?usp=sharing"",""สระบุรี!J308"")"),1)</f>
        <v>1</v>
      </c>
      <c r="S70" s="298">
        <f ca="1">IFERROR(__xludf.DUMMYFUNCTION("IMPORTRANGE(""https://docs.google.com/spreadsheets/d/1Nn1EvsFPtXldgpgVb3Rcng2K2cls68LFQsBh2FyW0Bg/edit?usp=sharing"",""สระบุรี!I309"")"),25)</f>
        <v>25</v>
      </c>
      <c r="T70" s="181">
        <f ca="1">IFERROR(__xludf.DUMMYFUNCTION("IMPORTRANGE(""https://docs.google.com/spreadsheets/d/1Nn1EvsFPtXldgpgVb3Rcng2K2cls68LFQsBh2FyW0Bg/edit?usp=sharing"",""สระบุรี!J309"")"),0)</f>
        <v>0</v>
      </c>
      <c r="U70" s="185">
        <f t="shared" ca="1" si="21"/>
        <v>0</v>
      </c>
      <c r="V70" s="181">
        <f ca="1">IFERROR(__xludf.DUMMYFUNCTION("IMPORTRANGE(""https://docs.google.com/spreadsheets/d/1Nn1EvsFPtXldgpgVb3Rcng2K2cls68LFQsBh2FyW0Bg/edit?usp=sharing"",""สระบุรี!J310"")"),0)</f>
        <v>0</v>
      </c>
      <c r="W70" s="185">
        <f t="shared" ca="1" si="11"/>
        <v>0</v>
      </c>
      <c r="X70" s="181">
        <f ca="1">IFERROR(__xludf.DUMMYFUNCTION("IMPORTRANGE(""https://docs.google.com/spreadsheets/d/1Nn1EvsFPtXldgpgVb3Rcng2K2cls68LFQsBh2FyW0Bg/edit?usp=sharing"",""สระบุรี!J311"")"),0)</f>
        <v>0</v>
      </c>
      <c r="Y70" s="185">
        <f t="shared" ca="1" si="12"/>
        <v>0</v>
      </c>
      <c r="Z70" s="298">
        <f ca="1">IFERROR(__xludf.DUMMYFUNCTION("IMPORTRANGE(""https://docs.google.com/spreadsheets/d/1Nn1EvsFPtXldgpgVb3Rcng2K2cls68LFQsBh2FyW0Bg/edit?usp=sharing"",""สระบุรี!I312"")"),5)</f>
        <v>5</v>
      </c>
      <c r="AA70" s="181">
        <f ca="1">IFERROR(__xludf.DUMMYFUNCTION("IMPORTRANGE(""https://docs.google.com/spreadsheets/d/1Nn1EvsFPtXldgpgVb3Rcng2K2cls68LFQsBh2FyW0Bg/edit?usp=sharing"",""สระบุรี!J312"")"),0)</f>
        <v>0</v>
      </c>
      <c r="AB70" s="185">
        <f t="shared" ca="1" si="14"/>
        <v>0</v>
      </c>
    </row>
    <row r="71" spans="1:28" ht="21" customHeight="1" x14ac:dyDescent="0.3">
      <c r="A71" s="78">
        <v>19</v>
      </c>
      <c r="B71" s="79" t="s">
        <v>93</v>
      </c>
      <c r="C71" s="80">
        <f t="shared" ca="1" si="0"/>
        <v>0</v>
      </c>
      <c r="D71" s="81">
        <f t="shared" ca="1" si="34"/>
        <v>0</v>
      </c>
      <c r="E71" s="82">
        <f ca="1">IFERROR(__xludf.DUMMYFUNCTION("IMPORTRANGE(""https://docs.google.com/spreadsheets/d/1MeEWN-I1oV_STSDYn1IFDPWt_1FKiwhDph83XaGc0o0/edit?usp=sharing"",""งบพรบ!DT71"")"),0)</f>
        <v>0</v>
      </c>
      <c r="F71" s="82">
        <f ca="1">IFERROR(__xludf.DUMMYFUNCTION("IMPORTRANGE(""https://docs.google.com/spreadsheets/d/1MeEWN-I1oV_STSDYn1IFDPWt_1FKiwhDph83XaGc0o0/edit?usp=sharing"",""งบพรบ!DU71"")"),0)</f>
        <v>0</v>
      </c>
      <c r="G71" s="82">
        <f ca="1">IFERROR(__xludf.DUMMYFUNCTION("IMPORTRANGE(""https://docs.google.com/spreadsheets/d/1MeEWN-I1oV_STSDYn1IFDPWt_1FKiwhDph83XaGc0o0/edit?usp=sharing"",""งบพรบ!DV71"")"),0)</f>
        <v>0</v>
      </c>
      <c r="H71" s="82">
        <f ca="1">IFERROR(__xludf.DUMMYFUNCTION("IMPORTRANGE(""https://docs.google.com/spreadsheets/d/1MeEWN-I1oV_STSDYn1IFDPWt_1FKiwhDph83XaGc0o0/edit?usp=sharing"",""งบพรบ!DX71"")"),0)</f>
        <v>0</v>
      </c>
      <c r="I71" s="82">
        <f ca="1">IFERROR(__xludf.DUMMYFUNCTION("IMPORTRANGE(""https://docs.google.com/spreadsheets/d/1MeEWN-I1oV_STSDYn1IFDPWt_1FKiwhDph83XaGc0o0/edit?usp=sharing"",""งบพรบ!DY71"")"),0)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IFERROR(__xludf.DUMMYFUNCTION("IMPORTRANGE(""https://docs.google.com/spreadsheets/d/1MeEWN-I1oV_STSDYn1IFDPWt_1FKiwhDph83XaGc0o0/edit?usp=sharing"",""งบพรบ!DZ71"")"),0)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IFERROR(__xludf.DUMMYFUNCTION("IMPORTRANGE(""https://docs.google.com/spreadsheets/d/1MeEWN-I1oV_STSDYn1IFDPWt_1FKiwhDph83XaGc0o0/edit?usp=sharing"",""งบพรบ!EA71"")"),0)</f>
        <v>0</v>
      </c>
      <c r="P71" s="85">
        <f t="shared" ca="1" si="23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IFERROR(__xludf.DUMMYFUNCTION("IMPORTRANGE(""https://docs.google.com/spreadsheets/d/149xufxukrnEciK3WPbNpHwUK8BKEJxp3UcBG3Al6dA4/edit?usp=sharing"",""สิงห์บุรี!J308"")"),0)</f>
        <v>0</v>
      </c>
      <c r="S71" s="298">
        <f ca="1">IFERROR(__xludf.DUMMYFUNCTION("IMPORTRANGE(""https://docs.google.com/spreadsheets/d/149xufxukrnEciK3WPbNpHwUK8BKEJxp3UcBG3Al6dA4/edit?usp=sharing"",""สิงห์บุรี!I309"")"),0)</f>
        <v>0</v>
      </c>
      <c r="T71" s="181">
        <f ca="1">IFERROR(__xludf.DUMMYFUNCTION("IMPORTRANGE(""https://docs.google.com/spreadsheets/d/149xufxukrnEciK3WPbNpHwUK8BKEJxp3UcBG3Al6dA4/edit?usp=sharing"",""สิงห์บุรี!J309"")"),0)</f>
        <v>0</v>
      </c>
      <c r="U71" s="185">
        <f t="shared" ca="1" si="21"/>
        <v>0</v>
      </c>
      <c r="V71" s="181">
        <f ca="1">IFERROR(__xludf.DUMMYFUNCTION("IMPORTRANGE(""https://docs.google.com/spreadsheets/d/149xufxukrnEciK3WPbNpHwUK8BKEJxp3UcBG3Al6dA4/edit?usp=sharing"",""สิงห์บุรี!J310"")"),0)</f>
        <v>0</v>
      </c>
      <c r="W71" s="185">
        <f t="shared" ca="1" si="11"/>
        <v>0</v>
      </c>
      <c r="X71" s="181">
        <f ca="1">IFERROR(__xludf.DUMMYFUNCTION("IMPORTRANGE(""https://docs.google.com/spreadsheets/d/149xufxukrnEciK3WPbNpHwUK8BKEJxp3UcBG3Al6dA4/edit?usp=sharing"",""สิงห์บุรี!J311"")"),0)</f>
        <v>0</v>
      </c>
      <c r="Y71" s="185">
        <f t="shared" ca="1" si="12"/>
        <v>0</v>
      </c>
      <c r="Z71" s="298">
        <f ca="1">IFERROR(__xludf.DUMMYFUNCTION("IMPORTRANGE(""https://docs.google.com/spreadsheets/d/149xufxukrnEciK3WPbNpHwUK8BKEJxp3UcBG3Al6dA4/edit?usp=sharing"",""สิงห์บุรี!I312"")"),0)</f>
        <v>0</v>
      </c>
      <c r="AA71" s="181">
        <f ca="1">IFERROR(__xludf.DUMMYFUNCTION("IMPORTRANGE(""https://docs.google.com/spreadsheets/d/149xufxukrnEciK3WPbNpHwUK8BKEJxp3UcBG3Al6dA4/edit?usp=sharing"",""สิงห์บุรี!J312"")"),0)</f>
        <v>0</v>
      </c>
      <c r="AB71" s="185">
        <f t="shared" ca="1" si="14"/>
        <v>0</v>
      </c>
    </row>
    <row r="72" spans="1:28" ht="21" customHeight="1" x14ac:dyDescent="0.3">
      <c r="A72" s="78">
        <v>20</v>
      </c>
      <c r="B72" s="79" t="s">
        <v>94</v>
      </c>
      <c r="C72" s="80">
        <f t="shared" ca="1" si="0"/>
        <v>63800</v>
      </c>
      <c r="D72" s="81">
        <f t="shared" ca="1" si="34"/>
        <v>63800</v>
      </c>
      <c r="E72" s="82">
        <f ca="1">IFERROR(__xludf.DUMMYFUNCTION("IMPORTRANGE(""https://docs.google.com/spreadsheets/d/1MeEWN-I1oV_STSDYn1IFDPWt_1FKiwhDph83XaGc0o0/edit?usp=sharing"",""งบพรบ!DT72"")"),0)</f>
        <v>0</v>
      </c>
      <c r="F72" s="82">
        <f ca="1">IFERROR(__xludf.DUMMYFUNCTION("IMPORTRANGE(""https://docs.google.com/spreadsheets/d/1MeEWN-I1oV_STSDYn1IFDPWt_1FKiwhDph83XaGc0o0/edit?usp=sharing"",""งบพรบ!DU72"")"),63800)</f>
        <v>63800</v>
      </c>
      <c r="G72" s="82">
        <f ca="1">IFERROR(__xludf.DUMMYFUNCTION("IMPORTRANGE(""https://docs.google.com/spreadsheets/d/1MeEWN-I1oV_STSDYn1IFDPWt_1FKiwhDph83XaGc0o0/edit?usp=sharing"",""งบพรบ!DV72"")"),0)</f>
        <v>0</v>
      </c>
      <c r="H72" s="82">
        <f ca="1">IFERROR(__xludf.DUMMYFUNCTION("IMPORTRANGE(""https://docs.google.com/spreadsheets/d/1MeEWN-I1oV_STSDYn1IFDPWt_1FKiwhDph83XaGc0o0/edit?usp=sharing"",""งบพรบ!DX72"")"),37840)</f>
        <v>37840</v>
      </c>
      <c r="I72" s="82">
        <f ca="1">IFERROR(__xludf.DUMMYFUNCTION("IMPORTRANGE(""https://docs.google.com/spreadsheets/d/1MeEWN-I1oV_STSDYn1IFDPWt_1FKiwhDph83XaGc0o0/edit?usp=sharing"",""งบพรบ!DY72"")"),0)</f>
        <v>0</v>
      </c>
      <c r="J72" s="82">
        <f t="shared" ca="1" si="3"/>
        <v>27928</v>
      </c>
      <c r="K72" s="83">
        <f t="shared" ca="1" si="4"/>
        <v>43.774294670846395</v>
      </c>
      <c r="L72" s="82">
        <f ca="1">IFERROR(__xludf.DUMMYFUNCTION("IMPORTRANGE(""https://docs.google.com/spreadsheets/d/1MeEWN-I1oV_STSDYn1IFDPWt_1FKiwhDph83XaGc0o0/edit?usp=sharing"",""งบพรบ!DZ72"")"),27928)</f>
        <v>27928</v>
      </c>
      <c r="M72" s="84">
        <f t="shared" ca="1" si="5"/>
        <v>43.774294670846395</v>
      </c>
      <c r="N72" s="84">
        <f t="shared" ca="1" si="6"/>
        <v>73.805496828752638</v>
      </c>
      <c r="O72" s="85">
        <f ca="1">IFERROR(__xludf.DUMMYFUNCTION("IMPORTRANGE(""https://docs.google.com/spreadsheets/d/1MeEWN-I1oV_STSDYn1IFDPWt_1FKiwhDph83XaGc0o0/edit?usp=sharing"",""งบพรบ!EA72"")"),0)</f>
        <v>0</v>
      </c>
      <c r="P72" s="85">
        <f t="shared" ca="1" si="23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IFERROR(__xludf.DUMMYFUNCTION("IMPORTRANGE(""https://docs.google.com/spreadsheets/d/132g-zJpz2uMKimp17uOIx8A7o3w1Z25zwJyXnwsB56c/edit?usp=sharing"",""สุพรรณบุรี!J308"")"),0)</f>
        <v>0</v>
      </c>
      <c r="S72" s="298">
        <f ca="1">IFERROR(__xludf.DUMMYFUNCTION("IMPORTRANGE(""https://docs.google.com/spreadsheets/d/132g-zJpz2uMKimp17uOIx8A7o3w1Z25zwJyXnwsB56c/edit?usp=sharing"",""สุพรรณบุรี!I309"")"),15)</f>
        <v>15</v>
      </c>
      <c r="T72" s="181">
        <f ca="1">IFERROR(__xludf.DUMMYFUNCTION("IMPORTRANGE(""https://docs.google.com/spreadsheets/d/132g-zJpz2uMKimp17uOIx8A7o3w1Z25zwJyXnwsB56c/edit?usp=sharing"",""สุพรรณบุรี!J309"")"),15)</f>
        <v>15</v>
      </c>
      <c r="U72" s="185">
        <f t="shared" ca="1" si="21"/>
        <v>100</v>
      </c>
      <c r="V72" s="181">
        <f ca="1">IFERROR(__xludf.DUMMYFUNCTION("IMPORTRANGE(""https://docs.google.com/spreadsheets/d/132g-zJpz2uMKimp17uOIx8A7o3w1Z25zwJyXnwsB56c/edit?usp=sharing"",""สุพรรณบุรี!J310"")"),0)</f>
        <v>0</v>
      </c>
      <c r="W72" s="185">
        <f t="shared" ca="1" si="11"/>
        <v>0</v>
      </c>
      <c r="X72" s="181">
        <f ca="1">IFERROR(__xludf.DUMMYFUNCTION("IMPORTRANGE(""https://docs.google.com/spreadsheets/d/132g-zJpz2uMKimp17uOIx8A7o3w1Z25zwJyXnwsB56c/edit?usp=sharing"",""สุพรรณบุรี!J311"")"),0)</f>
        <v>0</v>
      </c>
      <c r="Y72" s="185">
        <f t="shared" ca="1" si="12"/>
        <v>0</v>
      </c>
      <c r="Z72" s="298">
        <f ca="1">IFERROR(__xludf.DUMMYFUNCTION("IMPORTRANGE(""https://docs.google.com/spreadsheets/d/132g-zJpz2uMKimp17uOIx8A7o3w1Z25zwJyXnwsB56c/edit?usp=sharing"",""สุพรรณบุรี!I312"")"),3)</f>
        <v>3</v>
      </c>
      <c r="AA72" s="181">
        <f ca="1">IFERROR(__xludf.DUMMYFUNCTION("IMPORTRANGE(""https://docs.google.com/spreadsheets/d/132g-zJpz2uMKimp17uOIx8A7o3w1Z25zwJyXnwsB56c/edit?usp=sharing"",""สุพรรณบุรี!J312"")"),0)</f>
        <v>0</v>
      </c>
      <c r="AB72" s="185">
        <f t="shared" ca="1" si="14"/>
        <v>0</v>
      </c>
    </row>
    <row r="73" spans="1:28" ht="21" customHeight="1" x14ac:dyDescent="0.3">
      <c r="A73" s="89">
        <v>21</v>
      </c>
      <c r="B73" s="90" t="s">
        <v>95</v>
      </c>
      <c r="C73" s="91">
        <f t="shared" ca="1" si="0"/>
        <v>0</v>
      </c>
      <c r="D73" s="92">
        <f t="shared" ca="1" si="34"/>
        <v>0</v>
      </c>
      <c r="E73" s="93">
        <f ca="1">IFERROR(__xludf.DUMMYFUNCTION("IMPORTRANGE(""https://docs.google.com/spreadsheets/d/1MeEWN-I1oV_STSDYn1IFDPWt_1FKiwhDph83XaGc0o0/edit?usp=sharing"",""งบพรบ!DT73"")"),0)</f>
        <v>0</v>
      </c>
      <c r="F73" s="93">
        <f ca="1">IFERROR(__xludf.DUMMYFUNCTION("IMPORTRANGE(""https://docs.google.com/spreadsheets/d/1MeEWN-I1oV_STSDYn1IFDPWt_1FKiwhDph83XaGc0o0/edit?usp=sharing"",""งบพรบ!DU73"")"),0)</f>
        <v>0</v>
      </c>
      <c r="G73" s="93">
        <f ca="1">IFERROR(__xludf.DUMMYFUNCTION("IMPORTRANGE(""https://docs.google.com/spreadsheets/d/1MeEWN-I1oV_STSDYn1IFDPWt_1FKiwhDph83XaGc0o0/edit?usp=sharing"",""งบพรบ!DV73"")"),0)</f>
        <v>0</v>
      </c>
      <c r="H73" s="93">
        <f ca="1">IFERROR(__xludf.DUMMYFUNCTION("IMPORTRANGE(""https://docs.google.com/spreadsheets/d/1MeEWN-I1oV_STSDYn1IFDPWt_1FKiwhDph83XaGc0o0/edit?usp=sharing"",""งบพรบ!DX73"")"),0)</f>
        <v>0</v>
      </c>
      <c r="I73" s="93">
        <f ca="1">IFERROR(__xludf.DUMMYFUNCTION("IMPORTRANGE(""https://docs.google.com/spreadsheets/d/1MeEWN-I1oV_STSDYn1IFDPWt_1FKiwhDph83XaGc0o0/edit?usp=sharing"",""งบพรบ!DY73"")"),0)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IFERROR(__xludf.DUMMYFUNCTION("IMPORTRANGE(""https://docs.google.com/spreadsheets/d/1MeEWN-I1oV_STSDYn1IFDPWt_1FKiwhDph83XaGc0o0/edit?usp=sharing"",""งบพรบ!DZ73"")"),0)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IFERROR(__xludf.DUMMYFUNCTION("IMPORTRANGE(""https://docs.google.com/spreadsheets/d/1MeEWN-I1oV_STSDYn1IFDPWt_1FKiwhDph83XaGc0o0/edit?usp=sharing"",""งบพรบ!EA73"")"),0)</f>
        <v>0</v>
      </c>
      <c r="P73" s="96">
        <f t="shared" ca="1" si="23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IFERROR(__xludf.DUMMYFUNCTION("IMPORTRANGE(""https://docs.google.com/spreadsheets/d/12Q_U0nVnFdxDFwa0pej9xvx8ZvLC9Dpi_vRro_aiG5g/edit?usp=sharing"",""อ่างทอง!J308"")"),0)</f>
        <v>0</v>
      </c>
      <c r="S73" s="299">
        <f ca="1">IFERROR(__xludf.DUMMYFUNCTION("IMPORTRANGE(""https://docs.google.com/spreadsheets/d/12Q_U0nVnFdxDFwa0pej9xvx8ZvLC9Dpi_vRro_aiG5g/edit?usp=sharing"",""อ่างทอง!I309"")"),0)</f>
        <v>0</v>
      </c>
      <c r="T73" s="196">
        <f ca="1">IFERROR(__xludf.DUMMYFUNCTION("IMPORTRANGE(""https://docs.google.com/spreadsheets/d/12Q_U0nVnFdxDFwa0pej9xvx8ZvLC9Dpi_vRro_aiG5g/edit?usp=sharing"",""อ่างทอง!J309"")"),0)</f>
        <v>0</v>
      </c>
      <c r="U73" s="197">
        <f t="shared" ca="1" si="21"/>
        <v>0</v>
      </c>
      <c r="V73" s="196">
        <f ca="1">IFERROR(__xludf.DUMMYFUNCTION("IMPORTRANGE(""https://docs.google.com/spreadsheets/d/12Q_U0nVnFdxDFwa0pej9xvx8ZvLC9Dpi_vRro_aiG5g/edit?usp=sharing"",""อ่างทอง!J310"")"),0)</f>
        <v>0</v>
      </c>
      <c r="W73" s="197">
        <f t="shared" ca="1" si="11"/>
        <v>0</v>
      </c>
      <c r="X73" s="196">
        <f ca="1">IFERROR(__xludf.DUMMYFUNCTION("IMPORTRANGE(""https://docs.google.com/spreadsheets/d/12Q_U0nVnFdxDFwa0pej9xvx8ZvLC9Dpi_vRro_aiG5g/edit?usp=sharing"",""อ่างทอง!J311"")"),0)</f>
        <v>0</v>
      </c>
      <c r="Y73" s="197">
        <f t="shared" ca="1" si="12"/>
        <v>0</v>
      </c>
      <c r="Z73" s="299">
        <f ca="1">IFERROR(__xludf.DUMMYFUNCTION("IMPORTRANGE(""https://docs.google.com/spreadsheets/d/12Q_U0nVnFdxDFwa0pej9xvx8ZvLC9Dpi_vRro_aiG5g/edit?usp=sharing"",""อ่างทอง!I312"")"),0)</f>
        <v>0</v>
      </c>
      <c r="AA73" s="196">
        <f ca="1">IFERROR(__xludf.DUMMYFUNCTION("IMPORTRANGE(""https://docs.google.com/spreadsheets/d/12Q_U0nVnFdxDFwa0pej9xvx8ZvLC9Dpi_vRro_aiG5g/edit?usp=sharing"",""อ่างทอง!J312"")"),0)</f>
        <v>0</v>
      </c>
      <c r="AB73" s="197">
        <f t="shared" ca="1" si="14"/>
        <v>0</v>
      </c>
    </row>
    <row r="74" spans="1:28" ht="21" customHeight="1" x14ac:dyDescent="0.3">
      <c r="A74" s="377" t="s">
        <v>96</v>
      </c>
      <c r="B74" s="357"/>
      <c r="C74" s="104">
        <f t="shared" ca="1" si="0"/>
        <v>412000</v>
      </c>
      <c r="D74" s="62">
        <f t="shared" ref="D74:I74" ca="1" si="35">SUM(D75:D88)</f>
        <v>412000</v>
      </c>
      <c r="E74" s="62">
        <f t="shared" ca="1" si="35"/>
        <v>0</v>
      </c>
      <c r="F74" s="62">
        <f t="shared" ca="1" si="35"/>
        <v>412000</v>
      </c>
      <c r="G74" s="62">
        <f t="shared" ca="1" si="35"/>
        <v>0</v>
      </c>
      <c r="H74" s="62">
        <f t="shared" ca="1" si="35"/>
        <v>245600</v>
      </c>
      <c r="I74" s="62">
        <f t="shared" ca="1" si="35"/>
        <v>0</v>
      </c>
      <c r="J74" s="62">
        <f t="shared" ca="1" si="3"/>
        <v>152460</v>
      </c>
      <c r="K74" s="100">
        <f t="shared" ca="1" si="4"/>
        <v>37.004854368932037</v>
      </c>
      <c r="L74" s="62">
        <f ca="1">SUM(L75:L88)</f>
        <v>152460</v>
      </c>
      <c r="M74" s="101">
        <f t="shared" ca="1" si="5"/>
        <v>37.004854368932037</v>
      </c>
      <c r="N74" s="101">
        <f t="shared" ca="1" si="6"/>
        <v>62.076547231270361</v>
      </c>
      <c r="O74" s="102">
        <f ca="1">SUM(O75:O88)</f>
        <v>0</v>
      </c>
      <c r="P74" s="102">
        <f t="shared" ca="1" si="23"/>
        <v>0</v>
      </c>
      <c r="Q74" s="101">
        <f t="shared" ca="1" si="8"/>
        <v>0</v>
      </c>
      <c r="R74" s="62">
        <f t="shared" ref="R74:T74" ca="1" si="36">SUM(R75:R88)</f>
        <v>3</v>
      </c>
      <c r="S74" s="295">
        <f t="shared" ca="1" si="36"/>
        <v>100</v>
      </c>
      <c r="T74" s="158">
        <f t="shared" ca="1" si="36"/>
        <v>60</v>
      </c>
      <c r="U74" s="160">
        <f t="shared" ca="1" si="21"/>
        <v>60</v>
      </c>
      <c r="V74" s="158">
        <f ca="1">SUM(V75:V88)</f>
        <v>20</v>
      </c>
      <c r="W74" s="160">
        <f t="shared" ca="1" si="11"/>
        <v>20</v>
      </c>
      <c r="X74" s="158">
        <f ca="1">SUM(X75:X88)</f>
        <v>0</v>
      </c>
      <c r="Y74" s="160">
        <f t="shared" ca="1" si="12"/>
        <v>0</v>
      </c>
      <c r="Z74" s="295">
        <f t="shared" ref="Z74:AA74" ca="1" si="37">SUM(Z75:Z88)</f>
        <v>20</v>
      </c>
      <c r="AA74" s="158">
        <f t="shared" ca="1" si="37"/>
        <v>0</v>
      </c>
      <c r="AB74" s="160">
        <f t="shared" ca="1" si="14"/>
        <v>0</v>
      </c>
    </row>
    <row r="75" spans="1:28" ht="21" customHeight="1" x14ac:dyDescent="0.3">
      <c r="A75" s="68">
        <v>1</v>
      </c>
      <c r="B75" s="69" t="s">
        <v>97</v>
      </c>
      <c r="C75" s="103">
        <f t="shared" ca="1" si="0"/>
        <v>0</v>
      </c>
      <c r="D75" s="71">
        <f t="shared" ref="D75:D88" ca="1" si="38">+E75+F75</f>
        <v>0</v>
      </c>
      <c r="E75" s="72">
        <f ca="1">IFERROR(__xludf.DUMMYFUNCTION("IMPORTRANGE(""https://docs.google.com/spreadsheets/d/1MeEWN-I1oV_STSDYn1IFDPWt_1FKiwhDph83XaGc0o0/edit?usp=sharing"",""งบพรบ!DT75"")"),0)</f>
        <v>0</v>
      </c>
      <c r="F75" s="72">
        <f ca="1">IFERROR(__xludf.DUMMYFUNCTION("IMPORTRANGE(""https://docs.google.com/spreadsheets/d/1MeEWN-I1oV_STSDYn1IFDPWt_1FKiwhDph83XaGc0o0/edit?usp=sharing"",""งบพรบ!DU75"")"),0)</f>
        <v>0</v>
      </c>
      <c r="G75" s="105">
        <f ca="1">IFERROR(__xludf.DUMMYFUNCTION("IMPORTRANGE(""https://docs.google.com/spreadsheets/d/1MeEWN-I1oV_STSDYn1IFDPWt_1FKiwhDph83XaGc0o0/edit?usp=sharing"",""งบพรบ!DV75"")"),0)</f>
        <v>0</v>
      </c>
      <c r="H75" s="105">
        <f ca="1">IFERROR(__xludf.DUMMYFUNCTION("IMPORTRANGE(""https://docs.google.com/spreadsheets/d/1MeEWN-I1oV_STSDYn1IFDPWt_1FKiwhDph83XaGc0o0/edit?usp=sharing"",""งบพรบ!DX75"")"),0)</f>
        <v>0</v>
      </c>
      <c r="I75" s="105">
        <f ca="1">IFERROR(__xludf.DUMMYFUNCTION("IMPORTRANGE(""https://docs.google.com/spreadsheets/d/1MeEWN-I1oV_STSDYn1IFDPWt_1FKiwhDph83XaGc0o0/edit?usp=sharing"",""งบพรบ!DY75"")"),0)</f>
        <v>0</v>
      </c>
      <c r="J75" s="105">
        <f t="shared" ca="1" si="3"/>
        <v>0</v>
      </c>
      <c r="K75" s="106">
        <f t="shared" ca="1" si="4"/>
        <v>0</v>
      </c>
      <c r="L75" s="82">
        <f ca="1">IFERROR(__xludf.DUMMYFUNCTION("IMPORTRANGE(""https://docs.google.com/spreadsheets/d/1MeEWN-I1oV_STSDYn1IFDPWt_1FKiwhDph83XaGc0o0/edit?usp=sharing"",""งบพรบ!DZ75"")"),0)</f>
        <v>0</v>
      </c>
      <c r="M75" s="75">
        <f t="shared" ca="1" si="5"/>
        <v>0</v>
      </c>
      <c r="N75" s="75">
        <f t="shared" ca="1" si="6"/>
        <v>0</v>
      </c>
      <c r="O75" s="76">
        <f ca="1">IFERROR(__xludf.DUMMYFUNCTION("IMPORTRANGE(""https://docs.google.com/spreadsheets/d/1MeEWN-I1oV_STSDYn1IFDPWt_1FKiwhDph83XaGc0o0/edit?usp=sharing"",""งบพรบ!EA75"")"),0)</f>
        <v>0</v>
      </c>
      <c r="P75" s="76">
        <f t="shared" ca="1" si="23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IFERROR(__xludf.DUMMYFUNCTION("IMPORTRANGE(""https://docs.google.com/spreadsheets/d/1kC41EOXpGBFOW658Fs3oD8beYlym0-zO54WY-2Qnp9I/edit?usp=sharing"",""กระบี่!J308"")"),0)</f>
        <v>0</v>
      </c>
      <c r="S75" s="298">
        <f ca="1">IFERROR(__xludf.DUMMYFUNCTION("IMPORTRANGE(""https://docs.google.com/spreadsheets/d/1kC41EOXpGBFOW658Fs3oD8beYlym0-zO54WY-2Qnp9I/edit?usp=sharing"",""กระบี่!I309"")"),0)</f>
        <v>0</v>
      </c>
      <c r="T75" s="181">
        <f ca="1">IFERROR(__xludf.DUMMYFUNCTION("IMPORTRANGE(""https://docs.google.com/spreadsheets/d/1kC41EOXpGBFOW658Fs3oD8beYlym0-zO54WY-2Qnp9I/edit?usp=sharing"",""กระบี่!J309"")"),0)</f>
        <v>0</v>
      </c>
      <c r="U75" s="185">
        <f t="shared" ca="1" si="21"/>
        <v>0</v>
      </c>
      <c r="V75" s="181">
        <f ca="1">IFERROR(__xludf.DUMMYFUNCTION("IMPORTRANGE(""https://docs.google.com/spreadsheets/d/1kC41EOXpGBFOW658Fs3oD8beYlym0-zO54WY-2Qnp9I/edit?usp=sharing"",""กระบี่!J310"")"),0)</f>
        <v>0</v>
      </c>
      <c r="W75" s="185">
        <f t="shared" ca="1" si="11"/>
        <v>0</v>
      </c>
      <c r="X75" s="181">
        <f ca="1">IFERROR(__xludf.DUMMYFUNCTION("IMPORTRANGE(""https://docs.google.com/spreadsheets/d/1kC41EOXpGBFOW658Fs3oD8beYlym0-zO54WY-2Qnp9I/edit?usp=sharing"",""กระบี่!J311"")"),0)</f>
        <v>0</v>
      </c>
      <c r="Y75" s="185">
        <f t="shared" ca="1" si="12"/>
        <v>0</v>
      </c>
      <c r="Z75" s="298">
        <f ca="1">IFERROR(__xludf.DUMMYFUNCTION("IMPORTRANGE(""https://docs.google.com/spreadsheets/d/1kC41EOXpGBFOW658Fs3oD8beYlym0-zO54WY-2Qnp9I/edit?usp=sharing"",""กระบี่!I312"")"),0)</f>
        <v>0</v>
      </c>
      <c r="AA75" s="181">
        <f ca="1">IFERROR(__xludf.DUMMYFUNCTION("IMPORTRANGE(""https://docs.google.com/spreadsheets/d/1kC41EOXpGBFOW658Fs3oD8beYlym0-zO54WY-2Qnp9I/edit?usp=sharing"",""กระบี่!J312"")"),0)</f>
        <v>0</v>
      </c>
      <c r="AB75" s="185">
        <f t="shared" ca="1" si="14"/>
        <v>0</v>
      </c>
    </row>
    <row r="76" spans="1:28" ht="21" customHeight="1" x14ac:dyDescent="0.3">
      <c r="A76" s="78">
        <v>2</v>
      </c>
      <c r="B76" s="79" t="s">
        <v>98</v>
      </c>
      <c r="C76" s="80">
        <f t="shared" ca="1" si="0"/>
        <v>82400</v>
      </c>
      <c r="D76" s="81">
        <f t="shared" ca="1" si="38"/>
        <v>82400</v>
      </c>
      <c r="E76" s="82">
        <f ca="1">IFERROR(__xludf.DUMMYFUNCTION("IMPORTRANGE(""https://docs.google.com/spreadsheets/d/1MeEWN-I1oV_STSDYn1IFDPWt_1FKiwhDph83XaGc0o0/edit?usp=sharing"",""งบพรบ!DT76"")"),0)</f>
        <v>0</v>
      </c>
      <c r="F76" s="82">
        <f ca="1">IFERROR(__xludf.DUMMYFUNCTION("IMPORTRANGE(""https://docs.google.com/spreadsheets/d/1MeEWN-I1oV_STSDYn1IFDPWt_1FKiwhDph83XaGc0o0/edit?usp=sharing"",""งบพรบ!DU76"")"),82400)</f>
        <v>82400</v>
      </c>
      <c r="G76" s="82">
        <f ca="1">IFERROR(__xludf.DUMMYFUNCTION("IMPORTRANGE(""https://docs.google.com/spreadsheets/d/1MeEWN-I1oV_STSDYn1IFDPWt_1FKiwhDph83XaGc0o0/edit?usp=sharing"",""งบพรบ!DV76"")"),0)</f>
        <v>0</v>
      </c>
      <c r="H76" s="82">
        <f ca="1">IFERROR(__xludf.DUMMYFUNCTION("IMPORTRANGE(""https://docs.google.com/spreadsheets/d/1MeEWN-I1oV_STSDYn1IFDPWt_1FKiwhDph83XaGc0o0/edit?usp=sharing"",""งบพรบ!DX76"")"),49120)</f>
        <v>49120</v>
      </c>
      <c r="I76" s="82">
        <f ca="1">IFERROR(__xludf.DUMMYFUNCTION("IMPORTRANGE(""https://docs.google.com/spreadsheets/d/1MeEWN-I1oV_STSDYn1IFDPWt_1FKiwhDph83XaGc0o0/edit?usp=sharing"",""งบพรบ!DY76"")"),0)</f>
        <v>0</v>
      </c>
      <c r="J76" s="82">
        <f t="shared" ca="1" si="3"/>
        <v>33300</v>
      </c>
      <c r="K76" s="83">
        <f t="shared" ca="1" si="4"/>
        <v>40.412621359223301</v>
      </c>
      <c r="L76" s="82">
        <f ca="1">IFERROR(__xludf.DUMMYFUNCTION("IMPORTRANGE(""https://docs.google.com/spreadsheets/d/1MeEWN-I1oV_STSDYn1IFDPWt_1FKiwhDph83XaGc0o0/edit?usp=sharing"",""งบพรบ!DZ76"")"),33300)</f>
        <v>33300</v>
      </c>
      <c r="M76" s="84">
        <f t="shared" ca="1" si="5"/>
        <v>40.412621359223301</v>
      </c>
      <c r="N76" s="84">
        <f t="shared" ca="1" si="6"/>
        <v>67.793159609120522</v>
      </c>
      <c r="O76" s="85">
        <f ca="1">IFERROR(__xludf.DUMMYFUNCTION("IMPORTRANGE(""https://docs.google.com/spreadsheets/d/1MeEWN-I1oV_STSDYn1IFDPWt_1FKiwhDph83XaGc0o0/edit?usp=sharing"",""งบพรบ!EA76"")"),0)</f>
        <v>0</v>
      </c>
      <c r="P76" s="85">
        <f t="shared" ca="1" si="23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IFERROR(__xludf.DUMMYFUNCTION("IMPORTRANGE(""https://docs.google.com/spreadsheets/d/1FbzMZY_f3MDiEuK7RpCQKrilJ_kpX0Wm7QBZ1L7EjIU/edit?usp=sharing"",""ชุมพร!J308"")"),1)</f>
        <v>1</v>
      </c>
      <c r="S76" s="298">
        <f ca="1">IFERROR(__xludf.DUMMYFUNCTION("IMPORTRANGE(""https://docs.google.com/spreadsheets/d/1FbzMZY_f3MDiEuK7RpCQKrilJ_kpX0Wm7QBZ1L7EjIU/edit?usp=sharing"",""ชุมพร!I309"")"),20)</f>
        <v>20</v>
      </c>
      <c r="T76" s="181">
        <f ca="1">IFERROR(__xludf.DUMMYFUNCTION("IMPORTRANGE(""https://docs.google.com/spreadsheets/d/1FbzMZY_f3MDiEuK7RpCQKrilJ_kpX0Wm7QBZ1L7EjIU/edit?usp=sharing"",""ชุมพร!J309"")"),20)</f>
        <v>20</v>
      </c>
      <c r="U76" s="185">
        <f t="shared" ca="1" si="21"/>
        <v>100</v>
      </c>
      <c r="V76" s="181">
        <f ca="1">IFERROR(__xludf.DUMMYFUNCTION("IMPORTRANGE(""https://docs.google.com/spreadsheets/d/1FbzMZY_f3MDiEuK7RpCQKrilJ_kpX0Wm7QBZ1L7EjIU/edit?usp=sharing"",""ชุมพร!J310"")"),0)</f>
        <v>0</v>
      </c>
      <c r="W76" s="185">
        <f t="shared" ca="1" si="11"/>
        <v>0</v>
      </c>
      <c r="X76" s="181">
        <f ca="1">IFERROR(__xludf.DUMMYFUNCTION("IMPORTRANGE(""https://docs.google.com/spreadsheets/d/1FbzMZY_f3MDiEuK7RpCQKrilJ_kpX0Wm7QBZ1L7EjIU/edit?usp=sharing"",""ชุมพร!J311"")"),0)</f>
        <v>0</v>
      </c>
      <c r="Y76" s="185">
        <f t="shared" ca="1" si="12"/>
        <v>0</v>
      </c>
      <c r="Z76" s="298">
        <f ca="1">IFERROR(__xludf.DUMMYFUNCTION("IMPORTRANGE(""https://docs.google.com/spreadsheets/d/1FbzMZY_f3MDiEuK7RpCQKrilJ_kpX0Wm7QBZ1L7EjIU/edit?usp=sharing"",""ชุมพร!I312"")"),4)</f>
        <v>4</v>
      </c>
      <c r="AA76" s="181">
        <f ca="1">IFERROR(__xludf.DUMMYFUNCTION("IMPORTRANGE(""https://docs.google.com/spreadsheets/d/1FbzMZY_f3MDiEuK7RpCQKrilJ_kpX0Wm7QBZ1L7EjIU/edit?usp=sharing"",""ชุมพร!J312"")"),0)</f>
        <v>0</v>
      </c>
      <c r="AB76" s="185">
        <f t="shared" ca="1" si="14"/>
        <v>0</v>
      </c>
    </row>
    <row r="77" spans="1:28" ht="21" customHeight="1" x14ac:dyDescent="0.3">
      <c r="A77" s="78">
        <v>3</v>
      </c>
      <c r="B77" s="79" t="s">
        <v>99</v>
      </c>
      <c r="C77" s="80">
        <f t="shared" ca="1" si="0"/>
        <v>0</v>
      </c>
      <c r="D77" s="81">
        <f t="shared" ca="1" si="38"/>
        <v>0</v>
      </c>
      <c r="E77" s="82">
        <f ca="1">IFERROR(__xludf.DUMMYFUNCTION("IMPORTRANGE(""https://docs.google.com/spreadsheets/d/1MeEWN-I1oV_STSDYn1IFDPWt_1FKiwhDph83XaGc0o0/edit?usp=sharing"",""งบพรบ!DT77"")"),0)</f>
        <v>0</v>
      </c>
      <c r="F77" s="82">
        <f ca="1">IFERROR(__xludf.DUMMYFUNCTION("IMPORTRANGE(""https://docs.google.com/spreadsheets/d/1MeEWN-I1oV_STSDYn1IFDPWt_1FKiwhDph83XaGc0o0/edit?usp=sharing"",""งบพรบ!DU77"")"),0)</f>
        <v>0</v>
      </c>
      <c r="G77" s="82">
        <f ca="1">IFERROR(__xludf.DUMMYFUNCTION("IMPORTRANGE(""https://docs.google.com/spreadsheets/d/1MeEWN-I1oV_STSDYn1IFDPWt_1FKiwhDph83XaGc0o0/edit?usp=sharing"",""งบพรบ!DV77"")"),0)</f>
        <v>0</v>
      </c>
      <c r="H77" s="82">
        <f ca="1">IFERROR(__xludf.DUMMYFUNCTION("IMPORTRANGE(""https://docs.google.com/spreadsheets/d/1MeEWN-I1oV_STSDYn1IFDPWt_1FKiwhDph83XaGc0o0/edit?usp=sharing"",""งบพรบ!DX77"")"),0)</f>
        <v>0</v>
      </c>
      <c r="I77" s="82">
        <f ca="1">IFERROR(__xludf.DUMMYFUNCTION("IMPORTRANGE(""https://docs.google.com/spreadsheets/d/1MeEWN-I1oV_STSDYn1IFDPWt_1FKiwhDph83XaGc0o0/edit?usp=sharing"",""งบพรบ!DY77"")"),0)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IFERROR(__xludf.DUMMYFUNCTION("IMPORTRANGE(""https://docs.google.com/spreadsheets/d/1MeEWN-I1oV_STSDYn1IFDPWt_1FKiwhDph83XaGc0o0/edit?usp=sharing"",""งบพรบ!DZ77"")"),0)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IFERROR(__xludf.DUMMYFUNCTION("IMPORTRANGE(""https://docs.google.com/spreadsheets/d/1MeEWN-I1oV_STSDYn1IFDPWt_1FKiwhDph83XaGc0o0/edit?usp=sharing"",""งบพรบ!EA77"")"),0)</f>
        <v>0</v>
      </c>
      <c r="P77" s="85">
        <f t="shared" ca="1" si="23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IFERROR(__xludf.DUMMYFUNCTION("IMPORTRANGE(""https://docs.google.com/spreadsheets/d/1v5sN-00LrXuhBxw4dkh2GrG_z4l5oAqOdJRBCsUyMaM/edit?usp=sharing"",""ตรัง!J308"")"),0)</f>
        <v>0</v>
      </c>
      <c r="S77" s="298">
        <f ca="1">IFERROR(__xludf.DUMMYFUNCTION("IMPORTRANGE(""https://docs.google.com/spreadsheets/d/1v5sN-00LrXuhBxw4dkh2GrG_z4l5oAqOdJRBCsUyMaM/edit?usp=sharing"",""ตรัง!I309"")"),0)</f>
        <v>0</v>
      </c>
      <c r="T77" s="181">
        <f ca="1">IFERROR(__xludf.DUMMYFUNCTION("IMPORTRANGE(""https://docs.google.com/spreadsheets/d/1v5sN-00LrXuhBxw4dkh2GrG_z4l5oAqOdJRBCsUyMaM/edit?usp=sharing"",""ตรัง!J309"")"),0)</f>
        <v>0</v>
      </c>
      <c r="U77" s="185">
        <f t="shared" ca="1" si="21"/>
        <v>0</v>
      </c>
      <c r="V77" s="181">
        <f ca="1">IFERROR(__xludf.DUMMYFUNCTION("IMPORTRANGE(""https://docs.google.com/spreadsheets/d/1v5sN-00LrXuhBxw4dkh2GrG_z4l5oAqOdJRBCsUyMaM/edit?usp=sharing"",""ตรัง!J310"")"),0)</f>
        <v>0</v>
      </c>
      <c r="W77" s="185">
        <f t="shared" ca="1" si="11"/>
        <v>0</v>
      </c>
      <c r="X77" s="181">
        <f ca="1">IFERROR(__xludf.DUMMYFUNCTION("IMPORTRANGE(""https://docs.google.com/spreadsheets/d/1v5sN-00LrXuhBxw4dkh2GrG_z4l5oAqOdJRBCsUyMaM/edit?usp=sharing"",""ตรัง!J311"")"),0)</f>
        <v>0</v>
      </c>
      <c r="Y77" s="185">
        <f t="shared" ca="1" si="12"/>
        <v>0</v>
      </c>
      <c r="Z77" s="298">
        <f ca="1">IFERROR(__xludf.DUMMYFUNCTION("IMPORTRANGE(""https://docs.google.com/spreadsheets/d/1v5sN-00LrXuhBxw4dkh2GrG_z4l5oAqOdJRBCsUyMaM/edit?usp=sharing"",""ตรัง!I312"")"),0)</f>
        <v>0</v>
      </c>
      <c r="AA77" s="181">
        <f ca="1">IFERROR(__xludf.DUMMYFUNCTION("IMPORTRANGE(""https://docs.google.com/spreadsheets/d/1v5sN-00LrXuhBxw4dkh2GrG_z4l5oAqOdJRBCsUyMaM/edit?usp=sharing"",""ตรัง!J312"")"),0)</f>
        <v>0</v>
      </c>
      <c r="AB77" s="185">
        <f t="shared" ca="1" si="14"/>
        <v>0</v>
      </c>
    </row>
    <row r="78" spans="1:28" ht="21" customHeight="1" x14ac:dyDescent="0.3">
      <c r="A78" s="78">
        <v>4</v>
      </c>
      <c r="B78" s="79" t="s">
        <v>100</v>
      </c>
      <c r="C78" s="80">
        <f t="shared" ca="1" si="0"/>
        <v>82400</v>
      </c>
      <c r="D78" s="81">
        <f t="shared" ca="1" si="38"/>
        <v>82400</v>
      </c>
      <c r="E78" s="82">
        <f ca="1">IFERROR(__xludf.DUMMYFUNCTION("IMPORTRANGE(""https://docs.google.com/spreadsheets/d/1MeEWN-I1oV_STSDYn1IFDPWt_1FKiwhDph83XaGc0o0/edit?usp=sharing"",""งบพรบ!DT78"")"),0)</f>
        <v>0</v>
      </c>
      <c r="F78" s="82">
        <f ca="1">IFERROR(__xludf.DUMMYFUNCTION("IMPORTRANGE(""https://docs.google.com/spreadsheets/d/1MeEWN-I1oV_STSDYn1IFDPWt_1FKiwhDph83XaGc0o0/edit?usp=sharing"",""งบพรบ!DU78"")"),82400)</f>
        <v>82400</v>
      </c>
      <c r="G78" s="82">
        <f ca="1">IFERROR(__xludf.DUMMYFUNCTION("IMPORTRANGE(""https://docs.google.com/spreadsheets/d/1MeEWN-I1oV_STSDYn1IFDPWt_1FKiwhDph83XaGc0o0/edit?usp=sharing"",""งบพรบ!DV78"")"),0)</f>
        <v>0</v>
      </c>
      <c r="H78" s="82">
        <f ca="1">IFERROR(__xludf.DUMMYFUNCTION("IMPORTRANGE(""https://docs.google.com/spreadsheets/d/1MeEWN-I1oV_STSDYn1IFDPWt_1FKiwhDph83XaGc0o0/edit?usp=sharing"",""งบพรบ!DX78"")"),49120)</f>
        <v>49120</v>
      </c>
      <c r="I78" s="82">
        <f ca="1">IFERROR(__xludf.DUMMYFUNCTION("IMPORTRANGE(""https://docs.google.com/spreadsheets/d/1MeEWN-I1oV_STSDYn1IFDPWt_1FKiwhDph83XaGc0o0/edit?usp=sharing"",""งบพรบ!DY78"")"),0)</f>
        <v>0</v>
      </c>
      <c r="J78" s="82">
        <f t="shared" ca="1" si="3"/>
        <v>2855</v>
      </c>
      <c r="K78" s="83">
        <f t="shared" ca="1" si="4"/>
        <v>3.4648058252427183</v>
      </c>
      <c r="L78" s="82">
        <f ca="1">IFERROR(__xludf.DUMMYFUNCTION("IMPORTRANGE(""https://docs.google.com/spreadsheets/d/1MeEWN-I1oV_STSDYn1IFDPWt_1FKiwhDph83XaGc0o0/edit?usp=sharing"",""งบพรบ!DZ78"")"),2855)</f>
        <v>2855</v>
      </c>
      <c r="M78" s="84">
        <f t="shared" ca="1" si="5"/>
        <v>3.4648058252427183</v>
      </c>
      <c r="N78" s="84">
        <f t="shared" ca="1" si="6"/>
        <v>5.8122964169381106</v>
      </c>
      <c r="O78" s="85">
        <f ca="1">IFERROR(__xludf.DUMMYFUNCTION("IMPORTRANGE(""https://docs.google.com/spreadsheets/d/1MeEWN-I1oV_STSDYn1IFDPWt_1FKiwhDph83XaGc0o0/edit?usp=sharing"",""งบพรบ!EA78"")"),0)</f>
        <v>0</v>
      </c>
      <c r="P78" s="85">
        <f t="shared" ca="1" si="23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IFERROR(__xludf.DUMMYFUNCTION("IMPORTRANGE(""https://docs.google.com/spreadsheets/d/1T5rRTzFc79aSIvqnzkZNvwPstq829QYz_xALlO1Z0s8/edit?usp=sharing"",""นครศรีธรรมราช!J308"")"),0)</f>
        <v>0</v>
      </c>
      <c r="S78" s="298">
        <f ca="1">IFERROR(__xludf.DUMMYFUNCTION("IMPORTRANGE(""https://docs.google.com/spreadsheets/d/1T5rRTzFc79aSIvqnzkZNvwPstq829QYz_xALlO1Z0s8/edit?usp=sharing"",""นครศรีธรรมราช!I309"")"),20)</f>
        <v>20</v>
      </c>
      <c r="T78" s="181">
        <f ca="1">IFERROR(__xludf.DUMMYFUNCTION("IMPORTRANGE(""https://docs.google.com/spreadsheets/d/1T5rRTzFc79aSIvqnzkZNvwPstq829QYz_xALlO1Z0s8/edit?usp=sharing"",""นครศรีธรรมราช!J309"")"),0)</f>
        <v>0</v>
      </c>
      <c r="U78" s="185">
        <f t="shared" ca="1" si="21"/>
        <v>0</v>
      </c>
      <c r="V78" s="181">
        <f ca="1">IFERROR(__xludf.DUMMYFUNCTION("IMPORTRANGE(""https://docs.google.com/spreadsheets/d/1T5rRTzFc79aSIvqnzkZNvwPstq829QYz_xALlO1Z0s8/edit?usp=sharing"",""นครศรีธรรมราช!J310"")"),0)</f>
        <v>0</v>
      </c>
      <c r="W78" s="185">
        <f t="shared" ca="1" si="11"/>
        <v>0</v>
      </c>
      <c r="X78" s="181">
        <f ca="1">IFERROR(__xludf.DUMMYFUNCTION("IMPORTRANGE(""https://docs.google.com/spreadsheets/d/1T5rRTzFc79aSIvqnzkZNvwPstq829QYz_xALlO1Z0s8/edit?usp=sharing"",""นครศรีธรรมราช!J311"")"),0)</f>
        <v>0</v>
      </c>
      <c r="Y78" s="185">
        <f t="shared" ca="1" si="12"/>
        <v>0</v>
      </c>
      <c r="Z78" s="298">
        <f ca="1">IFERROR(__xludf.DUMMYFUNCTION("IMPORTRANGE(""https://docs.google.com/spreadsheets/d/1T5rRTzFc79aSIvqnzkZNvwPstq829QYz_xALlO1Z0s8/edit?usp=sharing"",""นครศรีธรรมราช!I312"")"),4)</f>
        <v>4</v>
      </c>
      <c r="AA78" s="181">
        <f ca="1">IFERROR(__xludf.DUMMYFUNCTION("IMPORTRANGE(""https://docs.google.com/spreadsheets/d/1T5rRTzFc79aSIvqnzkZNvwPstq829QYz_xALlO1Z0s8/edit?usp=sharing"",""นครศรีธรรมราช!J312"")"),0)</f>
        <v>0</v>
      </c>
      <c r="AB78" s="185">
        <f t="shared" ca="1" si="14"/>
        <v>0</v>
      </c>
    </row>
    <row r="79" spans="1:28" ht="21" customHeight="1" x14ac:dyDescent="0.3">
      <c r="A79" s="78">
        <v>5</v>
      </c>
      <c r="B79" s="79" t="s">
        <v>101</v>
      </c>
      <c r="C79" s="80">
        <f t="shared" ca="1" si="0"/>
        <v>0</v>
      </c>
      <c r="D79" s="81">
        <f t="shared" ca="1" si="38"/>
        <v>0</v>
      </c>
      <c r="E79" s="82">
        <f ca="1">IFERROR(__xludf.DUMMYFUNCTION("IMPORTRANGE(""https://docs.google.com/spreadsheets/d/1MeEWN-I1oV_STSDYn1IFDPWt_1FKiwhDph83XaGc0o0/edit?usp=sharing"",""งบพรบ!DT79"")"),0)</f>
        <v>0</v>
      </c>
      <c r="F79" s="82">
        <f ca="1">IFERROR(__xludf.DUMMYFUNCTION("IMPORTRANGE(""https://docs.google.com/spreadsheets/d/1MeEWN-I1oV_STSDYn1IFDPWt_1FKiwhDph83XaGc0o0/edit?usp=sharing"",""งบพรบ!DU79"")"),0)</f>
        <v>0</v>
      </c>
      <c r="G79" s="82">
        <f ca="1">IFERROR(__xludf.DUMMYFUNCTION("IMPORTRANGE(""https://docs.google.com/spreadsheets/d/1MeEWN-I1oV_STSDYn1IFDPWt_1FKiwhDph83XaGc0o0/edit?usp=sharing"",""งบพรบ!DV79"")"),0)</f>
        <v>0</v>
      </c>
      <c r="H79" s="82">
        <f ca="1">IFERROR(__xludf.DUMMYFUNCTION("IMPORTRANGE(""https://docs.google.com/spreadsheets/d/1MeEWN-I1oV_STSDYn1IFDPWt_1FKiwhDph83XaGc0o0/edit?usp=sharing"",""งบพรบ!DX79"")"),0)</f>
        <v>0</v>
      </c>
      <c r="I79" s="82">
        <f ca="1">IFERROR(__xludf.DUMMYFUNCTION("IMPORTRANGE(""https://docs.google.com/spreadsheets/d/1MeEWN-I1oV_STSDYn1IFDPWt_1FKiwhDph83XaGc0o0/edit?usp=sharing"",""งบพรบ!DY79"")"),0)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IFERROR(__xludf.DUMMYFUNCTION("IMPORTRANGE(""https://docs.google.com/spreadsheets/d/1MeEWN-I1oV_STSDYn1IFDPWt_1FKiwhDph83XaGc0o0/edit?usp=sharing"",""งบพรบ!DZ79"")"),0)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IFERROR(__xludf.DUMMYFUNCTION("IMPORTRANGE(""https://docs.google.com/spreadsheets/d/1MeEWN-I1oV_STSDYn1IFDPWt_1FKiwhDph83XaGc0o0/edit?usp=sharing"",""งบพรบ!EA79"")"),0)</f>
        <v>0</v>
      </c>
      <c r="P79" s="85">
        <f t="shared" ca="1" si="23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IFERROR(__xludf.DUMMYFUNCTION("IMPORTRANGE(""https://docs.google.com/spreadsheets/d/1BeghqumK0IvCmRd2QOy6_afsZq7ZtAGrSnVJy2u7WmY/edit?usp=sharing"",""นราธิวาส!J308"")"),0)</f>
        <v>0</v>
      </c>
      <c r="S79" s="298">
        <f ca="1">IFERROR(__xludf.DUMMYFUNCTION("IMPORTRANGE(""https://docs.google.com/spreadsheets/d/1BeghqumK0IvCmRd2QOy6_afsZq7ZtAGrSnVJy2u7WmY/edit?usp=sharing"",""นราธิวาส!I309"")"),0)</f>
        <v>0</v>
      </c>
      <c r="T79" s="181">
        <f ca="1">IFERROR(__xludf.DUMMYFUNCTION("IMPORTRANGE(""https://docs.google.com/spreadsheets/d/1BeghqumK0IvCmRd2QOy6_afsZq7ZtAGrSnVJy2u7WmY/edit?usp=sharing"",""นราธิวาส!J309"")"),0)</f>
        <v>0</v>
      </c>
      <c r="U79" s="185">
        <f t="shared" ca="1" si="21"/>
        <v>0</v>
      </c>
      <c r="V79" s="181">
        <f ca="1">IFERROR(__xludf.DUMMYFUNCTION("IMPORTRANGE(""https://docs.google.com/spreadsheets/d/1BeghqumK0IvCmRd2QOy6_afsZq7ZtAGrSnVJy2u7WmY/edit?usp=sharing"",""นราธิวาส!J310"")"),0)</f>
        <v>0</v>
      </c>
      <c r="W79" s="185">
        <f t="shared" ca="1" si="11"/>
        <v>0</v>
      </c>
      <c r="X79" s="181">
        <f ca="1">IFERROR(__xludf.DUMMYFUNCTION("IMPORTRANGE(""https://docs.google.com/spreadsheets/d/1BeghqumK0IvCmRd2QOy6_afsZq7ZtAGrSnVJy2u7WmY/edit?usp=sharing"",""นราธิวาส!J311"")"),0)</f>
        <v>0</v>
      </c>
      <c r="Y79" s="185">
        <f t="shared" ca="1" si="12"/>
        <v>0</v>
      </c>
      <c r="Z79" s="298">
        <f ca="1">IFERROR(__xludf.DUMMYFUNCTION("IMPORTRANGE(""https://docs.google.com/spreadsheets/d/1BeghqumK0IvCmRd2QOy6_afsZq7ZtAGrSnVJy2u7WmY/edit?usp=sharing"",""นราธิวาส!I312"")"),0)</f>
        <v>0</v>
      </c>
      <c r="AA79" s="181">
        <f ca="1">IFERROR(__xludf.DUMMYFUNCTION("IMPORTRANGE(""https://docs.google.com/spreadsheets/d/1BeghqumK0IvCmRd2QOy6_afsZq7ZtAGrSnVJy2u7WmY/edit?usp=sharing"",""นราธิวาส!J312"")"),0)</f>
        <v>0</v>
      </c>
      <c r="AB79" s="185">
        <f t="shared" ca="1" si="14"/>
        <v>0</v>
      </c>
    </row>
    <row r="80" spans="1:28" ht="21" customHeight="1" x14ac:dyDescent="0.3">
      <c r="A80" s="78">
        <v>6</v>
      </c>
      <c r="B80" s="79" t="s">
        <v>102</v>
      </c>
      <c r="C80" s="80">
        <f t="shared" ca="1" si="0"/>
        <v>0</v>
      </c>
      <c r="D80" s="81">
        <f t="shared" ca="1" si="38"/>
        <v>0</v>
      </c>
      <c r="E80" s="82">
        <f ca="1">IFERROR(__xludf.DUMMYFUNCTION("IMPORTRANGE(""https://docs.google.com/spreadsheets/d/1MeEWN-I1oV_STSDYn1IFDPWt_1FKiwhDph83XaGc0o0/edit?usp=sharing"",""งบพรบ!DT80"")"),0)</f>
        <v>0</v>
      </c>
      <c r="F80" s="82">
        <f ca="1">IFERROR(__xludf.DUMMYFUNCTION("IMPORTRANGE(""https://docs.google.com/spreadsheets/d/1MeEWN-I1oV_STSDYn1IFDPWt_1FKiwhDph83XaGc0o0/edit?usp=sharing"",""งบพรบ!DU80"")"),0)</f>
        <v>0</v>
      </c>
      <c r="G80" s="82">
        <f ca="1">IFERROR(__xludf.DUMMYFUNCTION("IMPORTRANGE(""https://docs.google.com/spreadsheets/d/1MeEWN-I1oV_STSDYn1IFDPWt_1FKiwhDph83XaGc0o0/edit?usp=sharing"",""งบพรบ!DV80"")"),0)</f>
        <v>0</v>
      </c>
      <c r="H80" s="82">
        <f ca="1">IFERROR(__xludf.DUMMYFUNCTION("IMPORTRANGE(""https://docs.google.com/spreadsheets/d/1MeEWN-I1oV_STSDYn1IFDPWt_1FKiwhDph83XaGc0o0/edit?usp=sharing"",""งบพรบ!DX80"")"),0)</f>
        <v>0</v>
      </c>
      <c r="I80" s="82">
        <f ca="1">IFERROR(__xludf.DUMMYFUNCTION("IMPORTRANGE(""https://docs.google.com/spreadsheets/d/1MeEWN-I1oV_STSDYn1IFDPWt_1FKiwhDph83XaGc0o0/edit?usp=sharing"",""งบพรบ!DY80"")"),0)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IFERROR(__xludf.DUMMYFUNCTION("IMPORTRANGE(""https://docs.google.com/spreadsheets/d/1MeEWN-I1oV_STSDYn1IFDPWt_1FKiwhDph83XaGc0o0/edit?usp=sharing"",""งบพรบ!DZ80"")"),0)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IFERROR(__xludf.DUMMYFUNCTION("IMPORTRANGE(""https://docs.google.com/spreadsheets/d/1MeEWN-I1oV_STSDYn1IFDPWt_1FKiwhDph83XaGc0o0/edit?usp=sharing"",""งบพรบ!EA80"")"),0)</f>
        <v>0</v>
      </c>
      <c r="P80" s="85">
        <f t="shared" ca="1" si="23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IFERROR(__xludf.DUMMYFUNCTION("IMPORTRANGE(""https://docs.google.com/spreadsheets/d/1IwnW3-jjRf74MCLW-6PiFwMUffRQXZwZA7YM609NmRc/edit?usp=sharing"",""ปัตตานี!J308"")"),0)</f>
        <v>0</v>
      </c>
      <c r="S80" s="298">
        <f ca="1">IFERROR(__xludf.DUMMYFUNCTION("IMPORTRANGE(""https://docs.google.com/spreadsheets/d/1IwnW3-jjRf74MCLW-6PiFwMUffRQXZwZA7YM609NmRc/edit?usp=sharing"",""ปัตตานี!I309"")"),0)</f>
        <v>0</v>
      </c>
      <c r="T80" s="181">
        <f ca="1">IFERROR(__xludf.DUMMYFUNCTION("IMPORTRANGE(""https://docs.google.com/spreadsheets/d/1IwnW3-jjRf74MCLW-6PiFwMUffRQXZwZA7YM609NmRc/edit?usp=sharing"",""ปัตตานี!J309"")"),0)</f>
        <v>0</v>
      </c>
      <c r="U80" s="185">
        <f t="shared" ca="1" si="21"/>
        <v>0</v>
      </c>
      <c r="V80" s="181">
        <f ca="1">IFERROR(__xludf.DUMMYFUNCTION("IMPORTRANGE(""https://docs.google.com/spreadsheets/d/1IwnW3-jjRf74MCLW-6PiFwMUffRQXZwZA7YM609NmRc/edit?usp=sharing"",""ปัตตานี!J310"")"),0)</f>
        <v>0</v>
      </c>
      <c r="W80" s="185">
        <f t="shared" ca="1" si="11"/>
        <v>0</v>
      </c>
      <c r="X80" s="181">
        <f ca="1">IFERROR(__xludf.DUMMYFUNCTION("IMPORTRANGE(""https://docs.google.com/spreadsheets/d/1IwnW3-jjRf74MCLW-6PiFwMUffRQXZwZA7YM609NmRc/edit?usp=sharing"",""ปัตตานี!J311"")"),0)</f>
        <v>0</v>
      </c>
      <c r="Y80" s="185">
        <f t="shared" ca="1" si="12"/>
        <v>0</v>
      </c>
      <c r="Z80" s="298">
        <f ca="1">IFERROR(__xludf.DUMMYFUNCTION("IMPORTRANGE(""https://docs.google.com/spreadsheets/d/1IwnW3-jjRf74MCLW-6PiFwMUffRQXZwZA7YM609NmRc/edit?usp=sharing"",""ปัตตานี!I312"")"),0)</f>
        <v>0</v>
      </c>
      <c r="AA80" s="181">
        <f ca="1">IFERROR(__xludf.DUMMYFUNCTION("IMPORTRANGE(""https://docs.google.com/spreadsheets/d/1IwnW3-jjRf74MCLW-6PiFwMUffRQXZwZA7YM609NmRc/edit?usp=sharing"",""ปัตตานี!J312"")"),0)</f>
        <v>0</v>
      </c>
      <c r="AB80" s="185">
        <f t="shared" ca="1" si="14"/>
        <v>0</v>
      </c>
    </row>
    <row r="81" spans="1:28" ht="21" customHeight="1" x14ac:dyDescent="0.3">
      <c r="A81" s="78">
        <v>7</v>
      </c>
      <c r="B81" s="79" t="s">
        <v>103</v>
      </c>
      <c r="C81" s="80">
        <f t="shared" ca="1" si="0"/>
        <v>0</v>
      </c>
      <c r="D81" s="81">
        <f t="shared" ca="1" si="38"/>
        <v>0</v>
      </c>
      <c r="E81" s="82">
        <f ca="1">IFERROR(__xludf.DUMMYFUNCTION("IMPORTRANGE(""https://docs.google.com/spreadsheets/d/1MeEWN-I1oV_STSDYn1IFDPWt_1FKiwhDph83XaGc0o0/edit?usp=sharing"",""งบพรบ!DT81"")"),0)</f>
        <v>0</v>
      </c>
      <c r="F81" s="82">
        <f ca="1">IFERROR(__xludf.DUMMYFUNCTION("IMPORTRANGE(""https://docs.google.com/spreadsheets/d/1MeEWN-I1oV_STSDYn1IFDPWt_1FKiwhDph83XaGc0o0/edit?usp=sharing"",""งบพรบ!DU81"")"),0)</f>
        <v>0</v>
      </c>
      <c r="G81" s="82">
        <f ca="1">IFERROR(__xludf.DUMMYFUNCTION("IMPORTRANGE(""https://docs.google.com/spreadsheets/d/1MeEWN-I1oV_STSDYn1IFDPWt_1FKiwhDph83XaGc0o0/edit?usp=sharing"",""งบพรบ!DV81"")"),0)</f>
        <v>0</v>
      </c>
      <c r="H81" s="82">
        <f ca="1">IFERROR(__xludf.DUMMYFUNCTION("IMPORTRANGE(""https://docs.google.com/spreadsheets/d/1MeEWN-I1oV_STSDYn1IFDPWt_1FKiwhDph83XaGc0o0/edit?usp=sharing"",""งบพรบ!DX81"")"),0)</f>
        <v>0</v>
      </c>
      <c r="I81" s="82">
        <f ca="1">IFERROR(__xludf.DUMMYFUNCTION("IMPORTRANGE(""https://docs.google.com/spreadsheets/d/1MeEWN-I1oV_STSDYn1IFDPWt_1FKiwhDph83XaGc0o0/edit?usp=sharing"",""งบพรบ!DY81"")"),0)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IFERROR(__xludf.DUMMYFUNCTION("IMPORTRANGE(""https://docs.google.com/spreadsheets/d/1MeEWN-I1oV_STSDYn1IFDPWt_1FKiwhDph83XaGc0o0/edit?usp=sharing"",""งบพรบ!DZ81"")"),0)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IFERROR(__xludf.DUMMYFUNCTION("IMPORTRANGE(""https://docs.google.com/spreadsheets/d/1MeEWN-I1oV_STSDYn1IFDPWt_1FKiwhDph83XaGc0o0/edit?usp=sharing"",""งบพรบ!EA81"")"),0)</f>
        <v>0</v>
      </c>
      <c r="P81" s="85">
        <f t="shared" ca="1" si="23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IFERROR(__xludf.DUMMYFUNCTION("IMPORTRANGE(""https://docs.google.com/spreadsheets/d/1vl4QWbWdFruual5o_wdo6ZSqXZ_it806oja4CctTLKs/edit?usp=sharing"",""พังงา!J308"")"),0)</f>
        <v>0</v>
      </c>
      <c r="S81" s="298">
        <f ca="1">IFERROR(__xludf.DUMMYFUNCTION("IMPORTRANGE(""https://docs.google.com/spreadsheets/d/1vl4QWbWdFruual5o_wdo6ZSqXZ_it806oja4CctTLKs/edit?usp=sharing"",""พังงา!I309"")"),0)</f>
        <v>0</v>
      </c>
      <c r="T81" s="181">
        <f ca="1">IFERROR(__xludf.DUMMYFUNCTION("IMPORTRANGE(""https://docs.google.com/spreadsheets/d/1vl4QWbWdFruual5o_wdo6ZSqXZ_it806oja4CctTLKs/edit?usp=sharing"",""พังงา!J309"")"),0)</f>
        <v>0</v>
      </c>
      <c r="U81" s="185">
        <f t="shared" ca="1" si="21"/>
        <v>0</v>
      </c>
      <c r="V81" s="181">
        <f ca="1">IFERROR(__xludf.DUMMYFUNCTION("IMPORTRANGE(""https://docs.google.com/spreadsheets/d/1vl4QWbWdFruual5o_wdo6ZSqXZ_it806oja4CctTLKs/edit?usp=sharing"",""พังงา!J310"")"),0)</f>
        <v>0</v>
      </c>
      <c r="W81" s="185">
        <f t="shared" ca="1" si="11"/>
        <v>0</v>
      </c>
      <c r="X81" s="181">
        <f ca="1">IFERROR(__xludf.DUMMYFUNCTION("IMPORTRANGE(""https://docs.google.com/spreadsheets/d/1vl4QWbWdFruual5o_wdo6ZSqXZ_it806oja4CctTLKs/edit?usp=sharing"",""พังงา!J311"")"),0)</f>
        <v>0</v>
      </c>
      <c r="Y81" s="185">
        <f t="shared" ca="1" si="12"/>
        <v>0</v>
      </c>
      <c r="Z81" s="298">
        <f ca="1">IFERROR(__xludf.DUMMYFUNCTION("IMPORTRANGE(""https://docs.google.com/spreadsheets/d/1vl4QWbWdFruual5o_wdo6ZSqXZ_it806oja4CctTLKs/edit?usp=sharing"",""พังงา!I312"")"),0)</f>
        <v>0</v>
      </c>
      <c r="AA81" s="181">
        <f ca="1">IFERROR(__xludf.DUMMYFUNCTION("IMPORTRANGE(""https://docs.google.com/spreadsheets/d/1vl4QWbWdFruual5o_wdo6ZSqXZ_it806oja4CctTLKs/edit?usp=sharing"",""พังงา!J312"")"),0)</f>
        <v>0</v>
      </c>
      <c r="AB81" s="185">
        <f t="shared" ca="1" si="14"/>
        <v>0</v>
      </c>
    </row>
    <row r="82" spans="1:28" ht="21" customHeight="1" x14ac:dyDescent="0.3">
      <c r="A82" s="78">
        <v>8</v>
      </c>
      <c r="B82" s="79" t="s">
        <v>104</v>
      </c>
      <c r="C82" s="80">
        <f t="shared" ca="1" si="0"/>
        <v>82400</v>
      </c>
      <c r="D82" s="81">
        <f t="shared" ca="1" si="38"/>
        <v>82400</v>
      </c>
      <c r="E82" s="82">
        <f ca="1">IFERROR(__xludf.DUMMYFUNCTION("IMPORTRANGE(""https://docs.google.com/spreadsheets/d/1MeEWN-I1oV_STSDYn1IFDPWt_1FKiwhDph83XaGc0o0/edit?usp=sharing"",""งบพรบ!DT82"")"),0)</f>
        <v>0</v>
      </c>
      <c r="F82" s="82">
        <f ca="1">IFERROR(__xludf.DUMMYFUNCTION("IMPORTRANGE(""https://docs.google.com/spreadsheets/d/1MeEWN-I1oV_STSDYn1IFDPWt_1FKiwhDph83XaGc0o0/edit?usp=sharing"",""งบพรบ!DU82"")"),82400)</f>
        <v>82400</v>
      </c>
      <c r="G82" s="82">
        <f ca="1">IFERROR(__xludf.DUMMYFUNCTION("IMPORTRANGE(""https://docs.google.com/spreadsheets/d/1MeEWN-I1oV_STSDYn1IFDPWt_1FKiwhDph83XaGc0o0/edit?usp=sharing"",""งบพรบ!DV82"")"),0)</f>
        <v>0</v>
      </c>
      <c r="H82" s="82">
        <f ca="1">IFERROR(__xludf.DUMMYFUNCTION("IMPORTRANGE(""https://docs.google.com/spreadsheets/d/1MeEWN-I1oV_STSDYn1IFDPWt_1FKiwhDph83XaGc0o0/edit?usp=sharing"",""งบพรบ!DX82"")"),49120)</f>
        <v>49120</v>
      </c>
      <c r="I82" s="82">
        <f ca="1">IFERROR(__xludf.DUMMYFUNCTION("IMPORTRANGE(""https://docs.google.com/spreadsheets/d/1MeEWN-I1oV_STSDYn1IFDPWt_1FKiwhDph83XaGc0o0/edit?usp=sharing"",""งบพรบ!DY82"")"),0)</f>
        <v>0</v>
      </c>
      <c r="J82" s="82">
        <f t="shared" ca="1" si="3"/>
        <v>33504</v>
      </c>
      <c r="K82" s="83">
        <f t="shared" ca="1" si="4"/>
        <v>40.660194174757279</v>
      </c>
      <c r="L82" s="82">
        <f ca="1">IFERROR(__xludf.DUMMYFUNCTION("IMPORTRANGE(""https://docs.google.com/spreadsheets/d/1MeEWN-I1oV_STSDYn1IFDPWt_1FKiwhDph83XaGc0o0/edit?usp=sharing"",""งบพรบ!DZ82"")"),33504)</f>
        <v>33504</v>
      </c>
      <c r="M82" s="84">
        <f t="shared" ca="1" si="5"/>
        <v>40.660194174757279</v>
      </c>
      <c r="N82" s="84">
        <f t="shared" ca="1" si="6"/>
        <v>68.208469055374593</v>
      </c>
      <c r="O82" s="85">
        <f ca="1">IFERROR(__xludf.DUMMYFUNCTION("IMPORTRANGE(""https://docs.google.com/spreadsheets/d/1MeEWN-I1oV_STSDYn1IFDPWt_1FKiwhDph83XaGc0o0/edit?usp=sharing"",""งบพรบ!EA82"")"),0)</f>
        <v>0</v>
      </c>
      <c r="P82" s="85">
        <f t="shared" ca="1" si="23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IFERROR(__xludf.DUMMYFUNCTION("IMPORTRANGE(""https://docs.google.com/spreadsheets/d/1b6QssHQp2FoAPSMKHOy273KNzAomaIKhtdlvuZ_zDNE/edit?usp=sharing"",""พัทลุง!J308"")"),0)</f>
        <v>0</v>
      </c>
      <c r="S82" s="298">
        <f ca="1">IFERROR(__xludf.DUMMYFUNCTION("IMPORTRANGE(""https://docs.google.com/spreadsheets/d/1b6QssHQp2FoAPSMKHOy273KNzAomaIKhtdlvuZ_zDNE/edit?usp=sharing"",""พัทลุง!I309"")"),20)</f>
        <v>20</v>
      </c>
      <c r="T82" s="181">
        <f ca="1">IFERROR(__xludf.DUMMYFUNCTION("IMPORTRANGE(""https://docs.google.com/spreadsheets/d/1b6QssHQp2FoAPSMKHOy273KNzAomaIKhtdlvuZ_zDNE/edit?usp=sharing"",""พัทลุง!J309"")"),20)</f>
        <v>20</v>
      </c>
      <c r="U82" s="185">
        <f t="shared" ca="1" si="21"/>
        <v>100</v>
      </c>
      <c r="V82" s="181">
        <f ca="1">IFERROR(__xludf.DUMMYFUNCTION("IMPORTRANGE(""https://docs.google.com/spreadsheets/d/1b6QssHQp2FoAPSMKHOy273KNzAomaIKhtdlvuZ_zDNE/edit?usp=sharing"",""พัทลุง!J310"")"),20)</f>
        <v>20</v>
      </c>
      <c r="W82" s="185">
        <f t="shared" ca="1" si="11"/>
        <v>100</v>
      </c>
      <c r="X82" s="181">
        <f ca="1">IFERROR(__xludf.DUMMYFUNCTION("IMPORTRANGE(""https://docs.google.com/spreadsheets/d/1b6QssHQp2FoAPSMKHOy273KNzAomaIKhtdlvuZ_zDNE/edit?usp=sharing"",""พัทลุง!J311"")"),0)</f>
        <v>0</v>
      </c>
      <c r="Y82" s="185">
        <f t="shared" ca="1" si="12"/>
        <v>0</v>
      </c>
      <c r="Z82" s="298">
        <f ca="1">IFERROR(__xludf.DUMMYFUNCTION("IMPORTRANGE(""https://docs.google.com/spreadsheets/d/1b6QssHQp2FoAPSMKHOy273KNzAomaIKhtdlvuZ_zDNE/edit?usp=sharing"",""พัทลุง!I312"")"),4)</f>
        <v>4</v>
      </c>
      <c r="AA82" s="181">
        <f ca="1">IFERROR(__xludf.DUMMYFUNCTION("IMPORTRANGE(""https://docs.google.com/spreadsheets/d/1b6QssHQp2FoAPSMKHOy273KNzAomaIKhtdlvuZ_zDNE/edit?usp=sharing"",""พัทลุง!J312"")"),0)</f>
        <v>0</v>
      </c>
      <c r="AB82" s="185">
        <f t="shared" ca="1" si="14"/>
        <v>0</v>
      </c>
    </row>
    <row r="83" spans="1:28" ht="21" customHeight="1" x14ac:dyDescent="0.3">
      <c r="A83" s="78">
        <v>9</v>
      </c>
      <c r="B83" s="79" t="s">
        <v>105</v>
      </c>
      <c r="C83" s="80">
        <f t="shared" ca="1" si="0"/>
        <v>0</v>
      </c>
      <c r="D83" s="81">
        <f t="shared" ca="1" si="38"/>
        <v>0</v>
      </c>
      <c r="E83" s="82">
        <f ca="1">IFERROR(__xludf.DUMMYFUNCTION("IMPORTRANGE(""https://docs.google.com/spreadsheets/d/1MeEWN-I1oV_STSDYn1IFDPWt_1FKiwhDph83XaGc0o0/edit?usp=sharing"",""งบพรบ!DT83"")"),0)</f>
        <v>0</v>
      </c>
      <c r="F83" s="82">
        <f ca="1">IFERROR(__xludf.DUMMYFUNCTION("IMPORTRANGE(""https://docs.google.com/spreadsheets/d/1MeEWN-I1oV_STSDYn1IFDPWt_1FKiwhDph83XaGc0o0/edit?usp=sharing"",""งบพรบ!DU83"")"),0)</f>
        <v>0</v>
      </c>
      <c r="G83" s="82">
        <f ca="1">IFERROR(__xludf.DUMMYFUNCTION("IMPORTRANGE(""https://docs.google.com/spreadsheets/d/1MeEWN-I1oV_STSDYn1IFDPWt_1FKiwhDph83XaGc0o0/edit?usp=sharing"",""งบพรบ!DV83"")"),0)</f>
        <v>0</v>
      </c>
      <c r="H83" s="82">
        <f ca="1">IFERROR(__xludf.DUMMYFUNCTION("IMPORTRANGE(""https://docs.google.com/spreadsheets/d/1MeEWN-I1oV_STSDYn1IFDPWt_1FKiwhDph83XaGc0o0/edit?usp=sharing"",""งบพรบ!DX83"")"),0)</f>
        <v>0</v>
      </c>
      <c r="I83" s="82">
        <f ca="1">IFERROR(__xludf.DUMMYFUNCTION("IMPORTRANGE(""https://docs.google.com/spreadsheets/d/1MeEWN-I1oV_STSDYn1IFDPWt_1FKiwhDph83XaGc0o0/edit?usp=sharing"",""งบพรบ!DY83"")"),0)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IFERROR(__xludf.DUMMYFUNCTION("IMPORTRANGE(""https://docs.google.com/spreadsheets/d/1MeEWN-I1oV_STSDYn1IFDPWt_1FKiwhDph83XaGc0o0/edit?usp=sharing"",""งบพรบ!DZ83"")"),0)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IFERROR(__xludf.DUMMYFUNCTION("IMPORTRANGE(""https://docs.google.com/spreadsheets/d/1MeEWN-I1oV_STSDYn1IFDPWt_1FKiwhDph83XaGc0o0/edit?usp=sharing"",""งบพรบ!EA83"")"),0)</f>
        <v>0</v>
      </c>
      <c r="P83" s="85">
        <f t="shared" ca="1" si="23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IFERROR(__xludf.DUMMYFUNCTION("IMPORTRANGE(""https://docs.google.com/spreadsheets/d/1o7UZe4_OqlqtLDHrj01Z2YFRSZDf1DMy1n3XViHaxRc/edit?usp=sharing"",""ภูเก็ต!J308"")"),0)</f>
        <v>0</v>
      </c>
      <c r="S83" s="298">
        <f ca="1">IFERROR(__xludf.DUMMYFUNCTION("IMPORTRANGE(""https://docs.google.com/spreadsheets/d/1o7UZe4_OqlqtLDHrj01Z2YFRSZDf1DMy1n3XViHaxRc/edit?usp=sharing"",""ภูเก็ต!I309"")"),0)</f>
        <v>0</v>
      </c>
      <c r="T83" s="181">
        <f ca="1">IFERROR(__xludf.DUMMYFUNCTION("IMPORTRANGE(""https://docs.google.com/spreadsheets/d/1o7UZe4_OqlqtLDHrj01Z2YFRSZDf1DMy1n3XViHaxRc/edit?usp=sharing"",""ภูเก็ต!J309"")"),0)</f>
        <v>0</v>
      </c>
      <c r="U83" s="185">
        <f t="shared" ca="1" si="21"/>
        <v>0</v>
      </c>
      <c r="V83" s="181">
        <f ca="1">IFERROR(__xludf.DUMMYFUNCTION("IMPORTRANGE(""https://docs.google.com/spreadsheets/d/1o7UZe4_OqlqtLDHrj01Z2YFRSZDf1DMy1n3XViHaxRc/edit?usp=sharing"",""ภูเก็ต!J310"")"),0)</f>
        <v>0</v>
      </c>
      <c r="W83" s="185">
        <f t="shared" ca="1" si="11"/>
        <v>0</v>
      </c>
      <c r="X83" s="181">
        <f ca="1">IFERROR(__xludf.DUMMYFUNCTION("IMPORTRANGE(""https://docs.google.com/spreadsheets/d/1o7UZe4_OqlqtLDHrj01Z2YFRSZDf1DMy1n3XViHaxRc/edit?usp=sharing"",""ภูเก็ต!J311"")"),0)</f>
        <v>0</v>
      </c>
      <c r="Y83" s="185">
        <f t="shared" ca="1" si="12"/>
        <v>0</v>
      </c>
      <c r="Z83" s="298">
        <f ca="1">IFERROR(__xludf.DUMMYFUNCTION("IMPORTRANGE(""https://docs.google.com/spreadsheets/d/1o7UZe4_OqlqtLDHrj01Z2YFRSZDf1DMy1n3XViHaxRc/edit?usp=sharing"",""ภูเก็ต!I312"")"),0)</f>
        <v>0</v>
      </c>
      <c r="AA83" s="181">
        <f ca="1">IFERROR(__xludf.DUMMYFUNCTION("IMPORTRANGE(""https://docs.google.com/spreadsheets/d/1o7UZe4_OqlqtLDHrj01Z2YFRSZDf1DMy1n3XViHaxRc/edit?usp=sharing"",""ภูเก็ต!J312"")"),0)</f>
        <v>0</v>
      </c>
      <c r="AB83" s="185">
        <f t="shared" ca="1" si="14"/>
        <v>0</v>
      </c>
    </row>
    <row r="84" spans="1:28" ht="21" customHeight="1" x14ac:dyDescent="0.3">
      <c r="A84" s="78">
        <v>10</v>
      </c>
      <c r="B84" s="79" t="s">
        <v>106</v>
      </c>
      <c r="C84" s="80">
        <f t="shared" ca="1" si="0"/>
        <v>0</v>
      </c>
      <c r="D84" s="81">
        <f t="shared" ca="1" si="38"/>
        <v>0</v>
      </c>
      <c r="E84" s="82">
        <f ca="1">IFERROR(__xludf.DUMMYFUNCTION("IMPORTRANGE(""https://docs.google.com/spreadsheets/d/1MeEWN-I1oV_STSDYn1IFDPWt_1FKiwhDph83XaGc0o0/edit?usp=sharing"",""งบพรบ!DT84"")"),0)</f>
        <v>0</v>
      </c>
      <c r="F84" s="82">
        <f ca="1">IFERROR(__xludf.DUMMYFUNCTION("IMPORTRANGE(""https://docs.google.com/spreadsheets/d/1MeEWN-I1oV_STSDYn1IFDPWt_1FKiwhDph83XaGc0o0/edit?usp=sharing"",""งบพรบ!DU84"")"),0)</f>
        <v>0</v>
      </c>
      <c r="G84" s="82">
        <f ca="1">IFERROR(__xludf.DUMMYFUNCTION("IMPORTRANGE(""https://docs.google.com/spreadsheets/d/1MeEWN-I1oV_STSDYn1IFDPWt_1FKiwhDph83XaGc0o0/edit?usp=sharing"",""งบพรบ!DV84"")"),0)</f>
        <v>0</v>
      </c>
      <c r="H84" s="82">
        <f ca="1">IFERROR(__xludf.DUMMYFUNCTION("IMPORTRANGE(""https://docs.google.com/spreadsheets/d/1MeEWN-I1oV_STSDYn1IFDPWt_1FKiwhDph83XaGc0o0/edit?usp=sharing"",""งบพรบ!DX84"")"),0)</f>
        <v>0</v>
      </c>
      <c r="I84" s="82">
        <f ca="1">IFERROR(__xludf.DUMMYFUNCTION("IMPORTRANGE(""https://docs.google.com/spreadsheets/d/1MeEWN-I1oV_STSDYn1IFDPWt_1FKiwhDph83XaGc0o0/edit?usp=sharing"",""งบพรบ!DY84"")"),0)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IFERROR(__xludf.DUMMYFUNCTION("IMPORTRANGE(""https://docs.google.com/spreadsheets/d/1MeEWN-I1oV_STSDYn1IFDPWt_1FKiwhDph83XaGc0o0/edit?usp=sharing"",""งบพรบ!DZ84"")"),0)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IFERROR(__xludf.DUMMYFUNCTION("IMPORTRANGE(""https://docs.google.com/spreadsheets/d/1MeEWN-I1oV_STSDYn1IFDPWt_1FKiwhDph83XaGc0o0/edit?usp=sharing"",""งบพรบ!EA84"")"),0)</f>
        <v>0</v>
      </c>
      <c r="P84" s="85">
        <f t="shared" ca="1" si="23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IFERROR(__xludf.DUMMYFUNCTION("IMPORTRANGE(""https://docs.google.com/spreadsheets/d/1ctPm1vUzcUCPuOj9-eoHUD85PqINFqUB0TjdSWmR5-c/edit?usp=sharing"",""ยะลา!J308"")"),0)</f>
        <v>0</v>
      </c>
      <c r="S84" s="298">
        <f ca="1">IFERROR(__xludf.DUMMYFUNCTION("IMPORTRANGE(""https://docs.google.com/spreadsheets/d/1ctPm1vUzcUCPuOj9-eoHUD85PqINFqUB0TjdSWmR5-c/edit?usp=sharing"",""ยะลา!I309"")"),0)</f>
        <v>0</v>
      </c>
      <c r="T84" s="181">
        <f ca="1">IFERROR(__xludf.DUMMYFUNCTION("IMPORTRANGE(""https://docs.google.com/spreadsheets/d/1ctPm1vUzcUCPuOj9-eoHUD85PqINFqUB0TjdSWmR5-c/edit?usp=sharing"",""ยะลา!J309"")"),0)</f>
        <v>0</v>
      </c>
      <c r="U84" s="185">
        <f t="shared" ca="1" si="21"/>
        <v>0</v>
      </c>
      <c r="V84" s="181">
        <f ca="1">IFERROR(__xludf.DUMMYFUNCTION("IMPORTRANGE(""https://docs.google.com/spreadsheets/d/1ctPm1vUzcUCPuOj9-eoHUD85PqINFqUB0TjdSWmR5-c/edit?usp=sharing"",""ยะลา!J310"")"),0)</f>
        <v>0</v>
      </c>
      <c r="W84" s="185">
        <f t="shared" ca="1" si="11"/>
        <v>0</v>
      </c>
      <c r="X84" s="181">
        <f ca="1">IFERROR(__xludf.DUMMYFUNCTION("IMPORTRANGE(""https://docs.google.com/spreadsheets/d/1ctPm1vUzcUCPuOj9-eoHUD85PqINFqUB0TjdSWmR5-c/edit?usp=sharing"",""ยะลา!J311"")"),0)</f>
        <v>0</v>
      </c>
      <c r="Y84" s="185">
        <f t="shared" ca="1" si="12"/>
        <v>0</v>
      </c>
      <c r="Z84" s="298">
        <f ca="1">IFERROR(__xludf.DUMMYFUNCTION("IMPORTRANGE(""https://docs.google.com/spreadsheets/d/1ctPm1vUzcUCPuOj9-eoHUD85PqINFqUB0TjdSWmR5-c/edit?usp=sharing"",""ยะลา!I312"")"),0)</f>
        <v>0</v>
      </c>
      <c r="AA84" s="181">
        <f ca="1">IFERROR(__xludf.DUMMYFUNCTION("IMPORTRANGE(""https://docs.google.com/spreadsheets/d/1ctPm1vUzcUCPuOj9-eoHUD85PqINFqUB0TjdSWmR5-c/edit?usp=sharing"",""ยะลา!J312"")"),0)</f>
        <v>0</v>
      </c>
      <c r="AB84" s="185">
        <f t="shared" ca="1" si="14"/>
        <v>0</v>
      </c>
    </row>
    <row r="85" spans="1:28" ht="21" customHeight="1" x14ac:dyDescent="0.3">
      <c r="A85" s="78">
        <v>11</v>
      </c>
      <c r="B85" s="79" t="s">
        <v>107</v>
      </c>
      <c r="C85" s="80">
        <f t="shared" ca="1" si="0"/>
        <v>0</v>
      </c>
      <c r="D85" s="81">
        <f t="shared" ca="1" si="38"/>
        <v>0</v>
      </c>
      <c r="E85" s="82">
        <f ca="1">IFERROR(__xludf.DUMMYFUNCTION("IMPORTRANGE(""https://docs.google.com/spreadsheets/d/1MeEWN-I1oV_STSDYn1IFDPWt_1FKiwhDph83XaGc0o0/edit?usp=sharing"",""งบพรบ!DT85"")"),0)</f>
        <v>0</v>
      </c>
      <c r="F85" s="82">
        <f ca="1">IFERROR(__xludf.DUMMYFUNCTION("IMPORTRANGE(""https://docs.google.com/spreadsheets/d/1MeEWN-I1oV_STSDYn1IFDPWt_1FKiwhDph83XaGc0o0/edit?usp=sharing"",""งบพรบ!DU85"")"),0)</f>
        <v>0</v>
      </c>
      <c r="G85" s="82">
        <f ca="1">IFERROR(__xludf.DUMMYFUNCTION("IMPORTRANGE(""https://docs.google.com/spreadsheets/d/1MeEWN-I1oV_STSDYn1IFDPWt_1FKiwhDph83XaGc0o0/edit?usp=sharing"",""งบพรบ!DV85"")"),0)</f>
        <v>0</v>
      </c>
      <c r="H85" s="82">
        <f ca="1">IFERROR(__xludf.DUMMYFUNCTION("IMPORTRANGE(""https://docs.google.com/spreadsheets/d/1MeEWN-I1oV_STSDYn1IFDPWt_1FKiwhDph83XaGc0o0/edit?usp=sharing"",""งบพรบ!DX85"")"),0)</f>
        <v>0</v>
      </c>
      <c r="I85" s="82">
        <f ca="1">IFERROR(__xludf.DUMMYFUNCTION("IMPORTRANGE(""https://docs.google.com/spreadsheets/d/1MeEWN-I1oV_STSDYn1IFDPWt_1FKiwhDph83XaGc0o0/edit?usp=sharing"",""งบพรบ!DY85"")"),0)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IFERROR(__xludf.DUMMYFUNCTION("IMPORTRANGE(""https://docs.google.com/spreadsheets/d/1MeEWN-I1oV_STSDYn1IFDPWt_1FKiwhDph83XaGc0o0/edit?usp=sharing"",""งบพรบ!DZ85"")"),0)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IFERROR(__xludf.DUMMYFUNCTION("IMPORTRANGE(""https://docs.google.com/spreadsheets/d/1MeEWN-I1oV_STSDYn1IFDPWt_1FKiwhDph83XaGc0o0/edit?usp=sharing"",""งบพรบ!EA85"")"),0)</f>
        <v>0</v>
      </c>
      <c r="P85" s="85">
        <f t="shared" ca="1" si="23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IFERROR(__xludf.DUMMYFUNCTION("IMPORTRANGE(""https://docs.google.com/spreadsheets/d/1YiDIE7Klmt8osgdapRqYWNr7iPGFSsiJqq46S7PYRE0/edit?usp=sharing"",""ระนอง!J308"")"),0)</f>
        <v>0</v>
      </c>
      <c r="S85" s="298">
        <f ca="1">IFERROR(__xludf.DUMMYFUNCTION("IMPORTRANGE(""https://docs.google.com/spreadsheets/d/1YiDIE7Klmt8osgdapRqYWNr7iPGFSsiJqq46S7PYRE0/edit?usp=sharing"",""ระนอง!I309"")"),0)</f>
        <v>0</v>
      </c>
      <c r="T85" s="181">
        <f ca="1">IFERROR(__xludf.DUMMYFUNCTION("IMPORTRANGE(""https://docs.google.com/spreadsheets/d/1YiDIE7Klmt8osgdapRqYWNr7iPGFSsiJqq46S7PYRE0/edit?usp=sharing"",""ระนอง!J309"")"),0)</f>
        <v>0</v>
      </c>
      <c r="U85" s="185">
        <f t="shared" ca="1" si="21"/>
        <v>0</v>
      </c>
      <c r="V85" s="181">
        <f ca="1">IFERROR(__xludf.DUMMYFUNCTION("IMPORTRANGE(""https://docs.google.com/spreadsheets/d/1YiDIE7Klmt8osgdapRqYWNr7iPGFSsiJqq46S7PYRE0/edit?usp=sharing"",""ระนอง!J310"")"),0)</f>
        <v>0</v>
      </c>
      <c r="W85" s="185">
        <f t="shared" ca="1" si="11"/>
        <v>0</v>
      </c>
      <c r="X85" s="181">
        <f ca="1">IFERROR(__xludf.DUMMYFUNCTION("IMPORTRANGE(""https://docs.google.com/spreadsheets/d/1YiDIE7Klmt8osgdapRqYWNr7iPGFSsiJqq46S7PYRE0/edit?usp=sharing"",""ระนอง!J311"")"),0)</f>
        <v>0</v>
      </c>
      <c r="Y85" s="185">
        <f t="shared" ca="1" si="12"/>
        <v>0</v>
      </c>
      <c r="Z85" s="298">
        <f ca="1">IFERROR(__xludf.DUMMYFUNCTION("IMPORTRANGE(""https://docs.google.com/spreadsheets/d/1YiDIE7Klmt8osgdapRqYWNr7iPGFSsiJqq46S7PYRE0/edit?usp=sharing"",""ระนอง!I312"")"),0)</f>
        <v>0</v>
      </c>
      <c r="AA85" s="181">
        <f ca="1">IFERROR(__xludf.DUMMYFUNCTION("IMPORTRANGE(""https://docs.google.com/spreadsheets/d/1YiDIE7Klmt8osgdapRqYWNr7iPGFSsiJqq46S7PYRE0/edit?usp=sharing"",""ระนอง!J312"")"),0)</f>
        <v>0</v>
      </c>
      <c r="AB85" s="185">
        <f t="shared" ca="1" si="14"/>
        <v>0</v>
      </c>
    </row>
    <row r="86" spans="1:28" ht="24" customHeight="1" x14ac:dyDescent="0.3">
      <c r="A86" s="78">
        <v>12</v>
      </c>
      <c r="B86" s="79" t="s">
        <v>108</v>
      </c>
      <c r="C86" s="80">
        <f t="shared" ca="1" si="0"/>
        <v>82400</v>
      </c>
      <c r="D86" s="81">
        <f t="shared" ca="1" si="38"/>
        <v>82400</v>
      </c>
      <c r="E86" s="82">
        <f ca="1">IFERROR(__xludf.DUMMYFUNCTION("IMPORTRANGE(""https://docs.google.com/spreadsheets/d/1MeEWN-I1oV_STSDYn1IFDPWt_1FKiwhDph83XaGc0o0/edit?usp=sharing"",""งบพรบ!DT86"")"),0)</f>
        <v>0</v>
      </c>
      <c r="F86" s="82">
        <f ca="1">IFERROR(__xludf.DUMMYFUNCTION("IMPORTRANGE(""https://docs.google.com/spreadsheets/d/1MeEWN-I1oV_STSDYn1IFDPWt_1FKiwhDph83XaGc0o0/edit?usp=sharing"",""งบพรบ!DU86"")"),82400)</f>
        <v>82400</v>
      </c>
      <c r="G86" s="82">
        <f ca="1">IFERROR(__xludf.DUMMYFUNCTION("IMPORTRANGE(""https://docs.google.com/spreadsheets/d/1MeEWN-I1oV_STSDYn1IFDPWt_1FKiwhDph83XaGc0o0/edit?usp=sharing"",""งบพรบ!DV86"")"),0)</f>
        <v>0</v>
      </c>
      <c r="H86" s="82">
        <f ca="1">IFERROR(__xludf.DUMMYFUNCTION("IMPORTRANGE(""https://docs.google.com/spreadsheets/d/1MeEWN-I1oV_STSDYn1IFDPWt_1FKiwhDph83XaGc0o0/edit?usp=sharing"",""งบพรบ!DX86"")"),49120)</f>
        <v>49120</v>
      </c>
      <c r="I86" s="82">
        <f ca="1">IFERROR(__xludf.DUMMYFUNCTION("IMPORTRANGE(""https://docs.google.com/spreadsheets/d/1MeEWN-I1oV_STSDYn1IFDPWt_1FKiwhDph83XaGc0o0/edit?usp=sharing"",""งบพรบ!DY86"")"),0)</f>
        <v>0</v>
      </c>
      <c r="J86" s="82">
        <f t="shared" ca="1" si="3"/>
        <v>44400</v>
      </c>
      <c r="K86" s="83">
        <f t="shared" ca="1" si="4"/>
        <v>53.883495145631066</v>
      </c>
      <c r="L86" s="82">
        <f ca="1">IFERROR(__xludf.DUMMYFUNCTION("IMPORTRANGE(""https://docs.google.com/spreadsheets/d/1MeEWN-I1oV_STSDYn1IFDPWt_1FKiwhDph83XaGc0o0/edit?usp=sharing"",""งบพรบ!DZ86"")"),44400)</f>
        <v>44400</v>
      </c>
      <c r="M86" s="84">
        <f t="shared" ca="1" si="5"/>
        <v>53.883495145631066</v>
      </c>
      <c r="N86" s="84">
        <f t="shared" ca="1" si="6"/>
        <v>90.390879478827358</v>
      </c>
      <c r="O86" s="85">
        <f ca="1">IFERROR(__xludf.DUMMYFUNCTION("IMPORTRANGE(""https://docs.google.com/spreadsheets/d/1MeEWN-I1oV_STSDYn1IFDPWt_1FKiwhDph83XaGc0o0/edit?usp=sharing"",""งบพรบ!EA86"")"),0)</f>
        <v>0</v>
      </c>
      <c r="P86" s="85">
        <f t="shared" ca="1" si="23"/>
        <v>0</v>
      </c>
      <c r="Q86" s="84">
        <f t="shared" ca="1" si="8"/>
        <v>0</v>
      </c>
      <c r="R86" s="86">
        <f ca="1">IFERROR(__xludf.DUMMYFUNCTION("IMPORTRANGE(""https://docs.google.com/spreadsheets/d/16o_4B-V7AWw_6E93bSpXj_XxVv1oVQctk-B6z1dNEWU/edit?usp=sharing"",""สงขลา!J308"")"),1)</f>
        <v>1</v>
      </c>
      <c r="S86" s="298">
        <f ca="1">IFERROR(__xludf.DUMMYFUNCTION("IMPORTRANGE(""https://docs.google.com/spreadsheets/d/16o_4B-V7AWw_6E93bSpXj_XxVv1oVQctk-B6z1dNEWU/edit?usp=sharing"",""สงขลา!I309"")"),20)</f>
        <v>20</v>
      </c>
      <c r="T86" s="181">
        <f ca="1">IFERROR(__xludf.DUMMYFUNCTION("IMPORTRANGE(""https://docs.google.com/spreadsheets/d/16o_4B-V7AWw_6E93bSpXj_XxVv1oVQctk-B6z1dNEWU/edit?usp=sharing"",""สงขลา!J309"")"),20)</f>
        <v>20</v>
      </c>
      <c r="U86" s="185">
        <f t="shared" ca="1" si="21"/>
        <v>100</v>
      </c>
      <c r="V86" s="181">
        <f ca="1">IFERROR(__xludf.DUMMYFUNCTION("IMPORTRANGE(""https://docs.google.com/spreadsheets/d/16o_4B-V7AWw_6E93bSpXj_XxVv1oVQctk-B6z1dNEWU/edit?usp=sharing"",""สงขลา!J310"")"),0)</f>
        <v>0</v>
      </c>
      <c r="W86" s="185">
        <f t="shared" ca="1" si="11"/>
        <v>0</v>
      </c>
      <c r="X86" s="181">
        <f ca="1">IFERROR(__xludf.DUMMYFUNCTION("IMPORTRANGE(""https://docs.google.com/spreadsheets/d/16o_4B-V7AWw_6E93bSpXj_XxVv1oVQctk-B6z1dNEWU/edit?usp=sharing"",""สงขลา!J311"")"),0)</f>
        <v>0</v>
      </c>
      <c r="Y86" s="185">
        <f t="shared" ca="1" si="12"/>
        <v>0</v>
      </c>
      <c r="Z86" s="298">
        <f ca="1">IFERROR(__xludf.DUMMYFUNCTION("IMPORTRANGE(""https://docs.google.com/spreadsheets/d/16o_4B-V7AWw_6E93bSpXj_XxVv1oVQctk-B6z1dNEWU/edit?usp=sharing"",""สงขลา!I312"")"),4)</f>
        <v>4</v>
      </c>
      <c r="AA86" s="181">
        <f ca="1">IFERROR(__xludf.DUMMYFUNCTION("IMPORTRANGE(""https://docs.google.com/spreadsheets/d/16o_4B-V7AWw_6E93bSpXj_XxVv1oVQctk-B6z1dNEWU/edit?usp=sharing"",""สงขลา!J312"")"),0)</f>
        <v>0</v>
      </c>
      <c r="AB86" s="185">
        <f t="shared" ca="1" si="14"/>
        <v>0</v>
      </c>
    </row>
    <row r="87" spans="1:28" ht="24" customHeight="1" x14ac:dyDescent="0.3">
      <c r="A87" s="78">
        <v>13</v>
      </c>
      <c r="B87" s="79" t="s">
        <v>109</v>
      </c>
      <c r="C87" s="80">
        <f t="shared" ca="1" si="0"/>
        <v>0</v>
      </c>
      <c r="D87" s="81">
        <f t="shared" ca="1" si="38"/>
        <v>0</v>
      </c>
      <c r="E87" s="82">
        <f ca="1">IFERROR(__xludf.DUMMYFUNCTION("IMPORTRANGE(""https://docs.google.com/spreadsheets/d/1MeEWN-I1oV_STSDYn1IFDPWt_1FKiwhDph83XaGc0o0/edit?usp=sharing"",""งบพรบ!DT87"")"),0)</f>
        <v>0</v>
      </c>
      <c r="F87" s="82">
        <f ca="1">IFERROR(__xludf.DUMMYFUNCTION("IMPORTRANGE(""https://docs.google.com/spreadsheets/d/1MeEWN-I1oV_STSDYn1IFDPWt_1FKiwhDph83XaGc0o0/edit?usp=sharing"",""งบพรบ!DU87"")"),0)</f>
        <v>0</v>
      </c>
      <c r="G87" s="82">
        <f ca="1">IFERROR(__xludf.DUMMYFUNCTION("IMPORTRANGE(""https://docs.google.com/spreadsheets/d/1MeEWN-I1oV_STSDYn1IFDPWt_1FKiwhDph83XaGc0o0/edit?usp=sharing"",""งบพรบ!DV87"")"),0)</f>
        <v>0</v>
      </c>
      <c r="H87" s="82">
        <f ca="1">IFERROR(__xludf.DUMMYFUNCTION("IMPORTRANGE(""https://docs.google.com/spreadsheets/d/1MeEWN-I1oV_STSDYn1IFDPWt_1FKiwhDph83XaGc0o0/edit?usp=sharing"",""งบพรบ!DX87"")"),0)</f>
        <v>0</v>
      </c>
      <c r="I87" s="82">
        <f ca="1">IFERROR(__xludf.DUMMYFUNCTION("IMPORTRANGE(""https://docs.google.com/spreadsheets/d/1MeEWN-I1oV_STSDYn1IFDPWt_1FKiwhDph83XaGc0o0/edit?usp=sharing"",""งบพรบ!DY87"")"),0)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IFERROR(__xludf.DUMMYFUNCTION("IMPORTRANGE(""https://docs.google.com/spreadsheets/d/1MeEWN-I1oV_STSDYn1IFDPWt_1FKiwhDph83XaGc0o0/edit?usp=sharing"",""งบพรบ!DZ87"")"),0)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IFERROR(__xludf.DUMMYFUNCTION("IMPORTRANGE(""https://docs.google.com/spreadsheets/d/1MeEWN-I1oV_STSDYn1IFDPWt_1FKiwhDph83XaGc0o0/edit?usp=sharing"",""งบพรบ!EA87"")"),0)</f>
        <v>0</v>
      </c>
      <c r="P87" s="85">
        <f t="shared" ca="1" si="23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IFERROR(__xludf.DUMMYFUNCTION("IMPORTRANGE(""https://docs.google.com/spreadsheets/d/16cywr71Fj4fA5OGRHsZh30ZG2gwJhMAQv69oVBzYHv0/edit?usp=sharing"",""สตูล!J308"")"),0)</f>
        <v>0</v>
      </c>
      <c r="S87" s="298">
        <f ca="1">IFERROR(__xludf.DUMMYFUNCTION("IMPORTRANGE(""https://docs.google.com/spreadsheets/d/16cywr71Fj4fA5OGRHsZh30ZG2gwJhMAQv69oVBzYHv0/edit?usp=sharing"",""สตูล!I309"")"),0)</f>
        <v>0</v>
      </c>
      <c r="T87" s="181">
        <f ca="1">IFERROR(__xludf.DUMMYFUNCTION("IMPORTRANGE(""https://docs.google.com/spreadsheets/d/16cywr71Fj4fA5OGRHsZh30ZG2gwJhMAQv69oVBzYHv0/edit?usp=sharing"",""สตูล!J309"")"),0)</f>
        <v>0</v>
      </c>
      <c r="U87" s="185">
        <f t="shared" ca="1" si="21"/>
        <v>0</v>
      </c>
      <c r="V87" s="181">
        <f ca="1">IFERROR(__xludf.DUMMYFUNCTION("IMPORTRANGE(""https://docs.google.com/spreadsheets/d/16cywr71Fj4fA5OGRHsZh30ZG2gwJhMAQv69oVBzYHv0/edit?usp=sharing"",""สตูล!J310"")"),0)</f>
        <v>0</v>
      </c>
      <c r="W87" s="185">
        <f t="shared" ca="1" si="11"/>
        <v>0</v>
      </c>
      <c r="X87" s="181">
        <f ca="1">IFERROR(__xludf.DUMMYFUNCTION("IMPORTRANGE(""https://docs.google.com/spreadsheets/d/16cywr71Fj4fA5OGRHsZh30ZG2gwJhMAQv69oVBzYHv0/edit?usp=sharing"",""สตูล!J311"")"),0)</f>
        <v>0</v>
      </c>
      <c r="Y87" s="185">
        <f t="shared" ca="1" si="12"/>
        <v>0</v>
      </c>
      <c r="Z87" s="298">
        <f ca="1">IFERROR(__xludf.DUMMYFUNCTION("IMPORTRANGE(""https://docs.google.com/spreadsheets/d/16cywr71Fj4fA5OGRHsZh30ZG2gwJhMAQv69oVBzYHv0/edit?usp=sharing"",""สตูล!I312"")"),0)</f>
        <v>0</v>
      </c>
      <c r="AA87" s="181">
        <f ca="1">IFERROR(__xludf.DUMMYFUNCTION("IMPORTRANGE(""https://docs.google.com/spreadsheets/d/16cywr71Fj4fA5OGRHsZh30ZG2gwJhMAQv69oVBzYHv0/edit?usp=sharing"",""สตูล!J312"")"),0)</f>
        <v>0</v>
      </c>
      <c r="AB87" s="185">
        <f t="shared" ca="1" si="14"/>
        <v>0</v>
      </c>
    </row>
    <row r="88" spans="1:28" ht="24" customHeight="1" x14ac:dyDescent="0.3">
      <c r="A88" s="89">
        <v>14</v>
      </c>
      <c r="B88" s="90" t="s">
        <v>110</v>
      </c>
      <c r="C88" s="91">
        <f t="shared" ca="1" si="0"/>
        <v>82400</v>
      </c>
      <c r="D88" s="92">
        <f t="shared" ca="1" si="38"/>
        <v>82400</v>
      </c>
      <c r="E88" s="93">
        <f ca="1">IFERROR(__xludf.DUMMYFUNCTION("IMPORTRANGE(""https://docs.google.com/spreadsheets/d/1MeEWN-I1oV_STSDYn1IFDPWt_1FKiwhDph83XaGc0o0/edit?usp=sharing"",""งบพรบ!DT88"")"),0)</f>
        <v>0</v>
      </c>
      <c r="F88" s="93">
        <f ca="1">IFERROR(__xludf.DUMMYFUNCTION("IMPORTRANGE(""https://docs.google.com/spreadsheets/d/1MeEWN-I1oV_STSDYn1IFDPWt_1FKiwhDph83XaGc0o0/edit?usp=sharing"",""งบพรบ!DU88"")"),82400)</f>
        <v>82400</v>
      </c>
      <c r="G88" s="93">
        <f ca="1">IFERROR(__xludf.DUMMYFUNCTION("IMPORTRANGE(""https://docs.google.com/spreadsheets/d/1MeEWN-I1oV_STSDYn1IFDPWt_1FKiwhDph83XaGc0o0/edit?usp=sharing"",""งบพรบ!DV88"")"),0)</f>
        <v>0</v>
      </c>
      <c r="H88" s="93">
        <f ca="1">IFERROR(__xludf.DUMMYFUNCTION("IMPORTRANGE(""https://docs.google.com/spreadsheets/d/1MeEWN-I1oV_STSDYn1IFDPWt_1FKiwhDph83XaGc0o0/edit?usp=sharing"",""งบพรบ!DX88"")"),49120)</f>
        <v>49120</v>
      </c>
      <c r="I88" s="93">
        <f ca="1">IFERROR(__xludf.DUMMYFUNCTION("IMPORTRANGE(""https://docs.google.com/spreadsheets/d/1MeEWN-I1oV_STSDYn1IFDPWt_1FKiwhDph83XaGc0o0/edit?usp=sharing"",""งบพรบ!DY88"")"),0)</f>
        <v>0</v>
      </c>
      <c r="J88" s="93">
        <f t="shared" ca="1" si="3"/>
        <v>38401</v>
      </c>
      <c r="K88" s="94">
        <f t="shared" ca="1" si="4"/>
        <v>46.603155339805824</v>
      </c>
      <c r="L88" s="93">
        <f ca="1">IFERROR(__xludf.DUMMYFUNCTION("IMPORTRANGE(""https://docs.google.com/spreadsheets/d/1MeEWN-I1oV_STSDYn1IFDPWt_1FKiwhDph83XaGc0o0/edit?usp=sharing"",""งบพรบ!DZ88"")"),38401)</f>
        <v>38401</v>
      </c>
      <c r="M88" s="95">
        <f t="shared" ca="1" si="5"/>
        <v>46.603155339805824</v>
      </c>
      <c r="N88" s="95">
        <f t="shared" ca="1" si="6"/>
        <v>78.177931596091199</v>
      </c>
      <c r="O88" s="96">
        <f ca="1">IFERROR(__xludf.DUMMYFUNCTION("IMPORTRANGE(""https://docs.google.com/spreadsheets/d/1MeEWN-I1oV_STSDYn1IFDPWt_1FKiwhDph83XaGc0o0/edit?usp=sharing"",""งบพรบ!EA88"")"),0)</f>
        <v>0</v>
      </c>
      <c r="P88" s="96">
        <f t="shared" ca="1" si="23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IFERROR(__xludf.DUMMYFUNCTION("IMPORTRANGE(""https://docs.google.com/spreadsheets/d/1vO9Sws6kMtrVtyvrAJptINXjK8TFBoX9xLYOVK_C8bQ/edit?usp=sharing"",""สุราษฎร์ธานี!J308"")"),1)</f>
        <v>1</v>
      </c>
      <c r="S88" s="299">
        <f ca="1">IFERROR(__xludf.DUMMYFUNCTION("IMPORTRANGE(""https://docs.google.com/spreadsheets/d/1vO9Sws6kMtrVtyvrAJptINXjK8TFBoX9xLYOVK_C8bQ/edit?usp=sharing"",""สุราษฎร์ธานี!I309"")"),20)</f>
        <v>20</v>
      </c>
      <c r="T88" s="196">
        <f ca="1">IFERROR(__xludf.DUMMYFUNCTION("IMPORTRANGE(""https://docs.google.com/spreadsheets/d/1vO9Sws6kMtrVtyvrAJptINXjK8TFBoX9xLYOVK_C8bQ/edit?usp=sharing"",""สุราษฎร์ธานี!J309"")"),0)</f>
        <v>0</v>
      </c>
      <c r="U88" s="197">
        <f t="shared" ca="1" si="21"/>
        <v>0</v>
      </c>
      <c r="V88" s="196">
        <f ca="1">IFERROR(__xludf.DUMMYFUNCTION("IMPORTRANGE(""https://docs.google.com/spreadsheets/d/1vO9Sws6kMtrVtyvrAJptINXjK8TFBoX9xLYOVK_C8bQ/edit?usp=sharing"",""สุราษฎร์ธานี!J310"")"),0)</f>
        <v>0</v>
      </c>
      <c r="W88" s="197">
        <f t="shared" ca="1" si="11"/>
        <v>0</v>
      </c>
      <c r="X88" s="196">
        <f ca="1">IFERROR(__xludf.DUMMYFUNCTION("IMPORTRANGE(""https://docs.google.com/spreadsheets/d/1vO9Sws6kMtrVtyvrAJptINXjK8TFBoX9xLYOVK_C8bQ/edit?usp=sharing"",""สุราษฎร์ธานี!J311"")"),0)</f>
        <v>0</v>
      </c>
      <c r="Y88" s="197">
        <f t="shared" ca="1" si="12"/>
        <v>0</v>
      </c>
      <c r="Z88" s="299">
        <f ca="1">IFERROR(__xludf.DUMMYFUNCTION("IMPORTRANGE(""https://docs.google.com/spreadsheets/d/1vO9Sws6kMtrVtyvrAJptINXjK8TFBoX9xLYOVK_C8bQ/edit?usp=sharing"",""สุราษฎร์ธานี!I312"")"),4)</f>
        <v>4</v>
      </c>
      <c r="AA88" s="196">
        <f ca="1">IFERROR(__xludf.DUMMYFUNCTION("IMPORTRANGE(""https://docs.google.com/spreadsheets/d/1vO9Sws6kMtrVtyvrAJptINXjK8TFBoX9xLYOVK_C8bQ/edit?usp=sharing"",""สุราษฎร์ธานี!J312"")"),0)</f>
        <v>0</v>
      </c>
      <c r="AB88" s="197">
        <f t="shared" ca="1" si="14"/>
        <v>0</v>
      </c>
    </row>
    <row r="89" spans="1:28" ht="21" hidden="1" customHeight="1" x14ac:dyDescent="0.2">
      <c r="A89" s="381" t="s">
        <v>111</v>
      </c>
      <c r="B89" s="357"/>
      <c r="C89" s="107">
        <f t="shared" ca="1" si="0"/>
        <v>1288900</v>
      </c>
      <c r="D89" s="46">
        <f t="shared" ref="D89:I89" ca="1" si="39">+D90+D91+D92+D93+D94+D95+D96+D97+D98+D99+D100+D101+D102+D103</f>
        <v>1288900</v>
      </c>
      <c r="E89" s="46">
        <f t="shared" ca="1" si="39"/>
        <v>0</v>
      </c>
      <c r="F89" s="46">
        <f t="shared" ca="1" si="39"/>
        <v>1288900</v>
      </c>
      <c r="G89" s="46">
        <f t="shared" ca="1" si="39"/>
        <v>0</v>
      </c>
      <c r="H89" s="46">
        <f t="shared" ca="1" si="39"/>
        <v>1797500</v>
      </c>
      <c r="I89" s="46">
        <f t="shared" ca="1" si="39"/>
        <v>0</v>
      </c>
      <c r="J89" s="46">
        <f t="shared" ca="1" si="3"/>
        <v>226186.69</v>
      </c>
      <c r="K89" s="48">
        <f t="shared" ca="1" si="4"/>
        <v>17.548816044689271</v>
      </c>
      <c r="L89" s="46">
        <f ca="1">+L90+L91+L92+L93+L94+L95+L96+L97+L98+L99+L100+L101+L102+L103</f>
        <v>226186.69</v>
      </c>
      <c r="M89" s="49">
        <f t="shared" ca="1" si="5"/>
        <v>17.548816044689271</v>
      </c>
      <c r="N89" s="49">
        <f t="shared" ca="1" si="6"/>
        <v>12.583404172461753</v>
      </c>
      <c r="O89" s="50">
        <f ca="1">+O90+O91+O92+O93+O94+O95+O96+O97+O98+O99+O100+O101+O102+O103</f>
        <v>0</v>
      </c>
      <c r="P89" s="50">
        <f t="shared" ca="1" si="23"/>
        <v>0</v>
      </c>
      <c r="Q89" s="49">
        <f t="shared" ca="1" si="8"/>
        <v>0</v>
      </c>
      <c r="R89" s="46"/>
      <c r="S89" s="296"/>
      <c r="T89" s="202"/>
      <c r="U89" s="342"/>
      <c r="V89" s="202"/>
      <c r="W89" s="342"/>
      <c r="X89" s="202"/>
      <c r="Y89" s="342"/>
      <c r="Z89" s="202"/>
      <c r="AA89" s="202"/>
      <c r="AB89" s="342"/>
    </row>
    <row r="90" spans="1:28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40">+E90+F90</f>
        <v>0</v>
      </c>
      <c r="E90" s="72">
        <f ca="1">IFERROR(__xludf.DUMMYFUNCTION("IMPORTRANGE(""https://docs.google.com/spreadsheets/d/1MeEWN-I1oV_STSDYn1IFDPWt_1FKiwhDph83XaGc0o0/edit?usp=sharing"",""งบพรบ!DT90"")"),0)</f>
        <v>0</v>
      </c>
      <c r="F90" s="72">
        <f ca="1">IFERROR(__xludf.DUMMYFUNCTION("IMPORTRANGE(""https://docs.google.com/spreadsheets/d/1MeEWN-I1oV_STSDYn1IFDPWt_1FKiwhDph83XaGc0o0/edit?usp=sharing"",""งบพรบ!DU90"")"),0)</f>
        <v>0</v>
      </c>
      <c r="G90" s="72">
        <f ca="1">IFERROR(__xludf.DUMMYFUNCTION("IMPORTRANGE(""https://docs.google.com/spreadsheets/d/1MeEWN-I1oV_STSDYn1IFDPWt_1FKiwhDph83XaGc0o0/edit?usp=sharing"",""งบพรบ!DV90"")"),0)</f>
        <v>0</v>
      </c>
      <c r="H90" s="72">
        <f ca="1">IFERROR(__xludf.DUMMYFUNCTION("IMPORTRANGE(""https://docs.google.com/spreadsheets/d/1MeEWN-I1oV_STSDYn1IFDPWt_1FKiwhDph83XaGc0o0/edit?usp=sharing"",""งบพรบ!DX90"")"),0)</f>
        <v>0</v>
      </c>
      <c r="I90" s="72">
        <f ca="1">IFERROR(__xludf.DUMMYFUNCTION("IMPORTRANGE(""https://docs.google.com/spreadsheets/d/1MeEWN-I1oV_STSDYn1IFDPWt_1FKiwhDph83XaGc0o0/edit?usp=sharing"",""งบพรบ!DY90"")"),0)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IFERROR(__xludf.DUMMYFUNCTION("IMPORTRANGE(""https://docs.google.com/spreadsheets/d/1MeEWN-I1oV_STSDYn1IFDPWt_1FKiwhDph83XaGc0o0/edit?usp=sharing"",""งบพรบ!DZ90"")"),0)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IFERROR(__xludf.DUMMYFUNCTION("IMPORTRANGE(""https://docs.google.com/spreadsheets/d/1MeEWN-I1oV_STSDYn1IFDPWt_1FKiwhDph83XaGc0o0/edit?usp=sharing"",""งบพรบ!EA90"")"),0)</f>
        <v>0</v>
      </c>
      <c r="P90" s="76">
        <f t="shared" ca="1" si="23"/>
        <v>0</v>
      </c>
      <c r="Q90" s="75">
        <f t="shared" ca="1" si="8"/>
        <v>0</v>
      </c>
      <c r="R90" s="72"/>
      <c r="S90" s="300"/>
      <c r="T90" s="203"/>
      <c r="U90" s="343"/>
      <c r="V90" s="203"/>
      <c r="W90" s="343"/>
      <c r="X90" s="203"/>
      <c r="Y90" s="343"/>
      <c r="Z90" s="203"/>
      <c r="AA90" s="203"/>
      <c r="AB90" s="343"/>
    </row>
    <row r="91" spans="1:28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40"/>
        <v>0</v>
      </c>
      <c r="E91" s="82">
        <f ca="1">IFERROR(__xludf.DUMMYFUNCTION("IMPORTRANGE(""https://docs.google.com/spreadsheets/d/1MeEWN-I1oV_STSDYn1IFDPWt_1FKiwhDph83XaGc0o0/edit?usp=sharing"",""งบพรบ!DT91"")"),0)</f>
        <v>0</v>
      </c>
      <c r="F91" s="82">
        <f ca="1">IFERROR(__xludf.DUMMYFUNCTION("IMPORTRANGE(""https://docs.google.com/spreadsheets/d/1MeEWN-I1oV_STSDYn1IFDPWt_1FKiwhDph83XaGc0o0/edit?usp=sharing"",""งบพรบ!DU91"")"),0)</f>
        <v>0</v>
      </c>
      <c r="G91" s="82">
        <f ca="1">IFERROR(__xludf.DUMMYFUNCTION("IMPORTRANGE(""https://docs.google.com/spreadsheets/d/1MeEWN-I1oV_STSDYn1IFDPWt_1FKiwhDph83XaGc0o0/edit?usp=sharing"",""งบพรบ!DV91"")"),0)</f>
        <v>0</v>
      </c>
      <c r="H91" s="82">
        <f ca="1">IFERROR(__xludf.DUMMYFUNCTION("IMPORTRANGE(""https://docs.google.com/spreadsheets/d/1MeEWN-I1oV_STSDYn1IFDPWt_1FKiwhDph83XaGc0o0/edit?usp=sharing"",""งบพรบ!DX91"")"),0)</f>
        <v>0</v>
      </c>
      <c r="I91" s="82">
        <f ca="1">IFERROR(__xludf.DUMMYFUNCTION("IMPORTRANGE(""https://docs.google.com/spreadsheets/d/1MeEWN-I1oV_STSDYn1IFDPWt_1FKiwhDph83XaGc0o0/edit?usp=sharing"",""งบพรบ!DY91"")"),0)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IFERROR(__xludf.DUMMYFUNCTION("IMPORTRANGE(""https://docs.google.com/spreadsheets/d/1MeEWN-I1oV_STSDYn1IFDPWt_1FKiwhDph83XaGc0o0/edit?usp=sharing"",""งบพรบ!DZ91"")"),0)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IFERROR(__xludf.DUMMYFUNCTION("IMPORTRANGE(""https://docs.google.com/spreadsheets/d/1MeEWN-I1oV_STSDYn1IFDPWt_1FKiwhDph83XaGc0o0/edit?usp=sharing"",""งบพรบ!EA91"")"),0)</f>
        <v>0</v>
      </c>
      <c r="P91" s="85">
        <f t="shared" ca="1" si="23"/>
        <v>0</v>
      </c>
      <c r="Q91" s="84">
        <f t="shared" ca="1" si="8"/>
        <v>0</v>
      </c>
      <c r="R91" s="82"/>
      <c r="S91" s="300"/>
      <c r="T91" s="203"/>
      <c r="U91" s="343"/>
      <c r="V91" s="203"/>
      <c r="W91" s="343"/>
      <c r="X91" s="203"/>
      <c r="Y91" s="343"/>
      <c r="Z91" s="203"/>
      <c r="AA91" s="203"/>
      <c r="AB91" s="343"/>
    </row>
    <row r="92" spans="1:28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40"/>
        <v>0</v>
      </c>
      <c r="E92" s="82">
        <f ca="1">IFERROR(__xludf.DUMMYFUNCTION("IMPORTRANGE(""https://docs.google.com/spreadsheets/d/1MeEWN-I1oV_STSDYn1IFDPWt_1FKiwhDph83XaGc0o0/edit?usp=sharing"",""งบพรบ!DT92"")"),0)</f>
        <v>0</v>
      </c>
      <c r="F92" s="82">
        <f ca="1">IFERROR(__xludf.DUMMYFUNCTION("IMPORTRANGE(""https://docs.google.com/spreadsheets/d/1MeEWN-I1oV_STSDYn1IFDPWt_1FKiwhDph83XaGc0o0/edit?usp=sharing"",""งบพรบ!DU92"")"),0)</f>
        <v>0</v>
      </c>
      <c r="G92" s="82">
        <f ca="1">IFERROR(__xludf.DUMMYFUNCTION("IMPORTRANGE(""https://docs.google.com/spreadsheets/d/1MeEWN-I1oV_STSDYn1IFDPWt_1FKiwhDph83XaGc0o0/edit?usp=sharing"",""งบพรบ!DV92"")"),0)</f>
        <v>0</v>
      </c>
      <c r="H92" s="82">
        <f ca="1">IFERROR(__xludf.DUMMYFUNCTION("IMPORTRANGE(""https://docs.google.com/spreadsheets/d/1MeEWN-I1oV_STSDYn1IFDPWt_1FKiwhDph83XaGc0o0/edit?usp=sharing"",""งบพรบ!DX92"")"),395900)</f>
        <v>395900</v>
      </c>
      <c r="I92" s="82">
        <f ca="1">IFERROR(__xludf.DUMMYFUNCTION("IMPORTRANGE(""https://docs.google.com/spreadsheets/d/1MeEWN-I1oV_STSDYn1IFDPWt_1FKiwhDph83XaGc0o0/edit?usp=sharing"",""งบพรบ!DY92"")"),0)</f>
        <v>0</v>
      </c>
      <c r="J92" s="82">
        <f t="shared" ca="1" si="3"/>
        <v>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IFERROR(__xludf.DUMMYFUNCTION("IMPORTRANGE(""https://docs.google.com/spreadsheets/d/1MeEWN-I1oV_STSDYn1IFDPWt_1FKiwhDph83XaGc0o0/edit?usp=sharing"",""งบพรบ!DZ92"")"),0)</f>
        <v>0</v>
      </c>
      <c r="M92" s="84">
        <f t="shared" ca="1" si="5"/>
        <v>0</v>
      </c>
      <c r="N92" s="84">
        <f t="shared" ca="1" si="6"/>
        <v>0</v>
      </c>
      <c r="O92" s="85">
        <f ca="1">IFERROR(__xludf.DUMMYFUNCTION("IMPORTRANGE(""https://docs.google.com/spreadsheets/d/1MeEWN-I1oV_STSDYn1IFDPWt_1FKiwhDph83XaGc0o0/edit?usp=sharing"",""งบพรบ!EA92"")"),0)</f>
        <v>0</v>
      </c>
      <c r="P92" s="85">
        <f t="shared" ca="1" si="23"/>
        <v>0</v>
      </c>
      <c r="Q92" s="84">
        <f t="shared" ca="1" si="8"/>
        <v>0</v>
      </c>
      <c r="R92" s="82"/>
      <c r="S92" s="300"/>
      <c r="T92" s="203"/>
      <c r="U92" s="343"/>
      <c r="V92" s="203"/>
      <c r="W92" s="343"/>
      <c r="X92" s="203"/>
      <c r="Y92" s="343"/>
      <c r="Z92" s="203"/>
      <c r="AA92" s="203"/>
      <c r="AB92" s="343"/>
    </row>
    <row r="93" spans="1:28" ht="24" hidden="1" customHeight="1" x14ac:dyDescent="0.2">
      <c r="A93" s="111">
        <f t="shared" ref="A93:A103" si="41">+A92+1</f>
        <v>4</v>
      </c>
      <c r="B93" s="112" t="s">
        <v>115</v>
      </c>
      <c r="C93" s="80">
        <f t="shared" ca="1" si="0"/>
        <v>0</v>
      </c>
      <c r="D93" s="81">
        <f t="shared" ca="1" si="40"/>
        <v>0</v>
      </c>
      <c r="E93" s="82">
        <f ca="1">IFERROR(__xludf.DUMMYFUNCTION("IMPORTRANGE(""https://docs.google.com/spreadsheets/d/1MeEWN-I1oV_STSDYn1IFDPWt_1FKiwhDph83XaGc0o0/edit?usp=sharing"",""งบพรบ!DT93"")"),0)</f>
        <v>0</v>
      </c>
      <c r="F93" s="82">
        <f ca="1">IFERROR(__xludf.DUMMYFUNCTION("IMPORTRANGE(""https://docs.google.com/spreadsheets/d/1MeEWN-I1oV_STSDYn1IFDPWt_1FKiwhDph83XaGc0o0/edit?usp=sharing"",""งบพรบ!DU93"")"),0)</f>
        <v>0</v>
      </c>
      <c r="G93" s="82">
        <f ca="1">IFERROR(__xludf.DUMMYFUNCTION("IMPORTRANGE(""https://docs.google.com/spreadsheets/d/1MeEWN-I1oV_STSDYn1IFDPWt_1FKiwhDph83XaGc0o0/edit?usp=sharing"",""งบพรบ!DV93"")"),0)</f>
        <v>0</v>
      </c>
      <c r="H93" s="82">
        <f ca="1">IFERROR(__xludf.DUMMYFUNCTION("IMPORTRANGE(""https://docs.google.com/spreadsheets/d/1MeEWN-I1oV_STSDYn1IFDPWt_1FKiwhDph83XaGc0o0/edit?usp=sharing"",""งบพรบ!DX93"")"),0)</f>
        <v>0</v>
      </c>
      <c r="I93" s="82">
        <f ca="1">IFERROR(__xludf.DUMMYFUNCTION("IMPORTRANGE(""https://docs.google.com/spreadsheets/d/1MeEWN-I1oV_STSDYn1IFDPWt_1FKiwhDph83XaGc0o0/edit?usp=sharing"",""งบพรบ!DY93"")"),0)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IFERROR(__xludf.DUMMYFUNCTION("IMPORTRANGE(""https://docs.google.com/spreadsheets/d/1MeEWN-I1oV_STSDYn1IFDPWt_1FKiwhDph83XaGc0o0/edit?usp=sharing"",""งบพรบ!DZ93"")"),0)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IFERROR(__xludf.DUMMYFUNCTION("IMPORTRANGE(""https://docs.google.com/spreadsheets/d/1MeEWN-I1oV_STSDYn1IFDPWt_1FKiwhDph83XaGc0o0/edit?usp=sharing"",""งบพรบ!EA93"")"),0)</f>
        <v>0</v>
      </c>
      <c r="P93" s="85">
        <f t="shared" ca="1" si="23"/>
        <v>0</v>
      </c>
      <c r="Q93" s="84">
        <f t="shared" ca="1" si="8"/>
        <v>0</v>
      </c>
      <c r="R93" s="82"/>
      <c r="S93" s="300"/>
      <c r="T93" s="203"/>
      <c r="U93" s="343"/>
      <c r="V93" s="203"/>
      <c r="W93" s="343"/>
      <c r="X93" s="203"/>
      <c r="Y93" s="343"/>
      <c r="Z93" s="203"/>
      <c r="AA93" s="203"/>
      <c r="AB93" s="343"/>
    </row>
    <row r="94" spans="1:28" ht="24" hidden="1" customHeight="1" x14ac:dyDescent="0.2">
      <c r="A94" s="111">
        <f t="shared" si="41"/>
        <v>5</v>
      </c>
      <c r="B94" s="112" t="s">
        <v>116</v>
      </c>
      <c r="C94" s="80">
        <f t="shared" ca="1" si="0"/>
        <v>0</v>
      </c>
      <c r="D94" s="81">
        <f t="shared" ca="1" si="40"/>
        <v>0</v>
      </c>
      <c r="E94" s="82">
        <f ca="1">IFERROR(__xludf.DUMMYFUNCTION("IMPORTRANGE(""https://docs.google.com/spreadsheets/d/1MeEWN-I1oV_STSDYn1IFDPWt_1FKiwhDph83XaGc0o0/edit?usp=sharing"",""งบพรบ!DT94"")"),0)</f>
        <v>0</v>
      </c>
      <c r="F94" s="82">
        <f ca="1">IFERROR(__xludf.DUMMYFUNCTION("IMPORTRANGE(""https://docs.google.com/spreadsheets/d/1MeEWN-I1oV_STSDYn1IFDPWt_1FKiwhDph83XaGc0o0/edit?usp=sharing"",""งบพรบ!DU94"")"),0)</f>
        <v>0</v>
      </c>
      <c r="G94" s="82">
        <f ca="1">IFERROR(__xludf.DUMMYFUNCTION("IMPORTRANGE(""https://docs.google.com/spreadsheets/d/1MeEWN-I1oV_STSDYn1IFDPWt_1FKiwhDph83XaGc0o0/edit?usp=sharing"",""งบพรบ!DV94"")"),0)</f>
        <v>0</v>
      </c>
      <c r="H94" s="82">
        <f ca="1">IFERROR(__xludf.DUMMYFUNCTION("IMPORTRANGE(""https://docs.google.com/spreadsheets/d/1MeEWN-I1oV_STSDYn1IFDPWt_1FKiwhDph83XaGc0o0/edit?usp=sharing"",""งบพรบ!DX94"")"),0)</f>
        <v>0</v>
      </c>
      <c r="I94" s="82">
        <f ca="1">IFERROR(__xludf.DUMMYFUNCTION("IMPORTRANGE(""https://docs.google.com/spreadsheets/d/1MeEWN-I1oV_STSDYn1IFDPWt_1FKiwhDph83XaGc0o0/edit?usp=sharing"",""งบพรบ!DY94"")"),0)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IFERROR(__xludf.DUMMYFUNCTION("IMPORTRANGE(""https://docs.google.com/spreadsheets/d/1MeEWN-I1oV_STSDYn1IFDPWt_1FKiwhDph83XaGc0o0/edit?usp=sharing"",""งบพรบ!DZ94"")"),0)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IFERROR(__xludf.DUMMYFUNCTION("IMPORTRANGE(""https://docs.google.com/spreadsheets/d/1MeEWN-I1oV_STSDYn1IFDPWt_1FKiwhDph83XaGc0o0/edit?usp=sharing"",""งบพรบ!EA94"")"),0)</f>
        <v>0</v>
      </c>
      <c r="P94" s="85">
        <f t="shared" ca="1" si="23"/>
        <v>0</v>
      </c>
      <c r="Q94" s="84">
        <f t="shared" ca="1" si="8"/>
        <v>0</v>
      </c>
      <c r="R94" s="82"/>
      <c r="S94" s="300"/>
      <c r="T94" s="203"/>
      <c r="U94" s="343"/>
      <c r="V94" s="203"/>
      <c r="W94" s="343"/>
      <c r="X94" s="203"/>
      <c r="Y94" s="343"/>
      <c r="Z94" s="203"/>
      <c r="AA94" s="203"/>
      <c r="AB94" s="343"/>
    </row>
    <row r="95" spans="1:28" ht="24" hidden="1" customHeight="1" x14ac:dyDescent="0.2">
      <c r="A95" s="111">
        <f t="shared" si="41"/>
        <v>6</v>
      </c>
      <c r="B95" s="112" t="s">
        <v>117</v>
      </c>
      <c r="C95" s="80">
        <f t="shared" ca="1" si="0"/>
        <v>0</v>
      </c>
      <c r="D95" s="81">
        <f t="shared" ca="1" si="40"/>
        <v>0</v>
      </c>
      <c r="E95" s="82">
        <f ca="1">IFERROR(__xludf.DUMMYFUNCTION("IMPORTRANGE(""https://docs.google.com/spreadsheets/d/1MeEWN-I1oV_STSDYn1IFDPWt_1FKiwhDph83XaGc0o0/edit?usp=sharing"",""งบพรบ!DT95"")"),0)</f>
        <v>0</v>
      </c>
      <c r="F95" s="82">
        <f ca="1">IFERROR(__xludf.DUMMYFUNCTION("IMPORTRANGE(""https://docs.google.com/spreadsheets/d/1MeEWN-I1oV_STSDYn1IFDPWt_1FKiwhDph83XaGc0o0/edit?usp=sharing"",""งบพรบ!DU95"")"),0)</f>
        <v>0</v>
      </c>
      <c r="G95" s="82">
        <f ca="1">IFERROR(__xludf.DUMMYFUNCTION("IMPORTRANGE(""https://docs.google.com/spreadsheets/d/1MeEWN-I1oV_STSDYn1IFDPWt_1FKiwhDph83XaGc0o0/edit?usp=sharing"",""งบพรบ!DV95"")"),0)</f>
        <v>0</v>
      </c>
      <c r="H95" s="82">
        <f ca="1">IFERROR(__xludf.DUMMYFUNCTION("IMPORTRANGE(""https://docs.google.com/spreadsheets/d/1MeEWN-I1oV_STSDYn1IFDPWt_1FKiwhDph83XaGc0o0/edit?usp=sharing"",""งบพรบ!DX95"")"),0)</f>
        <v>0</v>
      </c>
      <c r="I95" s="82">
        <f ca="1">IFERROR(__xludf.DUMMYFUNCTION("IMPORTRANGE(""https://docs.google.com/spreadsheets/d/1MeEWN-I1oV_STSDYn1IFDPWt_1FKiwhDph83XaGc0o0/edit?usp=sharing"",""งบพรบ!DY95"")"),0)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IFERROR(__xludf.DUMMYFUNCTION("IMPORTRANGE(""https://docs.google.com/spreadsheets/d/1MeEWN-I1oV_STSDYn1IFDPWt_1FKiwhDph83XaGc0o0/edit?usp=sharing"",""งบพรบ!DZ95"")"),0)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IFERROR(__xludf.DUMMYFUNCTION("IMPORTRANGE(""https://docs.google.com/spreadsheets/d/1MeEWN-I1oV_STSDYn1IFDPWt_1FKiwhDph83XaGc0o0/edit?usp=sharing"",""งบพรบ!EA95"")"),0)</f>
        <v>0</v>
      </c>
      <c r="P95" s="85">
        <f t="shared" ca="1" si="23"/>
        <v>0</v>
      </c>
      <c r="Q95" s="84">
        <f t="shared" ca="1" si="8"/>
        <v>0</v>
      </c>
      <c r="R95" s="82"/>
      <c r="S95" s="300"/>
      <c r="T95" s="203"/>
      <c r="U95" s="343"/>
      <c r="V95" s="203"/>
      <c r="W95" s="343"/>
      <c r="X95" s="203"/>
      <c r="Y95" s="343"/>
      <c r="Z95" s="203"/>
      <c r="AA95" s="203"/>
      <c r="AB95" s="343"/>
    </row>
    <row r="96" spans="1:28" ht="24" hidden="1" customHeight="1" x14ac:dyDescent="0.2">
      <c r="A96" s="111">
        <f t="shared" si="41"/>
        <v>7</v>
      </c>
      <c r="B96" s="112" t="s">
        <v>118</v>
      </c>
      <c r="C96" s="80">
        <f t="shared" ca="1" si="0"/>
        <v>1288900</v>
      </c>
      <c r="D96" s="81">
        <f t="shared" ca="1" si="40"/>
        <v>1288900</v>
      </c>
      <c r="E96" s="82">
        <f ca="1">IFERROR(__xludf.DUMMYFUNCTION("IMPORTRANGE(""https://docs.google.com/spreadsheets/d/1MeEWN-I1oV_STSDYn1IFDPWt_1FKiwhDph83XaGc0o0/edit?usp=sharing"",""งบพรบ!DT96"")"),0)</f>
        <v>0</v>
      </c>
      <c r="F96" s="82">
        <f ca="1">IFERROR(__xludf.DUMMYFUNCTION("IMPORTRANGE(""https://docs.google.com/spreadsheets/d/1MeEWN-I1oV_STSDYn1IFDPWt_1FKiwhDph83XaGc0o0/edit?usp=sharing"",""งบพรบ!DU96"")"),1288900)</f>
        <v>1288900</v>
      </c>
      <c r="G96" s="82">
        <f ca="1">IFERROR(__xludf.DUMMYFUNCTION("IMPORTRANGE(""https://docs.google.com/spreadsheets/d/1MeEWN-I1oV_STSDYn1IFDPWt_1FKiwhDph83XaGc0o0/edit?usp=sharing"",""งบพรบ!DV96"")"),0)</f>
        <v>0</v>
      </c>
      <c r="H96" s="82">
        <f ca="1">IFERROR(__xludf.DUMMYFUNCTION("IMPORTRANGE(""https://docs.google.com/spreadsheets/d/1MeEWN-I1oV_STSDYn1IFDPWt_1FKiwhDph83XaGc0o0/edit?usp=sharing"",""งบพรบ!DX96"")"),1401600)</f>
        <v>1401600</v>
      </c>
      <c r="I96" s="82">
        <f ca="1">IFERROR(__xludf.DUMMYFUNCTION("IMPORTRANGE(""https://docs.google.com/spreadsheets/d/1MeEWN-I1oV_STSDYn1IFDPWt_1FKiwhDph83XaGc0o0/edit?usp=sharing"",""งบพรบ!DY96"")"),0)</f>
        <v>0</v>
      </c>
      <c r="J96" s="82">
        <f t="shared" ca="1" si="3"/>
        <v>226186.69</v>
      </c>
      <c r="K96" s="83">
        <f t="shared" ca="1" si="4"/>
        <v>17.548816044689271</v>
      </c>
      <c r="L96" s="82">
        <f ca="1">IFERROR(__xludf.DUMMYFUNCTION("IMPORTRANGE(""https://docs.google.com/spreadsheets/d/1MeEWN-I1oV_STSDYn1IFDPWt_1FKiwhDph83XaGc0o0/edit?usp=sharing"",""งบพรบ!DZ96"")"),226186.69)</f>
        <v>226186.69</v>
      </c>
      <c r="M96" s="84">
        <f t="shared" ca="1" si="5"/>
        <v>17.548816044689271</v>
      </c>
      <c r="N96" s="84">
        <f t="shared" ca="1" si="6"/>
        <v>16.137749001141554</v>
      </c>
      <c r="O96" s="85">
        <f ca="1">IFERROR(__xludf.DUMMYFUNCTION("IMPORTRANGE(""https://docs.google.com/spreadsheets/d/1MeEWN-I1oV_STSDYn1IFDPWt_1FKiwhDph83XaGc0o0/edit?usp=sharing"",""งบพรบ!EA96"")"),0)</f>
        <v>0</v>
      </c>
      <c r="P96" s="85">
        <f t="shared" ca="1" si="23"/>
        <v>0</v>
      </c>
      <c r="Q96" s="84">
        <f t="shared" ca="1" si="8"/>
        <v>0</v>
      </c>
      <c r="R96" s="82"/>
      <c r="S96" s="300"/>
      <c r="T96" s="203"/>
      <c r="U96" s="343"/>
      <c r="V96" s="203"/>
      <c r="W96" s="343"/>
      <c r="X96" s="203"/>
      <c r="Y96" s="343"/>
      <c r="Z96" s="203"/>
      <c r="AA96" s="203"/>
      <c r="AB96" s="343"/>
    </row>
    <row r="97" spans="1:28" ht="24" hidden="1" customHeight="1" x14ac:dyDescent="0.2">
      <c r="A97" s="111">
        <f t="shared" si="41"/>
        <v>8</v>
      </c>
      <c r="B97" s="112" t="s">
        <v>119</v>
      </c>
      <c r="C97" s="80">
        <f t="shared" ca="1" si="0"/>
        <v>0</v>
      </c>
      <c r="D97" s="81">
        <f t="shared" ca="1" si="40"/>
        <v>0</v>
      </c>
      <c r="E97" s="82">
        <f ca="1">IFERROR(__xludf.DUMMYFUNCTION("IMPORTRANGE(""https://docs.google.com/spreadsheets/d/1MeEWN-I1oV_STSDYn1IFDPWt_1FKiwhDph83XaGc0o0/edit?usp=sharing"",""งบพรบ!DT97"")"),0)</f>
        <v>0</v>
      </c>
      <c r="F97" s="82">
        <f ca="1">IFERROR(__xludf.DUMMYFUNCTION("IMPORTRANGE(""https://docs.google.com/spreadsheets/d/1MeEWN-I1oV_STSDYn1IFDPWt_1FKiwhDph83XaGc0o0/edit?usp=sharing"",""งบพรบ!DU97"")"),0)</f>
        <v>0</v>
      </c>
      <c r="G97" s="82">
        <f ca="1">IFERROR(__xludf.DUMMYFUNCTION("IMPORTRANGE(""https://docs.google.com/spreadsheets/d/1MeEWN-I1oV_STSDYn1IFDPWt_1FKiwhDph83XaGc0o0/edit?usp=sharing"",""งบพรบ!DV97"")"),0)</f>
        <v>0</v>
      </c>
      <c r="H97" s="82">
        <f ca="1">IFERROR(__xludf.DUMMYFUNCTION("IMPORTRANGE(""https://docs.google.com/spreadsheets/d/1MeEWN-I1oV_STSDYn1IFDPWt_1FKiwhDph83XaGc0o0/edit?usp=sharing"",""งบพรบ!DX97"")"),0)</f>
        <v>0</v>
      </c>
      <c r="I97" s="82">
        <f ca="1">IFERROR(__xludf.DUMMYFUNCTION("IMPORTRANGE(""https://docs.google.com/spreadsheets/d/1MeEWN-I1oV_STSDYn1IFDPWt_1FKiwhDph83XaGc0o0/edit?usp=sharing"",""งบพรบ!DY97"")"),0)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IFERROR(__xludf.DUMMYFUNCTION("IMPORTRANGE(""https://docs.google.com/spreadsheets/d/1MeEWN-I1oV_STSDYn1IFDPWt_1FKiwhDph83XaGc0o0/edit?usp=sharing"",""งบพรบ!DZ97"")"),0)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IFERROR(__xludf.DUMMYFUNCTION("IMPORTRANGE(""https://docs.google.com/spreadsheets/d/1MeEWN-I1oV_STSDYn1IFDPWt_1FKiwhDph83XaGc0o0/edit?usp=sharing"",""งบพรบ!EA97"")"),0)</f>
        <v>0</v>
      </c>
      <c r="P97" s="85">
        <f t="shared" ca="1" si="23"/>
        <v>0</v>
      </c>
      <c r="Q97" s="84">
        <f t="shared" ca="1" si="8"/>
        <v>0</v>
      </c>
      <c r="R97" s="82"/>
      <c r="S97" s="300"/>
      <c r="T97" s="203"/>
      <c r="U97" s="343"/>
      <c r="V97" s="203"/>
      <c r="W97" s="343"/>
      <c r="X97" s="203"/>
      <c r="Y97" s="343"/>
      <c r="Z97" s="203"/>
      <c r="AA97" s="203"/>
      <c r="AB97" s="343"/>
    </row>
    <row r="98" spans="1:28" ht="24" hidden="1" customHeight="1" x14ac:dyDescent="0.2">
      <c r="A98" s="111">
        <f t="shared" si="41"/>
        <v>9</v>
      </c>
      <c r="B98" s="112" t="s">
        <v>120</v>
      </c>
      <c r="C98" s="80">
        <f t="shared" ca="1" si="0"/>
        <v>0</v>
      </c>
      <c r="D98" s="81">
        <f t="shared" ca="1" si="40"/>
        <v>0</v>
      </c>
      <c r="E98" s="82">
        <f ca="1">IFERROR(__xludf.DUMMYFUNCTION("IMPORTRANGE(""https://docs.google.com/spreadsheets/d/1MeEWN-I1oV_STSDYn1IFDPWt_1FKiwhDph83XaGc0o0/edit?usp=sharing"",""งบพรบ!DT98"")"),0)</f>
        <v>0</v>
      </c>
      <c r="F98" s="82">
        <f ca="1">IFERROR(__xludf.DUMMYFUNCTION("IMPORTRANGE(""https://docs.google.com/spreadsheets/d/1MeEWN-I1oV_STSDYn1IFDPWt_1FKiwhDph83XaGc0o0/edit?usp=sharing"",""งบพรบ!DU98"")"),0)</f>
        <v>0</v>
      </c>
      <c r="G98" s="82">
        <f ca="1">IFERROR(__xludf.DUMMYFUNCTION("IMPORTRANGE(""https://docs.google.com/spreadsheets/d/1MeEWN-I1oV_STSDYn1IFDPWt_1FKiwhDph83XaGc0o0/edit?usp=sharing"",""งบพรบ!DV98"")"),0)</f>
        <v>0</v>
      </c>
      <c r="H98" s="82">
        <f ca="1">IFERROR(__xludf.DUMMYFUNCTION("IMPORTRANGE(""https://docs.google.com/spreadsheets/d/1MeEWN-I1oV_STSDYn1IFDPWt_1FKiwhDph83XaGc0o0/edit?usp=sharing"",""งบพรบ!DX98"")"),0)</f>
        <v>0</v>
      </c>
      <c r="I98" s="82">
        <f ca="1">IFERROR(__xludf.DUMMYFUNCTION("IMPORTRANGE(""https://docs.google.com/spreadsheets/d/1MeEWN-I1oV_STSDYn1IFDPWt_1FKiwhDph83XaGc0o0/edit?usp=sharing"",""งบพรบ!DY98"")"),0)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IFERROR(__xludf.DUMMYFUNCTION("IMPORTRANGE(""https://docs.google.com/spreadsheets/d/1MeEWN-I1oV_STSDYn1IFDPWt_1FKiwhDph83XaGc0o0/edit?usp=sharing"",""งบพรบ!DZ98"")"),0)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IFERROR(__xludf.DUMMYFUNCTION("IMPORTRANGE(""https://docs.google.com/spreadsheets/d/1MeEWN-I1oV_STSDYn1IFDPWt_1FKiwhDph83XaGc0o0/edit?usp=sharing"",""งบพรบ!EA98"")"),0)</f>
        <v>0</v>
      </c>
      <c r="P98" s="85">
        <f t="shared" ca="1" si="23"/>
        <v>0</v>
      </c>
      <c r="Q98" s="84">
        <f t="shared" ca="1" si="8"/>
        <v>0</v>
      </c>
      <c r="R98" s="82"/>
      <c r="S98" s="300"/>
      <c r="T98" s="203"/>
      <c r="U98" s="343"/>
      <c r="V98" s="203"/>
      <c r="W98" s="343"/>
      <c r="X98" s="203"/>
      <c r="Y98" s="343"/>
      <c r="Z98" s="203"/>
      <c r="AA98" s="203"/>
      <c r="AB98" s="343"/>
    </row>
    <row r="99" spans="1:28" ht="24" hidden="1" customHeight="1" x14ac:dyDescent="0.2">
      <c r="A99" s="111">
        <f t="shared" si="41"/>
        <v>10</v>
      </c>
      <c r="B99" s="112" t="s">
        <v>121</v>
      </c>
      <c r="C99" s="80">
        <f t="shared" ca="1" si="0"/>
        <v>0</v>
      </c>
      <c r="D99" s="81">
        <f t="shared" ca="1" si="40"/>
        <v>0</v>
      </c>
      <c r="E99" s="82">
        <f ca="1">IFERROR(__xludf.DUMMYFUNCTION("IMPORTRANGE(""https://docs.google.com/spreadsheets/d/1MeEWN-I1oV_STSDYn1IFDPWt_1FKiwhDph83XaGc0o0/edit?usp=sharing"",""งบพรบ!DT99"")"),0)</f>
        <v>0</v>
      </c>
      <c r="F99" s="82">
        <f ca="1">IFERROR(__xludf.DUMMYFUNCTION("IMPORTRANGE(""https://docs.google.com/spreadsheets/d/1MeEWN-I1oV_STSDYn1IFDPWt_1FKiwhDph83XaGc0o0/edit?usp=sharing"",""งบพรบ!DU99"")"),0)</f>
        <v>0</v>
      </c>
      <c r="G99" s="82">
        <f ca="1">IFERROR(__xludf.DUMMYFUNCTION("IMPORTRANGE(""https://docs.google.com/spreadsheets/d/1MeEWN-I1oV_STSDYn1IFDPWt_1FKiwhDph83XaGc0o0/edit?usp=sharing"",""งบพรบ!DV99"")"),0)</f>
        <v>0</v>
      </c>
      <c r="H99" s="82">
        <f ca="1">IFERROR(__xludf.DUMMYFUNCTION("IMPORTRANGE(""https://docs.google.com/spreadsheets/d/1MeEWN-I1oV_STSDYn1IFDPWt_1FKiwhDph83XaGc0o0/edit?usp=sharing"",""งบพรบ!DX99"")"),0)</f>
        <v>0</v>
      </c>
      <c r="I99" s="82">
        <f ca="1">IFERROR(__xludf.DUMMYFUNCTION("IMPORTRANGE(""https://docs.google.com/spreadsheets/d/1MeEWN-I1oV_STSDYn1IFDPWt_1FKiwhDph83XaGc0o0/edit?usp=sharing"",""งบพรบ!DY99"")"),0)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IFERROR(__xludf.DUMMYFUNCTION("IMPORTRANGE(""https://docs.google.com/spreadsheets/d/1MeEWN-I1oV_STSDYn1IFDPWt_1FKiwhDph83XaGc0o0/edit?usp=sharing"",""งบพรบ!DZ99"")"),0)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IFERROR(__xludf.DUMMYFUNCTION("IMPORTRANGE(""https://docs.google.com/spreadsheets/d/1MeEWN-I1oV_STSDYn1IFDPWt_1FKiwhDph83XaGc0o0/edit?usp=sharing"",""งบพรบ!EA99"")"),0)</f>
        <v>0</v>
      </c>
      <c r="P99" s="85">
        <f t="shared" ca="1" si="23"/>
        <v>0</v>
      </c>
      <c r="Q99" s="84">
        <f t="shared" ca="1" si="8"/>
        <v>0</v>
      </c>
      <c r="R99" s="82"/>
      <c r="S99" s="300"/>
      <c r="T99" s="203"/>
      <c r="U99" s="343"/>
      <c r="V99" s="203"/>
      <c r="W99" s="343"/>
      <c r="X99" s="203"/>
      <c r="Y99" s="343"/>
      <c r="Z99" s="203"/>
      <c r="AA99" s="203"/>
      <c r="AB99" s="343"/>
    </row>
    <row r="100" spans="1:28" ht="24" hidden="1" customHeight="1" x14ac:dyDescent="0.2">
      <c r="A100" s="111">
        <f t="shared" si="41"/>
        <v>11</v>
      </c>
      <c r="B100" s="112" t="s">
        <v>122</v>
      </c>
      <c r="C100" s="80">
        <f t="shared" ca="1" si="0"/>
        <v>0</v>
      </c>
      <c r="D100" s="81">
        <f t="shared" ca="1" si="40"/>
        <v>0</v>
      </c>
      <c r="E100" s="82">
        <f ca="1">IFERROR(__xludf.DUMMYFUNCTION("IMPORTRANGE(""https://docs.google.com/spreadsheets/d/1MeEWN-I1oV_STSDYn1IFDPWt_1FKiwhDph83XaGc0o0/edit?usp=sharing"",""งบพรบ!DT100"")"),0)</f>
        <v>0</v>
      </c>
      <c r="F100" s="82">
        <f ca="1">IFERROR(__xludf.DUMMYFUNCTION("IMPORTRANGE(""https://docs.google.com/spreadsheets/d/1MeEWN-I1oV_STSDYn1IFDPWt_1FKiwhDph83XaGc0o0/edit?usp=sharing"",""งบพรบ!DU100"")"),0)</f>
        <v>0</v>
      </c>
      <c r="G100" s="82">
        <f ca="1">IFERROR(__xludf.DUMMYFUNCTION("IMPORTRANGE(""https://docs.google.com/spreadsheets/d/1MeEWN-I1oV_STSDYn1IFDPWt_1FKiwhDph83XaGc0o0/edit?usp=sharing"",""งบพรบ!DV100"")"),0)</f>
        <v>0</v>
      </c>
      <c r="H100" s="82">
        <f ca="1">IFERROR(__xludf.DUMMYFUNCTION("IMPORTRANGE(""https://docs.google.com/spreadsheets/d/1MeEWN-I1oV_STSDYn1IFDPWt_1FKiwhDph83XaGc0o0/edit?usp=sharing"",""งบพรบ!DX100"")"),0)</f>
        <v>0</v>
      </c>
      <c r="I100" s="82">
        <f ca="1">IFERROR(__xludf.DUMMYFUNCTION("IMPORTRANGE(""https://docs.google.com/spreadsheets/d/1MeEWN-I1oV_STSDYn1IFDPWt_1FKiwhDph83XaGc0o0/edit?usp=sharing"",""งบพรบ!DY100"")"),0)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IFERROR(__xludf.DUMMYFUNCTION("IMPORTRANGE(""https://docs.google.com/spreadsheets/d/1MeEWN-I1oV_STSDYn1IFDPWt_1FKiwhDph83XaGc0o0/edit?usp=sharing"",""งบพรบ!DZ100"")"),0)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IFERROR(__xludf.DUMMYFUNCTION("IMPORTRANGE(""https://docs.google.com/spreadsheets/d/1MeEWN-I1oV_STSDYn1IFDPWt_1FKiwhDph83XaGc0o0/edit?usp=sharing"",""งบพรบ!EA100"")"),0)</f>
        <v>0</v>
      </c>
      <c r="P100" s="85">
        <f t="shared" ca="1" si="23"/>
        <v>0</v>
      </c>
      <c r="Q100" s="84">
        <f t="shared" ca="1" si="8"/>
        <v>0</v>
      </c>
      <c r="R100" s="82"/>
      <c r="S100" s="300"/>
      <c r="T100" s="203"/>
      <c r="U100" s="343"/>
      <c r="V100" s="203"/>
      <c r="W100" s="343"/>
      <c r="X100" s="203"/>
      <c r="Y100" s="343"/>
      <c r="Z100" s="203"/>
      <c r="AA100" s="203"/>
      <c r="AB100" s="343"/>
    </row>
    <row r="101" spans="1:28" ht="24" hidden="1" customHeight="1" x14ac:dyDescent="0.2">
      <c r="A101" s="111">
        <f t="shared" si="41"/>
        <v>12</v>
      </c>
      <c r="B101" s="112" t="s">
        <v>123</v>
      </c>
      <c r="C101" s="80">
        <f t="shared" ca="1" si="0"/>
        <v>0</v>
      </c>
      <c r="D101" s="81">
        <f t="shared" ca="1" si="40"/>
        <v>0</v>
      </c>
      <c r="E101" s="82">
        <f ca="1">IFERROR(__xludf.DUMMYFUNCTION("IMPORTRANGE(""https://docs.google.com/spreadsheets/d/1MeEWN-I1oV_STSDYn1IFDPWt_1FKiwhDph83XaGc0o0/edit?usp=sharing"",""งบพรบ!DT101"")"),0)</f>
        <v>0</v>
      </c>
      <c r="F101" s="82">
        <f ca="1">IFERROR(__xludf.DUMMYFUNCTION("IMPORTRANGE(""https://docs.google.com/spreadsheets/d/1MeEWN-I1oV_STSDYn1IFDPWt_1FKiwhDph83XaGc0o0/edit?usp=sharing"",""งบพรบ!DU101"")"),0)</f>
        <v>0</v>
      </c>
      <c r="G101" s="82">
        <f ca="1">IFERROR(__xludf.DUMMYFUNCTION("IMPORTRANGE(""https://docs.google.com/spreadsheets/d/1MeEWN-I1oV_STSDYn1IFDPWt_1FKiwhDph83XaGc0o0/edit?usp=sharing"",""งบพรบ!DV101"")"),0)</f>
        <v>0</v>
      </c>
      <c r="H101" s="82">
        <f ca="1">IFERROR(__xludf.DUMMYFUNCTION("IMPORTRANGE(""https://docs.google.com/spreadsheets/d/1MeEWN-I1oV_STSDYn1IFDPWt_1FKiwhDph83XaGc0o0/edit?usp=sharing"",""งบพรบ!DX101"")"),0)</f>
        <v>0</v>
      </c>
      <c r="I101" s="82">
        <f ca="1">IFERROR(__xludf.DUMMYFUNCTION("IMPORTRANGE(""https://docs.google.com/spreadsheets/d/1MeEWN-I1oV_STSDYn1IFDPWt_1FKiwhDph83XaGc0o0/edit?usp=sharing"",""งบพรบ!DY101"")"),0)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IFERROR(__xludf.DUMMYFUNCTION("IMPORTRANGE(""https://docs.google.com/spreadsheets/d/1MeEWN-I1oV_STSDYn1IFDPWt_1FKiwhDph83XaGc0o0/edit?usp=sharing"",""งบพรบ!DZ101"")"),0)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IFERROR(__xludf.DUMMYFUNCTION("IMPORTRANGE(""https://docs.google.com/spreadsheets/d/1MeEWN-I1oV_STSDYn1IFDPWt_1FKiwhDph83XaGc0o0/edit?usp=sharing"",""งบพรบ!EA101"")"),0)</f>
        <v>0</v>
      </c>
      <c r="P101" s="85">
        <f t="shared" ca="1" si="23"/>
        <v>0</v>
      </c>
      <c r="Q101" s="84">
        <f t="shared" ca="1" si="8"/>
        <v>0</v>
      </c>
      <c r="R101" s="82"/>
      <c r="S101" s="300"/>
      <c r="T101" s="203"/>
      <c r="U101" s="343"/>
      <c r="V101" s="203"/>
      <c r="W101" s="343"/>
      <c r="X101" s="203"/>
      <c r="Y101" s="343"/>
      <c r="Z101" s="203"/>
      <c r="AA101" s="203"/>
      <c r="AB101" s="343"/>
    </row>
    <row r="102" spans="1:28" ht="24" hidden="1" customHeight="1" x14ac:dyDescent="0.2">
      <c r="A102" s="111">
        <f t="shared" si="41"/>
        <v>13</v>
      </c>
      <c r="B102" s="112" t="s">
        <v>124</v>
      </c>
      <c r="C102" s="80">
        <f t="shared" ca="1" si="0"/>
        <v>0</v>
      </c>
      <c r="D102" s="81">
        <f t="shared" ca="1" si="40"/>
        <v>0</v>
      </c>
      <c r="E102" s="82">
        <f ca="1">IFERROR(__xludf.DUMMYFUNCTION("IMPORTRANGE(""https://docs.google.com/spreadsheets/d/1MeEWN-I1oV_STSDYn1IFDPWt_1FKiwhDph83XaGc0o0/edit?usp=sharing"",""งบพรบ!DT102"")"),0)</f>
        <v>0</v>
      </c>
      <c r="F102" s="82">
        <f ca="1">IFERROR(__xludf.DUMMYFUNCTION("IMPORTRANGE(""https://docs.google.com/spreadsheets/d/1MeEWN-I1oV_STSDYn1IFDPWt_1FKiwhDph83XaGc0o0/edit?usp=sharing"",""งบพรบ!DU102"")"),0)</f>
        <v>0</v>
      </c>
      <c r="G102" s="82">
        <f ca="1">IFERROR(__xludf.DUMMYFUNCTION("IMPORTRANGE(""https://docs.google.com/spreadsheets/d/1MeEWN-I1oV_STSDYn1IFDPWt_1FKiwhDph83XaGc0o0/edit?usp=sharing"",""งบพรบ!DV102"")"),0)</f>
        <v>0</v>
      </c>
      <c r="H102" s="82">
        <f ca="1">IFERROR(__xludf.DUMMYFUNCTION("IMPORTRANGE(""https://docs.google.com/spreadsheets/d/1MeEWN-I1oV_STSDYn1IFDPWt_1FKiwhDph83XaGc0o0/edit?usp=sharing"",""งบพรบ!DX102"")"),0)</f>
        <v>0</v>
      </c>
      <c r="I102" s="82">
        <f ca="1">IFERROR(__xludf.DUMMYFUNCTION("IMPORTRANGE(""https://docs.google.com/spreadsheets/d/1MeEWN-I1oV_STSDYn1IFDPWt_1FKiwhDph83XaGc0o0/edit?usp=sharing"",""งบพรบ!DY102"")"),0)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IFERROR(__xludf.DUMMYFUNCTION("IMPORTRANGE(""https://docs.google.com/spreadsheets/d/1MeEWN-I1oV_STSDYn1IFDPWt_1FKiwhDph83XaGc0o0/edit?usp=sharing"",""งบพรบ!DZ102"")"),0)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IFERROR(__xludf.DUMMYFUNCTION("IMPORTRANGE(""https://docs.google.com/spreadsheets/d/1MeEWN-I1oV_STSDYn1IFDPWt_1FKiwhDph83XaGc0o0/edit?usp=sharing"",""งบพรบ!EA102"")"),0)</f>
        <v>0</v>
      </c>
      <c r="P102" s="85">
        <f t="shared" ca="1" si="23"/>
        <v>0</v>
      </c>
      <c r="Q102" s="84">
        <f t="shared" ca="1" si="8"/>
        <v>0</v>
      </c>
      <c r="R102" s="82"/>
      <c r="S102" s="300"/>
      <c r="T102" s="203"/>
      <c r="U102" s="343"/>
      <c r="V102" s="203"/>
      <c r="W102" s="343"/>
      <c r="X102" s="203"/>
      <c r="Y102" s="343"/>
      <c r="Z102" s="203"/>
      <c r="AA102" s="203"/>
      <c r="AB102" s="343"/>
    </row>
    <row r="103" spans="1:28" ht="24" hidden="1" customHeight="1" x14ac:dyDescent="0.2">
      <c r="A103" s="113">
        <f t="shared" si="41"/>
        <v>14</v>
      </c>
      <c r="B103" s="114" t="s">
        <v>125</v>
      </c>
      <c r="C103" s="91">
        <f t="shared" ca="1" si="0"/>
        <v>0</v>
      </c>
      <c r="D103" s="92">
        <f t="shared" ca="1" si="40"/>
        <v>0</v>
      </c>
      <c r="E103" s="93">
        <f ca="1">IFERROR(__xludf.DUMMYFUNCTION("IMPORTRANGE(""https://docs.google.com/spreadsheets/d/1MeEWN-I1oV_STSDYn1IFDPWt_1FKiwhDph83XaGc0o0/edit?usp=sharing"",""งบพรบ!DT103"")"),0)</f>
        <v>0</v>
      </c>
      <c r="F103" s="93">
        <f ca="1">IFERROR(__xludf.DUMMYFUNCTION("IMPORTRANGE(""https://docs.google.com/spreadsheets/d/1MeEWN-I1oV_STSDYn1IFDPWt_1FKiwhDph83XaGc0o0/edit?usp=sharing"",""งบพรบ!DU103"")"),0)</f>
        <v>0</v>
      </c>
      <c r="G103" s="93">
        <f ca="1">IFERROR(__xludf.DUMMYFUNCTION("IMPORTRANGE(""https://docs.google.com/spreadsheets/d/1MeEWN-I1oV_STSDYn1IFDPWt_1FKiwhDph83XaGc0o0/edit?usp=sharing"",""งบพรบ!DV103"")"),0)</f>
        <v>0</v>
      </c>
      <c r="H103" s="93">
        <f ca="1">IFERROR(__xludf.DUMMYFUNCTION("IMPORTRANGE(""https://docs.google.com/spreadsheets/d/1MeEWN-I1oV_STSDYn1IFDPWt_1FKiwhDph83XaGc0o0/edit?usp=sharing"",""งบพรบ!DX103"")"),0)</f>
        <v>0</v>
      </c>
      <c r="I103" s="93">
        <f ca="1">IFERROR(__xludf.DUMMYFUNCTION("IMPORTRANGE(""https://docs.google.com/spreadsheets/d/1MeEWN-I1oV_STSDYn1IFDPWt_1FKiwhDph83XaGc0o0/edit?usp=sharing"",""งบพรบ!DY103"")"),0)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IFERROR(__xludf.DUMMYFUNCTION("IMPORTRANGE(""https://docs.google.com/spreadsheets/d/1MeEWN-I1oV_STSDYn1IFDPWt_1FKiwhDph83XaGc0o0/edit?usp=sharing"",""งบพรบ!DZ103"")"),0)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IFERROR(__xludf.DUMMYFUNCTION("IMPORTRANGE(""https://docs.google.com/spreadsheets/d/1MeEWN-I1oV_STSDYn1IFDPWt_1FKiwhDph83XaGc0o0/edit?usp=sharing"",""งบพรบ!EA103"")"),0)</f>
        <v>0</v>
      </c>
      <c r="P103" s="96">
        <f t="shared" ca="1" si="23"/>
        <v>0</v>
      </c>
      <c r="Q103" s="95">
        <f t="shared" ca="1" si="8"/>
        <v>0</v>
      </c>
      <c r="R103" s="93"/>
      <c r="S103" s="301"/>
      <c r="T103" s="201"/>
      <c r="U103" s="344"/>
      <c r="V103" s="201"/>
      <c r="W103" s="344"/>
      <c r="X103" s="201"/>
      <c r="Y103" s="344"/>
      <c r="Z103" s="201"/>
      <c r="AA103" s="201"/>
      <c r="AB103" s="344"/>
    </row>
    <row r="104" spans="1:28" ht="21" hidden="1" customHeight="1" x14ac:dyDescent="0.2">
      <c r="A104" s="381" t="s">
        <v>126</v>
      </c>
      <c r="B104" s="357"/>
      <c r="C104" s="107">
        <f t="shared" ca="1" si="0"/>
        <v>605200</v>
      </c>
      <c r="D104" s="46">
        <f ca="1">SUM(D105:D116)</f>
        <v>605200</v>
      </c>
      <c r="E104" s="46">
        <f ca="1">IFERROR(__xludf.DUMMYFUNCTION("IMPORTRANGE(""https://docs.google.com/spreadsheets/d/1MeEWN-I1oV_STSDYn1IFDPWt_1FKiwhDph83XaGc0o0/edit?usp=sharing"",""งบพรบ!DT104"")"),605200)</f>
        <v>605200</v>
      </c>
      <c r="F104" s="46">
        <f ca="1">IFERROR(__xludf.DUMMYFUNCTION("IMPORTRANGE(""https://docs.google.com/spreadsheets/d/1MeEWN-I1oV_STSDYn1IFDPWt_1FKiwhDph83XaGc0o0/edit?usp=sharing"",""งบพรบ!DU104"")"),0)</f>
        <v>0</v>
      </c>
      <c r="G104" s="46">
        <f ca="1">IFERROR(__xludf.DUMMYFUNCTION("IMPORTRANGE(""https://docs.google.com/spreadsheets/d/1MeEWN-I1oV_STSDYn1IFDPWt_1FKiwhDph83XaGc0o0/edit?usp=sharing"",""งบพรบ!DV104"")"),0)</f>
        <v>0</v>
      </c>
      <c r="H104" s="46">
        <f ca="1">IFERROR(__xludf.DUMMYFUNCTION("IMPORTRANGE(""https://docs.google.com/spreadsheets/d/1MeEWN-I1oV_STSDYn1IFDPWt_1FKiwhDph83XaGc0o0/edit?usp=sharing"",""งบพรบ!DX104"")"),79700)</f>
        <v>79700</v>
      </c>
      <c r="I104" s="46">
        <f ca="1">IFERROR(__xludf.DUMMYFUNCTION("IMPORTRANGE(""https://docs.google.com/spreadsheets/d/1MeEWN-I1oV_STSDYn1IFDPWt_1FKiwhDph83XaGc0o0/edit?usp=sharing"",""งบพรบ!DY104"")"),0)</f>
        <v>0</v>
      </c>
      <c r="J104" s="46">
        <f t="shared" ca="1" si="3"/>
        <v>0</v>
      </c>
      <c r="K104" s="48">
        <f t="shared" ca="1" si="4"/>
        <v>0</v>
      </c>
      <c r="L104" s="46">
        <f ca="1">IFERROR(__xludf.DUMMYFUNCTION("IMPORTRANGE(""https://docs.google.com/spreadsheets/d/1MeEWN-I1oV_STSDYn1IFDPWt_1FKiwhDph83XaGc0o0/edit?usp=sharing"",""งบพรบ!DZ104"")"),0)</f>
        <v>0</v>
      </c>
      <c r="M104" s="48">
        <f t="shared" ca="1" si="5"/>
        <v>0</v>
      </c>
      <c r="N104" s="48">
        <f t="shared" ca="1" si="6"/>
        <v>0</v>
      </c>
      <c r="O104" s="46">
        <f ca="1">IFERROR(__xludf.DUMMYFUNCTION("IMPORTRANGE(""https://docs.google.com/spreadsheets/d/1MeEWN-I1oV_STSDYn1IFDPWt_1FKiwhDph83XaGc0o0/edit?usp=sharing"",""งบพรบ!EA104"")"),0)</f>
        <v>0</v>
      </c>
      <c r="P104" s="46">
        <f t="shared" ca="1" si="23"/>
        <v>0</v>
      </c>
      <c r="Q104" s="46">
        <f t="shared" ca="1" si="8"/>
        <v>0</v>
      </c>
      <c r="R104" s="46"/>
      <c r="S104" s="296"/>
      <c r="T104" s="202"/>
      <c r="U104" s="202"/>
      <c r="V104" s="202"/>
      <c r="W104" s="202"/>
      <c r="X104" s="202"/>
      <c r="Y104" s="202"/>
      <c r="Z104" s="202"/>
      <c r="AA104" s="202"/>
      <c r="AB104" s="202"/>
    </row>
    <row r="105" spans="1:28" ht="24" hidden="1" customHeight="1" x14ac:dyDescent="0.2">
      <c r="A105" s="108">
        <v>1</v>
      </c>
      <c r="B105" s="115" t="s">
        <v>127</v>
      </c>
      <c r="C105" s="116">
        <f t="shared" ca="1" si="0"/>
        <v>355200</v>
      </c>
      <c r="D105" s="71">
        <f t="shared" ref="D105:D116" ca="1" si="42">+E105+F105</f>
        <v>355200</v>
      </c>
      <c r="E105" s="72">
        <f ca="1">IFERROR(__xludf.DUMMYFUNCTION("IMPORTRANGE(""https://docs.google.com/spreadsheets/d/1MeEWN-I1oV_STSDYn1IFDPWt_1FKiwhDph83XaGc0o0/edit?usp=sharing"",""งบพรบ!DT105"")"),355200)</f>
        <v>355200</v>
      </c>
      <c r="F105" s="72">
        <f ca="1">IFERROR(__xludf.DUMMYFUNCTION("IMPORTRANGE(""https://docs.google.com/spreadsheets/d/1MeEWN-I1oV_STSDYn1IFDPWt_1FKiwhDph83XaGc0o0/edit?usp=sharing"",""งบพรบ!DU105"")"),0)</f>
        <v>0</v>
      </c>
      <c r="G105" s="72">
        <f ca="1">IFERROR(__xludf.DUMMYFUNCTION("IMPORTRANGE(""https://docs.google.com/spreadsheets/d/1MeEWN-I1oV_STSDYn1IFDPWt_1FKiwhDph83XaGc0o0/edit?usp=sharing"",""งบพรบ!DV105"")"),0)</f>
        <v>0</v>
      </c>
      <c r="H105" s="72">
        <f ca="1">IFERROR(__xludf.DUMMYFUNCTION("IMPORTRANGE(""https://docs.google.com/spreadsheets/d/1MeEWN-I1oV_STSDYn1IFDPWt_1FKiwhDph83XaGc0o0/edit?usp=sharing"",""งบพรบ!DX105"")"),0)</f>
        <v>0</v>
      </c>
      <c r="I105" s="72">
        <f ca="1">IFERROR(__xludf.DUMMYFUNCTION("IMPORTRANGE(""https://docs.google.com/spreadsheets/d/1MeEWN-I1oV_STSDYn1IFDPWt_1FKiwhDph83XaGc0o0/edit?usp=sharing"",""งบพรบ!DY105"")"),0)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IFERROR(__xludf.DUMMYFUNCTION("IMPORTRANGE(""https://docs.google.com/spreadsheets/d/1MeEWN-I1oV_STSDYn1IFDPWt_1FKiwhDph83XaGc0o0/edit?usp=sharing"",""งบพรบ!DZ105"")"),0)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IFERROR(__xludf.DUMMYFUNCTION("IMPORTRANGE(""https://docs.google.com/spreadsheets/d/1MeEWN-I1oV_STSDYn1IFDPWt_1FKiwhDph83XaGc0o0/edit?usp=sharing"",""งบพรบ!EA105"")"),0)</f>
        <v>0</v>
      </c>
      <c r="P105" s="76">
        <f t="shared" ca="1" si="23"/>
        <v>0</v>
      </c>
      <c r="Q105" s="75">
        <f t="shared" ca="1" si="8"/>
        <v>0</v>
      </c>
      <c r="R105" s="72"/>
      <c r="S105" s="300"/>
      <c r="T105" s="203"/>
      <c r="U105" s="203"/>
      <c r="V105" s="203"/>
      <c r="W105" s="203"/>
      <c r="X105" s="203"/>
      <c r="Y105" s="203"/>
      <c r="Z105" s="203"/>
      <c r="AA105" s="203"/>
      <c r="AB105" s="203"/>
    </row>
    <row r="106" spans="1:28" ht="24" hidden="1" customHeight="1" x14ac:dyDescent="0.2">
      <c r="A106" s="111">
        <v>2</v>
      </c>
      <c r="B106" s="117" t="s">
        <v>128</v>
      </c>
      <c r="C106" s="118">
        <f t="shared" ca="1" si="0"/>
        <v>250000</v>
      </c>
      <c r="D106" s="81">
        <f t="shared" ca="1" si="42"/>
        <v>250000</v>
      </c>
      <c r="E106" s="82">
        <f ca="1">IFERROR(__xludf.DUMMYFUNCTION("IMPORTRANGE(""https://docs.google.com/spreadsheets/d/1MeEWN-I1oV_STSDYn1IFDPWt_1FKiwhDph83XaGc0o0/edit?usp=sharing"",""งบพรบ!DT106"")"),250000)</f>
        <v>250000</v>
      </c>
      <c r="F106" s="82">
        <f ca="1">IFERROR(__xludf.DUMMYFUNCTION("IMPORTRANGE(""https://docs.google.com/spreadsheets/d/1MeEWN-I1oV_STSDYn1IFDPWt_1FKiwhDph83XaGc0o0/edit?usp=sharing"",""งบพรบ!DU106"")"),0)</f>
        <v>0</v>
      </c>
      <c r="G106" s="82">
        <f ca="1">IFERROR(__xludf.DUMMYFUNCTION("IMPORTRANGE(""https://docs.google.com/spreadsheets/d/1MeEWN-I1oV_STSDYn1IFDPWt_1FKiwhDph83XaGc0o0/edit?usp=sharing"",""งบพรบ!DV106"")"),0)</f>
        <v>0</v>
      </c>
      <c r="H106" s="82">
        <f ca="1">IFERROR(__xludf.DUMMYFUNCTION("IMPORTRANGE(""https://docs.google.com/spreadsheets/d/1MeEWN-I1oV_STSDYn1IFDPWt_1FKiwhDph83XaGc0o0/edit?usp=sharing"",""งบพรบ!DX106"")"),79700)</f>
        <v>79700</v>
      </c>
      <c r="I106" s="82">
        <f ca="1">IFERROR(__xludf.DUMMYFUNCTION("IMPORTRANGE(""https://docs.google.com/spreadsheets/d/1MeEWN-I1oV_STSDYn1IFDPWt_1FKiwhDph83XaGc0o0/edit?usp=sharing"",""งบพรบ!DY106"")"),0)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IFERROR(__xludf.DUMMYFUNCTION("IMPORTRANGE(""https://docs.google.com/spreadsheets/d/1MeEWN-I1oV_STSDYn1IFDPWt_1FKiwhDph83XaGc0o0/edit?usp=sharing"",""งบพรบ!DZ106"")"),0)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IFERROR(__xludf.DUMMYFUNCTION("IMPORTRANGE(""https://docs.google.com/spreadsheets/d/1MeEWN-I1oV_STSDYn1IFDPWt_1FKiwhDph83XaGc0o0/edit?usp=sharing"",""งบพรบ!EA106"")"),0)</f>
        <v>0</v>
      </c>
      <c r="P106" s="85">
        <f t="shared" ca="1" si="23"/>
        <v>0</v>
      </c>
      <c r="Q106" s="84">
        <f t="shared" ca="1" si="8"/>
        <v>0</v>
      </c>
      <c r="R106" s="82"/>
      <c r="S106" s="300"/>
      <c r="T106" s="203"/>
      <c r="U106" s="203"/>
      <c r="V106" s="203"/>
      <c r="W106" s="203"/>
      <c r="X106" s="203"/>
      <c r="Y106" s="203"/>
      <c r="Z106" s="203"/>
      <c r="AA106" s="203"/>
      <c r="AB106" s="203"/>
    </row>
    <row r="107" spans="1:28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42"/>
        <v>0</v>
      </c>
      <c r="E107" s="82">
        <f ca="1">IFERROR(__xludf.DUMMYFUNCTION("IMPORTRANGE(""https://docs.google.com/spreadsheets/d/1MeEWN-I1oV_STSDYn1IFDPWt_1FKiwhDph83XaGc0o0/edit?usp=sharing"",""งบพรบ!DT107"")"),0)</f>
        <v>0</v>
      </c>
      <c r="F107" s="82">
        <f ca="1">IFERROR(__xludf.DUMMYFUNCTION("IMPORTRANGE(""https://docs.google.com/spreadsheets/d/1MeEWN-I1oV_STSDYn1IFDPWt_1FKiwhDph83XaGc0o0/edit?usp=sharing"",""งบพรบ!DU107"")"),0)</f>
        <v>0</v>
      </c>
      <c r="G107" s="82">
        <f ca="1">IFERROR(__xludf.DUMMYFUNCTION("IMPORTRANGE(""https://docs.google.com/spreadsheets/d/1MeEWN-I1oV_STSDYn1IFDPWt_1FKiwhDph83XaGc0o0/edit?usp=sharing"",""งบพรบ!DV107"")"),0)</f>
        <v>0</v>
      </c>
      <c r="H107" s="82">
        <f ca="1">IFERROR(__xludf.DUMMYFUNCTION("IMPORTRANGE(""https://docs.google.com/spreadsheets/d/1MeEWN-I1oV_STSDYn1IFDPWt_1FKiwhDph83XaGc0o0/edit?usp=sharing"",""งบพรบ!DX107"")"),0)</f>
        <v>0</v>
      </c>
      <c r="I107" s="82">
        <f ca="1">IFERROR(__xludf.DUMMYFUNCTION("IMPORTRANGE(""https://docs.google.com/spreadsheets/d/1MeEWN-I1oV_STSDYn1IFDPWt_1FKiwhDph83XaGc0o0/edit?usp=sharing"",""งบพรบ!DY107"")"),0)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IFERROR(__xludf.DUMMYFUNCTION("IMPORTRANGE(""https://docs.google.com/spreadsheets/d/1MeEWN-I1oV_STSDYn1IFDPWt_1FKiwhDph83XaGc0o0/edit?usp=sharing"",""งบพรบ!DZ107"")"),0)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IFERROR(__xludf.DUMMYFUNCTION("IMPORTRANGE(""https://docs.google.com/spreadsheets/d/1MeEWN-I1oV_STSDYn1IFDPWt_1FKiwhDph83XaGc0o0/edit?usp=sharing"",""งบพรบ!EA107"")"),0)</f>
        <v>0</v>
      </c>
      <c r="P107" s="85">
        <f t="shared" ca="1" si="23"/>
        <v>0</v>
      </c>
      <c r="Q107" s="84">
        <f t="shared" ca="1" si="8"/>
        <v>0</v>
      </c>
      <c r="R107" s="82"/>
      <c r="S107" s="300"/>
      <c r="T107" s="203"/>
      <c r="U107" s="203"/>
      <c r="V107" s="203"/>
      <c r="W107" s="203"/>
      <c r="X107" s="203"/>
      <c r="Y107" s="203"/>
      <c r="Z107" s="203"/>
      <c r="AA107" s="203"/>
      <c r="AB107" s="203"/>
    </row>
    <row r="108" spans="1:28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42"/>
        <v>0</v>
      </c>
      <c r="E108" s="82">
        <f ca="1">IFERROR(__xludf.DUMMYFUNCTION("IMPORTRANGE(""https://docs.google.com/spreadsheets/d/1MeEWN-I1oV_STSDYn1IFDPWt_1FKiwhDph83XaGc0o0/edit?usp=sharing"",""งบพรบ!DT108"")"),0)</f>
        <v>0</v>
      </c>
      <c r="F108" s="82">
        <f ca="1">IFERROR(__xludf.DUMMYFUNCTION("IMPORTRANGE(""https://docs.google.com/spreadsheets/d/1MeEWN-I1oV_STSDYn1IFDPWt_1FKiwhDph83XaGc0o0/edit?usp=sharing"",""งบพรบ!DU108"")"),0)</f>
        <v>0</v>
      </c>
      <c r="G108" s="82">
        <f ca="1">IFERROR(__xludf.DUMMYFUNCTION("IMPORTRANGE(""https://docs.google.com/spreadsheets/d/1MeEWN-I1oV_STSDYn1IFDPWt_1FKiwhDph83XaGc0o0/edit?usp=sharing"",""งบพรบ!DV108"")"),0)</f>
        <v>0</v>
      </c>
      <c r="H108" s="82">
        <f ca="1">IFERROR(__xludf.DUMMYFUNCTION("IMPORTRANGE(""https://docs.google.com/spreadsheets/d/1MeEWN-I1oV_STSDYn1IFDPWt_1FKiwhDph83XaGc0o0/edit?usp=sharing"",""งบพรบ!DX108"")"),0)</f>
        <v>0</v>
      </c>
      <c r="I108" s="82">
        <f ca="1">IFERROR(__xludf.DUMMYFUNCTION("IMPORTRANGE(""https://docs.google.com/spreadsheets/d/1MeEWN-I1oV_STSDYn1IFDPWt_1FKiwhDph83XaGc0o0/edit?usp=sharing"",""งบพรบ!DY108"")"),0)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IFERROR(__xludf.DUMMYFUNCTION("IMPORTRANGE(""https://docs.google.com/spreadsheets/d/1MeEWN-I1oV_STSDYn1IFDPWt_1FKiwhDph83XaGc0o0/edit?usp=sharing"",""งบพรบ!DZ108"")"),0)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IFERROR(__xludf.DUMMYFUNCTION("IMPORTRANGE(""https://docs.google.com/spreadsheets/d/1MeEWN-I1oV_STSDYn1IFDPWt_1FKiwhDph83XaGc0o0/edit?usp=sharing"",""งบพรบ!EA108"")"),0)</f>
        <v>0</v>
      </c>
      <c r="P108" s="85">
        <f t="shared" ca="1" si="23"/>
        <v>0</v>
      </c>
      <c r="Q108" s="84">
        <f t="shared" ca="1" si="8"/>
        <v>0</v>
      </c>
      <c r="R108" s="82"/>
      <c r="S108" s="300"/>
      <c r="T108" s="203"/>
      <c r="U108" s="203"/>
      <c r="V108" s="203"/>
      <c r="W108" s="203"/>
      <c r="X108" s="203"/>
      <c r="Y108" s="203"/>
      <c r="Z108" s="203"/>
      <c r="AA108" s="203"/>
      <c r="AB108" s="203"/>
    </row>
    <row r="109" spans="1:28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42"/>
        <v>0</v>
      </c>
      <c r="E109" s="82">
        <f ca="1">IFERROR(__xludf.DUMMYFUNCTION("IMPORTRANGE(""https://docs.google.com/spreadsheets/d/1MeEWN-I1oV_STSDYn1IFDPWt_1FKiwhDph83XaGc0o0/edit?usp=sharing"",""งบพรบ!DT109"")"),0)</f>
        <v>0</v>
      </c>
      <c r="F109" s="82">
        <f ca="1">IFERROR(__xludf.DUMMYFUNCTION("IMPORTRANGE(""https://docs.google.com/spreadsheets/d/1MeEWN-I1oV_STSDYn1IFDPWt_1FKiwhDph83XaGc0o0/edit?usp=sharing"",""งบพรบ!DU109"")"),0)</f>
        <v>0</v>
      </c>
      <c r="G109" s="82">
        <f ca="1">IFERROR(__xludf.DUMMYFUNCTION("IMPORTRANGE(""https://docs.google.com/spreadsheets/d/1MeEWN-I1oV_STSDYn1IFDPWt_1FKiwhDph83XaGc0o0/edit?usp=sharing"",""งบพรบ!DV109"")"),0)</f>
        <v>0</v>
      </c>
      <c r="H109" s="82">
        <f ca="1">IFERROR(__xludf.DUMMYFUNCTION("IMPORTRANGE(""https://docs.google.com/spreadsheets/d/1MeEWN-I1oV_STSDYn1IFDPWt_1FKiwhDph83XaGc0o0/edit?usp=sharing"",""งบพรบ!DX109"")"),0)</f>
        <v>0</v>
      </c>
      <c r="I109" s="82">
        <f ca="1">IFERROR(__xludf.DUMMYFUNCTION("IMPORTRANGE(""https://docs.google.com/spreadsheets/d/1MeEWN-I1oV_STSDYn1IFDPWt_1FKiwhDph83XaGc0o0/edit?usp=sharing"",""งบพรบ!DY109"")"),0)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IFERROR(__xludf.DUMMYFUNCTION("IMPORTRANGE(""https://docs.google.com/spreadsheets/d/1MeEWN-I1oV_STSDYn1IFDPWt_1FKiwhDph83XaGc0o0/edit?usp=sharing"",""งบพรบ!DZ109"")"),0)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IFERROR(__xludf.DUMMYFUNCTION("IMPORTRANGE(""https://docs.google.com/spreadsheets/d/1MeEWN-I1oV_STSDYn1IFDPWt_1FKiwhDph83XaGc0o0/edit?usp=sharing"",""งบพรบ!EA109"")"),0)</f>
        <v>0</v>
      </c>
      <c r="P109" s="85">
        <f t="shared" ca="1" si="23"/>
        <v>0</v>
      </c>
      <c r="Q109" s="84">
        <f t="shared" ca="1" si="8"/>
        <v>0</v>
      </c>
      <c r="R109" s="82"/>
      <c r="S109" s="300"/>
      <c r="T109" s="203"/>
      <c r="U109" s="203"/>
      <c r="V109" s="203"/>
      <c r="W109" s="203"/>
      <c r="X109" s="203"/>
      <c r="Y109" s="203"/>
      <c r="Z109" s="203"/>
      <c r="AA109" s="203"/>
      <c r="AB109" s="203"/>
    </row>
    <row r="110" spans="1:28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42"/>
        <v>0</v>
      </c>
      <c r="E110" s="82">
        <f ca="1">IFERROR(__xludf.DUMMYFUNCTION("IMPORTRANGE(""https://docs.google.com/spreadsheets/d/1MeEWN-I1oV_STSDYn1IFDPWt_1FKiwhDph83XaGc0o0/edit?usp=sharing"",""งบพรบ!DT110"")"),0)</f>
        <v>0</v>
      </c>
      <c r="F110" s="82">
        <f ca="1">IFERROR(__xludf.DUMMYFUNCTION("IMPORTRANGE(""https://docs.google.com/spreadsheets/d/1MeEWN-I1oV_STSDYn1IFDPWt_1FKiwhDph83XaGc0o0/edit?usp=sharing"",""งบพรบ!DU110"")"),0)</f>
        <v>0</v>
      </c>
      <c r="G110" s="82">
        <f ca="1">IFERROR(__xludf.DUMMYFUNCTION("IMPORTRANGE(""https://docs.google.com/spreadsheets/d/1MeEWN-I1oV_STSDYn1IFDPWt_1FKiwhDph83XaGc0o0/edit?usp=sharing"",""งบพรบ!DV110"")"),0)</f>
        <v>0</v>
      </c>
      <c r="H110" s="82">
        <f ca="1">IFERROR(__xludf.DUMMYFUNCTION("IMPORTRANGE(""https://docs.google.com/spreadsheets/d/1MeEWN-I1oV_STSDYn1IFDPWt_1FKiwhDph83XaGc0o0/edit?usp=sharing"",""งบพรบ!DX110"")"),0)</f>
        <v>0</v>
      </c>
      <c r="I110" s="82">
        <f ca="1">IFERROR(__xludf.DUMMYFUNCTION("IMPORTRANGE(""https://docs.google.com/spreadsheets/d/1MeEWN-I1oV_STSDYn1IFDPWt_1FKiwhDph83XaGc0o0/edit?usp=sharing"",""งบพรบ!DY110"")"),0)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IFERROR(__xludf.DUMMYFUNCTION("IMPORTRANGE(""https://docs.google.com/spreadsheets/d/1MeEWN-I1oV_STSDYn1IFDPWt_1FKiwhDph83XaGc0o0/edit?usp=sharing"",""งบพรบ!DZ110"")"),0)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IFERROR(__xludf.DUMMYFUNCTION("IMPORTRANGE(""https://docs.google.com/spreadsheets/d/1MeEWN-I1oV_STSDYn1IFDPWt_1FKiwhDph83XaGc0o0/edit?usp=sharing"",""งบพรบ!EA110"")"),0)</f>
        <v>0</v>
      </c>
      <c r="P110" s="85">
        <f t="shared" ca="1" si="23"/>
        <v>0</v>
      </c>
      <c r="Q110" s="84">
        <f t="shared" ca="1" si="8"/>
        <v>0</v>
      </c>
      <c r="R110" s="82"/>
      <c r="S110" s="300"/>
      <c r="T110" s="203"/>
      <c r="U110" s="203"/>
      <c r="V110" s="203"/>
      <c r="W110" s="203"/>
      <c r="X110" s="203"/>
      <c r="Y110" s="203"/>
      <c r="Z110" s="203"/>
      <c r="AA110" s="203"/>
      <c r="AB110" s="203"/>
    </row>
    <row r="111" spans="1:28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42"/>
        <v>0</v>
      </c>
      <c r="E111" s="82">
        <f ca="1">IFERROR(__xludf.DUMMYFUNCTION("IMPORTRANGE(""https://docs.google.com/spreadsheets/d/1MeEWN-I1oV_STSDYn1IFDPWt_1FKiwhDph83XaGc0o0/edit?usp=sharing"",""งบพรบ!DT111"")"),0)</f>
        <v>0</v>
      </c>
      <c r="F111" s="82">
        <f ca="1">IFERROR(__xludf.DUMMYFUNCTION("IMPORTRANGE(""https://docs.google.com/spreadsheets/d/1MeEWN-I1oV_STSDYn1IFDPWt_1FKiwhDph83XaGc0o0/edit?usp=sharing"",""งบพรบ!DU111"")"),0)</f>
        <v>0</v>
      </c>
      <c r="G111" s="82">
        <f ca="1">IFERROR(__xludf.DUMMYFUNCTION("IMPORTRANGE(""https://docs.google.com/spreadsheets/d/1MeEWN-I1oV_STSDYn1IFDPWt_1FKiwhDph83XaGc0o0/edit?usp=sharing"",""งบพรบ!DV111"")"),0)</f>
        <v>0</v>
      </c>
      <c r="H111" s="82">
        <f ca="1">IFERROR(__xludf.DUMMYFUNCTION("IMPORTRANGE(""https://docs.google.com/spreadsheets/d/1MeEWN-I1oV_STSDYn1IFDPWt_1FKiwhDph83XaGc0o0/edit?usp=sharing"",""งบพรบ!DX111"")"),0)</f>
        <v>0</v>
      </c>
      <c r="I111" s="82">
        <f ca="1">IFERROR(__xludf.DUMMYFUNCTION("IMPORTRANGE(""https://docs.google.com/spreadsheets/d/1MeEWN-I1oV_STSDYn1IFDPWt_1FKiwhDph83XaGc0o0/edit?usp=sharing"",""งบพรบ!DY111"")"),0)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IFERROR(__xludf.DUMMYFUNCTION("IMPORTRANGE(""https://docs.google.com/spreadsheets/d/1MeEWN-I1oV_STSDYn1IFDPWt_1FKiwhDph83XaGc0o0/edit?usp=sharing"",""งบพรบ!DZ111"")"),0)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IFERROR(__xludf.DUMMYFUNCTION("IMPORTRANGE(""https://docs.google.com/spreadsheets/d/1MeEWN-I1oV_STSDYn1IFDPWt_1FKiwhDph83XaGc0o0/edit?usp=sharing"",""งบพรบ!EA111"")"),0)</f>
        <v>0</v>
      </c>
      <c r="P111" s="85">
        <f t="shared" ca="1" si="23"/>
        <v>0</v>
      </c>
      <c r="Q111" s="84">
        <f t="shared" ca="1" si="8"/>
        <v>0</v>
      </c>
      <c r="R111" s="82"/>
      <c r="S111" s="300"/>
      <c r="T111" s="203"/>
      <c r="U111" s="203"/>
      <c r="V111" s="203"/>
      <c r="W111" s="203"/>
      <c r="X111" s="203"/>
      <c r="Y111" s="203"/>
      <c r="Z111" s="203"/>
      <c r="AA111" s="203"/>
      <c r="AB111" s="203"/>
    </row>
    <row r="112" spans="1:28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42"/>
        <v>0</v>
      </c>
      <c r="E112" s="82">
        <f ca="1">IFERROR(__xludf.DUMMYFUNCTION("IMPORTRANGE(""https://docs.google.com/spreadsheets/d/1MeEWN-I1oV_STSDYn1IFDPWt_1FKiwhDph83XaGc0o0/edit?usp=sharing"",""งบพรบ!DT112"")"),0)</f>
        <v>0</v>
      </c>
      <c r="F112" s="82">
        <f ca="1">IFERROR(__xludf.DUMMYFUNCTION("IMPORTRANGE(""https://docs.google.com/spreadsheets/d/1MeEWN-I1oV_STSDYn1IFDPWt_1FKiwhDph83XaGc0o0/edit?usp=sharing"",""งบพรบ!DU112"")"),0)</f>
        <v>0</v>
      </c>
      <c r="G112" s="82">
        <f ca="1">IFERROR(__xludf.DUMMYFUNCTION("IMPORTRANGE(""https://docs.google.com/spreadsheets/d/1MeEWN-I1oV_STSDYn1IFDPWt_1FKiwhDph83XaGc0o0/edit?usp=sharing"",""งบพรบ!DV112"")"),0)</f>
        <v>0</v>
      </c>
      <c r="H112" s="82">
        <f ca="1">IFERROR(__xludf.DUMMYFUNCTION("IMPORTRANGE(""https://docs.google.com/spreadsheets/d/1MeEWN-I1oV_STSDYn1IFDPWt_1FKiwhDph83XaGc0o0/edit?usp=sharing"",""งบพรบ!DX112"")"),0)</f>
        <v>0</v>
      </c>
      <c r="I112" s="82">
        <f ca="1">IFERROR(__xludf.DUMMYFUNCTION("IMPORTRANGE(""https://docs.google.com/spreadsheets/d/1MeEWN-I1oV_STSDYn1IFDPWt_1FKiwhDph83XaGc0o0/edit?usp=sharing"",""งบพรบ!DY112"")"),0)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IFERROR(__xludf.DUMMYFUNCTION("IMPORTRANGE(""https://docs.google.com/spreadsheets/d/1MeEWN-I1oV_STSDYn1IFDPWt_1FKiwhDph83XaGc0o0/edit?usp=sharing"",""งบพรบ!DZ112"")"),0)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IFERROR(__xludf.DUMMYFUNCTION("IMPORTRANGE(""https://docs.google.com/spreadsheets/d/1MeEWN-I1oV_STSDYn1IFDPWt_1FKiwhDph83XaGc0o0/edit?usp=sharing"",""งบพรบ!EA112"")"),0)</f>
        <v>0</v>
      </c>
      <c r="P112" s="85">
        <f t="shared" ca="1" si="23"/>
        <v>0</v>
      </c>
      <c r="Q112" s="84">
        <f t="shared" ca="1" si="8"/>
        <v>0</v>
      </c>
      <c r="R112" s="82"/>
      <c r="S112" s="300"/>
      <c r="T112" s="203"/>
      <c r="U112" s="203"/>
      <c r="V112" s="203"/>
      <c r="W112" s="203"/>
      <c r="X112" s="203"/>
      <c r="Y112" s="203"/>
      <c r="Z112" s="203"/>
      <c r="AA112" s="203"/>
      <c r="AB112" s="203"/>
    </row>
    <row r="113" spans="1:28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42"/>
        <v>0</v>
      </c>
      <c r="E113" s="82">
        <f ca="1">IFERROR(__xludf.DUMMYFUNCTION("IMPORTRANGE(""https://docs.google.com/spreadsheets/d/1MeEWN-I1oV_STSDYn1IFDPWt_1FKiwhDph83XaGc0o0/edit?usp=sharing"",""งบพรบ!DT113"")"),0)</f>
        <v>0</v>
      </c>
      <c r="F113" s="82">
        <f ca="1">IFERROR(__xludf.DUMMYFUNCTION("IMPORTRANGE(""https://docs.google.com/spreadsheets/d/1MeEWN-I1oV_STSDYn1IFDPWt_1FKiwhDph83XaGc0o0/edit?usp=sharing"",""งบพรบ!DU113"")"),0)</f>
        <v>0</v>
      </c>
      <c r="G113" s="82">
        <f ca="1">IFERROR(__xludf.DUMMYFUNCTION("IMPORTRANGE(""https://docs.google.com/spreadsheets/d/1MeEWN-I1oV_STSDYn1IFDPWt_1FKiwhDph83XaGc0o0/edit?usp=sharing"",""งบพรบ!DV113"")"),0)</f>
        <v>0</v>
      </c>
      <c r="H113" s="82">
        <f ca="1">IFERROR(__xludf.DUMMYFUNCTION("IMPORTRANGE(""https://docs.google.com/spreadsheets/d/1MeEWN-I1oV_STSDYn1IFDPWt_1FKiwhDph83XaGc0o0/edit?usp=sharing"",""งบพรบ!DX113"")"),0)</f>
        <v>0</v>
      </c>
      <c r="I113" s="82">
        <f ca="1">IFERROR(__xludf.DUMMYFUNCTION("IMPORTRANGE(""https://docs.google.com/spreadsheets/d/1MeEWN-I1oV_STSDYn1IFDPWt_1FKiwhDph83XaGc0o0/edit?usp=sharing"",""งบพรบ!DY113"")"),0)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IFERROR(__xludf.DUMMYFUNCTION("IMPORTRANGE(""https://docs.google.com/spreadsheets/d/1MeEWN-I1oV_STSDYn1IFDPWt_1FKiwhDph83XaGc0o0/edit?usp=sharing"",""งบพรบ!DZ113"")"),0)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IFERROR(__xludf.DUMMYFUNCTION("IMPORTRANGE(""https://docs.google.com/spreadsheets/d/1MeEWN-I1oV_STSDYn1IFDPWt_1FKiwhDph83XaGc0o0/edit?usp=sharing"",""งบพรบ!EA113"")"),0)</f>
        <v>0</v>
      </c>
      <c r="P113" s="85">
        <f t="shared" ca="1" si="23"/>
        <v>0</v>
      </c>
      <c r="Q113" s="84">
        <f t="shared" ca="1" si="8"/>
        <v>0</v>
      </c>
      <c r="R113" s="82"/>
      <c r="S113" s="300"/>
      <c r="T113" s="203"/>
      <c r="U113" s="203"/>
      <c r="V113" s="203"/>
      <c r="W113" s="203"/>
      <c r="X113" s="203"/>
      <c r="Y113" s="203"/>
      <c r="Z113" s="203"/>
      <c r="AA113" s="203"/>
      <c r="AB113" s="203"/>
    </row>
    <row r="114" spans="1:28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42"/>
        <v>0</v>
      </c>
      <c r="E114" s="82">
        <f ca="1">IFERROR(__xludf.DUMMYFUNCTION("IMPORTRANGE(""https://docs.google.com/spreadsheets/d/1MeEWN-I1oV_STSDYn1IFDPWt_1FKiwhDph83XaGc0o0/edit?usp=sharing"",""งบพรบ!DT114"")"),0)</f>
        <v>0</v>
      </c>
      <c r="F114" s="82">
        <f ca="1">IFERROR(__xludf.DUMMYFUNCTION("IMPORTRANGE(""https://docs.google.com/spreadsheets/d/1MeEWN-I1oV_STSDYn1IFDPWt_1FKiwhDph83XaGc0o0/edit?usp=sharing"",""งบพรบ!DU114"")"),0)</f>
        <v>0</v>
      </c>
      <c r="G114" s="82">
        <f ca="1">IFERROR(__xludf.DUMMYFUNCTION("IMPORTRANGE(""https://docs.google.com/spreadsheets/d/1MeEWN-I1oV_STSDYn1IFDPWt_1FKiwhDph83XaGc0o0/edit?usp=sharing"",""งบพรบ!DV114"")"),0)</f>
        <v>0</v>
      </c>
      <c r="H114" s="82">
        <f ca="1">IFERROR(__xludf.DUMMYFUNCTION("IMPORTRANGE(""https://docs.google.com/spreadsheets/d/1MeEWN-I1oV_STSDYn1IFDPWt_1FKiwhDph83XaGc0o0/edit?usp=sharing"",""งบพรบ!DX114"")"),0)</f>
        <v>0</v>
      </c>
      <c r="I114" s="82">
        <f ca="1">IFERROR(__xludf.DUMMYFUNCTION("IMPORTRANGE(""https://docs.google.com/spreadsheets/d/1MeEWN-I1oV_STSDYn1IFDPWt_1FKiwhDph83XaGc0o0/edit?usp=sharing"",""งบพรบ!DY114"")"),0)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IFERROR(__xludf.DUMMYFUNCTION("IMPORTRANGE(""https://docs.google.com/spreadsheets/d/1MeEWN-I1oV_STSDYn1IFDPWt_1FKiwhDph83XaGc0o0/edit?usp=sharing"",""งบพรบ!DZ114"")"),0)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IFERROR(__xludf.DUMMYFUNCTION("IMPORTRANGE(""https://docs.google.com/spreadsheets/d/1MeEWN-I1oV_STSDYn1IFDPWt_1FKiwhDph83XaGc0o0/edit?usp=sharing"",""งบพรบ!EA114"")"),0)</f>
        <v>0</v>
      </c>
      <c r="P114" s="85">
        <f t="shared" ca="1" si="23"/>
        <v>0</v>
      </c>
      <c r="Q114" s="84">
        <f t="shared" ca="1" si="8"/>
        <v>0</v>
      </c>
      <c r="R114" s="82"/>
      <c r="S114" s="300"/>
      <c r="T114" s="203"/>
      <c r="U114" s="203"/>
      <c r="V114" s="203"/>
      <c r="W114" s="203"/>
      <c r="X114" s="203"/>
      <c r="Y114" s="203"/>
      <c r="Z114" s="203"/>
      <c r="AA114" s="203"/>
      <c r="AB114" s="203"/>
    </row>
    <row r="115" spans="1:28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42"/>
        <v>0</v>
      </c>
      <c r="E115" s="82">
        <f ca="1">IFERROR(__xludf.DUMMYFUNCTION("IMPORTRANGE(""https://docs.google.com/spreadsheets/d/1MeEWN-I1oV_STSDYn1IFDPWt_1FKiwhDph83XaGc0o0/edit?usp=sharing"",""งบพรบ!DT115"")"),0)</f>
        <v>0</v>
      </c>
      <c r="F115" s="82">
        <f ca="1">IFERROR(__xludf.DUMMYFUNCTION("IMPORTRANGE(""https://docs.google.com/spreadsheets/d/1MeEWN-I1oV_STSDYn1IFDPWt_1FKiwhDph83XaGc0o0/edit?usp=sharing"",""งบพรบ!DU115"")"),0)</f>
        <v>0</v>
      </c>
      <c r="G115" s="82">
        <f ca="1">IFERROR(__xludf.DUMMYFUNCTION("IMPORTRANGE(""https://docs.google.com/spreadsheets/d/1MeEWN-I1oV_STSDYn1IFDPWt_1FKiwhDph83XaGc0o0/edit?usp=sharing"",""งบพรบ!DV115"")"),0)</f>
        <v>0</v>
      </c>
      <c r="H115" s="82">
        <f ca="1">IFERROR(__xludf.DUMMYFUNCTION("IMPORTRANGE(""https://docs.google.com/spreadsheets/d/1MeEWN-I1oV_STSDYn1IFDPWt_1FKiwhDph83XaGc0o0/edit?usp=sharing"",""งบพรบ!DX115"")"),0)</f>
        <v>0</v>
      </c>
      <c r="I115" s="82">
        <f ca="1">IFERROR(__xludf.DUMMYFUNCTION("IMPORTRANGE(""https://docs.google.com/spreadsheets/d/1MeEWN-I1oV_STSDYn1IFDPWt_1FKiwhDph83XaGc0o0/edit?usp=sharing"",""งบพรบ!DY115"")"),0)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IFERROR(__xludf.DUMMYFUNCTION("IMPORTRANGE(""https://docs.google.com/spreadsheets/d/1MeEWN-I1oV_STSDYn1IFDPWt_1FKiwhDph83XaGc0o0/edit?usp=sharing"",""งบพรบ!DZ115"")"),0)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IFERROR(__xludf.DUMMYFUNCTION("IMPORTRANGE(""https://docs.google.com/spreadsheets/d/1MeEWN-I1oV_STSDYn1IFDPWt_1FKiwhDph83XaGc0o0/edit?usp=sharing"",""งบพรบ!EA115"")"),0)</f>
        <v>0</v>
      </c>
      <c r="P115" s="85">
        <f t="shared" ca="1" si="23"/>
        <v>0</v>
      </c>
      <c r="Q115" s="84">
        <f t="shared" ca="1" si="8"/>
        <v>0</v>
      </c>
      <c r="R115" s="82"/>
      <c r="S115" s="300"/>
      <c r="T115" s="203"/>
      <c r="U115" s="203"/>
      <c r="V115" s="203"/>
      <c r="W115" s="203"/>
      <c r="X115" s="203"/>
      <c r="Y115" s="203"/>
      <c r="Z115" s="203"/>
      <c r="AA115" s="203"/>
      <c r="AB115" s="203"/>
    </row>
    <row r="116" spans="1:28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42"/>
        <v>0</v>
      </c>
      <c r="E116" s="82">
        <f ca="1">IFERROR(__xludf.DUMMYFUNCTION("IMPORTRANGE(""https://docs.google.com/spreadsheets/d/1MeEWN-I1oV_STSDYn1IFDPWt_1FKiwhDph83XaGc0o0/edit?usp=sharing"",""งบพรบ!DT116"")"),0)</f>
        <v>0</v>
      </c>
      <c r="F116" s="82">
        <f ca="1">IFERROR(__xludf.DUMMYFUNCTION("IMPORTRANGE(""https://docs.google.com/spreadsheets/d/1MeEWN-I1oV_STSDYn1IFDPWt_1FKiwhDph83XaGc0o0/edit?usp=sharing"",""งบพรบ!DU116"")"),0)</f>
        <v>0</v>
      </c>
      <c r="G116" s="82">
        <f ca="1">IFERROR(__xludf.DUMMYFUNCTION("IMPORTRANGE(""https://docs.google.com/spreadsheets/d/1MeEWN-I1oV_STSDYn1IFDPWt_1FKiwhDph83XaGc0o0/edit?usp=sharing"",""งบพรบ!DV116"")"),0)</f>
        <v>0</v>
      </c>
      <c r="H116" s="82">
        <f ca="1">IFERROR(__xludf.DUMMYFUNCTION("IMPORTRANGE(""https://docs.google.com/spreadsheets/d/1MeEWN-I1oV_STSDYn1IFDPWt_1FKiwhDph83XaGc0o0/edit?usp=sharing"",""งบพรบ!DX116"")"),122000)</f>
        <v>122000</v>
      </c>
      <c r="I116" s="82">
        <f ca="1">IFERROR(__xludf.DUMMYFUNCTION("IMPORTRANGE(""https://docs.google.com/spreadsheets/d/1MeEWN-I1oV_STSDYn1IFDPWt_1FKiwhDph83XaGc0o0/edit?usp=sharing"",""งบพรบ!DY116"")"),0)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IFERROR(__xludf.DUMMYFUNCTION("IMPORTRANGE(""https://docs.google.com/spreadsheets/d/1MeEWN-I1oV_STSDYn1IFDPWt_1FKiwhDph83XaGc0o0/edit?usp=sharing"",""งบพรบ!DZ116"")"),0)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IFERROR(__xludf.DUMMYFUNCTION("IMPORTRANGE(""https://docs.google.com/spreadsheets/d/1MeEWN-I1oV_STSDYn1IFDPWt_1FKiwhDph83XaGc0o0/edit?usp=sharing"",""งบพรบ!EA116"")"),0)</f>
        <v>0</v>
      </c>
      <c r="P116" s="85">
        <f t="shared" ca="1" si="23"/>
        <v>0</v>
      </c>
      <c r="Q116" s="84">
        <f t="shared" ca="1" si="8"/>
        <v>0</v>
      </c>
      <c r="R116" s="82"/>
      <c r="S116" s="300"/>
      <c r="T116" s="203"/>
      <c r="U116" s="203"/>
      <c r="V116" s="203"/>
      <c r="W116" s="203"/>
      <c r="X116" s="203"/>
      <c r="Y116" s="203"/>
      <c r="Z116" s="203"/>
      <c r="AA116" s="203"/>
      <c r="AB116" s="203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09"/>
      <c r="T117" s="209"/>
      <c r="U117" s="207"/>
      <c r="V117" s="209"/>
      <c r="W117" s="207"/>
      <c r="X117" s="209"/>
      <c r="Y117" s="207"/>
      <c r="Z117" s="209"/>
      <c r="AA117" s="209"/>
      <c r="AB117" s="207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09"/>
      <c r="T118" s="209"/>
      <c r="U118" s="207"/>
      <c r="V118" s="209"/>
      <c r="W118" s="207"/>
      <c r="X118" s="209"/>
      <c r="Y118" s="207"/>
      <c r="Z118" s="209"/>
      <c r="AA118" s="209"/>
      <c r="AB118" s="207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09"/>
      <c r="T119" s="209"/>
      <c r="U119" s="207"/>
      <c r="V119" s="209"/>
      <c r="W119" s="207"/>
      <c r="X119" s="209"/>
      <c r="Y119" s="207"/>
      <c r="Z119" s="209"/>
      <c r="AA119" s="209"/>
      <c r="AB119" s="207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09"/>
      <c r="T120" s="209"/>
      <c r="U120" s="207"/>
      <c r="V120" s="209"/>
      <c r="W120" s="207"/>
      <c r="X120" s="209"/>
      <c r="Y120" s="207"/>
      <c r="Z120" s="209"/>
      <c r="AA120" s="209"/>
      <c r="AB120" s="207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09"/>
      <c r="T121" s="209"/>
      <c r="U121" s="207"/>
      <c r="V121" s="209"/>
      <c r="W121" s="207"/>
      <c r="X121" s="209"/>
      <c r="Y121" s="207"/>
      <c r="Z121" s="209"/>
      <c r="AA121" s="209"/>
      <c r="AB121" s="207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09"/>
      <c r="T122" s="209"/>
      <c r="U122" s="207"/>
      <c r="V122" s="209"/>
      <c r="W122" s="207"/>
      <c r="X122" s="209"/>
      <c r="Y122" s="207"/>
      <c r="Z122" s="209"/>
      <c r="AA122" s="209"/>
      <c r="AB122" s="207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09"/>
      <c r="T123" s="209"/>
      <c r="U123" s="207"/>
      <c r="V123" s="209"/>
      <c r="W123" s="207"/>
      <c r="X123" s="209"/>
      <c r="Y123" s="207"/>
      <c r="Z123" s="209"/>
      <c r="AA123" s="209"/>
      <c r="AB123" s="207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09"/>
      <c r="T124" s="209"/>
      <c r="U124" s="207"/>
      <c r="V124" s="209"/>
      <c r="W124" s="207"/>
      <c r="X124" s="209"/>
      <c r="Y124" s="207"/>
      <c r="Z124" s="209"/>
      <c r="AA124" s="209"/>
      <c r="AB124" s="207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09"/>
      <c r="T125" s="209"/>
      <c r="U125" s="207"/>
      <c r="V125" s="209"/>
      <c r="W125" s="207"/>
      <c r="X125" s="209"/>
      <c r="Y125" s="207"/>
      <c r="Z125" s="209"/>
      <c r="AA125" s="209"/>
      <c r="AB125" s="207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09"/>
      <c r="T126" s="209"/>
      <c r="U126" s="207"/>
      <c r="V126" s="209"/>
      <c r="W126" s="207"/>
      <c r="X126" s="209"/>
      <c r="Y126" s="207"/>
      <c r="Z126" s="209"/>
      <c r="AA126" s="209"/>
      <c r="AB126" s="207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09"/>
      <c r="T127" s="209"/>
      <c r="U127" s="207"/>
      <c r="V127" s="209"/>
      <c r="W127" s="207"/>
      <c r="X127" s="209"/>
      <c r="Y127" s="207"/>
      <c r="Z127" s="209"/>
      <c r="AA127" s="209"/>
      <c r="AB127" s="207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09"/>
      <c r="T128" s="209"/>
      <c r="U128" s="207"/>
      <c r="V128" s="209"/>
      <c r="W128" s="207"/>
      <c r="X128" s="209"/>
      <c r="Y128" s="207"/>
      <c r="Z128" s="209"/>
      <c r="AA128" s="209"/>
      <c r="AB128" s="207"/>
    </row>
    <row r="129" spans="1:2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09"/>
      <c r="T129" s="209"/>
      <c r="U129" s="207"/>
      <c r="V129" s="209"/>
      <c r="W129" s="207"/>
      <c r="X129" s="209"/>
      <c r="Y129" s="207"/>
      <c r="Z129" s="209"/>
      <c r="AA129" s="209"/>
      <c r="AB129" s="207"/>
    </row>
    <row r="130" spans="1:2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09"/>
      <c r="T130" s="209"/>
      <c r="U130" s="207"/>
      <c r="V130" s="209"/>
      <c r="W130" s="207"/>
      <c r="X130" s="209"/>
      <c r="Y130" s="207"/>
      <c r="Z130" s="209"/>
      <c r="AA130" s="209"/>
      <c r="AB130" s="207"/>
    </row>
    <row r="131" spans="1:2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09"/>
      <c r="T131" s="209"/>
      <c r="U131" s="207"/>
      <c r="V131" s="209"/>
      <c r="W131" s="207"/>
      <c r="X131" s="209"/>
      <c r="Y131" s="207"/>
      <c r="Z131" s="209"/>
      <c r="AA131" s="209"/>
      <c r="AB131" s="207"/>
    </row>
    <row r="132" spans="1:2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09"/>
      <c r="T132" s="209"/>
      <c r="U132" s="207"/>
      <c r="V132" s="209"/>
      <c r="W132" s="207"/>
      <c r="X132" s="209"/>
      <c r="Y132" s="207"/>
      <c r="Z132" s="209"/>
      <c r="AA132" s="209"/>
      <c r="AB132" s="207"/>
    </row>
    <row r="133" spans="1:2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09"/>
      <c r="T133" s="209"/>
      <c r="U133" s="207"/>
      <c r="V133" s="209"/>
      <c r="W133" s="207"/>
      <c r="X133" s="209"/>
      <c r="Y133" s="207"/>
      <c r="Z133" s="209"/>
      <c r="AA133" s="209"/>
      <c r="AB133" s="207"/>
    </row>
    <row r="134" spans="1:2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09"/>
      <c r="T134" s="209"/>
      <c r="U134" s="207"/>
      <c r="V134" s="209"/>
      <c r="W134" s="207"/>
      <c r="X134" s="209"/>
      <c r="Y134" s="207"/>
      <c r="Z134" s="209"/>
      <c r="AA134" s="209"/>
      <c r="AB134" s="207"/>
    </row>
    <row r="135" spans="1:2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09"/>
      <c r="T135" s="209"/>
      <c r="U135" s="207"/>
      <c r="V135" s="209"/>
      <c r="W135" s="207"/>
      <c r="X135" s="209"/>
      <c r="Y135" s="207"/>
      <c r="Z135" s="209"/>
      <c r="AA135" s="209"/>
      <c r="AB135" s="207"/>
    </row>
    <row r="136" spans="1:2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09"/>
      <c r="T136" s="209"/>
      <c r="U136" s="207"/>
      <c r="V136" s="209"/>
      <c r="W136" s="207"/>
      <c r="X136" s="209"/>
      <c r="Y136" s="207"/>
      <c r="Z136" s="209"/>
      <c r="AA136" s="209"/>
      <c r="AB136" s="207"/>
    </row>
    <row r="137" spans="1:2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09"/>
      <c r="T137" s="209"/>
      <c r="U137" s="207"/>
      <c r="V137" s="209"/>
      <c r="W137" s="207"/>
      <c r="X137" s="209"/>
      <c r="Y137" s="207"/>
      <c r="Z137" s="209"/>
      <c r="AA137" s="209"/>
      <c r="AB137" s="207"/>
    </row>
    <row r="138" spans="1:2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09"/>
      <c r="T138" s="209"/>
      <c r="U138" s="207"/>
      <c r="V138" s="209"/>
      <c r="W138" s="207"/>
      <c r="X138" s="209"/>
      <c r="Y138" s="207"/>
      <c r="Z138" s="209"/>
      <c r="AA138" s="209"/>
      <c r="AB138" s="207"/>
    </row>
    <row r="139" spans="1:2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09"/>
      <c r="T139" s="209"/>
      <c r="U139" s="207"/>
      <c r="V139" s="209"/>
      <c r="W139" s="207"/>
      <c r="X139" s="209"/>
      <c r="Y139" s="207"/>
      <c r="Z139" s="209"/>
      <c r="AA139" s="209"/>
      <c r="AB139" s="207"/>
    </row>
    <row r="140" spans="1:2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09"/>
      <c r="T140" s="209"/>
      <c r="U140" s="207"/>
      <c r="V140" s="209"/>
      <c r="W140" s="207"/>
      <c r="X140" s="209"/>
      <c r="Y140" s="207"/>
      <c r="Z140" s="209"/>
      <c r="AA140" s="209"/>
      <c r="AB140" s="207"/>
    </row>
    <row r="141" spans="1:2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09"/>
      <c r="T141" s="209"/>
      <c r="U141" s="207"/>
      <c r="V141" s="209"/>
      <c r="W141" s="207"/>
      <c r="X141" s="209"/>
      <c r="Y141" s="207"/>
      <c r="Z141" s="209"/>
      <c r="AA141" s="209"/>
      <c r="AB141" s="207"/>
    </row>
    <row r="142" spans="1:2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09"/>
      <c r="T142" s="209"/>
      <c r="U142" s="207"/>
      <c r="V142" s="209"/>
      <c r="W142" s="207"/>
      <c r="X142" s="209"/>
      <c r="Y142" s="207"/>
      <c r="Z142" s="209"/>
      <c r="AA142" s="209"/>
      <c r="AB142" s="207"/>
    </row>
    <row r="143" spans="1:2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09"/>
      <c r="T143" s="209"/>
      <c r="U143" s="207"/>
      <c r="V143" s="209"/>
      <c r="W143" s="207"/>
      <c r="X143" s="209"/>
      <c r="Y143" s="207"/>
      <c r="Z143" s="209"/>
      <c r="AA143" s="209"/>
      <c r="AB143" s="207"/>
    </row>
    <row r="144" spans="1:2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09"/>
      <c r="T144" s="209"/>
      <c r="U144" s="207"/>
      <c r="V144" s="209"/>
      <c r="W144" s="207"/>
      <c r="X144" s="209"/>
      <c r="Y144" s="207"/>
      <c r="Z144" s="209"/>
      <c r="AA144" s="209"/>
      <c r="AB144" s="207"/>
    </row>
    <row r="145" spans="1:2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09"/>
      <c r="T145" s="209"/>
      <c r="U145" s="207"/>
      <c r="V145" s="209"/>
      <c r="W145" s="207"/>
      <c r="X145" s="209"/>
      <c r="Y145" s="207"/>
      <c r="Z145" s="209"/>
      <c r="AA145" s="209"/>
      <c r="AB145" s="207"/>
    </row>
    <row r="146" spans="1:2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09"/>
      <c r="T146" s="209"/>
      <c r="U146" s="207"/>
      <c r="V146" s="209"/>
      <c r="W146" s="207"/>
      <c r="X146" s="209"/>
      <c r="Y146" s="207"/>
      <c r="Z146" s="209"/>
      <c r="AA146" s="209"/>
      <c r="AB146" s="207"/>
    </row>
    <row r="147" spans="1:2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09"/>
      <c r="T147" s="209"/>
      <c r="U147" s="207"/>
      <c r="V147" s="209"/>
      <c r="W147" s="207"/>
      <c r="X147" s="209"/>
      <c r="Y147" s="207"/>
      <c r="Z147" s="209"/>
      <c r="AA147" s="209"/>
      <c r="AB147" s="207"/>
    </row>
    <row r="148" spans="1:2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09"/>
      <c r="T148" s="209"/>
      <c r="U148" s="207"/>
      <c r="V148" s="209"/>
      <c r="W148" s="207"/>
      <c r="X148" s="209"/>
      <c r="Y148" s="207"/>
      <c r="Z148" s="209"/>
      <c r="AA148" s="209"/>
      <c r="AB148" s="207"/>
    </row>
    <row r="149" spans="1:2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09"/>
      <c r="T149" s="209"/>
      <c r="U149" s="207"/>
      <c r="V149" s="209"/>
      <c r="W149" s="207"/>
      <c r="X149" s="209"/>
      <c r="Y149" s="207"/>
      <c r="Z149" s="209"/>
      <c r="AA149" s="209"/>
      <c r="AB149" s="207"/>
    </row>
    <row r="150" spans="1:2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09"/>
      <c r="T150" s="209"/>
      <c r="U150" s="207"/>
      <c r="V150" s="209"/>
      <c r="W150" s="207"/>
      <c r="X150" s="209"/>
      <c r="Y150" s="207"/>
      <c r="Z150" s="209"/>
      <c r="AA150" s="209"/>
      <c r="AB150" s="207"/>
    </row>
    <row r="151" spans="1:2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09"/>
      <c r="T151" s="209"/>
      <c r="U151" s="207"/>
      <c r="V151" s="209"/>
      <c r="W151" s="207"/>
      <c r="X151" s="209"/>
      <c r="Y151" s="207"/>
      <c r="Z151" s="209"/>
      <c r="AA151" s="209"/>
      <c r="AB151" s="207"/>
    </row>
    <row r="152" spans="1:2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09"/>
      <c r="T152" s="209"/>
      <c r="U152" s="207"/>
      <c r="V152" s="209"/>
      <c r="W152" s="207"/>
      <c r="X152" s="209"/>
      <c r="Y152" s="207"/>
      <c r="Z152" s="209"/>
      <c r="AA152" s="209"/>
      <c r="AB152" s="207"/>
    </row>
    <row r="153" spans="1:2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09"/>
      <c r="T153" s="209"/>
      <c r="U153" s="207"/>
      <c r="V153" s="209"/>
      <c r="W153" s="207"/>
      <c r="X153" s="209"/>
      <c r="Y153" s="207"/>
      <c r="Z153" s="209"/>
      <c r="AA153" s="209"/>
      <c r="AB153" s="207"/>
    </row>
    <row r="154" spans="1:2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09"/>
      <c r="T154" s="209"/>
      <c r="U154" s="207"/>
      <c r="V154" s="209"/>
      <c r="W154" s="207"/>
      <c r="X154" s="209"/>
      <c r="Y154" s="207"/>
      <c r="Z154" s="209"/>
      <c r="AA154" s="209"/>
      <c r="AB154" s="207"/>
    </row>
    <row r="155" spans="1:2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09"/>
      <c r="T155" s="209"/>
      <c r="U155" s="207"/>
      <c r="V155" s="209"/>
      <c r="W155" s="207"/>
      <c r="X155" s="209"/>
      <c r="Y155" s="207"/>
      <c r="Z155" s="209"/>
      <c r="AA155" s="209"/>
      <c r="AB155" s="207"/>
    </row>
    <row r="156" spans="1:2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09"/>
      <c r="T156" s="209"/>
      <c r="U156" s="207"/>
      <c r="V156" s="209"/>
      <c r="W156" s="207"/>
      <c r="X156" s="209"/>
      <c r="Y156" s="207"/>
      <c r="Z156" s="209"/>
      <c r="AA156" s="209"/>
      <c r="AB156" s="207"/>
    </row>
    <row r="157" spans="1:2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09"/>
      <c r="T157" s="209"/>
      <c r="U157" s="207"/>
      <c r="V157" s="209"/>
      <c r="W157" s="207"/>
      <c r="X157" s="209"/>
      <c r="Y157" s="207"/>
      <c r="Z157" s="209"/>
      <c r="AA157" s="209"/>
      <c r="AB157" s="207"/>
    </row>
    <row r="158" spans="1:2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09"/>
      <c r="T158" s="209"/>
      <c r="U158" s="207"/>
      <c r="V158" s="209"/>
      <c r="W158" s="207"/>
      <c r="X158" s="209"/>
      <c r="Y158" s="207"/>
      <c r="Z158" s="209"/>
      <c r="AA158" s="209"/>
      <c r="AB158" s="207"/>
    </row>
    <row r="159" spans="1:2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09"/>
      <c r="T159" s="209"/>
      <c r="U159" s="207"/>
      <c r="V159" s="209"/>
      <c r="W159" s="207"/>
      <c r="X159" s="209"/>
      <c r="Y159" s="207"/>
      <c r="Z159" s="209"/>
      <c r="AA159" s="209"/>
      <c r="AB159" s="207"/>
    </row>
    <row r="160" spans="1:2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09"/>
      <c r="T160" s="209"/>
      <c r="U160" s="207"/>
      <c r="V160" s="209"/>
      <c r="W160" s="207"/>
      <c r="X160" s="209"/>
      <c r="Y160" s="207"/>
      <c r="Z160" s="209"/>
      <c r="AA160" s="209"/>
      <c r="AB160" s="207"/>
    </row>
    <row r="161" spans="1:2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09"/>
      <c r="T161" s="209"/>
      <c r="U161" s="207"/>
      <c r="V161" s="209"/>
      <c r="W161" s="207"/>
      <c r="X161" s="209"/>
      <c r="Y161" s="207"/>
      <c r="Z161" s="209"/>
      <c r="AA161" s="209"/>
      <c r="AB161" s="207"/>
    </row>
    <row r="162" spans="1:2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09"/>
      <c r="T162" s="209"/>
      <c r="U162" s="207"/>
      <c r="V162" s="209"/>
      <c r="W162" s="207"/>
      <c r="X162" s="209"/>
      <c r="Y162" s="207"/>
      <c r="Z162" s="209"/>
      <c r="AA162" s="209"/>
      <c r="AB162" s="207"/>
    </row>
    <row r="163" spans="1:2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09"/>
      <c r="T163" s="209"/>
      <c r="U163" s="207"/>
      <c r="V163" s="209"/>
      <c r="W163" s="207"/>
      <c r="X163" s="209"/>
      <c r="Y163" s="207"/>
      <c r="Z163" s="209"/>
      <c r="AA163" s="209"/>
      <c r="AB163" s="207"/>
    </row>
    <row r="164" spans="1:2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09"/>
      <c r="T164" s="209"/>
      <c r="U164" s="207"/>
      <c r="V164" s="209"/>
      <c r="W164" s="207"/>
      <c r="X164" s="209"/>
      <c r="Y164" s="207"/>
      <c r="Z164" s="209"/>
      <c r="AA164" s="209"/>
      <c r="AB164" s="207"/>
    </row>
    <row r="165" spans="1:2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09"/>
      <c r="T165" s="209"/>
      <c r="U165" s="207"/>
      <c r="V165" s="209"/>
      <c r="W165" s="207"/>
      <c r="X165" s="209"/>
      <c r="Y165" s="207"/>
      <c r="Z165" s="209"/>
      <c r="AA165" s="209"/>
      <c r="AB165" s="207"/>
    </row>
    <row r="166" spans="1:2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09"/>
      <c r="T166" s="209"/>
      <c r="U166" s="207"/>
      <c r="V166" s="209"/>
      <c r="W166" s="207"/>
      <c r="X166" s="209"/>
      <c r="Y166" s="207"/>
      <c r="Z166" s="209"/>
      <c r="AA166" s="209"/>
      <c r="AB166" s="207"/>
    </row>
    <row r="167" spans="1:2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09"/>
      <c r="T167" s="209"/>
      <c r="U167" s="207"/>
      <c r="V167" s="209"/>
      <c r="W167" s="207"/>
      <c r="X167" s="209"/>
      <c r="Y167" s="207"/>
      <c r="Z167" s="209"/>
      <c r="AA167" s="209"/>
      <c r="AB167" s="207"/>
    </row>
    <row r="168" spans="1:2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09"/>
      <c r="T168" s="209"/>
      <c r="U168" s="207"/>
      <c r="V168" s="209"/>
      <c r="W168" s="207"/>
      <c r="X168" s="209"/>
      <c r="Y168" s="207"/>
      <c r="Z168" s="209"/>
      <c r="AA168" s="209"/>
      <c r="AB168" s="207"/>
    </row>
    <row r="169" spans="1:2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09"/>
      <c r="T169" s="209"/>
      <c r="U169" s="207"/>
      <c r="V169" s="209"/>
      <c r="W169" s="207"/>
      <c r="X169" s="209"/>
      <c r="Y169" s="207"/>
      <c r="Z169" s="209"/>
      <c r="AA169" s="209"/>
      <c r="AB169" s="207"/>
    </row>
    <row r="170" spans="1:2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09"/>
      <c r="T170" s="209"/>
      <c r="U170" s="207"/>
      <c r="V170" s="209"/>
      <c r="W170" s="207"/>
      <c r="X170" s="209"/>
      <c r="Y170" s="207"/>
      <c r="Z170" s="209"/>
      <c r="AA170" s="209"/>
      <c r="AB170" s="207"/>
    </row>
    <row r="171" spans="1:2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09"/>
      <c r="T171" s="209"/>
      <c r="U171" s="207"/>
      <c r="V171" s="209"/>
      <c r="W171" s="207"/>
      <c r="X171" s="209"/>
      <c r="Y171" s="207"/>
      <c r="Z171" s="209"/>
      <c r="AA171" s="209"/>
      <c r="AB171" s="207"/>
    </row>
    <row r="172" spans="1:2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09"/>
      <c r="T172" s="209"/>
      <c r="U172" s="207"/>
      <c r="V172" s="209"/>
      <c r="W172" s="207"/>
      <c r="X172" s="209"/>
      <c r="Y172" s="207"/>
      <c r="Z172" s="209"/>
      <c r="AA172" s="209"/>
      <c r="AB172" s="207"/>
    </row>
    <row r="173" spans="1:2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09"/>
      <c r="T173" s="209"/>
      <c r="U173" s="207"/>
      <c r="V173" s="209"/>
      <c r="W173" s="207"/>
      <c r="X173" s="209"/>
      <c r="Y173" s="207"/>
      <c r="Z173" s="209"/>
      <c r="AA173" s="209"/>
      <c r="AB173" s="207"/>
    </row>
    <row r="174" spans="1:2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09"/>
      <c r="T174" s="209"/>
      <c r="U174" s="207"/>
      <c r="V174" s="209"/>
      <c r="W174" s="207"/>
      <c r="X174" s="209"/>
      <c r="Y174" s="207"/>
      <c r="Z174" s="209"/>
      <c r="AA174" s="209"/>
      <c r="AB174" s="207"/>
    </row>
    <row r="175" spans="1:2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09"/>
      <c r="T175" s="209"/>
      <c r="U175" s="207"/>
      <c r="V175" s="209"/>
      <c r="W175" s="207"/>
      <c r="X175" s="209"/>
      <c r="Y175" s="207"/>
      <c r="Z175" s="209"/>
      <c r="AA175" s="209"/>
      <c r="AB175" s="207"/>
    </row>
    <row r="176" spans="1:2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09"/>
      <c r="T176" s="209"/>
      <c r="U176" s="207"/>
      <c r="V176" s="209"/>
      <c r="W176" s="207"/>
      <c r="X176" s="209"/>
      <c r="Y176" s="207"/>
      <c r="Z176" s="209"/>
      <c r="AA176" s="209"/>
      <c r="AB176" s="207"/>
    </row>
    <row r="177" spans="1:2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09"/>
      <c r="T177" s="209"/>
      <c r="U177" s="207"/>
      <c r="V177" s="209"/>
      <c r="W177" s="207"/>
      <c r="X177" s="209"/>
      <c r="Y177" s="207"/>
      <c r="Z177" s="209"/>
      <c r="AA177" s="209"/>
      <c r="AB177" s="207"/>
    </row>
    <row r="178" spans="1:2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09"/>
      <c r="T178" s="209"/>
      <c r="U178" s="207"/>
      <c r="V178" s="209"/>
      <c r="W178" s="207"/>
      <c r="X178" s="209"/>
      <c r="Y178" s="207"/>
      <c r="Z178" s="209"/>
      <c r="AA178" s="209"/>
      <c r="AB178" s="207"/>
    </row>
    <row r="179" spans="1:2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09"/>
      <c r="T179" s="209"/>
      <c r="U179" s="207"/>
      <c r="V179" s="209"/>
      <c r="W179" s="207"/>
      <c r="X179" s="209"/>
      <c r="Y179" s="207"/>
      <c r="Z179" s="209"/>
      <c r="AA179" s="209"/>
      <c r="AB179" s="207"/>
    </row>
    <row r="180" spans="1:2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09"/>
      <c r="T180" s="209"/>
      <c r="U180" s="207"/>
      <c r="V180" s="209"/>
      <c r="W180" s="207"/>
      <c r="X180" s="209"/>
      <c r="Y180" s="207"/>
      <c r="Z180" s="209"/>
      <c r="AA180" s="209"/>
      <c r="AB180" s="207"/>
    </row>
    <row r="181" spans="1:2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09"/>
      <c r="T181" s="209"/>
      <c r="U181" s="207"/>
      <c r="V181" s="209"/>
      <c r="W181" s="207"/>
      <c r="X181" s="209"/>
      <c r="Y181" s="207"/>
      <c r="Z181" s="209"/>
      <c r="AA181" s="209"/>
      <c r="AB181" s="207"/>
    </row>
    <row r="182" spans="1:2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09"/>
      <c r="T182" s="209"/>
      <c r="U182" s="207"/>
      <c r="V182" s="209"/>
      <c r="W182" s="207"/>
      <c r="X182" s="209"/>
      <c r="Y182" s="207"/>
      <c r="Z182" s="209"/>
      <c r="AA182" s="209"/>
      <c r="AB182" s="207"/>
    </row>
    <row r="183" spans="1:2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09"/>
      <c r="T183" s="209"/>
      <c r="U183" s="207"/>
      <c r="V183" s="209"/>
      <c r="W183" s="207"/>
      <c r="X183" s="209"/>
      <c r="Y183" s="207"/>
      <c r="Z183" s="209"/>
      <c r="AA183" s="209"/>
      <c r="AB183" s="207"/>
    </row>
    <row r="184" spans="1:2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09"/>
      <c r="T184" s="209"/>
      <c r="U184" s="207"/>
      <c r="V184" s="209"/>
      <c r="W184" s="207"/>
      <c r="X184" s="209"/>
      <c r="Y184" s="207"/>
      <c r="Z184" s="209"/>
      <c r="AA184" s="209"/>
      <c r="AB184" s="207"/>
    </row>
    <row r="185" spans="1:2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09"/>
      <c r="T185" s="209"/>
      <c r="U185" s="207"/>
      <c r="V185" s="209"/>
      <c r="W185" s="207"/>
      <c r="X185" s="209"/>
      <c r="Y185" s="207"/>
      <c r="Z185" s="209"/>
      <c r="AA185" s="209"/>
      <c r="AB185" s="207"/>
    </row>
    <row r="186" spans="1:2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09"/>
      <c r="T186" s="209"/>
      <c r="U186" s="207"/>
      <c r="V186" s="209"/>
      <c r="W186" s="207"/>
      <c r="X186" s="209"/>
      <c r="Y186" s="207"/>
      <c r="Z186" s="209"/>
      <c r="AA186" s="209"/>
      <c r="AB186" s="207"/>
    </row>
    <row r="187" spans="1:2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09"/>
      <c r="T187" s="209"/>
      <c r="U187" s="207"/>
      <c r="V187" s="209"/>
      <c r="W187" s="207"/>
      <c r="X187" s="209"/>
      <c r="Y187" s="207"/>
      <c r="Z187" s="209"/>
      <c r="AA187" s="209"/>
      <c r="AB187" s="207"/>
    </row>
    <row r="188" spans="1:2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09"/>
      <c r="T188" s="209"/>
      <c r="U188" s="207"/>
      <c r="V188" s="209"/>
      <c r="W188" s="207"/>
      <c r="X188" s="209"/>
      <c r="Y188" s="207"/>
      <c r="Z188" s="209"/>
      <c r="AA188" s="209"/>
      <c r="AB188" s="207"/>
    </row>
    <row r="189" spans="1:2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09"/>
      <c r="T189" s="209"/>
      <c r="U189" s="207"/>
      <c r="V189" s="209"/>
      <c r="W189" s="207"/>
      <c r="X189" s="209"/>
      <c r="Y189" s="207"/>
      <c r="Z189" s="209"/>
      <c r="AA189" s="209"/>
      <c r="AB189" s="207"/>
    </row>
    <row r="190" spans="1:2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09"/>
      <c r="T190" s="209"/>
      <c r="U190" s="207"/>
      <c r="V190" s="209"/>
      <c r="W190" s="207"/>
      <c r="X190" s="209"/>
      <c r="Y190" s="207"/>
      <c r="Z190" s="209"/>
      <c r="AA190" s="209"/>
      <c r="AB190" s="207"/>
    </row>
    <row r="191" spans="1:2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09"/>
      <c r="T191" s="209"/>
      <c r="U191" s="207"/>
      <c r="V191" s="209"/>
      <c r="W191" s="207"/>
      <c r="X191" s="209"/>
      <c r="Y191" s="207"/>
      <c r="Z191" s="209"/>
      <c r="AA191" s="209"/>
      <c r="AB191" s="207"/>
    </row>
    <row r="192" spans="1:2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09"/>
      <c r="T192" s="209"/>
      <c r="U192" s="207"/>
      <c r="V192" s="209"/>
      <c r="W192" s="207"/>
      <c r="X192" s="209"/>
      <c r="Y192" s="207"/>
      <c r="Z192" s="209"/>
      <c r="AA192" s="209"/>
      <c r="AB192" s="207"/>
    </row>
    <row r="193" spans="1:2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09"/>
      <c r="T193" s="209"/>
      <c r="U193" s="207"/>
      <c r="V193" s="209"/>
      <c r="W193" s="207"/>
      <c r="X193" s="209"/>
      <c r="Y193" s="207"/>
      <c r="Z193" s="209"/>
      <c r="AA193" s="209"/>
      <c r="AB193" s="207"/>
    </row>
    <row r="194" spans="1:2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09"/>
      <c r="T194" s="209"/>
      <c r="U194" s="207"/>
      <c r="V194" s="209"/>
      <c r="W194" s="207"/>
      <c r="X194" s="209"/>
      <c r="Y194" s="207"/>
      <c r="Z194" s="209"/>
      <c r="AA194" s="209"/>
      <c r="AB194" s="207"/>
    </row>
    <row r="195" spans="1:2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09"/>
      <c r="T195" s="209"/>
      <c r="U195" s="207"/>
      <c r="V195" s="209"/>
      <c r="W195" s="207"/>
      <c r="X195" s="209"/>
      <c r="Y195" s="207"/>
      <c r="Z195" s="209"/>
      <c r="AA195" s="209"/>
      <c r="AB195" s="207"/>
    </row>
    <row r="196" spans="1:2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09"/>
      <c r="T196" s="209"/>
      <c r="U196" s="207"/>
      <c r="V196" s="209"/>
      <c r="W196" s="207"/>
      <c r="X196" s="209"/>
      <c r="Y196" s="207"/>
      <c r="Z196" s="209"/>
      <c r="AA196" s="209"/>
      <c r="AB196" s="207"/>
    </row>
    <row r="197" spans="1:2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09"/>
      <c r="T197" s="209"/>
      <c r="U197" s="207"/>
      <c r="V197" s="209"/>
      <c r="W197" s="207"/>
      <c r="X197" s="209"/>
      <c r="Y197" s="207"/>
      <c r="Z197" s="209"/>
      <c r="AA197" s="209"/>
      <c r="AB197" s="207"/>
    </row>
    <row r="198" spans="1:2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09"/>
      <c r="T198" s="209"/>
      <c r="U198" s="207"/>
      <c r="V198" s="209"/>
      <c r="W198" s="207"/>
      <c r="X198" s="209"/>
      <c r="Y198" s="207"/>
      <c r="Z198" s="209"/>
      <c r="AA198" s="209"/>
      <c r="AB198" s="207"/>
    </row>
    <row r="199" spans="1:2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09"/>
      <c r="T199" s="209"/>
      <c r="U199" s="207"/>
      <c r="V199" s="209"/>
      <c r="W199" s="207"/>
      <c r="X199" s="209"/>
      <c r="Y199" s="207"/>
      <c r="Z199" s="209"/>
      <c r="AA199" s="209"/>
      <c r="AB199" s="207"/>
    </row>
    <row r="200" spans="1:2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09"/>
      <c r="T200" s="209"/>
      <c r="U200" s="207"/>
      <c r="V200" s="209"/>
      <c r="W200" s="207"/>
      <c r="X200" s="209"/>
      <c r="Y200" s="207"/>
      <c r="Z200" s="209"/>
      <c r="AA200" s="209"/>
      <c r="AB200" s="207"/>
    </row>
    <row r="201" spans="1:2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09"/>
      <c r="T201" s="209"/>
      <c r="U201" s="207"/>
      <c r="V201" s="209"/>
      <c r="W201" s="207"/>
      <c r="X201" s="209"/>
      <c r="Y201" s="207"/>
      <c r="Z201" s="209"/>
      <c r="AA201" s="209"/>
      <c r="AB201" s="207"/>
    </row>
    <row r="202" spans="1:2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09"/>
      <c r="T202" s="209"/>
      <c r="U202" s="207"/>
      <c r="V202" s="209"/>
      <c r="W202" s="207"/>
      <c r="X202" s="209"/>
      <c r="Y202" s="207"/>
      <c r="Z202" s="209"/>
      <c r="AA202" s="209"/>
      <c r="AB202" s="207"/>
    </row>
    <row r="203" spans="1:2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09"/>
      <c r="T203" s="209"/>
      <c r="U203" s="207"/>
      <c r="V203" s="209"/>
      <c r="W203" s="207"/>
      <c r="X203" s="209"/>
      <c r="Y203" s="207"/>
      <c r="Z203" s="209"/>
      <c r="AA203" s="209"/>
      <c r="AB203" s="207"/>
    </row>
    <row r="204" spans="1:2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09"/>
      <c r="T204" s="209"/>
      <c r="U204" s="207"/>
      <c r="V204" s="209"/>
      <c r="W204" s="207"/>
      <c r="X204" s="209"/>
      <c r="Y204" s="207"/>
      <c r="Z204" s="209"/>
      <c r="AA204" s="209"/>
      <c r="AB204" s="207"/>
    </row>
    <row r="205" spans="1:2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09"/>
      <c r="T205" s="209"/>
      <c r="U205" s="207"/>
      <c r="V205" s="209"/>
      <c r="W205" s="207"/>
      <c r="X205" s="209"/>
      <c r="Y205" s="207"/>
      <c r="Z205" s="209"/>
      <c r="AA205" s="209"/>
      <c r="AB205" s="207"/>
    </row>
    <row r="206" spans="1:2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09"/>
      <c r="T206" s="209"/>
      <c r="U206" s="207"/>
      <c r="V206" s="209"/>
      <c r="W206" s="207"/>
      <c r="X206" s="209"/>
      <c r="Y206" s="207"/>
      <c r="Z206" s="209"/>
      <c r="AA206" s="209"/>
      <c r="AB206" s="207"/>
    </row>
    <row r="207" spans="1:2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09"/>
      <c r="T207" s="209"/>
      <c r="U207" s="207"/>
      <c r="V207" s="209"/>
      <c r="W207" s="207"/>
      <c r="X207" s="209"/>
      <c r="Y207" s="207"/>
      <c r="Z207" s="209"/>
      <c r="AA207" s="209"/>
      <c r="AB207" s="207"/>
    </row>
    <row r="208" spans="1:2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09"/>
      <c r="T208" s="209"/>
      <c r="U208" s="207"/>
      <c r="V208" s="209"/>
      <c r="W208" s="207"/>
      <c r="X208" s="209"/>
      <c r="Y208" s="207"/>
      <c r="Z208" s="209"/>
      <c r="AA208" s="209"/>
      <c r="AB208" s="207"/>
    </row>
    <row r="209" spans="1:2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09"/>
      <c r="T209" s="209"/>
      <c r="U209" s="207"/>
      <c r="V209" s="209"/>
      <c r="W209" s="207"/>
      <c r="X209" s="209"/>
      <c r="Y209" s="207"/>
      <c r="Z209" s="209"/>
      <c r="AA209" s="209"/>
      <c r="AB209" s="207"/>
    </row>
    <row r="210" spans="1:2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09"/>
      <c r="T210" s="209"/>
      <c r="U210" s="207"/>
      <c r="V210" s="209"/>
      <c r="W210" s="207"/>
      <c r="X210" s="209"/>
      <c r="Y210" s="207"/>
      <c r="Z210" s="209"/>
      <c r="AA210" s="209"/>
      <c r="AB210" s="207"/>
    </row>
    <row r="211" spans="1:2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09"/>
      <c r="T211" s="209"/>
      <c r="U211" s="207"/>
      <c r="V211" s="209"/>
      <c r="W211" s="207"/>
      <c r="X211" s="209"/>
      <c r="Y211" s="207"/>
      <c r="Z211" s="209"/>
      <c r="AA211" s="209"/>
      <c r="AB211" s="207"/>
    </row>
    <row r="212" spans="1:2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09"/>
      <c r="T212" s="209"/>
      <c r="U212" s="207"/>
      <c r="V212" s="209"/>
      <c r="W212" s="207"/>
      <c r="X212" s="209"/>
      <c r="Y212" s="207"/>
      <c r="Z212" s="209"/>
      <c r="AA212" s="209"/>
      <c r="AB212" s="207"/>
    </row>
    <row r="213" spans="1:2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09"/>
      <c r="T213" s="209"/>
      <c r="U213" s="207"/>
      <c r="V213" s="209"/>
      <c r="W213" s="207"/>
      <c r="X213" s="209"/>
      <c r="Y213" s="207"/>
      <c r="Z213" s="209"/>
      <c r="AA213" s="209"/>
      <c r="AB213" s="207"/>
    </row>
    <row r="214" spans="1:2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09"/>
      <c r="T214" s="209"/>
      <c r="U214" s="207"/>
      <c r="V214" s="209"/>
      <c r="W214" s="207"/>
      <c r="X214" s="209"/>
      <c r="Y214" s="207"/>
      <c r="Z214" s="209"/>
      <c r="AA214" s="209"/>
      <c r="AB214" s="207"/>
    </row>
    <row r="215" spans="1:2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09"/>
      <c r="T215" s="209"/>
      <c r="U215" s="207"/>
      <c r="V215" s="209"/>
      <c r="W215" s="207"/>
      <c r="X215" s="209"/>
      <c r="Y215" s="207"/>
      <c r="Z215" s="209"/>
      <c r="AA215" s="209"/>
      <c r="AB215" s="207"/>
    </row>
    <row r="216" spans="1:2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09"/>
      <c r="T216" s="209"/>
      <c r="U216" s="207"/>
      <c r="V216" s="209"/>
      <c r="W216" s="207"/>
      <c r="X216" s="209"/>
      <c r="Y216" s="207"/>
      <c r="Z216" s="209"/>
      <c r="AA216" s="209"/>
      <c r="AB216" s="207"/>
    </row>
    <row r="217" spans="1:2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09"/>
      <c r="T217" s="209"/>
      <c r="U217" s="207"/>
      <c r="V217" s="209"/>
      <c r="W217" s="207"/>
      <c r="X217" s="209"/>
      <c r="Y217" s="207"/>
      <c r="Z217" s="209"/>
      <c r="AA217" s="209"/>
      <c r="AB217" s="207"/>
    </row>
    <row r="218" spans="1:2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09"/>
      <c r="T218" s="209"/>
      <c r="U218" s="207"/>
      <c r="V218" s="209"/>
      <c r="W218" s="207"/>
      <c r="X218" s="209"/>
      <c r="Y218" s="207"/>
      <c r="Z218" s="209"/>
      <c r="AA218" s="209"/>
      <c r="AB218" s="207"/>
    </row>
    <row r="219" spans="1:2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09"/>
      <c r="T219" s="209"/>
      <c r="U219" s="207"/>
      <c r="V219" s="209"/>
      <c r="W219" s="207"/>
      <c r="X219" s="209"/>
      <c r="Y219" s="207"/>
      <c r="Z219" s="209"/>
      <c r="AA219" s="209"/>
      <c r="AB219" s="207"/>
    </row>
    <row r="220" spans="1:2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09"/>
      <c r="T220" s="209"/>
      <c r="U220" s="207"/>
      <c r="V220" s="209"/>
      <c r="W220" s="207"/>
      <c r="X220" s="209"/>
      <c r="Y220" s="207"/>
      <c r="Z220" s="209"/>
      <c r="AA220" s="209"/>
      <c r="AB220" s="207"/>
    </row>
    <row r="221" spans="1:2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09"/>
      <c r="T221" s="209"/>
      <c r="U221" s="207"/>
      <c r="V221" s="209"/>
      <c r="W221" s="207"/>
      <c r="X221" s="209"/>
      <c r="Y221" s="207"/>
      <c r="Z221" s="209"/>
      <c r="AA221" s="209"/>
      <c r="AB221" s="207"/>
    </row>
    <row r="222" spans="1:2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09"/>
      <c r="T222" s="209"/>
      <c r="U222" s="207"/>
      <c r="V222" s="209"/>
      <c r="W222" s="207"/>
      <c r="X222" s="209"/>
      <c r="Y222" s="207"/>
      <c r="Z222" s="209"/>
      <c r="AA222" s="209"/>
      <c r="AB222" s="207"/>
    </row>
    <row r="223" spans="1:2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09"/>
      <c r="T223" s="209"/>
      <c r="U223" s="207"/>
      <c r="V223" s="209"/>
      <c r="W223" s="207"/>
      <c r="X223" s="209"/>
      <c r="Y223" s="207"/>
      <c r="Z223" s="209"/>
      <c r="AA223" s="209"/>
      <c r="AB223" s="207"/>
    </row>
    <row r="224" spans="1:2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09"/>
      <c r="T224" s="209"/>
      <c r="U224" s="207"/>
      <c r="V224" s="209"/>
      <c r="W224" s="207"/>
      <c r="X224" s="209"/>
      <c r="Y224" s="207"/>
      <c r="Z224" s="209"/>
      <c r="AA224" s="209"/>
      <c r="AB224" s="207"/>
    </row>
    <row r="225" spans="1:2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09"/>
      <c r="T225" s="209"/>
      <c r="U225" s="207"/>
      <c r="V225" s="209"/>
      <c r="W225" s="207"/>
      <c r="X225" s="209"/>
      <c r="Y225" s="207"/>
      <c r="Z225" s="209"/>
      <c r="AA225" s="209"/>
      <c r="AB225" s="207"/>
    </row>
    <row r="226" spans="1:2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09"/>
      <c r="T226" s="209"/>
      <c r="U226" s="207"/>
      <c r="V226" s="209"/>
      <c r="W226" s="207"/>
      <c r="X226" s="209"/>
      <c r="Y226" s="207"/>
      <c r="Z226" s="209"/>
      <c r="AA226" s="209"/>
      <c r="AB226" s="207"/>
    </row>
    <row r="227" spans="1:2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09"/>
      <c r="T227" s="209"/>
      <c r="U227" s="207"/>
      <c r="V227" s="209"/>
      <c r="W227" s="207"/>
      <c r="X227" s="209"/>
      <c r="Y227" s="207"/>
      <c r="Z227" s="209"/>
      <c r="AA227" s="209"/>
      <c r="AB227" s="207"/>
    </row>
    <row r="228" spans="1:2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09"/>
      <c r="T228" s="209"/>
      <c r="U228" s="207"/>
      <c r="V228" s="209"/>
      <c r="W228" s="207"/>
      <c r="X228" s="209"/>
      <c r="Y228" s="207"/>
      <c r="Z228" s="209"/>
      <c r="AA228" s="209"/>
      <c r="AB228" s="207"/>
    </row>
    <row r="229" spans="1:2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09"/>
      <c r="T229" s="209"/>
      <c r="U229" s="207"/>
      <c r="V229" s="209"/>
      <c r="W229" s="207"/>
      <c r="X229" s="209"/>
      <c r="Y229" s="207"/>
      <c r="Z229" s="209"/>
      <c r="AA229" s="209"/>
      <c r="AB229" s="207"/>
    </row>
    <row r="230" spans="1:2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09"/>
      <c r="T230" s="209"/>
      <c r="U230" s="207"/>
      <c r="V230" s="209"/>
      <c r="W230" s="207"/>
      <c r="X230" s="209"/>
      <c r="Y230" s="207"/>
      <c r="Z230" s="209"/>
      <c r="AA230" s="209"/>
      <c r="AB230" s="207"/>
    </row>
    <row r="231" spans="1:2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09"/>
      <c r="T231" s="209"/>
      <c r="U231" s="207"/>
      <c r="V231" s="209"/>
      <c r="W231" s="207"/>
      <c r="X231" s="209"/>
      <c r="Y231" s="207"/>
      <c r="Z231" s="209"/>
      <c r="AA231" s="209"/>
      <c r="AB231" s="207"/>
    </row>
    <row r="232" spans="1:2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09"/>
      <c r="T232" s="209"/>
      <c r="U232" s="207"/>
      <c r="V232" s="209"/>
      <c r="W232" s="207"/>
      <c r="X232" s="209"/>
      <c r="Y232" s="207"/>
      <c r="Z232" s="209"/>
      <c r="AA232" s="209"/>
      <c r="AB232" s="207"/>
    </row>
    <row r="233" spans="1:2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09"/>
      <c r="T233" s="209"/>
      <c r="U233" s="207"/>
      <c r="V233" s="209"/>
      <c r="W233" s="207"/>
      <c r="X233" s="209"/>
      <c r="Y233" s="207"/>
      <c r="Z233" s="209"/>
      <c r="AA233" s="209"/>
      <c r="AB233" s="207"/>
    </row>
    <row r="234" spans="1:2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09"/>
      <c r="T234" s="209"/>
      <c r="U234" s="207"/>
      <c r="V234" s="209"/>
      <c r="W234" s="207"/>
      <c r="X234" s="209"/>
      <c r="Y234" s="207"/>
      <c r="Z234" s="209"/>
      <c r="AA234" s="209"/>
      <c r="AB234" s="207"/>
    </row>
    <row r="235" spans="1:2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09"/>
      <c r="T235" s="209"/>
      <c r="U235" s="207"/>
      <c r="V235" s="209"/>
      <c r="W235" s="207"/>
      <c r="X235" s="209"/>
      <c r="Y235" s="207"/>
      <c r="Z235" s="209"/>
      <c r="AA235" s="209"/>
      <c r="AB235" s="207"/>
    </row>
    <row r="236" spans="1:2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09"/>
      <c r="T236" s="209"/>
      <c r="U236" s="207"/>
      <c r="V236" s="209"/>
      <c r="W236" s="207"/>
      <c r="X236" s="209"/>
      <c r="Y236" s="207"/>
      <c r="Z236" s="209"/>
      <c r="AA236" s="209"/>
      <c r="AB236" s="207"/>
    </row>
    <row r="237" spans="1:2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09"/>
      <c r="T237" s="209"/>
      <c r="U237" s="207"/>
      <c r="V237" s="209"/>
      <c r="W237" s="207"/>
      <c r="X237" s="209"/>
      <c r="Y237" s="207"/>
      <c r="Z237" s="209"/>
      <c r="AA237" s="209"/>
      <c r="AB237" s="207"/>
    </row>
    <row r="238" spans="1:2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09"/>
      <c r="T238" s="209"/>
      <c r="U238" s="207"/>
      <c r="V238" s="209"/>
      <c r="W238" s="207"/>
      <c r="X238" s="209"/>
      <c r="Y238" s="207"/>
      <c r="Z238" s="209"/>
      <c r="AA238" s="209"/>
      <c r="AB238" s="207"/>
    </row>
    <row r="239" spans="1:2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09"/>
      <c r="T239" s="209"/>
      <c r="U239" s="207"/>
      <c r="V239" s="209"/>
      <c r="W239" s="207"/>
      <c r="X239" s="209"/>
      <c r="Y239" s="207"/>
      <c r="Z239" s="209"/>
      <c r="AA239" s="209"/>
      <c r="AB239" s="207"/>
    </row>
    <row r="240" spans="1:2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09"/>
      <c r="T240" s="209"/>
      <c r="U240" s="207"/>
      <c r="V240" s="209"/>
      <c r="W240" s="207"/>
      <c r="X240" s="209"/>
      <c r="Y240" s="207"/>
      <c r="Z240" s="209"/>
      <c r="AA240" s="209"/>
      <c r="AB240" s="207"/>
    </row>
    <row r="241" spans="1:2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09"/>
      <c r="T241" s="209"/>
      <c r="U241" s="207"/>
      <c r="V241" s="209"/>
      <c r="W241" s="207"/>
      <c r="X241" s="209"/>
      <c r="Y241" s="207"/>
      <c r="Z241" s="209"/>
      <c r="AA241" s="209"/>
      <c r="AB241" s="207"/>
    </row>
    <row r="242" spans="1:2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09"/>
      <c r="T242" s="209"/>
      <c r="U242" s="207"/>
      <c r="V242" s="209"/>
      <c r="W242" s="207"/>
      <c r="X242" s="209"/>
      <c r="Y242" s="207"/>
      <c r="Z242" s="209"/>
      <c r="AA242" s="209"/>
      <c r="AB242" s="207"/>
    </row>
    <row r="243" spans="1:2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09"/>
      <c r="T243" s="209"/>
      <c r="U243" s="207"/>
      <c r="V243" s="209"/>
      <c r="W243" s="207"/>
      <c r="X243" s="209"/>
      <c r="Y243" s="207"/>
      <c r="Z243" s="209"/>
      <c r="AA243" s="209"/>
      <c r="AB243" s="207"/>
    </row>
    <row r="244" spans="1:2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09"/>
      <c r="T244" s="209"/>
      <c r="U244" s="207"/>
      <c r="V244" s="209"/>
      <c r="W244" s="207"/>
      <c r="X244" s="209"/>
      <c r="Y244" s="207"/>
      <c r="Z244" s="209"/>
      <c r="AA244" s="209"/>
      <c r="AB244" s="207"/>
    </row>
    <row r="245" spans="1:2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09"/>
      <c r="T245" s="209"/>
      <c r="U245" s="207"/>
      <c r="V245" s="209"/>
      <c r="W245" s="207"/>
      <c r="X245" s="209"/>
      <c r="Y245" s="207"/>
      <c r="Z245" s="209"/>
      <c r="AA245" s="209"/>
      <c r="AB245" s="207"/>
    </row>
    <row r="246" spans="1:2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09"/>
      <c r="T246" s="209"/>
      <c r="U246" s="207"/>
      <c r="V246" s="209"/>
      <c r="W246" s="207"/>
      <c r="X246" s="209"/>
      <c r="Y246" s="207"/>
      <c r="Z246" s="209"/>
      <c r="AA246" s="209"/>
      <c r="AB246" s="207"/>
    </row>
    <row r="247" spans="1:2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09"/>
      <c r="T247" s="209"/>
      <c r="U247" s="207"/>
      <c r="V247" s="209"/>
      <c r="W247" s="207"/>
      <c r="X247" s="209"/>
      <c r="Y247" s="207"/>
      <c r="Z247" s="209"/>
      <c r="AA247" s="209"/>
      <c r="AB247" s="207"/>
    </row>
    <row r="248" spans="1:2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09"/>
      <c r="T248" s="209"/>
      <c r="U248" s="207"/>
      <c r="V248" s="209"/>
      <c r="W248" s="207"/>
      <c r="X248" s="209"/>
      <c r="Y248" s="207"/>
      <c r="Z248" s="209"/>
      <c r="AA248" s="209"/>
      <c r="AB248" s="207"/>
    </row>
    <row r="249" spans="1:2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09"/>
      <c r="T249" s="209"/>
      <c r="U249" s="207"/>
      <c r="V249" s="209"/>
      <c r="W249" s="207"/>
      <c r="X249" s="209"/>
      <c r="Y249" s="207"/>
      <c r="Z249" s="209"/>
      <c r="AA249" s="209"/>
      <c r="AB249" s="207"/>
    </row>
    <row r="250" spans="1:2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09"/>
      <c r="T250" s="209"/>
      <c r="U250" s="207"/>
      <c r="V250" s="209"/>
      <c r="W250" s="207"/>
      <c r="X250" s="209"/>
      <c r="Y250" s="207"/>
      <c r="Z250" s="209"/>
      <c r="AA250" s="209"/>
      <c r="AB250" s="207"/>
    </row>
    <row r="251" spans="1:2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09"/>
      <c r="T251" s="209"/>
      <c r="U251" s="207"/>
      <c r="V251" s="209"/>
      <c r="W251" s="207"/>
      <c r="X251" s="209"/>
      <c r="Y251" s="207"/>
      <c r="Z251" s="209"/>
      <c r="AA251" s="209"/>
      <c r="AB251" s="207"/>
    </row>
    <row r="252" spans="1:2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09"/>
      <c r="T252" s="209"/>
      <c r="U252" s="207"/>
      <c r="V252" s="209"/>
      <c r="W252" s="207"/>
      <c r="X252" s="209"/>
      <c r="Y252" s="207"/>
      <c r="Z252" s="209"/>
      <c r="AA252" s="209"/>
      <c r="AB252" s="207"/>
    </row>
    <row r="253" spans="1:2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09"/>
      <c r="T253" s="209"/>
      <c r="U253" s="207"/>
      <c r="V253" s="209"/>
      <c r="W253" s="207"/>
      <c r="X253" s="209"/>
      <c r="Y253" s="207"/>
      <c r="Z253" s="209"/>
      <c r="AA253" s="209"/>
      <c r="AB253" s="207"/>
    </row>
    <row r="254" spans="1:2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09"/>
      <c r="T254" s="209"/>
      <c r="U254" s="207"/>
      <c r="V254" s="209"/>
      <c r="W254" s="207"/>
      <c r="X254" s="209"/>
      <c r="Y254" s="207"/>
      <c r="Z254" s="209"/>
      <c r="AA254" s="209"/>
      <c r="AB254" s="207"/>
    </row>
    <row r="255" spans="1:2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09"/>
      <c r="T255" s="209"/>
      <c r="U255" s="207"/>
      <c r="V255" s="209"/>
      <c r="W255" s="207"/>
      <c r="X255" s="209"/>
      <c r="Y255" s="207"/>
      <c r="Z255" s="209"/>
      <c r="AA255" s="209"/>
      <c r="AB255" s="207"/>
    </row>
    <row r="256" spans="1:2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09"/>
      <c r="T256" s="209"/>
      <c r="U256" s="207"/>
      <c r="V256" s="209"/>
      <c r="W256" s="207"/>
      <c r="X256" s="209"/>
      <c r="Y256" s="207"/>
      <c r="Z256" s="209"/>
      <c r="AA256" s="209"/>
      <c r="AB256" s="207"/>
    </row>
    <row r="257" spans="1:2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09"/>
      <c r="T257" s="209"/>
      <c r="U257" s="207"/>
      <c r="V257" s="209"/>
      <c r="W257" s="207"/>
      <c r="X257" s="209"/>
      <c r="Y257" s="207"/>
      <c r="Z257" s="209"/>
      <c r="AA257" s="209"/>
      <c r="AB257" s="207"/>
    </row>
    <row r="258" spans="1:2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09"/>
      <c r="T258" s="209"/>
      <c r="U258" s="207"/>
      <c r="V258" s="209"/>
      <c r="W258" s="207"/>
      <c r="X258" s="209"/>
      <c r="Y258" s="207"/>
      <c r="Z258" s="209"/>
      <c r="AA258" s="209"/>
      <c r="AB258" s="207"/>
    </row>
    <row r="259" spans="1:2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09"/>
      <c r="T259" s="209"/>
      <c r="U259" s="207"/>
      <c r="V259" s="209"/>
      <c r="W259" s="207"/>
      <c r="X259" s="209"/>
      <c r="Y259" s="207"/>
      <c r="Z259" s="209"/>
      <c r="AA259" s="209"/>
      <c r="AB259" s="207"/>
    </row>
    <row r="260" spans="1:2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09"/>
      <c r="T260" s="209"/>
      <c r="U260" s="207"/>
      <c r="V260" s="209"/>
      <c r="W260" s="207"/>
      <c r="X260" s="209"/>
      <c r="Y260" s="207"/>
      <c r="Z260" s="209"/>
      <c r="AA260" s="209"/>
      <c r="AB260" s="207"/>
    </row>
    <row r="261" spans="1:2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09"/>
      <c r="T261" s="209"/>
      <c r="U261" s="207"/>
      <c r="V261" s="209"/>
      <c r="W261" s="207"/>
      <c r="X261" s="209"/>
      <c r="Y261" s="207"/>
      <c r="Z261" s="209"/>
      <c r="AA261" s="209"/>
      <c r="AB261" s="207"/>
    </row>
    <row r="262" spans="1:2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09"/>
      <c r="T262" s="209"/>
      <c r="U262" s="207"/>
      <c r="V262" s="209"/>
      <c r="W262" s="207"/>
      <c r="X262" s="209"/>
      <c r="Y262" s="207"/>
      <c r="Z262" s="209"/>
      <c r="AA262" s="209"/>
      <c r="AB262" s="207"/>
    </row>
    <row r="263" spans="1:2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09"/>
      <c r="T263" s="209"/>
      <c r="U263" s="207"/>
      <c r="V263" s="209"/>
      <c r="W263" s="207"/>
      <c r="X263" s="209"/>
      <c r="Y263" s="207"/>
      <c r="Z263" s="209"/>
      <c r="AA263" s="209"/>
      <c r="AB263" s="207"/>
    </row>
    <row r="264" spans="1:2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09"/>
      <c r="T264" s="209"/>
      <c r="U264" s="207"/>
      <c r="V264" s="209"/>
      <c r="W264" s="207"/>
      <c r="X264" s="209"/>
      <c r="Y264" s="207"/>
      <c r="Z264" s="209"/>
      <c r="AA264" s="209"/>
      <c r="AB264" s="207"/>
    </row>
    <row r="265" spans="1:2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09"/>
      <c r="T265" s="209"/>
      <c r="U265" s="207"/>
      <c r="V265" s="209"/>
      <c r="W265" s="207"/>
      <c r="X265" s="209"/>
      <c r="Y265" s="207"/>
      <c r="Z265" s="209"/>
      <c r="AA265" s="209"/>
      <c r="AB265" s="207"/>
    </row>
    <row r="266" spans="1:2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09"/>
      <c r="T266" s="209"/>
      <c r="U266" s="207"/>
      <c r="V266" s="209"/>
      <c r="W266" s="207"/>
      <c r="X266" s="209"/>
      <c r="Y266" s="207"/>
      <c r="Z266" s="209"/>
      <c r="AA266" s="209"/>
      <c r="AB266" s="207"/>
    </row>
    <row r="267" spans="1:2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09"/>
      <c r="T267" s="209"/>
      <c r="U267" s="207"/>
      <c r="V267" s="209"/>
      <c r="W267" s="207"/>
      <c r="X267" s="209"/>
      <c r="Y267" s="207"/>
      <c r="Z267" s="209"/>
      <c r="AA267" s="209"/>
      <c r="AB267" s="207"/>
    </row>
    <row r="268" spans="1:2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09"/>
      <c r="T268" s="209"/>
      <c r="U268" s="207"/>
      <c r="V268" s="209"/>
      <c r="W268" s="207"/>
      <c r="X268" s="209"/>
      <c r="Y268" s="207"/>
      <c r="Z268" s="209"/>
      <c r="AA268" s="209"/>
      <c r="AB268" s="207"/>
    </row>
    <row r="269" spans="1:2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09"/>
      <c r="T269" s="209"/>
      <c r="U269" s="207"/>
      <c r="V269" s="209"/>
      <c r="W269" s="207"/>
      <c r="X269" s="209"/>
      <c r="Y269" s="207"/>
      <c r="Z269" s="209"/>
      <c r="AA269" s="209"/>
      <c r="AB269" s="207"/>
    </row>
    <row r="270" spans="1:2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09"/>
      <c r="T270" s="209"/>
      <c r="U270" s="207"/>
      <c r="V270" s="209"/>
      <c r="W270" s="207"/>
      <c r="X270" s="209"/>
      <c r="Y270" s="207"/>
      <c r="Z270" s="209"/>
      <c r="AA270" s="209"/>
      <c r="AB270" s="207"/>
    </row>
    <row r="271" spans="1:2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09"/>
      <c r="T271" s="209"/>
      <c r="U271" s="207"/>
      <c r="V271" s="209"/>
      <c r="W271" s="207"/>
      <c r="X271" s="209"/>
      <c r="Y271" s="207"/>
      <c r="Z271" s="209"/>
      <c r="AA271" s="209"/>
      <c r="AB271" s="207"/>
    </row>
    <row r="272" spans="1:2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09"/>
      <c r="T272" s="209"/>
      <c r="U272" s="207"/>
      <c r="V272" s="209"/>
      <c r="W272" s="207"/>
      <c r="X272" s="209"/>
      <c r="Y272" s="207"/>
      <c r="Z272" s="209"/>
      <c r="AA272" s="209"/>
      <c r="AB272" s="207"/>
    </row>
    <row r="273" spans="1:2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09"/>
      <c r="T273" s="209"/>
      <c r="U273" s="207"/>
      <c r="V273" s="209"/>
      <c r="W273" s="207"/>
      <c r="X273" s="209"/>
      <c r="Y273" s="207"/>
      <c r="Z273" s="209"/>
      <c r="AA273" s="209"/>
      <c r="AB273" s="207"/>
    </row>
    <row r="274" spans="1:2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09"/>
      <c r="T274" s="209"/>
      <c r="U274" s="207"/>
      <c r="V274" s="209"/>
      <c r="W274" s="207"/>
      <c r="X274" s="209"/>
      <c r="Y274" s="207"/>
      <c r="Z274" s="209"/>
      <c r="AA274" s="209"/>
      <c r="AB274" s="207"/>
    </row>
    <row r="275" spans="1:2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09"/>
      <c r="T275" s="209"/>
      <c r="U275" s="207"/>
      <c r="V275" s="209"/>
      <c r="W275" s="207"/>
      <c r="X275" s="209"/>
      <c r="Y275" s="207"/>
      <c r="Z275" s="209"/>
      <c r="AA275" s="209"/>
      <c r="AB275" s="207"/>
    </row>
    <row r="276" spans="1:2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09"/>
      <c r="T276" s="209"/>
      <c r="U276" s="207"/>
      <c r="V276" s="209"/>
      <c r="W276" s="207"/>
      <c r="X276" s="209"/>
      <c r="Y276" s="207"/>
      <c r="Z276" s="209"/>
      <c r="AA276" s="209"/>
      <c r="AB276" s="207"/>
    </row>
    <row r="277" spans="1:2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09"/>
      <c r="T277" s="209"/>
      <c r="U277" s="207"/>
      <c r="V277" s="209"/>
      <c r="W277" s="207"/>
      <c r="X277" s="209"/>
      <c r="Y277" s="207"/>
      <c r="Z277" s="209"/>
      <c r="AA277" s="209"/>
      <c r="AB277" s="207"/>
    </row>
    <row r="278" spans="1:2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09"/>
      <c r="T278" s="209"/>
      <c r="U278" s="207"/>
      <c r="V278" s="209"/>
      <c r="W278" s="207"/>
      <c r="X278" s="209"/>
      <c r="Y278" s="207"/>
      <c r="Z278" s="209"/>
      <c r="AA278" s="209"/>
      <c r="AB278" s="207"/>
    </row>
    <row r="279" spans="1:2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09"/>
      <c r="T279" s="209"/>
      <c r="U279" s="207"/>
      <c r="V279" s="209"/>
      <c r="W279" s="207"/>
      <c r="X279" s="209"/>
      <c r="Y279" s="207"/>
      <c r="Z279" s="209"/>
      <c r="AA279" s="209"/>
      <c r="AB279" s="207"/>
    </row>
    <row r="280" spans="1:2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09"/>
      <c r="T280" s="209"/>
      <c r="U280" s="207"/>
      <c r="V280" s="209"/>
      <c r="W280" s="207"/>
      <c r="X280" s="209"/>
      <c r="Y280" s="207"/>
      <c r="Z280" s="209"/>
      <c r="AA280" s="209"/>
      <c r="AB280" s="207"/>
    </row>
    <row r="281" spans="1:2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09"/>
      <c r="T281" s="209"/>
      <c r="U281" s="207"/>
      <c r="V281" s="209"/>
      <c r="W281" s="207"/>
      <c r="X281" s="209"/>
      <c r="Y281" s="207"/>
      <c r="Z281" s="209"/>
      <c r="AA281" s="209"/>
      <c r="AB281" s="207"/>
    </row>
    <row r="282" spans="1:2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09"/>
      <c r="T282" s="209"/>
      <c r="U282" s="207"/>
      <c r="V282" s="209"/>
      <c r="W282" s="207"/>
      <c r="X282" s="209"/>
      <c r="Y282" s="207"/>
      <c r="Z282" s="209"/>
      <c r="AA282" s="209"/>
      <c r="AB282" s="207"/>
    </row>
    <row r="283" spans="1:2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09"/>
      <c r="T283" s="209"/>
      <c r="U283" s="207"/>
      <c r="V283" s="209"/>
      <c r="W283" s="207"/>
      <c r="X283" s="209"/>
      <c r="Y283" s="207"/>
      <c r="Z283" s="209"/>
      <c r="AA283" s="209"/>
      <c r="AB283" s="207"/>
    </row>
    <row r="284" spans="1:2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09"/>
      <c r="T284" s="209"/>
      <c r="U284" s="207"/>
      <c r="V284" s="209"/>
      <c r="W284" s="207"/>
      <c r="X284" s="209"/>
      <c r="Y284" s="207"/>
      <c r="Z284" s="209"/>
      <c r="AA284" s="209"/>
      <c r="AB284" s="207"/>
    </row>
    <row r="285" spans="1:2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09"/>
      <c r="T285" s="209"/>
      <c r="U285" s="207"/>
      <c r="V285" s="209"/>
      <c r="W285" s="207"/>
      <c r="X285" s="209"/>
      <c r="Y285" s="207"/>
      <c r="Z285" s="209"/>
      <c r="AA285" s="209"/>
      <c r="AB285" s="207"/>
    </row>
    <row r="286" spans="1:2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09"/>
      <c r="T286" s="209"/>
      <c r="U286" s="207"/>
      <c r="V286" s="209"/>
      <c r="W286" s="207"/>
      <c r="X286" s="209"/>
      <c r="Y286" s="207"/>
      <c r="Z286" s="209"/>
      <c r="AA286" s="209"/>
      <c r="AB286" s="207"/>
    </row>
    <row r="287" spans="1:2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09"/>
      <c r="T287" s="209"/>
      <c r="U287" s="207"/>
      <c r="V287" s="209"/>
      <c r="W287" s="207"/>
      <c r="X287" s="209"/>
      <c r="Y287" s="207"/>
      <c r="Z287" s="209"/>
      <c r="AA287" s="209"/>
      <c r="AB287" s="207"/>
    </row>
    <row r="288" spans="1:2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09"/>
      <c r="T288" s="209"/>
      <c r="U288" s="207"/>
      <c r="V288" s="209"/>
      <c r="W288" s="207"/>
      <c r="X288" s="209"/>
      <c r="Y288" s="207"/>
      <c r="Z288" s="209"/>
      <c r="AA288" s="209"/>
      <c r="AB288" s="207"/>
    </row>
    <row r="289" spans="1:2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09"/>
      <c r="T289" s="209"/>
      <c r="U289" s="207"/>
      <c r="V289" s="209"/>
      <c r="W289" s="207"/>
      <c r="X289" s="209"/>
      <c r="Y289" s="207"/>
      <c r="Z289" s="209"/>
      <c r="AA289" s="209"/>
      <c r="AB289" s="207"/>
    </row>
    <row r="290" spans="1:2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09"/>
      <c r="T290" s="209"/>
      <c r="U290" s="207"/>
      <c r="V290" s="209"/>
      <c r="W290" s="207"/>
      <c r="X290" s="209"/>
      <c r="Y290" s="207"/>
      <c r="Z290" s="209"/>
      <c r="AA290" s="209"/>
      <c r="AB290" s="207"/>
    </row>
    <row r="291" spans="1:2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09"/>
      <c r="T291" s="209"/>
      <c r="U291" s="207"/>
      <c r="V291" s="209"/>
      <c r="W291" s="207"/>
      <c r="X291" s="209"/>
      <c r="Y291" s="207"/>
      <c r="Z291" s="209"/>
      <c r="AA291" s="209"/>
      <c r="AB291" s="207"/>
    </row>
    <row r="292" spans="1:2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09"/>
      <c r="T292" s="209"/>
      <c r="U292" s="207"/>
      <c r="V292" s="209"/>
      <c r="W292" s="207"/>
      <c r="X292" s="209"/>
      <c r="Y292" s="207"/>
      <c r="Z292" s="209"/>
      <c r="AA292" s="209"/>
      <c r="AB292" s="207"/>
    </row>
    <row r="293" spans="1:2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09"/>
      <c r="T293" s="209"/>
      <c r="U293" s="207"/>
      <c r="V293" s="209"/>
      <c r="W293" s="207"/>
      <c r="X293" s="209"/>
      <c r="Y293" s="207"/>
      <c r="Z293" s="209"/>
      <c r="AA293" s="209"/>
      <c r="AB293" s="207"/>
    </row>
    <row r="294" spans="1:2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09"/>
      <c r="T294" s="209"/>
      <c r="U294" s="207"/>
      <c r="V294" s="209"/>
      <c r="W294" s="207"/>
      <c r="X294" s="209"/>
      <c r="Y294" s="207"/>
      <c r="Z294" s="209"/>
      <c r="AA294" s="209"/>
      <c r="AB294" s="207"/>
    </row>
    <row r="295" spans="1:2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09"/>
      <c r="T295" s="209"/>
      <c r="U295" s="207"/>
      <c r="V295" s="209"/>
      <c r="W295" s="207"/>
      <c r="X295" s="209"/>
      <c r="Y295" s="207"/>
      <c r="Z295" s="209"/>
      <c r="AA295" s="209"/>
      <c r="AB295" s="207"/>
    </row>
    <row r="296" spans="1:2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09"/>
      <c r="T296" s="209"/>
      <c r="U296" s="207"/>
      <c r="V296" s="209"/>
      <c r="W296" s="207"/>
      <c r="X296" s="209"/>
      <c r="Y296" s="207"/>
      <c r="Z296" s="209"/>
      <c r="AA296" s="209"/>
      <c r="AB296" s="207"/>
    </row>
    <row r="297" spans="1:2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09"/>
      <c r="T297" s="209"/>
      <c r="U297" s="207"/>
      <c r="V297" s="209"/>
      <c r="W297" s="207"/>
      <c r="X297" s="209"/>
      <c r="Y297" s="207"/>
      <c r="Z297" s="209"/>
      <c r="AA297" s="209"/>
      <c r="AB297" s="207"/>
    </row>
    <row r="298" spans="1:2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09"/>
      <c r="T298" s="209"/>
      <c r="U298" s="207"/>
      <c r="V298" s="209"/>
      <c r="W298" s="207"/>
      <c r="X298" s="209"/>
      <c r="Y298" s="207"/>
      <c r="Z298" s="209"/>
      <c r="AA298" s="209"/>
      <c r="AB298" s="207"/>
    </row>
    <row r="299" spans="1:2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09"/>
      <c r="T299" s="209"/>
      <c r="U299" s="207"/>
      <c r="V299" s="209"/>
      <c r="W299" s="207"/>
      <c r="X299" s="209"/>
      <c r="Y299" s="207"/>
      <c r="Z299" s="209"/>
      <c r="AA299" s="209"/>
      <c r="AB299" s="207"/>
    </row>
    <row r="300" spans="1:2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09"/>
      <c r="T300" s="209"/>
      <c r="U300" s="207"/>
      <c r="V300" s="209"/>
      <c r="W300" s="207"/>
      <c r="X300" s="209"/>
      <c r="Y300" s="207"/>
      <c r="Z300" s="209"/>
      <c r="AA300" s="209"/>
      <c r="AB300" s="207"/>
    </row>
    <row r="301" spans="1:2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09"/>
      <c r="T301" s="209"/>
      <c r="U301" s="207"/>
      <c r="V301" s="209"/>
      <c r="W301" s="207"/>
      <c r="X301" s="209"/>
      <c r="Y301" s="207"/>
      <c r="Z301" s="209"/>
      <c r="AA301" s="209"/>
      <c r="AB301" s="207"/>
    </row>
    <row r="302" spans="1:2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09"/>
      <c r="T302" s="209"/>
      <c r="U302" s="207"/>
      <c r="V302" s="209"/>
      <c r="W302" s="207"/>
      <c r="X302" s="209"/>
      <c r="Y302" s="207"/>
      <c r="Z302" s="209"/>
      <c r="AA302" s="209"/>
      <c r="AB302" s="207"/>
    </row>
    <row r="303" spans="1:2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09"/>
      <c r="T303" s="209"/>
      <c r="U303" s="207"/>
      <c r="V303" s="209"/>
      <c r="W303" s="207"/>
      <c r="X303" s="209"/>
      <c r="Y303" s="207"/>
      <c r="Z303" s="209"/>
      <c r="AA303" s="209"/>
      <c r="AB303" s="207"/>
    </row>
    <row r="304" spans="1:2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09"/>
      <c r="T304" s="209"/>
      <c r="U304" s="207"/>
      <c r="V304" s="209"/>
      <c r="W304" s="207"/>
      <c r="X304" s="209"/>
      <c r="Y304" s="207"/>
      <c r="Z304" s="209"/>
      <c r="AA304" s="209"/>
      <c r="AB304" s="207"/>
    </row>
    <row r="305" spans="1:2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09"/>
      <c r="T305" s="209"/>
      <c r="U305" s="207"/>
      <c r="V305" s="209"/>
      <c r="W305" s="207"/>
      <c r="X305" s="209"/>
      <c r="Y305" s="207"/>
      <c r="Z305" s="209"/>
      <c r="AA305" s="209"/>
      <c r="AB305" s="207"/>
    </row>
    <row r="306" spans="1:2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09"/>
      <c r="T306" s="209"/>
      <c r="U306" s="207"/>
      <c r="V306" s="209"/>
      <c r="W306" s="207"/>
      <c r="X306" s="209"/>
      <c r="Y306" s="207"/>
      <c r="Z306" s="209"/>
      <c r="AA306" s="209"/>
      <c r="AB306" s="207"/>
    </row>
    <row r="307" spans="1:2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09"/>
      <c r="T307" s="209"/>
      <c r="U307" s="207"/>
      <c r="V307" s="209"/>
      <c r="W307" s="207"/>
      <c r="X307" s="209"/>
      <c r="Y307" s="207"/>
      <c r="Z307" s="209"/>
      <c r="AA307" s="209"/>
      <c r="AB307" s="207"/>
    </row>
    <row r="308" spans="1:2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09"/>
      <c r="T308" s="209"/>
      <c r="U308" s="207"/>
      <c r="V308" s="209"/>
      <c r="W308" s="207"/>
      <c r="X308" s="209"/>
      <c r="Y308" s="207"/>
      <c r="Z308" s="209"/>
      <c r="AA308" s="209"/>
      <c r="AB308" s="207"/>
    </row>
    <row r="309" spans="1:2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09"/>
      <c r="T309" s="209"/>
      <c r="U309" s="207"/>
      <c r="V309" s="209"/>
      <c r="W309" s="207"/>
      <c r="X309" s="209"/>
      <c r="Y309" s="207"/>
      <c r="Z309" s="209"/>
      <c r="AA309" s="209"/>
      <c r="AB309" s="207"/>
    </row>
    <row r="310" spans="1:2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09"/>
      <c r="T310" s="209"/>
      <c r="U310" s="207"/>
      <c r="V310" s="209"/>
      <c r="W310" s="207"/>
      <c r="X310" s="209"/>
      <c r="Y310" s="207"/>
      <c r="Z310" s="209"/>
      <c r="AA310" s="209"/>
      <c r="AB310" s="207"/>
    </row>
    <row r="311" spans="1:2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09"/>
      <c r="T311" s="209"/>
      <c r="U311" s="207"/>
      <c r="V311" s="209"/>
      <c r="W311" s="207"/>
      <c r="X311" s="209"/>
      <c r="Y311" s="207"/>
      <c r="Z311" s="209"/>
      <c r="AA311" s="209"/>
      <c r="AB311" s="207"/>
    </row>
    <row r="312" spans="1:2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09"/>
      <c r="T312" s="209"/>
      <c r="U312" s="207"/>
      <c r="V312" s="209"/>
      <c r="W312" s="207"/>
      <c r="X312" s="209"/>
      <c r="Y312" s="207"/>
      <c r="Z312" s="209"/>
      <c r="AA312" s="209"/>
      <c r="AB312" s="207"/>
    </row>
    <row r="313" spans="1:2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09"/>
      <c r="T313" s="209"/>
      <c r="U313" s="207"/>
      <c r="V313" s="209"/>
      <c r="W313" s="207"/>
      <c r="X313" s="209"/>
      <c r="Y313" s="207"/>
      <c r="Z313" s="209"/>
      <c r="AA313" s="209"/>
      <c r="AB313" s="207"/>
    </row>
    <row r="314" spans="1:28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209"/>
      <c r="T314" s="209"/>
      <c r="U314" s="207"/>
      <c r="V314" s="209"/>
      <c r="W314" s="207"/>
      <c r="X314" s="209"/>
      <c r="Y314" s="207"/>
      <c r="Z314" s="209"/>
      <c r="AA314" s="209"/>
      <c r="AB314" s="207"/>
    </row>
    <row r="315" spans="1:28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209"/>
      <c r="T315" s="209"/>
      <c r="U315" s="207"/>
      <c r="V315" s="209"/>
      <c r="W315" s="207"/>
      <c r="X315" s="209"/>
      <c r="Y315" s="207"/>
      <c r="Z315" s="209"/>
      <c r="AA315" s="209"/>
      <c r="AB315" s="207"/>
    </row>
    <row r="316" spans="1:28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209"/>
      <c r="T316" s="209"/>
      <c r="U316" s="207"/>
      <c r="V316" s="209"/>
      <c r="W316" s="207"/>
      <c r="X316" s="209"/>
      <c r="Y316" s="207"/>
      <c r="Z316" s="209"/>
      <c r="AA316" s="209"/>
      <c r="AB316" s="207"/>
    </row>
    <row r="317" spans="1:28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209"/>
      <c r="T317" s="209"/>
      <c r="U317" s="207"/>
      <c r="V317" s="209"/>
      <c r="W317" s="207"/>
      <c r="X317" s="209"/>
      <c r="Y317" s="207"/>
      <c r="Z317" s="209"/>
      <c r="AA317" s="209"/>
      <c r="AB317" s="207"/>
    </row>
    <row r="318" spans="1:28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209"/>
      <c r="T318" s="209"/>
      <c r="U318" s="207"/>
      <c r="V318" s="209"/>
      <c r="W318" s="207"/>
      <c r="X318" s="209"/>
      <c r="Y318" s="207"/>
      <c r="Z318" s="209"/>
      <c r="AA318" s="209"/>
      <c r="AB318" s="207"/>
    </row>
    <row r="319" spans="1:28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209"/>
      <c r="T319" s="209"/>
      <c r="U319" s="207"/>
      <c r="V319" s="209"/>
      <c r="W319" s="207"/>
      <c r="X319" s="209"/>
      <c r="Y319" s="207"/>
      <c r="Z319" s="209"/>
      <c r="AA319" s="209"/>
      <c r="AB319" s="207"/>
    </row>
    <row r="320" spans="1:28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209"/>
      <c r="T320" s="209"/>
      <c r="U320" s="207"/>
      <c r="V320" s="209"/>
      <c r="W320" s="207"/>
      <c r="X320" s="209"/>
      <c r="Y320" s="207"/>
      <c r="Z320" s="209"/>
      <c r="AA320" s="209"/>
      <c r="AB320" s="207"/>
    </row>
    <row r="321" spans="1:28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209"/>
      <c r="T321" s="209"/>
      <c r="U321" s="207"/>
      <c r="V321" s="209"/>
      <c r="W321" s="207"/>
      <c r="X321" s="209"/>
      <c r="Y321" s="207"/>
      <c r="Z321" s="209"/>
      <c r="AA321" s="209"/>
      <c r="AB321" s="207"/>
    </row>
    <row r="322" spans="1:28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209"/>
      <c r="T322" s="209"/>
      <c r="U322" s="207"/>
      <c r="V322" s="209"/>
      <c r="W322" s="207"/>
      <c r="X322" s="209"/>
      <c r="Y322" s="207"/>
      <c r="Z322" s="209"/>
      <c r="AA322" s="209"/>
      <c r="AB322" s="207"/>
    </row>
    <row r="323" spans="1:28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209"/>
      <c r="T323" s="209"/>
      <c r="U323" s="207"/>
      <c r="V323" s="209"/>
      <c r="W323" s="207"/>
      <c r="X323" s="209"/>
      <c r="Y323" s="207"/>
      <c r="Z323" s="209"/>
      <c r="AA323" s="209"/>
      <c r="AB323" s="207"/>
    </row>
    <row r="324" spans="1:28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209"/>
      <c r="T324" s="209"/>
      <c r="U324" s="207"/>
      <c r="V324" s="209"/>
      <c r="W324" s="207"/>
      <c r="X324" s="209"/>
      <c r="Y324" s="207"/>
      <c r="Z324" s="209"/>
      <c r="AA324" s="209"/>
      <c r="AB324" s="207"/>
    </row>
    <row r="325" spans="1:28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209"/>
      <c r="T325" s="209"/>
      <c r="U325" s="207"/>
      <c r="V325" s="209"/>
      <c r="W325" s="207"/>
      <c r="X325" s="209"/>
      <c r="Y325" s="207"/>
      <c r="Z325" s="209"/>
      <c r="AA325" s="209"/>
      <c r="AB325" s="207"/>
    </row>
    <row r="326" spans="1:28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209"/>
      <c r="T326" s="209"/>
      <c r="U326" s="207"/>
      <c r="V326" s="209"/>
      <c r="W326" s="207"/>
      <c r="X326" s="209"/>
      <c r="Y326" s="207"/>
      <c r="Z326" s="209"/>
      <c r="AA326" s="209"/>
      <c r="AB326" s="207"/>
    </row>
    <row r="327" spans="1:28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209"/>
      <c r="T327" s="209"/>
      <c r="U327" s="207"/>
      <c r="V327" s="209"/>
      <c r="W327" s="207"/>
      <c r="X327" s="209"/>
      <c r="Y327" s="207"/>
      <c r="Z327" s="209"/>
      <c r="AA327" s="209"/>
      <c r="AB327" s="207"/>
    </row>
    <row r="328" spans="1:28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209"/>
      <c r="T328" s="209"/>
      <c r="U328" s="207"/>
      <c r="V328" s="209"/>
      <c r="W328" s="207"/>
      <c r="X328" s="209"/>
      <c r="Y328" s="207"/>
      <c r="Z328" s="209"/>
      <c r="AA328" s="209"/>
      <c r="AB328" s="207"/>
    </row>
    <row r="329" spans="1:28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209"/>
      <c r="T329" s="209"/>
      <c r="U329" s="207"/>
      <c r="V329" s="209"/>
      <c r="W329" s="207"/>
      <c r="X329" s="209"/>
      <c r="Y329" s="207"/>
      <c r="Z329" s="209"/>
      <c r="AA329" s="209"/>
      <c r="AB329" s="207"/>
    </row>
    <row r="330" spans="1:28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209"/>
      <c r="T330" s="209"/>
      <c r="U330" s="207"/>
      <c r="V330" s="209"/>
      <c r="W330" s="207"/>
      <c r="X330" s="209"/>
      <c r="Y330" s="207"/>
      <c r="Z330" s="209"/>
      <c r="AA330" s="209"/>
      <c r="AB330" s="207"/>
    </row>
    <row r="331" spans="1:28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209"/>
      <c r="T331" s="209"/>
      <c r="U331" s="207"/>
      <c r="V331" s="209"/>
      <c r="W331" s="207"/>
      <c r="X331" s="209"/>
      <c r="Y331" s="207"/>
      <c r="Z331" s="209"/>
      <c r="AA331" s="209"/>
      <c r="AB331" s="207"/>
    </row>
    <row r="332" spans="1:28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209"/>
      <c r="T332" s="209"/>
      <c r="U332" s="207"/>
      <c r="V332" s="209"/>
      <c r="W332" s="207"/>
      <c r="X332" s="209"/>
      <c r="Y332" s="207"/>
      <c r="Z332" s="209"/>
      <c r="AA332" s="209"/>
      <c r="AB332" s="207"/>
    </row>
    <row r="333" spans="1:28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209"/>
      <c r="T333" s="209"/>
      <c r="U333" s="207"/>
      <c r="V333" s="209"/>
      <c r="W333" s="207"/>
      <c r="X333" s="209"/>
      <c r="Y333" s="207"/>
      <c r="Z333" s="209"/>
      <c r="AA333" s="209"/>
      <c r="AB333" s="207"/>
    </row>
    <row r="334" spans="1:28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209"/>
      <c r="T334" s="209"/>
      <c r="U334" s="207"/>
      <c r="V334" s="209"/>
      <c r="W334" s="207"/>
      <c r="X334" s="209"/>
      <c r="Y334" s="207"/>
      <c r="Z334" s="209"/>
      <c r="AA334" s="209"/>
      <c r="AB334" s="207"/>
    </row>
    <row r="335" spans="1:28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209"/>
      <c r="T335" s="209"/>
      <c r="U335" s="207"/>
      <c r="V335" s="209"/>
      <c r="W335" s="207"/>
      <c r="X335" s="209"/>
      <c r="Y335" s="207"/>
      <c r="Z335" s="209"/>
      <c r="AA335" s="209"/>
      <c r="AB335" s="207"/>
    </row>
    <row r="336" spans="1:28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209"/>
      <c r="T336" s="209"/>
      <c r="U336" s="207"/>
      <c r="V336" s="209"/>
      <c r="W336" s="207"/>
      <c r="X336" s="209"/>
      <c r="Y336" s="207"/>
      <c r="Z336" s="209"/>
      <c r="AA336" s="209"/>
      <c r="AB336" s="207"/>
    </row>
    <row r="337" spans="1:28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209"/>
      <c r="T337" s="209"/>
      <c r="U337" s="207"/>
      <c r="V337" s="209"/>
      <c r="W337" s="207"/>
      <c r="X337" s="209"/>
      <c r="Y337" s="207"/>
      <c r="Z337" s="209"/>
      <c r="AA337" s="209"/>
      <c r="AB337" s="207"/>
    </row>
    <row r="338" spans="1:28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209"/>
      <c r="T338" s="209"/>
      <c r="U338" s="207"/>
      <c r="V338" s="209"/>
      <c r="W338" s="207"/>
      <c r="X338" s="209"/>
      <c r="Y338" s="207"/>
      <c r="Z338" s="209"/>
      <c r="AA338" s="209"/>
      <c r="AB338" s="207"/>
    </row>
    <row r="339" spans="1:28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209"/>
      <c r="T339" s="209"/>
      <c r="U339" s="207"/>
      <c r="V339" s="209"/>
      <c r="W339" s="207"/>
      <c r="X339" s="209"/>
      <c r="Y339" s="207"/>
      <c r="Z339" s="209"/>
      <c r="AA339" s="209"/>
      <c r="AB339" s="207"/>
    </row>
    <row r="340" spans="1:28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209"/>
      <c r="T340" s="209"/>
      <c r="U340" s="207"/>
      <c r="V340" s="209"/>
      <c r="W340" s="207"/>
      <c r="X340" s="209"/>
      <c r="Y340" s="207"/>
      <c r="Z340" s="209"/>
      <c r="AA340" s="209"/>
      <c r="AB340" s="207"/>
    </row>
    <row r="341" spans="1:28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209"/>
      <c r="T341" s="209"/>
      <c r="U341" s="207"/>
      <c r="V341" s="209"/>
      <c r="W341" s="207"/>
      <c r="X341" s="209"/>
      <c r="Y341" s="207"/>
      <c r="Z341" s="209"/>
      <c r="AA341" s="209"/>
      <c r="AB341" s="207"/>
    </row>
    <row r="342" spans="1:28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209"/>
      <c r="T342" s="209"/>
      <c r="U342" s="207"/>
      <c r="V342" s="209"/>
      <c r="W342" s="207"/>
      <c r="X342" s="209"/>
      <c r="Y342" s="207"/>
      <c r="Z342" s="209"/>
      <c r="AA342" s="209"/>
      <c r="AB342" s="207"/>
    </row>
    <row r="343" spans="1:28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209"/>
      <c r="T343" s="209"/>
      <c r="U343" s="207"/>
      <c r="V343" s="209"/>
      <c r="W343" s="207"/>
      <c r="X343" s="209"/>
      <c r="Y343" s="207"/>
      <c r="Z343" s="209"/>
      <c r="AA343" s="209"/>
      <c r="AB343" s="207"/>
    </row>
    <row r="344" spans="1:28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209"/>
      <c r="T344" s="209"/>
      <c r="U344" s="207"/>
      <c r="V344" s="209"/>
      <c r="W344" s="207"/>
      <c r="X344" s="209"/>
      <c r="Y344" s="207"/>
      <c r="Z344" s="209"/>
      <c r="AA344" s="209"/>
      <c r="AB344" s="207"/>
    </row>
    <row r="345" spans="1:28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209"/>
      <c r="T345" s="209"/>
      <c r="U345" s="207"/>
      <c r="V345" s="209"/>
      <c r="W345" s="207"/>
      <c r="X345" s="209"/>
      <c r="Y345" s="207"/>
      <c r="Z345" s="209"/>
      <c r="AA345" s="209"/>
      <c r="AB345" s="207"/>
    </row>
    <row r="346" spans="1:28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209"/>
      <c r="T346" s="209"/>
      <c r="U346" s="207"/>
      <c r="V346" s="209"/>
      <c r="W346" s="207"/>
      <c r="X346" s="209"/>
      <c r="Y346" s="207"/>
      <c r="Z346" s="209"/>
      <c r="AA346" s="209"/>
      <c r="AB346" s="207"/>
    </row>
    <row r="347" spans="1:28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209"/>
      <c r="T347" s="209"/>
      <c r="U347" s="207"/>
      <c r="V347" s="209"/>
      <c r="W347" s="207"/>
      <c r="X347" s="209"/>
      <c r="Y347" s="207"/>
      <c r="Z347" s="209"/>
      <c r="AA347" s="209"/>
      <c r="AB347" s="207"/>
    </row>
    <row r="348" spans="1:28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209"/>
      <c r="T348" s="209"/>
      <c r="U348" s="207"/>
      <c r="V348" s="209"/>
      <c r="W348" s="207"/>
      <c r="X348" s="209"/>
      <c r="Y348" s="207"/>
      <c r="Z348" s="209"/>
      <c r="AA348" s="209"/>
      <c r="AB348" s="207"/>
    </row>
    <row r="349" spans="1:28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209"/>
      <c r="T349" s="209"/>
      <c r="U349" s="207"/>
      <c r="V349" s="209"/>
      <c r="W349" s="207"/>
      <c r="X349" s="209"/>
      <c r="Y349" s="207"/>
      <c r="Z349" s="209"/>
      <c r="AA349" s="209"/>
      <c r="AB349" s="207"/>
    </row>
    <row r="350" spans="1:28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209"/>
      <c r="T350" s="209"/>
      <c r="U350" s="207"/>
      <c r="V350" s="209"/>
      <c r="W350" s="207"/>
      <c r="X350" s="209"/>
      <c r="Y350" s="207"/>
      <c r="Z350" s="209"/>
      <c r="AA350" s="209"/>
      <c r="AB350" s="207"/>
    </row>
    <row r="351" spans="1:28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209"/>
      <c r="T351" s="209"/>
      <c r="U351" s="207"/>
      <c r="V351" s="209"/>
      <c r="W351" s="207"/>
      <c r="X351" s="209"/>
      <c r="Y351" s="207"/>
      <c r="Z351" s="209"/>
      <c r="AA351" s="209"/>
      <c r="AB351" s="207"/>
    </row>
    <row r="352" spans="1:28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209"/>
      <c r="T352" s="209"/>
      <c r="U352" s="207"/>
      <c r="V352" s="209"/>
      <c r="W352" s="207"/>
      <c r="X352" s="209"/>
      <c r="Y352" s="207"/>
      <c r="Z352" s="209"/>
      <c r="AA352" s="209"/>
      <c r="AB352" s="207"/>
    </row>
    <row r="353" spans="1:28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209"/>
      <c r="T353" s="209"/>
      <c r="U353" s="207"/>
      <c r="V353" s="209"/>
      <c r="W353" s="207"/>
      <c r="X353" s="209"/>
      <c r="Y353" s="207"/>
      <c r="Z353" s="209"/>
      <c r="AA353" s="209"/>
      <c r="AB353" s="207"/>
    </row>
    <row r="354" spans="1:28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209"/>
      <c r="T354" s="209"/>
      <c r="U354" s="207"/>
      <c r="V354" s="209"/>
      <c r="W354" s="207"/>
      <c r="X354" s="209"/>
      <c r="Y354" s="207"/>
      <c r="Z354" s="209"/>
      <c r="AA354" s="209"/>
      <c r="AB354" s="207"/>
    </row>
    <row r="355" spans="1:28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209"/>
      <c r="T355" s="209"/>
      <c r="U355" s="207"/>
      <c r="V355" s="209"/>
      <c r="W355" s="207"/>
      <c r="X355" s="209"/>
      <c r="Y355" s="207"/>
      <c r="Z355" s="209"/>
      <c r="AA355" s="209"/>
      <c r="AB355" s="207"/>
    </row>
    <row r="356" spans="1:28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209"/>
      <c r="T356" s="209"/>
      <c r="U356" s="207"/>
      <c r="V356" s="209"/>
      <c r="W356" s="207"/>
      <c r="X356" s="209"/>
      <c r="Y356" s="207"/>
      <c r="Z356" s="209"/>
      <c r="AA356" s="209"/>
      <c r="AB356" s="207"/>
    </row>
    <row r="357" spans="1:28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209"/>
      <c r="T357" s="209"/>
      <c r="U357" s="207"/>
      <c r="V357" s="209"/>
      <c r="W357" s="207"/>
      <c r="X357" s="209"/>
      <c r="Y357" s="207"/>
      <c r="Z357" s="209"/>
      <c r="AA357" s="209"/>
      <c r="AB357" s="207"/>
    </row>
    <row r="358" spans="1:28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209"/>
      <c r="T358" s="209"/>
      <c r="U358" s="207"/>
      <c r="V358" s="209"/>
      <c r="W358" s="207"/>
      <c r="X358" s="209"/>
      <c r="Y358" s="207"/>
      <c r="Z358" s="209"/>
      <c r="AA358" s="209"/>
      <c r="AB358" s="207"/>
    </row>
    <row r="359" spans="1:28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209"/>
      <c r="T359" s="209"/>
      <c r="U359" s="207"/>
      <c r="V359" s="209"/>
      <c r="W359" s="207"/>
      <c r="X359" s="209"/>
      <c r="Y359" s="207"/>
      <c r="Z359" s="209"/>
      <c r="AA359" s="209"/>
      <c r="AB359" s="207"/>
    </row>
    <row r="360" spans="1:28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209"/>
      <c r="T360" s="209"/>
      <c r="U360" s="207"/>
      <c r="V360" s="209"/>
      <c r="W360" s="207"/>
      <c r="X360" s="209"/>
      <c r="Y360" s="207"/>
      <c r="Z360" s="209"/>
      <c r="AA360" s="209"/>
      <c r="AB360" s="207"/>
    </row>
    <row r="361" spans="1:28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209"/>
      <c r="T361" s="209"/>
      <c r="U361" s="207"/>
      <c r="V361" s="209"/>
      <c r="W361" s="207"/>
      <c r="X361" s="209"/>
      <c r="Y361" s="207"/>
      <c r="Z361" s="209"/>
      <c r="AA361" s="209"/>
      <c r="AB361" s="207"/>
    </row>
    <row r="362" spans="1:28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209"/>
      <c r="T362" s="209"/>
      <c r="U362" s="207"/>
      <c r="V362" s="209"/>
      <c r="W362" s="207"/>
      <c r="X362" s="209"/>
      <c r="Y362" s="207"/>
      <c r="Z362" s="209"/>
      <c r="AA362" s="209"/>
      <c r="AB362" s="207"/>
    </row>
    <row r="363" spans="1:28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209"/>
      <c r="T363" s="209"/>
      <c r="U363" s="207"/>
      <c r="V363" s="209"/>
      <c r="W363" s="207"/>
      <c r="X363" s="209"/>
      <c r="Y363" s="207"/>
      <c r="Z363" s="209"/>
      <c r="AA363" s="209"/>
      <c r="AB363" s="207"/>
    </row>
    <row r="364" spans="1:28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209"/>
      <c r="T364" s="209"/>
      <c r="U364" s="207"/>
      <c r="V364" s="209"/>
      <c r="W364" s="207"/>
      <c r="X364" s="209"/>
      <c r="Y364" s="207"/>
      <c r="Z364" s="209"/>
      <c r="AA364" s="209"/>
      <c r="AB364" s="207"/>
    </row>
    <row r="365" spans="1:28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209"/>
      <c r="T365" s="209"/>
      <c r="U365" s="207"/>
      <c r="V365" s="209"/>
      <c r="W365" s="207"/>
      <c r="X365" s="209"/>
      <c r="Y365" s="207"/>
      <c r="Z365" s="209"/>
      <c r="AA365" s="209"/>
      <c r="AB365" s="207"/>
    </row>
    <row r="366" spans="1:28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209"/>
      <c r="T366" s="209"/>
      <c r="U366" s="207"/>
      <c r="V366" s="209"/>
      <c r="W366" s="207"/>
      <c r="X366" s="209"/>
      <c r="Y366" s="207"/>
      <c r="Z366" s="209"/>
      <c r="AA366" s="209"/>
      <c r="AB366" s="207"/>
    </row>
    <row r="367" spans="1:28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209"/>
      <c r="T367" s="209"/>
      <c r="U367" s="207"/>
      <c r="V367" s="209"/>
      <c r="W367" s="207"/>
      <c r="X367" s="209"/>
      <c r="Y367" s="207"/>
      <c r="Z367" s="209"/>
      <c r="AA367" s="209"/>
      <c r="AB367" s="207"/>
    </row>
    <row r="368" spans="1:28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209"/>
      <c r="T368" s="209"/>
      <c r="U368" s="207"/>
      <c r="V368" s="209"/>
      <c r="W368" s="207"/>
      <c r="X368" s="209"/>
      <c r="Y368" s="207"/>
      <c r="Z368" s="209"/>
      <c r="AA368" s="209"/>
      <c r="AB368" s="207"/>
    </row>
    <row r="369" spans="1:28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209"/>
      <c r="T369" s="209"/>
      <c r="U369" s="207"/>
      <c r="V369" s="209"/>
      <c r="W369" s="207"/>
      <c r="X369" s="209"/>
      <c r="Y369" s="207"/>
      <c r="Z369" s="209"/>
      <c r="AA369" s="209"/>
      <c r="AB369" s="207"/>
    </row>
    <row r="370" spans="1:28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209"/>
      <c r="T370" s="209"/>
      <c r="U370" s="207"/>
      <c r="V370" s="209"/>
      <c r="W370" s="207"/>
      <c r="X370" s="209"/>
      <c r="Y370" s="207"/>
      <c r="Z370" s="209"/>
      <c r="AA370" s="209"/>
      <c r="AB370" s="207"/>
    </row>
    <row r="371" spans="1:28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209"/>
      <c r="T371" s="209"/>
      <c r="U371" s="207"/>
      <c r="V371" s="209"/>
      <c r="W371" s="207"/>
      <c r="X371" s="209"/>
      <c r="Y371" s="207"/>
      <c r="Z371" s="209"/>
      <c r="AA371" s="209"/>
      <c r="AB371" s="207"/>
    </row>
    <row r="372" spans="1:28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209"/>
      <c r="T372" s="209"/>
      <c r="U372" s="207"/>
      <c r="V372" s="209"/>
      <c r="W372" s="207"/>
      <c r="X372" s="209"/>
      <c r="Y372" s="207"/>
      <c r="Z372" s="209"/>
      <c r="AA372" s="209"/>
      <c r="AB372" s="207"/>
    </row>
    <row r="373" spans="1:28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209"/>
      <c r="T373" s="209"/>
      <c r="U373" s="207"/>
      <c r="V373" s="209"/>
      <c r="W373" s="207"/>
      <c r="X373" s="209"/>
      <c r="Y373" s="207"/>
      <c r="Z373" s="209"/>
      <c r="AA373" s="209"/>
      <c r="AB373" s="207"/>
    </row>
    <row r="374" spans="1:28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209"/>
      <c r="T374" s="209"/>
      <c r="U374" s="207"/>
      <c r="V374" s="209"/>
      <c r="W374" s="207"/>
      <c r="X374" s="209"/>
      <c r="Y374" s="207"/>
      <c r="Z374" s="209"/>
      <c r="AA374" s="209"/>
      <c r="AB374" s="207"/>
    </row>
    <row r="375" spans="1:28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209"/>
      <c r="T375" s="209"/>
      <c r="U375" s="207"/>
      <c r="V375" s="209"/>
      <c r="W375" s="207"/>
      <c r="X375" s="209"/>
      <c r="Y375" s="207"/>
      <c r="Z375" s="209"/>
      <c r="AA375" s="209"/>
      <c r="AB375" s="207"/>
    </row>
    <row r="376" spans="1:28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209"/>
      <c r="T376" s="209"/>
      <c r="U376" s="207"/>
      <c r="V376" s="209"/>
      <c r="W376" s="207"/>
      <c r="X376" s="209"/>
      <c r="Y376" s="207"/>
      <c r="Z376" s="209"/>
      <c r="AA376" s="209"/>
      <c r="AB376" s="207"/>
    </row>
    <row r="377" spans="1:28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209"/>
      <c r="T377" s="209"/>
      <c r="U377" s="207"/>
      <c r="V377" s="209"/>
      <c r="W377" s="207"/>
      <c r="X377" s="209"/>
      <c r="Y377" s="207"/>
      <c r="Z377" s="209"/>
      <c r="AA377" s="209"/>
      <c r="AB377" s="207"/>
    </row>
    <row r="378" spans="1:28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209"/>
      <c r="T378" s="209"/>
      <c r="U378" s="207"/>
      <c r="V378" s="209"/>
      <c r="W378" s="207"/>
      <c r="X378" s="209"/>
      <c r="Y378" s="207"/>
      <c r="Z378" s="209"/>
      <c r="AA378" s="209"/>
      <c r="AB378" s="207"/>
    </row>
    <row r="379" spans="1:28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209"/>
      <c r="T379" s="209"/>
      <c r="U379" s="207"/>
      <c r="V379" s="209"/>
      <c r="W379" s="207"/>
      <c r="X379" s="209"/>
      <c r="Y379" s="207"/>
      <c r="Z379" s="209"/>
      <c r="AA379" s="209"/>
      <c r="AB379" s="207"/>
    </row>
    <row r="380" spans="1:28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209"/>
      <c r="T380" s="209"/>
      <c r="U380" s="207"/>
      <c r="V380" s="209"/>
      <c r="W380" s="207"/>
      <c r="X380" s="209"/>
      <c r="Y380" s="207"/>
      <c r="Z380" s="209"/>
      <c r="AA380" s="209"/>
      <c r="AB380" s="207"/>
    </row>
    <row r="381" spans="1:28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209"/>
      <c r="T381" s="209"/>
      <c r="U381" s="207"/>
      <c r="V381" s="209"/>
      <c r="W381" s="207"/>
      <c r="X381" s="209"/>
      <c r="Y381" s="207"/>
      <c r="Z381" s="209"/>
      <c r="AA381" s="209"/>
      <c r="AB381" s="207"/>
    </row>
    <row r="382" spans="1:28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209"/>
      <c r="T382" s="209"/>
      <c r="U382" s="207"/>
      <c r="V382" s="209"/>
      <c r="W382" s="207"/>
      <c r="X382" s="209"/>
      <c r="Y382" s="207"/>
      <c r="Z382" s="209"/>
      <c r="AA382" s="209"/>
      <c r="AB382" s="207"/>
    </row>
    <row r="383" spans="1:28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209"/>
      <c r="T383" s="209"/>
      <c r="U383" s="207"/>
      <c r="V383" s="209"/>
      <c r="W383" s="207"/>
      <c r="X383" s="209"/>
      <c r="Y383" s="207"/>
      <c r="Z383" s="209"/>
      <c r="AA383" s="209"/>
      <c r="AB383" s="207"/>
    </row>
    <row r="384" spans="1:28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209"/>
      <c r="T384" s="209"/>
      <c r="U384" s="207"/>
      <c r="V384" s="209"/>
      <c r="W384" s="207"/>
      <c r="X384" s="209"/>
      <c r="Y384" s="207"/>
      <c r="Z384" s="209"/>
      <c r="AA384" s="209"/>
      <c r="AB384" s="207"/>
    </row>
    <row r="385" spans="1:28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209"/>
      <c r="T385" s="209"/>
      <c r="U385" s="207"/>
      <c r="V385" s="209"/>
      <c r="W385" s="207"/>
      <c r="X385" s="209"/>
      <c r="Y385" s="207"/>
      <c r="Z385" s="209"/>
      <c r="AA385" s="209"/>
      <c r="AB385" s="207"/>
    </row>
    <row r="386" spans="1:28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209"/>
      <c r="T386" s="209"/>
      <c r="U386" s="207"/>
      <c r="V386" s="209"/>
      <c r="W386" s="207"/>
      <c r="X386" s="209"/>
      <c r="Y386" s="207"/>
      <c r="Z386" s="209"/>
      <c r="AA386" s="209"/>
      <c r="AB386" s="207"/>
    </row>
    <row r="387" spans="1:28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209"/>
      <c r="T387" s="209"/>
      <c r="U387" s="207"/>
      <c r="V387" s="209"/>
      <c r="W387" s="207"/>
      <c r="X387" s="209"/>
      <c r="Y387" s="207"/>
      <c r="Z387" s="209"/>
      <c r="AA387" s="209"/>
      <c r="AB387" s="207"/>
    </row>
    <row r="388" spans="1:28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209"/>
      <c r="T388" s="209"/>
      <c r="U388" s="207"/>
      <c r="V388" s="209"/>
      <c r="W388" s="207"/>
      <c r="X388" s="209"/>
      <c r="Y388" s="207"/>
      <c r="Z388" s="209"/>
      <c r="AA388" s="209"/>
      <c r="AB388" s="207"/>
    </row>
    <row r="389" spans="1:28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209"/>
      <c r="T389" s="209"/>
      <c r="U389" s="207"/>
      <c r="V389" s="209"/>
      <c r="W389" s="207"/>
      <c r="X389" s="209"/>
      <c r="Y389" s="207"/>
      <c r="Z389" s="209"/>
      <c r="AA389" s="209"/>
      <c r="AB389" s="207"/>
    </row>
    <row r="390" spans="1:28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209"/>
      <c r="T390" s="209"/>
      <c r="U390" s="207"/>
      <c r="V390" s="209"/>
      <c r="W390" s="207"/>
      <c r="X390" s="209"/>
      <c r="Y390" s="207"/>
      <c r="Z390" s="209"/>
      <c r="AA390" s="209"/>
      <c r="AB390" s="207"/>
    </row>
    <row r="391" spans="1:28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209"/>
      <c r="T391" s="209"/>
      <c r="U391" s="207"/>
      <c r="V391" s="209"/>
      <c r="W391" s="207"/>
      <c r="X391" s="209"/>
      <c r="Y391" s="207"/>
      <c r="Z391" s="209"/>
      <c r="AA391" s="209"/>
      <c r="AB391" s="207"/>
    </row>
    <row r="392" spans="1:28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209"/>
      <c r="T392" s="209"/>
      <c r="U392" s="207"/>
      <c r="V392" s="209"/>
      <c r="W392" s="207"/>
      <c r="X392" s="209"/>
      <c r="Y392" s="207"/>
      <c r="Z392" s="209"/>
      <c r="AA392" s="209"/>
      <c r="AB392" s="207"/>
    </row>
    <row r="393" spans="1:28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209"/>
      <c r="T393" s="209"/>
      <c r="U393" s="207"/>
      <c r="V393" s="209"/>
      <c r="W393" s="207"/>
      <c r="X393" s="209"/>
      <c r="Y393" s="207"/>
      <c r="Z393" s="209"/>
      <c r="AA393" s="209"/>
      <c r="AB393" s="207"/>
    </row>
    <row r="394" spans="1:28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209"/>
      <c r="T394" s="209"/>
      <c r="U394" s="207"/>
      <c r="V394" s="209"/>
      <c r="W394" s="207"/>
      <c r="X394" s="209"/>
      <c r="Y394" s="207"/>
      <c r="Z394" s="209"/>
      <c r="AA394" s="209"/>
      <c r="AB394" s="207"/>
    </row>
    <row r="395" spans="1:28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209"/>
      <c r="T395" s="209"/>
      <c r="U395" s="207"/>
      <c r="V395" s="209"/>
      <c r="W395" s="207"/>
      <c r="X395" s="209"/>
      <c r="Y395" s="207"/>
      <c r="Z395" s="209"/>
      <c r="AA395" s="209"/>
      <c r="AB395" s="207"/>
    </row>
    <row r="396" spans="1:28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209"/>
      <c r="T396" s="209"/>
      <c r="U396" s="207"/>
      <c r="V396" s="209"/>
      <c r="W396" s="207"/>
      <c r="X396" s="209"/>
      <c r="Y396" s="207"/>
      <c r="Z396" s="209"/>
      <c r="AA396" s="209"/>
      <c r="AB396" s="207"/>
    </row>
    <row r="397" spans="1:28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209"/>
      <c r="T397" s="209"/>
      <c r="U397" s="207"/>
      <c r="V397" s="209"/>
      <c r="W397" s="207"/>
      <c r="X397" s="209"/>
      <c r="Y397" s="207"/>
      <c r="Z397" s="209"/>
      <c r="AA397" s="209"/>
      <c r="AB397" s="207"/>
    </row>
    <row r="398" spans="1:28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209"/>
      <c r="T398" s="209"/>
      <c r="U398" s="207"/>
      <c r="V398" s="209"/>
      <c r="W398" s="207"/>
      <c r="X398" s="209"/>
      <c r="Y398" s="207"/>
      <c r="Z398" s="209"/>
      <c r="AA398" s="209"/>
      <c r="AB398" s="207"/>
    </row>
    <row r="399" spans="1:28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209"/>
      <c r="T399" s="209"/>
      <c r="U399" s="207"/>
      <c r="V399" s="209"/>
      <c r="W399" s="207"/>
      <c r="X399" s="209"/>
      <c r="Y399" s="207"/>
      <c r="Z399" s="209"/>
      <c r="AA399" s="209"/>
      <c r="AB399" s="207"/>
    </row>
    <row r="400" spans="1:28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209"/>
      <c r="T400" s="209"/>
      <c r="U400" s="207"/>
      <c r="V400" s="209"/>
      <c r="W400" s="207"/>
      <c r="X400" s="209"/>
      <c r="Y400" s="207"/>
      <c r="Z400" s="209"/>
      <c r="AA400" s="209"/>
      <c r="AB400" s="207"/>
    </row>
    <row r="401" spans="1:28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209"/>
      <c r="T401" s="209"/>
      <c r="U401" s="207"/>
      <c r="V401" s="209"/>
      <c r="W401" s="207"/>
      <c r="X401" s="209"/>
      <c r="Y401" s="207"/>
      <c r="Z401" s="209"/>
      <c r="AA401" s="209"/>
      <c r="AB401" s="207"/>
    </row>
    <row r="402" spans="1:28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209"/>
      <c r="T402" s="209"/>
      <c r="U402" s="207"/>
      <c r="V402" s="209"/>
      <c r="W402" s="207"/>
      <c r="X402" s="209"/>
      <c r="Y402" s="207"/>
      <c r="Z402" s="209"/>
      <c r="AA402" s="209"/>
      <c r="AB402" s="207"/>
    </row>
    <row r="403" spans="1:28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209"/>
      <c r="T403" s="209"/>
      <c r="U403" s="207"/>
      <c r="V403" s="209"/>
      <c r="W403" s="207"/>
      <c r="X403" s="209"/>
      <c r="Y403" s="207"/>
      <c r="Z403" s="209"/>
      <c r="AA403" s="209"/>
      <c r="AB403" s="207"/>
    </row>
    <row r="404" spans="1:28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209"/>
      <c r="T404" s="209"/>
      <c r="U404" s="207"/>
      <c r="V404" s="209"/>
      <c r="W404" s="207"/>
      <c r="X404" s="209"/>
      <c r="Y404" s="207"/>
      <c r="Z404" s="209"/>
      <c r="AA404" s="209"/>
      <c r="AB404" s="207"/>
    </row>
    <row r="405" spans="1:28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209"/>
      <c r="T405" s="209"/>
      <c r="U405" s="207"/>
      <c r="V405" s="209"/>
      <c r="W405" s="207"/>
      <c r="X405" s="209"/>
      <c r="Y405" s="207"/>
      <c r="Z405" s="209"/>
      <c r="AA405" s="209"/>
      <c r="AB405" s="207"/>
    </row>
    <row r="406" spans="1:28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209"/>
      <c r="T406" s="209"/>
      <c r="U406" s="207"/>
      <c r="V406" s="209"/>
      <c r="W406" s="207"/>
      <c r="X406" s="209"/>
      <c r="Y406" s="207"/>
      <c r="Z406" s="209"/>
      <c r="AA406" s="209"/>
      <c r="AB406" s="207"/>
    </row>
    <row r="407" spans="1:28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209"/>
      <c r="T407" s="209"/>
      <c r="U407" s="207"/>
      <c r="V407" s="209"/>
      <c r="W407" s="207"/>
      <c r="X407" s="209"/>
      <c r="Y407" s="207"/>
      <c r="Z407" s="209"/>
      <c r="AA407" s="209"/>
      <c r="AB407" s="207"/>
    </row>
    <row r="408" spans="1:28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209"/>
      <c r="T408" s="209"/>
      <c r="U408" s="207"/>
      <c r="V408" s="209"/>
      <c r="W408" s="207"/>
      <c r="X408" s="209"/>
      <c r="Y408" s="207"/>
      <c r="Z408" s="209"/>
      <c r="AA408" s="209"/>
      <c r="AB408" s="207"/>
    </row>
    <row r="409" spans="1:28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209"/>
      <c r="T409" s="209"/>
      <c r="U409" s="207"/>
      <c r="V409" s="209"/>
      <c r="W409" s="207"/>
      <c r="X409" s="209"/>
      <c r="Y409" s="207"/>
      <c r="Z409" s="209"/>
      <c r="AA409" s="209"/>
      <c r="AB409" s="207"/>
    </row>
    <row r="410" spans="1:28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209"/>
      <c r="T410" s="209"/>
      <c r="U410" s="207"/>
      <c r="V410" s="209"/>
      <c r="W410" s="207"/>
      <c r="X410" s="209"/>
      <c r="Y410" s="207"/>
      <c r="Z410" s="209"/>
      <c r="AA410" s="209"/>
      <c r="AB410" s="207"/>
    </row>
    <row r="411" spans="1:28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209"/>
      <c r="T411" s="209"/>
      <c r="U411" s="207"/>
      <c r="V411" s="209"/>
      <c r="W411" s="207"/>
      <c r="X411" s="209"/>
      <c r="Y411" s="207"/>
      <c r="Z411" s="209"/>
      <c r="AA411" s="209"/>
      <c r="AB411" s="207"/>
    </row>
    <row r="412" spans="1:28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209"/>
      <c r="T412" s="209"/>
      <c r="U412" s="207"/>
      <c r="V412" s="209"/>
      <c r="W412" s="207"/>
      <c r="X412" s="209"/>
      <c r="Y412" s="207"/>
      <c r="Z412" s="209"/>
      <c r="AA412" s="209"/>
      <c r="AB412" s="207"/>
    </row>
    <row r="413" spans="1:28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209"/>
      <c r="T413" s="209"/>
      <c r="U413" s="207"/>
      <c r="V413" s="209"/>
      <c r="W413" s="207"/>
      <c r="X413" s="209"/>
      <c r="Y413" s="207"/>
      <c r="Z413" s="209"/>
      <c r="AA413" s="209"/>
      <c r="AB413" s="207"/>
    </row>
    <row r="414" spans="1:28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209"/>
      <c r="T414" s="209"/>
      <c r="U414" s="207"/>
      <c r="V414" s="209"/>
      <c r="W414" s="207"/>
      <c r="X414" s="209"/>
      <c r="Y414" s="207"/>
      <c r="Z414" s="209"/>
      <c r="AA414" s="209"/>
      <c r="AB414" s="207"/>
    </row>
    <row r="415" spans="1:28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209"/>
      <c r="T415" s="209"/>
      <c r="U415" s="207"/>
      <c r="V415" s="209"/>
      <c r="W415" s="207"/>
      <c r="X415" s="209"/>
      <c r="Y415" s="207"/>
      <c r="Z415" s="209"/>
      <c r="AA415" s="209"/>
      <c r="AB415" s="207"/>
    </row>
    <row r="416" spans="1:28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209"/>
      <c r="T416" s="209"/>
      <c r="U416" s="207"/>
      <c r="V416" s="209"/>
      <c r="W416" s="207"/>
      <c r="X416" s="209"/>
      <c r="Y416" s="207"/>
      <c r="Z416" s="209"/>
      <c r="AA416" s="209"/>
      <c r="AB416" s="207"/>
    </row>
    <row r="417" spans="1:28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209"/>
      <c r="T417" s="209"/>
      <c r="U417" s="207"/>
      <c r="V417" s="209"/>
      <c r="W417" s="207"/>
      <c r="X417" s="209"/>
      <c r="Y417" s="207"/>
      <c r="Z417" s="209"/>
      <c r="AA417" s="209"/>
      <c r="AB417" s="207"/>
    </row>
    <row r="418" spans="1:28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209"/>
      <c r="T418" s="209"/>
      <c r="U418" s="207"/>
      <c r="V418" s="209"/>
      <c r="W418" s="207"/>
      <c r="X418" s="209"/>
      <c r="Y418" s="207"/>
      <c r="Z418" s="209"/>
      <c r="AA418" s="209"/>
      <c r="AB418" s="207"/>
    </row>
    <row r="419" spans="1:28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209"/>
      <c r="T419" s="209"/>
      <c r="U419" s="207"/>
      <c r="V419" s="209"/>
      <c r="W419" s="207"/>
      <c r="X419" s="209"/>
      <c r="Y419" s="207"/>
      <c r="Z419" s="209"/>
      <c r="AA419" s="209"/>
      <c r="AB419" s="207"/>
    </row>
    <row r="420" spans="1:28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209"/>
      <c r="T420" s="209"/>
      <c r="U420" s="207"/>
      <c r="V420" s="209"/>
      <c r="W420" s="207"/>
      <c r="X420" s="209"/>
      <c r="Y420" s="207"/>
      <c r="Z420" s="209"/>
      <c r="AA420" s="209"/>
      <c r="AB420" s="207"/>
    </row>
    <row r="421" spans="1:28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209"/>
      <c r="T421" s="209"/>
      <c r="U421" s="207"/>
      <c r="V421" s="209"/>
      <c r="W421" s="207"/>
      <c r="X421" s="209"/>
      <c r="Y421" s="207"/>
      <c r="Z421" s="209"/>
      <c r="AA421" s="209"/>
      <c r="AB421" s="207"/>
    </row>
    <row r="422" spans="1:28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209"/>
      <c r="T422" s="209"/>
      <c r="U422" s="207"/>
      <c r="V422" s="209"/>
      <c r="W422" s="207"/>
      <c r="X422" s="209"/>
      <c r="Y422" s="207"/>
      <c r="Z422" s="209"/>
      <c r="AA422" s="209"/>
      <c r="AB422" s="207"/>
    </row>
    <row r="423" spans="1:28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209"/>
      <c r="T423" s="209"/>
      <c r="U423" s="207"/>
      <c r="V423" s="209"/>
      <c r="W423" s="207"/>
      <c r="X423" s="209"/>
      <c r="Y423" s="207"/>
      <c r="Z423" s="209"/>
      <c r="AA423" s="209"/>
      <c r="AB423" s="207"/>
    </row>
    <row r="424" spans="1:28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209"/>
      <c r="T424" s="209"/>
      <c r="U424" s="207"/>
      <c r="V424" s="209"/>
      <c r="W424" s="207"/>
      <c r="X424" s="209"/>
      <c r="Y424" s="207"/>
      <c r="Z424" s="209"/>
      <c r="AA424" s="209"/>
      <c r="AB424" s="207"/>
    </row>
    <row r="425" spans="1:28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209"/>
      <c r="T425" s="209"/>
      <c r="U425" s="207"/>
      <c r="V425" s="209"/>
      <c r="W425" s="207"/>
      <c r="X425" s="209"/>
      <c r="Y425" s="207"/>
      <c r="Z425" s="209"/>
      <c r="AA425" s="209"/>
      <c r="AB425" s="207"/>
    </row>
    <row r="426" spans="1:28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209"/>
      <c r="T426" s="209"/>
      <c r="U426" s="207"/>
      <c r="V426" s="209"/>
      <c r="W426" s="207"/>
      <c r="X426" s="209"/>
      <c r="Y426" s="207"/>
      <c r="Z426" s="209"/>
      <c r="AA426" s="209"/>
      <c r="AB426" s="207"/>
    </row>
    <row r="427" spans="1:28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209"/>
      <c r="T427" s="209"/>
      <c r="U427" s="207"/>
      <c r="V427" s="209"/>
      <c r="W427" s="207"/>
      <c r="X427" s="209"/>
      <c r="Y427" s="207"/>
      <c r="Z427" s="209"/>
      <c r="AA427" s="209"/>
      <c r="AB427" s="207"/>
    </row>
    <row r="428" spans="1:28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209"/>
      <c r="T428" s="209"/>
      <c r="U428" s="207"/>
      <c r="V428" s="209"/>
      <c r="W428" s="207"/>
      <c r="X428" s="209"/>
      <c r="Y428" s="207"/>
      <c r="Z428" s="209"/>
      <c r="AA428" s="209"/>
      <c r="AB428" s="207"/>
    </row>
    <row r="429" spans="1:28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209"/>
      <c r="T429" s="209"/>
      <c r="U429" s="207"/>
      <c r="V429" s="209"/>
      <c r="W429" s="207"/>
      <c r="X429" s="209"/>
      <c r="Y429" s="207"/>
      <c r="Z429" s="209"/>
      <c r="AA429" s="209"/>
      <c r="AB429" s="207"/>
    </row>
    <row r="430" spans="1:28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209"/>
      <c r="T430" s="209"/>
      <c r="U430" s="207"/>
      <c r="V430" s="209"/>
      <c r="W430" s="207"/>
      <c r="X430" s="209"/>
      <c r="Y430" s="207"/>
      <c r="Z430" s="209"/>
      <c r="AA430" s="209"/>
      <c r="AB430" s="207"/>
    </row>
    <row r="431" spans="1:28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209"/>
      <c r="T431" s="209"/>
      <c r="U431" s="207"/>
      <c r="V431" s="209"/>
      <c r="W431" s="207"/>
      <c r="X431" s="209"/>
      <c r="Y431" s="207"/>
      <c r="Z431" s="209"/>
      <c r="AA431" s="209"/>
      <c r="AB431" s="207"/>
    </row>
    <row r="432" spans="1:28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209"/>
      <c r="T432" s="209"/>
      <c r="U432" s="207"/>
      <c r="V432" s="209"/>
      <c r="W432" s="207"/>
      <c r="X432" s="209"/>
      <c r="Y432" s="207"/>
      <c r="Z432" s="209"/>
      <c r="AA432" s="209"/>
      <c r="AB432" s="207"/>
    </row>
    <row r="433" spans="1:28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209"/>
      <c r="T433" s="209"/>
      <c r="U433" s="207"/>
      <c r="V433" s="209"/>
      <c r="W433" s="207"/>
      <c r="X433" s="209"/>
      <c r="Y433" s="207"/>
      <c r="Z433" s="209"/>
      <c r="AA433" s="209"/>
      <c r="AB433" s="207"/>
    </row>
    <row r="434" spans="1:28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209"/>
      <c r="T434" s="209"/>
      <c r="U434" s="207"/>
      <c r="V434" s="209"/>
      <c r="W434" s="207"/>
      <c r="X434" s="209"/>
      <c r="Y434" s="207"/>
      <c r="Z434" s="209"/>
      <c r="AA434" s="209"/>
      <c r="AB434" s="207"/>
    </row>
    <row r="435" spans="1:28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209"/>
      <c r="T435" s="209"/>
      <c r="U435" s="207"/>
      <c r="V435" s="209"/>
      <c r="W435" s="207"/>
      <c r="X435" s="209"/>
      <c r="Y435" s="207"/>
      <c r="Z435" s="209"/>
      <c r="AA435" s="209"/>
      <c r="AB435" s="207"/>
    </row>
    <row r="436" spans="1:28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209"/>
      <c r="T436" s="209"/>
      <c r="U436" s="207"/>
      <c r="V436" s="209"/>
      <c r="W436" s="207"/>
      <c r="X436" s="209"/>
      <c r="Y436" s="207"/>
      <c r="Z436" s="209"/>
      <c r="AA436" s="209"/>
      <c r="AB436" s="207"/>
    </row>
    <row r="437" spans="1:28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209"/>
      <c r="T437" s="209"/>
      <c r="U437" s="207"/>
      <c r="V437" s="209"/>
      <c r="W437" s="207"/>
      <c r="X437" s="209"/>
      <c r="Y437" s="207"/>
      <c r="Z437" s="209"/>
      <c r="AA437" s="209"/>
      <c r="AB437" s="207"/>
    </row>
    <row r="438" spans="1:28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209"/>
      <c r="T438" s="209"/>
      <c r="U438" s="207"/>
      <c r="V438" s="209"/>
      <c r="W438" s="207"/>
      <c r="X438" s="209"/>
      <c r="Y438" s="207"/>
      <c r="Z438" s="209"/>
      <c r="AA438" s="209"/>
      <c r="AB438" s="207"/>
    </row>
    <row r="439" spans="1:28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209"/>
      <c r="T439" s="209"/>
      <c r="U439" s="207"/>
      <c r="V439" s="209"/>
      <c r="W439" s="207"/>
      <c r="X439" s="209"/>
      <c r="Y439" s="207"/>
      <c r="Z439" s="209"/>
      <c r="AA439" s="209"/>
      <c r="AB439" s="207"/>
    </row>
    <row r="440" spans="1:28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209"/>
      <c r="T440" s="209"/>
      <c r="U440" s="207"/>
      <c r="V440" s="209"/>
      <c r="W440" s="207"/>
      <c r="X440" s="209"/>
      <c r="Y440" s="207"/>
      <c r="Z440" s="209"/>
      <c r="AA440" s="209"/>
      <c r="AB440" s="207"/>
    </row>
    <row r="441" spans="1:28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209"/>
      <c r="T441" s="209"/>
      <c r="U441" s="207"/>
      <c r="V441" s="209"/>
      <c r="W441" s="207"/>
      <c r="X441" s="209"/>
      <c r="Y441" s="207"/>
      <c r="Z441" s="209"/>
      <c r="AA441" s="209"/>
      <c r="AB441" s="207"/>
    </row>
    <row r="442" spans="1:28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209"/>
      <c r="T442" s="209"/>
      <c r="U442" s="207"/>
      <c r="V442" s="209"/>
      <c r="W442" s="207"/>
      <c r="X442" s="209"/>
      <c r="Y442" s="207"/>
      <c r="Z442" s="209"/>
      <c r="AA442" s="209"/>
      <c r="AB442" s="207"/>
    </row>
    <row r="443" spans="1:28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209"/>
      <c r="T443" s="209"/>
      <c r="U443" s="207"/>
      <c r="V443" s="209"/>
      <c r="W443" s="207"/>
      <c r="X443" s="209"/>
      <c r="Y443" s="207"/>
      <c r="Z443" s="209"/>
      <c r="AA443" s="209"/>
      <c r="AB443" s="207"/>
    </row>
    <row r="444" spans="1:28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209"/>
      <c r="T444" s="209"/>
      <c r="U444" s="207"/>
      <c r="V444" s="209"/>
      <c r="W444" s="207"/>
      <c r="X444" s="209"/>
      <c r="Y444" s="207"/>
      <c r="Z444" s="209"/>
      <c r="AA444" s="209"/>
      <c r="AB444" s="207"/>
    </row>
    <row r="445" spans="1:28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209"/>
      <c r="T445" s="209"/>
      <c r="U445" s="207"/>
      <c r="V445" s="209"/>
      <c r="W445" s="207"/>
      <c r="X445" s="209"/>
      <c r="Y445" s="207"/>
      <c r="Z445" s="209"/>
      <c r="AA445" s="209"/>
      <c r="AB445" s="207"/>
    </row>
    <row r="446" spans="1:28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209"/>
      <c r="T446" s="209"/>
      <c r="U446" s="207"/>
      <c r="V446" s="209"/>
      <c r="W446" s="207"/>
      <c r="X446" s="209"/>
      <c r="Y446" s="207"/>
      <c r="Z446" s="209"/>
      <c r="AA446" s="209"/>
      <c r="AB446" s="207"/>
    </row>
    <row r="447" spans="1:28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209"/>
      <c r="T447" s="209"/>
      <c r="U447" s="207"/>
      <c r="V447" s="209"/>
      <c r="W447" s="207"/>
      <c r="X447" s="209"/>
      <c r="Y447" s="207"/>
      <c r="Z447" s="209"/>
      <c r="AA447" s="209"/>
      <c r="AB447" s="207"/>
    </row>
    <row r="448" spans="1:28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209"/>
      <c r="T448" s="209"/>
      <c r="U448" s="207"/>
      <c r="V448" s="209"/>
      <c r="W448" s="207"/>
      <c r="X448" s="209"/>
      <c r="Y448" s="207"/>
      <c r="Z448" s="209"/>
      <c r="AA448" s="209"/>
      <c r="AB448" s="207"/>
    </row>
    <row r="449" spans="1:28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209"/>
      <c r="T449" s="209"/>
      <c r="U449" s="207"/>
      <c r="V449" s="209"/>
      <c r="W449" s="207"/>
      <c r="X449" s="209"/>
      <c r="Y449" s="207"/>
      <c r="Z449" s="209"/>
      <c r="AA449" s="209"/>
      <c r="AB449" s="207"/>
    </row>
    <row r="450" spans="1:28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209"/>
      <c r="T450" s="209"/>
      <c r="U450" s="207"/>
      <c r="V450" s="209"/>
      <c r="W450" s="207"/>
      <c r="X450" s="209"/>
      <c r="Y450" s="207"/>
      <c r="Z450" s="209"/>
      <c r="AA450" s="209"/>
      <c r="AB450" s="207"/>
    </row>
    <row r="451" spans="1:28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209"/>
      <c r="T451" s="209"/>
      <c r="U451" s="207"/>
      <c r="V451" s="209"/>
      <c r="W451" s="207"/>
      <c r="X451" s="209"/>
      <c r="Y451" s="207"/>
      <c r="Z451" s="209"/>
      <c r="AA451" s="209"/>
      <c r="AB451" s="207"/>
    </row>
    <row r="452" spans="1:28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209"/>
      <c r="T452" s="209"/>
      <c r="U452" s="207"/>
      <c r="V452" s="209"/>
      <c r="W452" s="207"/>
      <c r="X452" s="209"/>
      <c r="Y452" s="207"/>
      <c r="Z452" s="209"/>
      <c r="AA452" s="209"/>
      <c r="AB452" s="207"/>
    </row>
    <row r="453" spans="1:28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209"/>
      <c r="T453" s="209"/>
      <c r="U453" s="207"/>
      <c r="V453" s="209"/>
      <c r="W453" s="207"/>
      <c r="X453" s="209"/>
      <c r="Y453" s="207"/>
      <c r="Z453" s="209"/>
      <c r="AA453" s="209"/>
      <c r="AB453" s="207"/>
    </row>
    <row r="454" spans="1:28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209"/>
      <c r="T454" s="209"/>
      <c r="U454" s="207"/>
      <c r="V454" s="209"/>
      <c r="W454" s="207"/>
      <c r="X454" s="209"/>
      <c r="Y454" s="207"/>
      <c r="Z454" s="209"/>
      <c r="AA454" s="209"/>
      <c r="AB454" s="207"/>
    </row>
    <row r="455" spans="1:28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209"/>
      <c r="T455" s="209"/>
      <c r="U455" s="207"/>
      <c r="V455" s="209"/>
      <c r="W455" s="207"/>
      <c r="X455" s="209"/>
      <c r="Y455" s="207"/>
      <c r="Z455" s="209"/>
      <c r="AA455" s="209"/>
      <c r="AB455" s="207"/>
    </row>
    <row r="456" spans="1:28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209"/>
      <c r="T456" s="209"/>
      <c r="U456" s="207"/>
      <c r="V456" s="209"/>
      <c r="W456" s="207"/>
      <c r="X456" s="209"/>
      <c r="Y456" s="207"/>
      <c r="Z456" s="209"/>
      <c r="AA456" s="209"/>
      <c r="AB456" s="207"/>
    </row>
    <row r="457" spans="1:28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209"/>
      <c r="T457" s="209"/>
      <c r="U457" s="207"/>
      <c r="V457" s="209"/>
      <c r="W457" s="207"/>
      <c r="X457" s="209"/>
      <c r="Y457" s="207"/>
      <c r="Z457" s="209"/>
      <c r="AA457" s="209"/>
      <c r="AB457" s="207"/>
    </row>
    <row r="458" spans="1:28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209"/>
      <c r="T458" s="209"/>
      <c r="U458" s="207"/>
      <c r="V458" s="209"/>
      <c r="W458" s="207"/>
      <c r="X458" s="209"/>
      <c r="Y458" s="207"/>
      <c r="Z458" s="209"/>
      <c r="AA458" s="209"/>
      <c r="AB458" s="207"/>
    </row>
    <row r="459" spans="1:28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209"/>
      <c r="T459" s="209"/>
      <c r="U459" s="207"/>
      <c r="V459" s="209"/>
      <c r="W459" s="207"/>
      <c r="X459" s="209"/>
      <c r="Y459" s="207"/>
      <c r="Z459" s="209"/>
      <c r="AA459" s="209"/>
      <c r="AB459" s="207"/>
    </row>
    <row r="460" spans="1:28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209"/>
      <c r="T460" s="209"/>
      <c r="U460" s="207"/>
      <c r="V460" s="209"/>
      <c r="W460" s="207"/>
      <c r="X460" s="209"/>
      <c r="Y460" s="207"/>
      <c r="Z460" s="209"/>
      <c r="AA460" s="209"/>
      <c r="AB460" s="207"/>
    </row>
    <row r="461" spans="1:28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209"/>
      <c r="T461" s="209"/>
      <c r="U461" s="207"/>
      <c r="V461" s="209"/>
      <c r="W461" s="207"/>
      <c r="X461" s="209"/>
      <c r="Y461" s="207"/>
      <c r="Z461" s="209"/>
      <c r="AA461" s="209"/>
      <c r="AB461" s="207"/>
    </row>
    <row r="462" spans="1:28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209"/>
      <c r="T462" s="209"/>
      <c r="U462" s="207"/>
      <c r="V462" s="209"/>
      <c r="W462" s="207"/>
      <c r="X462" s="209"/>
      <c r="Y462" s="207"/>
      <c r="Z462" s="209"/>
      <c r="AA462" s="209"/>
      <c r="AB462" s="207"/>
    </row>
    <row r="463" spans="1:28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209"/>
      <c r="T463" s="209"/>
      <c r="U463" s="207"/>
      <c r="V463" s="209"/>
      <c r="W463" s="207"/>
      <c r="X463" s="209"/>
      <c r="Y463" s="207"/>
      <c r="Z463" s="209"/>
      <c r="AA463" s="209"/>
      <c r="AB463" s="207"/>
    </row>
    <row r="464" spans="1:28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209"/>
      <c r="T464" s="209"/>
      <c r="U464" s="207"/>
      <c r="V464" s="209"/>
      <c r="W464" s="207"/>
      <c r="X464" s="209"/>
      <c r="Y464" s="207"/>
      <c r="Z464" s="209"/>
      <c r="AA464" s="209"/>
      <c r="AB464" s="207"/>
    </row>
    <row r="465" spans="1:28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209"/>
      <c r="T465" s="209"/>
      <c r="U465" s="207"/>
      <c r="V465" s="209"/>
      <c r="W465" s="207"/>
      <c r="X465" s="209"/>
      <c r="Y465" s="207"/>
      <c r="Z465" s="209"/>
      <c r="AA465" s="209"/>
      <c r="AB465" s="207"/>
    </row>
    <row r="466" spans="1:28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209"/>
      <c r="T466" s="209"/>
      <c r="U466" s="207"/>
      <c r="V466" s="209"/>
      <c r="W466" s="207"/>
      <c r="X466" s="209"/>
      <c r="Y466" s="207"/>
      <c r="Z466" s="209"/>
      <c r="AA466" s="209"/>
      <c r="AB466" s="207"/>
    </row>
    <row r="467" spans="1:28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209"/>
      <c r="T467" s="209"/>
      <c r="U467" s="207"/>
      <c r="V467" s="209"/>
      <c r="W467" s="207"/>
      <c r="X467" s="209"/>
      <c r="Y467" s="207"/>
      <c r="Z467" s="209"/>
      <c r="AA467" s="209"/>
      <c r="AB467" s="207"/>
    </row>
    <row r="468" spans="1:28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209"/>
      <c r="T468" s="209"/>
      <c r="U468" s="207"/>
      <c r="V468" s="209"/>
      <c r="W468" s="207"/>
      <c r="X468" s="209"/>
      <c r="Y468" s="207"/>
      <c r="Z468" s="209"/>
      <c r="AA468" s="209"/>
      <c r="AB468" s="207"/>
    </row>
    <row r="469" spans="1:28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209"/>
      <c r="T469" s="209"/>
      <c r="U469" s="207"/>
      <c r="V469" s="209"/>
      <c r="W469" s="207"/>
      <c r="X469" s="209"/>
      <c r="Y469" s="207"/>
      <c r="Z469" s="209"/>
      <c r="AA469" s="209"/>
      <c r="AB469" s="207"/>
    </row>
    <row r="470" spans="1:28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209"/>
      <c r="T470" s="209"/>
      <c r="U470" s="207"/>
      <c r="V470" s="209"/>
      <c r="W470" s="207"/>
      <c r="X470" s="209"/>
      <c r="Y470" s="207"/>
      <c r="Z470" s="209"/>
      <c r="AA470" s="209"/>
      <c r="AB470" s="207"/>
    </row>
    <row r="471" spans="1:28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209"/>
      <c r="T471" s="209"/>
      <c r="U471" s="207"/>
      <c r="V471" s="209"/>
      <c r="W471" s="207"/>
      <c r="X471" s="209"/>
      <c r="Y471" s="207"/>
      <c r="Z471" s="209"/>
      <c r="AA471" s="209"/>
      <c r="AB471" s="207"/>
    </row>
    <row r="472" spans="1:28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209"/>
      <c r="T472" s="209"/>
      <c r="U472" s="207"/>
      <c r="V472" s="209"/>
      <c r="W472" s="207"/>
      <c r="X472" s="209"/>
      <c r="Y472" s="207"/>
      <c r="Z472" s="209"/>
      <c r="AA472" s="209"/>
      <c r="AB472" s="207"/>
    </row>
    <row r="473" spans="1:28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209"/>
      <c r="T473" s="209"/>
      <c r="U473" s="207"/>
      <c r="V473" s="209"/>
      <c r="W473" s="207"/>
      <c r="X473" s="209"/>
      <c r="Y473" s="207"/>
      <c r="Z473" s="209"/>
      <c r="AA473" s="209"/>
      <c r="AB473" s="207"/>
    </row>
    <row r="474" spans="1:28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209"/>
      <c r="T474" s="209"/>
      <c r="U474" s="207"/>
      <c r="V474" s="209"/>
      <c r="W474" s="207"/>
      <c r="X474" s="209"/>
      <c r="Y474" s="207"/>
      <c r="Z474" s="209"/>
      <c r="AA474" s="209"/>
      <c r="AB474" s="207"/>
    </row>
    <row r="475" spans="1:28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209"/>
      <c r="T475" s="209"/>
      <c r="U475" s="207"/>
      <c r="V475" s="209"/>
      <c r="W475" s="207"/>
      <c r="X475" s="209"/>
      <c r="Y475" s="207"/>
      <c r="Z475" s="209"/>
      <c r="AA475" s="209"/>
      <c r="AB475" s="207"/>
    </row>
    <row r="476" spans="1:28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209"/>
      <c r="T476" s="209"/>
      <c r="U476" s="207"/>
      <c r="V476" s="209"/>
      <c r="W476" s="207"/>
      <c r="X476" s="209"/>
      <c r="Y476" s="207"/>
      <c r="Z476" s="209"/>
      <c r="AA476" s="209"/>
      <c r="AB476" s="207"/>
    </row>
    <row r="477" spans="1:28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209"/>
      <c r="T477" s="209"/>
      <c r="U477" s="207"/>
      <c r="V477" s="209"/>
      <c r="W477" s="207"/>
      <c r="X477" s="209"/>
      <c r="Y477" s="207"/>
      <c r="Z477" s="209"/>
      <c r="AA477" s="209"/>
      <c r="AB477" s="207"/>
    </row>
    <row r="478" spans="1:28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209"/>
      <c r="T478" s="209"/>
      <c r="U478" s="207"/>
      <c r="V478" s="209"/>
      <c r="W478" s="207"/>
      <c r="X478" s="209"/>
      <c r="Y478" s="207"/>
      <c r="Z478" s="209"/>
      <c r="AA478" s="209"/>
      <c r="AB478" s="207"/>
    </row>
    <row r="479" spans="1:28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209"/>
      <c r="T479" s="209"/>
      <c r="U479" s="207"/>
      <c r="V479" s="209"/>
      <c r="W479" s="207"/>
      <c r="X479" s="209"/>
      <c r="Y479" s="207"/>
      <c r="Z479" s="209"/>
      <c r="AA479" s="209"/>
      <c r="AB479" s="207"/>
    </row>
    <row r="480" spans="1:28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209"/>
      <c r="T480" s="209"/>
      <c r="U480" s="207"/>
      <c r="V480" s="209"/>
      <c r="W480" s="207"/>
      <c r="X480" s="209"/>
      <c r="Y480" s="207"/>
      <c r="Z480" s="209"/>
      <c r="AA480" s="209"/>
      <c r="AB480" s="207"/>
    </row>
    <row r="481" spans="1:28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209"/>
      <c r="T481" s="209"/>
      <c r="U481" s="207"/>
      <c r="V481" s="209"/>
      <c r="W481" s="207"/>
      <c r="X481" s="209"/>
      <c r="Y481" s="207"/>
      <c r="Z481" s="209"/>
      <c r="AA481" s="209"/>
      <c r="AB481" s="207"/>
    </row>
    <row r="482" spans="1:28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209"/>
      <c r="T482" s="209"/>
      <c r="U482" s="207"/>
      <c r="V482" s="209"/>
      <c r="W482" s="207"/>
      <c r="X482" s="209"/>
      <c r="Y482" s="207"/>
      <c r="Z482" s="209"/>
      <c r="AA482" s="209"/>
      <c r="AB482" s="207"/>
    </row>
    <row r="483" spans="1:28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209"/>
      <c r="T483" s="209"/>
      <c r="U483" s="207"/>
      <c r="V483" s="209"/>
      <c r="W483" s="207"/>
      <c r="X483" s="209"/>
      <c r="Y483" s="207"/>
      <c r="Z483" s="209"/>
      <c r="AA483" s="209"/>
      <c r="AB483" s="207"/>
    </row>
    <row r="484" spans="1:28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209"/>
      <c r="T484" s="209"/>
      <c r="U484" s="207"/>
      <c r="V484" s="209"/>
      <c r="W484" s="207"/>
      <c r="X484" s="209"/>
      <c r="Y484" s="207"/>
      <c r="Z484" s="209"/>
      <c r="AA484" s="209"/>
      <c r="AB484" s="207"/>
    </row>
    <row r="485" spans="1:28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209"/>
      <c r="T485" s="209"/>
      <c r="U485" s="207"/>
      <c r="V485" s="209"/>
      <c r="W485" s="207"/>
      <c r="X485" s="209"/>
      <c r="Y485" s="207"/>
      <c r="Z485" s="209"/>
      <c r="AA485" s="209"/>
      <c r="AB485" s="207"/>
    </row>
    <row r="486" spans="1:28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209"/>
      <c r="T486" s="209"/>
      <c r="U486" s="207"/>
      <c r="V486" s="209"/>
      <c r="W486" s="207"/>
      <c r="X486" s="209"/>
      <c r="Y486" s="207"/>
      <c r="Z486" s="209"/>
      <c r="AA486" s="209"/>
      <c r="AB486" s="207"/>
    </row>
    <row r="487" spans="1:28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209"/>
      <c r="T487" s="209"/>
      <c r="U487" s="207"/>
      <c r="V487" s="209"/>
      <c r="W487" s="207"/>
      <c r="X487" s="209"/>
      <c r="Y487" s="207"/>
      <c r="Z487" s="209"/>
      <c r="AA487" s="209"/>
      <c r="AB487" s="207"/>
    </row>
    <row r="488" spans="1:28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209"/>
      <c r="T488" s="209"/>
      <c r="U488" s="207"/>
      <c r="V488" s="209"/>
      <c r="W488" s="207"/>
      <c r="X488" s="209"/>
      <c r="Y488" s="207"/>
      <c r="Z488" s="209"/>
      <c r="AA488" s="209"/>
      <c r="AB488" s="207"/>
    </row>
    <row r="489" spans="1:28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209"/>
      <c r="T489" s="209"/>
      <c r="U489" s="207"/>
      <c r="V489" s="209"/>
      <c r="W489" s="207"/>
      <c r="X489" s="209"/>
      <c r="Y489" s="207"/>
      <c r="Z489" s="209"/>
      <c r="AA489" s="209"/>
      <c r="AB489" s="207"/>
    </row>
    <row r="490" spans="1:28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209"/>
      <c r="T490" s="209"/>
      <c r="U490" s="207"/>
      <c r="V490" s="209"/>
      <c r="W490" s="207"/>
      <c r="X490" s="209"/>
      <c r="Y490" s="207"/>
      <c r="Z490" s="209"/>
      <c r="AA490" s="209"/>
      <c r="AB490" s="207"/>
    </row>
    <row r="491" spans="1:28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209"/>
      <c r="T491" s="209"/>
      <c r="U491" s="207"/>
      <c r="V491" s="209"/>
      <c r="W491" s="207"/>
      <c r="X491" s="209"/>
      <c r="Y491" s="207"/>
      <c r="Z491" s="209"/>
      <c r="AA491" s="209"/>
      <c r="AB491" s="207"/>
    </row>
    <row r="492" spans="1:28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209"/>
      <c r="T492" s="209"/>
      <c r="U492" s="207"/>
      <c r="V492" s="209"/>
      <c r="W492" s="207"/>
      <c r="X492" s="209"/>
      <c r="Y492" s="207"/>
      <c r="Z492" s="209"/>
      <c r="AA492" s="209"/>
      <c r="AB492" s="207"/>
    </row>
    <row r="493" spans="1:28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209"/>
      <c r="T493" s="209"/>
      <c r="U493" s="207"/>
      <c r="V493" s="209"/>
      <c r="W493" s="207"/>
      <c r="X493" s="209"/>
      <c r="Y493" s="207"/>
      <c r="Z493" s="209"/>
      <c r="AA493" s="209"/>
      <c r="AB493" s="207"/>
    </row>
    <row r="494" spans="1:28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209"/>
      <c r="T494" s="209"/>
      <c r="U494" s="207"/>
      <c r="V494" s="209"/>
      <c r="W494" s="207"/>
      <c r="X494" s="209"/>
      <c r="Y494" s="207"/>
      <c r="Z494" s="209"/>
      <c r="AA494" s="209"/>
      <c r="AB494" s="207"/>
    </row>
    <row r="495" spans="1:28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209"/>
      <c r="T495" s="209"/>
      <c r="U495" s="207"/>
      <c r="V495" s="209"/>
      <c r="W495" s="207"/>
      <c r="X495" s="209"/>
      <c r="Y495" s="207"/>
      <c r="Z495" s="209"/>
      <c r="AA495" s="209"/>
      <c r="AB495" s="207"/>
    </row>
    <row r="496" spans="1:28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209"/>
      <c r="T496" s="209"/>
      <c r="U496" s="207"/>
      <c r="V496" s="209"/>
      <c r="W496" s="207"/>
      <c r="X496" s="209"/>
      <c r="Y496" s="207"/>
      <c r="Z496" s="209"/>
      <c r="AA496" s="209"/>
      <c r="AB496" s="207"/>
    </row>
    <row r="497" spans="1:28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209"/>
      <c r="T497" s="209"/>
      <c r="U497" s="207"/>
      <c r="V497" s="209"/>
      <c r="W497" s="207"/>
      <c r="X497" s="209"/>
      <c r="Y497" s="207"/>
      <c r="Z497" s="209"/>
      <c r="AA497" s="209"/>
      <c r="AB497" s="207"/>
    </row>
    <row r="498" spans="1:28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209"/>
      <c r="T498" s="209"/>
      <c r="U498" s="207"/>
      <c r="V498" s="209"/>
      <c r="W498" s="207"/>
      <c r="X498" s="209"/>
      <c r="Y498" s="207"/>
      <c r="Z498" s="209"/>
      <c r="AA498" s="209"/>
      <c r="AB498" s="207"/>
    </row>
    <row r="499" spans="1:28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209"/>
      <c r="T499" s="209"/>
      <c r="U499" s="207"/>
      <c r="V499" s="209"/>
      <c r="W499" s="207"/>
      <c r="X499" s="209"/>
      <c r="Y499" s="207"/>
      <c r="Z499" s="209"/>
      <c r="AA499" s="209"/>
      <c r="AB499" s="207"/>
    </row>
    <row r="500" spans="1:28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209"/>
      <c r="T500" s="209"/>
      <c r="U500" s="207"/>
      <c r="V500" s="209"/>
      <c r="W500" s="207"/>
      <c r="X500" s="209"/>
      <c r="Y500" s="207"/>
      <c r="Z500" s="209"/>
      <c r="AA500" s="209"/>
      <c r="AB500" s="207"/>
    </row>
    <row r="501" spans="1:28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209"/>
      <c r="T501" s="209"/>
      <c r="U501" s="207"/>
      <c r="V501" s="209"/>
      <c r="W501" s="207"/>
      <c r="X501" s="209"/>
      <c r="Y501" s="207"/>
      <c r="Z501" s="209"/>
      <c r="AA501" s="209"/>
      <c r="AB501" s="207"/>
    </row>
    <row r="502" spans="1:28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209"/>
      <c r="T502" s="209"/>
      <c r="U502" s="207"/>
      <c r="V502" s="209"/>
      <c r="W502" s="207"/>
      <c r="X502" s="209"/>
      <c r="Y502" s="207"/>
      <c r="Z502" s="209"/>
      <c r="AA502" s="209"/>
      <c r="AB502" s="207"/>
    </row>
    <row r="503" spans="1:28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209"/>
      <c r="T503" s="209"/>
      <c r="U503" s="207"/>
      <c r="V503" s="209"/>
      <c r="W503" s="207"/>
      <c r="X503" s="209"/>
      <c r="Y503" s="207"/>
      <c r="Z503" s="209"/>
      <c r="AA503" s="209"/>
      <c r="AB503" s="207"/>
    </row>
    <row r="504" spans="1:28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209"/>
      <c r="T504" s="209"/>
      <c r="U504" s="207"/>
      <c r="V504" s="209"/>
      <c r="W504" s="207"/>
      <c r="X504" s="209"/>
      <c r="Y504" s="207"/>
      <c r="Z504" s="209"/>
      <c r="AA504" s="209"/>
      <c r="AB504" s="207"/>
    </row>
    <row r="505" spans="1:28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209"/>
      <c r="T505" s="209"/>
      <c r="U505" s="207"/>
      <c r="V505" s="209"/>
      <c r="W505" s="207"/>
      <c r="X505" s="209"/>
      <c r="Y505" s="207"/>
      <c r="Z505" s="209"/>
      <c r="AA505" s="209"/>
      <c r="AB505" s="207"/>
    </row>
    <row r="506" spans="1:28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209"/>
      <c r="T506" s="209"/>
      <c r="U506" s="207"/>
      <c r="V506" s="209"/>
      <c r="W506" s="207"/>
      <c r="X506" s="209"/>
      <c r="Y506" s="207"/>
      <c r="Z506" s="209"/>
      <c r="AA506" s="209"/>
      <c r="AB506" s="207"/>
    </row>
    <row r="507" spans="1:28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209"/>
      <c r="T507" s="209"/>
      <c r="U507" s="207"/>
      <c r="V507" s="209"/>
      <c r="W507" s="207"/>
      <c r="X507" s="209"/>
      <c r="Y507" s="207"/>
      <c r="Z507" s="209"/>
      <c r="AA507" s="209"/>
      <c r="AB507" s="207"/>
    </row>
    <row r="508" spans="1:28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209"/>
      <c r="T508" s="209"/>
      <c r="U508" s="207"/>
      <c r="V508" s="209"/>
      <c r="W508" s="207"/>
      <c r="X508" s="209"/>
      <c r="Y508" s="207"/>
      <c r="Z508" s="209"/>
      <c r="AA508" s="209"/>
      <c r="AB508" s="207"/>
    </row>
    <row r="509" spans="1:28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209"/>
      <c r="T509" s="209"/>
      <c r="U509" s="207"/>
      <c r="V509" s="209"/>
      <c r="W509" s="207"/>
      <c r="X509" s="209"/>
      <c r="Y509" s="207"/>
      <c r="Z509" s="209"/>
      <c r="AA509" s="209"/>
      <c r="AB509" s="207"/>
    </row>
    <row r="510" spans="1:28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209"/>
      <c r="T510" s="209"/>
      <c r="U510" s="207"/>
      <c r="V510" s="209"/>
      <c r="W510" s="207"/>
      <c r="X510" s="209"/>
      <c r="Y510" s="207"/>
      <c r="Z510" s="209"/>
      <c r="AA510" s="209"/>
      <c r="AB510" s="207"/>
    </row>
    <row r="511" spans="1:28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209"/>
      <c r="T511" s="209"/>
      <c r="U511" s="207"/>
      <c r="V511" s="209"/>
      <c r="W511" s="207"/>
      <c r="X511" s="209"/>
      <c r="Y511" s="207"/>
      <c r="Z511" s="209"/>
      <c r="AA511" s="209"/>
      <c r="AB511" s="207"/>
    </row>
    <row r="512" spans="1:28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209"/>
      <c r="T512" s="209"/>
      <c r="U512" s="207"/>
      <c r="V512" s="209"/>
      <c r="W512" s="207"/>
      <c r="X512" s="209"/>
      <c r="Y512" s="207"/>
      <c r="Z512" s="209"/>
      <c r="AA512" s="209"/>
      <c r="AB512" s="207"/>
    </row>
    <row r="513" spans="1:28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209"/>
      <c r="T513" s="209"/>
      <c r="U513" s="207"/>
      <c r="V513" s="209"/>
      <c r="W513" s="207"/>
      <c r="X513" s="209"/>
      <c r="Y513" s="207"/>
      <c r="Z513" s="209"/>
      <c r="AA513" s="209"/>
      <c r="AB513" s="207"/>
    </row>
    <row r="514" spans="1:28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209"/>
      <c r="T514" s="209"/>
      <c r="U514" s="207"/>
      <c r="V514" s="209"/>
      <c r="W514" s="207"/>
      <c r="X514" s="209"/>
      <c r="Y514" s="207"/>
      <c r="Z514" s="209"/>
      <c r="AA514" s="209"/>
      <c r="AB514" s="207"/>
    </row>
    <row r="515" spans="1:28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209"/>
      <c r="T515" s="209"/>
      <c r="U515" s="207"/>
      <c r="V515" s="209"/>
      <c r="W515" s="207"/>
      <c r="X515" s="209"/>
      <c r="Y515" s="207"/>
      <c r="Z515" s="209"/>
      <c r="AA515" s="209"/>
      <c r="AB515" s="207"/>
    </row>
    <row r="516" spans="1:28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209"/>
      <c r="T516" s="209"/>
      <c r="U516" s="207"/>
      <c r="V516" s="209"/>
      <c r="W516" s="207"/>
      <c r="X516" s="209"/>
      <c r="Y516" s="207"/>
      <c r="Z516" s="209"/>
      <c r="AA516" s="209"/>
      <c r="AB516" s="207"/>
    </row>
    <row r="517" spans="1:28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209"/>
      <c r="T517" s="209"/>
      <c r="U517" s="207"/>
      <c r="V517" s="209"/>
      <c r="W517" s="207"/>
      <c r="X517" s="209"/>
      <c r="Y517" s="207"/>
      <c r="Z517" s="209"/>
      <c r="AA517" s="209"/>
      <c r="AB517" s="207"/>
    </row>
    <row r="518" spans="1:28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209"/>
      <c r="T518" s="209"/>
      <c r="U518" s="207"/>
      <c r="V518" s="209"/>
      <c r="W518" s="207"/>
      <c r="X518" s="209"/>
      <c r="Y518" s="207"/>
      <c r="Z518" s="209"/>
      <c r="AA518" s="209"/>
      <c r="AB518" s="207"/>
    </row>
    <row r="519" spans="1:28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209"/>
      <c r="T519" s="209"/>
      <c r="U519" s="207"/>
      <c r="V519" s="209"/>
      <c r="W519" s="207"/>
      <c r="X519" s="209"/>
      <c r="Y519" s="207"/>
      <c r="Z519" s="209"/>
      <c r="AA519" s="209"/>
      <c r="AB519" s="207"/>
    </row>
    <row r="520" spans="1:28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209"/>
      <c r="T520" s="209"/>
      <c r="U520" s="207"/>
      <c r="V520" s="209"/>
      <c r="W520" s="207"/>
      <c r="X520" s="209"/>
      <c r="Y520" s="207"/>
      <c r="Z520" s="209"/>
      <c r="AA520" s="209"/>
      <c r="AB520" s="207"/>
    </row>
    <row r="521" spans="1:28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209"/>
      <c r="T521" s="209"/>
      <c r="U521" s="207"/>
      <c r="V521" s="209"/>
      <c r="W521" s="207"/>
      <c r="X521" s="209"/>
      <c r="Y521" s="207"/>
      <c r="Z521" s="209"/>
      <c r="AA521" s="209"/>
      <c r="AB521" s="207"/>
    </row>
    <row r="522" spans="1:28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209"/>
      <c r="T522" s="209"/>
      <c r="U522" s="207"/>
      <c r="V522" s="209"/>
      <c r="W522" s="207"/>
      <c r="X522" s="209"/>
      <c r="Y522" s="207"/>
      <c r="Z522" s="209"/>
      <c r="AA522" s="209"/>
      <c r="AB522" s="207"/>
    </row>
    <row r="523" spans="1:28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209"/>
      <c r="T523" s="209"/>
      <c r="U523" s="207"/>
      <c r="V523" s="209"/>
      <c r="W523" s="207"/>
      <c r="X523" s="209"/>
      <c r="Y523" s="207"/>
      <c r="Z523" s="209"/>
      <c r="AA523" s="209"/>
      <c r="AB523" s="207"/>
    </row>
    <row r="524" spans="1:28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209"/>
      <c r="T524" s="209"/>
      <c r="U524" s="207"/>
      <c r="V524" s="209"/>
      <c r="W524" s="207"/>
      <c r="X524" s="209"/>
      <c r="Y524" s="207"/>
      <c r="Z524" s="209"/>
      <c r="AA524" s="209"/>
      <c r="AB524" s="207"/>
    </row>
    <row r="525" spans="1:28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209"/>
      <c r="T525" s="209"/>
      <c r="U525" s="207"/>
      <c r="V525" s="209"/>
      <c r="W525" s="207"/>
      <c r="X525" s="209"/>
      <c r="Y525" s="207"/>
      <c r="Z525" s="209"/>
      <c r="AA525" s="209"/>
      <c r="AB525" s="207"/>
    </row>
    <row r="526" spans="1:28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209"/>
      <c r="T526" s="209"/>
      <c r="U526" s="207"/>
      <c r="V526" s="209"/>
      <c r="W526" s="207"/>
      <c r="X526" s="209"/>
      <c r="Y526" s="207"/>
      <c r="Z526" s="209"/>
      <c r="AA526" s="209"/>
      <c r="AB526" s="207"/>
    </row>
    <row r="527" spans="1:28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209"/>
      <c r="T527" s="209"/>
      <c r="U527" s="207"/>
      <c r="V527" s="209"/>
      <c r="W527" s="207"/>
      <c r="X527" s="209"/>
      <c r="Y527" s="207"/>
      <c r="Z527" s="209"/>
      <c r="AA527" s="209"/>
      <c r="AB527" s="207"/>
    </row>
    <row r="528" spans="1:28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209"/>
      <c r="T528" s="209"/>
      <c r="U528" s="207"/>
      <c r="V528" s="209"/>
      <c r="W528" s="207"/>
      <c r="X528" s="209"/>
      <c r="Y528" s="207"/>
      <c r="Z528" s="209"/>
      <c r="AA528" s="209"/>
      <c r="AB528" s="207"/>
    </row>
    <row r="529" spans="1:28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209"/>
      <c r="T529" s="209"/>
      <c r="U529" s="207"/>
      <c r="V529" s="209"/>
      <c r="W529" s="207"/>
      <c r="X529" s="209"/>
      <c r="Y529" s="207"/>
      <c r="Z529" s="209"/>
      <c r="AA529" s="209"/>
      <c r="AB529" s="207"/>
    </row>
    <row r="530" spans="1:28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209"/>
      <c r="T530" s="209"/>
      <c r="U530" s="207"/>
      <c r="V530" s="209"/>
      <c r="W530" s="207"/>
      <c r="X530" s="209"/>
      <c r="Y530" s="207"/>
      <c r="Z530" s="209"/>
      <c r="AA530" s="209"/>
      <c r="AB530" s="207"/>
    </row>
    <row r="531" spans="1:28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209"/>
      <c r="T531" s="209"/>
      <c r="U531" s="207"/>
      <c r="V531" s="209"/>
      <c r="W531" s="207"/>
      <c r="X531" s="209"/>
      <c r="Y531" s="207"/>
      <c r="Z531" s="209"/>
      <c r="AA531" s="209"/>
      <c r="AB531" s="207"/>
    </row>
    <row r="532" spans="1:28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209"/>
      <c r="T532" s="209"/>
      <c r="U532" s="207"/>
      <c r="V532" s="209"/>
      <c r="W532" s="207"/>
      <c r="X532" s="209"/>
      <c r="Y532" s="207"/>
      <c r="Z532" s="209"/>
      <c r="AA532" s="209"/>
      <c r="AB532" s="207"/>
    </row>
    <row r="533" spans="1:28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209"/>
      <c r="T533" s="209"/>
      <c r="U533" s="207"/>
      <c r="V533" s="209"/>
      <c r="W533" s="207"/>
      <c r="X533" s="209"/>
      <c r="Y533" s="207"/>
      <c r="Z533" s="209"/>
      <c r="AA533" s="209"/>
      <c r="AB533" s="207"/>
    </row>
    <row r="534" spans="1:28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209"/>
      <c r="T534" s="209"/>
      <c r="U534" s="207"/>
      <c r="V534" s="209"/>
      <c r="W534" s="207"/>
      <c r="X534" s="209"/>
      <c r="Y534" s="207"/>
      <c r="Z534" s="209"/>
      <c r="AA534" s="209"/>
      <c r="AB534" s="207"/>
    </row>
    <row r="535" spans="1:28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209"/>
      <c r="T535" s="209"/>
      <c r="U535" s="207"/>
      <c r="V535" s="209"/>
      <c r="W535" s="207"/>
      <c r="X535" s="209"/>
      <c r="Y535" s="207"/>
      <c r="Z535" s="209"/>
      <c r="AA535" s="209"/>
      <c r="AB535" s="207"/>
    </row>
    <row r="536" spans="1:28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209"/>
      <c r="T536" s="209"/>
      <c r="U536" s="207"/>
      <c r="V536" s="209"/>
      <c r="W536" s="207"/>
      <c r="X536" s="209"/>
      <c r="Y536" s="207"/>
      <c r="Z536" s="209"/>
      <c r="AA536" s="209"/>
      <c r="AB536" s="207"/>
    </row>
    <row r="537" spans="1:28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209"/>
      <c r="T537" s="209"/>
      <c r="U537" s="207"/>
      <c r="V537" s="209"/>
      <c r="W537" s="207"/>
      <c r="X537" s="209"/>
      <c r="Y537" s="207"/>
      <c r="Z537" s="209"/>
      <c r="AA537" s="209"/>
      <c r="AB537" s="207"/>
    </row>
    <row r="538" spans="1:28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209"/>
      <c r="T538" s="209"/>
      <c r="U538" s="207"/>
      <c r="V538" s="209"/>
      <c r="W538" s="207"/>
      <c r="X538" s="209"/>
      <c r="Y538" s="207"/>
      <c r="Z538" s="209"/>
      <c r="AA538" s="209"/>
      <c r="AB538" s="207"/>
    </row>
    <row r="539" spans="1:28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209"/>
      <c r="T539" s="209"/>
      <c r="U539" s="207"/>
      <c r="V539" s="209"/>
      <c r="W539" s="207"/>
      <c r="X539" s="209"/>
      <c r="Y539" s="207"/>
      <c r="Z539" s="209"/>
      <c r="AA539" s="209"/>
      <c r="AB539" s="207"/>
    </row>
    <row r="540" spans="1:28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209"/>
      <c r="T540" s="209"/>
      <c r="U540" s="207"/>
      <c r="V540" s="209"/>
      <c r="W540" s="207"/>
      <c r="X540" s="209"/>
      <c r="Y540" s="207"/>
      <c r="Z540" s="209"/>
      <c r="AA540" s="209"/>
      <c r="AB540" s="207"/>
    </row>
    <row r="541" spans="1:28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209"/>
      <c r="T541" s="209"/>
      <c r="U541" s="207"/>
      <c r="V541" s="209"/>
      <c r="W541" s="207"/>
      <c r="X541" s="209"/>
      <c r="Y541" s="207"/>
      <c r="Z541" s="209"/>
      <c r="AA541" s="209"/>
      <c r="AB541" s="207"/>
    </row>
    <row r="542" spans="1:28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209"/>
      <c r="T542" s="209"/>
      <c r="U542" s="207"/>
      <c r="V542" s="209"/>
      <c r="W542" s="207"/>
      <c r="X542" s="209"/>
      <c r="Y542" s="207"/>
      <c r="Z542" s="209"/>
      <c r="AA542" s="209"/>
      <c r="AB542" s="207"/>
    </row>
    <row r="543" spans="1:28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209"/>
      <c r="T543" s="209"/>
      <c r="U543" s="207"/>
      <c r="V543" s="209"/>
      <c r="W543" s="207"/>
      <c r="X543" s="209"/>
      <c r="Y543" s="207"/>
      <c r="Z543" s="209"/>
      <c r="AA543" s="209"/>
      <c r="AB543" s="207"/>
    </row>
    <row r="544" spans="1:28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209"/>
      <c r="T544" s="209"/>
      <c r="U544" s="207"/>
      <c r="V544" s="209"/>
      <c r="W544" s="207"/>
      <c r="X544" s="209"/>
      <c r="Y544" s="207"/>
      <c r="Z544" s="209"/>
      <c r="AA544" s="209"/>
      <c r="AB544" s="207"/>
    </row>
    <row r="545" spans="1:28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209"/>
      <c r="T545" s="209"/>
      <c r="U545" s="207"/>
      <c r="V545" s="209"/>
      <c r="W545" s="207"/>
      <c r="X545" s="209"/>
      <c r="Y545" s="207"/>
      <c r="Z545" s="209"/>
      <c r="AA545" s="209"/>
      <c r="AB545" s="207"/>
    </row>
    <row r="546" spans="1:28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209"/>
      <c r="T546" s="209"/>
      <c r="U546" s="207"/>
      <c r="V546" s="209"/>
      <c r="W546" s="207"/>
      <c r="X546" s="209"/>
      <c r="Y546" s="207"/>
      <c r="Z546" s="209"/>
      <c r="AA546" s="209"/>
      <c r="AB546" s="207"/>
    </row>
    <row r="547" spans="1:28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209"/>
      <c r="T547" s="209"/>
      <c r="U547" s="207"/>
      <c r="V547" s="209"/>
      <c r="W547" s="207"/>
      <c r="X547" s="209"/>
      <c r="Y547" s="207"/>
      <c r="Z547" s="209"/>
      <c r="AA547" s="209"/>
      <c r="AB547" s="207"/>
    </row>
    <row r="548" spans="1:28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209"/>
      <c r="T548" s="209"/>
      <c r="U548" s="207"/>
      <c r="V548" s="209"/>
      <c r="W548" s="207"/>
      <c r="X548" s="209"/>
      <c r="Y548" s="207"/>
      <c r="Z548" s="209"/>
      <c r="AA548" s="209"/>
      <c r="AB548" s="207"/>
    </row>
    <row r="549" spans="1:28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209"/>
      <c r="T549" s="209"/>
      <c r="U549" s="207"/>
      <c r="V549" s="209"/>
      <c r="W549" s="207"/>
      <c r="X549" s="209"/>
      <c r="Y549" s="207"/>
      <c r="Z549" s="209"/>
      <c r="AA549" s="209"/>
      <c r="AB549" s="207"/>
    </row>
    <row r="550" spans="1:28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209"/>
      <c r="T550" s="209"/>
      <c r="U550" s="207"/>
      <c r="V550" s="209"/>
      <c r="W550" s="207"/>
      <c r="X550" s="209"/>
      <c r="Y550" s="207"/>
      <c r="Z550" s="209"/>
      <c r="AA550" s="209"/>
      <c r="AB550" s="207"/>
    </row>
    <row r="551" spans="1:28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209"/>
      <c r="T551" s="209"/>
      <c r="U551" s="207"/>
      <c r="V551" s="209"/>
      <c r="W551" s="207"/>
      <c r="X551" s="209"/>
      <c r="Y551" s="207"/>
      <c r="Z551" s="209"/>
      <c r="AA551" s="209"/>
      <c r="AB551" s="207"/>
    </row>
    <row r="552" spans="1:28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209"/>
      <c r="T552" s="209"/>
      <c r="U552" s="207"/>
      <c r="V552" s="209"/>
      <c r="W552" s="207"/>
      <c r="X552" s="209"/>
      <c r="Y552" s="207"/>
      <c r="Z552" s="209"/>
      <c r="AA552" s="209"/>
      <c r="AB552" s="207"/>
    </row>
    <row r="553" spans="1:28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209"/>
      <c r="T553" s="209"/>
      <c r="U553" s="207"/>
      <c r="V553" s="209"/>
      <c r="W553" s="207"/>
      <c r="X553" s="209"/>
      <c r="Y553" s="207"/>
      <c r="Z553" s="209"/>
      <c r="AA553" s="209"/>
      <c r="AB553" s="207"/>
    </row>
    <row r="554" spans="1:28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209"/>
      <c r="T554" s="209"/>
      <c r="U554" s="207"/>
      <c r="V554" s="209"/>
      <c r="W554" s="207"/>
      <c r="X554" s="209"/>
      <c r="Y554" s="207"/>
      <c r="Z554" s="209"/>
      <c r="AA554" s="209"/>
      <c r="AB554" s="207"/>
    </row>
    <row r="555" spans="1:28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209"/>
      <c r="T555" s="209"/>
      <c r="U555" s="207"/>
      <c r="V555" s="209"/>
      <c r="W555" s="207"/>
      <c r="X555" s="209"/>
      <c r="Y555" s="207"/>
      <c r="Z555" s="209"/>
      <c r="AA555" s="209"/>
      <c r="AB555" s="207"/>
    </row>
    <row r="556" spans="1:28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209"/>
      <c r="T556" s="209"/>
      <c r="U556" s="207"/>
      <c r="V556" s="209"/>
      <c r="W556" s="207"/>
      <c r="X556" s="209"/>
      <c r="Y556" s="207"/>
      <c r="Z556" s="209"/>
      <c r="AA556" s="209"/>
      <c r="AB556" s="207"/>
    </row>
    <row r="557" spans="1:28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209"/>
      <c r="T557" s="209"/>
      <c r="U557" s="207"/>
      <c r="V557" s="209"/>
      <c r="W557" s="207"/>
      <c r="X557" s="209"/>
      <c r="Y557" s="207"/>
      <c r="Z557" s="209"/>
      <c r="AA557" s="209"/>
      <c r="AB557" s="207"/>
    </row>
    <row r="558" spans="1:28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209"/>
      <c r="T558" s="209"/>
      <c r="U558" s="207"/>
      <c r="V558" s="209"/>
      <c r="W558" s="207"/>
      <c r="X558" s="209"/>
      <c r="Y558" s="207"/>
      <c r="Z558" s="209"/>
      <c r="AA558" s="209"/>
      <c r="AB558" s="207"/>
    </row>
    <row r="559" spans="1:28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209"/>
      <c r="T559" s="209"/>
      <c r="U559" s="207"/>
      <c r="V559" s="209"/>
      <c r="W559" s="207"/>
      <c r="X559" s="209"/>
      <c r="Y559" s="207"/>
      <c r="Z559" s="209"/>
      <c r="AA559" s="209"/>
      <c r="AB559" s="207"/>
    </row>
    <row r="560" spans="1:28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209"/>
      <c r="T560" s="209"/>
      <c r="U560" s="207"/>
      <c r="V560" s="209"/>
      <c r="W560" s="207"/>
      <c r="X560" s="209"/>
      <c r="Y560" s="207"/>
      <c r="Z560" s="209"/>
      <c r="AA560" s="209"/>
      <c r="AB560" s="207"/>
    </row>
    <row r="561" spans="1:28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209"/>
      <c r="T561" s="209"/>
      <c r="U561" s="207"/>
      <c r="V561" s="209"/>
      <c r="W561" s="207"/>
      <c r="X561" s="209"/>
      <c r="Y561" s="207"/>
      <c r="Z561" s="209"/>
      <c r="AA561" s="209"/>
      <c r="AB561" s="207"/>
    </row>
    <row r="562" spans="1:28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209"/>
      <c r="T562" s="209"/>
      <c r="U562" s="207"/>
      <c r="V562" s="209"/>
      <c r="W562" s="207"/>
      <c r="X562" s="209"/>
      <c r="Y562" s="207"/>
      <c r="Z562" s="209"/>
      <c r="AA562" s="209"/>
      <c r="AB562" s="207"/>
    </row>
    <row r="563" spans="1:28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209"/>
      <c r="T563" s="209"/>
      <c r="U563" s="207"/>
      <c r="V563" s="209"/>
      <c r="W563" s="207"/>
      <c r="X563" s="209"/>
      <c r="Y563" s="207"/>
      <c r="Z563" s="209"/>
      <c r="AA563" s="209"/>
      <c r="AB563" s="207"/>
    </row>
    <row r="564" spans="1:28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209"/>
      <c r="T564" s="209"/>
      <c r="U564" s="207"/>
      <c r="V564" s="209"/>
      <c r="W564" s="207"/>
      <c r="X564" s="209"/>
      <c r="Y564" s="207"/>
      <c r="Z564" s="209"/>
      <c r="AA564" s="209"/>
      <c r="AB564" s="207"/>
    </row>
    <row r="565" spans="1:28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209"/>
      <c r="T565" s="209"/>
      <c r="U565" s="207"/>
      <c r="V565" s="209"/>
      <c r="W565" s="207"/>
      <c r="X565" s="209"/>
      <c r="Y565" s="207"/>
      <c r="Z565" s="209"/>
      <c r="AA565" s="209"/>
      <c r="AB565" s="207"/>
    </row>
    <row r="566" spans="1:28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209"/>
      <c r="T566" s="209"/>
      <c r="U566" s="207"/>
      <c r="V566" s="209"/>
      <c r="W566" s="207"/>
      <c r="X566" s="209"/>
      <c r="Y566" s="207"/>
      <c r="Z566" s="209"/>
      <c r="AA566" s="209"/>
      <c r="AB566" s="207"/>
    </row>
    <row r="567" spans="1:28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209"/>
      <c r="T567" s="209"/>
      <c r="U567" s="207"/>
      <c r="V567" s="209"/>
      <c r="W567" s="207"/>
      <c r="X567" s="209"/>
      <c r="Y567" s="207"/>
      <c r="Z567" s="209"/>
      <c r="AA567" s="209"/>
      <c r="AB567" s="207"/>
    </row>
    <row r="568" spans="1:28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209"/>
      <c r="T568" s="209"/>
      <c r="U568" s="207"/>
      <c r="V568" s="209"/>
      <c r="W568" s="207"/>
      <c r="X568" s="209"/>
      <c r="Y568" s="207"/>
      <c r="Z568" s="209"/>
      <c r="AA568" s="209"/>
      <c r="AB568" s="207"/>
    </row>
    <row r="569" spans="1:28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209"/>
      <c r="T569" s="209"/>
      <c r="U569" s="207"/>
      <c r="V569" s="209"/>
      <c r="W569" s="207"/>
      <c r="X569" s="209"/>
      <c r="Y569" s="207"/>
      <c r="Z569" s="209"/>
      <c r="AA569" s="209"/>
      <c r="AB569" s="207"/>
    </row>
    <row r="570" spans="1:28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209"/>
      <c r="T570" s="209"/>
      <c r="U570" s="207"/>
      <c r="V570" s="209"/>
      <c r="W570" s="207"/>
      <c r="X570" s="209"/>
      <c r="Y570" s="207"/>
      <c r="Z570" s="209"/>
      <c r="AA570" s="209"/>
      <c r="AB570" s="207"/>
    </row>
    <row r="571" spans="1:28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209"/>
      <c r="T571" s="209"/>
      <c r="U571" s="207"/>
      <c r="V571" s="209"/>
      <c r="W571" s="207"/>
      <c r="X571" s="209"/>
      <c r="Y571" s="207"/>
      <c r="Z571" s="209"/>
      <c r="AA571" s="209"/>
      <c r="AB571" s="207"/>
    </row>
    <row r="572" spans="1:28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209"/>
      <c r="T572" s="209"/>
      <c r="U572" s="207"/>
      <c r="V572" s="209"/>
      <c r="W572" s="207"/>
      <c r="X572" s="209"/>
      <c r="Y572" s="207"/>
      <c r="Z572" s="209"/>
      <c r="AA572" s="209"/>
      <c r="AB572" s="207"/>
    </row>
    <row r="573" spans="1:28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209"/>
      <c r="T573" s="209"/>
      <c r="U573" s="207"/>
      <c r="V573" s="209"/>
      <c r="W573" s="207"/>
      <c r="X573" s="209"/>
      <c r="Y573" s="207"/>
      <c r="Z573" s="209"/>
      <c r="AA573" s="209"/>
      <c r="AB573" s="207"/>
    </row>
    <row r="574" spans="1:28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209"/>
      <c r="T574" s="209"/>
      <c r="U574" s="207"/>
      <c r="V574" s="209"/>
      <c r="W574" s="207"/>
      <c r="X574" s="209"/>
      <c r="Y574" s="207"/>
      <c r="Z574" s="209"/>
      <c r="AA574" s="209"/>
      <c r="AB574" s="207"/>
    </row>
    <row r="575" spans="1:28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209"/>
      <c r="T575" s="209"/>
      <c r="U575" s="207"/>
      <c r="V575" s="209"/>
      <c r="W575" s="207"/>
      <c r="X575" s="209"/>
      <c r="Y575" s="207"/>
      <c r="Z575" s="209"/>
      <c r="AA575" s="209"/>
      <c r="AB575" s="207"/>
    </row>
    <row r="576" spans="1:28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209"/>
      <c r="T576" s="209"/>
      <c r="U576" s="207"/>
      <c r="V576" s="209"/>
      <c r="W576" s="207"/>
      <c r="X576" s="209"/>
      <c r="Y576" s="207"/>
      <c r="Z576" s="209"/>
      <c r="AA576" s="209"/>
      <c r="AB576" s="207"/>
    </row>
    <row r="577" spans="1:28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209"/>
      <c r="T577" s="209"/>
      <c r="U577" s="207"/>
      <c r="V577" s="209"/>
      <c r="W577" s="207"/>
      <c r="X577" s="209"/>
      <c r="Y577" s="207"/>
      <c r="Z577" s="209"/>
      <c r="AA577" s="209"/>
      <c r="AB577" s="207"/>
    </row>
    <row r="578" spans="1:28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209"/>
      <c r="T578" s="209"/>
      <c r="U578" s="207"/>
      <c r="V578" s="209"/>
      <c r="W578" s="207"/>
      <c r="X578" s="209"/>
      <c r="Y578" s="207"/>
      <c r="Z578" s="209"/>
      <c r="AA578" s="209"/>
      <c r="AB578" s="207"/>
    </row>
    <row r="579" spans="1:28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209"/>
      <c r="T579" s="209"/>
      <c r="U579" s="207"/>
      <c r="V579" s="209"/>
      <c r="W579" s="207"/>
      <c r="X579" s="209"/>
      <c r="Y579" s="207"/>
      <c r="Z579" s="209"/>
      <c r="AA579" s="209"/>
      <c r="AB579" s="207"/>
    </row>
    <row r="580" spans="1:28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209"/>
      <c r="T580" s="209"/>
      <c r="U580" s="207"/>
      <c r="V580" s="209"/>
      <c r="W580" s="207"/>
      <c r="X580" s="209"/>
      <c r="Y580" s="207"/>
      <c r="Z580" s="209"/>
      <c r="AA580" s="209"/>
      <c r="AB580" s="207"/>
    </row>
    <row r="581" spans="1:28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209"/>
      <c r="T581" s="209"/>
      <c r="U581" s="207"/>
      <c r="V581" s="209"/>
      <c r="W581" s="207"/>
      <c r="X581" s="209"/>
      <c r="Y581" s="207"/>
      <c r="Z581" s="209"/>
      <c r="AA581" s="209"/>
      <c r="AB581" s="207"/>
    </row>
    <row r="582" spans="1:28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209"/>
      <c r="T582" s="209"/>
      <c r="U582" s="207"/>
      <c r="V582" s="209"/>
      <c r="W582" s="207"/>
      <c r="X582" s="209"/>
      <c r="Y582" s="207"/>
      <c r="Z582" s="209"/>
      <c r="AA582" s="209"/>
      <c r="AB582" s="207"/>
    </row>
    <row r="583" spans="1:28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209"/>
      <c r="T583" s="209"/>
      <c r="U583" s="207"/>
      <c r="V583" s="209"/>
      <c r="W583" s="207"/>
      <c r="X583" s="209"/>
      <c r="Y583" s="207"/>
      <c r="Z583" s="209"/>
      <c r="AA583" s="209"/>
      <c r="AB583" s="207"/>
    </row>
    <row r="584" spans="1:28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209"/>
      <c r="T584" s="209"/>
      <c r="U584" s="207"/>
      <c r="V584" s="209"/>
      <c r="W584" s="207"/>
      <c r="X584" s="209"/>
      <c r="Y584" s="207"/>
      <c r="Z584" s="209"/>
      <c r="AA584" s="209"/>
      <c r="AB584" s="207"/>
    </row>
    <row r="585" spans="1:28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209"/>
      <c r="T585" s="209"/>
      <c r="U585" s="207"/>
      <c r="V585" s="209"/>
      <c r="W585" s="207"/>
      <c r="X585" s="209"/>
      <c r="Y585" s="207"/>
      <c r="Z585" s="209"/>
      <c r="AA585" s="209"/>
      <c r="AB585" s="207"/>
    </row>
    <row r="586" spans="1:28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209"/>
      <c r="T586" s="209"/>
      <c r="U586" s="207"/>
      <c r="V586" s="209"/>
      <c r="W586" s="207"/>
      <c r="X586" s="209"/>
      <c r="Y586" s="207"/>
      <c r="Z586" s="209"/>
      <c r="AA586" s="209"/>
      <c r="AB586" s="207"/>
    </row>
    <row r="587" spans="1:28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209"/>
      <c r="T587" s="209"/>
      <c r="U587" s="207"/>
      <c r="V587" s="209"/>
      <c r="W587" s="207"/>
      <c r="X587" s="209"/>
      <c r="Y587" s="207"/>
      <c r="Z587" s="209"/>
      <c r="AA587" s="209"/>
      <c r="AB587" s="207"/>
    </row>
    <row r="588" spans="1:28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209"/>
      <c r="T588" s="209"/>
      <c r="U588" s="207"/>
      <c r="V588" s="209"/>
      <c r="W588" s="207"/>
      <c r="X588" s="209"/>
      <c r="Y588" s="207"/>
      <c r="Z588" s="209"/>
      <c r="AA588" s="209"/>
      <c r="AB588" s="207"/>
    </row>
    <row r="589" spans="1:28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209"/>
      <c r="T589" s="209"/>
      <c r="U589" s="207"/>
      <c r="V589" s="209"/>
      <c r="W589" s="207"/>
      <c r="X589" s="209"/>
      <c r="Y589" s="207"/>
      <c r="Z589" s="209"/>
      <c r="AA589" s="209"/>
      <c r="AB589" s="207"/>
    </row>
    <row r="590" spans="1:28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209"/>
      <c r="T590" s="209"/>
      <c r="U590" s="207"/>
      <c r="V590" s="209"/>
      <c r="W590" s="207"/>
      <c r="X590" s="209"/>
      <c r="Y590" s="207"/>
      <c r="Z590" s="209"/>
      <c r="AA590" s="209"/>
      <c r="AB590" s="207"/>
    </row>
    <row r="591" spans="1:28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209"/>
      <c r="T591" s="209"/>
      <c r="U591" s="207"/>
      <c r="V591" s="209"/>
      <c r="W591" s="207"/>
      <c r="X591" s="209"/>
      <c r="Y591" s="207"/>
      <c r="Z591" s="209"/>
      <c r="AA591" s="209"/>
      <c r="AB591" s="207"/>
    </row>
    <row r="592" spans="1:28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209"/>
      <c r="T592" s="209"/>
      <c r="U592" s="207"/>
      <c r="V592" s="209"/>
      <c r="W592" s="207"/>
      <c r="X592" s="209"/>
      <c r="Y592" s="207"/>
      <c r="Z592" s="209"/>
      <c r="AA592" s="209"/>
      <c r="AB592" s="207"/>
    </row>
    <row r="593" spans="1:28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209"/>
      <c r="T593" s="209"/>
      <c r="U593" s="207"/>
      <c r="V593" s="209"/>
      <c r="W593" s="207"/>
      <c r="X593" s="209"/>
      <c r="Y593" s="207"/>
      <c r="Z593" s="209"/>
      <c r="AA593" s="209"/>
      <c r="AB593" s="207"/>
    </row>
    <row r="594" spans="1:28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209"/>
      <c r="T594" s="209"/>
      <c r="U594" s="207"/>
      <c r="V594" s="209"/>
      <c r="W594" s="207"/>
      <c r="X594" s="209"/>
      <c r="Y594" s="207"/>
      <c r="Z594" s="209"/>
      <c r="AA594" s="209"/>
      <c r="AB594" s="207"/>
    </row>
    <row r="595" spans="1:28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209"/>
      <c r="T595" s="209"/>
      <c r="U595" s="207"/>
      <c r="V595" s="209"/>
      <c r="W595" s="207"/>
      <c r="X595" s="209"/>
      <c r="Y595" s="207"/>
      <c r="Z595" s="209"/>
      <c r="AA595" s="209"/>
      <c r="AB595" s="207"/>
    </row>
    <row r="596" spans="1:28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209"/>
      <c r="T596" s="209"/>
      <c r="U596" s="207"/>
      <c r="V596" s="209"/>
      <c r="W596" s="207"/>
      <c r="X596" s="209"/>
      <c r="Y596" s="207"/>
      <c r="Z596" s="209"/>
      <c r="AA596" s="209"/>
      <c r="AB596" s="207"/>
    </row>
    <row r="597" spans="1:28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209"/>
      <c r="T597" s="209"/>
      <c r="U597" s="207"/>
      <c r="V597" s="209"/>
      <c r="W597" s="207"/>
      <c r="X597" s="209"/>
      <c r="Y597" s="207"/>
      <c r="Z597" s="209"/>
      <c r="AA597" s="209"/>
      <c r="AB597" s="207"/>
    </row>
    <row r="598" spans="1:28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209"/>
      <c r="T598" s="209"/>
      <c r="U598" s="207"/>
      <c r="V598" s="209"/>
      <c r="W598" s="207"/>
      <c r="X598" s="209"/>
      <c r="Y598" s="207"/>
      <c r="Z598" s="209"/>
      <c r="AA598" s="209"/>
      <c r="AB598" s="207"/>
    </row>
    <row r="599" spans="1:28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209"/>
      <c r="T599" s="209"/>
      <c r="U599" s="207"/>
      <c r="V599" s="209"/>
      <c r="W599" s="207"/>
      <c r="X599" s="209"/>
      <c r="Y599" s="207"/>
      <c r="Z599" s="209"/>
      <c r="AA599" s="209"/>
      <c r="AB599" s="207"/>
    </row>
    <row r="600" spans="1:28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209"/>
      <c r="T600" s="209"/>
      <c r="U600" s="207"/>
      <c r="V600" s="209"/>
      <c r="W600" s="207"/>
      <c r="X600" s="209"/>
      <c r="Y600" s="207"/>
      <c r="Z600" s="209"/>
      <c r="AA600" s="209"/>
      <c r="AB600" s="207"/>
    </row>
    <row r="601" spans="1:28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209"/>
      <c r="T601" s="209"/>
      <c r="U601" s="207"/>
      <c r="V601" s="209"/>
      <c r="W601" s="207"/>
      <c r="X601" s="209"/>
      <c r="Y601" s="207"/>
      <c r="Z601" s="209"/>
      <c r="AA601" s="209"/>
      <c r="AB601" s="207"/>
    </row>
    <row r="602" spans="1:28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209"/>
      <c r="T602" s="209"/>
      <c r="U602" s="207"/>
      <c r="V602" s="209"/>
      <c r="W602" s="207"/>
      <c r="X602" s="209"/>
      <c r="Y602" s="207"/>
      <c r="Z602" s="209"/>
      <c r="AA602" s="209"/>
      <c r="AB602" s="207"/>
    </row>
    <row r="603" spans="1:28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209"/>
      <c r="T603" s="209"/>
      <c r="U603" s="207"/>
      <c r="V603" s="209"/>
      <c r="W603" s="207"/>
      <c r="X603" s="209"/>
      <c r="Y603" s="207"/>
      <c r="Z603" s="209"/>
      <c r="AA603" s="209"/>
      <c r="AB603" s="207"/>
    </row>
    <row r="604" spans="1:28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209"/>
      <c r="T604" s="209"/>
      <c r="U604" s="207"/>
      <c r="V604" s="209"/>
      <c r="W604" s="207"/>
      <c r="X604" s="209"/>
      <c r="Y604" s="207"/>
      <c r="Z604" s="209"/>
      <c r="AA604" s="209"/>
      <c r="AB604" s="207"/>
    </row>
    <row r="605" spans="1:28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209"/>
      <c r="T605" s="209"/>
      <c r="U605" s="207"/>
      <c r="V605" s="209"/>
      <c r="W605" s="207"/>
      <c r="X605" s="209"/>
      <c r="Y605" s="207"/>
      <c r="Z605" s="209"/>
      <c r="AA605" s="209"/>
      <c r="AB605" s="207"/>
    </row>
    <row r="606" spans="1:28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209"/>
      <c r="T606" s="209"/>
      <c r="U606" s="207"/>
      <c r="V606" s="209"/>
      <c r="W606" s="207"/>
      <c r="X606" s="209"/>
      <c r="Y606" s="207"/>
      <c r="Z606" s="209"/>
      <c r="AA606" s="209"/>
      <c r="AB606" s="207"/>
    </row>
    <row r="607" spans="1:28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209"/>
      <c r="T607" s="209"/>
      <c r="U607" s="207"/>
      <c r="V607" s="209"/>
      <c r="W607" s="207"/>
      <c r="X607" s="209"/>
      <c r="Y607" s="207"/>
      <c r="Z607" s="209"/>
      <c r="AA607" s="209"/>
      <c r="AB607" s="207"/>
    </row>
    <row r="608" spans="1:28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209"/>
      <c r="T608" s="209"/>
      <c r="U608" s="207"/>
      <c r="V608" s="209"/>
      <c r="W608" s="207"/>
      <c r="X608" s="209"/>
      <c r="Y608" s="207"/>
      <c r="Z608" s="209"/>
      <c r="AA608" s="209"/>
      <c r="AB608" s="207"/>
    </row>
    <row r="609" spans="1:28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209"/>
      <c r="T609" s="209"/>
      <c r="U609" s="207"/>
      <c r="V609" s="209"/>
      <c r="W609" s="207"/>
      <c r="X609" s="209"/>
      <c r="Y609" s="207"/>
      <c r="Z609" s="209"/>
      <c r="AA609" s="209"/>
      <c r="AB609" s="207"/>
    </row>
    <row r="610" spans="1:28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209"/>
      <c r="T610" s="209"/>
      <c r="U610" s="207"/>
      <c r="V610" s="209"/>
      <c r="W610" s="207"/>
      <c r="X610" s="209"/>
      <c r="Y610" s="207"/>
      <c r="Z610" s="209"/>
      <c r="AA610" s="209"/>
      <c r="AB610" s="207"/>
    </row>
    <row r="611" spans="1:28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209"/>
      <c r="T611" s="209"/>
      <c r="U611" s="207"/>
      <c r="V611" s="209"/>
      <c r="W611" s="207"/>
      <c r="X611" s="209"/>
      <c r="Y611" s="207"/>
      <c r="Z611" s="209"/>
      <c r="AA611" s="209"/>
      <c r="AB611" s="207"/>
    </row>
    <row r="612" spans="1:28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209"/>
      <c r="T612" s="209"/>
      <c r="U612" s="207"/>
      <c r="V612" s="209"/>
      <c r="W612" s="207"/>
      <c r="X612" s="209"/>
      <c r="Y612" s="207"/>
      <c r="Z612" s="209"/>
      <c r="AA612" s="209"/>
      <c r="AB612" s="207"/>
    </row>
    <row r="613" spans="1:28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209"/>
      <c r="T613" s="209"/>
      <c r="U613" s="207"/>
      <c r="V613" s="209"/>
      <c r="W613" s="207"/>
      <c r="X613" s="209"/>
      <c r="Y613" s="207"/>
      <c r="Z613" s="209"/>
      <c r="AA613" s="209"/>
      <c r="AB613" s="207"/>
    </row>
    <row r="614" spans="1:28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209"/>
      <c r="T614" s="209"/>
      <c r="U614" s="207"/>
      <c r="V614" s="209"/>
      <c r="W614" s="207"/>
      <c r="X614" s="209"/>
      <c r="Y614" s="207"/>
      <c r="Z614" s="209"/>
      <c r="AA614" s="209"/>
      <c r="AB614" s="207"/>
    </row>
    <row r="615" spans="1:28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209"/>
      <c r="T615" s="209"/>
      <c r="U615" s="207"/>
      <c r="V615" s="209"/>
      <c r="W615" s="207"/>
      <c r="X615" s="209"/>
      <c r="Y615" s="207"/>
      <c r="Z615" s="209"/>
      <c r="AA615" s="209"/>
      <c r="AB615" s="207"/>
    </row>
    <row r="616" spans="1:28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209"/>
      <c r="T616" s="209"/>
      <c r="U616" s="207"/>
      <c r="V616" s="209"/>
      <c r="W616" s="207"/>
      <c r="X616" s="209"/>
      <c r="Y616" s="207"/>
      <c r="Z616" s="209"/>
      <c r="AA616" s="209"/>
      <c r="AB616" s="207"/>
    </row>
    <row r="617" spans="1:28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209"/>
      <c r="T617" s="209"/>
      <c r="U617" s="207"/>
      <c r="V617" s="209"/>
      <c r="W617" s="207"/>
      <c r="X617" s="209"/>
      <c r="Y617" s="207"/>
      <c r="Z617" s="209"/>
      <c r="AA617" s="209"/>
      <c r="AB617" s="207"/>
    </row>
    <row r="618" spans="1:28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209"/>
      <c r="T618" s="209"/>
      <c r="U618" s="207"/>
      <c r="V618" s="209"/>
      <c r="W618" s="207"/>
      <c r="X618" s="209"/>
      <c r="Y618" s="207"/>
      <c r="Z618" s="209"/>
      <c r="AA618" s="209"/>
      <c r="AB618" s="207"/>
    </row>
    <row r="619" spans="1:28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209"/>
      <c r="T619" s="209"/>
      <c r="U619" s="207"/>
      <c r="V619" s="209"/>
      <c r="W619" s="207"/>
      <c r="X619" s="209"/>
      <c r="Y619" s="207"/>
      <c r="Z619" s="209"/>
      <c r="AA619" s="209"/>
      <c r="AB619" s="207"/>
    </row>
    <row r="620" spans="1:28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209"/>
      <c r="T620" s="209"/>
      <c r="U620" s="207"/>
      <c r="V620" s="209"/>
      <c r="W620" s="207"/>
      <c r="X620" s="209"/>
      <c r="Y620" s="207"/>
      <c r="Z620" s="209"/>
      <c r="AA620" s="209"/>
      <c r="AB620" s="207"/>
    </row>
    <row r="621" spans="1:28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209"/>
      <c r="T621" s="209"/>
      <c r="U621" s="207"/>
      <c r="V621" s="209"/>
      <c r="W621" s="207"/>
      <c r="X621" s="209"/>
      <c r="Y621" s="207"/>
      <c r="Z621" s="209"/>
      <c r="AA621" s="209"/>
      <c r="AB621" s="207"/>
    </row>
    <row r="622" spans="1:28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209"/>
      <c r="T622" s="209"/>
      <c r="U622" s="207"/>
      <c r="V622" s="209"/>
      <c r="W622" s="207"/>
      <c r="X622" s="209"/>
      <c r="Y622" s="207"/>
      <c r="Z622" s="209"/>
      <c r="AA622" s="209"/>
      <c r="AB622" s="207"/>
    </row>
    <row r="623" spans="1:28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209"/>
      <c r="T623" s="209"/>
      <c r="U623" s="207"/>
      <c r="V623" s="209"/>
      <c r="W623" s="207"/>
      <c r="X623" s="209"/>
      <c r="Y623" s="207"/>
      <c r="Z623" s="209"/>
      <c r="AA623" s="209"/>
      <c r="AB623" s="207"/>
    </row>
    <row r="624" spans="1:28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209"/>
      <c r="T624" s="209"/>
      <c r="U624" s="207"/>
      <c r="V624" s="209"/>
      <c r="W624" s="207"/>
      <c r="X624" s="209"/>
      <c r="Y624" s="207"/>
      <c r="Z624" s="209"/>
      <c r="AA624" s="209"/>
      <c r="AB624" s="207"/>
    </row>
    <row r="625" spans="1:28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209"/>
      <c r="T625" s="209"/>
      <c r="U625" s="207"/>
      <c r="V625" s="209"/>
      <c r="W625" s="207"/>
      <c r="X625" s="209"/>
      <c r="Y625" s="207"/>
      <c r="Z625" s="209"/>
      <c r="AA625" s="209"/>
      <c r="AB625" s="207"/>
    </row>
    <row r="626" spans="1:28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209"/>
      <c r="T626" s="209"/>
      <c r="U626" s="207"/>
      <c r="V626" s="209"/>
      <c r="W626" s="207"/>
      <c r="X626" s="209"/>
      <c r="Y626" s="207"/>
      <c r="Z626" s="209"/>
      <c r="AA626" s="209"/>
      <c r="AB626" s="207"/>
    </row>
    <row r="627" spans="1:28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209"/>
      <c r="T627" s="209"/>
      <c r="U627" s="207"/>
      <c r="V627" s="209"/>
      <c r="W627" s="207"/>
      <c r="X627" s="209"/>
      <c r="Y627" s="207"/>
      <c r="Z627" s="209"/>
      <c r="AA627" s="209"/>
      <c r="AB627" s="207"/>
    </row>
    <row r="628" spans="1:28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209"/>
      <c r="T628" s="209"/>
      <c r="U628" s="207"/>
      <c r="V628" s="209"/>
      <c r="W628" s="207"/>
      <c r="X628" s="209"/>
      <c r="Y628" s="207"/>
      <c r="Z628" s="209"/>
      <c r="AA628" s="209"/>
      <c r="AB628" s="207"/>
    </row>
    <row r="629" spans="1:28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209"/>
      <c r="T629" s="209"/>
      <c r="U629" s="207"/>
      <c r="V629" s="209"/>
      <c r="W629" s="207"/>
      <c r="X629" s="209"/>
      <c r="Y629" s="207"/>
      <c r="Z629" s="209"/>
      <c r="AA629" s="209"/>
      <c r="AB629" s="207"/>
    </row>
    <row r="630" spans="1:28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209"/>
      <c r="T630" s="209"/>
      <c r="U630" s="207"/>
      <c r="V630" s="209"/>
      <c r="W630" s="207"/>
      <c r="X630" s="209"/>
      <c r="Y630" s="207"/>
      <c r="Z630" s="209"/>
      <c r="AA630" s="209"/>
      <c r="AB630" s="207"/>
    </row>
    <row r="631" spans="1:28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209"/>
      <c r="T631" s="209"/>
      <c r="U631" s="207"/>
      <c r="V631" s="209"/>
      <c r="W631" s="207"/>
      <c r="X631" s="209"/>
      <c r="Y631" s="207"/>
      <c r="Z631" s="209"/>
      <c r="AA631" s="209"/>
      <c r="AB631" s="207"/>
    </row>
    <row r="632" spans="1:28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209"/>
      <c r="T632" s="209"/>
      <c r="U632" s="207"/>
      <c r="V632" s="209"/>
      <c r="W632" s="207"/>
      <c r="X632" s="209"/>
      <c r="Y632" s="207"/>
      <c r="Z632" s="209"/>
      <c r="AA632" s="209"/>
      <c r="AB632" s="207"/>
    </row>
    <row r="633" spans="1:28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209"/>
      <c r="T633" s="209"/>
      <c r="U633" s="207"/>
      <c r="V633" s="209"/>
      <c r="W633" s="207"/>
      <c r="X633" s="209"/>
      <c r="Y633" s="207"/>
      <c r="Z633" s="209"/>
      <c r="AA633" s="209"/>
      <c r="AB633" s="207"/>
    </row>
    <row r="634" spans="1:28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209"/>
      <c r="T634" s="209"/>
      <c r="U634" s="207"/>
      <c r="V634" s="209"/>
      <c r="W634" s="207"/>
      <c r="X634" s="209"/>
      <c r="Y634" s="207"/>
      <c r="Z634" s="209"/>
      <c r="AA634" s="209"/>
      <c r="AB634" s="207"/>
    </row>
    <row r="635" spans="1:28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209"/>
      <c r="T635" s="209"/>
      <c r="U635" s="207"/>
      <c r="V635" s="209"/>
      <c r="W635" s="207"/>
      <c r="X635" s="209"/>
      <c r="Y635" s="207"/>
      <c r="Z635" s="209"/>
      <c r="AA635" s="209"/>
      <c r="AB635" s="207"/>
    </row>
    <row r="636" spans="1:28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209"/>
      <c r="T636" s="209"/>
      <c r="U636" s="207"/>
      <c r="V636" s="209"/>
      <c r="W636" s="207"/>
      <c r="X636" s="209"/>
      <c r="Y636" s="207"/>
      <c r="Z636" s="209"/>
      <c r="AA636" s="209"/>
      <c r="AB636" s="207"/>
    </row>
    <row r="637" spans="1:28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209"/>
      <c r="T637" s="209"/>
      <c r="U637" s="207"/>
      <c r="V637" s="209"/>
      <c r="W637" s="207"/>
      <c r="X637" s="209"/>
      <c r="Y637" s="207"/>
      <c r="Z637" s="209"/>
      <c r="AA637" s="209"/>
      <c r="AB637" s="207"/>
    </row>
    <row r="638" spans="1:28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209"/>
      <c r="T638" s="209"/>
      <c r="U638" s="207"/>
      <c r="V638" s="209"/>
      <c r="W638" s="207"/>
      <c r="X638" s="209"/>
      <c r="Y638" s="207"/>
      <c r="Z638" s="209"/>
      <c r="AA638" s="209"/>
      <c r="AB638" s="207"/>
    </row>
    <row r="639" spans="1:28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209"/>
      <c r="T639" s="209"/>
      <c r="U639" s="207"/>
      <c r="V639" s="209"/>
      <c r="W639" s="207"/>
      <c r="X639" s="209"/>
      <c r="Y639" s="207"/>
      <c r="Z639" s="209"/>
      <c r="AA639" s="209"/>
      <c r="AB639" s="207"/>
    </row>
    <row r="640" spans="1:28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209"/>
      <c r="T640" s="209"/>
      <c r="U640" s="207"/>
      <c r="V640" s="209"/>
      <c r="W640" s="207"/>
      <c r="X640" s="209"/>
      <c r="Y640" s="207"/>
      <c r="Z640" s="209"/>
      <c r="AA640" s="209"/>
      <c r="AB640" s="207"/>
    </row>
    <row r="641" spans="1:28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209"/>
      <c r="T641" s="209"/>
      <c r="U641" s="207"/>
      <c r="V641" s="209"/>
      <c r="W641" s="207"/>
      <c r="X641" s="209"/>
      <c r="Y641" s="207"/>
      <c r="Z641" s="209"/>
      <c r="AA641" s="209"/>
      <c r="AB641" s="207"/>
    </row>
    <row r="642" spans="1:28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209"/>
      <c r="T642" s="209"/>
      <c r="U642" s="207"/>
      <c r="V642" s="209"/>
      <c r="W642" s="207"/>
      <c r="X642" s="209"/>
      <c r="Y642" s="207"/>
      <c r="Z642" s="209"/>
      <c r="AA642" s="209"/>
      <c r="AB642" s="207"/>
    </row>
    <row r="643" spans="1:28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209"/>
      <c r="T643" s="209"/>
      <c r="U643" s="207"/>
      <c r="V643" s="209"/>
      <c r="W643" s="207"/>
      <c r="X643" s="209"/>
      <c r="Y643" s="207"/>
      <c r="Z643" s="209"/>
      <c r="AA643" s="209"/>
      <c r="AB643" s="207"/>
    </row>
    <row r="644" spans="1:28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209"/>
      <c r="T644" s="209"/>
      <c r="U644" s="207"/>
      <c r="V644" s="209"/>
      <c r="W644" s="207"/>
      <c r="X644" s="209"/>
      <c r="Y644" s="207"/>
      <c r="Z644" s="209"/>
      <c r="AA644" s="209"/>
      <c r="AB644" s="207"/>
    </row>
    <row r="645" spans="1:28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209"/>
      <c r="T645" s="209"/>
      <c r="U645" s="207"/>
      <c r="V645" s="209"/>
      <c r="W645" s="207"/>
      <c r="X645" s="209"/>
      <c r="Y645" s="207"/>
      <c r="Z645" s="209"/>
      <c r="AA645" s="209"/>
      <c r="AB645" s="207"/>
    </row>
    <row r="646" spans="1:28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209"/>
      <c r="T646" s="209"/>
      <c r="U646" s="207"/>
      <c r="V646" s="209"/>
      <c r="W646" s="207"/>
      <c r="X646" s="209"/>
      <c r="Y646" s="207"/>
      <c r="Z646" s="209"/>
      <c r="AA646" s="209"/>
      <c r="AB646" s="207"/>
    </row>
    <row r="647" spans="1:28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209"/>
      <c r="T647" s="209"/>
      <c r="U647" s="207"/>
      <c r="V647" s="209"/>
      <c r="W647" s="207"/>
      <c r="X647" s="209"/>
      <c r="Y647" s="207"/>
      <c r="Z647" s="209"/>
      <c r="AA647" s="209"/>
      <c r="AB647" s="207"/>
    </row>
    <row r="648" spans="1:28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209"/>
      <c r="T648" s="209"/>
      <c r="U648" s="207"/>
      <c r="V648" s="209"/>
      <c r="W648" s="207"/>
      <c r="X648" s="209"/>
      <c r="Y648" s="207"/>
      <c r="Z648" s="209"/>
      <c r="AA648" s="209"/>
      <c r="AB648" s="207"/>
    </row>
    <row r="649" spans="1:28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209"/>
      <c r="T649" s="209"/>
      <c r="U649" s="207"/>
      <c r="V649" s="209"/>
      <c r="W649" s="207"/>
      <c r="X649" s="209"/>
      <c r="Y649" s="207"/>
      <c r="Z649" s="209"/>
      <c r="AA649" s="209"/>
      <c r="AB649" s="207"/>
    </row>
    <row r="650" spans="1:28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209"/>
      <c r="T650" s="209"/>
      <c r="U650" s="207"/>
      <c r="V650" s="209"/>
      <c r="W650" s="207"/>
      <c r="X650" s="209"/>
      <c r="Y650" s="207"/>
      <c r="Z650" s="209"/>
      <c r="AA650" s="209"/>
      <c r="AB650" s="207"/>
    </row>
    <row r="651" spans="1:28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209"/>
      <c r="T651" s="209"/>
      <c r="U651" s="207"/>
      <c r="V651" s="209"/>
      <c r="W651" s="207"/>
      <c r="X651" s="209"/>
      <c r="Y651" s="207"/>
      <c r="Z651" s="209"/>
      <c r="AA651" s="209"/>
      <c r="AB651" s="207"/>
    </row>
    <row r="652" spans="1:28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209"/>
      <c r="T652" s="209"/>
      <c r="U652" s="207"/>
      <c r="V652" s="209"/>
      <c r="W652" s="207"/>
      <c r="X652" s="209"/>
      <c r="Y652" s="207"/>
      <c r="Z652" s="209"/>
      <c r="AA652" s="209"/>
      <c r="AB652" s="207"/>
    </row>
    <row r="653" spans="1:28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209"/>
      <c r="T653" s="209"/>
      <c r="U653" s="207"/>
      <c r="V653" s="209"/>
      <c r="W653" s="207"/>
      <c r="X653" s="209"/>
      <c r="Y653" s="207"/>
      <c r="Z653" s="209"/>
      <c r="AA653" s="209"/>
      <c r="AB653" s="207"/>
    </row>
    <row r="654" spans="1:28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209"/>
      <c r="T654" s="209"/>
      <c r="U654" s="207"/>
      <c r="V654" s="209"/>
      <c r="W654" s="207"/>
      <c r="X654" s="209"/>
      <c r="Y654" s="207"/>
      <c r="Z654" s="209"/>
      <c r="AA654" s="209"/>
      <c r="AB654" s="207"/>
    </row>
    <row r="655" spans="1:28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209"/>
      <c r="T655" s="209"/>
      <c r="U655" s="207"/>
      <c r="V655" s="209"/>
      <c r="W655" s="207"/>
      <c r="X655" s="209"/>
      <c r="Y655" s="207"/>
      <c r="Z655" s="209"/>
      <c r="AA655" s="209"/>
      <c r="AB655" s="207"/>
    </row>
    <row r="656" spans="1:28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209"/>
      <c r="T656" s="209"/>
      <c r="U656" s="207"/>
      <c r="V656" s="209"/>
      <c r="W656" s="207"/>
      <c r="X656" s="209"/>
      <c r="Y656" s="207"/>
      <c r="Z656" s="209"/>
      <c r="AA656" s="209"/>
      <c r="AB656" s="207"/>
    </row>
    <row r="657" spans="1:28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209"/>
      <c r="T657" s="209"/>
      <c r="U657" s="207"/>
      <c r="V657" s="209"/>
      <c r="W657" s="207"/>
      <c r="X657" s="209"/>
      <c r="Y657" s="207"/>
      <c r="Z657" s="209"/>
      <c r="AA657" s="209"/>
      <c r="AB657" s="207"/>
    </row>
    <row r="658" spans="1:28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209"/>
      <c r="T658" s="209"/>
      <c r="U658" s="207"/>
      <c r="V658" s="209"/>
      <c r="W658" s="207"/>
      <c r="X658" s="209"/>
      <c r="Y658" s="207"/>
      <c r="Z658" s="209"/>
      <c r="AA658" s="209"/>
      <c r="AB658" s="207"/>
    </row>
    <row r="659" spans="1:28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209"/>
      <c r="T659" s="209"/>
      <c r="U659" s="207"/>
      <c r="V659" s="209"/>
      <c r="W659" s="207"/>
      <c r="X659" s="209"/>
      <c r="Y659" s="207"/>
      <c r="Z659" s="209"/>
      <c r="AA659" s="209"/>
      <c r="AB659" s="207"/>
    </row>
    <row r="660" spans="1:28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209"/>
      <c r="T660" s="209"/>
      <c r="U660" s="207"/>
      <c r="V660" s="209"/>
      <c r="W660" s="207"/>
      <c r="X660" s="209"/>
      <c r="Y660" s="207"/>
      <c r="Z660" s="209"/>
      <c r="AA660" s="209"/>
      <c r="AB660" s="207"/>
    </row>
    <row r="661" spans="1:28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209"/>
      <c r="T661" s="209"/>
      <c r="U661" s="207"/>
      <c r="V661" s="209"/>
      <c r="W661" s="207"/>
      <c r="X661" s="209"/>
      <c r="Y661" s="207"/>
      <c r="Z661" s="209"/>
      <c r="AA661" s="209"/>
      <c r="AB661" s="207"/>
    </row>
    <row r="662" spans="1:28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209"/>
      <c r="T662" s="209"/>
      <c r="U662" s="207"/>
      <c r="V662" s="209"/>
      <c r="W662" s="207"/>
      <c r="X662" s="209"/>
      <c r="Y662" s="207"/>
      <c r="Z662" s="209"/>
      <c r="AA662" s="209"/>
      <c r="AB662" s="207"/>
    </row>
    <row r="663" spans="1:28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209"/>
      <c r="T663" s="209"/>
      <c r="U663" s="207"/>
      <c r="V663" s="209"/>
      <c r="W663" s="207"/>
      <c r="X663" s="209"/>
      <c r="Y663" s="207"/>
      <c r="Z663" s="209"/>
      <c r="AA663" s="209"/>
      <c r="AB663" s="207"/>
    </row>
    <row r="664" spans="1:28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209"/>
      <c r="T664" s="209"/>
      <c r="U664" s="207"/>
      <c r="V664" s="209"/>
      <c r="W664" s="207"/>
      <c r="X664" s="209"/>
      <c r="Y664" s="207"/>
      <c r="Z664" s="209"/>
      <c r="AA664" s="209"/>
      <c r="AB664" s="207"/>
    </row>
    <row r="665" spans="1:28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209"/>
      <c r="T665" s="209"/>
      <c r="U665" s="207"/>
      <c r="V665" s="209"/>
      <c r="W665" s="207"/>
      <c r="X665" s="209"/>
      <c r="Y665" s="207"/>
      <c r="Z665" s="209"/>
      <c r="AA665" s="209"/>
      <c r="AB665" s="207"/>
    </row>
    <row r="666" spans="1:28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209"/>
      <c r="T666" s="209"/>
      <c r="U666" s="207"/>
      <c r="V666" s="209"/>
      <c r="W666" s="207"/>
      <c r="X666" s="209"/>
      <c r="Y666" s="207"/>
      <c r="Z666" s="209"/>
      <c r="AA666" s="209"/>
      <c r="AB666" s="207"/>
    </row>
    <row r="667" spans="1:28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209"/>
      <c r="T667" s="209"/>
      <c r="U667" s="207"/>
      <c r="V667" s="209"/>
      <c r="W667" s="207"/>
      <c r="X667" s="209"/>
      <c r="Y667" s="207"/>
      <c r="Z667" s="209"/>
      <c r="AA667" s="209"/>
      <c r="AB667" s="207"/>
    </row>
    <row r="668" spans="1:28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209"/>
      <c r="T668" s="209"/>
      <c r="U668" s="207"/>
      <c r="V668" s="209"/>
      <c r="W668" s="207"/>
      <c r="X668" s="209"/>
      <c r="Y668" s="207"/>
      <c r="Z668" s="209"/>
      <c r="AA668" s="209"/>
      <c r="AB668" s="207"/>
    </row>
    <row r="669" spans="1:28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209"/>
      <c r="T669" s="209"/>
      <c r="U669" s="207"/>
      <c r="V669" s="209"/>
      <c r="W669" s="207"/>
      <c r="X669" s="209"/>
      <c r="Y669" s="207"/>
      <c r="Z669" s="209"/>
      <c r="AA669" s="209"/>
      <c r="AB669" s="207"/>
    </row>
    <row r="670" spans="1:28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209"/>
      <c r="T670" s="209"/>
      <c r="U670" s="207"/>
      <c r="V670" s="209"/>
      <c r="W670" s="207"/>
      <c r="X670" s="209"/>
      <c r="Y670" s="207"/>
      <c r="Z670" s="209"/>
      <c r="AA670" s="209"/>
      <c r="AB670" s="207"/>
    </row>
    <row r="671" spans="1:28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209"/>
      <c r="T671" s="209"/>
      <c r="U671" s="207"/>
      <c r="V671" s="209"/>
      <c r="W671" s="207"/>
      <c r="X671" s="209"/>
      <c r="Y671" s="207"/>
      <c r="Z671" s="209"/>
      <c r="AA671" s="209"/>
      <c r="AB671" s="207"/>
    </row>
    <row r="672" spans="1:28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209"/>
      <c r="T672" s="209"/>
      <c r="U672" s="207"/>
      <c r="V672" s="209"/>
      <c r="W672" s="207"/>
      <c r="X672" s="209"/>
      <c r="Y672" s="207"/>
      <c r="Z672" s="209"/>
      <c r="AA672" s="209"/>
      <c r="AB672" s="207"/>
    </row>
    <row r="673" spans="1:28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209"/>
      <c r="T673" s="209"/>
      <c r="U673" s="207"/>
      <c r="V673" s="209"/>
      <c r="W673" s="207"/>
      <c r="X673" s="209"/>
      <c r="Y673" s="207"/>
      <c r="Z673" s="209"/>
      <c r="AA673" s="209"/>
      <c r="AB673" s="207"/>
    </row>
    <row r="674" spans="1:28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209"/>
      <c r="T674" s="209"/>
      <c r="U674" s="207"/>
      <c r="V674" s="209"/>
      <c r="W674" s="207"/>
      <c r="X674" s="209"/>
      <c r="Y674" s="207"/>
      <c r="Z674" s="209"/>
      <c r="AA674" s="209"/>
      <c r="AB674" s="207"/>
    </row>
    <row r="675" spans="1:28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209"/>
      <c r="T675" s="209"/>
      <c r="U675" s="207"/>
      <c r="V675" s="209"/>
      <c r="W675" s="207"/>
      <c r="X675" s="209"/>
      <c r="Y675" s="207"/>
      <c r="Z675" s="209"/>
      <c r="AA675" s="209"/>
      <c r="AB675" s="207"/>
    </row>
    <row r="676" spans="1:28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209"/>
      <c r="T676" s="209"/>
      <c r="U676" s="207"/>
      <c r="V676" s="209"/>
      <c r="W676" s="207"/>
      <c r="X676" s="209"/>
      <c r="Y676" s="207"/>
      <c r="Z676" s="209"/>
      <c r="AA676" s="209"/>
      <c r="AB676" s="207"/>
    </row>
    <row r="677" spans="1:28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209"/>
      <c r="T677" s="209"/>
      <c r="U677" s="207"/>
      <c r="V677" s="209"/>
      <c r="W677" s="207"/>
      <c r="X677" s="209"/>
      <c r="Y677" s="207"/>
      <c r="Z677" s="209"/>
      <c r="AA677" s="209"/>
      <c r="AB677" s="207"/>
    </row>
    <row r="678" spans="1:28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209"/>
      <c r="T678" s="209"/>
      <c r="U678" s="207"/>
      <c r="V678" s="209"/>
      <c r="W678" s="207"/>
      <c r="X678" s="209"/>
      <c r="Y678" s="207"/>
      <c r="Z678" s="209"/>
      <c r="AA678" s="209"/>
      <c r="AB678" s="207"/>
    </row>
    <row r="679" spans="1:28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209"/>
      <c r="T679" s="209"/>
      <c r="U679" s="207"/>
      <c r="V679" s="209"/>
      <c r="W679" s="207"/>
      <c r="X679" s="209"/>
      <c r="Y679" s="207"/>
      <c r="Z679" s="209"/>
      <c r="AA679" s="209"/>
      <c r="AB679" s="207"/>
    </row>
    <row r="680" spans="1:28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209"/>
      <c r="T680" s="209"/>
      <c r="U680" s="207"/>
      <c r="V680" s="209"/>
      <c r="W680" s="207"/>
      <c r="X680" s="209"/>
      <c r="Y680" s="207"/>
      <c r="Z680" s="209"/>
      <c r="AA680" s="209"/>
      <c r="AB680" s="207"/>
    </row>
    <row r="681" spans="1:28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209"/>
      <c r="T681" s="209"/>
      <c r="U681" s="207"/>
      <c r="V681" s="209"/>
      <c r="W681" s="207"/>
      <c r="X681" s="209"/>
      <c r="Y681" s="207"/>
      <c r="Z681" s="209"/>
      <c r="AA681" s="209"/>
      <c r="AB681" s="207"/>
    </row>
    <row r="682" spans="1:28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209"/>
      <c r="T682" s="209"/>
      <c r="U682" s="207"/>
      <c r="V682" s="209"/>
      <c r="W682" s="207"/>
      <c r="X682" s="209"/>
      <c r="Y682" s="207"/>
      <c r="Z682" s="209"/>
      <c r="AA682" s="209"/>
      <c r="AB682" s="207"/>
    </row>
    <row r="683" spans="1:28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209"/>
      <c r="T683" s="209"/>
      <c r="U683" s="207"/>
      <c r="V683" s="209"/>
      <c r="W683" s="207"/>
      <c r="X683" s="209"/>
      <c r="Y683" s="207"/>
      <c r="Z683" s="209"/>
      <c r="AA683" s="209"/>
      <c r="AB683" s="207"/>
    </row>
    <row r="684" spans="1:28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209"/>
      <c r="T684" s="209"/>
      <c r="U684" s="207"/>
      <c r="V684" s="209"/>
      <c r="W684" s="207"/>
      <c r="X684" s="209"/>
      <c r="Y684" s="207"/>
      <c r="Z684" s="209"/>
      <c r="AA684" s="209"/>
      <c r="AB684" s="207"/>
    </row>
    <row r="685" spans="1:28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209"/>
      <c r="T685" s="209"/>
      <c r="U685" s="207"/>
      <c r="V685" s="209"/>
      <c r="W685" s="207"/>
      <c r="X685" s="209"/>
      <c r="Y685" s="207"/>
      <c r="Z685" s="209"/>
      <c r="AA685" s="209"/>
      <c r="AB685" s="207"/>
    </row>
    <row r="686" spans="1:28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209"/>
      <c r="T686" s="209"/>
      <c r="U686" s="207"/>
      <c r="V686" s="209"/>
      <c r="W686" s="207"/>
      <c r="X686" s="209"/>
      <c r="Y686" s="207"/>
      <c r="Z686" s="209"/>
      <c r="AA686" s="209"/>
      <c r="AB686" s="207"/>
    </row>
    <row r="687" spans="1:28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209"/>
      <c r="T687" s="209"/>
      <c r="U687" s="207"/>
      <c r="V687" s="209"/>
      <c r="W687" s="207"/>
      <c r="X687" s="209"/>
      <c r="Y687" s="207"/>
      <c r="Z687" s="209"/>
      <c r="AA687" s="209"/>
      <c r="AB687" s="207"/>
    </row>
    <row r="688" spans="1:28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209"/>
      <c r="T688" s="209"/>
      <c r="U688" s="207"/>
      <c r="V688" s="209"/>
      <c r="W688" s="207"/>
      <c r="X688" s="209"/>
      <c r="Y688" s="207"/>
      <c r="Z688" s="209"/>
      <c r="AA688" s="209"/>
      <c r="AB688" s="207"/>
    </row>
    <row r="689" spans="1:28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209"/>
      <c r="T689" s="209"/>
      <c r="U689" s="207"/>
      <c r="V689" s="209"/>
      <c r="W689" s="207"/>
      <c r="X689" s="209"/>
      <c r="Y689" s="207"/>
      <c r="Z689" s="209"/>
      <c r="AA689" s="209"/>
      <c r="AB689" s="207"/>
    </row>
    <row r="690" spans="1:28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209"/>
      <c r="T690" s="209"/>
      <c r="U690" s="207"/>
      <c r="V690" s="209"/>
      <c r="W690" s="207"/>
      <c r="X690" s="209"/>
      <c r="Y690" s="207"/>
      <c r="Z690" s="209"/>
      <c r="AA690" s="209"/>
      <c r="AB690" s="207"/>
    </row>
    <row r="691" spans="1:28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209"/>
      <c r="T691" s="209"/>
      <c r="U691" s="207"/>
      <c r="V691" s="209"/>
      <c r="W691" s="207"/>
      <c r="X691" s="209"/>
      <c r="Y691" s="207"/>
      <c r="Z691" s="209"/>
      <c r="AA691" s="209"/>
      <c r="AB691" s="207"/>
    </row>
    <row r="692" spans="1:28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209"/>
      <c r="T692" s="209"/>
      <c r="U692" s="207"/>
      <c r="V692" s="209"/>
      <c r="W692" s="207"/>
      <c r="X692" s="209"/>
      <c r="Y692" s="207"/>
      <c r="Z692" s="209"/>
      <c r="AA692" s="209"/>
      <c r="AB692" s="207"/>
    </row>
    <row r="693" spans="1:28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209"/>
      <c r="T693" s="209"/>
      <c r="U693" s="207"/>
      <c r="V693" s="209"/>
      <c r="W693" s="207"/>
      <c r="X693" s="209"/>
      <c r="Y693" s="207"/>
      <c r="Z693" s="209"/>
      <c r="AA693" s="209"/>
      <c r="AB693" s="207"/>
    </row>
    <row r="694" spans="1:28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209"/>
      <c r="T694" s="209"/>
      <c r="U694" s="207"/>
      <c r="V694" s="209"/>
      <c r="W694" s="207"/>
      <c r="X694" s="209"/>
      <c r="Y694" s="207"/>
      <c r="Z694" s="209"/>
      <c r="AA694" s="209"/>
      <c r="AB694" s="207"/>
    </row>
    <row r="695" spans="1:28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209"/>
      <c r="T695" s="209"/>
      <c r="U695" s="207"/>
      <c r="V695" s="209"/>
      <c r="W695" s="207"/>
      <c r="X695" s="209"/>
      <c r="Y695" s="207"/>
      <c r="Z695" s="209"/>
      <c r="AA695" s="209"/>
      <c r="AB695" s="207"/>
    </row>
    <row r="696" spans="1:28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209"/>
      <c r="T696" s="209"/>
      <c r="U696" s="207"/>
      <c r="V696" s="209"/>
      <c r="W696" s="207"/>
      <c r="X696" s="209"/>
      <c r="Y696" s="207"/>
      <c r="Z696" s="209"/>
      <c r="AA696" s="209"/>
      <c r="AB696" s="207"/>
    </row>
    <row r="697" spans="1:28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209"/>
      <c r="T697" s="209"/>
      <c r="U697" s="207"/>
      <c r="V697" s="209"/>
      <c r="W697" s="207"/>
      <c r="X697" s="209"/>
      <c r="Y697" s="207"/>
      <c r="Z697" s="209"/>
      <c r="AA697" s="209"/>
      <c r="AB697" s="207"/>
    </row>
    <row r="698" spans="1:28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209"/>
      <c r="T698" s="209"/>
      <c r="U698" s="207"/>
      <c r="V698" s="209"/>
      <c r="W698" s="207"/>
      <c r="X698" s="209"/>
      <c r="Y698" s="207"/>
      <c r="Z698" s="209"/>
      <c r="AA698" s="209"/>
      <c r="AB698" s="207"/>
    </row>
    <row r="699" spans="1:28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209"/>
      <c r="T699" s="209"/>
      <c r="U699" s="207"/>
      <c r="V699" s="209"/>
      <c r="W699" s="207"/>
      <c r="X699" s="209"/>
      <c r="Y699" s="207"/>
      <c r="Z699" s="209"/>
      <c r="AA699" s="209"/>
      <c r="AB699" s="207"/>
    </row>
    <row r="700" spans="1:28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209"/>
      <c r="T700" s="209"/>
      <c r="U700" s="207"/>
      <c r="V700" s="209"/>
      <c r="W700" s="207"/>
      <c r="X700" s="209"/>
      <c r="Y700" s="207"/>
      <c r="Z700" s="209"/>
      <c r="AA700" s="209"/>
      <c r="AB700" s="207"/>
    </row>
    <row r="701" spans="1:28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209"/>
      <c r="T701" s="209"/>
      <c r="U701" s="207"/>
      <c r="V701" s="209"/>
      <c r="W701" s="207"/>
      <c r="X701" s="209"/>
      <c r="Y701" s="207"/>
      <c r="Z701" s="209"/>
      <c r="AA701" s="209"/>
      <c r="AB701" s="207"/>
    </row>
    <row r="702" spans="1:28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209"/>
      <c r="T702" s="209"/>
      <c r="U702" s="207"/>
      <c r="V702" s="209"/>
      <c r="W702" s="207"/>
      <c r="X702" s="209"/>
      <c r="Y702" s="207"/>
      <c r="Z702" s="209"/>
      <c r="AA702" s="209"/>
      <c r="AB702" s="207"/>
    </row>
    <row r="703" spans="1:28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209"/>
      <c r="T703" s="209"/>
      <c r="U703" s="207"/>
      <c r="V703" s="209"/>
      <c r="W703" s="207"/>
      <c r="X703" s="209"/>
      <c r="Y703" s="207"/>
      <c r="Z703" s="209"/>
      <c r="AA703" s="209"/>
      <c r="AB703" s="207"/>
    </row>
    <row r="704" spans="1:28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209"/>
      <c r="T704" s="209"/>
      <c r="U704" s="207"/>
      <c r="V704" s="209"/>
      <c r="W704" s="207"/>
      <c r="X704" s="209"/>
      <c r="Y704" s="207"/>
      <c r="Z704" s="209"/>
      <c r="AA704" s="209"/>
      <c r="AB704" s="207"/>
    </row>
    <row r="705" spans="1:28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209"/>
      <c r="T705" s="209"/>
      <c r="U705" s="207"/>
      <c r="V705" s="209"/>
      <c r="W705" s="207"/>
      <c r="X705" s="209"/>
      <c r="Y705" s="207"/>
      <c r="Z705" s="209"/>
      <c r="AA705" s="209"/>
      <c r="AB705" s="207"/>
    </row>
    <row r="706" spans="1:28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209"/>
      <c r="T706" s="209"/>
      <c r="U706" s="207"/>
      <c r="V706" s="209"/>
      <c r="W706" s="207"/>
      <c r="X706" s="209"/>
      <c r="Y706" s="207"/>
      <c r="Z706" s="209"/>
      <c r="AA706" s="209"/>
      <c r="AB706" s="207"/>
    </row>
    <row r="707" spans="1:28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209"/>
      <c r="T707" s="209"/>
      <c r="U707" s="207"/>
      <c r="V707" s="209"/>
      <c r="W707" s="207"/>
      <c r="X707" s="209"/>
      <c r="Y707" s="207"/>
      <c r="Z707" s="209"/>
      <c r="AA707" s="209"/>
      <c r="AB707" s="207"/>
    </row>
    <row r="708" spans="1:28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209"/>
      <c r="T708" s="209"/>
      <c r="U708" s="207"/>
      <c r="V708" s="209"/>
      <c r="W708" s="207"/>
      <c r="X708" s="209"/>
      <c r="Y708" s="207"/>
      <c r="Z708" s="209"/>
      <c r="AA708" s="209"/>
      <c r="AB708" s="207"/>
    </row>
    <row r="709" spans="1:28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209"/>
      <c r="T709" s="209"/>
      <c r="U709" s="207"/>
      <c r="V709" s="209"/>
      <c r="W709" s="207"/>
      <c r="X709" s="209"/>
      <c r="Y709" s="207"/>
      <c r="Z709" s="209"/>
      <c r="AA709" s="209"/>
      <c r="AB709" s="207"/>
    </row>
    <row r="710" spans="1:28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209"/>
      <c r="T710" s="209"/>
      <c r="U710" s="207"/>
      <c r="V710" s="209"/>
      <c r="W710" s="207"/>
      <c r="X710" s="209"/>
      <c r="Y710" s="207"/>
      <c r="Z710" s="209"/>
      <c r="AA710" s="209"/>
      <c r="AB710" s="207"/>
    </row>
    <row r="711" spans="1:28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209"/>
      <c r="T711" s="209"/>
      <c r="U711" s="207"/>
      <c r="V711" s="209"/>
      <c r="W711" s="207"/>
      <c r="X711" s="209"/>
      <c r="Y711" s="207"/>
      <c r="Z711" s="209"/>
      <c r="AA711" s="209"/>
      <c r="AB711" s="207"/>
    </row>
    <row r="712" spans="1:28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209"/>
      <c r="T712" s="209"/>
      <c r="U712" s="207"/>
      <c r="V712" s="209"/>
      <c r="W712" s="207"/>
      <c r="X712" s="209"/>
      <c r="Y712" s="207"/>
      <c r="Z712" s="209"/>
      <c r="AA712" s="209"/>
      <c r="AB712" s="207"/>
    </row>
    <row r="713" spans="1:28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209"/>
      <c r="T713" s="209"/>
      <c r="U713" s="207"/>
      <c r="V713" s="209"/>
      <c r="W713" s="207"/>
      <c r="X713" s="209"/>
      <c r="Y713" s="207"/>
      <c r="Z713" s="209"/>
      <c r="AA713" s="209"/>
      <c r="AB713" s="207"/>
    </row>
    <row r="714" spans="1:28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209"/>
      <c r="T714" s="209"/>
      <c r="U714" s="207"/>
      <c r="V714" s="209"/>
      <c r="W714" s="207"/>
      <c r="X714" s="209"/>
      <c r="Y714" s="207"/>
      <c r="Z714" s="209"/>
      <c r="AA714" s="209"/>
      <c r="AB714" s="207"/>
    </row>
    <row r="715" spans="1:28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209"/>
      <c r="T715" s="209"/>
      <c r="U715" s="207"/>
      <c r="V715" s="209"/>
      <c r="W715" s="207"/>
      <c r="X715" s="209"/>
      <c r="Y715" s="207"/>
      <c r="Z715" s="209"/>
      <c r="AA715" s="209"/>
      <c r="AB715" s="207"/>
    </row>
    <row r="716" spans="1:28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209"/>
      <c r="T716" s="209"/>
      <c r="U716" s="207"/>
      <c r="V716" s="209"/>
      <c r="W716" s="207"/>
      <c r="X716" s="209"/>
      <c r="Y716" s="207"/>
      <c r="Z716" s="209"/>
      <c r="AA716" s="209"/>
      <c r="AB716" s="207"/>
    </row>
    <row r="717" spans="1:28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209"/>
      <c r="T717" s="209"/>
      <c r="U717" s="207"/>
      <c r="V717" s="209"/>
      <c r="W717" s="207"/>
      <c r="X717" s="209"/>
      <c r="Y717" s="207"/>
      <c r="Z717" s="209"/>
      <c r="AA717" s="209"/>
      <c r="AB717" s="207"/>
    </row>
    <row r="718" spans="1:28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209"/>
      <c r="T718" s="209"/>
      <c r="U718" s="207"/>
      <c r="V718" s="209"/>
      <c r="W718" s="207"/>
      <c r="X718" s="209"/>
      <c r="Y718" s="207"/>
      <c r="Z718" s="209"/>
      <c r="AA718" s="209"/>
      <c r="AB718" s="207"/>
    </row>
    <row r="719" spans="1:28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209"/>
      <c r="T719" s="209"/>
      <c r="U719" s="207"/>
      <c r="V719" s="209"/>
      <c r="W719" s="207"/>
      <c r="X719" s="209"/>
      <c r="Y719" s="207"/>
      <c r="Z719" s="209"/>
      <c r="AA719" s="209"/>
      <c r="AB719" s="207"/>
    </row>
    <row r="720" spans="1:28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209"/>
      <c r="T720" s="209"/>
      <c r="U720" s="207"/>
      <c r="V720" s="209"/>
      <c r="W720" s="207"/>
      <c r="X720" s="209"/>
      <c r="Y720" s="207"/>
      <c r="Z720" s="209"/>
      <c r="AA720" s="209"/>
      <c r="AB720" s="207"/>
    </row>
    <row r="721" spans="1:28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209"/>
      <c r="T721" s="209"/>
      <c r="U721" s="207"/>
      <c r="V721" s="209"/>
      <c r="W721" s="207"/>
      <c r="X721" s="209"/>
      <c r="Y721" s="207"/>
      <c r="Z721" s="209"/>
      <c r="AA721" s="209"/>
      <c r="AB721" s="207"/>
    </row>
    <row r="722" spans="1:28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209"/>
      <c r="T722" s="209"/>
      <c r="U722" s="207"/>
      <c r="V722" s="209"/>
      <c r="W722" s="207"/>
      <c r="X722" s="209"/>
      <c r="Y722" s="207"/>
      <c r="Z722" s="209"/>
      <c r="AA722" s="209"/>
      <c r="AB722" s="207"/>
    </row>
    <row r="723" spans="1:28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209"/>
      <c r="T723" s="209"/>
      <c r="U723" s="207"/>
      <c r="V723" s="209"/>
      <c r="W723" s="207"/>
      <c r="X723" s="209"/>
      <c r="Y723" s="207"/>
      <c r="Z723" s="209"/>
      <c r="AA723" s="209"/>
      <c r="AB723" s="207"/>
    </row>
    <row r="724" spans="1:28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209"/>
      <c r="T724" s="209"/>
      <c r="U724" s="207"/>
      <c r="V724" s="209"/>
      <c r="W724" s="207"/>
      <c r="X724" s="209"/>
      <c r="Y724" s="207"/>
      <c r="Z724" s="209"/>
      <c r="AA724" s="209"/>
      <c r="AB724" s="207"/>
    </row>
    <row r="725" spans="1:28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209"/>
      <c r="T725" s="209"/>
      <c r="U725" s="207"/>
      <c r="V725" s="209"/>
      <c r="W725" s="207"/>
      <c r="X725" s="209"/>
      <c r="Y725" s="207"/>
      <c r="Z725" s="209"/>
      <c r="AA725" s="209"/>
      <c r="AB725" s="207"/>
    </row>
    <row r="726" spans="1:28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209"/>
      <c r="T726" s="209"/>
      <c r="U726" s="207"/>
      <c r="V726" s="209"/>
      <c r="W726" s="207"/>
      <c r="X726" s="209"/>
      <c r="Y726" s="207"/>
      <c r="Z726" s="209"/>
      <c r="AA726" s="209"/>
      <c r="AB726" s="207"/>
    </row>
    <row r="727" spans="1:28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209"/>
      <c r="T727" s="209"/>
      <c r="U727" s="207"/>
      <c r="V727" s="209"/>
      <c r="W727" s="207"/>
      <c r="X727" s="209"/>
      <c r="Y727" s="207"/>
      <c r="Z727" s="209"/>
      <c r="AA727" s="209"/>
      <c r="AB727" s="207"/>
    </row>
    <row r="728" spans="1:28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209"/>
      <c r="T728" s="209"/>
      <c r="U728" s="207"/>
      <c r="V728" s="209"/>
      <c r="W728" s="207"/>
      <c r="X728" s="209"/>
      <c r="Y728" s="207"/>
      <c r="Z728" s="209"/>
      <c r="AA728" s="209"/>
      <c r="AB728" s="207"/>
    </row>
    <row r="729" spans="1:28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209"/>
      <c r="T729" s="209"/>
      <c r="U729" s="207"/>
      <c r="V729" s="209"/>
      <c r="W729" s="207"/>
      <c r="X729" s="209"/>
      <c r="Y729" s="207"/>
      <c r="Z729" s="209"/>
      <c r="AA729" s="209"/>
      <c r="AB729" s="207"/>
    </row>
    <row r="730" spans="1:28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209"/>
      <c r="T730" s="209"/>
      <c r="U730" s="207"/>
      <c r="V730" s="209"/>
      <c r="W730" s="207"/>
      <c r="X730" s="209"/>
      <c r="Y730" s="207"/>
      <c r="Z730" s="209"/>
      <c r="AA730" s="209"/>
      <c r="AB730" s="207"/>
    </row>
    <row r="731" spans="1:28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209"/>
      <c r="T731" s="209"/>
      <c r="U731" s="207"/>
      <c r="V731" s="209"/>
      <c r="W731" s="207"/>
      <c r="X731" s="209"/>
      <c r="Y731" s="207"/>
      <c r="Z731" s="209"/>
      <c r="AA731" s="209"/>
      <c r="AB731" s="207"/>
    </row>
    <row r="732" spans="1:28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209"/>
      <c r="T732" s="209"/>
      <c r="U732" s="207"/>
      <c r="V732" s="209"/>
      <c r="W732" s="207"/>
      <c r="X732" s="209"/>
      <c r="Y732" s="207"/>
      <c r="Z732" s="209"/>
      <c r="AA732" s="209"/>
      <c r="AB732" s="207"/>
    </row>
    <row r="733" spans="1:28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209"/>
      <c r="T733" s="209"/>
      <c r="U733" s="207"/>
      <c r="V733" s="209"/>
      <c r="W733" s="207"/>
      <c r="X733" s="209"/>
      <c r="Y733" s="207"/>
      <c r="Z733" s="209"/>
      <c r="AA733" s="209"/>
      <c r="AB733" s="207"/>
    </row>
    <row r="734" spans="1:28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209"/>
      <c r="T734" s="209"/>
      <c r="U734" s="207"/>
      <c r="V734" s="209"/>
      <c r="W734" s="207"/>
      <c r="X734" s="209"/>
      <c r="Y734" s="207"/>
      <c r="Z734" s="209"/>
      <c r="AA734" s="209"/>
      <c r="AB734" s="207"/>
    </row>
    <row r="735" spans="1:28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209"/>
      <c r="T735" s="209"/>
      <c r="U735" s="207"/>
      <c r="V735" s="209"/>
      <c r="W735" s="207"/>
      <c r="X735" s="209"/>
      <c r="Y735" s="207"/>
      <c r="Z735" s="209"/>
      <c r="AA735" s="209"/>
      <c r="AB735" s="207"/>
    </row>
    <row r="736" spans="1:28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209"/>
      <c r="T736" s="209"/>
      <c r="U736" s="207"/>
      <c r="V736" s="209"/>
      <c r="W736" s="207"/>
      <c r="X736" s="209"/>
      <c r="Y736" s="207"/>
      <c r="Z736" s="209"/>
      <c r="AA736" s="209"/>
      <c r="AB736" s="207"/>
    </row>
    <row r="737" spans="1:28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209"/>
      <c r="T737" s="209"/>
      <c r="U737" s="207"/>
      <c r="V737" s="209"/>
      <c r="W737" s="207"/>
      <c r="X737" s="209"/>
      <c r="Y737" s="207"/>
      <c r="Z737" s="209"/>
      <c r="AA737" s="209"/>
      <c r="AB737" s="207"/>
    </row>
    <row r="738" spans="1:28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209"/>
      <c r="T738" s="209"/>
      <c r="U738" s="207"/>
      <c r="V738" s="209"/>
      <c r="W738" s="207"/>
      <c r="X738" s="209"/>
      <c r="Y738" s="207"/>
      <c r="Z738" s="209"/>
      <c r="AA738" s="209"/>
      <c r="AB738" s="207"/>
    </row>
    <row r="739" spans="1:28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209"/>
      <c r="T739" s="209"/>
      <c r="U739" s="207"/>
      <c r="V739" s="209"/>
      <c r="W739" s="207"/>
      <c r="X739" s="209"/>
      <c r="Y739" s="207"/>
      <c r="Z739" s="209"/>
      <c r="AA739" s="209"/>
      <c r="AB739" s="207"/>
    </row>
    <row r="740" spans="1:28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209"/>
      <c r="T740" s="209"/>
      <c r="U740" s="207"/>
      <c r="V740" s="209"/>
      <c r="W740" s="207"/>
      <c r="X740" s="209"/>
      <c r="Y740" s="207"/>
      <c r="Z740" s="209"/>
      <c r="AA740" s="209"/>
      <c r="AB740" s="207"/>
    </row>
    <row r="741" spans="1:28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209"/>
      <c r="T741" s="209"/>
      <c r="U741" s="207"/>
      <c r="V741" s="209"/>
      <c r="W741" s="207"/>
      <c r="X741" s="209"/>
      <c r="Y741" s="207"/>
      <c r="Z741" s="209"/>
      <c r="AA741" s="209"/>
      <c r="AB741" s="207"/>
    </row>
    <row r="742" spans="1:28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209"/>
      <c r="T742" s="209"/>
      <c r="U742" s="207"/>
      <c r="V742" s="209"/>
      <c r="W742" s="207"/>
      <c r="X742" s="209"/>
      <c r="Y742" s="207"/>
      <c r="Z742" s="209"/>
      <c r="AA742" s="209"/>
      <c r="AB742" s="207"/>
    </row>
    <row r="743" spans="1:28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209"/>
      <c r="T743" s="209"/>
      <c r="U743" s="207"/>
      <c r="V743" s="209"/>
      <c r="W743" s="207"/>
      <c r="X743" s="209"/>
      <c r="Y743" s="207"/>
      <c r="Z743" s="209"/>
      <c r="AA743" s="209"/>
      <c r="AB743" s="207"/>
    </row>
    <row r="744" spans="1:28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209"/>
      <c r="T744" s="209"/>
      <c r="U744" s="207"/>
      <c r="V744" s="209"/>
      <c r="W744" s="207"/>
      <c r="X744" s="209"/>
      <c r="Y744" s="207"/>
      <c r="Z744" s="209"/>
      <c r="AA744" s="209"/>
      <c r="AB744" s="207"/>
    </row>
    <row r="745" spans="1:28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209"/>
      <c r="T745" s="209"/>
      <c r="U745" s="207"/>
      <c r="V745" s="209"/>
      <c r="W745" s="207"/>
      <c r="X745" s="209"/>
      <c r="Y745" s="207"/>
      <c r="Z745" s="209"/>
      <c r="AA745" s="209"/>
      <c r="AB745" s="207"/>
    </row>
    <row r="746" spans="1:28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209"/>
      <c r="T746" s="209"/>
      <c r="U746" s="207"/>
      <c r="V746" s="209"/>
      <c r="W746" s="207"/>
      <c r="X746" s="209"/>
      <c r="Y746" s="207"/>
      <c r="Z746" s="209"/>
      <c r="AA746" s="209"/>
      <c r="AB746" s="207"/>
    </row>
    <row r="747" spans="1:28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209"/>
      <c r="T747" s="209"/>
      <c r="U747" s="207"/>
      <c r="V747" s="209"/>
      <c r="W747" s="207"/>
      <c r="X747" s="209"/>
      <c r="Y747" s="207"/>
      <c r="Z747" s="209"/>
      <c r="AA747" s="209"/>
      <c r="AB747" s="207"/>
    </row>
    <row r="748" spans="1:28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209"/>
      <c r="T748" s="209"/>
      <c r="U748" s="207"/>
      <c r="V748" s="209"/>
      <c r="W748" s="207"/>
      <c r="X748" s="209"/>
      <c r="Y748" s="207"/>
      <c r="Z748" s="209"/>
      <c r="AA748" s="209"/>
      <c r="AB748" s="207"/>
    </row>
    <row r="749" spans="1:28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209"/>
      <c r="T749" s="209"/>
      <c r="U749" s="207"/>
      <c r="V749" s="209"/>
      <c r="W749" s="207"/>
      <c r="X749" s="209"/>
      <c r="Y749" s="207"/>
      <c r="Z749" s="209"/>
      <c r="AA749" s="209"/>
      <c r="AB749" s="207"/>
    </row>
    <row r="750" spans="1:28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209"/>
      <c r="T750" s="209"/>
      <c r="U750" s="207"/>
      <c r="V750" s="209"/>
      <c r="W750" s="207"/>
      <c r="X750" s="209"/>
      <c r="Y750" s="207"/>
      <c r="Z750" s="209"/>
      <c r="AA750" s="209"/>
      <c r="AB750" s="207"/>
    </row>
    <row r="751" spans="1:28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209"/>
      <c r="T751" s="209"/>
      <c r="U751" s="207"/>
      <c r="V751" s="209"/>
      <c r="W751" s="207"/>
      <c r="X751" s="209"/>
      <c r="Y751" s="207"/>
      <c r="Z751" s="209"/>
      <c r="AA751" s="209"/>
      <c r="AB751" s="207"/>
    </row>
    <row r="752" spans="1:28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209"/>
      <c r="T752" s="209"/>
      <c r="U752" s="207"/>
      <c r="V752" s="209"/>
      <c r="W752" s="207"/>
      <c r="X752" s="209"/>
      <c r="Y752" s="207"/>
      <c r="Z752" s="209"/>
      <c r="AA752" s="209"/>
      <c r="AB752" s="207"/>
    </row>
    <row r="753" spans="1:28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209"/>
      <c r="T753" s="209"/>
      <c r="U753" s="207"/>
      <c r="V753" s="209"/>
      <c r="W753" s="207"/>
      <c r="X753" s="209"/>
      <c r="Y753" s="207"/>
      <c r="Z753" s="209"/>
      <c r="AA753" s="209"/>
      <c r="AB753" s="207"/>
    </row>
    <row r="754" spans="1:28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209"/>
      <c r="T754" s="209"/>
      <c r="U754" s="207"/>
      <c r="V754" s="209"/>
      <c r="W754" s="207"/>
      <c r="X754" s="209"/>
      <c r="Y754" s="207"/>
      <c r="Z754" s="209"/>
      <c r="AA754" s="209"/>
      <c r="AB754" s="207"/>
    </row>
    <row r="755" spans="1:28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209"/>
      <c r="T755" s="209"/>
      <c r="U755" s="207"/>
      <c r="V755" s="209"/>
      <c r="W755" s="207"/>
      <c r="X755" s="209"/>
      <c r="Y755" s="207"/>
      <c r="Z755" s="209"/>
      <c r="AA755" s="209"/>
      <c r="AB755" s="207"/>
    </row>
    <row r="756" spans="1:28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209"/>
      <c r="T756" s="209"/>
      <c r="U756" s="207"/>
      <c r="V756" s="209"/>
      <c r="W756" s="207"/>
      <c r="X756" s="209"/>
      <c r="Y756" s="207"/>
      <c r="Z756" s="209"/>
      <c r="AA756" s="209"/>
      <c r="AB756" s="207"/>
    </row>
    <row r="757" spans="1:28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209"/>
      <c r="T757" s="209"/>
      <c r="U757" s="207"/>
      <c r="V757" s="209"/>
      <c r="W757" s="207"/>
      <c r="X757" s="209"/>
      <c r="Y757" s="207"/>
      <c r="Z757" s="209"/>
      <c r="AA757" s="209"/>
      <c r="AB757" s="207"/>
    </row>
    <row r="758" spans="1:28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209"/>
      <c r="T758" s="209"/>
      <c r="U758" s="207"/>
      <c r="V758" s="209"/>
      <c r="W758" s="207"/>
      <c r="X758" s="209"/>
      <c r="Y758" s="207"/>
      <c r="Z758" s="209"/>
      <c r="AA758" s="209"/>
      <c r="AB758" s="207"/>
    </row>
    <row r="759" spans="1:28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209"/>
      <c r="T759" s="209"/>
      <c r="U759" s="207"/>
      <c r="V759" s="209"/>
      <c r="W759" s="207"/>
      <c r="X759" s="209"/>
      <c r="Y759" s="207"/>
      <c r="Z759" s="209"/>
      <c r="AA759" s="209"/>
      <c r="AB759" s="207"/>
    </row>
    <row r="760" spans="1:28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209"/>
      <c r="T760" s="209"/>
      <c r="U760" s="207"/>
      <c r="V760" s="209"/>
      <c r="W760" s="207"/>
      <c r="X760" s="209"/>
      <c r="Y760" s="207"/>
      <c r="Z760" s="209"/>
      <c r="AA760" s="209"/>
      <c r="AB760" s="207"/>
    </row>
    <row r="761" spans="1:28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209"/>
      <c r="T761" s="209"/>
      <c r="U761" s="207"/>
      <c r="V761" s="209"/>
      <c r="W761" s="207"/>
      <c r="X761" s="209"/>
      <c r="Y761" s="207"/>
      <c r="Z761" s="209"/>
      <c r="AA761" s="209"/>
      <c r="AB761" s="207"/>
    </row>
    <row r="762" spans="1:28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209"/>
      <c r="T762" s="209"/>
      <c r="U762" s="207"/>
      <c r="V762" s="209"/>
      <c r="W762" s="207"/>
      <c r="X762" s="209"/>
      <c r="Y762" s="207"/>
      <c r="Z762" s="209"/>
      <c r="AA762" s="209"/>
      <c r="AB762" s="207"/>
    </row>
    <row r="763" spans="1:28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209"/>
      <c r="T763" s="209"/>
      <c r="U763" s="207"/>
      <c r="V763" s="209"/>
      <c r="W763" s="207"/>
      <c r="X763" s="209"/>
      <c r="Y763" s="207"/>
      <c r="Z763" s="209"/>
      <c r="AA763" s="209"/>
      <c r="AB763" s="207"/>
    </row>
    <row r="764" spans="1:28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209"/>
      <c r="T764" s="209"/>
      <c r="U764" s="207"/>
      <c r="V764" s="209"/>
      <c r="W764" s="207"/>
      <c r="X764" s="209"/>
      <c r="Y764" s="207"/>
      <c r="Z764" s="209"/>
      <c r="AA764" s="209"/>
      <c r="AB764" s="207"/>
    </row>
    <row r="765" spans="1:28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209"/>
      <c r="T765" s="209"/>
      <c r="U765" s="207"/>
      <c r="V765" s="209"/>
      <c r="W765" s="207"/>
      <c r="X765" s="209"/>
      <c r="Y765" s="207"/>
      <c r="Z765" s="209"/>
      <c r="AA765" s="209"/>
      <c r="AB765" s="207"/>
    </row>
    <row r="766" spans="1:28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209"/>
      <c r="T766" s="209"/>
      <c r="U766" s="207"/>
      <c r="V766" s="209"/>
      <c r="W766" s="207"/>
      <c r="X766" s="209"/>
      <c r="Y766" s="207"/>
      <c r="Z766" s="209"/>
      <c r="AA766" s="209"/>
      <c r="AB766" s="207"/>
    </row>
    <row r="767" spans="1:28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209"/>
      <c r="T767" s="209"/>
      <c r="U767" s="207"/>
      <c r="V767" s="209"/>
      <c r="W767" s="207"/>
      <c r="X767" s="209"/>
      <c r="Y767" s="207"/>
      <c r="Z767" s="209"/>
      <c r="AA767" s="209"/>
      <c r="AB767" s="207"/>
    </row>
    <row r="768" spans="1:28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209"/>
      <c r="T768" s="209"/>
      <c r="U768" s="207"/>
      <c r="V768" s="209"/>
      <c r="W768" s="207"/>
      <c r="X768" s="209"/>
      <c r="Y768" s="207"/>
      <c r="Z768" s="209"/>
      <c r="AA768" s="209"/>
      <c r="AB768" s="207"/>
    </row>
    <row r="769" spans="1:28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209"/>
      <c r="T769" s="209"/>
      <c r="U769" s="207"/>
      <c r="V769" s="209"/>
      <c r="W769" s="207"/>
      <c r="X769" s="209"/>
      <c r="Y769" s="207"/>
      <c r="Z769" s="209"/>
      <c r="AA769" s="209"/>
      <c r="AB769" s="207"/>
    </row>
    <row r="770" spans="1:28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209"/>
      <c r="T770" s="209"/>
      <c r="U770" s="207"/>
      <c r="V770" s="209"/>
      <c r="W770" s="207"/>
      <c r="X770" s="209"/>
      <c r="Y770" s="207"/>
      <c r="Z770" s="209"/>
      <c r="AA770" s="209"/>
      <c r="AB770" s="207"/>
    </row>
    <row r="771" spans="1:28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209"/>
      <c r="T771" s="209"/>
      <c r="U771" s="207"/>
      <c r="V771" s="209"/>
      <c r="W771" s="207"/>
      <c r="X771" s="209"/>
      <c r="Y771" s="207"/>
      <c r="Z771" s="209"/>
      <c r="AA771" s="209"/>
      <c r="AB771" s="207"/>
    </row>
    <row r="772" spans="1:28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209"/>
      <c r="T772" s="209"/>
      <c r="U772" s="207"/>
      <c r="V772" s="209"/>
      <c r="W772" s="207"/>
      <c r="X772" s="209"/>
      <c r="Y772" s="207"/>
      <c r="Z772" s="209"/>
      <c r="AA772" s="209"/>
      <c r="AB772" s="207"/>
    </row>
    <row r="773" spans="1:28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209"/>
      <c r="T773" s="209"/>
      <c r="U773" s="207"/>
      <c r="V773" s="209"/>
      <c r="W773" s="207"/>
      <c r="X773" s="209"/>
      <c r="Y773" s="207"/>
      <c r="Z773" s="209"/>
      <c r="AA773" s="209"/>
      <c r="AB773" s="207"/>
    </row>
    <row r="774" spans="1:28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209"/>
      <c r="T774" s="209"/>
      <c r="U774" s="207"/>
      <c r="V774" s="209"/>
      <c r="W774" s="207"/>
      <c r="X774" s="209"/>
      <c r="Y774" s="207"/>
      <c r="Z774" s="209"/>
      <c r="AA774" s="209"/>
      <c r="AB774" s="207"/>
    </row>
    <row r="775" spans="1:28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209"/>
      <c r="T775" s="209"/>
      <c r="U775" s="207"/>
      <c r="V775" s="209"/>
      <c r="W775" s="207"/>
      <c r="X775" s="209"/>
      <c r="Y775" s="207"/>
      <c r="Z775" s="209"/>
      <c r="AA775" s="209"/>
      <c r="AB775" s="207"/>
    </row>
    <row r="776" spans="1:28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209"/>
      <c r="T776" s="209"/>
      <c r="U776" s="207"/>
      <c r="V776" s="209"/>
      <c r="W776" s="207"/>
      <c r="X776" s="209"/>
      <c r="Y776" s="207"/>
      <c r="Z776" s="209"/>
      <c r="AA776" s="209"/>
      <c r="AB776" s="207"/>
    </row>
    <row r="777" spans="1:28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209"/>
      <c r="T777" s="209"/>
      <c r="U777" s="207"/>
      <c r="V777" s="209"/>
      <c r="W777" s="207"/>
      <c r="X777" s="209"/>
      <c r="Y777" s="207"/>
      <c r="Z777" s="209"/>
      <c r="AA777" s="209"/>
      <c r="AB777" s="207"/>
    </row>
    <row r="778" spans="1:28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209"/>
      <c r="T778" s="209"/>
      <c r="U778" s="207"/>
      <c r="V778" s="209"/>
      <c r="W778" s="207"/>
      <c r="X778" s="209"/>
      <c r="Y778" s="207"/>
      <c r="Z778" s="209"/>
      <c r="AA778" s="209"/>
      <c r="AB778" s="207"/>
    </row>
    <row r="779" spans="1:28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209"/>
      <c r="T779" s="209"/>
      <c r="U779" s="207"/>
      <c r="V779" s="209"/>
      <c r="W779" s="207"/>
      <c r="X779" s="209"/>
      <c r="Y779" s="207"/>
      <c r="Z779" s="209"/>
      <c r="AA779" s="209"/>
      <c r="AB779" s="207"/>
    </row>
    <row r="780" spans="1:28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209"/>
      <c r="T780" s="209"/>
      <c r="U780" s="207"/>
      <c r="V780" s="209"/>
      <c r="W780" s="207"/>
      <c r="X780" s="209"/>
      <c r="Y780" s="207"/>
      <c r="Z780" s="209"/>
      <c r="AA780" s="209"/>
      <c r="AB780" s="207"/>
    </row>
    <row r="781" spans="1:28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209"/>
      <c r="T781" s="209"/>
      <c r="U781" s="207"/>
      <c r="V781" s="209"/>
      <c r="W781" s="207"/>
      <c r="X781" s="209"/>
      <c r="Y781" s="207"/>
      <c r="Z781" s="209"/>
      <c r="AA781" s="209"/>
      <c r="AB781" s="207"/>
    </row>
    <row r="782" spans="1:28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209"/>
      <c r="T782" s="209"/>
      <c r="U782" s="207"/>
      <c r="V782" s="209"/>
      <c r="W782" s="207"/>
      <c r="X782" s="209"/>
      <c r="Y782" s="207"/>
      <c r="Z782" s="209"/>
      <c r="AA782" s="209"/>
      <c r="AB782" s="207"/>
    </row>
    <row r="783" spans="1:28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209"/>
      <c r="T783" s="209"/>
      <c r="U783" s="207"/>
      <c r="V783" s="209"/>
      <c r="W783" s="207"/>
      <c r="X783" s="209"/>
      <c r="Y783" s="207"/>
      <c r="Z783" s="209"/>
      <c r="AA783" s="209"/>
      <c r="AB783" s="207"/>
    </row>
    <row r="784" spans="1:28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209"/>
      <c r="T784" s="209"/>
      <c r="U784" s="207"/>
      <c r="V784" s="209"/>
      <c r="W784" s="207"/>
      <c r="X784" s="209"/>
      <c r="Y784" s="207"/>
      <c r="Z784" s="209"/>
      <c r="AA784" s="209"/>
      <c r="AB784" s="207"/>
    </row>
    <row r="785" spans="1:28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209"/>
      <c r="T785" s="209"/>
      <c r="U785" s="207"/>
      <c r="V785" s="209"/>
      <c r="W785" s="207"/>
      <c r="X785" s="209"/>
      <c r="Y785" s="207"/>
      <c r="Z785" s="209"/>
      <c r="AA785" s="209"/>
      <c r="AB785" s="207"/>
    </row>
    <row r="786" spans="1:28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209"/>
      <c r="T786" s="209"/>
      <c r="U786" s="207"/>
      <c r="V786" s="209"/>
      <c r="W786" s="207"/>
      <c r="X786" s="209"/>
      <c r="Y786" s="207"/>
      <c r="Z786" s="209"/>
      <c r="AA786" s="209"/>
      <c r="AB786" s="207"/>
    </row>
    <row r="787" spans="1:28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209"/>
      <c r="T787" s="209"/>
      <c r="U787" s="207"/>
      <c r="V787" s="209"/>
      <c r="W787" s="207"/>
      <c r="X787" s="209"/>
      <c r="Y787" s="207"/>
      <c r="Z787" s="209"/>
      <c r="AA787" s="209"/>
      <c r="AB787" s="207"/>
    </row>
    <row r="788" spans="1:28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209"/>
      <c r="T788" s="209"/>
      <c r="U788" s="207"/>
      <c r="V788" s="209"/>
      <c r="W788" s="207"/>
      <c r="X788" s="209"/>
      <c r="Y788" s="207"/>
      <c r="Z788" s="209"/>
      <c r="AA788" s="209"/>
      <c r="AB788" s="207"/>
    </row>
    <row r="789" spans="1:28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209"/>
      <c r="T789" s="209"/>
      <c r="U789" s="207"/>
      <c r="V789" s="209"/>
      <c r="W789" s="207"/>
      <c r="X789" s="209"/>
      <c r="Y789" s="207"/>
      <c r="Z789" s="209"/>
      <c r="AA789" s="209"/>
      <c r="AB789" s="207"/>
    </row>
    <row r="790" spans="1:28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209"/>
      <c r="T790" s="209"/>
      <c r="U790" s="207"/>
      <c r="V790" s="209"/>
      <c r="W790" s="207"/>
      <c r="X790" s="209"/>
      <c r="Y790" s="207"/>
      <c r="Z790" s="209"/>
      <c r="AA790" s="209"/>
      <c r="AB790" s="207"/>
    </row>
    <row r="791" spans="1:28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209"/>
      <c r="T791" s="209"/>
      <c r="U791" s="207"/>
      <c r="V791" s="209"/>
      <c r="W791" s="207"/>
      <c r="X791" s="209"/>
      <c r="Y791" s="207"/>
      <c r="Z791" s="209"/>
      <c r="AA791" s="209"/>
      <c r="AB791" s="207"/>
    </row>
    <row r="792" spans="1:28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209"/>
      <c r="T792" s="209"/>
      <c r="U792" s="207"/>
      <c r="V792" s="209"/>
      <c r="W792" s="207"/>
      <c r="X792" s="209"/>
      <c r="Y792" s="207"/>
      <c r="Z792" s="209"/>
      <c r="AA792" s="209"/>
      <c r="AB792" s="207"/>
    </row>
    <row r="793" spans="1:28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209"/>
      <c r="T793" s="209"/>
      <c r="U793" s="207"/>
      <c r="V793" s="209"/>
      <c r="W793" s="207"/>
      <c r="X793" s="209"/>
      <c r="Y793" s="207"/>
      <c r="Z793" s="209"/>
      <c r="AA793" s="209"/>
      <c r="AB793" s="207"/>
    </row>
    <row r="794" spans="1:28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209"/>
      <c r="T794" s="209"/>
      <c r="U794" s="207"/>
      <c r="V794" s="209"/>
      <c r="W794" s="207"/>
      <c r="X794" s="209"/>
      <c r="Y794" s="207"/>
      <c r="Z794" s="209"/>
      <c r="AA794" s="209"/>
      <c r="AB794" s="207"/>
    </row>
    <row r="795" spans="1:28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209"/>
      <c r="T795" s="209"/>
      <c r="U795" s="207"/>
      <c r="V795" s="209"/>
      <c r="W795" s="207"/>
      <c r="X795" s="209"/>
      <c r="Y795" s="207"/>
      <c r="Z795" s="209"/>
      <c r="AA795" s="209"/>
      <c r="AB795" s="207"/>
    </row>
    <row r="796" spans="1:28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209"/>
      <c r="T796" s="209"/>
      <c r="U796" s="207"/>
      <c r="V796" s="209"/>
      <c r="W796" s="207"/>
      <c r="X796" s="209"/>
      <c r="Y796" s="207"/>
      <c r="Z796" s="209"/>
      <c r="AA796" s="209"/>
      <c r="AB796" s="207"/>
    </row>
    <row r="797" spans="1:28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209"/>
      <c r="T797" s="209"/>
      <c r="U797" s="207"/>
      <c r="V797" s="209"/>
      <c r="W797" s="207"/>
      <c r="X797" s="209"/>
      <c r="Y797" s="207"/>
      <c r="Z797" s="209"/>
      <c r="AA797" s="209"/>
      <c r="AB797" s="207"/>
    </row>
    <row r="798" spans="1:28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209"/>
      <c r="T798" s="209"/>
      <c r="U798" s="207"/>
      <c r="V798" s="209"/>
      <c r="W798" s="207"/>
      <c r="X798" s="209"/>
      <c r="Y798" s="207"/>
      <c r="Z798" s="209"/>
      <c r="AA798" s="209"/>
      <c r="AB798" s="207"/>
    </row>
    <row r="799" spans="1:28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209"/>
      <c r="T799" s="209"/>
      <c r="U799" s="207"/>
      <c r="V799" s="209"/>
      <c r="W799" s="207"/>
      <c r="X799" s="209"/>
      <c r="Y799" s="207"/>
      <c r="Z799" s="209"/>
      <c r="AA799" s="209"/>
      <c r="AB799" s="207"/>
    </row>
    <row r="800" spans="1:28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209"/>
      <c r="T800" s="209"/>
      <c r="U800" s="207"/>
      <c r="V800" s="209"/>
      <c r="W800" s="207"/>
      <c r="X800" s="209"/>
      <c r="Y800" s="207"/>
      <c r="Z800" s="209"/>
      <c r="AA800" s="209"/>
      <c r="AB800" s="207"/>
    </row>
    <row r="801" spans="1:28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209"/>
      <c r="T801" s="209"/>
      <c r="U801" s="207"/>
      <c r="V801" s="209"/>
      <c r="W801" s="207"/>
      <c r="X801" s="209"/>
      <c r="Y801" s="207"/>
      <c r="Z801" s="209"/>
      <c r="AA801" s="209"/>
      <c r="AB801" s="207"/>
    </row>
    <row r="802" spans="1:28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209"/>
      <c r="T802" s="209"/>
      <c r="U802" s="207"/>
      <c r="V802" s="209"/>
      <c r="W802" s="207"/>
      <c r="X802" s="209"/>
      <c r="Y802" s="207"/>
      <c r="Z802" s="209"/>
      <c r="AA802" s="209"/>
      <c r="AB802" s="207"/>
    </row>
    <row r="803" spans="1:28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209"/>
      <c r="T803" s="209"/>
      <c r="U803" s="207"/>
      <c r="V803" s="209"/>
      <c r="W803" s="207"/>
      <c r="X803" s="209"/>
      <c r="Y803" s="207"/>
      <c r="Z803" s="209"/>
      <c r="AA803" s="209"/>
      <c r="AB803" s="207"/>
    </row>
    <row r="804" spans="1:28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209"/>
      <c r="T804" s="209"/>
      <c r="U804" s="207"/>
      <c r="V804" s="209"/>
      <c r="W804" s="207"/>
      <c r="X804" s="209"/>
      <c r="Y804" s="207"/>
      <c r="Z804" s="209"/>
      <c r="AA804" s="209"/>
      <c r="AB804" s="207"/>
    </row>
    <row r="805" spans="1:28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209"/>
      <c r="T805" s="209"/>
      <c r="U805" s="207"/>
      <c r="V805" s="209"/>
      <c r="W805" s="207"/>
      <c r="X805" s="209"/>
      <c r="Y805" s="207"/>
      <c r="Z805" s="209"/>
      <c r="AA805" s="209"/>
      <c r="AB805" s="207"/>
    </row>
    <row r="806" spans="1:28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209"/>
      <c r="T806" s="209"/>
      <c r="U806" s="207"/>
      <c r="V806" s="209"/>
      <c r="W806" s="207"/>
      <c r="X806" s="209"/>
      <c r="Y806" s="207"/>
      <c r="Z806" s="209"/>
      <c r="AA806" s="209"/>
      <c r="AB806" s="207"/>
    </row>
    <row r="807" spans="1:28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209"/>
      <c r="T807" s="209"/>
      <c r="U807" s="207"/>
      <c r="V807" s="209"/>
      <c r="W807" s="207"/>
      <c r="X807" s="209"/>
      <c r="Y807" s="207"/>
      <c r="Z807" s="209"/>
      <c r="AA807" s="209"/>
      <c r="AB807" s="207"/>
    </row>
    <row r="808" spans="1:28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209"/>
      <c r="T808" s="209"/>
      <c r="U808" s="207"/>
      <c r="V808" s="209"/>
      <c r="W808" s="207"/>
      <c r="X808" s="209"/>
      <c r="Y808" s="207"/>
      <c r="Z808" s="209"/>
      <c r="AA808" s="209"/>
      <c r="AB808" s="207"/>
    </row>
    <row r="809" spans="1:28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209"/>
      <c r="T809" s="209"/>
      <c r="U809" s="207"/>
      <c r="V809" s="209"/>
      <c r="W809" s="207"/>
      <c r="X809" s="209"/>
      <c r="Y809" s="207"/>
      <c r="Z809" s="209"/>
      <c r="AA809" s="209"/>
      <c r="AB809" s="207"/>
    </row>
    <row r="810" spans="1:28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209"/>
      <c r="T810" s="209"/>
      <c r="U810" s="207"/>
      <c r="V810" s="209"/>
      <c r="W810" s="207"/>
      <c r="X810" s="209"/>
      <c r="Y810" s="207"/>
      <c r="Z810" s="209"/>
      <c r="AA810" s="209"/>
      <c r="AB810" s="207"/>
    </row>
    <row r="811" spans="1:28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209"/>
      <c r="T811" s="209"/>
      <c r="U811" s="207"/>
      <c r="V811" s="209"/>
      <c r="W811" s="207"/>
      <c r="X811" s="209"/>
      <c r="Y811" s="207"/>
      <c r="Z811" s="209"/>
      <c r="AA811" s="209"/>
      <c r="AB811" s="207"/>
    </row>
    <row r="812" spans="1:28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209"/>
      <c r="T812" s="209"/>
      <c r="U812" s="207"/>
      <c r="V812" s="209"/>
      <c r="W812" s="207"/>
      <c r="X812" s="209"/>
      <c r="Y812" s="207"/>
      <c r="Z812" s="209"/>
      <c r="AA812" s="209"/>
      <c r="AB812" s="207"/>
    </row>
    <row r="813" spans="1:28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209"/>
      <c r="T813" s="209"/>
      <c r="U813" s="207"/>
      <c r="V813" s="209"/>
      <c r="W813" s="207"/>
      <c r="X813" s="209"/>
      <c r="Y813" s="207"/>
      <c r="Z813" s="209"/>
      <c r="AA813" s="209"/>
      <c r="AB813" s="207"/>
    </row>
    <row r="814" spans="1:28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209"/>
      <c r="T814" s="209"/>
      <c r="U814" s="207"/>
      <c r="V814" s="209"/>
      <c r="W814" s="207"/>
      <c r="X814" s="209"/>
      <c r="Y814" s="207"/>
      <c r="Z814" s="209"/>
      <c r="AA814" s="209"/>
      <c r="AB814" s="207"/>
    </row>
    <row r="815" spans="1:28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209"/>
      <c r="T815" s="209"/>
      <c r="U815" s="207"/>
      <c r="V815" s="209"/>
      <c r="W815" s="207"/>
      <c r="X815" s="209"/>
      <c r="Y815" s="207"/>
      <c r="Z815" s="209"/>
      <c r="AA815" s="209"/>
      <c r="AB815" s="207"/>
    </row>
    <row r="816" spans="1:28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209"/>
      <c r="T816" s="209"/>
      <c r="U816" s="207"/>
      <c r="V816" s="209"/>
      <c r="W816" s="207"/>
      <c r="X816" s="209"/>
      <c r="Y816" s="207"/>
      <c r="Z816" s="209"/>
      <c r="AA816" s="209"/>
      <c r="AB816" s="207"/>
    </row>
    <row r="817" spans="1:28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209"/>
      <c r="T817" s="209"/>
      <c r="U817" s="207"/>
      <c r="V817" s="209"/>
      <c r="W817" s="207"/>
      <c r="X817" s="209"/>
      <c r="Y817" s="207"/>
      <c r="Z817" s="209"/>
      <c r="AA817" s="209"/>
      <c r="AB817" s="207"/>
    </row>
    <row r="818" spans="1:28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209"/>
      <c r="T818" s="209"/>
      <c r="U818" s="207"/>
      <c r="V818" s="209"/>
      <c r="W818" s="207"/>
      <c r="X818" s="209"/>
      <c r="Y818" s="207"/>
      <c r="Z818" s="209"/>
      <c r="AA818" s="209"/>
      <c r="AB818" s="207"/>
    </row>
    <row r="819" spans="1:28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209"/>
      <c r="T819" s="209"/>
      <c r="U819" s="207"/>
      <c r="V819" s="209"/>
      <c r="W819" s="207"/>
      <c r="X819" s="209"/>
      <c r="Y819" s="207"/>
      <c r="Z819" s="209"/>
      <c r="AA819" s="209"/>
      <c r="AB819" s="207"/>
    </row>
    <row r="820" spans="1:28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209"/>
      <c r="T820" s="209"/>
      <c r="U820" s="207"/>
      <c r="V820" s="209"/>
      <c r="W820" s="207"/>
      <c r="X820" s="209"/>
      <c r="Y820" s="207"/>
      <c r="Z820" s="209"/>
      <c r="AA820" s="209"/>
      <c r="AB820" s="207"/>
    </row>
    <row r="821" spans="1:28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209"/>
      <c r="T821" s="209"/>
      <c r="U821" s="207"/>
      <c r="V821" s="209"/>
      <c r="W821" s="207"/>
      <c r="X821" s="209"/>
      <c r="Y821" s="207"/>
      <c r="Z821" s="209"/>
      <c r="AA821" s="209"/>
      <c r="AB821" s="207"/>
    </row>
    <row r="822" spans="1:28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209"/>
      <c r="T822" s="209"/>
      <c r="U822" s="207"/>
      <c r="V822" s="209"/>
      <c r="W822" s="207"/>
      <c r="X822" s="209"/>
      <c r="Y822" s="207"/>
      <c r="Z822" s="209"/>
      <c r="AA822" s="209"/>
      <c r="AB822" s="207"/>
    </row>
    <row r="823" spans="1:28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209"/>
      <c r="T823" s="209"/>
      <c r="U823" s="207"/>
      <c r="V823" s="209"/>
      <c r="W823" s="207"/>
      <c r="X823" s="209"/>
      <c r="Y823" s="207"/>
      <c r="Z823" s="209"/>
      <c r="AA823" s="209"/>
      <c r="AB823" s="207"/>
    </row>
    <row r="824" spans="1:28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209"/>
      <c r="T824" s="209"/>
      <c r="U824" s="207"/>
      <c r="V824" s="209"/>
      <c r="W824" s="207"/>
      <c r="X824" s="209"/>
      <c r="Y824" s="207"/>
      <c r="Z824" s="209"/>
      <c r="AA824" s="209"/>
      <c r="AB824" s="207"/>
    </row>
    <row r="825" spans="1:28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209"/>
      <c r="T825" s="209"/>
      <c r="U825" s="207"/>
      <c r="V825" s="209"/>
      <c r="W825" s="207"/>
      <c r="X825" s="209"/>
      <c r="Y825" s="207"/>
      <c r="Z825" s="209"/>
      <c r="AA825" s="209"/>
      <c r="AB825" s="207"/>
    </row>
    <row r="826" spans="1:28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209"/>
      <c r="T826" s="209"/>
      <c r="U826" s="207"/>
      <c r="V826" s="209"/>
      <c r="W826" s="207"/>
      <c r="X826" s="209"/>
      <c r="Y826" s="207"/>
      <c r="Z826" s="209"/>
      <c r="AA826" s="209"/>
      <c r="AB826" s="207"/>
    </row>
    <row r="827" spans="1:28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209"/>
      <c r="T827" s="209"/>
      <c r="U827" s="207"/>
      <c r="V827" s="209"/>
      <c r="W827" s="207"/>
      <c r="X827" s="209"/>
      <c r="Y827" s="207"/>
      <c r="Z827" s="209"/>
      <c r="AA827" s="209"/>
      <c r="AB827" s="207"/>
    </row>
    <row r="828" spans="1:28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209"/>
      <c r="T828" s="209"/>
      <c r="U828" s="207"/>
      <c r="V828" s="209"/>
      <c r="W828" s="207"/>
      <c r="X828" s="209"/>
      <c r="Y828" s="207"/>
      <c r="Z828" s="209"/>
      <c r="AA828" s="209"/>
      <c r="AB828" s="207"/>
    </row>
    <row r="829" spans="1:28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209"/>
      <c r="T829" s="209"/>
      <c r="U829" s="207"/>
      <c r="V829" s="209"/>
      <c r="W829" s="207"/>
      <c r="X829" s="209"/>
      <c r="Y829" s="207"/>
      <c r="Z829" s="209"/>
      <c r="AA829" s="209"/>
      <c r="AB829" s="207"/>
    </row>
    <row r="830" spans="1:28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209"/>
      <c r="T830" s="209"/>
      <c r="U830" s="207"/>
      <c r="V830" s="209"/>
      <c r="W830" s="207"/>
      <c r="X830" s="209"/>
      <c r="Y830" s="207"/>
      <c r="Z830" s="209"/>
      <c r="AA830" s="209"/>
      <c r="AB830" s="207"/>
    </row>
    <row r="831" spans="1:28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209"/>
      <c r="T831" s="209"/>
      <c r="U831" s="207"/>
      <c r="V831" s="209"/>
      <c r="W831" s="207"/>
      <c r="X831" s="209"/>
      <c r="Y831" s="207"/>
      <c r="Z831" s="209"/>
      <c r="AA831" s="209"/>
      <c r="AB831" s="207"/>
    </row>
    <row r="832" spans="1:28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209"/>
      <c r="T832" s="209"/>
      <c r="U832" s="207"/>
      <c r="V832" s="209"/>
      <c r="W832" s="207"/>
      <c r="X832" s="209"/>
      <c r="Y832" s="207"/>
      <c r="Z832" s="209"/>
      <c r="AA832" s="209"/>
      <c r="AB832" s="207"/>
    </row>
    <row r="833" spans="1:28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209"/>
      <c r="T833" s="209"/>
      <c r="U833" s="207"/>
      <c r="V833" s="209"/>
      <c r="W833" s="207"/>
      <c r="X833" s="209"/>
      <c r="Y833" s="207"/>
      <c r="Z833" s="209"/>
      <c r="AA833" s="209"/>
      <c r="AB833" s="207"/>
    </row>
    <row r="834" spans="1:28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209"/>
      <c r="T834" s="209"/>
      <c r="U834" s="207"/>
      <c r="V834" s="209"/>
      <c r="W834" s="207"/>
      <c r="X834" s="209"/>
      <c r="Y834" s="207"/>
      <c r="Z834" s="209"/>
      <c r="AA834" s="209"/>
      <c r="AB834" s="207"/>
    </row>
    <row r="835" spans="1:28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209"/>
      <c r="T835" s="209"/>
      <c r="U835" s="207"/>
      <c r="V835" s="209"/>
      <c r="W835" s="207"/>
      <c r="X835" s="209"/>
      <c r="Y835" s="207"/>
      <c r="Z835" s="209"/>
      <c r="AA835" s="209"/>
      <c r="AB835" s="207"/>
    </row>
    <row r="836" spans="1:28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209"/>
      <c r="T836" s="209"/>
      <c r="U836" s="207"/>
      <c r="V836" s="209"/>
      <c r="W836" s="207"/>
      <c r="X836" s="209"/>
      <c r="Y836" s="207"/>
      <c r="Z836" s="209"/>
      <c r="AA836" s="209"/>
      <c r="AB836" s="207"/>
    </row>
    <row r="837" spans="1:28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209"/>
      <c r="T837" s="209"/>
      <c r="U837" s="207"/>
      <c r="V837" s="209"/>
      <c r="W837" s="207"/>
      <c r="X837" s="209"/>
      <c r="Y837" s="207"/>
      <c r="Z837" s="209"/>
      <c r="AA837" s="209"/>
      <c r="AB837" s="207"/>
    </row>
    <row r="838" spans="1:28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209"/>
      <c r="T838" s="209"/>
      <c r="U838" s="207"/>
      <c r="V838" s="209"/>
      <c r="W838" s="207"/>
      <c r="X838" s="209"/>
      <c r="Y838" s="207"/>
      <c r="Z838" s="209"/>
      <c r="AA838" s="209"/>
      <c r="AB838" s="207"/>
    </row>
    <row r="839" spans="1:28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209"/>
      <c r="T839" s="209"/>
      <c r="U839" s="207"/>
      <c r="V839" s="209"/>
      <c r="W839" s="207"/>
      <c r="X839" s="209"/>
      <c r="Y839" s="207"/>
      <c r="Z839" s="209"/>
      <c r="AA839" s="209"/>
      <c r="AB839" s="207"/>
    </row>
    <row r="840" spans="1:28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209"/>
      <c r="T840" s="209"/>
      <c r="U840" s="207"/>
      <c r="V840" s="209"/>
      <c r="W840" s="207"/>
      <c r="X840" s="209"/>
      <c r="Y840" s="207"/>
      <c r="Z840" s="209"/>
      <c r="AA840" s="209"/>
      <c r="AB840" s="207"/>
    </row>
    <row r="841" spans="1:28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209"/>
      <c r="T841" s="209"/>
      <c r="U841" s="207"/>
      <c r="V841" s="209"/>
      <c r="W841" s="207"/>
      <c r="X841" s="209"/>
      <c r="Y841" s="207"/>
      <c r="Z841" s="209"/>
      <c r="AA841" s="209"/>
      <c r="AB841" s="207"/>
    </row>
    <row r="842" spans="1:28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209"/>
      <c r="T842" s="209"/>
      <c r="U842" s="207"/>
      <c r="V842" s="209"/>
      <c r="W842" s="207"/>
      <c r="X842" s="209"/>
      <c r="Y842" s="207"/>
      <c r="Z842" s="209"/>
      <c r="AA842" s="209"/>
      <c r="AB842" s="207"/>
    </row>
    <row r="843" spans="1:28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209"/>
      <c r="T843" s="209"/>
      <c r="U843" s="207"/>
      <c r="V843" s="209"/>
      <c r="W843" s="207"/>
      <c r="X843" s="209"/>
      <c r="Y843" s="207"/>
      <c r="Z843" s="209"/>
      <c r="AA843" s="209"/>
      <c r="AB843" s="207"/>
    </row>
    <row r="844" spans="1:28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209"/>
      <c r="T844" s="209"/>
      <c r="U844" s="207"/>
      <c r="V844" s="209"/>
      <c r="W844" s="207"/>
      <c r="X844" s="209"/>
      <c r="Y844" s="207"/>
      <c r="Z844" s="209"/>
      <c r="AA844" s="209"/>
      <c r="AB844" s="207"/>
    </row>
    <row r="845" spans="1:28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209"/>
      <c r="T845" s="209"/>
      <c r="U845" s="207"/>
      <c r="V845" s="209"/>
      <c r="W845" s="207"/>
      <c r="X845" s="209"/>
      <c r="Y845" s="207"/>
      <c r="Z845" s="209"/>
      <c r="AA845" s="209"/>
      <c r="AB845" s="207"/>
    </row>
    <row r="846" spans="1:28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209"/>
      <c r="T846" s="209"/>
      <c r="U846" s="207"/>
      <c r="V846" s="209"/>
      <c r="W846" s="207"/>
      <c r="X846" s="209"/>
      <c r="Y846" s="207"/>
      <c r="Z846" s="209"/>
      <c r="AA846" s="209"/>
      <c r="AB846" s="207"/>
    </row>
    <row r="847" spans="1:28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209"/>
      <c r="T847" s="209"/>
      <c r="U847" s="207"/>
      <c r="V847" s="209"/>
      <c r="W847" s="207"/>
      <c r="X847" s="209"/>
      <c r="Y847" s="207"/>
      <c r="Z847" s="209"/>
      <c r="AA847" s="209"/>
      <c r="AB847" s="207"/>
    </row>
    <row r="848" spans="1:28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209"/>
      <c r="T848" s="209"/>
      <c r="U848" s="207"/>
      <c r="V848" s="209"/>
      <c r="W848" s="207"/>
      <c r="X848" s="209"/>
      <c r="Y848" s="207"/>
      <c r="Z848" s="209"/>
      <c r="AA848" s="209"/>
      <c r="AB848" s="207"/>
    </row>
    <row r="849" spans="1:28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209"/>
      <c r="T849" s="209"/>
      <c r="U849" s="207"/>
      <c r="V849" s="209"/>
      <c r="W849" s="207"/>
      <c r="X849" s="209"/>
      <c r="Y849" s="207"/>
      <c r="Z849" s="209"/>
      <c r="AA849" s="209"/>
      <c r="AB849" s="207"/>
    </row>
    <row r="850" spans="1:28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209"/>
      <c r="T850" s="209"/>
      <c r="U850" s="207"/>
      <c r="V850" s="209"/>
      <c r="W850" s="207"/>
      <c r="X850" s="209"/>
      <c r="Y850" s="207"/>
      <c r="Z850" s="209"/>
      <c r="AA850" s="209"/>
      <c r="AB850" s="207"/>
    </row>
    <row r="851" spans="1:28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209"/>
      <c r="T851" s="209"/>
      <c r="U851" s="207"/>
      <c r="V851" s="209"/>
      <c r="W851" s="207"/>
      <c r="X851" s="209"/>
      <c r="Y851" s="207"/>
      <c r="Z851" s="209"/>
      <c r="AA851" s="209"/>
      <c r="AB851" s="207"/>
    </row>
    <row r="852" spans="1:28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209"/>
      <c r="T852" s="209"/>
      <c r="U852" s="207"/>
      <c r="V852" s="209"/>
      <c r="W852" s="207"/>
      <c r="X852" s="209"/>
      <c r="Y852" s="207"/>
      <c r="Z852" s="209"/>
      <c r="AA852" s="209"/>
      <c r="AB852" s="207"/>
    </row>
    <row r="853" spans="1:28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209"/>
      <c r="T853" s="209"/>
      <c r="U853" s="207"/>
      <c r="V853" s="209"/>
      <c r="W853" s="207"/>
      <c r="X853" s="209"/>
      <c r="Y853" s="207"/>
      <c r="Z853" s="209"/>
      <c r="AA853" s="209"/>
      <c r="AB853" s="207"/>
    </row>
    <row r="854" spans="1:28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209"/>
      <c r="T854" s="209"/>
      <c r="U854" s="207"/>
      <c r="V854" s="209"/>
      <c r="W854" s="207"/>
      <c r="X854" s="209"/>
      <c r="Y854" s="207"/>
      <c r="Z854" s="209"/>
      <c r="AA854" s="209"/>
      <c r="AB854" s="207"/>
    </row>
    <row r="855" spans="1:28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209"/>
      <c r="T855" s="209"/>
      <c r="U855" s="207"/>
      <c r="V855" s="209"/>
      <c r="W855" s="207"/>
      <c r="X855" s="209"/>
      <c r="Y855" s="207"/>
      <c r="Z855" s="209"/>
      <c r="AA855" s="209"/>
      <c r="AB855" s="207"/>
    </row>
    <row r="856" spans="1:28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209"/>
      <c r="T856" s="209"/>
      <c r="U856" s="207"/>
      <c r="V856" s="209"/>
      <c r="W856" s="207"/>
      <c r="X856" s="209"/>
      <c r="Y856" s="207"/>
      <c r="Z856" s="209"/>
      <c r="AA856" s="209"/>
      <c r="AB856" s="207"/>
    </row>
    <row r="857" spans="1:28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209"/>
      <c r="T857" s="209"/>
      <c r="U857" s="207"/>
      <c r="V857" s="209"/>
      <c r="W857" s="207"/>
      <c r="X857" s="209"/>
      <c r="Y857" s="207"/>
      <c r="Z857" s="209"/>
      <c r="AA857" s="209"/>
      <c r="AB857" s="207"/>
    </row>
    <row r="858" spans="1:28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209"/>
      <c r="T858" s="209"/>
      <c r="U858" s="207"/>
      <c r="V858" s="209"/>
      <c r="W858" s="207"/>
      <c r="X858" s="209"/>
      <c r="Y858" s="207"/>
      <c r="Z858" s="209"/>
      <c r="AA858" s="209"/>
      <c r="AB858" s="207"/>
    </row>
    <row r="859" spans="1:28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209"/>
      <c r="T859" s="209"/>
      <c r="U859" s="207"/>
      <c r="V859" s="209"/>
      <c r="W859" s="207"/>
      <c r="X859" s="209"/>
      <c r="Y859" s="207"/>
      <c r="Z859" s="209"/>
      <c r="AA859" s="209"/>
      <c r="AB859" s="207"/>
    </row>
    <row r="860" spans="1:28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209"/>
      <c r="T860" s="209"/>
      <c r="U860" s="207"/>
      <c r="V860" s="209"/>
      <c r="W860" s="207"/>
      <c r="X860" s="209"/>
      <c r="Y860" s="207"/>
      <c r="Z860" s="209"/>
      <c r="AA860" s="209"/>
      <c r="AB860" s="207"/>
    </row>
    <row r="861" spans="1:28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209"/>
      <c r="T861" s="209"/>
      <c r="U861" s="207"/>
      <c r="V861" s="209"/>
      <c r="W861" s="207"/>
      <c r="X861" s="209"/>
      <c r="Y861" s="207"/>
      <c r="Z861" s="209"/>
      <c r="AA861" s="209"/>
      <c r="AB861" s="207"/>
    </row>
    <row r="862" spans="1:28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209"/>
      <c r="T862" s="209"/>
      <c r="U862" s="207"/>
      <c r="V862" s="209"/>
      <c r="W862" s="207"/>
      <c r="X862" s="209"/>
      <c r="Y862" s="207"/>
      <c r="Z862" s="209"/>
      <c r="AA862" s="209"/>
      <c r="AB862" s="207"/>
    </row>
    <row r="863" spans="1:28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209"/>
      <c r="T863" s="209"/>
      <c r="U863" s="207"/>
      <c r="V863" s="209"/>
      <c r="W863" s="207"/>
      <c r="X863" s="209"/>
      <c r="Y863" s="207"/>
      <c r="Z863" s="209"/>
      <c r="AA863" s="209"/>
      <c r="AB863" s="207"/>
    </row>
    <row r="864" spans="1:28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209"/>
      <c r="T864" s="209"/>
      <c r="U864" s="207"/>
      <c r="V864" s="209"/>
      <c r="W864" s="207"/>
      <c r="X864" s="209"/>
      <c r="Y864" s="207"/>
      <c r="Z864" s="209"/>
      <c r="AA864" s="209"/>
      <c r="AB864" s="207"/>
    </row>
    <row r="865" spans="1:28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209"/>
      <c r="T865" s="209"/>
      <c r="U865" s="207"/>
      <c r="V865" s="209"/>
      <c r="W865" s="207"/>
      <c r="X865" s="209"/>
      <c r="Y865" s="207"/>
      <c r="Z865" s="209"/>
      <c r="AA865" s="209"/>
      <c r="AB865" s="207"/>
    </row>
    <row r="866" spans="1:28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209"/>
      <c r="T866" s="209"/>
      <c r="U866" s="207"/>
      <c r="V866" s="209"/>
      <c r="W866" s="207"/>
      <c r="X866" s="209"/>
      <c r="Y866" s="207"/>
      <c r="Z866" s="209"/>
      <c r="AA866" s="209"/>
      <c r="AB866" s="207"/>
    </row>
    <row r="867" spans="1:28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209"/>
      <c r="T867" s="209"/>
      <c r="U867" s="207"/>
      <c r="V867" s="209"/>
      <c r="W867" s="207"/>
      <c r="X867" s="209"/>
      <c r="Y867" s="207"/>
      <c r="Z867" s="209"/>
      <c r="AA867" s="209"/>
      <c r="AB867" s="207"/>
    </row>
    <row r="868" spans="1:28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209"/>
      <c r="T868" s="209"/>
      <c r="U868" s="207"/>
      <c r="V868" s="209"/>
      <c r="W868" s="207"/>
      <c r="X868" s="209"/>
      <c r="Y868" s="207"/>
      <c r="Z868" s="209"/>
      <c r="AA868" s="209"/>
      <c r="AB868" s="207"/>
    </row>
    <row r="869" spans="1:28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209"/>
      <c r="T869" s="209"/>
      <c r="U869" s="207"/>
      <c r="V869" s="209"/>
      <c r="W869" s="207"/>
      <c r="X869" s="209"/>
      <c r="Y869" s="207"/>
      <c r="Z869" s="209"/>
      <c r="AA869" s="209"/>
      <c r="AB869" s="207"/>
    </row>
    <row r="870" spans="1:28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209"/>
      <c r="T870" s="209"/>
      <c r="U870" s="207"/>
      <c r="V870" s="209"/>
      <c r="W870" s="207"/>
      <c r="X870" s="209"/>
      <c r="Y870" s="207"/>
      <c r="Z870" s="209"/>
      <c r="AA870" s="209"/>
      <c r="AB870" s="207"/>
    </row>
    <row r="871" spans="1:28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209"/>
      <c r="T871" s="209"/>
      <c r="U871" s="207"/>
      <c r="V871" s="209"/>
      <c r="W871" s="207"/>
      <c r="X871" s="209"/>
      <c r="Y871" s="207"/>
      <c r="Z871" s="209"/>
      <c r="AA871" s="209"/>
      <c r="AB871" s="207"/>
    </row>
    <row r="872" spans="1:28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209"/>
      <c r="T872" s="209"/>
      <c r="U872" s="207"/>
      <c r="V872" s="209"/>
      <c r="W872" s="207"/>
      <c r="X872" s="209"/>
      <c r="Y872" s="207"/>
      <c r="Z872" s="209"/>
      <c r="AA872" s="209"/>
      <c r="AB872" s="207"/>
    </row>
    <row r="873" spans="1:28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209"/>
      <c r="T873" s="209"/>
      <c r="U873" s="207"/>
      <c r="V873" s="209"/>
      <c r="W873" s="207"/>
      <c r="X873" s="209"/>
      <c r="Y873" s="207"/>
      <c r="Z873" s="209"/>
      <c r="AA873" s="209"/>
      <c r="AB873" s="207"/>
    </row>
    <row r="874" spans="1:28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209"/>
      <c r="T874" s="209"/>
      <c r="U874" s="207"/>
      <c r="V874" s="209"/>
      <c r="W874" s="207"/>
      <c r="X874" s="209"/>
      <c r="Y874" s="207"/>
      <c r="Z874" s="209"/>
      <c r="AA874" s="209"/>
      <c r="AB874" s="207"/>
    </row>
    <row r="875" spans="1:28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209"/>
      <c r="T875" s="209"/>
      <c r="U875" s="207"/>
      <c r="V875" s="209"/>
      <c r="W875" s="207"/>
      <c r="X875" s="209"/>
      <c r="Y875" s="207"/>
      <c r="Z875" s="209"/>
      <c r="AA875" s="209"/>
      <c r="AB875" s="207"/>
    </row>
    <row r="876" spans="1:28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209"/>
      <c r="T876" s="209"/>
      <c r="U876" s="207"/>
      <c r="V876" s="209"/>
      <c r="W876" s="207"/>
      <c r="X876" s="209"/>
      <c r="Y876" s="207"/>
      <c r="Z876" s="209"/>
      <c r="AA876" s="209"/>
      <c r="AB876" s="207"/>
    </row>
    <row r="877" spans="1:28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209"/>
      <c r="T877" s="209"/>
      <c r="U877" s="207"/>
      <c r="V877" s="209"/>
      <c r="W877" s="207"/>
      <c r="X877" s="209"/>
      <c r="Y877" s="207"/>
      <c r="Z877" s="209"/>
      <c r="AA877" s="209"/>
      <c r="AB877" s="207"/>
    </row>
    <row r="878" spans="1:28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209"/>
      <c r="T878" s="209"/>
      <c r="U878" s="207"/>
      <c r="V878" s="209"/>
      <c r="W878" s="207"/>
      <c r="X878" s="209"/>
      <c r="Y878" s="207"/>
      <c r="Z878" s="209"/>
      <c r="AA878" s="209"/>
      <c r="AB878" s="207"/>
    </row>
    <row r="879" spans="1:28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209"/>
      <c r="T879" s="209"/>
      <c r="U879" s="207"/>
      <c r="V879" s="209"/>
      <c r="W879" s="207"/>
      <c r="X879" s="209"/>
      <c r="Y879" s="207"/>
      <c r="Z879" s="209"/>
      <c r="AA879" s="209"/>
      <c r="AB879" s="207"/>
    </row>
    <row r="880" spans="1:28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209"/>
      <c r="T880" s="209"/>
      <c r="U880" s="207"/>
      <c r="V880" s="209"/>
      <c r="W880" s="207"/>
      <c r="X880" s="209"/>
      <c r="Y880" s="207"/>
      <c r="Z880" s="209"/>
      <c r="AA880" s="209"/>
      <c r="AB880" s="207"/>
    </row>
    <row r="881" spans="1:28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209"/>
      <c r="T881" s="209"/>
      <c r="U881" s="207"/>
      <c r="V881" s="209"/>
      <c r="W881" s="207"/>
      <c r="X881" s="209"/>
      <c r="Y881" s="207"/>
      <c r="Z881" s="209"/>
      <c r="AA881" s="209"/>
      <c r="AB881" s="207"/>
    </row>
    <row r="882" spans="1:28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209"/>
      <c r="T882" s="209"/>
      <c r="U882" s="207"/>
      <c r="V882" s="209"/>
      <c r="W882" s="207"/>
      <c r="X882" s="209"/>
      <c r="Y882" s="207"/>
      <c r="Z882" s="209"/>
      <c r="AA882" s="209"/>
      <c r="AB882" s="207"/>
    </row>
    <row r="883" spans="1:28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209"/>
      <c r="T883" s="209"/>
      <c r="U883" s="207"/>
      <c r="V883" s="209"/>
      <c r="W883" s="207"/>
      <c r="X883" s="209"/>
      <c r="Y883" s="207"/>
      <c r="Z883" s="209"/>
      <c r="AA883" s="209"/>
      <c r="AB883" s="207"/>
    </row>
    <row r="884" spans="1:28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209"/>
      <c r="T884" s="209"/>
      <c r="U884" s="207"/>
      <c r="V884" s="209"/>
      <c r="W884" s="207"/>
      <c r="X884" s="209"/>
      <c r="Y884" s="207"/>
      <c r="Z884" s="209"/>
      <c r="AA884" s="209"/>
      <c r="AB884" s="207"/>
    </row>
    <row r="885" spans="1:28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209"/>
      <c r="T885" s="209"/>
      <c r="U885" s="207"/>
      <c r="V885" s="209"/>
      <c r="W885" s="207"/>
      <c r="X885" s="209"/>
      <c r="Y885" s="207"/>
      <c r="Z885" s="209"/>
      <c r="AA885" s="209"/>
      <c r="AB885" s="207"/>
    </row>
    <row r="886" spans="1:28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209"/>
      <c r="T886" s="209"/>
      <c r="U886" s="207"/>
      <c r="V886" s="209"/>
      <c r="W886" s="207"/>
      <c r="X886" s="209"/>
      <c r="Y886" s="207"/>
      <c r="Z886" s="209"/>
      <c r="AA886" s="209"/>
      <c r="AB886" s="207"/>
    </row>
    <row r="887" spans="1:28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209"/>
      <c r="T887" s="209"/>
      <c r="U887" s="207"/>
      <c r="V887" s="209"/>
      <c r="W887" s="207"/>
      <c r="X887" s="209"/>
      <c r="Y887" s="207"/>
      <c r="Z887" s="209"/>
      <c r="AA887" s="209"/>
      <c r="AB887" s="207"/>
    </row>
    <row r="888" spans="1:28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209"/>
      <c r="T888" s="209"/>
      <c r="U888" s="207"/>
      <c r="V888" s="209"/>
      <c r="W888" s="207"/>
      <c r="X888" s="209"/>
      <c r="Y888" s="207"/>
      <c r="Z888" s="209"/>
      <c r="AA888" s="209"/>
      <c r="AB888" s="207"/>
    </row>
    <row r="889" spans="1:28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209"/>
      <c r="T889" s="209"/>
      <c r="U889" s="207"/>
      <c r="V889" s="209"/>
      <c r="W889" s="207"/>
      <c r="X889" s="209"/>
      <c r="Y889" s="207"/>
      <c r="Z889" s="209"/>
      <c r="AA889" s="209"/>
      <c r="AB889" s="207"/>
    </row>
    <row r="890" spans="1:28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209"/>
      <c r="T890" s="209"/>
      <c r="U890" s="207"/>
      <c r="V890" s="209"/>
      <c r="W890" s="207"/>
      <c r="X890" s="209"/>
      <c r="Y890" s="207"/>
      <c r="Z890" s="209"/>
      <c r="AA890" s="209"/>
      <c r="AB890" s="207"/>
    </row>
    <row r="891" spans="1:28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209"/>
      <c r="T891" s="209"/>
      <c r="U891" s="207"/>
      <c r="V891" s="209"/>
      <c r="W891" s="207"/>
      <c r="X891" s="209"/>
      <c r="Y891" s="207"/>
      <c r="Z891" s="209"/>
      <c r="AA891" s="209"/>
      <c r="AB891" s="207"/>
    </row>
    <row r="892" spans="1:28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209"/>
      <c r="T892" s="209"/>
      <c r="U892" s="207"/>
      <c r="V892" s="209"/>
      <c r="W892" s="207"/>
      <c r="X892" s="209"/>
      <c r="Y892" s="207"/>
      <c r="Z892" s="209"/>
      <c r="AA892" s="209"/>
      <c r="AB892" s="207"/>
    </row>
    <row r="893" spans="1:28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209"/>
      <c r="T893" s="209"/>
      <c r="U893" s="207"/>
      <c r="V893" s="209"/>
      <c r="W893" s="207"/>
      <c r="X893" s="209"/>
      <c r="Y893" s="207"/>
      <c r="Z893" s="209"/>
      <c r="AA893" s="209"/>
      <c r="AB893" s="207"/>
    </row>
    <row r="894" spans="1:28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209"/>
      <c r="T894" s="209"/>
      <c r="U894" s="207"/>
      <c r="V894" s="209"/>
      <c r="W894" s="207"/>
      <c r="X894" s="209"/>
      <c r="Y894" s="207"/>
      <c r="Z894" s="209"/>
      <c r="AA894" s="209"/>
      <c r="AB894" s="207"/>
    </row>
    <row r="895" spans="1:28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209"/>
      <c r="T895" s="209"/>
      <c r="U895" s="207"/>
      <c r="V895" s="209"/>
      <c r="W895" s="207"/>
      <c r="X895" s="209"/>
      <c r="Y895" s="207"/>
      <c r="Z895" s="209"/>
      <c r="AA895" s="209"/>
      <c r="AB895" s="207"/>
    </row>
    <row r="896" spans="1:28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209"/>
      <c r="T896" s="209"/>
      <c r="U896" s="207"/>
      <c r="V896" s="209"/>
      <c r="W896" s="207"/>
      <c r="X896" s="209"/>
      <c r="Y896" s="207"/>
      <c r="Z896" s="209"/>
      <c r="AA896" s="209"/>
      <c r="AB896" s="207"/>
    </row>
    <row r="897" spans="1:28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209"/>
      <c r="T897" s="209"/>
      <c r="U897" s="207"/>
      <c r="V897" s="209"/>
      <c r="W897" s="207"/>
      <c r="X897" s="209"/>
      <c r="Y897" s="207"/>
      <c r="Z897" s="209"/>
      <c r="AA897" s="209"/>
      <c r="AB897" s="207"/>
    </row>
    <row r="898" spans="1:28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209"/>
      <c r="T898" s="209"/>
      <c r="U898" s="207"/>
      <c r="V898" s="209"/>
      <c r="W898" s="207"/>
      <c r="X898" s="209"/>
      <c r="Y898" s="207"/>
      <c r="Z898" s="209"/>
      <c r="AA898" s="209"/>
      <c r="AB898" s="207"/>
    </row>
    <row r="899" spans="1:28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209"/>
      <c r="T899" s="209"/>
      <c r="U899" s="207"/>
      <c r="V899" s="209"/>
      <c r="W899" s="207"/>
      <c r="X899" s="209"/>
      <c r="Y899" s="207"/>
      <c r="Z899" s="209"/>
      <c r="AA899" s="209"/>
      <c r="AB899" s="207"/>
    </row>
    <row r="900" spans="1:28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209"/>
      <c r="T900" s="209"/>
      <c r="U900" s="207"/>
      <c r="V900" s="209"/>
      <c r="W900" s="207"/>
      <c r="X900" s="209"/>
      <c r="Y900" s="207"/>
      <c r="Z900" s="209"/>
      <c r="AA900" s="209"/>
      <c r="AB900" s="207"/>
    </row>
    <row r="901" spans="1:28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209"/>
      <c r="T901" s="209"/>
      <c r="U901" s="207"/>
      <c r="V901" s="209"/>
      <c r="W901" s="207"/>
      <c r="X901" s="209"/>
      <c r="Y901" s="207"/>
      <c r="Z901" s="209"/>
      <c r="AA901" s="209"/>
      <c r="AB901" s="207"/>
    </row>
    <row r="902" spans="1:28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209"/>
      <c r="T902" s="209"/>
      <c r="U902" s="207"/>
      <c r="V902" s="209"/>
      <c r="W902" s="207"/>
      <c r="X902" s="209"/>
      <c r="Y902" s="207"/>
      <c r="Z902" s="209"/>
      <c r="AA902" s="209"/>
      <c r="AB902" s="207"/>
    </row>
    <row r="903" spans="1:28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209"/>
      <c r="T903" s="209"/>
      <c r="U903" s="207"/>
      <c r="V903" s="209"/>
      <c r="W903" s="207"/>
      <c r="X903" s="209"/>
      <c r="Y903" s="207"/>
      <c r="Z903" s="209"/>
      <c r="AA903" s="209"/>
      <c r="AB903" s="207"/>
    </row>
    <row r="904" spans="1:28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209"/>
      <c r="T904" s="209"/>
      <c r="U904" s="207"/>
      <c r="V904" s="209"/>
      <c r="W904" s="207"/>
      <c r="X904" s="209"/>
      <c r="Y904" s="207"/>
      <c r="Z904" s="209"/>
      <c r="AA904" s="209"/>
      <c r="AB904" s="207"/>
    </row>
    <row r="905" spans="1:28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209"/>
      <c r="T905" s="209"/>
      <c r="U905" s="207"/>
      <c r="V905" s="209"/>
      <c r="W905" s="207"/>
      <c r="X905" s="209"/>
      <c r="Y905" s="207"/>
      <c r="Z905" s="209"/>
      <c r="AA905" s="209"/>
      <c r="AB905" s="207"/>
    </row>
    <row r="906" spans="1:28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209"/>
      <c r="T906" s="209"/>
      <c r="U906" s="207"/>
      <c r="V906" s="209"/>
      <c r="W906" s="207"/>
      <c r="X906" s="209"/>
      <c r="Y906" s="207"/>
      <c r="Z906" s="209"/>
      <c r="AA906" s="209"/>
      <c r="AB906" s="207"/>
    </row>
    <row r="907" spans="1:28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209"/>
      <c r="T907" s="209"/>
      <c r="U907" s="207"/>
      <c r="V907" s="209"/>
      <c r="W907" s="207"/>
      <c r="X907" s="209"/>
      <c r="Y907" s="207"/>
      <c r="Z907" s="209"/>
      <c r="AA907" s="209"/>
      <c r="AB907" s="207"/>
    </row>
    <row r="908" spans="1:28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209"/>
      <c r="T908" s="209"/>
      <c r="U908" s="207"/>
      <c r="V908" s="209"/>
      <c r="W908" s="207"/>
      <c r="X908" s="209"/>
      <c r="Y908" s="207"/>
      <c r="Z908" s="209"/>
      <c r="AA908" s="209"/>
      <c r="AB908" s="207"/>
    </row>
    <row r="909" spans="1:28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209"/>
      <c r="T909" s="209"/>
      <c r="U909" s="207"/>
      <c r="V909" s="209"/>
      <c r="W909" s="207"/>
      <c r="X909" s="209"/>
      <c r="Y909" s="207"/>
      <c r="Z909" s="209"/>
      <c r="AA909" s="209"/>
      <c r="AB909" s="207"/>
    </row>
    <row r="910" spans="1:28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209"/>
      <c r="T910" s="209"/>
      <c r="U910" s="207"/>
      <c r="V910" s="209"/>
      <c r="W910" s="207"/>
      <c r="X910" s="209"/>
      <c r="Y910" s="207"/>
      <c r="Z910" s="209"/>
      <c r="AA910" s="209"/>
      <c r="AB910" s="207"/>
    </row>
    <row r="911" spans="1:28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209"/>
      <c r="T911" s="209"/>
      <c r="U911" s="207"/>
      <c r="V911" s="209"/>
      <c r="W911" s="207"/>
      <c r="X911" s="209"/>
      <c r="Y911" s="207"/>
      <c r="Z911" s="209"/>
      <c r="AA911" s="209"/>
      <c r="AB911" s="207"/>
    </row>
    <row r="912" spans="1:28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209"/>
      <c r="T912" s="209"/>
      <c r="U912" s="207"/>
      <c r="V912" s="209"/>
      <c r="W912" s="207"/>
      <c r="X912" s="209"/>
      <c r="Y912" s="207"/>
      <c r="Z912" s="209"/>
      <c r="AA912" s="209"/>
      <c r="AB912" s="207"/>
    </row>
    <row r="913" spans="1:28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209"/>
      <c r="T913" s="209"/>
      <c r="U913" s="207"/>
      <c r="V913" s="209"/>
      <c r="W913" s="207"/>
      <c r="X913" s="209"/>
      <c r="Y913" s="207"/>
      <c r="Z913" s="209"/>
      <c r="AA913" s="209"/>
      <c r="AB913" s="207"/>
    </row>
    <row r="914" spans="1:28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209"/>
      <c r="T914" s="209"/>
      <c r="U914" s="207"/>
      <c r="V914" s="209"/>
      <c r="W914" s="207"/>
      <c r="X914" s="209"/>
      <c r="Y914" s="207"/>
      <c r="Z914" s="209"/>
      <c r="AA914" s="209"/>
      <c r="AB914" s="207"/>
    </row>
    <row r="915" spans="1:28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209"/>
      <c r="T915" s="209"/>
      <c r="U915" s="207"/>
      <c r="V915" s="209"/>
      <c r="W915" s="207"/>
      <c r="X915" s="209"/>
      <c r="Y915" s="207"/>
      <c r="Z915" s="209"/>
      <c r="AA915" s="209"/>
      <c r="AB915" s="207"/>
    </row>
    <row r="916" spans="1:28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209"/>
      <c r="T916" s="209"/>
      <c r="U916" s="207"/>
      <c r="V916" s="209"/>
      <c r="W916" s="207"/>
      <c r="X916" s="209"/>
      <c r="Y916" s="207"/>
      <c r="Z916" s="209"/>
      <c r="AA916" s="209"/>
      <c r="AB916" s="207"/>
    </row>
    <row r="917" spans="1:28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209"/>
      <c r="T917" s="209"/>
      <c r="U917" s="207"/>
      <c r="V917" s="209"/>
      <c r="W917" s="207"/>
      <c r="X917" s="209"/>
      <c r="Y917" s="207"/>
      <c r="Z917" s="209"/>
      <c r="AA917" s="209"/>
      <c r="AB917" s="207"/>
    </row>
    <row r="918" spans="1:28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209"/>
      <c r="T918" s="209"/>
      <c r="U918" s="207"/>
      <c r="V918" s="209"/>
      <c r="W918" s="207"/>
      <c r="X918" s="209"/>
      <c r="Y918" s="207"/>
      <c r="Z918" s="209"/>
      <c r="AA918" s="209"/>
      <c r="AB918" s="207"/>
    </row>
    <row r="919" spans="1:28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209"/>
      <c r="T919" s="209"/>
      <c r="U919" s="207"/>
      <c r="V919" s="209"/>
      <c r="W919" s="207"/>
      <c r="X919" s="209"/>
      <c r="Y919" s="207"/>
      <c r="Z919" s="209"/>
      <c r="AA919" s="209"/>
      <c r="AB919" s="207"/>
    </row>
    <row r="920" spans="1:28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209"/>
      <c r="T920" s="209"/>
      <c r="U920" s="207"/>
      <c r="V920" s="209"/>
      <c r="W920" s="207"/>
      <c r="X920" s="209"/>
      <c r="Y920" s="207"/>
      <c r="Z920" s="209"/>
      <c r="AA920" s="209"/>
      <c r="AB920" s="207"/>
    </row>
    <row r="921" spans="1:28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209"/>
      <c r="T921" s="209"/>
      <c r="U921" s="207"/>
      <c r="V921" s="209"/>
      <c r="W921" s="207"/>
      <c r="X921" s="209"/>
      <c r="Y921" s="207"/>
      <c r="Z921" s="209"/>
      <c r="AA921" s="209"/>
      <c r="AB921" s="207"/>
    </row>
    <row r="922" spans="1:28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209"/>
      <c r="T922" s="209"/>
      <c r="U922" s="207"/>
      <c r="V922" s="209"/>
      <c r="W922" s="207"/>
      <c r="X922" s="209"/>
      <c r="Y922" s="207"/>
      <c r="Z922" s="209"/>
      <c r="AA922" s="209"/>
      <c r="AB922" s="207"/>
    </row>
    <row r="923" spans="1:28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209"/>
      <c r="T923" s="209"/>
      <c r="U923" s="207"/>
      <c r="V923" s="209"/>
      <c r="W923" s="207"/>
      <c r="X923" s="209"/>
      <c r="Y923" s="207"/>
      <c r="Z923" s="209"/>
      <c r="AA923" s="209"/>
      <c r="AB923" s="207"/>
    </row>
    <row r="924" spans="1:28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209"/>
      <c r="T924" s="209"/>
      <c r="U924" s="207"/>
      <c r="V924" s="209"/>
      <c r="W924" s="207"/>
      <c r="X924" s="209"/>
      <c r="Y924" s="207"/>
      <c r="Z924" s="209"/>
      <c r="AA924" s="209"/>
      <c r="AB924" s="207"/>
    </row>
    <row r="925" spans="1:28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209"/>
      <c r="T925" s="209"/>
      <c r="U925" s="207"/>
      <c r="V925" s="209"/>
      <c r="W925" s="207"/>
      <c r="X925" s="209"/>
      <c r="Y925" s="207"/>
      <c r="Z925" s="209"/>
      <c r="AA925" s="209"/>
      <c r="AB925" s="207"/>
    </row>
    <row r="926" spans="1:28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209"/>
      <c r="T926" s="209"/>
      <c r="U926" s="207"/>
      <c r="V926" s="209"/>
      <c r="W926" s="207"/>
      <c r="X926" s="209"/>
      <c r="Y926" s="207"/>
      <c r="Z926" s="209"/>
      <c r="AA926" s="209"/>
      <c r="AB926" s="207"/>
    </row>
    <row r="927" spans="1:28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209"/>
      <c r="T927" s="209"/>
      <c r="U927" s="207"/>
      <c r="V927" s="209"/>
      <c r="W927" s="207"/>
      <c r="X927" s="209"/>
      <c r="Y927" s="207"/>
      <c r="Z927" s="209"/>
      <c r="AA927" s="209"/>
      <c r="AB927" s="207"/>
    </row>
    <row r="928" spans="1:28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209"/>
      <c r="T928" s="209"/>
      <c r="U928" s="207"/>
      <c r="V928" s="209"/>
      <c r="W928" s="207"/>
      <c r="X928" s="209"/>
      <c r="Y928" s="207"/>
      <c r="Z928" s="209"/>
      <c r="AA928" s="209"/>
      <c r="AB928" s="207"/>
    </row>
    <row r="929" spans="1:28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209"/>
      <c r="T929" s="209"/>
      <c r="U929" s="207"/>
      <c r="V929" s="209"/>
      <c r="W929" s="207"/>
      <c r="X929" s="209"/>
      <c r="Y929" s="207"/>
      <c r="Z929" s="209"/>
      <c r="AA929" s="209"/>
      <c r="AB929" s="207"/>
    </row>
    <row r="930" spans="1:28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209"/>
      <c r="T930" s="209"/>
      <c r="U930" s="207"/>
      <c r="V930" s="209"/>
      <c r="W930" s="207"/>
      <c r="X930" s="209"/>
      <c r="Y930" s="207"/>
      <c r="Z930" s="209"/>
      <c r="AA930" s="209"/>
      <c r="AB930" s="207"/>
    </row>
    <row r="931" spans="1:28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209"/>
      <c r="T931" s="209"/>
      <c r="U931" s="207"/>
      <c r="V931" s="209"/>
      <c r="W931" s="207"/>
      <c r="X931" s="209"/>
      <c r="Y931" s="207"/>
      <c r="Z931" s="209"/>
      <c r="AA931" s="209"/>
      <c r="AB931" s="207"/>
    </row>
    <row r="932" spans="1:28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209"/>
      <c r="T932" s="209"/>
      <c r="U932" s="207"/>
      <c r="V932" s="209"/>
      <c r="W932" s="207"/>
      <c r="X932" s="209"/>
      <c r="Y932" s="207"/>
      <c r="Z932" s="209"/>
      <c r="AA932" s="209"/>
      <c r="AB932" s="207"/>
    </row>
    <row r="933" spans="1:28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209"/>
      <c r="T933" s="209"/>
      <c r="U933" s="207"/>
      <c r="V933" s="209"/>
      <c r="W933" s="207"/>
      <c r="X933" s="209"/>
      <c r="Y933" s="207"/>
      <c r="Z933" s="209"/>
      <c r="AA933" s="209"/>
      <c r="AB933" s="207"/>
    </row>
    <row r="934" spans="1:28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209"/>
      <c r="T934" s="209"/>
      <c r="U934" s="207"/>
      <c r="V934" s="209"/>
      <c r="W934" s="207"/>
      <c r="X934" s="209"/>
      <c r="Y934" s="207"/>
      <c r="Z934" s="209"/>
      <c r="AA934" s="209"/>
      <c r="AB934" s="207"/>
    </row>
    <row r="935" spans="1:28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209"/>
      <c r="T935" s="209"/>
      <c r="U935" s="207"/>
      <c r="V935" s="209"/>
      <c r="W935" s="207"/>
      <c r="X935" s="209"/>
      <c r="Y935" s="207"/>
      <c r="Z935" s="209"/>
      <c r="AA935" s="209"/>
      <c r="AB935" s="207"/>
    </row>
    <row r="936" spans="1:28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209"/>
      <c r="T936" s="209"/>
      <c r="U936" s="207"/>
      <c r="V936" s="209"/>
      <c r="W936" s="207"/>
      <c r="X936" s="209"/>
      <c r="Y936" s="207"/>
      <c r="Z936" s="209"/>
      <c r="AA936" s="209"/>
      <c r="AB936" s="207"/>
    </row>
    <row r="937" spans="1:28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209"/>
      <c r="T937" s="209"/>
      <c r="U937" s="207"/>
      <c r="V937" s="209"/>
      <c r="W937" s="207"/>
      <c r="X937" s="209"/>
      <c r="Y937" s="207"/>
      <c r="Z937" s="209"/>
      <c r="AA937" s="209"/>
      <c r="AB937" s="207"/>
    </row>
    <row r="938" spans="1:28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209"/>
      <c r="T938" s="209"/>
      <c r="U938" s="207"/>
      <c r="V938" s="209"/>
      <c r="W938" s="207"/>
      <c r="X938" s="209"/>
      <c r="Y938" s="207"/>
      <c r="Z938" s="209"/>
      <c r="AA938" s="209"/>
      <c r="AB938" s="207"/>
    </row>
    <row r="939" spans="1:28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209"/>
      <c r="T939" s="209"/>
      <c r="U939" s="207"/>
      <c r="V939" s="209"/>
      <c r="W939" s="207"/>
      <c r="X939" s="209"/>
      <c r="Y939" s="207"/>
      <c r="Z939" s="209"/>
      <c r="AA939" s="209"/>
      <c r="AB939" s="207"/>
    </row>
    <row r="940" spans="1:28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209"/>
      <c r="T940" s="209"/>
      <c r="U940" s="207"/>
      <c r="V940" s="209"/>
      <c r="W940" s="207"/>
      <c r="X940" s="209"/>
      <c r="Y940" s="207"/>
      <c r="Z940" s="209"/>
      <c r="AA940" s="209"/>
      <c r="AB940" s="207"/>
    </row>
    <row r="941" spans="1:28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209"/>
      <c r="T941" s="209"/>
      <c r="U941" s="207"/>
      <c r="V941" s="209"/>
      <c r="W941" s="207"/>
      <c r="X941" s="209"/>
      <c r="Y941" s="207"/>
      <c r="Z941" s="209"/>
      <c r="AA941" s="209"/>
      <c r="AB941" s="207"/>
    </row>
    <row r="942" spans="1:28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209"/>
      <c r="T942" s="209"/>
      <c r="U942" s="207"/>
      <c r="V942" s="209"/>
      <c r="W942" s="207"/>
      <c r="X942" s="209"/>
      <c r="Y942" s="207"/>
      <c r="Z942" s="209"/>
      <c r="AA942" s="209"/>
      <c r="AB942" s="207"/>
    </row>
    <row r="943" spans="1:28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209"/>
      <c r="T943" s="209"/>
      <c r="U943" s="207"/>
      <c r="V943" s="209"/>
      <c r="W943" s="207"/>
      <c r="X943" s="209"/>
      <c r="Y943" s="207"/>
      <c r="Z943" s="209"/>
      <c r="AA943" s="209"/>
      <c r="AB943" s="207"/>
    </row>
    <row r="944" spans="1:28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209"/>
      <c r="T944" s="209"/>
      <c r="U944" s="207"/>
      <c r="V944" s="209"/>
      <c r="W944" s="207"/>
      <c r="X944" s="209"/>
      <c r="Y944" s="207"/>
      <c r="Z944" s="209"/>
      <c r="AA944" s="209"/>
      <c r="AB944" s="207"/>
    </row>
    <row r="945" spans="1:28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209"/>
      <c r="T945" s="209"/>
      <c r="U945" s="207"/>
      <c r="V945" s="209"/>
      <c r="W945" s="207"/>
      <c r="X945" s="209"/>
      <c r="Y945" s="207"/>
      <c r="Z945" s="209"/>
      <c r="AA945" s="209"/>
      <c r="AB945" s="207"/>
    </row>
    <row r="946" spans="1:28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209"/>
      <c r="T946" s="209"/>
      <c r="U946" s="207"/>
      <c r="V946" s="209"/>
      <c r="W946" s="207"/>
      <c r="X946" s="209"/>
      <c r="Y946" s="207"/>
      <c r="Z946" s="209"/>
      <c r="AA946" s="209"/>
      <c r="AB946" s="207"/>
    </row>
    <row r="947" spans="1:28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209"/>
      <c r="T947" s="209"/>
      <c r="U947" s="207"/>
      <c r="V947" s="209"/>
      <c r="W947" s="207"/>
      <c r="X947" s="209"/>
      <c r="Y947" s="207"/>
      <c r="Z947" s="209"/>
      <c r="AA947" s="209"/>
      <c r="AB947" s="207"/>
    </row>
    <row r="948" spans="1:28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209"/>
      <c r="T948" s="209"/>
      <c r="U948" s="207"/>
      <c r="V948" s="209"/>
      <c r="W948" s="207"/>
      <c r="X948" s="209"/>
      <c r="Y948" s="207"/>
      <c r="Z948" s="209"/>
      <c r="AA948" s="209"/>
      <c r="AB948" s="207"/>
    </row>
    <row r="949" spans="1:28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209"/>
      <c r="T949" s="209"/>
      <c r="U949" s="207"/>
      <c r="V949" s="209"/>
      <c r="W949" s="207"/>
      <c r="X949" s="209"/>
      <c r="Y949" s="207"/>
      <c r="Z949" s="209"/>
      <c r="AA949" s="209"/>
      <c r="AB949" s="207"/>
    </row>
    <row r="950" spans="1:28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209"/>
      <c r="T950" s="209"/>
      <c r="U950" s="207"/>
      <c r="V950" s="209"/>
      <c r="W950" s="207"/>
      <c r="X950" s="209"/>
      <c r="Y950" s="207"/>
      <c r="Z950" s="209"/>
      <c r="AA950" s="209"/>
      <c r="AB950" s="207"/>
    </row>
    <row r="951" spans="1:28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209"/>
      <c r="T951" s="209"/>
      <c r="U951" s="207"/>
      <c r="V951" s="209"/>
      <c r="W951" s="207"/>
      <c r="X951" s="209"/>
      <c r="Y951" s="207"/>
      <c r="Z951" s="209"/>
      <c r="AA951" s="209"/>
      <c r="AB951" s="207"/>
    </row>
    <row r="952" spans="1:28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209"/>
      <c r="T952" s="209"/>
      <c r="U952" s="207"/>
      <c r="V952" s="209"/>
      <c r="W952" s="207"/>
      <c r="X952" s="209"/>
      <c r="Y952" s="207"/>
      <c r="Z952" s="209"/>
      <c r="AA952" s="209"/>
      <c r="AB952" s="207"/>
    </row>
    <row r="953" spans="1:28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209"/>
      <c r="T953" s="209"/>
      <c r="U953" s="207"/>
      <c r="V953" s="209"/>
      <c r="W953" s="207"/>
      <c r="X953" s="209"/>
      <c r="Y953" s="207"/>
      <c r="Z953" s="209"/>
      <c r="AA953" s="209"/>
      <c r="AB953" s="207"/>
    </row>
    <row r="954" spans="1:28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209"/>
      <c r="T954" s="209"/>
      <c r="U954" s="207"/>
      <c r="V954" s="209"/>
      <c r="W954" s="207"/>
      <c r="X954" s="209"/>
      <c r="Y954" s="207"/>
      <c r="Z954" s="209"/>
      <c r="AA954" s="209"/>
      <c r="AB954" s="207"/>
    </row>
    <row r="955" spans="1:28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209"/>
      <c r="T955" s="209"/>
      <c r="U955" s="207"/>
      <c r="V955" s="209"/>
      <c r="W955" s="207"/>
      <c r="X955" s="209"/>
      <c r="Y955" s="207"/>
      <c r="Z955" s="209"/>
      <c r="AA955" s="209"/>
      <c r="AB955" s="207"/>
    </row>
    <row r="956" spans="1:28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209"/>
      <c r="T956" s="209"/>
      <c r="U956" s="207"/>
      <c r="V956" s="209"/>
      <c r="W956" s="207"/>
      <c r="X956" s="209"/>
      <c r="Y956" s="207"/>
      <c r="Z956" s="209"/>
      <c r="AA956" s="209"/>
      <c r="AB956" s="207"/>
    </row>
    <row r="957" spans="1:28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209"/>
      <c r="T957" s="209"/>
      <c r="U957" s="207"/>
      <c r="V957" s="209"/>
      <c r="W957" s="207"/>
      <c r="X957" s="209"/>
      <c r="Y957" s="207"/>
      <c r="Z957" s="209"/>
      <c r="AA957" s="209"/>
      <c r="AB957" s="207"/>
    </row>
    <row r="958" spans="1:28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209"/>
      <c r="T958" s="209"/>
      <c r="U958" s="207"/>
      <c r="V958" s="209"/>
      <c r="W958" s="207"/>
      <c r="X958" s="209"/>
      <c r="Y958" s="207"/>
      <c r="Z958" s="209"/>
      <c r="AA958" s="209"/>
      <c r="AB958" s="207"/>
    </row>
    <row r="959" spans="1:28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209"/>
      <c r="T959" s="209"/>
      <c r="U959" s="207"/>
      <c r="V959" s="209"/>
      <c r="W959" s="207"/>
      <c r="X959" s="209"/>
      <c r="Y959" s="207"/>
      <c r="Z959" s="209"/>
      <c r="AA959" s="209"/>
      <c r="AB959" s="207"/>
    </row>
    <row r="960" spans="1:28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209"/>
      <c r="T960" s="209"/>
      <c r="U960" s="207"/>
      <c r="V960" s="209"/>
      <c r="W960" s="207"/>
      <c r="X960" s="209"/>
      <c r="Y960" s="207"/>
      <c r="Z960" s="209"/>
      <c r="AA960" s="209"/>
      <c r="AB960" s="207"/>
    </row>
    <row r="961" spans="1:28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209"/>
      <c r="T961" s="209"/>
      <c r="U961" s="207"/>
      <c r="V961" s="209"/>
      <c r="W961" s="207"/>
      <c r="X961" s="209"/>
      <c r="Y961" s="207"/>
      <c r="Z961" s="209"/>
      <c r="AA961" s="209"/>
      <c r="AB961" s="207"/>
    </row>
    <row r="962" spans="1:28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209"/>
      <c r="T962" s="209"/>
      <c r="U962" s="207"/>
      <c r="V962" s="209"/>
      <c r="W962" s="207"/>
      <c r="X962" s="209"/>
      <c r="Y962" s="207"/>
      <c r="Z962" s="209"/>
      <c r="AA962" s="209"/>
      <c r="AB962" s="207"/>
    </row>
    <row r="963" spans="1:28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209"/>
      <c r="T963" s="209"/>
      <c r="U963" s="207"/>
      <c r="V963" s="209"/>
      <c r="W963" s="207"/>
      <c r="X963" s="209"/>
      <c r="Y963" s="207"/>
      <c r="Z963" s="209"/>
      <c r="AA963" s="209"/>
      <c r="AB963" s="207"/>
    </row>
    <row r="964" spans="1:28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209"/>
      <c r="T964" s="209"/>
      <c r="U964" s="207"/>
      <c r="V964" s="209"/>
      <c r="W964" s="207"/>
      <c r="X964" s="209"/>
      <c r="Y964" s="207"/>
      <c r="Z964" s="209"/>
      <c r="AA964" s="209"/>
      <c r="AB964" s="207"/>
    </row>
    <row r="965" spans="1:28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209"/>
      <c r="T965" s="209"/>
      <c r="U965" s="207"/>
      <c r="V965" s="209"/>
      <c r="W965" s="207"/>
      <c r="X965" s="209"/>
      <c r="Y965" s="207"/>
      <c r="Z965" s="209"/>
      <c r="AA965" s="209"/>
      <c r="AB965" s="207"/>
    </row>
    <row r="966" spans="1:28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209"/>
      <c r="T966" s="209"/>
      <c r="U966" s="207"/>
      <c r="V966" s="209"/>
      <c r="W966" s="207"/>
      <c r="X966" s="209"/>
      <c r="Y966" s="207"/>
      <c r="Z966" s="209"/>
      <c r="AA966" s="209"/>
      <c r="AB966" s="207"/>
    </row>
    <row r="967" spans="1:28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209"/>
      <c r="T967" s="209"/>
      <c r="U967" s="207"/>
      <c r="V967" s="209"/>
      <c r="W967" s="207"/>
      <c r="X967" s="209"/>
      <c r="Y967" s="207"/>
      <c r="Z967" s="209"/>
      <c r="AA967" s="209"/>
      <c r="AB967" s="207"/>
    </row>
    <row r="968" spans="1:28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209"/>
      <c r="T968" s="209"/>
      <c r="U968" s="207"/>
      <c r="V968" s="209"/>
      <c r="W968" s="207"/>
      <c r="X968" s="209"/>
      <c r="Y968" s="207"/>
      <c r="Z968" s="209"/>
      <c r="AA968" s="209"/>
      <c r="AB968" s="207"/>
    </row>
    <row r="969" spans="1:28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209"/>
      <c r="T969" s="209"/>
      <c r="U969" s="207"/>
      <c r="V969" s="209"/>
      <c r="W969" s="207"/>
      <c r="X969" s="209"/>
      <c r="Y969" s="207"/>
      <c r="Z969" s="209"/>
      <c r="AA969" s="209"/>
      <c r="AB969" s="207"/>
    </row>
    <row r="970" spans="1:28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209"/>
      <c r="T970" s="209"/>
      <c r="U970" s="207"/>
      <c r="V970" s="209"/>
      <c r="W970" s="207"/>
      <c r="X970" s="209"/>
      <c r="Y970" s="207"/>
      <c r="Z970" s="209"/>
      <c r="AA970" s="209"/>
      <c r="AB970" s="207"/>
    </row>
    <row r="971" spans="1:28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209"/>
      <c r="T971" s="209"/>
      <c r="U971" s="207"/>
      <c r="V971" s="209"/>
      <c r="W971" s="207"/>
      <c r="X971" s="209"/>
      <c r="Y971" s="207"/>
      <c r="Z971" s="209"/>
      <c r="AA971" s="209"/>
      <c r="AB971" s="207"/>
    </row>
    <row r="972" spans="1:28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209"/>
      <c r="T972" s="209"/>
      <c r="U972" s="207"/>
      <c r="V972" s="209"/>
      <c r="W972" s="207"/>
      <c r="X972" s="209"/>
      <c r="Y972" s="207"/>
      <c r="Z972" s="209"/>
      <c r="AA972" s="209"/>
      <c r="AB972" s="207"/>
    </row>
    <row r="973" spans="1:28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209"/>
      <c r="T973" s="209"/>
      <c r="U973" s="207"/>
      <c r="V973" s="209"/>
      <c r="W973" s="207"/>
      <c r="X973" s="209"/>
      <c r="Y973" s="207"/>
      <c r="Z973" s="209"/>
      <c r="AA973" s="209"/>
      <c r="AB973" s="207"/>
    </row>
    <row r="974" spans="1:28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209"/>
      <c r="T974" s="209"/>
      <c r="U974" s="207"/>
      <c r="V974" s="209"/>
      <c r="W974" s="207"/>
      <c r="X974" s="209"/>
      <c r="Y974" s="207"/>
      <c r="Z974" s="209"/>
      <c r="AA974" s="209"/>
      <c r="AB974" s="207"/>
    </row>
    <row r="975" spans="1:28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209"/>
      <c r="T975" s="209"/>
      <c r="U975" s="207"/>
      <c r="V975" s="209"/>
      <c r="W975" s="207"/>
      <c r="X975" s="209"/>
      <c r="Y975" s="207"/>
      <c r="Z975" s="209"/>
      <c r="AA975" s="209"/>
      <c r="AB975" s="207"/>
    </row>
    <row r="976" spans="1:28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209"/>
      <c r="T976" s="209"/>
      <c r="U976" s="207"/>
      <c r="V976" s="209"/>
      <c r="W976" s="207"/>
      <c r="X976" s="209"/>
      <c r="Y976" s="207"/>
      <c r="Z976" s="209"/>
      <c r="AA976" s="209"/>
      <c r="AB976" s="207"/>
    </row>
    <row r="977" spans="1:28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209"/>
      <c r="T977" s="209"/>
      <c r="U977" s="207"/>
      <c r="V977" s="209"/>
      <c r="W977" s="207"/>
      <c r="X977" s="209"/>
      <c r="Y977" s="207"/>
      <c r="Z977" s="209"/>
      <c r="AA977" s="209"/>
      <c r="AB977" s="207"/>
    </row>
    <row r="978" spans="1:28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209"/>
      <c r="T978" s="209"/>
      <c r="U978" s="207"/>
      <c r="V978" s="209"/>
      <c r="W978" s="207"/>
      <c r="X978" s="209"/>
      <c r="Y978" s="207"/>
      <c r="Z978" s="209"/>
      <c r="AA978" s="209"/>
      <c r="AB978" s="207"/>
    </row>
    <row r="979" spans="1:28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209"/>
      <c r="T979" s="209"/>
      <c r="U979" s="207"/>
      <c r="V979" s="209"/>
      <c r="W979" s="207"/>
      <c r="X979" s="209"/>
      <c r="Y979" s="207"/>
      <c r="Z979" s="209"/>
      <c r="AA979" s="209"/>
      <c r="AB979" s="207"/>
    </row>
    <row r="980" spans="1:28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209"/>
      <c r="T980" s="209"/>
      <c r="U980" s="207"/>
      <c r="V980" s="209"/>
      <c r="W980" s="207"/>
      <c r="X980" s="209"/>
      <c r="Y980" s="207"/>
      <c r="Z980" s="209"/>
      <c r="AA980" s="209"/>
      <c r="AB980" s="207"/>
    </row>
    <row r="981" spans="1:28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209"/>
      <c r="T981" s="209"/>
      <c r="U981" s="207"/>
      <c r="V981" s="209"/>
      <c r="W981" s="207"/>
      <c r="X981" s="209"/>
      <c r="Y981" s="207"/>
      <c r="Z981" s="209"/>
      <c r="AA981" s="209"/>
      <c r="AB981" s="207"/>
    </row>
    <row r="982" spans="1:28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209"/>
      <c r="T982" s="209"/>
      <c r="U982" s="207"/>
      <c r="V982" s="209"/>
      <c r="W982" s="207"/>
      <c r="X982" s="209"/>
      <c r="Y982" s="207"/>
      <c r="Z982" s="209"/>
      <c r="AA982" s="209"/>
      <c r="AB982" s="207"/>
    </row>
    <row r="983" spans="1:28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209"/>
      <c r="T983" s="209"/>
      <c r="U983" s="207"/>
      <c r="V983" s="209"/>
      <c r="W983" s="207"/>
      <c r="X983" s="209"/>
      <c r="Y983" s="207"/>
      <c r="Z983" s="209"/>
      <c r="AA983" s="209"/>
      <c r="AB983" s="207"/>
    </row>
    <row r="984" spans="1:28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209"/>
      <c r="T984" s="209"/>
      <c r="U984" s="207"/>
      <c r="V984" s="209"/>
      <c r="W984" s="207"/>
      <c r="X984" s="209"/>
      <c r="Y984" s="207"/>
      <c r="Z984" s="209"/>
      <c r="AA984" s="209"/>
      <c r="AB984" s="207"/>
    </row>
    <row r="985" spans="1:28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209"/>
      <c r="T985" s="209"/>
      <c r="U985" s="207"/>
      <c r="V985" s="209"/>
      <c r="W985" s="207"/>
      <c r="X985" s="209"/>
      <c r="Y985" s="207"/>
      <c r="Z985" s="209"/>
      <c r="AA985" s="209"/>
      <c r="AB985" s="207"/>
    </row>
    <row r="986" spans="1:28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209"/>
      <c r="T986" s="209"/>
      <c r="U986" s="207"/>
      <c r="V986" s="209"/>
      <c r="W986" s="207"/>
      <c r="X986" s="209"/>
      <c r="Y986" s="207"/>
      <c r="Z986" s="209"/>
      <c r="AA986" s="209"/>
      <c r="AB986" s="207"/>
    </row>
    <row r="987" spans="1:28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209"/>
      <c r="T987" s="209"/>
      <c r="U987" s="207"/>
      <c r="V987" s="209"/>
      <c r="W987" s="207"/>
      <c r="X987" s="209"/>
      <c r="Y987" s="207"/>
      <c r="Z987" s="209"/>
      <c r="AA987" s="209"/>
      <c r="AB987" s="207"/>
    </row>
    <row r="988" spans="1:28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209"/>
      <c r="T988" s="209"/>
      <c r="U988" s="207"/>
      <c r="V988" s="209"/>
      <c r="W988" s="207"/>
      <c r="X988" s="209"/>
      <c r="Y988" s="207"/>
      <c r="Z988" s="209"/>
      <c r="AA988" s="209"/>
      <c r="AB988" s="207"/>
    </row>
    <row r="989" spans="1:28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209"/>
      <c r="T989" s="209"/>
      <c r="U989" s="207"/>
      <c r="V989" s="209"/>
      <c r="W989" s="207"/>
      <c r="X989" s="209"/>
      <c r="Y989" s="207"/>
      <c r="Z989" s="209"/>
      <c r="AA989" s="209"/>
      <c r="AB989" s="207"/>
    </row>
    <row r="990" spans="1:28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209"/>
      <c r="T990" s="209"/>
      <c r="U990" s="207"/>
      <c r="V990" s="209"/>
      <c r="W990" s="207"/>
      <c r="X990" s="209"/>
      <c r="Y990" s="207"/>
      <c r="Z990" s="209"/>
      <c r="AA990" s="209"/>
      <c r="AB990" s="207"/>
    </row>
    <row r="991" spans="1:28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209"/>
      <c r="T991" s="209"/>
      <c r="U991" s="207"/>
      <c r="V991" s="209"/>
      <c r="W991" s="207"/>
      <c r="X991" s="209"/>
      <c r="Y991" s="207"/>
      <c r="Z991" s="209"/>
      <c r="AA991" s="209"/>
      <c r="AB991" s="207"/>
    </row>
    <row r="992" spans="1:28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209"/>
      <c r="T992" s="209"/>
      <c r="U992" s="207"/>
      <c r="V992" s="209"/>
      <c r="W992" s="207"/>
      <c r="X992" s="209"/>
      <c r="Y992" s="207"/>
      <c r="Z992" s="209"/>
      <c r="AA992" s="209"/>
      <c r="AB992" s="207"/>
    </row>
    <row r="993" spans="1:28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209"/>
      <c r="T993" s="209"/>
      <c r="U993" s="207"/>
      <c r="V993" s="209"/>
      <c r="W993" s="207"/>
      <c r="X993" s="209"/>
      <c r="Y993" s="207"/>
      <c r="Z993" s="209"/>
      <c r="AA993" s="209"/>
      <c r="AB993" s="207"/>
    </row>
    <row r="994" spans="1:28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209"/>
      <c r="T994" s="209"/>
      <c r="U994" s="207"/>
      <c r="V994" s="209"/>
      <c r="W994" s="207"/>
      <c r="X994" s="209"/>
      <c r="Y994" s="207"/>
      <c r="Z994" s="209"/>
      <c r="AA994" s="209"/>
      <c r="AB994" s="207"/>
    </row>
    <row r="995" spans="1:28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209"/>
      <c r="T995" s="209"/>
      <c r="U995" s="207"/>
      <c r="V995" s="209"/>
      <c r="W995" s="207"/>
      <c r="X995" s="209"/>
      <c r="Y995" s="207"/>
      <c r="Z995" s="209"/>
      <c r="AA995" s="209"/>
      <c r="AB995" s="207"/>
    </row>
    <row r="996" spans="1:28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209"/>
      <c r="T996" s="209"/>
      <c r="U996" s="207"/>
      <c r="V996" s="209"/>
      <c r="W996" s="207"/>
      <c r="X996" s="209"/>
      <c r="Y996" s="207"/>
      <c r="Z996" s="209"/>
      <c r="AA996" s="209"/>
      <c r="AB996" s="207"/>
    </row>
    <row r="997" spans="1:28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209"/>
      <c r="T997" s="209"/>
      <c r="U997" s="207"/>
      <c r="V997" s="209"/>
      <c r="W997" s="207"/>
      <c r="X997" s="209"/>
      <c r="Y997" s="207"/>
      <c r="Z997" s="209"/>
      <c r="AA997" s="209"/>
      <c r="AB997" s="207"/>
    </row>
    <row r="998" spans="1:28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209"/>
      <c r="T998" s="209"/>
      <c r="U998" s="207"/>
      <c r="V998" s="209"/>
      <c r="W998" s="207"/>
      <c r="X998" s="209"/>
      <c r="Y998" s="207"/>
      <c r="Z998" s="209"/>
      <c r="AA998" s="209"/>
      <c r="AB998" s="207"/>
    </row>
    <row r="999" spans="1:28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209"/>
      <c r="T999" s="209"/>
      <c r="U999" s="207"/>
      <c r="V999" s="209"/>
      <c r="W999" s="207"/>
      <c r="X999" s="209"/>
      <c r="Y999" s="207"/>
      <c r="Z999" s="209"/>
      <c r="AA999" s="209"/>
      <c r="AB999" s="207"/>
    </row>
    <row r="1000" spans="1:28" ht="12.75" x14ac:dyDescent="0.2">
      <c r="S1000" s="209"/>
      <c r="T1000" s="209"/>
      <c r="U1000" s="209"/>
      <c r="V1000" s="209"/>
      <c r="W1000" s="209"/>
      <c r="X1000" s="209"/>
      <c r="Y1000" s="209"/>
      <c r="Z1000" s="209"/>
      <c r="AA1000" s="209"/>
      <c r="AB1000" s="209"/>
    </row>
  </sheetData>
  <mergeCells count="30">
    <mergeCell ref="T5:U5"/>
    <mergeCell ref="V5:W5"/>
    <mergeCell ref="X5:Y5"/>
    <mergeCell ref="AA5:AB5"/>
    <mergeCell ref="A2:B6"/>
    <mergeCell ref="C2:AB2"/>
    <mergeCell ref="R3:R4"/>
    <mergeCell ref="S3:U4"/>
    <mergeCell ref="V3:W4"/>
    <mergeCell ref="X3:Y4"/>
    <mergeCell ref="Z3:AB4"/>
    <mergeCell ref="C3:Q3"/>
    <mergeCell ref="C4:G4"/>
    <mergeCell ref="H4:I4"/>
    <mergeCell ref="J4:Q4"/>
    <mergeCell ref="E5:E6"/>
    <mergeCell ref="F5:F6"/>
    <mergeCell ref="G5:G6"/>
    <mergeCell ref="J5:K5"/>
    <mergeCell ref="L5:N5"/>
    <mergeCell ref="O5:Q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" footer="0"/>
  <pageSetup paperSize="9" scale="38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J17" sqref="J17"/>
      <selection pane="topRight" activeCell="J17" sqref="J17"/>
      <selection pane="bottomLeft" activeCell="J17" sqref="J17"/>
      <selection pane="bottomRight" activeCell="P24" sqref="P24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82" t="s">
        <v>1</v>
      </c>
      <c r="B2" s="383"/>
      <c r="C2" s="352" t="s">
        <v>213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4"/>
    </row>
    <row r="3" spans="1:20" ht="30" customHeight="1" x14ac:dyDescent="0.2">
      <c r="A3" s="384"/>
      <c r="B3" s="385"/>
      <c r="C3" s="355" t="s">
        <v>3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414" t="s">
        <v>214</v>
      </c>
      <c r="S3" s="361"/>
      <c r="T3" s="362"/>
    </row>
    <row r="4" spans="1:20" ht="30" customHeight="1" x14ac:dyDescent="0.2">
      <c r="A4" s="384"/>
      <c r="B4" s="385"/>
      <c r="C4" s="366" t="s">
        <v>6</v>
      </c>
      <c r="D4" s="356"/>
      <c r="E4" s="356"/>
      <c r="F4" s="356"/>
      <c r="G4" s="359"/>
      <c r="H4" s="367" t="s">
        <v>7</v>
      </c>
      <c r="I4" s="359"/>
      <c r="J4" s="371" t="s">
        <v>8</v>
      </c>
      <c r="K4" s="356"/>
      <c r="L4" s="356"/>
      <c r="M4" s="356"/>
      <c r="N4" s="356"/>
      <c r="O4" s="356"/>
      <c r="P4" s="356"/>
      <c r="Q4" s="359"/>
      <c r="R4" s="415"/>
      <c r="S4" s="364"/>
      <c r="T4" s="365"/>
    </row>
    <row r="5" spans="1:20" ht="24" customHeight="1" x14ac:dyDescent="0.3">
      <c r="A5" s="384"/>
      <c r="B5" s="385"/>
      <c r="C5" s="437" t="s">
        <v>13</v>
      </c>
      <c r="D5" s="438" t="s">
        <v>14</v>
      </c>
      <c r="E5" s="439" t="s">
        <v>15</v>
      </c>
      <c r="F5" s="440" t="s">
        <v>16</v>
      </c>
      <c r="G5" s="441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64"/>
      <c r="N5" s="365"/>
      <c r="O5" s="375" t="s">
        <v>19</v>
      </c>
      <c r="P5" s="364"/>
      <c r="Q5" s="365"/>
      <c r="R5" s="216" t="s">
        <v>21</v>
      </c>
      <c r="S5" s="376" t="s">
        <v>22</v>
      </c>
      <c r="T5" s="359"/>
    </row>
    <row r="6" spans="1:20" ht="36" customHeight="1" x14ac:dyDescent="0.2">
      <c r="A6" s="386"/>
      <c r="B6" s="387"/>
      <c r="C6" s="442"/>
      <c r="D6" s="443"/>
      <c r="E6" s="443"/>
      <c r="F6" s="443"/>
      <c r="G6" s="443"/>
      <c r="H6" s="6"/>
      <c r="I6" s="6"/>
      <c r="J6" s="8" t="s">
        <v>23</v>
      </c>
      <c r="K6" s="9" t="s">
        <v>24</v>
      </c>
      <c r="L6" s="8" t="s">
        <v>23</v>
      </c>
      <c r="M6" s="450" t="s">
        <v>25</v>
      </c>
      <c r="N6" s="451" t="s">
        <v>26</v>
      </c>
      <c r="O6" s="452" t="s">
        <v>23</v>
      </c>
      <c r="P6" s="450" t="s">
        <v>25</v>
      </c>
      <c r="Q6" s="451" t="s">
        <v>26</v>
      </c>
      <c r="R6" s="18" t="s">
        <v>215</v>
      </c>
      <c r="S6" s="217" t="s">
        <v>215</v>
      </c>
      <c r="T6" s="16" t="s">
        <v>24</v>
      </c>
    </row>
    <row r="7" spans="1:20" ht="24" customHeight="1" x14ac:dyDescent="0.2">
      <c r="A7" s="389" t="s">
        <v>233</v>
      </c>
      <c r="B7" s="390"/>
      <c r="C7" s="210">
        <f t="shared" ref="C7:C116" ca="1" si="0">D7+G7</f>
        <v>7751500</v>
      </c>
      <c r="D7" s="211">
        <f t="shared" ref="D7:E7" ca="1" si="1">D8+D9+D12</f>
        <v>4151500</v>
      </c>
      <c r="E7" s="23">
        <f t="shared" ca="1" si="1"/>
        <v>2601500</v>
      </c>
      <c r="F7" s="24">
        <f ca="1">F8+F9</f>
        <v>1550000</v>
      </c>
      <c r="G7" s="25">
        <f t="shared" ref="G7:I7" ca="1" si="2">G8+G9+G12</f>
        <v>3600000</v>
      </c>
      <c r="H7" s="26">
        <f t="shared" ca="1" si="2"/>
        <v>3113600</v>
      </c>
      <c r="I7" s="26">
        <f t="shared" ca="1" si="2"/>
        <v>3600000</v>
      </c>
      <c r="J7" s="27">
        <f t="shared" ref="J7:J116" ca="1" si="3">L7+O7</f>
        <v>4880899.05</v>
      </c>
      <c r="K7" s="28">
        <f t="shared" ref="K7:K116" ca="1" si="4">IF(C7&gt;0,J7*100/C7,0)</f>
        <v>62.967155389279498</v>
      </c>
      <c r="L7" s="27">
        <f ca="1">L8+L9+L12</f>
        <v>1285899.05</v>
      </c>
      <c r="M7" s="29">
        <f t="shared" ref="M7:M116" ca="1" si="5">IF(D7&gt;0,L7*100/D7,0)</f>
        <v>30.974323738407804</v>
      </c>
      <c r="N7" s="29">
        <f t="shared" ref="N7:N116" ca="1" si="6">IF(H7&gt;0,L7*100/H7,0)</f>
        <v>41.299429920349432</v>
      </c>
      <c r="O7" s="30">
        <f ca="1">O8+O9+O12</f>
        <v>3595000</v>
      </c>
      <c r="P7" s="30">
        <f t="shared" ref="P7:P11" ca="1" si="7">IF(G7&gt;0,O7*100/G7,0)</f>
        <v>99.861111111111114</v>
      </c>
      <c r="Q7" s="29">
        <f t="shared" ref="Q7:Q116" ca="1" si="8">IF(I7&gt;0,O7*100/I7,0)</f>
        <v>99.861111111111114</v>
      </c>
      <c r="R7" s="31">
        <f t="shared" ref="R7:S7" ca="1" si="9">R8</f>
        <v>16</v>
      </c>
      <c r="S7" s="32">
        <f t="shared" ca="1" si="9"/>
        <v>11</v>
      </c>
      <c r="T7" s="33">
        <f t="shared" ref="T7:T8" ca="1" si="10">IF(R7&gt;0,S7*100/R7,0)</f>
        <v>68.75</v>
      </c>
    </row>
    <row r="8" spans="1:20" ht="28.5" customHeight="1" x14ac:dyDescent="0.2">
      <c r="A8" s="34" t="s">
        <v>31</v>
      </c>
      <c r="B8" s="35"/>
      <c r="C8" s="36">
        <f t="shared" ca="1" si="0"/>
        <v>6437000</v>
      </c>
      <c r="D8" s="37">
        <f t="shared" ref="D8:I8" ca="1" si="11">+D13+D31+D52+D74</f>
        <v>2837000</v>
      </c>
      <c r="E8" s="38">
        <f t="shared" ca="1" si="11"/>
        <v>1287000</v>
      </c>
      <c r="F8" s="38">
        <f t="shared" ca="1" si="11"/>
        <v>1550000</v>
      </c>
      <c r="G8" s="38">
        <f t="shared" ca="1" si="11"/>
        <v>3600000</v>
      </c>
      <c r="H8" s="38">
        <f t="shared" ca="1" si="11"/>
        <v>2163900</v>
      </c>
      <c r="I8" s="38">
        <f t="shared" ca="1" si="11"/>
        <v>3600000</v>
      </c>
      <c r="J8" s="38">
        <f t="shared" ca="1" si="3"/>
        <v>4480641.51</v>
      </c>
      <c r="K8" s="39">
        <f t="shared" ca="1" si="4"/>
        <v>69.607604629485792</v>
      </c>
      <c r="L8" s="38">
        <f ca="1">+L13+L31+L52+L74</f>
        <v>885641.51</v>
      </c>
      <c r="M8" s="40">
        <f t="shared" ca="1" si="5"/>
        <v>31.217536482199506</v>
      </c>
      <c r="N8" s="40">
        <f t="shared" ca="1" si="6"/>
        <v>40.928023938259621</v>
      </c>
      <c r="O8" s="41">
        <f ca="1">+O13+O31+O52+O74</f>
        <v>3595000</v>
      </c>
      <c r="P8" s="41">
        <f t="shared" ca="1" si="7"/>
        <v>99.861111111111114</v>
      </c>
      <c r="Q8" s="40">
        <f t="shared" ca="1" si="8"/>
        <v>99.861111111111114</v>
      </c>
      <c r="R8" s="38">
        <f t="shared" ref="R8:S8" ca="1" si="12">+R13+R31+R52+R74</f>
        <v>16</v>
      </c>
      <c r="S8" s="38">
        <f t="shared" ca="1" si="12"/>
        <v>11</v>
      </c>
      <c r="T8" s="40">
        <f t="shared" ca="1" si="10"/>
        <v>68.75</v>
      </c>
    </row>
    <row r="9" spans="1:20" ht="28.5" customHeight="1" x14ac:dyDescent="0.2">
      <c r="A9" s="44" t="s">
        <v>234</v>
      </c>
      <c r="B9" s="45"/>
      <c r="C9" s="46">
        <f t="shared" ca="1" si="0"/>
        <v>1314500</v>
      </c>
      <c r="D9" s="47">
        <f t="shared" ref="D9:I9" ca="1" si="13">+D10+D11</f>
        <v>1314500</v>
      </c>
      <c r="E9" s="46">
        <f t="shared" ca="1" si="13"/>
        <v>1314500</v>
      </c>
      <c r="F9" s="46">
        <f t="shared" ca="1" si="13"/>
        <v>0</v>
      </c>
      <c r="G9" s="46">
        <f t="shared" ca="1" si="13"/>
        <v>0</v>
      </c>
      <c r="H9" s="46">
        <f t="shared" ca="1" si="13"/>
        <v>949700</v>
      </c>
      <c r="I9" s="46">
        <f t="shared" ca="1" si="13"/>
        <v>0</v>
      </c>
      <c r="J9" s="46">
        <f t="shared" ca="1" si="3"/>
        <v>400257.54</v>
      </c>
      <c r="K9" s="48">
        <f t="shared" ca="1" si="4"/>
        <v>30.449413465195892</v>
      </c>
      <c r="L9" s="46">
        <f ca="1">+L10+L11</f>
        <v>400257.54</v>
      </c>
      <c r="M9" s="49">
        <f t="shared" ca="1" si="5"/>
        <v>30.449413465195892</v>
      </c>
      <c r="N9" s="49">
        <f t="shared" ca="1" si="6"/>
        <v>42.14568179425082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9"/>
    </row>
    <row r="10" spans="1:20" ht="28.5" hidden="1" customHeight="1" x14ac:dyDescent="0.2">
      <c r="A10" s="44" t="s">
        <v>32</v>
      </c>
      <c r="B10" s="45"/>
      <c r="C10" s="46">
        <f t="shared" ca="1" si="0"/>
        <v>860000</v>
      </c>
      <c r="D10" s="47">
        <f t="shared" ref="D10:I10" ca="1" si="14">+D89</f>
        <v>860000</v>
      </c>
      <c r="E10" s="46">
        <f t="shared" ca="1" si="14"/>
        <v>860000</v>
      </c>
      <c r="F10" s="46">
        <f t="shared" ca="1" si="14"/>
        <v>0</v>
      </c>
      <c r="G10" s="46">
        <f t="shared" ca="1" si="14"/>
        <v>0</v>
      </c>
      <c r="H10" s="46">
        <f t="shared" ca="1" si="14"/>
        <v>657500</v>
      </c>
      <c r="I10" s="46">
        <f t="shared" ca="1" si="14"/>
        <v>0</v>
      </c>
      <c r="J10" s="46">
        <f t="shared" ca="1" si="3"/>
        <v>400257.54</v>
      </c>
      <c r="K10" s="48">
        <f t="shared" ca="1" si="4"/>
        <v>46.541574418604654</v>
      </c>
      <c r="L10" s="46">
        <f ca="1">+L89</f>
        <v>400257.54</v>
      </c>
      <c r="M10" s="49">
        <f t="shared" ca="1" si="5"/>
        <v>46.541574418604654</v>
      </c>
      <c r="N10" s="49">
        <f t="shared" ca="1" si="6"/>
        <v>60.875671482889736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9"/>
    </row>
    <row r="11" spans="1:20" ht="28.5" hidden="1" customHeight="1" x14ac:dyDescent="0.2">
      <c r="A11" s="53" t="s">
        <v>33</v>
      </c>
      <c r="B11" s="45"/>
      <c r="C11" s="46">
        <f t="shared" ca="1" si="0"/>
        <v>454500</v>
      </c>
      <c r="D11" s="47">
        <f t="shared" ref="D11:I11" ca="1" si="15">+D104</f>
        <v>454500</v>
      </c>
      <c r="E11" s="46">
        <f t="shared" ca="1" si="15"/>
        <v>454500</v>
      </c>
      <c r="F11" s="46">
        <f t="shared" ca="1" si="15"/>
        <v>0</v>
      </c>
      <c r="G11" s="46">
        <f t="shared" ca="1" si="15"/>
        <v>0</v>
      </c>
      <c r="H11" s="46">
        <f t="shared" ca="1" si="15"/>
        <v>292200</v>
      </c>
      <c r="I11" s="46">
        <f t="shared" ca="1" si="15"/>
        <v>0</v>
      </c>
      <c r="J11" s="46">
        <f t="shared" ca="1" si="3"/>
        <v>0</v>
      </c>
      <c r="K11" s="48">
        <f t="shared" ca="1" si="4"/>
        <v>0</v>
      </c>
      <c r="L11" s="46">
        <f ca="1">+L104</f>
        <v>0</v>
      </c>
      <c r="M11" s="49">
        <f t="shared" ca="1" si="5"/>
        <v>0</v>
      </c>
      <c r="N11" s="49">
        <f t="shared" ca="1" si="6"/>
        <v>0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9"/>
    </row>
    <row r="12" spans="1:20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60">
        <f t="shared" ref="T12:T88" si="16">IF(R12&gt;0,S12*100/R12,0)</f>
        <v>0</v>
      </c>
    </row>
    <row r="13" spans="1:20" ht="28.5" customHeight="1" x14ac:dyDescent="0.2">
      <c r="A13" s="377" t="s">
        <v>35</v>
      </c>
      <c r="B13" s="359"/>
      <c r="C13" s="62">
        <f t="shared" ca="1" si="0"/>
        <v>459000</v>
      </c>
      <c r="D13" s="63">
        <f t="shared" ref="D13:I13" ca="1" si="17">SUM(D14:D30)</f>
        <v>459000</v>
      </c>
      <c r="E13" s="64">
        <f t="shared" ca="1" si="17"/>
        <v>286000</v>
      </c>
      <c r="F13" s="64">
        <f t="shared" ca="1" si="17"/>
        <v>173000</v>
      </c>
      <c r="G13" s="64">
        <f t="shared" ca="1" si="17"/>
        <v>0</v>
      </c>
      <c r="H13" s="64">
        <f t="shared" ca="1" si="17"/>
        <v>342500</v>
      </c>
      <c r="I13" s="64">
        <f t="shared" ca="1" si="17"/>
        <v>0</v>
      </c>
      <c r="J13" s="64">
        <f t="shared" ca="1" si="3"/>
        <v>144366.20000000001</v>
      </c>
      <c r="K13" s="65">
        <f t="shared" ca="1" si="4"/>
        <v>31.452331154684099</v>
      </c>
      <c r="L13" s="64">
        <f ca="1">SUM(L14:L30)</f>
        <v>144366.20000000001</v>
      </c>
      <c r="M13" s="66">
        <f t="shared" ca="1" si="5"/>
        <v>31.452331154684099</v>
      </c>
      <c r="N13" s="66">
        <f t="shared" ca="1" si="6"/>
        <v>42.150715328467157</v>
      </c>
      <c r="O13" s="67">
        <f ca="1">SUM(O14:O30)</f>
        <v>0</v>
      </c>
      <c r="P13" s="67">
        <f t="shared" ref="P13:P116" ca="1" si="18">IF(G13&gt;0,O13*100/G13,0)</f>
        <v>0</v>
      </c>
      <c r="Q13" s="66">
        <f t="shared" ca="1" si="8"/>
        <v>0</v>
      </c>
      <c r="R13" s="64">
        <f t="shared" ref="R13:S13" ca="1" si="19">SUM(R14:R30)</f>
        <v>3</v>
      </c>
      <c r="S13" s="64">
        <f t="shared" ca="1" si="19"/>
        <v>0</v>
      </c>
      <c r="T13" s="66">
        <f t="shared" ca="1" si="16"/>
        <v>0</v>
      </c>
    </row>
    <row r="14" spans="1:20" ht="24" customHeight="1" x14ac:dyDescent="0.2">
      <c r="A14" s="68">
        <v>1</v>
      </c>
      <c r="B14" s="69" t="s">
        <v>36</v>
      </c>
      <c r="C14" s="70">
        <f t="shared" ca="1" si="0"/>
        <v>296000</v>
      </c>
      <c r="D14" s="71">
        <f t="shared" ref="D14:D30" ca="1" si="20">+E14+F14</f>
        <v>296000</v>
      </c>
      <c r="E14" s="72">
        <f ca="1">IFERROR(__xludf.DUMMYFUNCTION("IMPORTRANGE(""https://docs.google.com/spreadsheets/d/1MeEWN-I1oV_STSDYn1IFDPWt_1FKiwhDph83XaGc0o0/edit?usp=sharing"",""งบพรบ!ED14"")"),286000)</f>
        <v>286000</v>
      </c>
      <c r="F14" s="72">
        <f ca="1">IFERROR(__xludf.DUMMYFUNCTION("IMPORTRANGE(""https://docs.google.com/spreadsheets/d/1MeEWN-I1oV_STSDYn1IFDPWt_1FKiwhDph83XaGc0o0/edit?usp=sharing"",""งบพรบ!EE14"")"),10000)</f>
        <v>10000</v>
      </c>
      <c r="G14" s="73">
        <f ca="1">IFERROR(__xludf.DUMMYFUNCTION("IMPORTRANGE(""https://docs.google.com/spreadsheets/d/1MeEWN-I1oV_STSDYn1IFDPWt_1FKiwhDph83XaGc0o0/edit?usp=sharing"",""งบพรบ!EF14"")"),0)</f>
        <v>0</v>
      </c>
      <c r="H14" s="73">
        <f ca="1">IFERROR(__xludf.DUMMYFUNCTION("IMPORTRANGE(""https://docs.google.com/spreadsheets/d/1MeEWN-I1oV_STSDYn1IFDPWt_1FKiwhDph83XaGc0o0/edit?usp=sharing"",""งบพรบ!EH14"")"),218000)</f>
        <v>218000</v>
      </c>
      <c r="I14" s="73">
        <f ca="1">IFERROR(__xludf.DUMMYFUNCTION("IMPORTRANGE(""https://docs.google.com/spreadsheets/d/1MeEWN-I1oV_STSDYn1IFDPWt_1FKiwhDph83XaGc0o0/edit?usp=sharing"",""งบพรบ!EI14"")"),0)</f>
        <v>0</v>
      </c>
      <c r="J14" s="73">
        <f t="shared" ca="1" si="3"/>
        <v>86520</v>
      </c>
      <c r="K14" s="74">
        <f t="shared" ca="1" si="4"/>
        <v>29.22972972972973</v>
      </c>
      <c r="L14" s="73">
        <f ca="1">IFERROR(__xludf.DUMMYFUNCTION("IMPORTRANGE(""https://docs.google.com/spreadsheets/d/1MeEWN-I1oV_STSDYn1IFDPWt_1FKiwhDph83XaGc0o0/edit?usp=sharing"",""งบพรบ!EJ14"")"),86520)</f>
        <v>86520</v>
      </c>
      <c r="M14" s="75">
        <f t="shared" ca="1" si="5"/>
        <v>29.22972972972973</v>
      </c>
      <c r="N14" s="75">
        <f t="shared" ca="1" si="6"/>
        <v>39.688073394495412</v>
      </c>
      <c r="O14" s="76">
        <f ca="1">IFERROR(__xludf.DUMMYFUNCTION("IMPORTRANGE(""https://docs.google.com/spreadsheets/d/1MeEWN-I1oV_STSDYn1IFDPWt_1FKiwhDph83XaGc0o0/edit?usp=sharing"",""งบพรบ!EK14"")"),0)</f>
        <v>0</v>
      </c>
      <c r="P14" s="76">
        <f t="shared" ca="1" si="18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IFERROR(__xludf.DUMMYFUNCTION("IMPORTRANGE(""https://docs.google.com/spreadsheets/d/1KxicF4apzSqm0-jIpmueT4kyZtE-Cwn5zskl7GD4loQ/edit?usp=sharing"",""กำแพงเพชร!I325"")"),1)</f>
        <v>1</v>
      </c>
      <c r="S14" s="73">
        <f ca="1">IFERROR(__xludf.DUMMYFUNCTION("IMPORTRANGE(""https://docs.google.com/spreadsheets/d/1KxicF4apzSqm0-jIpmueT4kyZtE-Cwn5zskl7GD4loQ/edit?usp=sharing"",""กำแพงเพชร!J325"")"),0)</f>
        <v>0</v>
      </c>
      <c r="T14" s="77">
        <f t="shared" ca="1" si="16"/>
        <v>0</v>
      </c>
    </row>
    <row r="15" spans="1:20" ht="24" customHeight="1" x14ac:dyDescent="0.2">
      <c r="A15" s="78">
        <v>2</v>
      </c>
      <c r="B15" s="79" t="s">
        <v>37</v>
      </c>
      <c r="C15" s="80">
        <f t="shared" ca="1" si="0"/>
        <v>0</v>
      </c>
      <c r="D15" s="81">
        <f t="shared" ca="1" si="20"/>
        <v>0</v>
      </c>
      <c r="E15" s="82">
        <f ca="1">IFERROR(__xludf.DUMMYFUNCTION("IMPORTRANGE(""https://docs.google.com/spreadsheets/d/1MeEWN-I1oV_STSDYn1IFDPWt_1FKiwhDph83XaGc0o0/edit?usp=sharing"",""งบพรบ!ED15"")"),0)</f>
        <v>0</v>
      </c>
      <c r="F15" s="82">
        <f ca="1">IFERROR(__xludf.DUMMYFUNCTION("IMPORTRANGE(""https://docs.google.com/spreadsheets/d/1MeEWN-I1oV_STSDYn1IFDPWt_1FKiwhDph83XaGc0o0/edit?usp=sharing"",""งบพรบ!EE15"")"),0)</f>
        <v>0</v>
      </c>
      <c r="G15" s="82">
        <f ca="1">IFERROR(__xludf.DUMMYFUNCTION("IMPORTRANGE(""https://docs.google.com/spreadsheets/d/1MeEWN-I1oV_STSDYn1IFDPWt_1FKiwhDph83XaGc0o0/edit?usp=sharing"",""งบพรบ!EF15"")"),0)</f>
        <v>0</v>
      </c>
      <c r="H15" s="82">
        <f ca="1">IFERROR(__xludf.DUMMYFUNCTION("IMPORTRANGE(""https://docs.google.com/spreadsheets/d/1MeEWN-I1oV_STSDYn1IFDPWt_1FKiwhDph83XaGc0o0/edit?usp=sharing"",""งบพรบ!EH15"")"),0)</f>
        <v>0</v>
      </c>
      <c r="I15" s="82">
        <f ca="1">IFERROR(__xludf.DUMMYFUNCTION("IMPORTRANGE(""https://docs.google.com/spreadsheets/d/1MeEWN-I1oV_STSDYn1IFDPWt_1FKiwhDph83XaGc0o0/edit?usp=sharing"",""งบพรบ!EI15"")"),0)</f>
        <v>0</v>
      </c>
      <c r="J15" s="82">
        <f t="shared" ca="1" si="3"/>
        <v>0</v>
      </c>
      <c r="K15" s="83">
        <f t="shared" ca="1" si="4"/>
        <v>0</v>
      </c>
      <c r="L15" s="82">
        <f ca="1">IFERROR(__xludf.DUMMYFUNCTION("IMPORTRANGE(""https://docs.google.com/spreadsheets/d/1MeEWN-I1oV_STSDYn1IFDPWt_1FKiwhDph83XaGc0o0/edit?usp=sharing"",""งบพรบ!EJ15"")"),0)</f>
        <v>0</v>
      </c>
      <c r="M15" s="84">
        <f t="shared" ca="1" si="5"/>
        <v>0</v>
      </c>
      <c r="N15" s="84">
        <f t="shared" ca="1" si="6"/>
        <v>0</v>
      </c>
      <c r="O15" s="85">
        <f ca="1">IFERROR(__xludf.DUMMYFUNCTION("IMPORTRANGE(""https://docs.google.com/spreadsheets/d/1MeEWN-I1oV_STSDYn1IFDPWt_1FKiwhDph83XaGc0o0/edit?usp=sharing"",""งบพรบ!EK15"")"),0)</f>
        <v>0</v>
      </c>
      <c r="P15" s="85">
        <f t="shared" ca="1" si="18"/>
        <v>0</v>
      </c>
      <c r="Q15" s="84">
        <f t="shared" ca="1" si="8"/>
        <v>0</v>
      </c>
      <c r="R15" s="86">
        <f ca="1">IFERROR(__xludf.DUMMYFUNCTION("IMPORTRANGE(""https://docs.google.com/spreadsheets/d/1ZNYWeiFoFA1K1U4xKWqRX29MBvEyRHXORjo734Gnq_c/edit?usp=sharing"",""เชียงราย!I325"")"),0)</f>
        <v>0</v>
      </c>
      <c r="S15" s="86">
        <f ca="1">IFERROR(__xludf.DUMMYFUNCTION("IMPORTRANGE(""https://docs.google.com/spreadsheets/d/1ZNYWeiFoFA1K1U4xKWqRX29MBvEyRHXORjo734Gnq_c/edit?usp=sharing"",""เชียงราย!J325"")"),0)</f>
        <v>0</v>
      </c>
      <c r="T15" s="87">
        <f t="shared" ca="1" si="16"/>
        <v>0</v>
      </c>
    </row>
    <row r="16" spans="1:20" ht="24" customHeight="1" x14ac:dyDescent="0.2">
      <c r="A16" s="78">
        <v>3</v>
      </c>
      <c r="B16" s="79" t="s">
        <v>38</v>
      </c>
      <c r="C16" s="80">
        <f t="shared" ca="1" si="0"/>
        <v>10000</v>
      </c>
      <c r="D16" s="81">
        <f t="shared" ca="1" si="20"/>
        <v>10000</v>
      </c>
      <c r="E16" s="82">
        <f ca="1">IFERROR(__xludf.DUMMYFUNCTION("IMPORTRANGE(""https://docs.google.com/spreadsheets/d/1MeEWN-I1oV_STSDYn1IFDPWt_1FKiwhDph83XaGc0o0/edit?usp=sharing"",""งบพรบ!ED16"")"),0)</f>
        <v>0</v>
      </c>
      <c r="F16" s="82">
        <f ca="1">IFERROR(__xludf.DUMMYFUNCTION("IMPORTRANGE(""https://docs.google.com/spreadsheets/d/1MeEWN-I1oV_STSDYn1IFDPWt_1FKiwhDph83XaGc0o0/edit?usp=sharing"",""งบพรบ!EE16"")"),10000)</f>
        <v>10000</v>
      </c>
      <c r="G16" s="82">
        <f ca="1">IFERROR(__xludf.DUMMYFUNCTION("IMPORTRANGE(""https://docs.google.com/spreadsheets/d/1MeEWN-I1oV_STSDYn1IFDPWt_1FKiwhDph83XaGc0o0/edit?usp=sharing"",""งบพรบ!EF16"")"),0)</f>
        <v>0</v>
      </c>
      <c r="H16" s="82">
        <f ca="1">IFERROR(__xludf.DUMMYFUNCTION("IMPORTRANGE(""https://docs.google.com/spreadsheets/d/1MeEWN-I1oV_STSDYn1IFDPWt_1FKiwhDph83XaGc0o0/edit?usp=sharing"",""งบพรบ!EH16"")"),10000)</f>
        <v>10000</v>
      </c>
      <c r="I16" s="82">
        <f ca="1">IFERROR(__xludf.DUMMYFUNCTION("IMPORTRANGE(""https://docs.google.com/spreadsheets/d/1MeEWN-I1oV_STSDYn1IFDPWt_1FKiwhDph83XaGc0o0/edit?usp=sharing"",""งบพรบ!EI16"")"),0)</f>
        <v>0</v>
      </c>
      <c r="J16" s="82">
        <f t="shared" ca="1" si="3"/>
        <v>3200</v>
      </c>
      <c r="K16" s="83">
        <f t="shared" ca="1" si="4"/>
        <v>32</v>
      </c>
      <c r="L16" s="82">
        <f ca="1">IFERROR(__xludf.DUMMYFUNCTION("IMPORTRANGE(""https://docs.google.com/spreadsheets/d/1MeEWN-I1oV_STSDYn1IFDPWt_1FKiwhDph83XaGc0o0/edit?usp=sharing"",""งบพรบ!EJ16"")"),3200)</f>
        <v>3200</v>
      </c>
      <c r="M16" s="84">
        <f t="shared" ca="1" si="5"/>
        <v>32</v>
      </c>
      <c r="N16" s="84">
        <f t="shared" ca="1" si="6"/>
        <v>32</v>
      </c>
      <c r="O16" s="85">
        <f ca="1">IFERROR(__xludf.DUMMYFUNCTION("IMPORTRANGE(""https://docs.google.com/spreadsheets/d/1MeEWN-I1oV_STSDYn1IFDPWt_1FKiwhDph83XaGc0o0/edit?usp=sharing"",""งบพรบ!EK16"")"),0)</f>
        <v>0</v>
      </c>
      <c r="P16" s="85">
        <f t="shared" ca="1" si="18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IFERROR(__xludf.DUMMYFUNCTION("IMPORTRANGE(""https://docs.google.com/spreadsheets/d/1Jgv0Y7YlHDtsiDawwp-uvifEJ8HVaSn0k2aGHG8-hwM/edit?usp=sharing"",""เชียงใหม่!I325"")"),1)</f>
        <v>1</v>
      </c>
      <c r="S16" s="86">
        <f ca="1">IFERROR(__xludf.DUMMYFUNCTION("IMPORTRANGE(""https://docs.google.com/spreadsheets/d/1Jgv0Y7YlHDtsiDawwp-uvifEJ8HVaSn0k2aGHG8-hwM/edit?usp=sharing"",""เชียงใหม่!J325"")"),0)</f>
        <v>0</v>
      </c>
      <c r="T16" s="87">
        <f t="shared" ca="1" si="16"/>
        <v>0</v>
      </c>
    </row>
    <row r="17" spans="1:20" ht="24" customHeight="1" x14ac:dyDescent="0.2">
      <c r="A17" s="78">
        <v>4</v>
      </c>
      <c r="B17" s="79" t="s">
        <v>39</v>
      </c>
      <c r="C17" s="80">
        <f t="shared" ca="1" si="0"/>
        <v>0</v>
      </c>
      <c r="D17" s="81">
        <f t="shared" ca="1" si="20"/>
        <v>0</v>
      </c>
      <c r="E17" s="82">
        <f ca="1">IFERROR(__xludf.DUMMYFUNCTION("IMPORTRANGE(""https://docs.google.com/spreadsheets/d/1MeEWN-I1oV_STSDYn1IFDPWt_1FKiwhDph83XaGc0o0/edit?usp=sharing"",""งบพรบ!ED17"")"),0)</f>
        <v>0</v>
      </c>
      <c r="F17" s="82">
        <f ca="1">IFERROR(__xludf.DUMMYFUNCTION("IMPORTRANGE(""https://docs.google.com/spreadsheets/d/1MeEWN-I1oV_STSDYn1IFDPWt_1FKiwhDph83XaGc0o0/edit?usp=sharing"",""งบพรบ!EE17"")"),0)</f>
        <v>0</v>
      </c>
      <c r="G17" s="82">
        <f ca="1">IFERROR(__xludf.DUMMYFUNCTION("IMPORTRANGE(""https://docs.google.com/spreadsheets/d/1MeEWN-I1oV_STSDYn1IFDPWt_1FKiwhDph83XaGc0o0/edit?usp=sharing"",""งบพรบ!EF17"")"),0)</f>
        <v>0</v>
      </c>
      <c r="H17" s="82">
        <f ca="1">IFERROR(__xludf.DUMMYFUNCTION("IMPORTRANGE(""https://docs.google.com/spreadsheets/d/1MeEWN-I1oV_STSDYn1IFDPWt_1FKiwhDph83XaGc0o0/edit?usp=sharing"",""งบพรบ!EH17"")"),0)</f>
        <v>0</v>
      </c>
      <c r="I17" s="82">
        <f ca="1">IFERROR(__xludf.DUMMYFUNCTION("IMPORTRANGE(""https://docs.google.com/spreadsheets/d/1MeEWN-I1oV_STSDYn1IFDPWt_1FKiwhDph83XaGc0o0/edit?usp=sharing"",""งบพรบ!EI17"")"),0)</f>
        <v>0</v>
      </c>
      <c r="J17" s="82">
        <f t="shared" ca="1" si="3"/>
        <v>0</v>
      </c>
      <c r="K17" s="83">
        <f t="shared" ca="1" si="4"/>
        <v>0</v>
      </c>
      <c r="L17" s="82">
        <f ca="1">IFERROR(__xludf.DUMMYFUNCTION("IMPORTRANGE(""https://docs.google.com/spreadsheets/d/1MeEWN-I1oV_STSDYn1IFDPWt_1FKiwhDph83XaGc0o0/edit?usp=sharing"",""งบพรบ!EJ17"")"),0)</f>
        <v>0</v>
      </c>
      <c r="M17" s="84">
        <f t="shared" ca="1" si="5"/>
        <v>0</v>
      </c>
      <c r="N17" s="84">
        <f t="shared" ca="1" si="6"/>
        <v>0</v>
      </c>
      <c r="O17" s="85">
        <f ca="1">IFERROR(__xludf.DUMMYFUNCTION("IMPORTRANGE(""https://docs.google.com/spreadsheets/d/1MeEWN-I1oV_STSDYn1IFDPWt_1FKiwhDph83XaGc0o0/edit?usp=sharing"",""งบพรบ!EK17"")"),0)</f>
        <v>0</v>
      </c>
      <c r="P17" s="85">
        <f t="shared" ca="1" si="18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IFERROR(__xludf.DUMMYFUNCTION("IMPORTRANGE(""https://docs.google.com/spreadsheets/d/1JWG2rZePOz9pe-f-ObA-yDr0VoOX2kSb0qIix2mTUo8/edit?usp=sharing"",""ตาก!I325"")"),0)</f>
        <v>0</v>
      </c>
      <c r="S17" s="86">
        <f ca="1">IFERROR(__xludf.DUMMYFUNCTION("IMPORTRANGE(""https://docs.google.com/spreadsheets/d/1JWG2rZePOz9pe-f-ObA-yDr0VoOX2kSb0qIix2mTUo8/edit?usp=sharing"",""ตาก!J325"")"),0)</f>
        <v>0</v>
      </c>
      <c r="T17" s="87">
        <f t="shared" ca="1" si="16"/>
        <v>0</v>
      </c>
    </row>
    <row r="18" spans="1:20" ht="24" customHeight="1" x14ac:dyDescent="0.2">
      <c r="A18" s="78">
        <v>5</v>
      </c>
      <c r="B18" s="79" t="s">
        <v>40</v>
      </c>
      <c r="C18" s="80">
        <f t="shared" ca="1" si="0"/>
        <v>0</v>
      </c>
      <c r="D18" s="81">
        <f t="shared" ca="1" si="20"/>
        <v>0</v>
      </c>
      <c r="E18" s="82">
        <f ca="1">IFERROR(__xludf.DUMMYFUNCTION("IMPORTRANGE(""https://docs.google.com/spreadsheets/d/1MeEWN-I1oV_STSDYn1IFDPWt_1FKiwhDph83XaGc0o0/edit?usp=sharing"",""งบพรบ!ED18"")"),0)</f>
        <v>0</v>
      </c>
      <c r="F18" s="82">
        <f ca="1">IFERROR(__xludf.DUMMYFUNCTION("IMPORTRANGE(""https://docs.google.com/spreadsheets/d/1MeEWN-I1oV_STSDYn1IFDPWt_1FKiwhDph83XaGc0o0/edit?usp=sharing"",""งบพรบ!EE18"")"),0)</f>
        <v>0</v>
      </c>
      <c r="G18" s="82">
        <f ca="1">IFERROR(__xludf.DUMMYFUNCTION("IMPORTRANGE(""https://docs.google.com/spreadsheets/d/1MeEWN-I1oV_STSDYn1IFDPWt_1FKiwhDph83XaGc0o0/edit?usp=sharing"",""งบพรบ!EF18"")"),0)</f>
        <v>0</v>
      </c>
      <c r="H18" s="82">
        <f ca="1">IFERROR(__xludf.DUMMYFUNCTION("IMPORTRANGE(""https://docs.google.com/spreadsheets/d/1MeEWN-I1oV_STSDYn1IFDPWt_1FKiwhDph83XaGc0o0/edit?usp=sharing"",""งบพรบ!EH18"")"),0)</f>
        <v>0</v>
      </c>
      <c r="I18" s="82">
        <f ca="1">IFERROR(__xludf.DUMMYFUNCTION("IMPORTRANGE(""https://docs.google.com/spreadsheets/d/1MeEWN-I1oV_STSDYn1IFDPWt_1FKiwhDph83XaGc0o0/edit?usp=sharing"",""งบพรบ!EI18"")"),0)</f>
        <v>0</v>
      </c>
      <c r="J18" s="82">
        <f t="shared" ca="1" si="3"/>
        <v>0</v>
      </c>
      <c r="K18" s="83">
        <f t="shared" ca="1" si="4"/>
        <v>0</v>
      </c>
      <c r="L18" s="82">
        <f ca="1">IFERROR(__xludf.DUMMYFUNCTION("IMPORTRANGE(""https://docs.google.com/spreadsheets/d/1MeEWN-I1oV_STSDYn1IFDPWt_1FKiwhDph83XaGc0o0/edit?usp=sharing"",""งบพรบ!EJ18"")"),0)</f>
        <v>0</v>
      </c>
      <c r="M18" s="84">
        <f t="shared" ca="1" si="5"/>
        <v>0</v>
      </c>
      <c r="N18" s="84">
        <f t="shared" ca="1" si="6"/>
        <v>0</v>
      </c>
      <c r="O18" s="85">
        <f ca="1">IFERROR(__xludf.DUMMYFUNCTION("IMPORTRANGE(""https://docs.google.com/spreadsheets/d/1MeEWN-I1oV_STSDYn1IFDPWt_1FKiwhDph83XaGc0o0/edit?usp=sharing"",""งบพรบ!EK18"")"),0)</f>
        <v>0</v>
      </c>
      <c r="P18" s="85">
        <f t="shared" ca="1" si="18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IFERROR(__xludf.DUMMYFUNCTION("IMPORTRANGE(""https://docs.google.com/spreadsheets/d/10nSRjK08hx8Y6HgSOQKNw81lyY46Zc7U_Cj72hBMp9U/edit?usp=sharing"",""นครสวรรค์!I325"")"),0)</f>
        <v>0</v>
      </c>
      <c r="S18" s="86">
        <f ca="1">IFERROR(__xludf.DUMMYFUNCTION("IMPORTRANGE(""https://docs.google.com/spreadsheets/d/10nSRjK08hx8Y6HgSOQKNw81lyY46Zc7U_Cj72hBMp9U/edit?usp=sharing"",""นครสวรรค์!J325"")"),0)</f>
        <v>0</v>
      </c>
      <c r="T18" s="87">
        <f t="shared" ca="1" si="16"/>
        <v>0</v>
      </c>
    </row>
    <row r="19" spans="1:20" ht="24" customHeight="1" x14ac:dyDescent="0.2">
      <c r="A19" s="78">
        <v>6</v>
      </c>
      <c r="B19" s="79" t="s">
        <v>41</v>
      </c>
      <c r="C19" s="80">
        <f t="shared" ca="1" si="0"/>
        <v>0</v>
      </c>
      <c r="D19" s="81">
        <f t="shared" ca="1" si="20"/>
        <v>0</v>
      </c>
      <c r="E19" s="82">
        <f ca="1">IFERROR(__xludf.DUMMYFUNCTION("IMPORTRANGE(""https://docs.google.com/spreadsheets/d/1MeEWN-I1oV_STSDYn1IFDPWt_1FKiwhDph83XaGc0o0/edit?usp=sharing"",""งบพรบ!ED19"")"),0)</f>
        <v>0</v>
      </c>
      <c r="F19" s="82">
        <f ca="1">IFERROR(__xludf.DUMMYFUNCTION("IMPORTRANGE(""https://docs.google.com/spreadsheets/d/1MeEWN-I1oV_STSDYn1IFDPWt_1FKiwhDph83XaGc0o0/edit?usp=sharing"",""งบพรบ!EE19"")"),0)</f>
        <v>0</v>
      </c>
      <c r="G19" s="82">
        <f ca="1">IFERROR(__xludf.DUMMYFUNCTION("IMPORTRANGE(""https://docs.google.com/spreadsheets/d/1MeEWN-I1oV_STSDYn1IFDPWt_1FKiwhDph83XaGc0o0/edit?usp=sharing"",""งบพรบ!EF19"")"),0)</f>
        <v>0</v>
      </c>
      <c r="H19" s="82">
        <f ca="1">IFERROR(__xludf.DUMMYFUNCTION("IMPORTRANGE(""https://docs.google.com/spreadsheets/d/1MeEWN-I1oV_STSDYn1IFDPWt_1FKiwhDph83XaGc0o0/edit?usp=sharing"",""งบพรบ!EH19"")"),0)</f>
        <v>0</v>
      </c>
      <c r="I19" s="82">
        <f ca="1">IFERROR(__xludf.DUMMYFUNCTION("IMPORTRANGE(""https://docs.google.com/spreadsheets/d/1MeEWN-I1oV_STSDYn1IFDPWt_1FKiwhDph83XaGc0o0/edit?usp=sharing"",""งบพรบ!EI19"")"),0)</f>
        <v>0</v>
      </c>
      <c r="J19" s="82">
        <f t="shared" ca="1" si="3"/>
        <v>0</v>
      </c>
      <c r="K19" s="83">
        <f t="shared" ca="1" si="4"/>
        <v>0</v>
      </c>
      <c r="L19" s="82">
        <f ca="1">IFERROR(__xludf.DUMMYFUNCTION("IMPORTRANGE(""https://docs.google.com/spreadsheets/d/1MeEWN-I1oV_STSDYn1IFDPWt_1FKiwhDph83XaGc0o0/edit?usp=sharing"",""งบพรบ!EJ19"")"),0)</f>
        <v>0</v>
      </c>
      <c r="M19" s="84">
        <f t="shared" ca="1" si="5"/>
        <v>0</v>
      </c>
      <c r="N19" s="84">
        <f t="shared" ca="1" si="6"/>
        <v>0</v>
      </c>
      <c r="O19" s="85">
        <f ca="1">IFERROR(__xludf.DUMMYFUNCTION("IMPORTRANGE(""https://docs.google.com/spreadsheets/d/1MeEWN-I1oV_STSDYn1IFDPWt_1FKiwhDph83XaGc0o0/edit?usp=sharing"",""งบพรบ!EK19"")"),0)</f>
        <v>0</v>
      </c>
      <c r="P19" s="85">
        <f t="shared" ca="1" si="18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IFERROR(__xludf.DUMMYFUNCTION("IMPORTRANGE(""https://docs.google.com/spreadsheets/d/1gFVb7qd7amutrIxAAoM7lcy35hllxznovot8lyOfvDo/edit?usp=sharing"",""น่าน!I325"")"),0)</f>
        <v>0</v>
      </c>
      <c r="S19" s="86">
        <f ca="1">IFERROR(__xludf.DUMMYFUNCTION("IMPORTRANGE(""https://docs.google.com/spreadsheets/d/1gFVb7qd7amutrIxAAoM7lcy35hllxznovot8lyOfvDo/edit?usp=sharing"",""น่าน!J325"")"),0)</f>
        <v>0</v>
      </c>
      <c r="T19" s="87">
        <f t="shared" ca="1" si="16"/>
        <v>0</v>
      </c>
    </row>
    <row r="20" spans="1:20" ht="24" customHeight="1" x14ac:dyDescent="0.2">
      <c r="A20" s="78">
        <v>7</v>
      </c>
      <c r="B20" s="79" t="s">
        <v>42</v>
      </c>
      <c r="C20" s="80">
        <f t="shared" ca="1" si="0"/>
        <v>0</v>
      </c>
      <c r="D20" s="81">
        <f t="shared" ca="1" si="20"/>
        <v>0</v>
      </c>
      <c r="E20" s="82">
        <f ca="1">IFERROR(__xludf.DUMMYFUNCTION("IMPORTRANGE(""https://docs.google.com/spreadsheets/d/1MeEWN-I1oV_STSDYn1IFDPWt_1FKiwhDph83XaGc0o0/edit?usp=sharing"",""งบพรบ!ED20"")"),0)</f>
        <v>0</v>
      </c>
      <c r="F20" s="82">
        <f ca="1">IFERROR(__xludf.DUMMYFUNCTION("IMPORTRANGE(""https://docs.google.com/spreadsheets/d/1MeEWN-I1oV_STSDYn1IFDPWt_1FKiwhDph83XaGc0o0/edit?usp=sharing"",""งบพรบ!EE20"")"),0)</f>
        <v>0</v>
      </c>
      <c r="G20" s="82">
        <f ca="1">IFERROR(__xludf.DUMMYFUNCTION("IMPORTRANGE(""https://docs.google.com/spreadsheets/d/1MeEWN-I1oV_STSDYn1IFDPWt_1FKiwhDph83XaGc0o0/edit?usp=sharing"",""งบพรบ!EF20"")"),0)</f>
        <v>0</v>
      </c>
      <c r="H20" s="82">
        <f ca="1">IFERROR(__xludf.DUMMYFUNCTION("IMPORTRANGE(""https://docs.google.com/spreadsheets/d/1MeEWN-I1oV_STSDYn1IFDPWt_1FKiwhDph83XaGc0o0/edit?usp=sharing"",""งบพรบ!EH20"")"),0)</f>
        <v>0</v>
      </c>
      <c r="I20" s="82">
        <f ca="1">IFERROR(__xludf.DUMMYFUNCTION("IMPORTRANGE(""https://docs.google.com/spreadsheets/d/1MeEWN-I1oV_STSDYn1IFDPWt_1FKiwhDph83XaGc0o0/edit?usp=sharing"",""งบพรบ!EI20"")"),0)</f>
        <v>0</v>
      </c>
      <c r="J20" s="82">
        <f t="shared" ca="1" si="3"/>
        <v>0</v>
      </c>
      <c r="K20" s="83">
        <f t="shared" ca="1" si="4"/>
        <v>0</v>
      </c>
      <c r="L20" s="82">
        <f ca="1">IFERROR(__xludf.DUMMYFUNCTION("IMPORTRANGE(""https://docs.google.com/spreadsheets/d/1MeEWN-I1oV_STSDYn1IFDPWt_1FKiwhDph83XaGc0o0/edit?usp=sharing"",""งบพรบ!EJ20"")"),0)</f>
        <v>0</v>
      </c>
      <c r="M20" s="84">
        <f t="shared" ca="1" si="5"/>
        <v>0</v>
      </c>
      <c r="N20" s="84">
        <f t="shared" ca="1" si="6"/>
        <v>0</v>
      </c>
      <c r="O20" s="85">
        <f ca="1">IFERROR(__xludf.DUMMYFUNCTION("IMPORTRANGE(""https://docs.google.com/spreadsheets/d/1MeEWN-I1oV_STSDYn1IFDPWt_1FKiwhDph83XaGc0o0/edit?usp=sharing"",""งบพรบ!EK20"")"),0)</f>
        <v>0</v>
      </c>
      <c r="P20" s="85">
        <f t="shared" ca="1" si="18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IFERROR(__xludf.DUMMYFUNCTION("IMPORTRANGE(""https://docs.google.com/spreadsheets/d/1K0Aa9s-6EuHE5M0FG1F9aHLXRCOV917xvycTdLdct0w/edit?usp=sharing"",""พะเยา!I325"")"),0)</f>
        <v>0</v>
      </c>
      <c r="S20" s="86">
        <f ca="1">IFERROR(__xludf.DUMMYFUNCTION("IMPORTRANGE(""https://docs.google.com/spreadsheets/d/1K0Aa9s-6EuHE5M0FG1F9aHLXRCOV917xvycTdLdct0w/edit?usp=sharing"",""พะเยา!J325"")"),0)</f>
        <v>0</v>
      </c>
      <c r="T20" s="87">
        <f t="shared" ca="1" si="16"/>
        <v>0</v>
      </c>
    </row>
    <row r="21" spans="1:20" ht="24" customHeight="1" x14ac:dyDescent="0.2">
      <c r="A21" s="78">
        <v>8</v>
      </c>
      <c r="B21" s="79" t="s">
        <v>43</v>
      </c>
      <c r="C21" s="80">
        <f t="shared" ca="1" si="0"/>
        <v>0</v>
      </c>
      <c r="D21" s="81">
        <f t="shared" ca="1" si="20"/>
        <v>0</v>
      </c>
      <c r="E21" s="82">
        <f ca="1">IFERROR(__xludf.DUMMYFUNCTION("IMPORTRANGE(""https://docs.google.com/spreadsheets/d/1MeEWN-I1oV_STSDYn1IFDPWt_1FKiwhDph83XaGc0o0/edit?usp=sharing"",""งบพรบ!ED21"")"),0)</f>
        <v>0</v>
      </c>
      <c r="F21" s="82">
        <f ca="1">IFERROR(__xludf.DUMMYFUNCTION("IMPORTRANGE(""https://docs.google.com/spreadsheets/d/1MeEWN-I1oV_STSDYn1IFDPWt_1FKiwhDph83XaGc0o0/edit?usp=sharing"",""งบพรบ!EE21"")"),0)</f>
        <v>0</v>
      </c>
      <c r="G21" s="82">
        <f ca="1">IFERROR(__xludf.DUMMYFUNCTION("IMPORTRANGE(""https://docs.google.com/spreadsheets/d/1MeEWN-I1oV_STSDYn1IFDPWt_1FKiwhDph83XaGc0o0/edit?usp=sharing"",""งบพรบ!EF21"")"),0)</f>
        <v>0</v>
      </c>
      <c r="H21" s="82">
        <f ca="1">IFERROR(__xludf.DUMMYFUNCTION("IMPORTRANGE(""https://docs.google.com/spreadsheets/d/1MeEWN-I1oV_STSDYn1IFDPWt_1FKiwhDph83XaGc0o0/edit?usp=sharing"",""งบพรบ!EH21"")"),0)</f>
        <v>0</v>
      </c>
      <c r="I21" s="82">
        <f ca="1">IFERROR(__xludf.DUMMYFUNCTION("IMPORTRANGE(""https://docs.google.com/spreadsheets/d/1MeEWN-I1oV_STSDYn1IFDPWt_1FKiwhDph83XaGc0o0/edit?usp=sharing"",""งบพรบ!EI21"")"),0)</f>
        <v>0</v>
      </c>
      <c r="J21" s="82">
        <f t="shared" ca="1" si="3"/>
        <v>0</v>
      </c>
      <c r="K21" s="83">
        <f t="shared" ca="1" si="4"/>
        <v>0</v>
      </c>
      <c r="L21" s="82">
        <f ca="1">IFERROR(__xludf.DUMMYFUNCTION("IMPORTRANGE(""https://docs.google.com/spreadsheets/d/1MeEWN-I1oV_STSDYn1IFDPWt_1FKiwhDph83XaGc0o0/edit?usp=sharing"",""งบพรบ!EJ21"")"),0)</f>
        <v>0</v>
      </c>
      <c r="M21" s="84">
        <f t="shared" ca="1" si="5"/>
        <v>0</v>
      </c>
      <c r="N21" s="84">
        <f t="shared" ca="1" si="6"/>
        <v>0</v>
      </c>
      <c r="O21" s="85">
        <f ca="1">IFERROR(__xludf.DUMMYFUNCTION("IMPORTRANGE(""https://docs.google.com/spreadsheets/d/1MeEWN-I1oV_STSDYn1IFDPWt_1FKiwhDph83XaGc0o0/edit?usp=sharing"",""งบพรบ!EK21"")"),0)</f>
        <v>0</v>
      </c>
      <c r="P21" s="85">
        <f t="shared" ca="1" si="18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IFERROR(__xludf.DUMMYFUNCTION("IMPORTRANGE(""https://docs.google.com/spreadsheets/d/1Y9LPKx95PyL5OKy09d-KbKJSuuEZCFdkhYjwC0XQjBA/edit?usp=sharing"",""พิจิตร!I325"")"),0)</f>
        <v>0</v>
      </c>
      <c r="S21" s="86">
        <f ca="1">IFERROR(__xludf.DUMMYFUNCTION("IMPORTRANGE(""https://docs.google.com/spreadsheets/d/1Y9LPKx95PyL5OKy09d-KbKJSuuEZCFdkhYjwC0XQjBA/edit?usp=sharing"",""พิจิตร!J325"")"),0)</f>
        <v>0</v>
      </c>
      <c r="T21" s="87">
        <f t="shared" ca="1" si="16"/>
        <v>0</v>
      </c>
    </row>
    <row r="22" spans="1:20" ht="24" customHeight="1" x14ac:dyDescent="0.2">
      <c r="A22" s="78">
        <v>9</v>
      </c>
      <c r="B22" s="79" t="s">
        <v>44</v>
      </c>
      <c r="C22" s="80">
        <f t="shared" ca="1" si="0"/>
        <v>0</v>
      </c>
      <c r="D22" s="81">
        <f t="shared" ca="1" si="20"/>
        <v>0</v>
      </c>
      <c r="E22" s="82">
        <f ca="1">IFERROR(__xludf.DUMMYFUNCTION("IMPORTRANGE(""https://docs.google.com/spreadsheets/d/1MeEWN-I1oV_STSDYn1IFDPWt_1FKiwhDph83XaGc0o0/edit?usp=sharing"",""งบพรบ!ED22"")"),0)</f>
        <v>0</v>
      </c>
      <c r="F22" s="82">
        <f ca="1">IFERROR(__xludf.DUMMYFUNCTION("IMPORTRANGE(""https://docs.google.com/spreadsheets/d/1MeEWN-I1oV_STSDYn1IFDPWt_1FKiwhDph83XaGc0o0/edit?usp=sharing"",""งบพรบ!EE22"")"),0)</f>
        <v>0</v>
      </c>
      <c r="G22" s="82">
        <f ca="1">IFERROR(__xludf.DUMMYFUNCTION("IMPORTRANGE(""https://docs.google.com/spreadsheets/d/1MeEWN-I1oV_STSDYn1IFDPWt_1FKiwhDph83XaGc0o0/edit?usp=sharing"",""งบพรบ!EF22"")"),0)</f>
        <v>0</v>
      </c>
      <c r="H22" s="82">
        <f ca="1">IFERROR(__xludf.DUMMYFUNCTION("IMPORTRANGE(""https://docs.google.com/spreadsheets/d/1MeEWN-I1oV_STSDYn1IFDPWt_1FKiwhDph83XaGc0o0/edit?usp=sharing"",""งบพรบ!EH22"")"),0)</f>
        <v>0</v>
      </c>
      <c r="I22" s="82">
        <f ca="1">IFERROR(__xludf.DUMMYFUNCTION("IMPORTRANGE(""https://docs.google.com/spreadsheets/d/1MeEWN-I1oV_STSDYn1IFDPWt_1FKiwhDph83XaGc0o0/edit?usp=sharing"",""งบพรบ!EI22"")"),0)</f>
        <v>0</v>
      </c>
      <c r="J22" s="82">
        <f t="shared" ca="1" si="3"/>
        <v>0</v>
      </c>
      <c r="K22" s="83">
        <f t="shared" ca="1" si="4"/>
        <v>0</v>
      </c>
      <c r="L22" s="82">
        <f ca="1">IFERROR(__xludf.DUMMYFUNCTION("IMPORTRANGE(""https://docs.google.com/spreadsheets/d/1MeEWN-I1oV_STSDYn1IFDPWt_1FKiwhDph83XaGc0o0/edit?usp=sharing"",""งบพรบ!EJ22"")"),0)</f>
        <v>0</v>
      </c>
      <c r="M22" s="84">
        <f t="shared" ca="1" si="5"/>
        <v>0</v>
      </c>
      <c r="N22" s="84">
        <f t="shared" ca="1" si="6"/>
        <v>0</v>
      </c>
      <c r="O22" s="85">
        <f ca="1">IFERROR(__xludf.DUMMYFUNCTION("IMPORTRANGE(""https://docs.google.com/spreadsheets/d/1MeEWN-I1oV_STSDYn1IFDPWt_1FKiwhDph83XaGc0o0/edit?usp=sharing"",""งบพรบ!EK22"")"),0)</f>
        <v>0</v>
      </c>
      <c r="P22" s="85">
        <f t="shared" ca="1" si="18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IFERROR(__xludf.DUMMYFUNCTION("IMPORTRANGE(""https://docs.google.com/spreadsheets/d/16OMuOwy2eVqZcYWOouQtTpa8X1L23h4660uVHc0C8os/edit?usp=sharing"",""พิษณุโลก!I325"")"),0)</f>
        <v>0</v>
      </c>
      <c r="S22" s="86">
        <f ca="1">IFERROR(__xludf.DUMMYFUNCTION("IMPORTRANGE(""https://docs.google.com/spreadsheets/d/16OMuOwy2eVqZcYWOouQtTpa8X1L23h4660uVHc0C8os/edit?usp=sharing"",""พิษณุโลก!J325"")"),0)</f>
        <v>0</v>
      </c>
      <c r="T22" s="87">
        <f t="shared" ca="1" si="16"/>
        <v>0</v>
      </c>
    </row>
    <row r="23" spans="1:20" ht="24" customHeight="1" x14ac:dyDescent="0.2">
      <c r="A23" s="78">
        <v>10</v>
      </c>
      <c r="B23" s="79" t="s">
        <v>45</v>
      </c>
      <c r="C23" s="80">
        <f t="shared" ca="1" si="0"/>
        <v>0</v>
      </c>
      <c r="D23" s="81">
        <f t="shared" ca="1" si="20"/>
        <v>0</v>
      </c>
      <c r="E23" s="82">
        <f ca="1">IFERROR(__xludf.DUMMYFUNCTION("IMPORTRANGE(""https://docs.google.com/spreadsheets/d/1MeEWN-I1oV_STSDYn1IFDPWt_1FKiwhDph83XaGc0o0/edit?usp=sharing"",""งบพรบ!ED23"")"),0)</f>
        <v>0</v>
      </c>
      <c r="F23" s="82">
        <f ca="1">IFERROR(__xludf.DUMMYFUNCTION("IMPORTRANGE(""https://docs.google.com/spreadsheets/d/1MeEWN-I1oV_STSDYn1IFDPWt_1FKiwhDph83XaGc0o0/edit?usp=sharing"",""งบพรบ!EE23"")"),0)</f>
        <v>0</v>
      </c>
      <c r="G23" s="82">
        <f ca="1">IFERROR(__xludf.DUMMYFUNCTION("IMPORTRANGE(""https://docs.google.com/spreadsheets/d/1MeEWN-I1oV_STSDYn1IFDPWt_1FKiwhDph83XaGc0o0/edit?usp=sharing"",""งบพรบ!EF23"")"),0)</f>
        <v>0</v>
      </c>
      <c r="H23" s="82">
        <f ca="1">IFERROR(__xludf.DUMMYFUNCTION("IMPORTRANGE(""https://docs.google.com/spreadsheets/d/1MeEWN-I1oV_STSDYn1IFDPWt_1FKiwhDph83XaGc0o0/edit?usp=sharing"",""งบพรบ!EH23"")"),0)</f>
        <v>0</v>
      </c>
      <c r="I23" s="82">
        <f ca="1">IFERROR(__xludf.DUMMYFUNCTION("IMPORTRANGE(""https://docs.google.com/spreadsheets/d/1MeEWN-I1oV_STSDYn1IFDPWt_1FKiwhDph83XaGc0o0/edit?usp=sharing"",""งบพรบ!EI23"")"),0)</f>
        <v>0</v>
      </c>
      <c r="J23" s="82">
        <f t="shared" ca="1" si="3"/>
        <v>0</v>
      </c>
      <c r="K23" s="83">
        <f t="shared" ca="1" si="4"/>
        <v>0</v>
      </c>
      <c r="L23" s="82">
        <f ca="1">IFERROR(__xludf.DUMMYFUNCTION("IMPORTRANGE(""https://docs.google.com/spreadsheets/d/1MeEWN-I1oV_STSDYn1IFDPWt_1FKiwhDph83XaGc0o0/edit?usp=sharing"",""งบพรบ!EJ23"")"),0)</f>
        <v>0</v>
      </c>
      <c r="M23" s="84">
        <f t="shared" ca="1" si="5"/>
        <v>0</v>
      </c>
      <c r="N23" s="84">
        <f t="shared" ca="1" si="6"/>
        <v>0</v>
      </c>
      <c r="O23" s="85">
        <f ca="1">IFERROR(__xludf.DUMMYFUNCTION("IMPORTRANGE(""https://docs.google.com/spreadsheets/d/1MeEWN-I1oV_STSDYn1IFDPWt_1FKiwhDph83XaGc0o0/edit?usp=sharing"",""งบพรบ!EK23"")"),0)</f>
        <v>0</v>
      </c>
      <c r="P23" s="85">
        <f t="shared" ca="1" si="18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IFERROR(__xludf.DUMMYFUNCTION("IMPORTRANGE(""https://docs.google.com/spreadsheets/d/1GfgTldLG6k77HXaMQzaafODklYuucJZQNs_GAPEfZyY/edit?usp=sharing"",""เพชรบูรณ์!I325"")"),0)</f>
        <v>0</v>
      </c>
      <c r="S23" s="86">
        <f ca="1">IFERROR(__xludf.DUMMYFUNCTION("IMPORTRANGE(""https://docs.google.com/spreadsheets/d/1GfgTldLG6k77HXaMQzaafODklYuucJZQNs_GAPEfZyY/edit?usp=sharing"",""เพชรบูรณ์!J325"")"),0)</f>
        <v>0</v>
      </c>
      <c r="T23" s="87">
        <f t="shared" ca="1" si="16"/>
        <v>0</v>
      </c>
    </row>
    <row r="24" spans="1:20" ht="24" customHeight="1" x14ac:dyDescent="0.2">
      <c r="A24" s="78">
        <v>11</v>
      </c>
      <c r="B24" s="79" t="s">
        <v>46</v>
      </c>
      <c r="C24" s="80">
        <f t="shared" ca="1" si="0"/>
        <v>0</v>
      </c>
      <c r="D24" s="81">
        <f t="shared" ca="1" si="20"/>
        <v>0</v>
      </c>
      <c r="E24" s="82">
        <f ca="1">IFERROR(__xludf.DUMMYFUNCTION("IMPORTRANGE(""https://docs.google.com/spreadsheets/d/1MeEWN-I1oV_STSDYn1IFDPWt_1FKiwhDph83XaGc0o0/edit?usp=sharing"",""งบพรบ!ED24"")"),0)</f>
        <v>0</v>
      </c>
      <c r="F24" s="82">
        <f ca="1">IFERROR(__xludf.DUMMYFUNCTION("IMPORTRANGE(""https://docs.google.com/spreadsheets/d/1MeEWN-I1oV_STSDYn1IFDPWt_1FKiwhDph83XaGc0o0/edit?usp=sharing"",""งบพรบ!EE24"")"),0)</f>
        <v>0</v>
      </c>
      <c r="G24" s="82">
        <f ca="1">IFERROR(__xludf.DUMMYFUNCTION("IMPORTRANGE(""https://docs.google.com/spreadsheets/d/1MeEWN-I1oV_STSDYn1IFDPWt_1FKiwhDph83XaGc0o0/edit?usp=sharing"",""งบพรบ!EF24"")"),0)</f>
        <v>0</v>
      </c>
      <c r="H24" s="82">
        <f ca="1">IFERROR(__xludf.DUMMYFUNCTION("IMPORTRANGE(""https://docs.google.com/spreadsheets/d/1MeEWN-I1oV_STSDYn1IFDPWt_1FKiwhDph83XaGc0o0/edit?usp=sharing"",""งบพรบ!EH24"")"),0)</f>
        <v>0</v>
      </c>
      <c r="I24" s="82">
        <f ca="1">IFERROR(__xludf.DUMMYFUNCTION("IMPORTRANGE(""https://docs.google.com/spreadsheets/d/1MeEWN-I1oV_STSDYn1IFDPWt_1FKiwhDph83XaGc0o0/edit?usp=sharing"",""งบพรบ!EI24"")"),0)</f>
        <v>0</v>
      </c>
      <c r="J24" s="82">
        <f t="shared" ca="1" si="3"/>
        <v>0</v>
      </c>
      <c r="K24" s="83">
        <f t="shared" ca="1" si="4"/>
        <v>0</v>
      </c>
      <c r="L24" s="82">
        <f ca="1">IFERROR(__xludf.DUMMYFUNCTION("IMPORTRANGE(""https://docs.google.com/spreadsheets/d/1MeEWN-I1oV_STSDYn1IFDPWt_1FKiwhDph83XaGc0o0/edit?usp=sharing"",""งบพรบ!EJ24"")"),0)</f>
        <v>0</v>
      </c>
      <c r="M24" s="84">
        <f t="shared" ca="1" si="5"/>
        <v>0</v>
      </c>
      <c r="N24" s="84">
        <f t="shared" ca="1" si="6"/>
        <v>0</v>
      </c>
      <c r="O24" s="85">
        <f ca="1">IFERROR(__xludf.DUMMYFUNCTION("IMPORTRANGE(""https://docs.google.com/spreadsheets/d/1MeEWN-I1oV_STSDYn1IFDPWt_1FKiwhDph83XaGc0o0/edit?usp=sharing"",""งบพรบ!EK24"")"),0)</f>
        <v>0</v>
      </c>
      <c r="P24" s="85">
        <f t="shared" ca="1" si="18"/>
        <v>0</v>
      </c>
      <c r="Q24" s="84">
        <f t="shared" ca="1" si="8"/>
        <v>0</v>
      </c>
      <c r="R24" s="86">
        <f ca="1">IFERROR(__xludf.DUMMYFUNCTION("IMPORTRANGE(""https://docs.google.com/spreadsheets/d/1gvTMYAnm7v1yG1BKWFtr0DnaTsq59oW9dwWvFgq6hs0/edit?usp=sharing"",""แพร่!I325"")"),0)</f>
        <v>0</v>
      </c>
      <c r="S24" s="86">
        <f ca="1">IFERROR(__xludf.DUMMYFUNCTION("IMPORTRANGE(""https://docs.google.com/spreadsheets/d/1gvTMYAnm7v1yG1BKWFtr0DnaTsq59oW9dwWvFgq6hs0/edit?usp=sharing"",""แพร่!J325"")"),0)</f>
        <v>0</v>
      </c>
      <c r="T24" s="87">
        <f t="shared" ca="1" si="16"/>
        <v>0</v>
      </c>
    </row>
    <row r="25" spans="1:20" ht="24" customHeight="1" x14ac:dyDescent="0.2">
      <c r="A25" s="78">
        <v>12</v>
      </c>
      <c r="B25" s="79" t="s">
        <v>47</v>
      </c>
      <c r="C25" s="80">
        <f t="shared" ca="1" si="0"/>
        <v>0</v>
      </c>
      <c r="D25" s="81">
        <f t="shared" ca="1" si="20"/>
        <v>0</v>
      </c>
      <c r="E25" s="82">
        <f ca="1">IFERROR(__xludf.DUMMYFUNCTION("IMPORTRANGE(""https://docs.google.com/spreadsheets/d/1MeEWN-I1oV_STSDYn1IFDPWt_1FKiwhDph83XaGc0o0/edit?usp=sharing"",""งบพรบ!ED25"")"),0)</f>
        <v>0</v>
      </c>
      <c r="F25" s="82">
        <f ca="1">IFERROR(__xludf.DUMMYFUNCTION("IMPORTRANGE(""https://docs.google.com/spreadsheets/d/1MeEWN-I1oV_STSDYn1IFDPWt_1FKiwhDph83XaGc0o0/edit?usp=sharing"",""งบพรบ!EE25"")"),0)</f>
        <v>0</v>
      </c>
      <c r="G25" s="82">
        <f ca="1">IFERROR(__xludf.DUMMYFUNCTION("IMPORTRANGE(""https://docs.google.com/spreadsheets/d/1MeEWN-I1oV_STSDYn1IFDPWt_1FKiwhDph83XaGc0o0/edit?usp=sharing"",""งบพรบ!EF25"")"),0)</f>
        <v>0</v>
      </c>
      <c r="H25" s="82">
        <f ca="1">IFERROR(__xludf.DUMMYFUNCTION("IMPORTRANGE(""https://docs.google.com/spreadsheets/d/1MeEWN-I1oV_STSDYn1IFDPWt_1FKiwhDph83XaGc0o0/edit?usp=sharing"",""งบพรบ!EH25"")"),0)</f>
        <v>0</v>
      </c>
      <c r="I25" s="82">
        <f ca="1">IFERROR(__xludf.DUMMYFUNCTION("IMPORTRANGE(""https://docs.google.com/spreadsheets/d/1MeEWN-I1oV_STSDYn1IFDPWt_1FKiwhDph83XaGc0o0/edit?usp=sharing"",""งบพรบ!EI25"")"),0)</f>
        <v>0</v>
      </c>
      <c r="J25" s="82">
        <f t="shared" ca="1" si="3"/>
        <v>0</v>
      </c>
      <c r="K25" s="83">
        <f t="shared" ca="1" si="4"/>
        <v>0</v>
      </c>
      <c r="L25" s="82">
        <f ca="1">IFERROR(__xludf.DUMMYFUNCTION("IMPORTRANGE(""https://docs.google.com/spreadsheets/d/1MeEWN-I1oV_STSDYn1IFDPWt_1FKiwhDph83XaGc0o0/edit?usp=sharing"",""งบพรบ!EJ25"")"),0)</f>
        <v>0</v>
      </c>
      <c r="M25" s="84">
        <f t="shared" ca="1" si="5"/>
        <v>0</v>
      </c>
      <c r="N25" s="84">
        <f t="shared" ca="1" si="6"/>
        <v>0</v>
      </c>
      <c r="O25" s="85">
        <f ca="1">IFERROR(__xludf.DUMMYFUNCTION("IMPORTRANGE(""https://docs.google.com/spreadsheets/d/1MeEWN-I1oV_STSDYn1IFDPWt_1FKiwhDph83XaGc0o0/edit?usp=sharing"",""งบพรบ!EK25"")"),0)</f>
        <v>0</v>
      </c>
      <c r="P25" s="85">
        <f t="shared" ca="1" si="18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IFERROR(__xludf.DUMMYFUNCTION("IMPORTRANGE(""https://docs.google.com/spreadsheets/d/1Wbcosgy-Xa1xXUArJSOenub6EfZHUSzc_bpJFWwQUf0/edit?usp=sharing"",""แม่ฮ่องสอน!I325"")"),0)</f>
        <v>0</v>
      </c>
      <c r="S25" s="86">
        <f ca="1">IFERROR(__xludf.DUMMYFUNCTION("IMPORTRANGE(""https://docs.google.com/spreadsheets/d/1Wbcosgy-Xa1xXUArJSOenub6EfZHUSzc_bpJFWwQUf0/edit?usp=sharing"",""แม่ฮ่องสอน!J325"")"),0)</f>
        <v>0</v>
      </c>
      <c r="T25" s="87">
        <f t="shared" ca="1" si="16"/>
        <v>0</v>
      </c>
    </row>
    <row r="26" spans="1:20" ht="24" customHeight="1" x14ac:dyDescent="0.2">
      <c r="A26" s="78">
        <v>13</v>
      </c>
      <c r="B26" s="79" t="s">
        <v>48</v>
      </c>
      <c r="C26" s="80">
        <f t="shared" ca="1" si="0"/>
        <v>0</v>
      </c>
      <c r="D26" s="81">
        <f t="shared" ca="1" si="20"/>
        <v>0</v>
      </c>
      <c r="E26" s="82">
        <f ca="1">IFERROR(__xludf.DUMMYFUNCTION("IMPORTRANGE(""https://docs.google.com/spreadsheets/d/1MeEWN-I1oV_STSDYn1IFDPWt_1FKiwhDph83XaGc0o0/edit?usp=sharing"",""งบพรบ!ED26"")"),0)</f>
        <v>0</v>
      </c>
      <c r="F26" s="82">
        <f ca="1">IFERROR(__xludf.DUMMYFUNCTION("IMPORTRANGE(""https://docs.google.com/spreadsheets/d/1MeEWN-I1oV_STSDYn1IFDPWt_1FKiwhDph83XaGc0o0/edit?usp=sharing"",""งบพรบ!EE26"")"),0)</f>
        <v>0</v>
      </c>
      <c r="G26" s="82">
        <f ca="1">IFERROR(__xludf.DUMMYFUNCTION("IMPORTRANGE(""https://docs.google.com/spreadsheets/d/1MeEWN-I1oV_STSDYn1IFDPWt_1FKiwhDph83XaGc0o0/edit?usp=sharing"",""งบพรบ!EF26"")"),0)</f>
        <v>0</v>
      </c>
      <c r="H26" s="82">
        <f ca="1">IFERROR(__xludf.DUMMYFUNCTION("IMPORTRANGE(""https://docs.google.com/spreadsheets/d/1MeEWN-I1oV_STSDYn1IFDPWt_1FKiwhDph83XaGc0o0/edit?usp=sharing"",""งบพรบ!EH26"")"),0)</f>
        <v>0</v>
      </c>
      <c r="I26" s="82">
        <f ca="1">IFERROR(__xludf.DUMMYFUNCTION("IMPORTRANGE(""https://docs.google.com/spreadsheets/d/1MeEWN-I1oV_STSDYn1IFDPWt_1FKiwhDph83XaGc0o0/edit?usp=sharing"",""งบพรบ!EI26"")"),0)</f>
        <v>0</v>
      </c>
      <c r="J26" s="82">
        <f t="shared" ca="1" si="3"/>
        <v>0</v>
      </c>
      <c r="K26" s="83">
        <f t="shared" ca="1" si="4"/>
        <v>0</v>
      </c>
      <c r="L26" s="82">
        <f ca="1">IFERROR(__xludf.DUMMYFUNCTION("IMPORTRANGE(""https://docs.google.com/spreadsheets/d/1MeEWN-I1oV_STSDYn1IFDPWt_1FKiwhDph83XaGc0o0/edit?usp=sharing"",""งบพรบ!EJ26"")"),0)</f>
        <v>0</v>
      </c>
      <c r="M26" s="84">
        <f t="shared" ca="1" si="5"/>
        <v>0</v>
      </c>
      <c r="N26" s="84">
        <f t="shared" ca="1" si="6"/>
        <v>0</v>
      </c>
      <c r="O26" s="85">
        <f ca="1">IFERROR(__xludf.DUMMYFUNCTION("IMPORTRANGE(""https://docs.google.com/spreadsheets/d/1MeEWN-I1oV_STSDYn1IFDPWt_1FKiwhDph83XaGc0o0/edit?usp=sharing"",""งบพรบ!EK26"")"),0)</f>
        <v>0</v>
      </c>
      <c r="P26" s="85">
        <f t="shared" ca="1" si="18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IFERROR(__xludf.DUMMYFUNCTION("IMPORTRANGE(""https://docs.google.com/spreadsheets/d/1p7ERhsr0qZeSn-KSOdeHS9r0heI-lHtkcn2OH7hP0jQ/edit?usp=sharing"",""ลำปาง!I325"")"),0)</f>
        <v>0</v>
      </c>
      <c r="S26" s="86">
        <f ca="1">IFERROR(__xludf.DUMMYFUNCTION("IMPORTRANGE(""https://docs.google.com/spreadsheets/d/1p7ERhsr0qZeSn-KSOdeHS9r0heI-lHtkcn2OH7hP0jQ/edit?usp=sharing"",""ลำปาง!J325"")"),0)</f>
        <v>0</v>
      </c>
      <c r="T26" s="87">
        <f t="shared" ca="1" si="16"/>
        <v>0</v>
      </c>
    </row>
    <row r="27" spans="1:20" ht="24" customHeight="1" x14ac:dyDescent="0.2">
      <c r="A27" s="78">
        <v>14</v>
      </c>
      <c r="B27" s="79" t="s">
        <v>49</v>
      </c>
      <c r="C27" s="80">
        <f t="shared" ca="1" si="0"/>
        <v>0</v>
      </c>
      <c r="D27" s="81">
        <f t="shared" ca="1" si="20"/>
        <v>0</v>
      </c>
      <c r="E27" s="82">
        <f ca="1">IFERROR(__xludf.DUMMYFUNCTION("IMPORTRANGE(""https://docs.google.com/spreadsheets/d/1MeEWN-I1oV_STSDYn1IFDPWt_1FKiwhDph83XaGc0o0/edit?usp=sharing"",""งบพรบ!ED27"")"),0)</f>
        <v>0</v>
      </c>
      <c r="F27" s="82">
        <f ca="1">IFERROR(__xludf.DUMMYFUNCTION("IMPORTRANGE(""https://docs.google.com/spreadsheets/d/1MeEWN-I1oV_STSDYn1IFDPWt_1FKiwhDph83XaGc0o0/edit?usp=sharing"",""งบพรบ!EE27"")"),0)</f>
        <v>0</v>
      </c>
      <c r="G27" s="82">
        <f ca="1">IFERROR(__xludf.DUMMYFUNCTION("IMPORTRANGE(""https://docs.google.com/spreadsheets/d/1MeEWN-I1oV_STSDYn1IFDPWt_1FKiwhDph83XaGc0o0/edit?usp=sharing"",""งบพรบ!EF27"")"),0)</f>
        <v>0</v>
      </c>
      <c r="H27" s="82">
        <f ca="1">IFERROR(__xludf.DUMMYFUNCTION("IMPORTRANGE(""https://docs.google.com/spreadsheets/d/1MeEWN-I1oV_STSDYn1IFDPWt_1FKiwhDph83XaGc0o0/edit?usp=sharing"",""งบพรบ!EH27"")"),0)</f>
        <v>0</v>
      </c>
      <c r="I27" s="82">
        <f ca="1">IFERROR(__xludf.DUMMYFUNCTION("IMPORTRANGE(""https://docs.google.com/spreadsheets/d/1MeEWN-I1oV_STSDYn1IFDPWt_1FKiwhDph83XaGc0o0/edit?usp=sharing"",""งบพรบ!EI27"")"),0)</f>
        <v>0</v>
      </c>
      <c r="J27" s="82">
        <f t="shared" ca="1" si="3"/>
        <v>0</v>
      </c>
      <c r="K27" s="83">
        <f t="shared" ca="1" si="4"/>
        <v>0</v>
      </c>
      <c r="L27" s="82">
        <f ca="1">IFERROR(__xludf.DUMMYFUNCTION("IMPORTRANGE(""https://docs.google.com/spreadsheets/d/1MeEWN-I1oV_STSDYn1IFDPWt_1FKiwhDph83XaGc0o0/edit?usp=sharing"",""งบพรบ!EJ27"")"),0)</f>
        <v>0</v>
      </c>
      <c r="M27" s="84">
        <f t="shared" ca="1" si="5"/>
        <v>0</v>
      </c>
      <c r="N27" s="84">
        <f t="shared" ca="1" si="6"/>
        <v>0</v>
      </c>
      <c r="O27" s="85">
        <f ca="1">IFERROR(__xludf.DUMMYFUNCTION("IMPORTRANGE(""https://docs.google.com/spreadsheets/d/1MeEWN-I1oV_STSDYn1IFDPWt_1FKiwhDph83XaGc0o0/edit?usp=sharing"",""งบพรบ!EK27"")"),0)</f>
        <v>0</v>
      </c>
      <c r="P27" s="85">
        <f t="shared" ca="1" si="18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IFERROR(__xludf.DUMMYFUNCTION("IMPORTRANGE(""https://docs.google.com/spreadsheets/d/1-uUXvimVhiU2U0bMN-xi2te0tS4X7DI2GLPnMjzl8cA/edit?usp=sharing"",""ลำพูน!I325"")"),0)</f>
        <v>0</v>
      </c>
      <c r="S27" s="86">
        <f ca="1">IFERROR(__xludf.DUMMYFUNCTION("IMPORTRANGE(""https://docs.google.com/spreadsheets/d/1-uUXvimVhiU2U0bMN-xi2te0tS4X7DI2GLPnMjzl8cA/edit?usp=sharing"",""ลำพูน!J325"")"),0)</f>
        <v>0</v>
      </c>
      <c r="T27" s="87">
        <f t="shared" ca="1" si="16"/>
        <v>0</v>
      </c>
    </row>
    <row r="28" spans="1:20" ht="24" customHeight="1" x14ac:dyDescent="0.2">
      <c r="A28" s="78">
        <v>15</v>
      </c>
      <c r="B28" s="79" t="s">
        <v>50</v>
      </c>
      <c r="C28" s="80">
        <f t="shared" ca="1" si="0"/>
        <v>0</v>
      </c>
      <c r="D28" s="81">
        <f t="shared" ca="1" si="20"/>
        <v>0</v>
      </c>
      <c r="E28" s="82">
        <f ca="1">IFERROR(__xludf.DUMMYFUNCTION("IMPORTRANGE(""https://docs.google.com/spreadsheets/d/1MeEWN-I1oV_STSDYn1IFDPWt_1FKiwhDph83XaGc0o0/edit?usp=sharing"",""งบพรบ!ED28"")"),0)</f>
        <v>0</v>
      </c>
      <c r="F28" s="82">
        <f ca="1">IFERROR(__xludf.DUMMYFUNCTION("IMPORTRANGE(""https://docs.google.com/spreadsheets/d/1MeEWN-I1oV_STSDYn1IFDPWt_1FKiwhDph83XaGc0o0/edit?usp=sharing"",""งบพรบ!EE28"")"),0)</f>
        <v>0</v>
      </c>
      <c r="G28" s="82">
        <f ca="1">IFERROR(__xludf.DUMMYFUNCTION("IMPORTRANGE(""https://docs.google.com/spreadsheets/d/1MeEWN-I1oV_STSDYn1IFDPWt_1FKiwhDph83XaGc0o0/edit?usp=sharing"",""งบพรบ!EF28"")"),0)</f>
        <v>0</v>
      </c>
      <c r="H28" s="82">
        <f ca="1">IFERROR(__xludf.DUMMYFUNCTION("IMPORTRANGE(""https://docs.google.com/spreadsheets/d/1MeEWN-I1oV_STSDYn1IFDPWt_1FKiwhDph83XaGc0o0/edit?usp=sharing"",""งบพรบ!EH28"")"),0)</f>
        <v>0</v>
      </c>
      <c r="I28" s="82">
        <f ca="1">IFERROR(__xludf.DUMMYFUNCTION("IMPORTRANGE(""https://docs.google.com/spreadsheets/d/1MeEWN-I1oV_STSDYn1IFDPWt_1FKiwhDph83XaGc0o0/edit?usp=sharing"",""งบพรบ!EI28"")"),0)</f>
        <v>0</v>
      </c>
      <c r="J28" s="82">
        <f t="shared" ca="1" si="3"/>
        <v>0</v>
      </c>
      <c r="K28" s="83">
        <f t="shared" ca="1" si="4"/>
        <v>0</v>
      </c>
      <c r="L28" s="82">
        <f ca="1">IFERROR(__xludf.DUMMYFUNCTION("IMPORTRANGE(""https://docs.google.com/spreadsheets/d/1MeEWN-I1oV_STSDYn1IFDPWt_1FKiwhDph83XaGc0o0/edit?usp=sharing"",""งบพรบ!EJ28"")"),0)</f>
        <v>0</v>
      </c>
      <c r="M28" s="84">
        <f t="shared" ca="1" si="5"/>
        <v>0</v>
      </c>
      <c r="N28" s="84">
        <f t="shared" ca="1" si="6"/>
        <v>0</v>
      </c>
      <c r="O28" s="85">
        <f ca="1">IFERROR(__xludf.DUMMYFUNCTION("IMPORTRANGE(""https://docs.google.com/spreadsheets/d/1MeEWN-I1oV_STSDYn1IFDPWt_1FKiwhDph83XaGc0o0/edit?usp=sharing"",""งบพรบ!EK28"")"),0)</f>
        <v>0</v>
      </c>
      <c r="P28" s="85">
        <f t="shared" ca="1" si="18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IFERROR(__xludf.DUMMYFUNCTION("IMPORTRANGE(""https://docs.google.com/spreadsheets/d/17HrOaa5pBUI1onckFfumXB8xlg35qb2uBAFfF1D-Myo/edit?usp=sharing"",""สุโขทัย!I325"")"),0)</f>
        <v>0</v>
      </c>
      <c r="S28" s="86">
        <f ca="1">IFERROR(__xludf.DUMMYFUNCTION("IMPORTRANGE(""https://docs.google.com/spreadsheets/d/17HrOaa5pBUI1onckFfumXB8xlg35qb2uBAFfF1D-Myo/edit?usp=sharing"",""สุโขทัย!J325"")"),0)</f>
        <v>0</v>
      </c>
      <c r="T28" s="87">
        <f t="shared" ca="1" si="16"/>
        <v>0</v>
      </c>
    </row>
    <row r="29" spans="1:20" ht="24" customHeight="1" x14ac:dyDescent="0.2">
      <c r="A29" s="78">
        <v>16</v>
      </c>
      <c r="B29" s="79" t="s">
        <v>51</v>
      </c>
      <c r="C29" s="80">
        <f t="shared" ca="1" si="0"/>
        <v>0</v>
      </c>
      <c r="D29" s="81">
        <f t="shared" ca="1" si="20"/>
        <v>0</v>
      </c>
      <c r="E29" s="82">
        <f ca="1">IFERROR(__xludf.DUMMYFUNCTION("IMPORTRANGE(""https://docs.google.com/spreadsheets/d/1MeEWN-I1oV_STSDYn1IFDPWt_1FKiwhDph83XaGc0o0/edit?usp=sharing"",""งบพรบ!ED29"")"),0)</f>
        <v>0</v>
      </c>
      <c r="F29" s="82">
        <f ca="1">IFERROR(__xludf.DUMMYFUNCTION("IMPORTRANGE(""https://docs.google.com/spreadsheets/d/1MeEWN-I1oV_STSDYn1IFDPWt_1FKiwhDph83XaGc0o0/edit?usp=sharing"",""งบพรบ!EE29"")"),0)</f>
        <v>0</v>
      </c>
      <c r="G29" s="82">
        <f ca="1">IFERROR(__xludf.DUMMYFUNCTION("IMPORTRANGE(""https://docs.google.com/spreadsheets/d/1MeEWN-I1oV_STSDYn1IFDPWt_1FKiwhDph83XaGc0o0/edit?usp=sharing"",""งบพรบ!EF29"")"),0)</f>
        <v>0</v>
      </c>
      <c r="H29" s="82">
        <f ca="1">IFERROR(__xludf.DUMMYFUNCTION("IMPORTRANGE(""https://docs.google.com/spreadsheets/d/1MeEWN-I1oV_STSDYn1IFDPWt_1FKiwhDph83XaGc0o0/edit?usp=sharing"",""งบพรบ!EH29"")"),0)</f>
        <v>0</v>
      </c>
      <c r="I29" s="82">
        <f ca="1">IFERROR(__xludf.DUMMYFUNCTION("IMPORTRANGE(""https://docs.google.com/spreadsheets/d/1MeEWN-I1oV_STSDYn1IFDPWt_1FKiwhDph83XaGc0o0/edit?usp=sharing"",""งบพรบ!EI29"")"),0)</f>
        <v>0</v>
      </c>
      <c r="J29" s="82">
        <f t="shared" ca="1" si="3"/>
        <v>0</v>
      </c>
      <c r="K29" s="83">
        <f t="shared" ca="1" si="4"/>
        <v>0</v>
      </c>
      <c r="L29" s="82">
        <f ca="1">IFERROR(__xludf.DUMMYFUNCTION("IMPORTRANGE(""https://docs.google.com/spreadsheets/d/1MeEWN-I1oV_STSDYn1IFDPWt_1FKiwhDph83XaGc0o0/edit?usp=sharing"",""งบพรบ!EJ29"")"),0)</f>
        <v>0</v>
      </c>
      <c r="M29" s="84">
        <f t="shared" ca="1" si="5"/>
        <v>0</v>
      </c>
      <c r="N29" s="84">
        <f t="shared" ca="1" si="6"/>
        <v>0</v>
      </c>
      <c r="O29" s="85">
        <f ca="1">IFERROR(__xludf.DUMMYFUNCTION("IMPORTRANGE(""https://docs.google.com/spreadsheets/d/1MeEWN-I1oV_STSDYn1IFDPWt_1FKiwhDph83XaGc0o0/edit?usp=sharing"",""งบพรบ!EK29"")"),0)</f>
        <v>0</v>
      </c>
      <c r="P29" s="85">
        <f t="shared" ca="1" si="18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IFERROR(__xludf.DUMMYFUNCTION("IMPORTRANGE(""https://docs.google.com/spreadsheets/d/1ubs5cl16eYL9gHbdHTJtmtYb9MGzHBs7CAphn8kNCgM/edit?usp=sharing"",""อุตรดิตถ์!I325"")"),0)</f>
        <v>0</v>
      </c>
      <c r="S29" s="86">
        <f ca="1">IFERROR(__xludf.DUMMYFUNCTION("IMPORTRANGE(""https://docs.google.com/spreadsheets/d/1ubs5cl16eYL9gHbdHTJtmtYb9MGzHBs7CAphn8kNCgM/edit?usp=sharing"",""อุตรดิตถ์!J325"")"),0)</f>
        <v>0</v>
      </c>
      <c r="T29" s="87">
        <f t="shared" ca="1" si="16"/>
        <v>0</v>
      </c>
    </row>
    <row r="30" spans="1:20" ht="24" customHeight="1" x14ac:dyDescent="0.2">
      <c r="A30" s="89">
        <v>17</v>
      </c>
      <c r="B30" s="90" t="s">
        <v>52</v>
      </c>
      <c r="C30" s="91">
        <f t="shared" ca="1" si="0"/>
        <v>153000</v>
      </c>
      <c r="D30" s="92">
        <f t="shared" ca="1" si="20"/>
        <v>153000</v>
      </c>
      <c r="E30" s="93">
        <f ca="1">IFERROR(__xludf.DUMMYFUNCTION("IMPORTRANGE(""https://docs.google.com/spreadsheets/d/1MeEWN-I1oV_STSDYn1IFDPWt_1FKiwhDph83XaGc0o0/edit?usp=sharing"",""งบพรบ!ED30"")"),0)</f>
        <v>0</v>
      </c>
      <c r="F30" s="93">
        <f ca="1">IFERROR(__xludf.DUMMYFUNCTION("IMPORTRANGE(""https://docs.google.com/spreadsheets/d/1MeEWN-I1oV_STSDYn1IFDPWt_1FKiwhDph83XaGc0o0/edit?usp=sharing"",""งบพรบ!EE30"")"),153000)</f>
        <v>153000</v>
      </c>
      <c r="G30" s="93">
        <f ca="1">IFERROR(__xludf.DUMMYFUNCTION("IMPORTRANGE(""https://docs.google.com/spreadsheets/d/1MeEWN-I1oV_STSDYn1IFDPWt_1FKiwhDph83XaGc0o0/edit?usp=sharing"",""งบพรบ!EF30"")"),0)</f>
        <v>0</v>
      </c>
      <c r="H30" s="93">
        <f ca="1">IFERROR(__xludf.DUMMYFUNCTION("IMPORTRANGE(""https://docs.google.com/spreadsheets/d/1MeEWN-I1oV_STSDYn1IFDPWt_1FKiwhDph83XaGc0o0/edit?usp=sharing"",""งบพรบ!EH30"")"),114500)</f>
        <v>114500</v>
      </c>
      <c r="I30" s="93">
        <f ca="1">IFERROR(__xludf.DUMMYFUNCTION("IMPORTRANGE(""https://docs.google.com/spreadsheets/d/1MeEWN-I1oV_STSDYn1IFDPWt_1FKiwhDph83XaGc0o0/edit?usp=sharing"",""งบพรบ!EI30"")"),0)</f>
        <v>0</v>
      </c>
      <c r="J30" s="93">
        <f t="shared" ca="1" si="3"/>
        <v>54646.2</v>
      </c>
      <c r="K30" s="94">
        <f t="shared" ca="1" si="4"/>
        <v>35.716470588235296</v>
      </c>
      <c r="L30" s="93">
        <f ca="1">IFERROR(__xludf.DUMMYFUNCTION("IMPORTRANGE(""https://docs.google.com/spreadsheets/d/1MeEWN-I1oV_STSDYn1IFDPWt_1FKiwhDph83XaGc0o0/edit?usp=sharing"",""งบพรบ!EJ30"")"),54646.2)</f>
        <v>54646.2</v>
      </c>
      <c r="M30" s="95">
        <f t="shared" ca="1" si="5"/>
        <v>35.716470588235296</v>
      </c>
      <c r="N30" s="95">
        <f t="shared" ca="1" si="6"/>
        <v>47.725938864628823</v>
      </c>
      <c r="O30" s="96">
        <f ca="1">IFERROR(__xludf.DUMMYFUNCTION("IMPORTRANGE(""https://docs.google.com/spreadsheets/d/1MeEWN-I1oV_STSDYn1IFDPWt_1FKiwhDph83XaGc0o0/edit?usp=sharing"",""งบพรบ!EK30"")"),0)</f>
        <v>0</v>
      </c>
      <c r="P30" s="96">
        <f t="shared" ca="1" si="18"/>
        <v>0</v>
      </c>
      <c r="Q30" s="95">
        <f t="shared" ca="1" si="8"/>
        <v>0</v>
      </c>
      <c r="R30" s="97">
        <f ca="1">IFERROR(__xludf.DUMMYFUNCTION("IMPORTRANGE(""https://docs.google.com/spreadsheets/d/1kII0BjS6CtVrBvI8IrytgPdxDrlyQDyigzMsohRtDMs/edit?usp=sharing"",""อุทัยธานี!I325"")"),1)</f>
        <v>1</v>
      </c>
      <c r="S30" s="97">
        <f ca="1">IFERROR(__xludf.DUMMYFUNCTION("IMPORTRANGE(""https://docs.google.com/spreadsheets/d/1kII0BjS6CtVrBvI8IrytgPdxDrlyQDyigzMsohRtDMs/edit?usp=sharing"",""อุทัยธานี!J325"")"),0)</f>
        <v>0</v>
      </c>
      <c r="T30" s="98">
        <f t="shared" ca="1" si="16"/>
        <v>0</v>
      </c>
    </row>
    <row r="31" spans="1:20" ht="21" customHeight="1" x14ac:dyDescent="0.2">
      <c r="A31" s="378" t="s">
        <v>53</v>
      </c>
      <c r="B31" s="379"/>
      <c r="C31" s="99">
        <f t="shared" ca="1" si="0"/>
        <v>878000</v>
      </c>
      <c r="D31" s="62">
        <f t="shared" ref="D31:I31" ca="1" si="21">SUM(D32:D51)</f>
        <v>878000</v>
      </c>
      <c r="E31" s="62">
        <f t="shared" ca="1" si="21"/>
        <v>572000</v>
      </c>
      <c r="F31" s="62">
        <f t="shared" ca="1" si="21"/>
        <v>306000</v>
      </c>
      <c r="G31" s="62">
        <f t="shared" ca="1" si="21"/>
        <v>0</v>
      </c>
      <c r="H31" s="62">
        <f t="shared" ca="1" si="21"/>
        <v>645000</v>
      </c>
      <c r="I31" s="62">
        <f t="shared" ca="1" si="21"/>
        <v>0</v>
      </c>
      <c r="J31" s="62">
        <f t="shared" ca="1" si="3"/>
        <v>266746.25</v>
      </c>
      <c r="K31" s="100">
        <f t="shared" ca="1" si="4"/>
        <v>30.38112186788155</v>
      </c>
      <c r="L31" s="62">
        <f ca="1">SUM(L32:L51)</f>
        <v>266746.25</v>
      </c>
      <c r="M31" s="101">
        <f t="shared" ca="1" si="5"/>
        <v>30.38112186788155</v>
      </c>
      <c r="N31" s="101">
        <f t="shared" ca="1" si="6"/>
        <v>41.356007751937987</v>
      </c>
      <c r="O31" s="102">
        <f ca="1">SUM(O32:O51)</f>
        <v>0</v>
      </c>
      <c r="P31" s="102">
        <f t="shared" ca="1" si="18"/>
        <v>0</v>
      </c>
      <c r="Q31" s="101">
        <f t="shared" ca="1" si="8"/>
        <v>0</v>
      </c>
      <c r="R31" s="62">
        <f t="shared" ref="R31:S31" ca="1" si="22">SUM(R32:R51)</f>
        <v>3</v>
      </c>
      <c r="S31" s="62">
        <f t="shared" ca="1" si="22"/>
        <v>3</v>
      </c>
      <c r="T31" s="101">
        <f t="shared" ca="1" si="16"/>
        <v>100</v>
      </c>
    </row>
    <row r="32" spans="1:20" ht="21" customHeight="1" x14ac:dyDescent="0.2">
      <c r="A32" s="68">
        <v>1</v>
      </c>
      <c r="B32" s="69" t="s">
        <v>54</v>
      </c>
      <c r="C32" s="103">
        <f t="shared" ca="1" si="0"/>
        <v>439000</v>
      </c>
      <c r="D32" s="71">
        <f t="shared" ref="D32:D51" ca="1" si="23">+E32+F32</f>
        <v>439000</v>
      </c>
      <c r="E32" s="72">
        <f ca="1">IFERROR(__xludf.DUMMYFUNCTION("IMPORTRANGE(""https://docs.google.com/spreadsheets/d/1MeEWN-I1oV_STSDYn1IFDPWt_1FKiwhDph83XaGc0o0/edit?usp=sharing"",""งบพรบ!ED32"")"),286000)</f>
        <v>286000</v>
      </c>
      <c r="F32" s="72">
        <f ca="1">IFERROR(__xludf.DUMMYFUNCTION("IMPORTRANGE(""https://docs.google.com/spreadsheets/d/1MeEWN-I1oV_STSDYn1IFDPWt_1FKiwhDph83XaGc0o0/edit?usp=sharing"",""งบพรบ!EE32"")"),153000)</f>
        <v>153000</v>
      </c>
      <c r="G32" s="73">
        <f ca="1">IFERROR(__xludf.DUMMYFUNCTION("IMPORTRANGE(""https://docs.google.com/spreadsheets/d/1MeEWN-I1oV_STSDYn1IFDPWt_1FKiwhDph83XaGc0o0/edit?usp=sharing"",""งบพรบ!EF32"")"),0)</f>
        <v>0</v>
      </c>
      <c r="H32" s="73">
        <f ca="1">IFERROR(__xludf.DUMMYFUNCTION("IMPORTRANGE(""https://docs.google.com/spreadsheets/d/1MeEWN-I1oV_STSDYn1IFDPWt_1FKiwhDph83XaGc0o0/edit?usp=sharing"",""งบพรบ!EH32"")"),322500)</f>
        <v>322500</v>
      </c>
      <c r="I32" s="73">
        <f ca="1">IFERROR(__xludf.DUMMYFUNCTION("IMPORTRANGE(""https://docs.google.com/spreadsheets/d/1MeEWN-I1oV_STSDYn1IFDPWt_1FKiwhDph83XaGc0o0/edit?usp=sharing"",""งบพรบ!EI32"")"),0)</f>
        <v>0</v>
      </c>
      <c r="J32" s="73">
        <f t="shared" ca="1" si="3"/>
        <v>122006.44</v>
      </c>
      <c r="K32" s="74">
        <f t="shared" ca="1" si="4"/>
        <v>27.791899772209568</v>
      </c>
      <c r="L32" s="73">
        <f ca="1">IFERROR(__xludf.DUMMYFUNCTION("IMPORTRANGE(""https://docs.google.com/spreadsheets/d/1MeEWN-I1oV_STSDYn1IFDPWt_1FKiwhDph83XaGc0o0/edit?usp=sharing"",""งบพรบ!EJ32"")"),122006.44)</f>
        <v>122006.44</v>
      </c>
      <c r="M32" s="75">
        <f t="shared" ca="1" si="5"/>
        <v>27.791899772209568</v>
      </c>
      <c r="N32" s="75">
        <f t="shared" ca="1" si="6"/>
        <v>37.831454263565888</v>
      </c>
      <c r="O32" s="76">
        <f ca="1">IFERROR(__xludf.DUMMYFUNCTION("IMPORTRANGE(""https://docs.google.com/spreadsheets/d/1MeEWN-I1oV_STSDYn1IFDPWt_1FKiwhDph83XaGc0o0/edit?usp=sharing"",""งบพรบ!EK32"")"),0)</f>
        <v>0</v>
      </c>
      <c r="P32" s="76">
        <f t="shared" ca="1" si="18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IFERROR(__xludf.DUMMYFUNCTION("IMPORTRANGE(""https://docs.google.com/spreadsheets/d/1fb2B9NLcpJgjIieIJvenUTNPn0TimZDUi0OtYeiSQ_s/edit?usp=sharing"",""กาฬสินธุ์!I325"")"),1)</f>
        <v>1</v>
      </c>
      <c r="S32" s="73">
        <f ca="1">IFERROR(__xludf.DUMMYFUNCTION("IMPORTRANGE(""https://docs.google.com/spreadsheets/d/1fb2B9NLcpJgjIieIJvenUTNPn0TimZDUi0OtYeiSQ_s/edit?usp=sharing"",""กาฬสินธุ์!J325"")"),1)</f>
        <v>1</v>
      </c>
      <c r="T32" s="77">
        <f t="shared" ca="1" si="16"/>
        <v>100</v>
      </c>
    </row>
    <row r="33" spans="1:20" ht="21" customHeight="1" x14ac:dyDescent="0.2">
      <c r="A33" s="78">
        <v>2</v>
      </c>
      <c r="B33" s="79" t="s">
        <v>55</v>
      </c>
      <c r="C33" s="80">
        <f t="shared" ca="1" si="0"/>
        <v>0</v>
      </c>
      <c r="D33" s="81">
        <f t="shared" ca="1" si="23"/>
        <v>0</v>
      </c>
      <c r="E33" s="82">
        <f ca="1">IFERROR(__xludf.DUMMYFUNCTION("IMPORTRANGE(""https://docs.google.com/spreadsheets/d/1MeEWN-I1oV_STSDYn1IFDPWt_1FKiwhDph83XaGc0o0/edit?usp=sharing"",""งบพรบ!ED33"")"),0)</f>
        <v>0</v>
      </c>
      <c r="F33" s="82">
        <f ca="1">IFERROR(__xludf.DUMMYFUNCTION("IMPORTRANGE(""https://docs.google.com/spreadsheets/d/1MeEWN-I1oV_STSDYn1IFDPWt_1FKiwhDph83XaGc0o0/edit?usp=sharing"",""งบพรบ!EE33"")"),0)</f>
        <v>0</v>
      </c>
      <c r="G33" s="82">
        <f ca="1">IFERROR(__xludf.DUMMYFUNCTION("IMPORTRANGE(""https://docs.google.com/spreadsheets/d/1MeEWN-I1oV_STSDYn1IFDPWt_1FKiwhDph83XaGc0o0/edit?usp=sharing"",""งบพรบ!EF33"")"),0)</f>
        <v>0</v>
      </c>
      <c r="H33" s="82">
        <f ca="1">IFERROR(__xludf.DUMMYFUNCTION("IMPORTRANGE(""https://docs.google.com/spreadsheets/d/1MeEWN-I1oV_STSDYn1IFDPWt_1FKiwhDph83XaGc0o0/edit?usp=sharing"",""งบพรบ!EH33"")"),0)</f>
        <v>0</v>
      </c>
      <c r="I33" s="82">
        <f ca="1">IFERROR(__xludf.DUMMYFUNCTION("IMPORTRANGE(""https://docs.google.com/spreadsheets/d/1MeEWN-I1oV_STSDYn1IFDPWt_1FKiwhDph83XaGc0o0/edit?usp=sharing"",""งบพรบ!EI33"")"),0)</f>
        <v>0</v>
      </c>
      <c r="J33" s="82">
        <f t="shared" ca="1" si="3"/>
        <v>0</v>
      </c>
      <c r="K33" s="83">
        <f t="shared" ca="1" si="4"/>
        <v>0</v>
      </c>
      <c r="L33" s="82">
        <f ca="1">IFERROR(__xludf.DUMMYFUNCTION("IMPORTRANGE(""https://docs.google.com/spreadsheets/d/1MeEWN-I1oV_STSDYn1IFDPWt_1FKiwhDph83XaGc0o0/edit?usp=sharing"",""งบพรบ!EJ33"")"),0)</f>
        <v>0</v>
      </c>
      <c r="M33" s="84">
        <f t="shared" ca="1" si="5"/>
        <v>0</v>
      </c>
      <c r="N33" s="84">
        <f t="shared" ca="1" si="6"/>
        <v>0</v>
      </c>
      <c r="O33" s="85">
        <f ca="1">IFERROR(__xludf.DUMMYFUNCTION("IMPORTRANGE(""https://docs.google.com/spreadsheets/d/1MeEWN-I1oV_STSDYn1IFDPWt_1FKiwhDph83XaGc0o0/edit?usp=sharing"",""งบพรบ!EK33"")"),0)</f>
        <v>0</v>
      </c>
      <c r="P33" s="85">
        <f t="shared" ca="1" si="18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IFERROR(__xludf.DUMMYFUNCTION("IMPORTRANGE(""https://docs.google.com/spreadsheets/d/1SaMnqrwRGmFYNR0MhpWmHuL5niYUd5E7vDq8X7whAlI/edit?usp=sharing"",""ขอนแก่น!I325"")"),0)</f>
        <v>0</v>
      </c>
      <c r="S33" s="86">
        <f ca="1">IFERROR(__xludf.DUMMYFUNCTION("IMPORTRANGE(""https://docs.google.com/spreadsheets/d/1SaMnqrwRGmFYNR0MhpWmHuL5niYUd5E7vDq8X7whAlI/edit?usp=sharing"",""ขอนแก่น!J325"")"),0)</f>
        <v>0</v>
      </c>
      <c r="T33" s="87">
        <f t="shared" ca="1" si="16"/>
        <v>0</v>
      </c>
    </row>
    <row r="34" spans="1:20" ht="21" customHeight="1" x14ac:dyDescent="0.2">
      <c r="A34" s="78">
        <v>3</v>
      </c>
      <c r="B34" s="79" t="s">
        <v>56</v>
      </c>
      <c r="C34" s="80">
        <f t="shared" ca="1" si="0"/>
        <v>0</v>
      </c>
      <c r="D34" s="81">
        <f t="shared" ca="1" si="23"/>
        <v>0</v>
      </c>
      <c r="E34" s="82">
        <f ca="1">IFERROR(__xludf.DUMMYFUNCTION("IMPORTRANGE(""https://docs.google.com/spreadsheets/d/1MeEWN-I1oV_STSDYn1IFDPWt_1FKiwhDph83XaGc0o0/edit?usp=sharing"",""งบพรบ!ED34"")"),0)</f>
        <v>0</v>
      </c>
      <c r="F34" s="82">
        <f ca="1">IFERROR(__xludf.DUMMYFUNCTION("IMPORTRANGE(""https://docs.google.com/spreadsheets/d/1MeEWN-I1oV_STSDYn1IFDPWt_1FKiwhDph83XaGc0o0/edit?usp=sharing"",""งบพรบ!EE34"")"),0)</f>
        <v>0</v>
      </c>
      <c r="G34" s="82">
        <f ca="1">IFERROR(__xludf.DUMMYFUNCTION("IMPORTRANGE(""https://docs.google.com/spreadsheets/d/1MeEWN-I1oV_STSDYn1IFDPWt_1FKiwhDph83XaGc0o0/edit?usp=sharing"",""งบพรบ!EF34"")"),0)</f>
        <v>0</v>
      </c>
      <c r="H34" s="82">
        <f ca="1">IFERROR(__xludf.DUMMYFUNCTION("IMPORTRANGE(""https://docs.google.com/spreadsheets/d/1MeEWN-I1oV_STSDYn1IFDPWt_1FKiwhDph83XaGc0o0/edit?usp=sharing"",""งบพรบ!EH34"")"),0)</f>
        <v>0</v>
      </c>
      <c r="I34" s="82">
        <f ca="1">IFERROR(__xludf.DUMMYFUNCTION("IMPORTRANGE(""https://docs.google.com/spreadsheets/d/1MeEWN-I1oV_STSDYn1IFDPWt_1FKiwhDph83XaGc0o0/edit?usp=sharing"",""งบพรบ!EI34"")"),0)</f>
        <v>0</v>
      </c>
      <c r="J34" s="82">
        <f t="shared" ca="1" si="3"/>
        <v>0</v>
      </c>
      <c r="K34" s="83">
        <f t="shared" ca="1" si="4"/>
        <v>0</v>
      </c>
      <c r="L34" s="82">
        <f ca="1">IFERROR(__xludf.DUMMYFUNCTION("IMPORTRANGE(""https://docs.google.com/spreadsheets/d/1MeEWN-I1oV_STSDYn1IFDPWt_1FKiwhDph83XaGc0o0/edit?usp=sharing"",""งบพรบ!EJ34"")"),0)</f>
        <v>0</v>
      </c>
      <c r="M34" s="84">
        <f t="shared" ca="1" si="5"/>
        <v>0</v>
      </c>
      <c r="N34" s="84">
        <f t="shared" ca="1" si="6"/>
        <v>0</v>
      </c>
      <c r="O34" s="85">
        <f ca="1">IFERROR(__xludf.DUMMYFUNCTION("IMPORTRANGE(""https://docs.google.com/spreadsheets/d/1MeEWN-I1oV_STSDYn1IFDPWt_1FKiwhDph83XaGc0o0/edit?usp=sharing"",""งบพรบ!EK34"")"),0)</f>
        <v>0</v>
      </c>
      <c r="P34" s="85">
        <f t="shared" ca="1" si="18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IFERROR(__xludf.DUMMYFUNCTION("IMPORTRANGE(""https://docs.google.com/spreadsheets/d/1xQzEtGHhTTgxHh6YUkKY1P4dRyjVhS74dGswLfAASA4/edit?usp=sharing"",""ชัยภูมิ!I325"")"),0)</f>
        <v>0</v>
      </c>
      <c r="S34" s="86">
        <f ca="1">IFERROR(__xludf.DUMMYFUNCTION("IMPORTRANGE(""https://docs.google.com/spreadsheets/d/1xQzEtGHhTTgxHh6YUkKY1P4dRyjVhS74dGswLfAASA4/edit?usp=sharing"",""ชัยภูมิ!J325"")"),0)</f>
        <v>0</v>
      </c>
      <c r="T34" s="87">
        <f t="shared" ca="1" si="16"/>
        <v>0</v>
      </c>
    </row>
    <row r="35" spans="1:20" ht="21" customHeight="1" x14ac:dyDescent="0.2">
      <c r="A35" s="78">
        <v>4</v>
      </c>
      <c r="B35" s="79" t="s">
        <v>57</v>
      </c>
      <c r="C35" s="80">
        <f t="shared" ca="1" si="0"/>
        <v>0</v>
      </c>
      <c r="D35" s="81">
        <f t="shared" ca="1" si="23"/>
        <v>0</v>
      </c>
      <c r="E35" s="82">
        <f ca="1">IFERROR(__xludf.DUMMYFUNCTION("IMPORTRANGE(""https://docs.google.com/spreadsheets/d/1MeEWN-I1oV_STSDYn1IFDPWt_1FKiwhDph83XaGc0o0/edit?usp=sharing"",""งบพรบ!ED35"")"),0)</f>
        <v>0</v>
      </c>
      <c r="F35" s="82">
        <f ca="1">IFERROR(__xludf.DUMMYFUNCTION("IMPORTRANGE(""https://docs.google.com/spreadsheets/d/1MeEWN-I1oV_STSDYn1IFDPWt_1FKiwhDph83XaGc0o0/edit?usp=sharing"",""งบพรบ!EE35"")"),0)</f>
        <v>0</v>
      </c>
      <c r="G35" s="82">
        <f ca="1">IFERROR(__xludf.DUMMYFUNCTION("IMPORTRANGE(""https://docs.google.com/spreadsheets/d/1MeEWN-I1oV_STSDYn1IFDPWt_1FKiwhDph83XaGc0o0/edit?usp=sharing"",""งบพรบ!EF35"")"),0)</f>
        <v>0</v>
      </c>
      <c r="H35" s="82">
        <f ca="1">IFERROR(__xludf.DUMMYFUNCTION("IMPORTRANGE(""https://docs.google.com/spreadsheets/d/1MeEWN-I1oV_STSDYn1IFDPWt_1FKiwhDph83XaGc0o0/edit?usp=sharing"",""งบพรบ!EH35"")"),0)</f>
        <v>0</v>
      </c>
      <c r="I35" s="82">
        <f ca="1">IFERROR(__xludf.DUMMYFUNCTION("IMPORTRANGE(""https://docs.google.com/spreadsheets/d/1MeEWN-I1oV_STSDYn1IFDPWt_1FKiwhDph83XaGc0o0/edit?usp=sharing"",""งบพรบ!EI35"")"),0)</f>
        <v>0</v>
      </c>
      <c r="J35" s="82">
        <f t="shared" ca="1" si="3"/>
        <v>0</v>
      </c>
      <c r="K35" s="83">
        <f t="shared" ca="1" si="4"/>
        <v>0</v>
      </c>
      <c r="L35" s="82">
        <f ca="1">IFERROR(__xludf.DUMMYFUNCTION("IMPORTRANGE(""https://docs.google.com/spreadsheets/d/1MeEWN-I1oV_STSDYn1IFDPWt_1FKiwhDph83XaGc0o0/edit?usp=sharing"",""งบพรบ!EJ35"")"),0)</f>
        <v>0</v>
      </c>
      <c r="M35" s="84">
        <f t="shared" ca="1" si="5"/>
        <v>0</v>
      </c>
      <c r="N35" s="84">
        <f t="shared" ca="1" si="6"/>
        <v>0</v>
      </c>
      <c r="O35" s="85">
        <f ca="1">IFERROR(__xludf.DUMMYFUNCTION("IMPORTRANGE(""https://docs.google.com/spreadsheets/d/1MeEWN-I1oV_STSDYn1IFDPWt_1FKiwhDph83XaGc0o0/edit?usp=sharing"",""งบพรบ!EK35"")"),0)</f>
        <v>0</v>
      </c>
      <c r="P35" s="85">
        <f t="shared" ca="1" si="18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IFERROR(__xludf.DUMMYFUNCTION("IMPORTRANGE(""https://docs.google.com/spreadsheets/d/1EXMBoBxU3OFbjT2TRpneM33qFjqDzrKmn9ydcflfI0o/edit?usp=sharing"",""นครพนม!I325"")"),0)</f>
        <v>0</v>
      </c>
      <c r="S35" s="86">
        <f ca="1">IFERROR(__xludf.DUMMYFUNCTION("IMPORTRANGE(""https://docs.google.com/spreadsheets/d/1EXMBoBxU3OFbjT2TRpneM33qFjqDzrKmn9ydcflfI0o/edit?usp=sharing"",""นครพนม!J325"")"),0)</f>
        <v>0</v>
      </c>
      <c r="T35" s="87">
        <f t="shared" ca="1" si="16"/>
        <v>0</v>
      </c>
    </row>
    <row r="36" spans="1:20" ht="21" customHeight="1" x14ac:dyDescent="0.2">
      <c r="A36" s="78">
        <v>5</v>
      </c>
      <c r="B36" s="79" t="s">
        <v>58</v>
      </c>
      <c r="C36" s="80">
        <f t="shared" ca="1" si="0"/>
        <v>439000</v>
      </c>
      <c r="D36" s="81">
        <f t="shared" ca="1" si="23"/>
        <v>439000</v>
      </c>
      <c r="E36" s="82">
        <f ca="1">IFERROR(__xludf.DUMMYFUNCTION("IMPORTRANGE(""https://docs.google.com/spreadsheets/d/1MeEWN-I1oV_STSDYn1IFDPWt_1FKiwhDph83XaGc0o0/edit?usp=sharing"",""งบพรบ!ED36"")"),286000)</f>
        <v>286000</v>
      </c>
      <c r="F36" s="82">
        <f ca="1">IFERROR(__xludf.DUMMYFUNCTION("IMPORTRANGE(""https://docs.google.com/spreadsheets/d/1MeEWN-I1oV_STSDYn1IFDPWt_1FKiwhDph83XaGc0o0/edit?usp=sharing"",""งบพรบ!EE36"")"),153000)</f>
        <v>153000</v>
      </c>
      <c r="G36" s="82">
        <f ca="1">IFERROR(__xludf.DUMMYFUNCTION("IMPORTRANGE(""https://docs.google.com/spreadsheets/d/1MeEWN-I1oV_STSDYn1IFDPWt_1FKiwhDph83XaGc0o0/edit?usp=sharing"",""งบพรบ!EF36"")"),0)</f>
        <v>0</v>
      </c>
      <c r="H36" s="82">
        <f ca="1">IFERROR(__xludf.DUMMYFUNCTION("IMPORTRANGE(""https://docs.google.com/spreadsheets/d/1MeEWN-I1oV_STSDYn1IFDPWt_1FKiwhDph83XaGc0o0/edit?usp=sharing"",""งบพรบ!EH36"")"),322500)</f>
        <v>322500</v>
      </c>
      <c r="I36" s="82">
        <f ca="1">IFERROR(__xludf.DUMMYFUNCTION("IMPORTRANGE(""https://docs.google.com/spreadsheets/d/1MeEWN-I1oV_STSDYn1IFDPWt_1FKiwhDph83XaGc0o0/edit?usp=sharing"",""งบพรบ!EI36"")"),0)</f>
        <v>0</v>
      </c>
      <c r="J36" s="82">
        <f t="shared" ca="1" si="3"/>
        <v>144739.81</v>
      </c>
      <c r="K36" s="83">
        <f t="shared" ca="1" si="4"/>
        <v>32.970343963553532</v>
      </c>
      <c r="L36" s="82">
        <f ca="1">IFERROR(__xludf.DUMMYFUNCTION("IMPORTRANGE(""https://docs.google.com/spreadsheets/d/1MeEWN-I1oV_STSDYn1IFDPWt_1FKiwhDph83XaGc0o0/edit?usp=sharing"",""งบพรบ!EJ36"")"),144739.81)</f>
        <v>144739.81</v>
      </c>
      <c r="M36" s="84">
        <f t="shared" ca="1" si="5"/>
        <v>32.970343963553532</v>
      </c>
      <c r="N36" s="84">
        <f t="shared" ca="1" si="6"/>
        <v>44.88056124031008</v>
      </c>
      <c r="O36" s="85">
        <f ca="1">IFERROR(__xludf.DUMMYFUNCTION("IMPORTRANGE(""https://docs.google.com/spreadsheets/d/1MeEWN-I1oV_STSDYn1IFDPWt_1FKiwhDph83XaGc0o0/edit?usp=sharing"",""งบพรบ!EK36"")"),0)</f>
        <v>0</v>
      </c>
      <c r="P36" s="85">
        <f t="shared" ca="1" si="18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IFERROR(__xludf.DUMMYFUNCTION("IMPORTRANGE(""https://docs.google.com/spreadsheets/d/1bDQrolntRWtHumK8W-x-HXKntwxB9S3sF5aDeRS66Ko/edit?usp=sharing"",""นครราชสีมา!I325"")"),2)</f>
        <v>2</v>
      </c>
      <c r="S36" s="86">
        <f ca="1">IFERROR(__xludf.DUMMYFUNCTION("IMPORTRANGE(""https://docs.google.com/spreadsheets/d/1bDQrolntRWtHumK8W-x-HXKntwxB9S3sF5aDeRS66Ko/edit?usp=sharing"",""นครราชสีมา!J325"")"),2)</f>
        <v>2</v>
      </c>
      <c r="T36" s="87">
        <f t="shared" ca="1" si="16"/>
        <v>100</v>
      </c>
    </row>
    <row r="37" spans="1:20" ht="21" customHeight="1" x14ac:dyDescent="0.2">
      <c r="A37" s="78">
        <v>6</v>
      </c>
      <c r="B37" s="79" t="s">
        <v>59</v>
      </c>
      <c r="C37" s="80">
        <f t="shared" ca="1" si="0"/>
        <v>0</v>
      </c>
      <c r="D37" s="81">
        <f t="shared" ca="1" si="23"/>
        <v>0</v>
      </c>
      <c r="E37" s="82">
        <f ca="1">IFERROR(__xludf.DUMMYFUNCTION("IMPORTRANGE(""https://docs.google.com/spreadsheets/d/1MeEWN-I1oV_STSDYn1IFDPWt_1FKiwhDph83XaGc0o0/edit?usp=sharing"",""งบพรบ!ED37"")"),0)</f>
        <v>0</v>
      </c>
      <c r="F37" s="82">
        <f ca="1">IFERROR(__xludf.DUMMYFUNCTION("IMPORTRANGE(""https://docs.google.com/spreadsheets/d/1MeEWN-I1oV_STSDYn1IFDPWt_1FKiwhDph83XaGc0o0/edit?usp=sharing"",""งบพรบ!EE37"")"),0)</f>
        <v>0</v>
      </c>
      <c r="G37" s="82">
        <f ca="1">IFERROR(__xludf.DUMMYFUNCTION("IMPORTRANGE(""https://docs.google.com/spreadsheets/d/1MeEWN-I1oV_STSDYn1IFDPWt_1FKiwhDph83XaGc0o0/edit?usp=sharing"",""งบพรบ!EF37"")"),0)</f>
        <v>0</v>
      </c>
      <c r="H37" s="82">
        <f ca="1">IFERROR(__xludf.DUMMYFUNCTION("IMPORTRANGE(""https://docs.google.com/spreadsheets/d/1MeEWN-I1oV_STSDYn1IFDPWt_1FKiwhDph83XaGc0o0/edit?usp=sharing"",""งบพรบ!EH37"")"),0)</f>
        <v>0</v>
      </c>
      <c r="I37" s="82">
        <f ca="1">IFERROR(__xludf.DUMMYFUNCTION("IMPORTRANGE(""https://docs.google.com/spreadsheets/d/1MeEWN-I1oV_STSDYn1IFDPWt_1FKiwhDph83XaGc0o0/edit?usp=sharing"",""งบพรบ!EI37"")"),0)</f>
        <v>0</v>
      </c>
      <c r="J37" s="82">
        <f t="shared" ca="1" si="3"/>
        <v>0</v>
      </c>
      <c r="K37" s="83">
        <f t="shared" ca="1" si="4"/>
        <v>0</v>
      </c>
      <c r="L37" s="82">
        <f ca="1">IFERROR(__xludf.DUMMYFUNCTION("IMPORTRANGE(""https://docs.google.com/spreadsheets/d/1MeEWN-I1oV_STSDYn1IFDPWt_1FKiwhDph83XaGc0o0/edit?usp=sharing"",""งบพรบ!EJ37"")"),0)</f>
        <v>0</v>
      </c>
      <c r="M37" s="84">
        <f t="shared" ca="1" si="5"/>
        <v>0</v>
      </c>
      <c r="N37" s="84">
        <f t="shared" ca="1" si="6"/>
        <v>0</v>
      </c>
      <c r="O37" s="85">
        <f ca="1">IFERROR(__xludf.DUMMYFUNCTION("IMPORTRANGE(""https://docs.google.com/spreadsheets/d/1MeEWN-I1oV_STSDYn1IFDPWt_1FKiwhDph83XaGc0o0/edit?usp=sharing"",""งบพรบ!EK37"")"),0)</f>
        <v>0</v>
      </c>
      <c r="P37" s="85">
        <f t="shared" ca="1" si="18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IFERROR(__xludf.DUMMYFUNCTION("IMPORTRANGE(""https://docs.google.com/spreadsheets/d/1_MzZ-2gVPiCW-d2VcafoCmFJQTSrZ6SQyFcMqRRQQ2w/edit?usp=sharing"",""บึงกาฬ!I325"")"),0)</f>
        <v>0</v>
      </c>
      <c r="S37" s="86">
        <f ca="1">IFERROR(__xludf.DUMMYFUNCTION("IMPORTRANGE(""https://docs.google.com/spreadsheets/d/1_MzZ-2gVPiCW-d2VcafoCmFJQTSrZ6SQyFcMqRRQQ2w/edit?usp=sharing"",""บึงกาฬ!J325"")"),0)</f>
        <v>0</v>
      </c>
      <c r="T37" s="87">
        <f t="shared" ca="1" si="16"/>
        <v>0</v>
      </c>
    </row>
    <row r="38" spans="1:20" ht="21" customHeight="1" x14ac:dyDescent="0.2">
      <c r="A38" s="78">
        <v>7</v>
      </c>
      <c r="B38" s="79" t="s">
        <v>60</v>
      </c>
      <c r="C38" s="80">
        <f t="shared" ca="1" si="0"/>
        <v>0</v>
      </c>
      <c r="D38" s="81">
        <f t="shared" ca="1" si="23"/>
        <v>0</v>
      </c>
      <c r="E38" s="82">
        <f ca="1">IFERROR(__xludf.DUMMYFUNCTION("IMPORTRANGE(""https://docs.google.com/spreadsheets/d/1MeEWN-I1oV_STSDYn1IFDPWt_1FKiwhDph83XaGc0o0/edit?usp=sharing"",""งบพรบ!ED38"")"),0)</f>
        <v>0</v>
      </c>
      <c r="F38" s="82">
        <f ca="1">IFERROR(__xludf.DUMMYFUNCTION("IMPORTRANGE(""https://docs.google.com/spreadsheets/d/1MeEWN-I1oV_STSDYn1IFDPWt_1FKiwhDph83XaGc0o0/edit?usp=sharing"",""งบพรบ!EE38"")"),0)</f>
        <v>0</v>
      </c>
      <c r="G38" s="82">
        <f ca="1">IFERROR(__xludf.DUMMYFUNCTION("IMPORTRANGE(""https://docs.google.com/spreadsheets/d/1MeEWN-I1oV_STSDYn1IFDPWt_1FKiwhDph83XaGc0o0/edit?usp=sharing"",""งบพรบ!EF38"")"),0)</f>
        <v>0</v>
      </c>
      <c r="H38" s="82">
        <f ca="1">IFERROR(__xludf.DUMMYFUNCTION("IMPORTRANGE(""https://docs.google.com/spreadsheets/d/1MeEWN-I1oV_STSDYn1IFDPWt_1FKiwhDph83XaGc0o0/edit?usp=sharing"",""งบพรบ!EH38"")"),0)</f>
        <v>0</v>
      </c>
      <c r="I38" s="82">
        <f ca="1">IFERROR(__xludf.DUMMYFUNCTION("IMPORTRANGE(""https://docs.google.com/spreadsheets/d/1MeEWN-I1oV_STSDYn1IFDPWt_1FKiwhDph83XaGc0o0/edit?usp=sharing"",""งบพรบ!EI38"")"),0)</f>
        <v>0</v>
      </c>
      <c r="J38" s="82">
        <f t="shared" ca="1" si="3"/>
        <v>0</v>
      </c>
      <c r="K38" s="83">
        <f t="shared" ca="1" si="4"/>
        <v>0</v>
      </c>
      <c r="L38" s="82">
        <f ca="1">IFERROR(__xludf.DUMMYFUNCTION("IMPORTRANGE(""https://docs.google.com/spreadsheets/d/1MeEWN-I1oV_STSDYn1IFDPWt_1FKiwhDph83XaGc0o0/edit?usp=sharing"",""งบพรบ!EJ38"")"),0)</f>
        <v>0</v>
      </c>
      <c r="M38" s="84">
        <f t="shared" ca="1" si="5"/>
        <v>0</v>
      </c>
      <c r="N38" s="84">
        <f t="shared" ca="1" si="6"/>
        <v>0</v>
      </c>
      <c r="O38" s="85">
        <f ca="1">IFERROR(__xludf.DUMMYFUNCTION("IMPORTRANGE(""https://docs.google.com/spreadsheets/d/1MeEWN-I1oV_STSDYn1IFDPWt_1FKiwhDph83XaGc0o0/edit?usp=sharing"",""งบพรบ!EK38"")"),0)</f>
        <v>0</v>
      </c>
      <c r="P38" s="85">
        <f t="shared" ca="1" si="18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IFERROR(__xludf.DUMMYFUNCTION("IMPORTRANGE(""https://docs.google.com/spreadsheets/d/1B3lPpzOuaNwVItLwLEZYl_qEblfcx7dRnbRkAw0l-pE/edit?usp=sharing"",""บุรีรัมย์!I325"")"),0)</f>
        <v>0</v>
      </c>
      <c r="S38" s="86">
        <f ca="1">IFERROR(__xludf.DUMMYFUNCTION("IMPORTRANGE(""https://docs.google.com/spreadsheets/d/1B3lPpzOuaNwVItLwLEZYl_qEblfcx7dRnbRkAw0l-pE/edit?usp=sharing"",""บุรีรัมย์!J325"")"),0)</f>
        <v>0</v>
      </c>
      <c r="T38" s="87">
        <f t="shared" ca="1" si="16"/>
        <v>0</v>
      </c>
    </row>
    <row r="39" spans="1:20" ht="21" customHeight="1" x14ac:dyDescent="0.2">
      <c r="A39" s="78">
        <v>8</v>
      </c>
      <c r="B39" s="79" t="s">
        <v>61</v>
      </c>
      <c r="C39" s="80">
        <f t="shared" ca="1" si="0"/>
        <v>0</v>
      </c>
      <c r="D39" s="81">
        <f t="shared" ca="1" si="23"/>
        <v>0</v>
      </c>
      <c r="E39" s="82">
        <f ca="1">IFERROR(__xludf.DUMMYFUNCTION("IMPORTRANGE(""https://docs.google.com/spreadsheets/d/1MeEWN-I1oV_STSDYn1IFDPWt_1FKiwhDph83XaGc0o0/edit?usp=sharing"",""งบพรบ!ED39"")"),0)</f>
        <v>0</v>
      </c>
      <c r="F39" s="82">
        <f ca="1">IFERROR(__xludf.DUMMYFUNCTION("IMPORTRANGE(""https://docs.google.com/spreadsheets/d/1MeEWN-I1oV_STSDYn1IFDPWt_1FKiwhDph83XaGc0o0/edit?usp=sharing"",""งบพรบ!EE39"")"),0)</f>
        <v>0</v>
      </c>
      <c r="G39" s="82">
        <f ca="1">IFERROR(__xludf.DUMMYFUNCTION("IMPORTRANGE(""https://docs.google.com/spreadsheets/d/1MeEWN-I1oV_STSDYn1IFDPWt_1FKiwhDph83XaGc0o0/edit?usp=sharing"",""งบพรบ!EF39"")"),0)</f>
        <v>0</v>
      </c>
      <c r="H39" s="82">
        <f ca="1">IFERROR(__xludf.DUMMYFUNCTION("IMPORTRANGE(""https://docs.google.com/spreadsheets/d/1MeEWN-I1oV_STSDYn1IFDPWt_1FKiwhDph83XaGc0o0/edit?usp=sharing"",""งบพรบ!EH39"")"),0)</f>
        <v>0</v>
      </c>
      <c r="I39" s="82">
        <f ca="1">IFERROR(__xludf.DUMMYFUNCTION("IMPORTRANGE(""https://docs.google.com/spreadsheets/d/1MeEWN-I1oV_STSDYn1IFDPWt_1FKiwhDph83XaGc0o0/edit?usp=sharing"",""งบพรบ!EI39"")"),0)</f>
        <v>0</v>
      </c>
      <c r="J39" s="82">
        <f t="shared" ca="1" si="3"/>
        <v>0</v>
      </c>
      <c r="K39" s="83">
        <f t="shared" ca="1" si="4"/>
        <v>0</v>
      </c>
      <c r="L39" s="82">
        <f ca="1">IFERROR(__xludf.DUMMYFUNCTION("IMPORTRANGE(""https://docs.google.com/spreadsheets/d/1MeEWN-I1oV_STSDYn1IFDPWt_1FKiwhDph83XaGc0o0/edit?usp=sharing"",""งบพรบ!EJ39"")"),0)</f>
        <v>0</v>
      </c>
      <c r="M39" s="84">
        <f t="shared" ca="1" si="5"/>
        <v>0</v>
      </c>
      <c r="N39" s="84">
        <f t="shared" ca="1" si="6"/>
        <v>0</v>
      </c>
      <c r="O39" s="85">
        <f ca="1">IFERROR(__xludf.DUMMYFUNCTION("IMPORTRANGE(""https://docs.google.com/spreadsheets/d/1MeEWN-I1oV_STSDYn1IFDPWt_1FKiwhDph83XaGc0o0/edit?usp=sharing"",""งบพรบ!EK39"")"),0)</f>
        <v>0</v>
      </c>
      <c r="P39" s="85">
        <f t="shared" ca="1" si="18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IFERROR(__xludf.DUMMYFUNCTION("IMPORTRANGE(""https://docs.google.com/spreadsheets/d/19GOkiOqnzYbevLYWrMk4qFOXe3rX14BkSA8X-mq-a40/edit?usp=sharing"",""มหาสารคาม!I325"")"),0)</f>
        <v>0</v>
      </c>
      <c r="S39" s="86">
        <f ca="1">IFERROR(__xludf.DUMMYFUNCTION("IMPORTRANGE(""https://docs.google.com/spreadsheets/d/19GOkiOqnzYbevLYWrMk4qFOXe3rX14BkSA8X-mq-a40/edit?usp=sharing"",""มหาสารคาม!J325"")"),0)</f>
        <v>0</v>
      </c>
      <c r="T39" s="87">
        <f t="shared" ca="1" si="16"/>
        <v>0</v>
      </c>
    </row>
    <row r="40" spans="1:20" ht="21" customHeight="1" x14ac:dyDescent="0.2">
      <c r="A40" s="78">
        <v>9</v>
      </c>
      <c r="B40" s="79" t="s">
        <v>62</v>
      </c>
      <c r="C40" s="80">
        <f t="shared" ca="1" si="0"/>
        <v>0</v>
      </c>
      <c r="D40" s="81">
        <f t="shared" ca="1" si="23"/>
        <v>0</v>
      </c>
      <c r="E40" s="82">
        <f ca="1">IFERROR(__xludf.DUMMYFUNCTION("IMPORTRANGE(""https://docs.google.com/spreadsheets/d/1MeEWN-I1oV_STSDYn1IFDPWt_1FKiwhDph83XaGc0o0/edit?usp=sharing"",""งบพรบ!ED40"")"),0)</f>
        <v>0</v>
      </c>
      <c r="F40" s="82">
        <f ca="1">IFERROR(__xludf.DUMMYFUNCTION("IMPORTRANGE(""https://docs.google.com/spreadsheets/d/1MeEWN-I1oV_STSDYn1IFDPWt_1FKiwhDph83XaGc0o0/edit?usp=sharing"",""งบพรบ!EE40"")"),0)</f>
        <v>0</v>
      </c>
      <c r="G40" s="82">
        <f ca="1">IFERROR(__xludf.DUMMYFUNCTION("IMPORTRANGE(""https://docs.google.com/spreadsheets/d/1MeEWN-I1oV_STSDYn1IFDPWt_1FKiwhDph83XaGc0o0/edit?usp=sharing"",""งบพรบ!EF40"")"),0)</f>
        <v>0</v>
      </c>
      <c r="H40" s="82">
        <f ca="1">IFERROR(__xludf.DUMMYFUNCTION("IMPORTRANGE(""https://docs.google.com/spreadsheets/d/1MeEWN-I1oV_STSDYn1IFDPWt_1FKiwhDph83XaGc0o0/edit?usp=sharing"",""งบพรบ!EH40"")"),0)</f>
        <v>0</v>
      </c>
      <c r="I40" s="82">
        <f ca="1">IFERROR(__xludf.DUMMYFUNCTION("IMPORTRANGE(""https://docs.google.com/spreadsheets/d/1MeEWN-I1oV_STSDYn1IFDPWt_1FKiwhDph83XaGc0o0/edit?usp=sharing"",""งบพรบ!EI40"")"),0)</f>
        <v>0</v>
      </c>
      <c r="J40" s="82">
        <f t="shared" ca="1" si="3"/>
        <v>0</v>
      </c>
      <c r="K40" s="83">
        <f t="shared" ca="1" si="4"/>
        <v>0</v>
      </c>
      <c r="L40" s="82">
        <f ca="1">IFERROR(__xludf.DUMMYFUNCTION("IMPORTRANGE(""https://docs.google.com/spreadsheets/d/1MeEWN-I1oV_STSDYn1IFDPWt_1FKiwhDph83XaGc0o0/edit?usp=sharing"",""งบพรบ!EJ40"")"),0)</f>
        <v>0</v>
      </c>
      <c r="M40" s="84">
        <f t="shared" ca="1" si="5"/>
        <v>0</v>
      </c>
      <c r="N40" s="84">
        <f t="shared" ca="1" si="6"/>
        <v>0</v>
      </c>
      <c r="O40" s="85">
        <f ca="1">IFERROR(__xludf.DUMMYFUNCTION("IMPORTRANGE(""https://docs.google.com/spreadsheets/d/1MeEWN-I1oV_STSDYn1IFDPWt_1FKiwhDph83XaGc0o0/edit?usp=sharing"",""งบพรบ!EK40"")"),0)</f>
        <v>0</v>
      </c>
      <c r="P40" s="85">
        <f t="shared" ca="1" si="18"/>
        <v>0</v>
      </c>
      <c r="Q40" s="84">
        <f t="shared" ca="1" si="8"/>
        <v>0</v>
      </c>
      <c r="R40" s="86">
        <f ca="1">IFERROR(__xludf.DUMMYFUNCTION("IMPORTRANGE(""https://docs.google.com/spreadsheets/d/1uMKqWwuNQ-TCKboGA3Bb1qXb5uj2-faACNUINCz8PN4/edit?usp=sharing"",""มุกดาหาร!I325"")"),0)</f>
        <v>0</v>
      </c>
      <c r="S40" s="86">
        <f ca="1">IFERROR(__xludf.DUMMYFUNCTION("IMPORTRANGE(""https://docs.google.com/spreadsheets/d/1uMKqWwuNQ-TCKboGA3Bb1qXb5uj2-faACNUINCz8PN4/edit?usp=sharing"",""มุกดาหาร!J325"")"),0)</f>
        <v>0</v>
      </c>
      <c r="T40" s="87">
        <f t="shared" ca="1" si="16"/>
        <v>0</v>
      </c>
    </row>
    <row r="41" spans="1:20" ht="21" customHeight="1" x14ac:dyDescent="0.2">
      <c r="A41" s="78">
        <v>10</v>
      </c>
      <c r="B41" s="79" t="s">
        <v>63</v>
      </c>
      <c r="C41" s="80">
        <f t="shared" ca="1" si="0"/>
        <v>0</v>
      </c>
      <c r="D41" s="81">
        <f t="shared" ca="1" si="23"/>
        <v>0</v>
      </c>
      <c r="E41" s="82">
        <f ca="1">IFERROR(__xludf.DUMMYFUNCTION("IMPORTRANGE(""https://docs.google.com/spreadsheets/d/1MeEWN-I1oV_STSDYn1IFDPWt_1FKiwhDph83XaGc0o0/edit?usp=sharing"",""งบพรบ!ED41"")"),0)</f>
        <v>0</v>
      </c>
      <c r="F41" s="82">
        <f ca="1">IFERROR(__xludf.DUMMYFUNCTION("IMPORTRANGE(""https://docs.google.com/spreadsheets/d/1MeEWN-I1oV_STSDYn1IFDPWt_1FKiwhDph83XaGc0o0/edit?usp=sharing"",""งบพรบ!EE41"")"),0)</f>
        <v>0</v>
      </c>
      <c r="G41" s="82">
        <f ca="1">IFERROR(__xludf.DUMMYFUNCTION("IMPORTRANGE(""https://docs.google.com/spreadsheets/d/1MeEWN-I1oV_STSDYn1IFDPWt_1FKiwhDph83XaGc0o0/edit?usp=sharing"",""งบพรบ!EF41"")"),0)</f>
        <v>0</v>
      </c>
      <c r="H41" s="82">
        <f ca="1">IFERROR(__xludf.DUMMYFUNCTION("IMPORTRANGE(""https://docs.google.com/spreadsheets/d/1MeEWN-I1oV_STSDYn1IFDPWt_1FKiwhDph83XaGc0o0/edit?usp=sharing"",""งบพรบ!EH41"")"),0)</f>
        <v>0</v>
      </c>
      <c r="I41" s="82">
        <f ca="1">IFERROR(__xludf.DUMMYFUNCTION("IMPORTRANGE(""https://docs.google.com/spreadsheets/d/1MeEWN-I1oV_STSDYn1IFDPWt_1FKiwhDph83XaGc0o0/edit?usp=sharing"",""งบพรบ!EI41"")"),0)</f>
        <v>0</v>
      </c>
      <c r="J41" s="82">
        <f t="shared" ca="1" si="3"/>
        <v>0</v>
      </c>
      <c r="K41" s="83">
        <f t="shared" ca="1" si="4"/>
        <v>0</v>
      </c>
      <c r="L41" s="82">
        <f ca="1">IFERROR(__xludf.DUMMYFUNCTION("IMPORTRANGE(""https://docs.google.com/spreadsheets/d/1MeEWN-I1oV_STSDYn1IFDPWt_1FKiwhDph83XaGc0o0/edit?usp=sharing"",""งบพรบ!EJ41"")"),0)</f>
        <v>0</v>
      </c>
      <c r="M41" s="84">
        <f t="shared" ca="1" si="5"/>
        <v>0</v>
      </c>
      <c r="N41" s="84">
        <f t="shared" ca="1" si="6"/>
        <v>0</v>
      </c>
      <c r="O41" s="85">
        <f ca="1">IFERROR(__xludf.DUMMYFUNCTION("IMPORTRANGE(""https://docs.google.com/spreadsheets/d/1MeEWN-I1oV_STSDYn1IFDPWt_1FKiwhDph83XaGc0o0/edit?usp=sharing"",""งบพรบ!EK41"")"),0)</f>
        <v>0</v>
      </c>
      <c r="P41" s="85">
        <f t="shared" ca="1" si="18"/>
        <v>0</v>
      </c>
      <c r="Q41" s="84">
        <f t="shared" ca="1" si="8"/>
        <v>0</v>
      </c>
      <c r="R41" s="86">
        <f ca="1">IFERROR(__xludf.DUMMYFUNCTION("IMPORTRANGE(""https://docs.google.com/spreadsheets/d/1oKaccgDdQABndOzGr688Dbfxb_V3YcF67VqEPBtdzsc/edit?usp=sharing"",""ยโสธร!I325"")"),0)</f>
        <v>0</v>
      </c>
      <c r="S41" s="86">
        <f ca="1">IFERROR(__xludf.DUMMYFUNCTION("IMPORTRANGE(""https://docs.google.com/spreadsheets/d/1oKaccgDdQABndOzGr688Dbfxb_V3YcF67VqEPBtdzsc/edit?usp=sharing"",""ยโสธร!J325"")"),0)</f>
        <v>0</v>
      </c>
      <c r="T41" s="87">
        <f t="shared" ca="1" si="16"/>
        <v>0</v>
      </c>
    </row>
    <row r="42" spans="1:20" ht="21" customHeight="1" x14ac:dyDescent="0.2">
      <c r="A42" s="78">
        <v>11</v>
      </c>
      <c r="B42" s="79" t="s">
        <v>64</v>
      </c>
      <c r="C42" s="80">
        <f t="shared" ca="1" si="0"/>
        <v>0</v>
      </c>
      <c r="D42" s="81">
        <f t="shared" ca="1" si="23"/>
        <v>0</v>
      </c>
      <c r="E42" s="82">
        <f ca="1">IFERROR(__xludf.DUMMYFUNCTION("IMPORTRANGE(""https://docs.google.com/spreadsheets/d/1MeEWN-I1oV_STSDYn1IFDPWt_1FKiwhDph83XaGc0o0/edit?usp=sharing"",""งบพรบ!ED42"")"),0)</f>
        <v>0</v>
      </c>
      <c r="F42" s="82">
        <f ca="1">IFERROR(__xludf.DUMMYFUNCTION("IMPORTRANGE(""https://docs.google.com/spreadsheets/d/1MeEWN-I1oV_STSDYn1IFDPWt_1FKiwhDph83XaGc0o0/edit?usp=sharing"",""งบพรบ!EE42"")"),0)</f>
        <v>0</v>
      </c>
      <c r="G42" s="82">
        <f ca="1">IFERROR(__xludf.DUMMYFUNCTION("IMPORTRANGE(""https://docs.google.com/spreadsheets/d/1MeEWN-I1oV_STSDYn1IFDPWt_1FKiwhDph83XaGc0o0/edit?usp=sharing"",""งบพรบ!EF42"")"),0)</f>
        <v>0</v>
      </c>
      <c r="H42" s="82">
        <f ca="1">IFERROR(__xludf.DUMMYFUNCTION("IMPORTRANGE(""https://docs.google.com/spreadsheets/d/1MeEWN-I1oV_STSDYn1IFDPWt_1FKiwhDph83XaGc0o0/edit?usp=sharing"",""งบพรบ!EH42"")"),0)</f>
        <v>0</v>
      </c>
      <c r="I42" s="82">
        <f ca="1">IFERROR(__xludf.DUMMYFUNCTION("IMPORTRANGE(""https://docs.google.com/spreadsheets/d/1MeEWN-I1oV_STSDYn1IFDPWt_1FKiwhDph83XaGc0o0/edit?usp=sharing"",""งบพรบ!EI42"")"),0)</f>
        <v>0</v>
      </c>
      <c r="J42" s="82">
        <f t="shared" ca="1" si="3"/>
        <v>0</v>
      </c>
      <c r="K42" s="83">
        <f t="shared" ca="1" si="4"/>
        <v>0</v>
      </c>
      <c r="L42" s="82">
        <f ca="1">IFERROR(__xludf.DUMMYFUNCTION("IMPORTRANGE(""https://docs.google.com/spreadsheets/d/1MeEWN-I1oV_STSDYn1IFDPWt_1FKiwhDph83XaGc0o0/edit?usp=sharing"",""งบพรบ!EJ42"")"),0)</f>
        <v>0</v>
      </c>
      <c r="M42" s="84">
        <f t="shared" ca="1" si="5"/>
        <v>0</v>
      </c>
      <c r="N42" s="84">
        <f t="shared" ca="1" si="6"/>
        <v>0</v>
      </c>
      <c r="O42" s="85">
        <f ca="1">IFERROR(__xludf.DUMMYFUNCTION("IMPORTRANGE(""https://docs.google.com/spreadsheets/d/1MeEWN-I1oV_STSDYn1IFDPWt_1FKiwhDph83XaGc0o0/edit?usp=sharing"",""งบพรบ!EK42"")"),0)</f>
        <v>0</v>
      </c>
      <c r="P42" s="85">
        <f t="shared" ca="1" si="18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IFERROR(__xludf.DUMMYFUNCTION("IMPORTRANGE(""https://docs.google.com/spreadsheets/d/1BRgc8xKpxZ0PX-gauieMVkV_IOxKSotf0yW8MabGprQ/edit?usp=sharing"",""ร้อยเอ็ด!I325"")"),0)</f>
        <v>0</v>
      </c>
      <c r="S42" s="86">
        <f ca="1">IFERROR(__xludf.DUMMYFUNCTION("IMPORTRANGE(""https://docs.google.com/spreadsheets/d/1BRgc8xKpxZ0PX-gauieMVkV_IOxKSotf0yW8MabGprQ/edit?usp=sharing"",""ร้อยเอ็ด!J325"")"),0)</f>
        <v>0</v>
      </c>
      <c r="T42" s="87">
        <f t="shared" ca="1" si="16"/>
        <v>0</v>
      </c>
    </row>
    <row r="43" spans="1:20" ht="21" customHeight="1" x14ac:dyDescent="0.2">
      <c r="A43" s="78">
        <v>12</v>
      </c>
      <c r="B43" s="79" t="s">
        <v>65</v>
      </c>
      <c r="C43" s="80">
        <f t="shared" ca="1" si="0"/>
        <v>0</v>
      </c>
      <c r="D43" s="81">
        <f t="shared" ca="1" si="23"/>
        <v>0</v>
      </c>
      <c r="E43" s="82">
        <f ca="1">IFERROR(__xludf.DUMMYFUNCTION("IMPORTRANGE(""https://docs.google.com/spreadsheets/d/1MeEWN-I1oV_STSDYn1IFDPWt_1FKiwhDph83XaGc0o0/edit?usp=sharing"",""งบพรบ!ED43"")"),0)</f>
        <v>0</v>
      </c>
      <c r="F43" s="82">
        <f ca="1">IFERROR(__xludf.DUMMYFUNCTION("IMPORTRANGE(""https://docs.google.com/spreadsheets/d/1MeEWN-I1oV_STSDYn1IFDPWt_1FKiwhDph83XaGc0o0/edit?usp=sharing"",""งบพรบ!EE43"")"),0)</f>
        <v>0</v>
      </c>
      <c r="G43" s="82">
        <f ca="1">IFERROR(__xludf.DUMMYFUNCTION("IMPORTRANGE(""https://docs.google.com/spreadsheets/d/1MeEWN-I1oV_STSDYn1IFDPWt_1FKiwhDph83XaGc0o0/edit?usp=sharing"",""งบพรบ!EF43"")"),0)</f>
        <v>0</v>
      </c>
      <c r="H43" s="82">
        <f ca="1">IFERROR(__xludf.DUMMYFUNCTION("IMPORTRANGE(""https://docs.google.com/spreadsheets/d/1MeEWN-I1oV_STSDYn1IFDPWt_1FKiwhDph83XaGc0o0/edit?usp=sharing"",""งบพรบ!EH43"")"),0)</f>
        <v>0</v>
      </c>
      <c r="I43" s="82">
        <f ca="1">IFERROR(__xludf.DUMMYFUNCTION("IMPORTRANGE(""https://docs.google.com/spreadsheets/d/1MeEWN-I1oV_STSDYn1IFDPWt_1FKiwhDph83XaGc0o0/edit?usp=sharing"",""งบพรบ!EI43"")"),0)</f>
        <v>0</v>
      </c>
      <c r="J43" s="82">
        <f t="shared" ca="1" si="3"/>
        <v>0</v>
      </c>
      <c r="K43" s="83">
        <f t="shared" ca="1" si="4"/>
        <v>0</v>
      </c>
      <c r="L43" s="82">
        <f ca="1">IFERROR(__xludf.DUMMYFUNCTION("IMPORTRANGE(""https://docs.google.com/spreadsheets/d/1MeEWN-I1oV_STSDYn1IFDPWt_1FKiwhDph83XaGc0o0/edit?usp=sharing"",""งบพรบ!EJ43"")"),0)</f>
        <v>0</v>
      </c>
      <c r="M43" s="84">
        <f t="shared" ca="1" si="5"/>
        <v>0</v>
      </c>
      <c r="N43" s="84">
        <f t="shared" ca="1" si="6"/>
        <v>0</v>
      </c>
      <c r="O43" s="85">
        <f ca="1">IFERROR(__xludf.DUMMYFUNCTION("IMPORTRANGE(""https://docs.google.com/spreadsheets/d/1MeEWN-I1oV_STSDYn1IFDPWt_1FKiwhDph83XaGc0o0/edit?usp=sharing"",""งบพรบ!EK43"")"),0)</f>
        <v>0</v>
      </c>
      <c r="P43" s="85">
        <f t="shared" ca="1" si="18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IFERROR(__xludf.DUMMYFUNCTION("IMPORTRANGE(""https://docs.google.com/spreadsheets/d/1IdolZc-dfdgMwAm_KZxYJl1sUOcIgnbGQzbWOlddedo/edit?usp=sharing"",""เลย!I325"")"),0)</f>
        <v>0</v>
      </c>
      <c r="S43" s="86">
        <f ca="1">IFERROR(__xludf.DUMMYFUNCTION("IMPORTRANGE(""https://docs.google.com/spreadsheets/d/1IdolZc-dfdgMwAm_KZxYJl1sUOcIgnbGQzbWOlddedo/edit?usp=sharing"",""เลย!J325"")"),0)</f>
        <v>0</v>
      </c>
      <c r="T43" s="87">
        <f t="shared" ca="1" si="16"/>
        <v>0</v>
      </c>
    </row>
    <row r="44" spans="1:20" ht="21" customHeight="1" x14ac:dyDescent="0.2">
      <c r="A44" s="78">
        <v>13</v>
      </c>
      <c r="B44" s="79" t="s">
        <v>66</v>
      </c>
      <c r="C44" s="80">
        <f t="shared" ca="1" si="0"/>
        <v>0</v>
      </c>
      <c r="D44" s="81">
        <f t="shared" ca="1" si="23"/>
        <v>0</v>
      </c>
      <c r="E44" s="82">
        <f ca="1">IFERROR(__xludf.DUMMYFUNCTION("IMPORTRANGE(""https://docs.google.com/spreadsheets/d/1MeEWN-I1oV_STSDYn1IFDPWt_1FKiwhDph83XaGc0o0/edit?usp=sharing"",""งบพรบ!ED44"")"),0)</f>
        <v>0</v>
      </c>
      <c r="F44" s="82">
        <f ca="1">IFERROR(__xludf.DUMMYFUNCTION("IMPORTRANGE(""https://docs.google.com/spreadsheets/d/1MeEWN-I1oV_STSDYn1IFDPWt_1FKiwhDph83XaGc0o0/edit?usp=sharing"",""งบพรบ!EE44"")"),0)</f>
        <v>0</v>
      </c>
      <c r="G44" s="82">
        <f ca="1">IFERROR(__xludf.DUMMYFUNCTION("IMPORTRANGE(""https://docs.google.com/spreadsheets/d/1MeEWN-I1oV_STSDYn1IFDPWt_1FKiwhDph83XaGc0o0/edit?usp=sharing"",""งบพรบ!EF44"")"),0)</f>
        <v>0</v>
      </c>
      <c r="H44" s="82">
        <f ca="1">IFERROR(__xludf.DUMMYFUNCTION("IMPORTRANGE(""https://docs.google.com/spreadsheets/d/1MeEWN-I1oV_STSDYn1IFDPWt_1FKiwhDph83XaGc0o0/edit?usp=sharing"",""งบพรบ!EH44"")"),0)</f>
        <v>0</v>
      </c>
      <c r="I44" s="82">
        <f ca="1">IFERROR(__xludf.DUMMYFUNCTION("IMPORTRANGE(""https://docs.google.com/spreadsheets/d/1MeEWN-I1oV_STSDYn1IFDPWt_1FKiwhDph83XaGc0o0/edit?usp=sharing"",""งบพรบ!EI44"")"),0)</f>
        <v>0</v>
      </c>
      <c r="J44" s="82">
        <f t="shared" ca="1" si="3"/>
        <v>0</v>
      </c>
      <c r="K44" s="83">
        <f t="shared" ca="1" si="4"/>
        <v>0</v>
      </c>
      <c r="L44" s="82">
        <f ca="1">IFERROR(__xludf.DUMMYFUNCTION("IMPORTRANGE(""https://docs.google.com/spreadsheets/d/1MeEWN-I1oV_STSDYn1IFDPWt_1FKiwhDph83XaGc0o0/edit?usp=sharing"",""งบพรบ!EJ44"")"),0)</f>
        <v>0</v>
      </c>
      <c r="M44" s="84">
        <f t="shared" ca="1" si="5"/>
        <v>0</v>
      </c>
      <c r="N44" s="84">
        <f t="shared" ca="1" si="6"/>
        <v>0</v>
      </c>
      <c r="O44" s="85">
        <f ca="1">IFERROR(__xludf.DUMMYFUNCTION("IMPORTRANGE(""https://docs.google.com/spreadsheets/d/1MeEWN-I1oV_STSDYn1IFDPWt_1FKiwhDph83XaGc0o0/edit?usp=sharing"",""งบพรบ!EK44"")"),0)</f>
        <v>0</v>
      </c>
      <c r="P44" s="85">
        <f t="shared" ca="1" si="18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IFERROR(__xludf.DUMMYFUNCTION("IMPORTRANGE(""https://docs.google.com/spreadsheets/d/1tZ0nmtGuIRCaGAMXHlQU8EpR9LOAJvyKfc4f7EFmE34/edit?usp=sharing"",""ศรีสะเกษ!I325"")"),0)</f>
        <v>0</v>
      </c>
      <c r="S44" s="86">
        <f ca="1">IFERROR(__xludf.DUMMYFUNCTION("IMPORTRANGE(""https://docs.google.com/spreadsheets/d/1tZ0nmtGuIRCaGAMXHlQU8EpR9LOAJvyKfc4f7EFmE34/edit?usp=sharing"",""ศรีสะเกษ!J325"")"),0)</f>
        <v>0</v>
      </c>
      <c r="T44" s="87">
        <f t="shared" ca="1" si="16"/>
        <v>0</v>
      </c>
    </row>
    <row r="45" spans="1:20" ht="21" customHeight="1" x14ac:dyDescent="0.2">
      <c r="A45" s="78">
        <v>14</v>
      </c>
      <c r="B45" s="79" t="s">
        <v>67</v>
      </c>
      <c r="C45" s="80">
        <f t="shared" ca="1" si="0"/>
        <v>0</v>
      </c>
      <c r="D45" s="81">
        <f t="shared" ca="1" si="23"/>
        <v>0</v>
      </c>
      <c r="E45" s="82">
        <f ca="1">IFERROR(__xludf.DUMMYFUNCTION("IMPORTRANGE(""https://docs.google.com/spreadsheets/d/1MeEWN-I1oV_STSDYn1IFDPWt_1FKiwhDph83XaGc0o0/edit?usp=sharing"",""งบพรบ!ED45"")"),0)</f>
        <v>0</v>
      </c>
      <c r="F45" s="82">
        <f ca="1">IFERROR(__xludf.DUMMYFUNCTION("IMPORTRANGE(""https://docs.google.com/spreadsheets/d/1MeEWN-I1oV_STSDYn1IFDPWt_1FKiwhDph83XaGc0o0/edit?usp=sharing"",""งบพรบ!EE45"")"),0)</f>
        <v>0</v>
      </c>
      <c r="G45" s="82">
        <f ca="1">IFERROR(__xludf.DUMMYFUNCTION("IMPORTRANGE(""https://docs.google.com/spreadsheets/d/1MeEWN-I1oV_STSDYn1IFDPWt_1FKiwhDph83XaGc0o0/edit?usp=sharing"",""งบพรบ!EF45"")"),0)</f>
        <v>0</v>
      </c>
      <c r="H45" s="82">
        <f ca="1">IFERROR(__xludf.DUMMYFUNCTION("IMPORTRANGE(""https://docs.google.com/spreadsheets/d/1MeEWN-I1oV_STSDYn1IFDPWt_1FKiwhDph83XaGc0o0/edit?usp=sharing"",""งบพรบ!EH45"")"),0)</f>
        <v>0</v>
      </c>
      <c r="I45" s="82">
        <f ca="1">IFERROR(__xludf.DUMMYFUNCTION("IMPORTRANGE(""https://docs.google.com/spreadsheets/d/1MeEWN-I1oV_STSDYn1IFDPWt_1FKiwhDph83XaGc0o0/edit?usp=sharing"",""งบพรบ!EI45"")"),0)</f>
        <v>0</v>
      </c>
      <c r="J45" s="82">
        <f t="shared" ca="1" si="3"/>
        <v>0</v>
      </c>
      <c r="K45" s="83">
        <f t="shared" ca="1" si="4"/>
        <v>0</v>
      </c>
      <c r="L45" s="82">
        <f ca="1">IFERROR(__xludf.DUMMYFUNCTION("IMPORTRANGE(""https://docs.google.com/spreadsheets/d/1MeEWN-I1oV_STSDYn1IFDPWt_1FKiwhDph83XaGc0o0/edit?usp=sharing"",""งบพรบ!EJ45"")"),0)</f>
        <v>0</v>
      </c>
      <c r="M45" s="84">
        <f t="shared" ca="1" si="5"/>
        <v>0</v>
      </c>
      <c r="N45" s="84">
        <f t="shared" ca="1" si="6"/>
        <v>0</v>
      </c>
      <c r="O45" s="85">
        <f ca="1">IFERROR(__xludf.DUMMYFUNCTION("IMPORTRANGE(""https://docs.google.com/spreadsheets/d/1MeEWN-I1oV_STSDYn1IFDPWt_1FKiwhDph83XaGc0o0/edit?usp=sharing"",""งบพรบ!EK45"")"),0)</f>
        <v>0</v>
      </c>
      <c r="P45" s="85">
        <f t="shared" ca="1" si="18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IFERROR(__xludf.DUMMYFUNCTION("IMPORTRANGE(""https://docs.google.com/spreadsheets/d/1QC8psz9w0f9IVE9Xuc2FT_btkaOzZbbUSgYObpBuetM/edit?usp=sharing"",""สกลนคร!I325"")"),0)</f>
        <v>0</v>
      </c>
      <c r="S45" s="86">
        <f ca="1">IFERROR(__xludf.DUMMYFUNCTION("IMPORTRANGE(""https://docs.google.com/spreadsheets/d/1QC8psz9w0f9IVE9Xuc2FT_btkaOzZbbUSgYObpBuetM/edit?usp=sharing"",""สกลนคร!J325"")"),0)</f>
        <v>0</v>
      </c>
      <c r="T45" s="87">
        <f t="shared" ca="1" si="16"/>
        <v>0</v>
      </c>
    </row>
    <row r="46" spans="1:20" ht="21" customHeight="1" x14ac:dyDescent="0.2">
      <c r="A46" s="78">
        <v>15</v>
      </c>
      <c r="B46" s="79" t="s">
        <v>68</v>
      </c>
      <c r="C46" s="80">
        <f t="shared" ca="1" si="0"/>
        <v>0</v>
      </c>
      <c r="D46" s="81">
        <f t="shared" ca="1" si="23"/>
        <v>0</v>
      </c>
      <c r="E46" s="82">
        <f ca="1">IFERROR(__xludf.DUMMYFUNCTION("IMPORTRANGE(""https://docs.google.com/spreadsheets/d/1MeEWN-I1oV_STSDYn1IFDPWt_1FKiwhDph83XaGc0o0/edit?usp=sharing"",""งบพรบ!ED46"")"),0)</f>
        <v>0</v>
      </c>
      <c r="F46" s="82">
        <f ca="1">IFERROR(__xludf.DUMMYFUNCTION("IMPORTRANGE(""https://docs.google.com/spreadsheets/d/1MeEWN-I1oV_STSDYn1IFDPWt_1FKiwhDph83XaGc0o0/edit?usp=sharing"",""งบพรบ!EE46"")"),0)</f>
        <v>0</v>
      </c>
      <c r="G46" s="82">
        <f ca="1">IFERROR(__xludf.DUMMYFUNCTION("IMPORTRANGE(""https://docs.google.com/spreadsheets/d/1MeEWN-I1oV_STSDYn1IFDPWt_1FKiwhDph83XaGc0o0/edit?usp=sharing"",""งบพรบ!EF46"")"),0)</f>
        <v>0</v>
      </c>
      <c r="H46" s="82">
        <f ca="1">IFERROR(__xludf.DUMMYFUNCTION("IMPORTRANGE(""https://docs.google.com/spreadsheets/d/1MeEWN-I1oV_STSDYn1IFDPWt_1FKiwhDph83XaGc0o0/edit?usp=sharing"",""งบพรบ!EH46"")"),0)</f>
        <v>0</v>
      </c>
      <c r="I46" s="82">
        <f ca="1">IFERROR(__xludf.DUMMYFUNCTION("IMPORTRANGE(""https://docs.google.com/spreadsheets/d/1MeEWN-I1oV_STSDYn1IFDPWt_1FKiwhDph83XaGc0o0/edit?usp=sharing"",""งบพรบ!EI46"")"),0)</f>
        <v>0</v>
      </c>
      <c r="J46" s="82">
        <f t="shared" ca="1" si="3"/>
        <v>0</v>
      </c>
      <c r="K46" s="83">
        <f t="shared" ca="1" si="4"/>
        <v>0</v>
      </c>
      <c r="L46" s="82">
        <f ca="1">IFERROR(__xludf.DUMMYFUNCTION("IMPORTRANGE(""https://docs.google.com/spreadsheets/d/1MeEWN-I1oV_STSDYn1IFDPWt_1FKiwhDph83XaGc0o0/edit?usp=sharing"",""งบพรบ!EJ46"")"),0)</f>
        <v>0</v>
      </c>
      <c r="M46" s="84">
        <f t="shared" ca="1" si="5"/>
        <v>0</v>
      </c>
      <c r="N46" s="84">
        <f t="shared" ca="1" si="6"/>
        <v>0</v>
      </c>
      <c r="O46" s="85">
        <f ca="1">IFERROR(__xludf.DUMMYFUNCTION("IMPORTRANGE(""https://docs.google.com/spreadsheets/d/1MeEWN-I1oV_STSDYn1IFDPWt_1FKiwhDph83XaGc0o0/edit?usp=sharing"",""งบพรบ!EK46"")"),0)</f>
        <v>0</v>
      </c>
      <c r="P46" s="85">
        <f t="shared" ca="1" si="18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IFERROR(__xludf.DUMMYFUNCTION("IMPORTRANGE(""https://docs.google.com/spreadsheets/d/1wPdvRbu02d33MYVlbsCnyTiZpefEBs9NNktAnT1HZvw/edit?usp=sharing"",""สุรินทร์!I325"")"),0)</f>
        <v>0</v>
      </c>
      <c r="S46" s="86">
        <f ca="1">IFERROR(__xludf.DUMMYFUNCTION("IMPORTRANGE(""https://docs.google.com/spreadsheets/d/1wPdvRbu02d33MYVlbsCnyTiZpefEBs9NNktAnT1HZvw/edit?usp=sharing"",""สุรินทร์!J325"")"),0)</f>
        <v>0</v>
      </c>
      <c r="T46" s="87">
        <f t="shared" ca="1" si="16"/>
        <v>0</v>
      </c>
    </row>
    <row r="47" spans="1:20" ht="21" customHeight="1" x14ac:dyDescent="0.2">
      <c r="A47" s="78">
        <v>16</v>
      </c>
      <c r="B47" s="79" t="s">
        <v>69</v>
      </c>
      <c r="C47" s="80">
        <f t="shared" ca="1" si="0"/>
        <v>0</v>
      </c>
      <c r="D47" s="81">
        <f t="shared" ca="1" si="23"/>
        <v>0</v>
      </c>
      <c r="E47" s="82">
        <f ca="1">IFERROR(__xludf.DUMMYFUNCTION("IMPORTRANGE(""https://docs.google.com/spreadsheets/d/1MeEWN-I1oV_STSDYn1IFDPWt_1FKiwhDph83XaGc0o0/edit?usp=sharing"",""งบพรบ!ED47"")"),0)</f>
        <v>0</v>
      </c>
      <c r="F47" s="82">
        <f ca="1">IFERROR(__xludf.DUMMYFUNCTION("IMPORTRANGE(""https://docs.google.com/spreadsheets/d/1MeEWN-I1oV_STSDYn1IFDPWt_1FKiwhDph83XaGc0o0/edit?usp=sharing"",""งบพรบ!EE47"")"),0)</f>
        <v>0</v>
      </c>
      <c r="G47" s="82">
        <f ca="1">IFERROR(__xludf.DUMMYFUNCTION("IMPORTRANGE(""https://docs.google.com/spreadsheets/d/1MeEWN-I1oV_STSDYn1IFDPWt_1FKiwhDph83XaGc0o0/edit?usp=sharing"",""งบพรบ!EF47"")"),0)</f>
        <v>0</v>
      </c>
      <c r="H47" s="82">
        <f ca="1">IFERROR(__xludf.DUMMYFUNCTION("IMPORTRANGE(""https://docs.google.com/spreadsheets/d/1MeEWN-I1oV_STSDYn1IFDPWt_1FKiwhDph83XaGc0o0/edit?usp=sharing"",""งบพรบ!EH47"")"),0)</f>
        <v>0</v>
      </c>
      <c r="I47" s="82">
        <f ca="1">IFERROR(__xludf.DUMMYFUNCTION("IMPORTRANGE(""https://docs.google.com/spreadsheets/d/1MeEWN-I1oV_STSDYn1IFDPWt_1FKiwhDph83XaGc0o0/edit?usp=sharing"",""งบพรบ!EI47"")"),0)</f>
        <v>0</v>
      </c>
      <c r="J47" s="82">
        <f t="shared" ca="1" si="3"/>
        <v>0</v>
      </c>
      <c r="K47" s="83">
        <f t="shared" ca="1" si="4"/>
        <v>0</v>
      </c>
      <c r="L47" s="82">
        <f ca="1">IFERROR(__xludf.DUMMYFUNCTION("IMPORTRANGE(""https://docs.google.com/spreadsheets/d/1MeEWN-I1oV_STSDYn1IFDPWt_1FKiwhDph83XaGc0o0/edit?usp=sharing"",""งบพรบ!EJ47"")"),0)</f>
        <v>0</v>
      </c>
      <c r="M47" s="84">
        <f t="shared" ca="1" si="5"/>
        <v>0</v>
      </c>
      <c r="N47" s="84">
        <f t="shared" ca="1" si="6"/>
        <v>0</v>
      </c>
      <c r="O47" s="85">
        <f ca="1">IFERROR(__xludf.DUMMYFUNCTION("IMPORTRANGE(""https://docs.google.com/spreadsheets/d/1MeEWN-I1oV_STSDYn1IFDPWt_1FKiwhDph83XaGc0o0/edit?usp=sharing"",""งบพรบ!EK47"")"),0)</f>
        <v>0</v>
      </c>
      <c r="P47" s="85">
        <f t="shared" ca="1" si="18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IFERROR(__xludf.DUMMYFUNCTION("IMPORTRANGE(""https://docs.google.com/spreadsheets/d/1GVExpf-Exi_2gmuqTYH28fseTB9MoKPXWcXCbSt_YrM/edit?usp=sharing"",""หนองคาย!I325"")"),0)</f>
        <v>0</v>
      </c>
      <c r="S47" s="86">
        <f ca="1">IFERROR(__xludf.DUMMYFUNCTION("IMPORTRANGE(""https://docs.google.com/spreadsheets/d/1GVExpf-Exi_2gmuqTYH28fseTB9MoKPXWcXCbSt_YrM/edit?usp=sharing"",""หนองคาย!J325"")"),0)</f>
        <v>0</v>
      </c>
      <c r="T47" s="87">
        <f t="shared" ca="1" si="16"/>
        <v>0</v>
      </c>
    </row>
    <row r="48" spans="1:20" ht="21" customHeight="1" x14ac:dyDescent="0.2">
      <c r="A48" s="78">
        <v>17</v>
      </c>
      <c r="B48" s="79" t="s">
        <v>70</v>
      </c>
      <c r="C48" s="80">
        <f t="shared" ca="1" si="0"/>
        <v>0</v>
      </c>
      <c r="D48" s="81">
        <f t="shared" ca="1" si="23"/>
        <v>0</v>
      </c>
      <c r="E48" s="82">
        <f ca="1">IFERROR(__xludf.DUMMYFUNCTION("IMPORTRANGE(""https://docs.google.com/spreadsheets/d/1MeEWN-I1oV_STSDYn1IFDPWt_1FKiwhDph83XaGc0o0/edit?usp=sharing"",""งบพรบ!ED48"")"),0)</f>
        <v>0</v>
      </c>
      <c r="F48" s="82">
        <f ca="1">IFERROR(__xludf.DUMMYFUNCTION("IMPORTRANGE(""https://docs.google.com/spreadsheets/d/1MeEWN-I1oV_STSDYn1IFDPWt_1FKiwhDph83XaGc0o0/edit?usp=sharing"",""งบพรบ!EE48"")"),0)</f>
        <v>0</v>
      </c>
      <c r="G48" s="82">
        <f ca="1">IFERROR(__xludf.DUMMYFUNCTION("IMPORTRANGE(""https://docs.google.com/spreadsheets/d/1MeEWN-I1oV_STSDYn1IFDPWt_1FKiwhDph83XaGc0o0/edit?usp=sharing"",""งบพรบ!EF48"")"),0)</f>
        <v>0</v>
      </c>
      <c r="H48" s="82">
        <f ca="1">IFERROR(__xludf.DUMMYFUNCTION("IMPORTRANGE(""https://docs.google.com/spreadsheets/d/1MeEWN-I1oV_STSDYn1IFDPWt_1FKiwhDph83XaGc0o0/edit?usp=sharing"",""งบพรบ!EH48"")"),0)</f>
        <v>0</v>
      </c>
      <c r="I48" s="82">
        <f ca="1">IFERROR(__xludf.DUMMYFUNCTION("IMPORTRANGE(""https://docs.google.com/spreadsheets/d/1MeEWN-I1oV_STSDYn1IFDPWt_1FKiwhDph83XaGc0o0/edit?usp=sharing"",""งบพรบ!EI48"")"),0)</f>
        <v>0</v>
      </c>
      <c r="J48" s="82">
        <f t="shared" ca="1" si="3"/>
        <v>0</v>
      </c>
      <c r="K48" s="83">
        <f t="shared" ca="1" si="4"/>
        <v>0</v>
      </c>
      <c r="L48" s="82">
        <f ca="1">IFERROR(__xludf.DUMMYFUNCTION("IMPORTRANGE(""https://docs.google.com/spreadsheets/d/1MeEWN-I1oV_STSDYn1IFDPWt_1FKiwhDph83XaGc0o0/edit?usp=sharing"",""งบพรบ!EJ48"")"),0)</f>
        <v>0</v>
      </c>
      <c r="M48" s="84">
        <f t="shared" ca="1" si="5"/>
        <v>0</v>
      </c>
      <c r="N48" s="84">
        <f t="shared" ca="1" si="6"/>
        <v>0</v>
      </c>
      <c r="O48" s="85">
        <f ca="1">IFERROR(__xludf.DUMMYFUNCTION("IMPORTRANGE(""https://docs.google.com/spreadsheets/d/1MeEWN-I1oV_STSDYn1IFDPWt_1FKiwhDph83XaGc0o0/edit?usp=sharing"",""งบพรบ!EK48"")"),0)</f>
        <v>0</v>
      </c>
      <c r="P48" s="85">
        <f t="shared" ca="1" si="18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IFERROR(__xludf.DUMMYFUNCTION("IMPORTRANGE(""https://docs.google.com/spreadsheets/d/16UeMz0UgOB5BZcoxP75eYGcLFtGYRn9GoesD4OX9m5U/edit?usp=sharing"",""หนองบัวลำภู!I325"")"),0)</f>
        <v>0</v>
      </c>
      <c r="S48" s="86">
        <f ca="1">IFERROR(__xludf.DUMMYFUNCTION("IMPORTRANGE(""https://docs.google.com/spreadsheets/d/16UeMz0UgOB5BZcoxP75eYGcLFtGYRn9GoesD4OX9m5U/edit?usp=sharing"",""หนองบัวลำภู!J325"")"),0)</f>
        <v>0</v>
      </c>
      <c r="T48" s="87">
        <f t="shared" ca="1" si="16"/>
        <v>0</v>
      </c>
    </row>
    <row r="49" spans="1:20" ht="21" customHeight="1" x14ac:dyDescent="0.2">
      <c r="A49" s="78">
        <v>18</v>
      </c>
      <c r="B49" s="79" t="s">
        <v>71</v>
      </c>
      <c r="C49" s="80">
        <f t="shared" ca="1" si="0"/>
        <v>0</v>
      </c>
      <c r="D49" s="81">
        <f t="shared" ca="1" si="23"/>
        <v>0</v>
      </c>
      <c r="E49" s="82">
        <f ca="1">IFERROR(__xludf.DUMMYFUNCTION("IMPORTRANGE(""https://docs.google.com/spreadsheets/d/1MeEWN-I1oV_STSDYn1IFDPWt_1FKiwhDph83XaGc0o0/edit?usp=sharing"",""งบพรบ!ED49"")"),0)</f>
        <v>0</v>
      </c>
      <c r="F49" s="82">
        <f ca="1">IFERROR(__xludf.DUMMYFUNCTION("IMPORTRANGE(""https://docs.google.com/spreadsheets/d/1MeEWN-I1oV_STSDYn1IFDPWt_1FKiwhDph83XaGc0o0/edit?usp=sharing"",""งบพรบ!EE49"")"),0)</f>
        <v>0</v>
      </c>
      <c r="G49" s="82">
        <f ca="1">IFERROR(__xludf.DUMMYFUNCTION("IMPORTRANGE(""https://docs.google.com/spreadsheets/d/1MeEWN-I1oV_STSDYn1IFDPWt_1FKiwhDph83XaGc0o0/edit?usp=sharing"",""งบพรบ!EF49"")"),0)</f>
        <v>0</v>
      </c>
      <c r="H49" s="82">
        <f ca="1">IFERROR(__xludf.DUMMYFUNCTION("IMPORTRANGE(""https://docs.google.com/spreadsheets/d/1MeEWN-I1oV_STSDYn1IFDPWt_1FKiwhDph83XaGc0o0/edit?usp=sharing"",""งบพรบ!EH49"")"),0)</f>
        <v>0</v>
      </c>
      <c r="I49" s="82">
        <f ca="1">IFERROR(__xludf.DUMMYFUNCTION("IMPORTRANGE(""https://docs.google.com/spreadsheets/d/1MeEWN-I1oV_STSDYn1IFDPWt_1FKiwhDph83XaGc0o0/edit?usp=sharing"",""งบพรบ!EI49"")"),0)</f>
        <v>0</v>
      </c>
      <c r="J49" s="82">
        <f t="shared" ca="1" si="3"/>
        <v>0</v>
      </c>
      <c r="K49" s="83">
        <f t="shared" ca="1" si="4"/>
        <v>0</v>
      </c>
      <c r="L49" s="82">
        <f ca="1">IFERROR(__xludf.DUMMYFUNCTION("IMPORTRANGE(""https://docs.google.com/spreadsheets/d/1MeEWN-I1oV_STSDYn1IFDPWt_1FKiwhDph83XaGc0o0/edit?usp=sharing"",""งบพรบ!EJ49"")"),0)</f>
        <v>0</v>
      </c>
      <c r="M49" s="84">
        <f t="shared" ca="1" si="5"/>
        <v>0</v>
      </c>
      <c r="N49" s="84">
        <f t="shared" ca="1" si="6"/>
        <v>0</v>
      </c>
      <c r="O49" s="85">
        <f ca="1">IFERROR(__xludf.DUMMYFUNCTION("IMPORTRANGE(""https://docs.google.com/spreadsheets/d/1MeEWN-I1oV_STSDYn1IFDPWt_1FKiwhDph83XaGc0o0/edit?usp=sharing"",""งบพรบ!EK49"")"),0)</f>
        <v>0</v>
      </c>
      <c r="P49" s="85">
        <f t="shared" ca="1" si="18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IFERROR(__xludf.DUMMYFUNCTION("IMPORTRANGE(""https://docs.google.com/spreadsheets/d/1uUP8Zo1-qaJLuIkRU0qlwLSE3DHkbdrrj2JGJiWBQZE/edit?usp=sharing"",""อำนาจเจริญ!I325"")"),0)</f>
        <v>0</v>
      </c>
      <c r="S49" s="86">
        <f ca="1">IFERROR(__xludf.DUMMYFUNCTION("IMPORTRANGE(""https://docs.google.com/spreadsheets/d/1uUP8Zo1-qaJLuIkRU0qlwLSE3DHkbdrrj2JGJiWBQZE/edit?usp=sharing"",""อำนาจเจริญ!J325"")"),0)</f>
        <v>0</v>
      </c>
      <c r="T49" s="87">
        <f t="shared" ca="1" si="16"/>
        <v>0</v>
      </c>
    </row>
    <row r="50" spans="1:20" ht="21" customHeight="1" x14ac:dyDescent="0.2">
      <c r="A50" s="78">
        <v>19</v>
      </c>
      <c r="B50" s="79" t="s">
        <v>72</v>
      </c>
      <c r="C50" s="80">
        <f t="shared" ca="1" si="0"/>
        <v>0</v>
      </c>
      <c r="D50" s="81">
        <f t="shared" ca="1" si="23"/>
        <v>0</v>
      </c>
      <c r="E50" s="82">
        <f ca="1">IFERROR(__xludf.DUMMYFUNCTION("IMPORTRANGE(""https://docs.google.com/spreadsheets/d/1MeEWN-I1oV_STSDYn1IFDPWt_1FKiwhDph83XaGc0o0/edit?usp=sharing"",""งบพรบ!ED50"")"),0)</f>
        <v>0</v>
      </c>
      <c r="F50" s="82">
        <f ca="1">IFERROR(__xludf.DUMMYFUNCTION("IMPORTRANGE(""https://docs.google.com/spreadsheets/d/1MeEWN-I1oV_STSDYn1IFDPWt_1FKiwhDph83XaGc0o0/edit?usp=sharing"",""งบพรบ!EE50"")"),0)</f>
        <v>0</v>
      </c>
      <c r="G50" s="82">
        <f ca="1">IFERROR(__xludf.DUMMYFUNCTION("IMPORTRANGE(""https://docs.google.com/spreadsheets/d/1MeEWN-I1oV_STSDYn1IFDPWt_1FKiwhDph83XaGc0o0/edit?usp=sharing"",""งบพรบ!EF50"")"),0)</f>
        <v>0</v>
      </c>
      <c r="H50" s="82">
        <f ca="1">IFERROR(__xludf.DUMMYFUNCTION("IMPORTRANGE(""https://docs.google.com/spreadsheets/d/1MeEWN-I1oV_STSDYn1IFDPWt_1FKiwhDph83XaGc0o0/edit?usp=sharing"",""งบพรบ!EH50"")"),0)</f>
        <v>0</v>
      </c>
      <c r="I50" s="82">
        <f ca="1">IFERROR(__xludf.DUMMYFUNCTION("IMPORTRANGE(""https://docs.google.com/spreadsheets/d/1MeEWN-I1oV_STSDYn1IFDPWt_1FKiwhDph83XaGc0o0/edit?usp=sharing"",""งบพรบ!EI50"")"),0)</f>
        <v>0</v>
      </c>
      <c r="J50" s="82">
        <f t="shared" ca="1" si="3"/>
        <v>0</v>
      </c>
      <c r="K50" s="83">
        <f t="shared" ca="1" si="4"/>
        <v>0</v>
      </c>
      <c r="L50" s="82">
        <f ca="1">IFERROR(__xludf.DUMMYFUNCTION("IMPORTRANGE(""https://docs.google.com/spreadsheets/d/1MeEWN-I1oV_STSDYn1IFDPWt_1FKiwhDph83XaGc0o0/edit?usp=sharing"",""งบพรบ!EJ50"")"),0)</f>
        <v>0</v>
      </c>
      <c r="M50" s="84">
        <f t="shared" ca="1" si="5"/>
        <v>0</v>
      </c>
      <c r="N50" s="84">
        <f t="shared" ca="1" si="6"/>
        <v>0</v>
      </c>
      <c r="O50" s="85">
        <f ca="1">IFERROR(__xludf.DUMMYFUNCTION("IMPORTRANGE(""https://docs.google.com/spreadsheets/d/1MeEWN-I1oV_STSDYn1IFDPWt_1FKiwhDph83XaGc0o0/edit?usp=sharing"",""งบพรบ!EK50"")"),0)</f>
        <v>0</v>
      </c>
      <c r="P50" s="85">
        <f t="shared" ca="1" si="18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IFERROR(__xludf.DUMMYFUNCTION("IMPORTRANGE(""https://docs.google.com/spreadsheets/d/1hb_taSOHanzRjqfzWPiFo8yiT83VV1L7vvUCLhOiHKc/edit?usp=sharing"",""อุดรธานี!I325"")"),0)</f>
        <v>0</v>
      </c>
      <c r="S50" s="86">
        <f ca="1">IFERROR(__xludf.DUMMYFUNCTION("IMPORTRANGE(""https://docs.google.com/spreadsheets/d/1hb_taSOHanzRjqfzWPiFo8yiT83VV1L7vvUCLhOiHKc/edit?usp=sharing"",""อุดรธานี!J325"")"),0)</f>
        <v>0</v>
      </c>
      <c r="T50" s="87">
        <f t="shared" ca="1" si="16"/>
        <v>0</v>
      </c>
    </row>
    <row r="51" spans="1:20" ht="21" customHeight="1" x14ac:dyDescent="0.2">
      <c r="A51" s="89">
        <v>20</v>
      </c>
      <c r="B51" s="90" t="s">
        <v>73</v>
      </c>
      <c r="C51" s="91">
        <f t="shared" ca="1" si="0"/>
        <v>0</v>
      </c>
      <c r="D51" s="92">
        <f t="shared" ca="1" si="23"/>
        <v>0</v>
      </c>
      <c r="E51" s="93">
        <f ca="1">IFERROR(__xludf.DUMMYFUNCTION("IMPORTRANGE(""https://docs.google.com/spreadsheets/d/1MeEWN-I1oV_STSDYn1IFDPWt_1FKiwhDph83XaGc0o0/edit?usp=sharing"",""งบพรบ!ED51"")"),0)</f>
        <v>0</v>
      </c>
      <c r="F51" s="93">
        <f ca="1">IFERROR(__xludf.DUMMYFUNCTION("IMPORTRANGE(""https://docs.google.com/spreadsheets/d/1MeEWN-I1oV_STSDYn1IFDPWt_1FKiwhDph83XaGc0o0/edit?usp=sharing"",""งบพรบ!EE51"")"),0)</f>
        <v>0</v>
      </c>
      <c r="G51" s="93">
        <f ca="1">IFERROR(__xludf.DUMMYFUNCTION("IMPORTRANGE(""https://docs.google.com/spreadsheets/d/1MeEWN-I1oV_STSDYn1IFDPWt_1FKiwhDph83XaGc0o0/edit?usp=sharing"",""งบพรบ!EF51"")"),0)</f>
        <v>0</v>
      </c>
      <c r="H51" s="93">
        <f ca="1">IFERROR(__xludf.DUMMYFUNCTION("IMPORTRANGE(""https://docs.google.com/spreadsheets/d/1MeEWN-I1oV_STSDYn1IFDPWt_1FKiwhDph83XaGc0o0/edit?usp=sharing"",""งบพรบ!EH51"")"),0)</f>
        <v>0</v>
      </c>
      <c r="I51" s="93">
        <f ca="1">IFERROR(__xludf.DUMMYFUNCTION("IMPORTRANGE(""https://docs.google.com/spreadsheets/d/1MeEWN-I1oV_STSDYn1IFDPWt_1FKiwhDph83XaGc0o0/edit?usp=sharing"",""งบพรบ!EI51"")"),0)</f>
        <v>0</v>
      </c>
      <c r="J51" s="93">
        <f t="shared" ca="1" si="3"/>
        <v>0</v>
      </c>
      <c r="K51" s="94">
        <f t="shared" ca="1" si="4"/>
        <v>0</v>
      </c>
      <c r="L51" s="93">
        <f ca="1">IFERROR(__xludf.DUMMYFUNCTION("IMPORTRANGE(""https://docs.google.com/spreadsheets/d/1MeEWN-I1oV_STSDYn1IFDPWt_1FKiwhDph83XaGc0o0/edit?usp=sharing"",""งบพรบ!EJ51"")"),0)</f>
        <v>0</v>
      </c>
      <c r="M51" s="95">
        <f t="shared" ca="1" si="5"/>
        <v>0</v>
      </c>
      <c r="N51" s="95">
        <f t="shared" ca="1" si="6"/>
        <v>0</v>
      </c>
      <c r="O51" s="96">
        <f ca="1">IFERROR(__xludf.DUMMYFUNCTION("IMPORTRANGE(""https://docs.google.com/spreadsheets/d/1MeEWN-I1oV_STSDYn1IFDPWt_1FKiwhDph83XaGc0o0/edit?usp=sharing"",""งบพรบ!EK51"")"),0)</f>
        <v>0</v>
      </c>
      <c r="P51" s="96">
        <f t="shared" ca="1" si="18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IFERROR(__xludf.DUMMYFUNCTION("IMPORTRANGE(""https://docs.google.com/spreadsheets/d/17IOkEwkUd63EGNfyNDnM5de9YlZ7rwzTiW6-dokVjKI/edit?usp=sharing"",""อุบลราชธานี!I325"")"),0)</f>
        <v>0</v>
      </c>
      <c r="S51" s="97">
        <f ca="1">IFERROR(__xludf.DUMMYFUNCTION("IMPORTRANGE(""https://docs.google.com/spreadsheets/d/17IOkEwkUd63EGNfyNDnM5de9YlZ7rwzTiW6-dokVjKI/edit?usp=sharing"",""อุบลราชธานี!J325"")"),0)</f>
        <v>0</v>
      </c>
      <c r="T51" s="98">
        <f t="shared" ca="1" si="16"/>
        <v>0</v>
      </c>
    </row>
    <row r="52" spans="1:20" ht="21" customHeight="1" x14ac:dyDescent="0.2">
      <c r="A52" s="380" t="s">
        <v>74</v>
      </c>
      <c r="B52" s="379"/>
      <c r="C52" s="99">
        <f t="shared" ca="1" si="0"/>
        <v>459000</v>
      </c>
      <c r="D52" s="62">
        <f t="shared" ref="D52:I52" ca="1" si="24">SUM(D53:D73)</f>
        <v>459000</v>
      </c>
      <c r="E52" s="62">
        <f t="shared" ca="1" si="24"/>
        <v>0</v>
      </c>
      <c r="F52" s="62">
        <f t="shared" ca="1" si="24"/>
        <v>459000</v>
      </c>
      <c r="G52" s="62">
        <f t="shared" ca="1" si="24"/>
        <v>0</v>
      </c>
      <c r="H52" s="62">
        <f t="shared" ca="1" si="24"/>
        <v>343500</v>
      </c>
      <c r="I52" s="62">
        <f t="shared" ca="1" si="24"/>
        <v>0</v>
      </c>
      <c r="J52" s="62">
        <f t="shared" ca="1" si="3"/>
        <v>130554.82</v>
      </c>
      <c r="K52" s="100">
        <f t="shared" ca="1" si="4"/>
        <v>28.443315904139432</v>
      </c>
      <c r="L52" s="62">
        <f ca="1">SUM(L53:L73)</f>
        <v>130554.82</v>
      </c>
      <c r="M52" s="101">
        <f t="shared" ca="1" si="5"/>
        <v>28.443315904139432</v>
      </c>
      <c r="N52" s="101">
        <f t="shared" ca="1" si="6"/>
        <v>38.007225618631729</v>
      </c>
      <c r="O52" s="102">
        <f ca="1">SUM(O53:O73)</f>
        <v>0</v>
      </c>
      <c r="P52" s="102">
        <f t="shared" ca="1" si="18"/>
        <v>0</v>
      </c>
      <c r="Q52" s="101">
        <f t="shared" ca="1" si="8"/>
        <v>0</v>
      </c>
      <c r="R52" s="62">
        <f t="shared" ref="R52:S52" ca="1" si="25">SUM(R53:R73)</f>
        <v>5</v>
      </c>
      <c r="S52" s="62">
        <f t="shared" ca="1" si="25"/>
        <v>4</v>
      </c>
      <c r="T52" s="101">
        <f t="shared" ca="1" si="16"/>
        <v>80</v>
      </c>
    </row>
    <row r="53" spans="1:20" ht="21" customHeight="1" x14ac:dyDescent="0.2">
      <c r="A53" s="68">
        <v>1</v>
      </c>
      <c r="B53" s="69" t="s">
        <v>75</v>
      </c>
      <c r="C53" s="103">
        <f t="shared" ca="1" si="0"/>
        <v>153000</v>
      </c>
      <c r="D53" s="71">
        <f t="shared" ref="D53:D73" ca="1" si="26">+E53+F53</f>
        <v>153000</v>
      </c>
      <c r="E53" s="72">
        <f ca="1">IFERROR(__xludf.DUMMYFUNCTION("IMPORTRANGE(""https://docs.google.com/spreadsheets/d/1MeEWN-I1oV_STSDYn1IFDPWt_1FKiwhDph83XaGc0o0/edit?usp=sharing"",""งบพรบ!ED53"")"),0)</f>
        <v>0</v>
      </c>
      <c r="F53" s="72">
        <f ca="1">IFERROR(__xludf.DUMMYFUNCTION("IMPORTRANGE(""https://docs.google.com/spreadsheets/d/1MeEWN-I1oV_STSDYn1IFDPWt_1FKiwhDph83XaGc0o0/edit?usp=sharing"",""งบพรบ!EE53"")"),153000)</f>
        <v>153000</v>
      </c>
      <c r="G53" s="73">
        <f ca="1">IFERROR(__xludf.DUMMYFUNCTION("IMPORTRANGE(""https://docs.google.com/spreadsheets/d/1MeEWN-I1oV_STSDYn1IFDPWt_1FKiwhDph83XaGc0o0/edit?usp=sharing"",""งบพรบ!EF53"")"),0)</f>
        <v>0</v>
      </c>
      <c r="H53" s="73">
        <f ca="1">IFERROR(__xludf.DUMMYFUNCTION("IMPORTRANGE(""https://docs.google.com/spreadsheets/d/1MeEWN-I1oV_STSDYn1IFDPWt_1FKiwhDph83XaGc0o0/edit?usp=sharing"",""งบพรบ!EH53"")"),114500)</f>
        <v>114500</v>
      </c>
      <c r="I53" s="73">
        <f ca="1">IFERROR(__xludf.DUMMYFUNCTION("IMPORTRANGE(""https://docs.google.com/spreadsheets/d/1MeEWN-I1oV_STSDYn1IFDPWt_1FKiwhDph83XaGc0o0/edit?usp=sharing"",""งบพรบ!EI53"")"),0)</f>
        <v>0</v>
      </c>
      <c r="J53" s="73">
        <f t="shared" ca="1" si="3"/>
        <v>41488</v>
      </c>
      <c r="K53" s="74">
        <f t="shared" ca="1" si="4"/>
        <v>27.116339869281045</v>
      </c>
      <c r="L53" s="73">
        <f ca="1">IFERROR(__xludf.DUMMYFUNCTION("IMPORTRANGE(""https://docs.google.com/spreadsheets/d/1MeEWN-I1oV_STSDYn1IFDPWt_1FKiwhDph83XaGc0o0/edit?usp=sharing"",""งบพรบ!EJ53"")"),41488)</f>
        <v>41488</v>
      </c>
      <c r="M53" s="75">
        <f t="shared" ca="1" si="5"/>
        <v>27.116339869281045</v>
      </c>
      <c r="N53" s="75">
        <f t="shared" ca="1" si="6"/>
        <v>36.234061135371178</v>
      </c>
      <c r="O53" s="76">
        <f ca="1">IFERROR(__xludf.DUMMYFUNCTION("IMPORTRANGE(""https://docs.google.com/spreadsheets/d/1MeEWN-I1oV_STSDYn1IFDPWt_1FKiwhDph83XaGc0o0/edit?usp=sharing"",""งบพรบ!EK53"")"),0)</f>
        <v>0</v>
      </c>
      <c r="P53" s="76">
        <f t="shared" ca="1" si="18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IFERROR(__xludf.DUMMYFUNCTION("IMPORTRANGE(""https://docs.google.com/spreadsheets/d/1hKO5uv94SSRZWOvrh72HRcpyoEQF9TsE_Cvxl77XNU4/edit?usp=sharing"",""กาญจนบุรี!I325"")"),1)</f>
        <v>1</v>
      </c>
      <c r="S53" s="73">
        <f ca="1">IFERROR(__xludf.DUMMYFUNCTION("IMPORTRANGE(""https://docs.google.com/spreadsheets/d/1hKO5uv94SSRZWOvrh72HRcpyoEQF9TsE_Cvxl77XNU4/edit?usp=sharing"",""กาญจนบุรี!J325"")"),1)</f>
        <v>1</v>
      </c>
      <c r="T53" s="77">
        <f t="shared" ca="1" si="16"/>
        <v>100</v>
      </c>
    </row>
    <row r="54" spans="1:20" ht="21" customHeight="1" x14ac:dyDescent="0.2">
      <c r="A54" s="78">
        <v>2</v>
      </c>
      <c r="B54" s="79" t="s">
        <v>76</v>
      </c>
      <c r="C54" s="80">
        <f t="shared" ca="1" si="0"/>
        <v>0</v>
      </c>
      <c r="D54" s="81">
        <f t="shared" ca="1" si="26"/>
        <v>0</v>
      </c>
      <c r="E54" s="82">
        <f ca="1">IFERROR(__xludf.DUMMYFUNCTION("IMPORTRANGE(""https://docs.google.com/spreadsheets/d/1MeEWN-I1oV_STSDYn1IFDPWt_1FKiwhDph83XaGc0o0/edit?usp=sharing"",""งบพรบ!ED54"")"),0)</f>
        <v>0</v>
      </c>
      <c r="F54" s="82">
        <f ca="1">IFERROR(__xludf.DUMMYFUNCTION("IMPORTRANGE(""https://docs.google.com/spreadsheets/d/1MeEWN-I1oV_STSDYn1IFDPWt_1FKiwhDph83XaGc0o0/edit?usp=sharing"",""งบพรบ!EE54"")"),0)</f>
        <v>0</v>
      </c>
      <c r="G54" s="82">
        <f ca="1">IFERROR(__xludf.DUMMYFUNCTION("IMPORTRANGE(""https://docs.google.com/spreadsheets/d/1MeEWN-I1oV_STSDYn1IFDPWt_1FKiwhDph83XaGc0o0/edit?usp=sharing"",""งบพรบ!EF54"")"),0)</f>
        <v>0</v>
      </c>
      <c r="H54" s="82">
        <f ca="1">IFERROR(__xludf.DUMMYFUNCTION("IMPORTRANGE(""https://docs.google.com/spreadsheets/d/1MeEWN-I1oV_STSDYn1IFDPWt_1FKiwhDph83XaGc0o0/edit?usp=sharing"",""งบพรบ!EH54"")"),0)</f>
        <v>0</v>
      </c>
      <c r="I54" s="82">
        <f ca="1">IFERROR(__xludf.DUMMYFUNCTION("IMPORTRANGE(""https://docs.google.com/spreadsheets/d/1MeEWN-I1oV_STSDYn1IFDPWt_1FKiwhDph83XaGc0o0/edit?usp=sharing"",""งบพรบ!EI54"")"),0)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IFERROR(__xludf.DUMMYFUNCTION("IMPORTRANGE(""https://docs.google.com/spreadsheets/d/1MeEWN-I1oV_STSDYn1IFDPWt_1FKiwhDph83XaGc0o0/edit?usp=sharing"",""งบพรบ!EJ54"")"),0)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IFERROR(__xludf.DUMMYFUNCTION("IMPORTRANGE(""https://docs.google.com/spreadsheets/d/1MeEWN-I1oV_STSDYn1IFDPWt_1FKiwhDph83XaGc0o0/edit?usp=sharing"",""งบพรบ!EK54"")"),0)</f>
        <v>0</v>
      </c>
      <c r="P54" s="85">
        <f t="shared" ca="1" si="18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IFERROR(__xludf.DUMMYFUNCTION("IMPORTRANGE(""https://docs.google.com/spreadsheets/d/1njBaP_xXd-Uotvo2D9zb01TTCFkLJLDK97Tk1l9Qux0/edit?usp=sharing"",""จันทบุรี!I325"")"),0)</f>
        <v>0</v>
      </c>
      <c r="S54" s="86">
        <f ca="1">IFERROR(__xludf.DUMMYFUNCTION("IMPORTRANGE(""https://docs.google.com/spreadsheets/d/1njBaP_xXd-Uotvo2D9zb01TTCFkLJLDK97Tk1l9Qux0/edit?usp=sharing"",""จันทบุรี!J325"")"),0)</f>
        <v>0</v>
      </c>
      <c r="T54" s="87">
        <f t="shared" ca="1" si="16"/>
        <v>0</v>
      </c>
    </row>
    <row r="55" spans="1:20" ht="21" customHeight="1" x14ac:dyDescent="0.2">
      <c r="A55" s="78">
        <v>3</v>
      </c>
      <c r="B55" s="79" t="s">
        <v>77</v>
      </c>
      <c r="C55" s="80">
        <f t="shared" ca="1" si="0"/>
        <v>0</v>
      </c>
      <c r="D55" s="81">
        <f t="shared" ca="1" si="26"/>
        <v>0</v>
      </c>
      <c r="E55" s="82">
        <f ca="1">IFERROR(__xludf.DUMMYFUNCTION("IMPORTRANGE(""https://docs.google.com/spreadsheets/d/1MeEWN-I1oV_STSDYn1IFDPWt_1FKiwhDph83XaGc0o0/edit?usp=sharing"",""งบพรบ!ED55"")"),0)</f>
        <v>0</v>
      </c>
      <c r="F55" s="82">
        <f ca="1">IFERROR(__xludf.DUMMYFUNCTION("IMPORTRANGE(""https://docs.google.com/spreadsheets/d/1MeEWN-I1oV_STSDYn1IFDPWt_1FKiwhDph83XaGc0o0/edit?usp=sharing"",""งบพรบ!EE55"")"),0)</f>
        <v>0</v>
      </c>
      <c r="G55" s="82">
        <f ca="1">IFERROR(__xludf.DUMMYFUNCTION("IMPORTRANGE(""https://docs.google.com/spreadsheets/d/1MeEWN-I1oV_STSDYn1IFDPWt_1FKiwhDph83XaGc0o0/edit?usp=sharing"",""งบพรบ!EF55"")"),0)</f>
        <v>0</v>
      </c>
      <c r="H55" s="82">
        <f ca="1">IFERROR(__xludf.DUMMYFUNCTION("IMPORTRANGE(""https://docs.google.com/spreadsheets/d/1MeEWN-I1oV_STSDYn1IFDPWt_1FKiwhDph83XaGc0o0/edit?usp=sharing"",""งบพรบ!EH55"")"),0)</f>
        <v>0</v>
      </c>
      <c r="I55" s="82">
        <f ca="1">IFERROR(__xludf.DUMMYFUNCTION("IMPORTRANGE(""https://docs.google.com/spreadsheets/d/1MeEWN-I1oV_STSDYn1IFDPWt_1FKiwhDph83XaGc0o0/edit?usp=sharing"",""งบพรบ!EI55"")"),0)</f>
        <v>0</v>
      </c>
      <c r="J55" s="82">
        <f t="shared" ca="1" si="3"/>
        <v>0</v>
      </c>
      <c r="K55" s="83">
        <f t="shared" ca="1" si="4"/>
        <v>0</v>
      </c>
      <c r="L55" s="82">
        <f ca="1">IFERROR(__xludf.DUMMYFUNCTION("IMPORTRANGE(""https://docs.google.com/spreadsheets/d/1MeEWN-I1oV_STSDYn1IFDPWt_1FKiwhDph83XaGc0o0/edit?usp=sharing"",""งบพรบ!EJ55"")"),0)</f>
        <v>0</v>
      </c>
      <c r="M55" s="84">
        <f t="shared" ca="1" si="5"/>
        <v>0</v>
      </c>
      <c r="N55" s="84">
        <f t="shared" ca="1" si="6"/>
        <v>0</v>
      </c>
      <c r="O55" s="85">
        <f ca="1">IFERROR(__xludf.DUMMYFUNCTION("IMPORTRANGE(""https://docs.google.com/spreadsheets/d/1MeEWN-I1oV_STSDYn1IFDPWt_1FKiwhDph83XaGc0o0/edit?usp=sharing"",""งบพรบ!EK55"")"),0)</f>
        <v>0</v>
      </c>
      <c r="P55" s="85">
        <f t="shared" ca="1" si="18"/>
        <v>0</v>
      </c>
      <c r="Q55" s="84">
        <f t="shared" ca="1" si="8"/>
        <v>0</v>
      </c>
      <c r="R55" s="86">
        <f ca="1">IFERROR(__xludf.DUMMYFUNCTION("IMPORTRANGE(""https://docs.google.com/spreadsheets/d/14xp6qUzrGFnUk_qnc1eEmfiaNRd4_grkhpfQH_46fa8/edit?usp=sharing"",""ฉะเชิงเทรา!I325"")"),0)</f>
        <v>0</v>
      </c>
      <c r="S55" s="86">
        <f ca="1">IFERROR(__xludf.DUMMYFUNCTION("IMPORTRANGE(""https://docs.google.com/spreadsheets/d/14xp6qUzrGFnUk_qnc1eEmfiaNRd4_grkhpfQH_46fa8/edit?usp=sharing"",""ฉะเชิงเทรา!J325"")"),0)</f>
        <v>0</v>
      </c>
      <c r="T55" s="87">
        <f t="shared" ca="1" si="16"/>
        <v>0</v>
      </c>
    </row>
    <row r="56" spans="1:20" ht="21" customHeight="1" x14ac:dyDescent="0.2">
      <c r="A56" s="78">
        <v>4</v>
      </c>
      <c r="B56" s="79" t="s">
        <v>78</v>
      </c>
      <c r="C56" s="80">
        <f t="shared" ca="1" si="0"/>
        <v>153000</v>
      </c>
      <c r="D56" s="81">
        <f t="shared" ca="1" si="26"/>
        <v>153000</v>
      </c>
      <c r="E56" s="82">
        <f ca="1">IFERROR(__xludf.DUMMYFUNCTION("IMPORTRANGE(""https://docs.google.com/spreadsheets/d/1MeEWN-I1oV_STSDYn1IFDPWt_1FKiwhDph83XaGc0o0/edit?usp=sharing"",""งบพรบ!ED56"")"),0)</f>
        <v>0</v>
      </c>
      <c r="F56" s="82">
        <f ca="1">IFERROR(__xludf.DUMMYFUNCTION("IMPORTRANGE(""https://docs.google.com/spreadsheets/d/1MeEWN-I1oV_STSDYn1IFDPWt_1FKiwhDph83XaGc0o0/edit?usp=sharing"",""งบพรบ!EE56"")"),153000)</f>
        <v>153000</v>
      </c>
      <c r="G56" s="82">
        <f ca="1">IFERROR(__xludf.DUMMYFUNCTION("IMPORTRANGE(""https://docs.google.com/spreadsheets/d/1MeEWN-I1oV_STSDYn1IFDPWt_1FKiwhDph83XaGc0o0/edit?usp=sharing"",""งบพรบ!EF56"")"),0)</f>
        <v>0</v>
      </c>
      <c r="H56" s="82">
        <f ca="1">IFERROR(__xludf.DUMMYFUNCTION("IMPORTRANGE(""https://docs.google.com/spreadsheets/d/1MeEWN-I1oV_STSDYn1IFDPWt_1FKiwhDph83XaGc0o0/edit?usp=sharing"",""งบพรบ!EH56"")"),114500)</f>
        <v>114500</v>
      </c>
      <c r="I56" s="82">
        <f ca="1">IFERROR(__xludf.DUMMYFUNCTION("IMPORTRANGE(""https://docs.google.com/spreadsheets/d/1MeEWN-I1oV_STSDYn1IFDPWt_1FKiwhDph83XaGc0o0/edit?usp=sharing"",""งบพรบ!EI56"")"),0)</f>
        <v>0</v>
      </c>
      <c r="J56" s="82">
        <f t="shared" ca="1" si="3"/>
        <v>40618</v>
      </c>
      <c r="K56" s="83">
        <f t="shared" ca="1" si="4"/>
        <v>26.547712418300655</v>
      </c>
      <c r="L56" s="82">
        <f ca="1">IFERROR(__xludf.DUMMYFUNCTION("IMPORTRANGE(""https://docs.google.com/spreadsheets/d/1MeEWN-I1oV_STSDYn1IFDPWt_1FKiwhDph83XaGc0o0/edit?usp=sharing"",""งบพรบ!EJ56"")"),40618)</f>
        <v>40618</v>
      </c>
      <c r="M56" s="84">
        <f t="shared" ca="1" si="5"/>
        <v>26.547712418300655</v>
      </c>
      <c r="N56" s="84">
        <f t="shared" ca="1" si="6"/>
        <v>35.474235807860261</v>
      </c>
      <c r="O56" s="85">
        <f ca="1">IFERROR(__xludf.DUMMYFUNCTION("IMPORTRANGE(""https://docs.google.com/spreadsheets/d/1MeEWN-I1oV_STSDYn1IFDPWt_1FKiwhDph83XaGc0o0/edit?usp=sharing"",""งบพรบ!EK56"")"),0)</f>
        <v>0</v>
      </c>
      <c r="P56" s="85">
        <f t="shared" ca="1" si="18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IFERROR(__xludf.DUMMYFUNCTION("IMPORTRANGE(""https://docs.google.com/spreadsheets/d/1_Zwps30dlVa-pZFsorjVf1Pil6WXwzCsJU0U2whO3NI/edit?usp=sharing"",""ชลบุรี!I325"")"),2)</f>
        <v>2</v>
      </c>
      <c r="S56" s="86">
        <f ca="1">IFERROR(__xludf.DUMMYFUNCTION("IMPORTRANGE(""https://docs.google.com/spreadsheets/d/1_Zwps30dlVa-pZFsorjVf1Pil6WXwzCsJU0U2whO3NI/edit?usp=sharing"",""ชลบุรี!J325"")"),2)</f>
        <v>2</v>
      </c>
      <c r="T56" s="87">
        <f t="shared" ca="1" si="16"/>
        <v>100</v>
      </c>
    </row>
    <row r="57" spans="1:20" ht="21" customHeight="1" x14ac:dyDescent="0.2">
      <c r="A57" s="78">
        <v>5</v>
      </c>
      <c r="B57" s="79" t="s">
        <v>79</v>
      </c>
      <c r="C57" s="80">
        <f t="shared" ca="1" si="0"/>
        <v>0</v>
      </c>
      <c r="D57" s="81">
        <f t="shared" ca="1" si="26"/>
        <v>0</v>
      </c>
      <c r="E57" s="82">
        <f ca="1">IFERROR(__xludf.DUMMYFUNCTION("IMPORTRANGE(""https://docs.google.com/spreadsheets/d/1MeEWN-I1oV_STSDYn1IFDPWt_1FKiwhDph83XaGc0o0/edit?usp=sharing"",""งบพรบ!ED57"")"),0)</f>
        <v>0</v>
      </c>
      <c r="F57" s="82">
        <f ca="1">IFERROR(__xludf.DUMMYFUNCTION("IMPORTRANGE(""https://docs.google.com/spreadsheets/d/1MeEWN-I1oV_STSDYn1IFDPWt_1FKiwhDph83XaGc0o0/edit?usp=sharing"",""งบพรบ!EE57"")"),0)</f>
        <v>0</v>
      </c>
      <c r="G57" s="82">
        <f ca="1">IFERROR(__xludf.DUMMYFUNCTION("IMPORTRANGE(""https://docs.google.com/spreadsheets/d/1MeEWN-I1oV_STSDYn1IFDPWt_1FKiwhDph83XaGc0o0/edit?usp=sharing"",""งบพรบ!EF57"")"),0)</f>
        <v>0</v>
      </c>
      <c r="H57" s="82">
        <f ca="1">IFERROR(__xludf.DUMMYFUNCTION("IMPORTRANGE(""https://docs.google.com/spreadsheets/d/1MeEWN-I1oV_STSDYn1IFDPWt_1FKiwhDph83XaGc0o0/edit?usp=sharing"",""งบพรบ!EH57"")"),0)</f>
        <v>0</v>
      </c>
      <c r="I57" s="82">
        <f ca="1">IFERROR(__xludf.DUMMYFUNCTION("IMPORTRANGE(""https://docs.google.com/spreadsheets/d/1MeEWN-I1oV_STSDYn1IFDPWt_1FKiwhDph83XaGc0o0/edit?usp=sharing"",""งบพรบ!EI57"")"),0)</f>
        <v>0</v>
      </c>
      <c r="J57" s="82">
        <f t="shared" ca="1" si="3"/>
        <v>0</v>
      </c>
      <c r="K57" s="83">
        <f t="shared" ca="1" si="4"/>
        <v>0</v>
      </c>
      <c r="L57" s="82">
        <f ca="1">IFERROR(__xludf.DUMMYFUNCTION("IMPORTRANGE(""https://docs.google.com/spreadsheets/d/1MeEWN-I1oV_STSDYn1IFDPWt_1FKiwhDph83XaGc0o0/edit?usp=sharing"",""งบพรบ!EJ57"")"),0)</f>
        <v>0</v>
      </c>
      <c r="M57" s="84">
        <f t="shared" ca="1" si="5"/>
        <v>0</v>
      </c>
      <c r="N57" s="84">
        <f t="shared" ca="1" si="6"/>
        <v>0</v>
      </c>
      <c r="O57" s="85">
        <f ca="1">IFERROR(__xludf.DUMMYFUNCTION("IMPORTRANGE(""https://docs.google.com/spreadsheets/d/1MeEWN-I1oV_STSDYn1IFDPWt_1FKiwhDph83XaGc0o0/edit?usp=sharing"",""งบพรบ!EK57"")"),0)</f>
        <v>0</v>
      </c>
      <c r="P57" s="85">
        <f t="shared" ca="1" si="18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IFERROR(__xludf.DUMMYFUNCTION("IMPORTRANGE(""https://docs.google.com/spreadsheets/d/1xAsT4sUbBlom7l0acStESh_15nvjZcXjZM7fK5uZSq8/edit?usp=sharing"",""ชัยนาท!I325"")"),0)</f>
        <v>0</v>
      </c>
      <c r="S57" s="86">
        <f ca="1">IFERROR(__xludf.DUMMYFUNCTION("IMPORTRANGE(""https://docs.google.com/spreadsheets/d/1xAsT4sUbBlom7l0acStESh_15nvjZcXjZM7fK5uZSq8/edit?usp=sharing"",""ชัยนาท!J325"")"),0)</f>
        <v>0</v>
      </c>
      <c r="T57" s="87">
        <f t="shared" ca="1" si="16"/>
        <v>0</v>
      </c>
    </row>
    <row r="58" spans="1:20" ht="21" customHeight="1" x14ac:dyDescent="0.2">
      <c r="A58" s="78">
        <v>6</v>
      </c>
      <c r="B58" s="79" t="s">
        <v>80</v>
      </c>
      <c r="C58" s="80">
        <f t="shared" ca="1" si="0"/>
        <v>0</v>
      </c>
      <c r="D58" s="81">
        <f t="shared" ca="1" si="26"/>
        <v>0</v>
      </c>
      <c r="E58" s="82">
        <f ca="1">IFERROR(__xludf.DUMMYFUNCTION("IMPORTRANGE(""https://docs.google.com/spreadsheets/d/1MeEWN-I1oV_STSDYn1IFDPWt_1FKiwhDph83XaGc0o0/edit?usp=sharing"",""งบพรบ!ED58"")"),0)</f>
        <v>0</v>
      </c>
      <c r="F58" s="82">
        <f ca="1">IFERROR(__xludf.DUMMYFUNCTION("IMPORTRANGE(""https://docs.google.com/spreadsheets/d/1MeEWN-I1oV_STSDYn1IFDPWt_1FKiwhDph83XaGc0o0/edit?usp=sharing"",""งบพรบ!EE58"")"),0)</f>
        <v>0</v>
      </c>
      <c r="G58" s="82">
        <f ca="1">IFERROR(__xludf.DUMMYFUNCTION("IMPORTRANGE(""https://docs.google.com/spreadsheets/d/1MeEWN-I1oV_STSDYn1IFDPWt_1FKiwhDph83XaGc0o0/edit?usp=sharing"",""งบพรบ!EF58"")"),0)</f>
        <v>0</v>
      </c>
      <c r="H58" s="82">
        <f ca="1">IFERROR(__xludf.DUMMYFUNCTION("IMPORTRANGE(""https://docs.google.com/spreadsheets/d/1MeEWN-I1oV_STSDYn1IFDPWt_1FKiwhDph83XaGc0o0/edit?usp=sharing"",""งบพรบ!EH58"")"),0)</f>
        <v>0</v>
      </c>
      <c r="I58" s="82">
        <f ca="1">IFERROR(__xludf.DUMMYFUNCTION("IMPORTRANGE(""https://docs.google.com/spreadsheets/d/1MeEWN-I1oV_STSDYn1IFDPWt_1FKiwhDph83XaGc0o0/edit?usp=sharing"",""งบพรบ!EI58"")"),0)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IFERROR(__xludf.DUMMYFUNCTION("IMPORTRANGE(""https://docs.google.com/spreadsheets/d/1MeEWN-I1oV_STSDYn1IFDPWt_1FKiwhDph83XaGc0o0/edit?usp=sharing"",""งบพรบ!EJ58"")"),0)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IFERROR(__xludf.DUMMYFUNCTION("IMPORTRANGE(""https://docs.google.com/spreadsheets/d/1MeEWN-I1oV_STSDYn1IFDPWt_1FKiwhDph83XaGc0o0/edit?usp=sharing"",""งบพรบ!EK58"")"),0)</f>
        <v>0</v>
      </c>
      <c r="P58" s="85">
        <f t="shared" ca="1" si="18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IFERROR(__xludf.DUMMYFUNCTION("IMPORTRANGE(""https://docs.google.com/spreadsheets/d/1vWPVBOAaZ6mHSI8yf95DNqHwTJ1cpeFsvqt6cxV34QA/edit?usp=sharing"",""ตราด!I325"")"),0)</f>
        <v>0</v>
      </c>
      <c r="S58" s="86">
        <f ca="1">IFERROR(__xludf.DUMMYFUNCTION("IMPORTRANGE(""https://docs.google.com/spreadsheets/d/1vWPVBOAaZ6mHSI8yf95DNqHwTJ1cpeFsvqt6cxV34QA/edit?usp=sharing"",""ตราด!J325"")"),0)</f>
        <v>0</v>
      </c>
      <c r="T58" s="87">
        <f t="shared" ca="1" si="16"/>
        <v>0</v>
      </c>
    </row>
    <row r="59" spans="1:20" ht="21" customHeight="1" x14ac:dyDescent="0.2">
      <c r="A59" s="78">
        <v>7</v>
      </c>
      <c r="B59" s="79" t="s">
        <v>81</v>
      </c>
      <c r="C59" s="80">
        <f t="shared" ca="1" si="0"/>
        <v>0</v>
      </c>
      <c r="D59" s="81">
        <f t="shared" ca="1" si="26"/>
        <v>0</v>
      </c>
      <c r="E59" s="82">
        <f ca="1">IFERROR(__xludf.DUMMYFUNCTION("IMPORTRANGE(""https://docs.google.com/spreadsheets/d/1MeEWN-I1oV_STSDYn1IFDPWt_1FKiwhDph83XaGc0o0/edit?usp=sharing"",""งบพรบ!ED59"")"),0)</f>
        <v>0</v>
      </c>
      <c r="F59" s="82">
        <f ca="1">IFERROR(__xludf.DUMMYFUNCTION("IMPORTRANGE(""https://docs.google.com/spreadsheets/d/1MeEWN-I1oV_STSDYn1IFDPWt_1FKiwhDph83XaGc0o0/edit?usp=sharing"",""งบพรบ!EE59"")"),0)</f>
        <v>0</v>
      </c>
      <c r="G59" s="82">
        <f ca="1">IFERROR(__xludf.DUMMYFUNCTION("IMPORTRANGE(""https://docs.google.com/spreadsheets/d/1MeEWN-I1oV_STSDYn1IFDPWt_1FKiwhDph83XaGc0o0/edit?usp=sharing"",""งบพรบ!EF59"")"),0)</f>
        <v>0</v>
      </c>
      <c r="H59" s="82">
        <f ca="1">IFERROR(__xludf.DUMMYFUNCTION("IMPORTRANGE(""https://docs.google.com/spreadsheets/d/1MeEWN-I1oV_STSDYn1IFDPWt_1FKiwhDph83XaGc0o0/edit?usp=sharing"",""งบพรบ!EH59"")"),0)</f>
        <v>0</v>
      </c>
      <c r="I59" s="82">
        <f ca="1">IFERROR(__xludf.DUMMYFUNCTION("IMPORTRANGE(""https://docs.google.com/spreadsheets/d/1MeEWN-I1oV_STSDYn1IFDPWt_1FKiwhDph83XaGc0o0/edit?usp=sharing"",""งบพรบ!EI59"")"),0)</f>
        <v>0</v>
      </c>
      <c r="J59" s="82">
        <f t="shared" ca="1" si="3"/>
        <v>0</v>
      </c>
      <c r="K59" s="83">
        <f t="shared" ca="1" si="4"/>
        <v>0</v>
      </c>
      <c r="L59" s="82">
        <f ca="1">IFERROR(__xludf.DUMMYFUNCTION("IMPORTRANGE(""https://docs.google.com/spreadsheets/d/1MeEWN-I1oV_STSDYn1IFDPWt_1FKiwhDph83XaGc0o0/edit?usp=sharing"",""งบพรบ!EJ59"")"),0)</f>
        <v>0</v>
      </c>
      <c r="M59" s="84">
        <f t="shared" ca="1" si="5"/>
        <v>0</v>
      </c>
      <c r="N59" s="84">
        <f t="shared" ca="1" si="6"/>
        <v>0</v>
      </c>
      <c r="O59" s="85">
        <f ca="1">IFERROR(__xludf.DUMMYFUNCTION("IMPORTRANGE(""https://docs.google.com/spreadsheets/d/1MeEWN-I1oV_STSDYn1IFDPWt_1FKiwhDph83XaGc0o0/edit?usp=sharing"",""งบพรบ!EK59"")"),0)</f>
        <v>0</v>
      </c>
      <c r="P59" s="85">
        <f t="shared" ca="1" si="18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IFERROR(__xludf.DUMMYFUNCTION("IMPORTRANGE(""https://docs.google.com/spreadsheets/d/1phaeSb9lTGgzDpbvVqI9hfmOQQzUom07-HEvpbARzEg/edit?usp=sharing"",""นครนายก!I325"")"),0)</f>
        <v>0</v>
      </c>
      <c r="S59" s="86">
        <f ca="1">IFERROR(__xludf.DUMMYFUNCTION("IMPORTRANGE(""https://docs.google.com/spreadsheets/d/1phaeSb9lTGgzDpbvVqI9hfmOQQzUom07-HEvpbARzEg/edit?usp=sharing"",""นครนายก!J325"")"),0)</f>
        <v>0</v>
      </c>
      <c r="T59" s="87">
        <f t="shared" ca="1" si="16"/>
        <v>0</v>
      </c>
    </row>
    <row r="60" spans="1:20" ht="21" customHeight="1" x14ac:dyDescent="0.2">
      <c r="A60" s="78">
        <v>8</v>
      </c>
      <c r="B60" s="79" t="s">
        <v>82</v>
      </c>
      <c r="C60" s="80">
        <f t="shared" ca="1" si="0"/>
        <v>0</v>
      </c>
      <c r="D60" s="81">
        <f t="shared" ca="1" si="26"/>
        <v>0</v>
      </c>
      <c r="E60" s="82">
        <f ca="1">IFERROR(__xludf.DUMMYFUNCTION("IMPORTRANGE(""https://docs.google.com/spreadsheets/d/1MeEWN-I1oV_STSDYn1IFDPWt_1FKiwhDph83XaGc0o0/edit?usp=sharing"",""งบพรบ!ED60"")"),0)</f>
        <v>0</v>
      </c>
      <c r="F60" s="82">
        <f ca="1">IFERROR(__xludf.DUMMYFUNCTION("IMPORTRANGE(""https://docs.google.com/spreadsheets/d/1MeEWN-I1oV_STSDYn1IFDPWt_1FKiwhDph83XaGc0o0/edit?usp=sharing"",""งบพรบ!EE60"")"),0)</f>
        <v>0</v>
      </c>
      <c r="G60" s="82">
        <f ca="1">IFERROR(__xludf.DUMMYFUNCTION("IMPORTRANGE(""https://docs.google.com/spreadsheets/d/1MeEWN-I1oV_STSDYn1IFDPWt_1FKiwhDph83XaGc0o0/edit?usp=sharing"",""งบพรบ!EF60"")"),0)</f>
        <v>0</v>
      </c>
      <c r="H60" s="82">
        <f ca="1">IFERROR(__xludf.DUMMYFUNCTION("IMPORTRANGE(""https://docs.google.com/spreadsheets/d/1MeEWN-I1oV_STSDYn1IFDPWt_1FKiwhDph83XaGc0o0/edit?usp=sharing"",""งบพรบ!EH60"")"),0)</f>
        <v>0</v>
      </c>
      <c r="I60" s="82">
        <f ca="1">IFERROR(__xludf.DUMMYFUNCTION("IMPORTRANGE(""https://docs.google.com/spreadsheets/d/1MeEWN-I1oV_STSDYn1IFDPWt_1FKiwhDph83XaGc0o0/edit?usp=sharing"",""งบพรบ!EI60"")"),0)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IFERROR(__xludf.DUMMYFUNCTION("IMPORTRANGE(""https://docs.google.com/spreadsheets/d/1MeEWN-I1oV_STSDYn1IFDPWt_1FKiwhDph83XaGc0o0/edit?usp=sharing"",""งบพรบ!EJ60"")"),0)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IFERROR(__xludf.DUMMYFUNCTION("IMPORTRANGE(""https://docs.google.com/spreadsheets/d/1MeEWN-I1oV_STSDYn1IFDPWt_1FKiwhDph83XaGc0o0/edit?usp=sharing"",""งบพรบ!EK60"")"),0)</f>
        <v>0</v>
      </c>
      <c r="P60" s="85">
        <f t="shared" ca="1" si="18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IFERROR(__xludf.DUMMYFUNCTION("IMPORTRANGE(""https://docs.google.com/spreadsheets/d/1tpwhWwkqkBeiSWCcfB5f2fbwPRbM9hHOEDSDHpl2MIc/edit?usp=sharing"",""นครปฐม!I325"")"),0)</f>
        <v>0</v>
      </c>
      <c r="S60" s="86">
        <f ca="1">IFERROR(__xludf.DUMMYFUNCTION("IMPORTRANGE(""https://docs.google.com/spreadsheets/d/1tpwhWwkqkBeiSWCcfB5f2fbwPRbM9hHOEDSDHpl2MIc/edit?usp=sharing"",""นครปฐม!J325"")"),0)</f>
        <v>0</v>
      </c>
      <c r="T60" s="87">
        <f t="shared" ca="1" si="16"/>
        <v>0</v>
      </c>
    </row>
    <row r="61" spans="1:20" ht="21" customHeight="1" x14ac:dyDescent="0.2">
      <c r="A61" s="78">
        <v>9</v>
      </c>
      <c r="B61" s="79" t="s">
        <v>83</v>
      </c>
      <c r="C61" s="80">
        <f t="shared" ca="1" si="0"/>
        <v>0</v>
      </c>
      <c r="D61" s="81">
        <f t="shared" ca="1" si="26"/>
        <v>0</v>
      </c>
      <c r="E61" s="82">
        <f ca="1">IFERROR(__xludf.DUMMYFUNCTION("IMPORTRANGE(""https://docs.google.com/spreadsheets/d/1MeEWN-I1oV_STSDYn1IFDPWt_1FKiwhDph83XaGc0o0/edit?usp=sharing"",""งบพรบ!ED61"")"),0)</f>
        <v>0</v>
      </c>
      <c r="F61" s="82">
        <f ca="1">IFERROR(__xludf.DUMMYFUNCTION("IMPORTRANGE(""https://docs.google.com/spreadsheets/d/1MeEWN-I1oV_STSDYn1IFDPWt_1FKiwhDph83XaGc0o0/edit?usp=sharing"",""งบพรบ!EE61"")"),0)</f>
        <v>0</v>
      </c>
      <c r="G61" s="82">
        <f ca="1">IFERROR(__xludf.DUMMYFUNCTION("IMPORTRANGE(""https://docs.google.com/spreadsheets/d/1MeEWN-I1oV_STSDYn1IFDPWt_1FKiwhDph83XaGc0o0/edit?usp=sharing"",""งบพรบ!EF61"")"),0)</f>
        <v>0</v>
      </c>
      <c r="H61" s="82">
        <f ca="1">IFERROR(__xludf.DUMMYFUNCTION("IMPORTRANGE(""https://docs.google.com/spreadsheets/d/1MeEWN-I1oV_STSDYn1IFDPWt_1FKiwhDph83XaGc0o0/edit?usp=sharing"",""งบพรบ!EH61"")"),0)</f>
        <v>0</v>
      </c>
      <c r="I61" s="82">
        <f ca="1">IFERROR(__xludf.DUMMYFUNCTION("IMPORTRANGE(""https://docs.google.com/spreadsheets/d/1MeEWN-I1oV_STSDYn1IFDPWt_1FKiwhDph83XaGc0o0/edit?usp=sharing"",""งบพรบ!EI61"")"),0)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IFERROR(__xludf.DUMMYFUNCTION("IMPORTRANGE(""https://docs.google.com/spreadsheets/d/1MeEWN-I1oV_STSDYn1IFDPWt_1FKiwhDph83XaGc0o0/edit?usp=sharing"",""งบพรบ!EJ61"")"),0)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IFERROR(__xludf.DUMMYFUNCTION("IMPORTRANGE(""https://docs.google.com/spreadsheets/d/1MeEWN-I1oV_STSDYn1IFDPWt_1FKiwhDph83XaGc0o0/edit?usp=sharing"",""งบพรบ!EK61"")"),0)</f>
        <v>0</v>
      </c>
      <c r="P61" s="85">
        <f t="shared" ca="1" si="18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IFERROR(__xludf.DUMMYFUNCTION("IMPORTRANGE(""https://docs.google.com/spreadsheets/d/1fJJCVBkBnhriyv0Cp5ZFMr0I_yrfdEITNpb4zILJgUQ/edit?usp=sharing"",""ปทุมธานี!I325"")"),0)</f>
        <v>0</v>
      </c>
      <c r="S61" s="86">
        <f ca="1">IFERROR(__xludf.DUMMYFUNCTION("IMPORTRANGE(""https://docs.google.com/spreadsheets/d/1fJJCVBkBnhriyv0Cp5ZFMr0I_yrfdEITNpb4zILJgUQ/edit?usp=sharing"",""ปทุมธานี!J325"")"),0)</f>
        <v>0</v>
      </c>
      <c r="T61" s="87">
        <f t="shared" ca="1" si="16"/>
        <v>0</v>
      </c>
    </row>
    <row r="62" spans="1:20" ht="21" customHeight="1" x14ac:dyDescent="0.2">
      <c r="A62" s="78">
        <v>10</v>
      </c>
      <c r="B62" s="79" t="s">
        <v>84</v>
      </c>
      <c r="C62" s="80">
        <f t="shared" ca="1" si="0"/>
        <v>0</v>
      </c>
      <c r="D62" s="81">
        <f t="shared" ca="1" si="26"/>
        <v>0</v>
      </c>
      <c r="E62" s="82">
        <f ca="1">IFERROR(__xludf.DUMMYFUNCTION("IMPORTRANGE(""https://docs.google.com/spreadsheets/d/1MeEWN-I1oV_STSDYn1IFDPWt_1FKiwhDph83XaGc0o0/edit?usp=sharing"",""งบพรบ!ED62"")"),0)</f>
        <v>0</v>
      </c>
      <c r="F62" s="82">
        <f ca="1">IFERROR(__xludf.DUMMYFUNCTION("IMPORTRANGE(""https://docs.google.com/spreadsheets/d/1MeEWN-I1oV_STSDYn1IFDPWt_1FKiwhDph83XaGc0o0/edit?usp=sharing"",""งบพรบ!EE62"")"),0)</f>
        <v>0</v>
      </c>
      <c r="G62" s="82">
        <f ca="1">IFERROR(__xludf.DUMMYFUNCTION("IMPORTRANGE(""https://docs.google.com/spreadsheets/d/1MeEWN-I1oV_STSDYn1IFDPWt_1FKiwhDph83XaGc0o0/edit?usp=sharing"",""งบพรบ!EF62"")"),0)</f>
        <v>0</v>
      </c>
      <c r="H62" s="82">
        <f ca="1">IFERROR(__xludf.DUMMYFUNCTION("IMPORTRANGE(""https://docs.google.com/spreadsheets/d/1MeEWN-I1oV_STSDYn1IFDPWt_1FKiwhDph83XaGc0o0/edit?usp=sharing"",""งบพรบ!EH62"")"),0)</f>
        <v>0</v>
      </c>
      <c r="I62" s="82">
        <f ca="1">IFERROR(__xludf.DUMMYFUNCTION("IMPORTRANGE(""https://docs.google.com/spreadsheets/d/1MeEWN-I1oV_STSDYn1IFDPWt_1FKiwhDph83XaGc0o0/edit?usp=sharing"",""งบพรบ!EI62"")"),0)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IFERROR(__xludf.DUMMYFUNCTION("IMPORTRANGE(""https://docs.google.com/spreadsheets/d/1MeEWN-I1oV_STSDYn1IFDPWt_1FKiwhDph83XaGc0o0/edit?usp=sharing"",""งบพรบ!EJ62"")"),0)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IFERROR(__xludf.DUMMYFUNCTION("IMPORTRANGE(""https://docs.google.com/spreadsheets/d/1MeEWN-I1oV_STSDYn1IFDPWt_1FKiwhDph83XaGc0o0/edit?usp=sharing"",""งบพรบ!EK62"")"),0)</f>
        <v>0</v>
      </c>
      <c r="P62" s="85">
        <f t="shared" ca="1" si="18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IFERROR(__xludf.DUMMYFUNCTION("IMPORTRANGE(""https://docs.google.com/spreadsheets/d/1W5Jj_S0gYw6wSO7QcMI02YgyOBDKYgmm0NSUk-AQEac/edit?usp=sharing"",""ประจวบคีรีขันธ์!I325"")"),0)</f>
        <v>0</v>
      </c>
      <c r="S62" s="86">
        <f ca="1">IFERROR(__xludf.DUMMYFUNCTION("IMPORTRANGE(""https://docs.google.com/spreadsheets/d/1W5Jj_S0gYw6wSO7QcMI02YgyOBDKYgmm0NSUk-AQEac/edit?usp=sharing"",""ประจวบคีรีขันธ์!J325"")"),0)</f>
        <v>0</v>
      </c>
      <c r="T62" s="87">
        <f t="shared" ca="1" si="16"/>
        <v>0</v>
      </c>
    </row>
    <row r="63" spans="1:20" ht="21" customHeight="1" x14ac:dyDescent="0.2">
      <c r="A63" s="78">
        <v>11</v>
      </c>
      <c r="B63" s="79" t="s">
        <v>85</v>
      </c>
      <c r="C63" s="80">
        <f t="shared" ca="1" si="0"/>
        <v>0</v>
      </c>
      <c r="D63" s="81">
        <f t="shared" ca="1" si="26"/>
        <v>0</v>
      </c>
      <c r="E63" s="82">
        <f ca="1">IFERROR(__xludf.DUMMYFUNCTION("IMPORTRANGE(""https://docs.google.com/spreadsheets/d/1MeEWN-I1oV_STSDYn1IFDPWt_1FKiwhDph83XaGc0o0/edit?usp=sharing"",""งบพรบ!ED63"")"),0)</f>
        <v>0</v>
      </c>
      <c r="F63" s="82">
        <f ca="1">IFERROR(__xludf.DUMMYFUNCTION("IMPORTRANGE(""https://docs.google.com/spreadsheets/d/1MeEWN-I1oV_STSDYn1IFDPWt_1FKiwhDph83XaGc0o0/edit?usp=sharing"",""งบพรบ!EE63"")"),0)</f>
        <v>0</v>
      </c>
      <c r="G63" s="82">
        <f ca="1">IFERROR(__xludf.DUMMYFUNCTION("IMPORTRANGE(""https://docs.google.com/spreadsheets/d/1MeEWN-I1oV_STSDYn1IFDPWt_1FKiwhDph83XaGc0o0/edit?usp=sharing"",""งบพรบ!EF63"")"),0)</f>
        <v>0</v>
      </c>
      <c r="H63" s="82">
        <f ca="1">IFERROR(__xludf.DUMMYFUNCTION("IMPORTRANGE(""https://docs.google.com/spreadsheets/d/1MeEWN-I1oV_STSDYn1IFDPWt_1FKiwhDph83XaGc0o0/edit?usp=sharing"",""งบพรบ!EH63"")"),0)</f>
        <v>0</v>
      </c>
      <c r="I63" s="82">
        <f ca="1">IFERROR(__xludf.DUMMYFUNCTION("IMPORTRANGE(""https://docs.google.com/spreadsheets/d/1MeEWN-I1oV_STSDYn1IFDPWt_1FKiwhDph83XaGc0o0/edit?usp=sharing"",""งบพรบ!EI63"")"),0)</f>
        <v>0</v>
      </c>
      <c r="J63" s="82">
        <f t="shared" ca="1" si="3"/>
        <v>0</v>
      </c>
      <c r="K63" s="83">
        <f t="shared" ca="1" si="4"/>
        <v>0</v>
      </c>
      <c r="L63" s="82">
        <f ca="1">IFERROR(__xludf.DUMMYFUNCTION("IMPORTRANGE(""https://docs.google.com/spreadsheets/d/1MeEWN-I1oV_STSDYn1IFDPWt_1FKiwhDph83XaGc0o0/edit?usp=sharing"",""งบพรบ!EJ63"")"),0)</f>
        <v>0</v>
      </c>
      <c r="M63" s="84">
        <f t="shared" ca="1" si="5"/>
        <v>0</v>
      </c>
      <c r="N63" s="84">
        <f t="shared" ca="1" si="6"/>
        <v>0</v>
      </c>
      <c r="O63" s="85">
        <f ca="1">IFERROR(__xludf.DUMMYFUNCTION("IMPORTRANGE(""https://docs.google.com/spreadsheets/d/1MeEWN-I1oV_STSDYn1IFDPWt_1FKiwhDph83XaGc0o0/edit?usp=sharing"",""งบพรบ!EK63"")"),0)</f>
        <v>0</v>
      </c>
      <c r="P63" s="85">
        <f t="shared" ca="1" si="18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IFERROR(__xludf.DUMMYFUNCTION("IMPORTRANGE(""https://docs.google.com/spreadsheets/d/1nYxRXgnCfTXtqUY1otYuTlnrzE0Tn-Y0YRsW5pkRVqo/edit?usp=sharing"",""ปราจีนบุรี!I325"")"),0)</f>
        <v>0</v>
      </c>
      <c r="S63" s="86">
        <f ca="1">IFERROR(__xludf.DUMMYFUNCTION("IMPORTRANGE(""https://docs.google.com/spreadsheets/d/1nYxRXgnCfTXtqUY1otYuTlnrzE0Tn-Y0YRsW5pkRVqo/edit?usp=sharing"",""ปราจีนบุรี!J325"")"),0)</f>
        <v>0</v>
      </c>
      <c r="T63" s="87">
        <f t="shared" ca="1" si="16"/>
        <v>0</v>
      </c>
    </row>
    <row r="64" spans="1:20" ht="21" customHeight="1" x14ac:dyDescent="0.2">
      <c r="A64" s="78">
        <v>12</v>
      </c>
      <c r="B64" s="79" t="s">
        <v>86</v>
      </c>
      <c r="C64" s="80">
        <f t="shared" ca="1" si="0"/>
        <v>0</v>
      </c>
      <c r="D64" s="81">
        <f t="shared" ca="1" si="26"/>
        <v>0</v>
      </c>
      <c r="E64" s="82">
        <f ca="1">IFERROR(__xludf.DUMMYFUNCTION("IMPORTRANGE(""https://docs.google.com/spreadsheets/d/1MeEWN-I1oV_STSDYn1IFDPWt_1FKiwhDph83XaGc0o0/edit?usp=sharing"",""งบพรบ!ED64"")"),0)</f>
        <v>0</v>
      </c>
      <c r="F64" s="82">
        <f ca="1">IFERROR(__xludf.DUMMYFUNCTION("IMPORTRANGE(""https://docs.google.com/spreadsheets/d/1MeEWN-I1oV_STSDYn1IFDPWt_1FKiwhDph83XaGc0o0/edit?usp=sharing"",""งบพรบ!EE64"")"),0)</f>
        <v>0</v>
      </c>
      <c r="G64" s="82">
        <f ca="1">IFERROR(__xludf.DUMMYFUNCTION("IMPORTRANGE(""https://docs.google.com/spreadsheets/d/1MeEWN-I1oV_STSDYn1IFDPWt_1FKiwhDph83XaGc0o0/edit?usp=sharing"",""งบพรบ!EF64"")"),0)</f>
        <v>0</v>
      </c>
      <c r="H64" s="82">
        <f ca="1">IFERROR(__xludf.DUMMYFUNCTION("IMPORTRANGE(""https://docs.google.com/spreadsheets/d/1MeEWN-I1oV_STSDYn1IFDPWt_1FKiwhDph83XaGc0o0/edit?usp=sharing"",""งบพรบ!EH64"")"),0)</f>
        <v>0</v>
      </c>
      <c r="I64" s="82">
        <f ca="1">IFERROR(__xludf.DUMMYFUNCTION("IMPORTRANGE(""https://docs.google.com/spreadsheets/d/1MeEWN-I1oV_STSDYn1IFDPWt_1FKiwhDph83XaGc0o0/edit?usp=sharing"",""งบพรบ!EI64"")"),0)</f>
        <v>0</v>
      </c>
      <c r="J64" s="82">
        <f t="shared" ca="1" si="3"/>
        <v>0</v>
      </c>
      <c r="K64" s="83">
        <f t="shared" ca="1" si="4"/>
        <v>0</v>
      </c>
      <c r="L64" s="82">
        <f ca="1">IFERROR(__xludf.DUMMYFUNCTION("IMPORTRANGE(""https://docs.google.com/spreadsheets/d/1MeEWN-I1oV_STSDYn1IFDPWt_1FKiwhDph83XaGc0o0/edit?usp=sharing"",""งบพรบ!EJ64"")"),0)</f>
        <v>0</v>
      </c>
      <c r="M64" s="84">
        <f t="shared" ca="1" si="5"/>
        <v>0</v>
      </c>
      <c r="N64" s="84">
        <f t="shared" ca="1" si="6"/>
        <v>0</v>
      </c>
      <c r="O64" s="85">
        <f ca="1">IFERROR(__xludf.DUMMYFUNCTION("IMPORTRANGE(""https://docs.google.com/spreadsheets/d/1MeEWN-I1oV_STSDYn1IFDPWt_1FKiwhDph83XaGc0o0/edit?usp=sharing"",""งบพรบ!EK64"")"),0)</f>
        <v>0</v>
      </c>
      <c r="P64" s="85">
        <f t="shared" ca="1" si="18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IFERROR(__xludf.DUMMYFUNCTION("IMPORTRANGE(""https://docs.google.com/spreadsheets/d/1nNHCLO8ZAXOMfQvxux7cf_hrzPAh8FAvaHq_ClKbZNo/edit?usp=sharing"",""พระนครศรีอยุธยา!I325"")"),0)</f>
        <v>0</v>
      </c>
      <c r="S64" s="86">
        <f ca="1">IFERROR(__xludf.DUMMYFUNCTION("IMPORTRANGE(""https://docs.google.com/spreadsheets/d/1nNHCLO8ZAXOMfQvxux7cf_hrzPAh8FAvaHq_ClKbZNo/edit?usp=sharing"",""พระนครศรีอยุธยา!J325"")"),0)</f>
        <v>0</v>
      </c>
      <c r="T64" s="87">
        <f t="shared" ca="1" si="16"/>
        <v>0</v>
      </c>
    </row>
    <row r="65" spans="1:20" ht="21" customHeight="1" x14ac:dyDescent="0.2">
      <c r="A65" s="78">
        <v>13</v>
      </c>
      <c r="B65" s="79" t="s">
        <v>87</v>
      </c>
      <c r="C65" s="80">
        <f t="shared" ca="1" si="0"/>
        <v>0</v>
      </c>
      <c r="D65" s="81">
        <f t="shared" ca="1" si="26"/>
        <v>0</v>
      </c>
      <c r="E65" s="82">
        <f ca="1">IFERROR(__xludf.DUMMYFUNCTION("IMPORTRANGE(""https://docs.google.com/spreadsheets/d/1MeEWN-I1oV_STSDYn1IFDPWt_1FKiwhDph83XaGc0o0/edit?usp=sharing"",""งบพรบ!ED65"")"),0)</f>
        <v>0</v>
      </c>
      <c r="F65" s="82">
        <f ca="1">IFERROR(__xludf.DUMMYFUNCTION("IMPORTRANGE(""https://docs.google.com/spreadsheets/d/1MeEWN-I1oV_STSDYn1IFDPWt_1FKiwhDph83XaGc0o0/edit?usp=sharing"",""งบพรบ!EE65"")"),0)</f>
        <v>0</v>
      </c>
      <c r="G65" s="82">
        <f ca="1">IFERROR(__xludf.DUMMYFUNCTION("IMPORTRANGE(""https://docs.google.com/spreadsheets/d/1MeEWN-I1oV_STSDYn1IFDPWt_1FKiwhDph83XaGc0o0/edit?usp=sharing"",""งบพรบ!EF65"")"),0)</f>
        <v>0</v>
      </c>
      <c r="H65" s="82">
        <f ca="1">IFERROR(__xludf.DUMMYFUNCTION("IMPORTRANGE(""https://docs.google.com/spreadsheets/d/1MeEWN-I1oV_STSDYn1IFDPWt_1FKiwhDph83XaGc0o0/edit?usp=sharing"",""งบพรบ!EH65"")"),0)</f>
        <v>0</v>
      </c>
      <c r="I65" s="82">
        <f ca="1">IFERROR(__xludf.DUMMYFUNCTION("IMPORTRANGE(""https://docs.google.com/spreadsheets/d/1MeEWN-I1oV_STSDYn1IFDPWt_1FKiwhDph83XaGc0o0/edit?usp=sharing"",""งบพรบ!EI65"")"),0)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IFERROR(__xludf.DUMMYFUNCTION("IMPORTRANGE(""https://docs.google.com/spreadsheets/d/1MeEWN-I1oV_STSDYn1IFDPWt_1FKiwhDph83XaGc0o0/edit?usp=sharing"",""งบพรบ!EJ65"")"),0)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IFERROR(__xludf.DUMMYFUNCTION("IMPORTRANGE(""https://docs.google.com/spreadsheets/d/1MeEWN-I1oV_STSDYn1IFDPWt_1FKiwhDph83XaGc0o0/edit?usp=sharing"",""งบพรบ!EK65"")"),0)</f>
        <v>0</v>
      </c>
      <c r="P65" s="85">
        <f t="shared" ca="1" si="18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IFERROR(__xludf.DUMMYFUNCTION("IMPORTRANGE(""https://docs.google.com/spreadsheets/d/1CdNicvf3i6yt4tJlCePe3V1Va76wYqW0QzMzTsaGRrA/edit?usp=sharing"",""เพชรบุรี!I325"")"),0)</f>
        <v>0</v>
      </c>
      <c r="S65" s="86">
        <f ca="1">IFERROR(__xludf.DUMMYFUNCTION("IMPORTRANGE(""https://docs.google.com/spreadsheets/d/1CdNicvf3i6yt4tJlCePe3V1Va76wYqW0QzMzTsaGRrA/edit?usp=sharing"",""เพชรบุรี!J325"")"),0)</f>
        <v>0</v>
      </c>
      <c r="T65" s="87">
        <f t="shared" ca="1" si="16"/>
        <v>0</v>
      </c>
    </row>
    <row r="66" spans="1:20" ht="21" customHeight="1" x14ac:dyDescent="0.2">
      <c r="A66" s="78">
        <v>14</v>
      </c>
      <c r="B66" s="79" t="s">
        <v>88</v>
      </c>
      <c r="C66" s="80">
        <f t="shared" ca="1" si="0"/>
        <v>0</v>
      </c>
      <c r="D66" s="81">
        <f t="shared" ca="1" si="26"/>
        <v>0</v>
      </c>
      <c r="E66" s="82">
        <f ca="1">IFERROR(__xludf.DUMMYFUNCTION("IMPORTRANGE(""https://docs.google.com/spreadsheets/d/1MeEWN-I1oV_STSDYn1IFDPWt_1FKiwhDph83XaGc0o0/edit?usp=sharing"",""งบพรบ!ED66"")"),0)</f>
        <v>0</v>
      </c>
      <c r="F66" s="82">
        <f ca="1">IFERROR(__xludf.DUMMYFUNCTION("IMPORTRANGE(""https://docs.google.com/spreadsheets/d/1MeEWN-I1oV_STSDYn1IFDPWt_1FKiwhDph83XaGc0o0/edit?usp=sharing"",""งบพรบ!EE66"")"),0)</f>
        <v>0</v>
      </c>
      <c r="G66" s="82">
        <f ca="1">IFERROR(__xludf.DUMMYFUNCTION("IMPORTRANGE(""https://docs.google.com/spreadsheets/d/1MeEWN-I1oV_STSDYn1IFDPWt_1FKiwhDph83XaGc0o0/edit?usp=sharing"",""งบพรบ!EF66"")"),0)</f>
        <v>0</v>
      </c>
      <c r="H66" s="82">
        <f ca="1">IFERROR(__xludf.DUMMYFUNCTION("IMPORTRANGE(""https://docs.google.com/spreadsheets/d/1MeEWN-I1oV_STSDYn1IFDPWt_1FKiwhDph83XaGc0o0/edit?usp=sharing"",""งบพรบ!EH66"")"),0)</f>
        <v>0</v>
      </c>
      <c r="I66" s="82">
        <f ca="1">IFERROR(__xludf.DUMMYFUNCTION("IMPORTRANGE(""https://docs.google.com/spreadsheets/d/1MeEWN-I1oV_STSDYn1IFDPWt_1FKiwhDph83XaGc0o0/edit?usp=sharing"",""งบพรบ!EI66"")"),0)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IFERROR(__xludf.DUMMYFUNCTION("IMPORTRANGE(""https://docs.google.com/spreadsheets/d/1MeEWN-I1oV_STSDYn1IFDPWt_1FKiwhDph83XaGc0o0/edit?usp=sharing"",""งบพรบ!EJ66"")"),0)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IFERROR(__xludf.DUMMYFUNCTION("IMPORTRANGE(""https://docs.google.com/spreadsheets/d/1MeEWN-I1oV_STSDYn1IFDPWt_1FKiwhDph83XaGc0o0/edit?usp=sharing"",""งบพรบ!EK66"")"),0)</f>
        <v>0</v>
      </c>
      <c r="P66" s="85">
        <f t="shared" ca="1" si="18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IFERROR(__xludf.DUMMYFUNCTION("IMPORTRANGE(""https://docs.google.com/spreadsheets/d/1XiF77UIVHV0Kjc6xbXuOuJ10WgJYxd4p_22ngKVV5oM/edit?usp=sharing"",""ระยอง!I325"")"),0)</f>
        <v>0</v>
      </c>
      <c r="S66" s="86">
        <f ca="1">IFERROR(__xludf.DUMMYFUNCTION("IMPORTRANGE(""https://docs.google.com/spreadsheets/d/1XiF77UIVHV0Kjc6xbXuOuJ10WgJYxd4p_22ngKVV5oM/edit?usp=sharing"",""ระยอง!J325"")"),0)</f>
        <v>0</v>
      </c>
      <c r="T66" s="87">
        <f t="shared" ca="1" si="16"/>
        <v>0</v>
      </c>
    </row>
    <row r="67" spans="1:20" ht="21" customHeight="1" x14ac:dyDescent="0.2">
      <c r="A67" s="78">
        <v>15</v>
      </c>
      <c r="B67" s="79" t="s">
        <v>89</v>
      </c>
      <c r="C67" s="80">
        <f t="shared" ca="1" si="0"/>
        <v>0</v>
      </c>
      <c r="D67" s="81">
        <f t="shared" ca="1" si="26"/>
        <v>0</v>
      </c>
      <c r="E67" s="82">
        <f ca="1">IFERROR(__xludf.DUMMYFUNCTION("IMPORTRANGE(""https://docs.google.com/spreadsheets/d/1MeEWN-I1oV_STSDYn1IFDPWt_1FKiwhDph83XaGc0o0/edit?usp=sharing"",""งบพรบ!ED67"")"),0)</f>
        <v>0</v>
      </c>
      <c r="F67" s="82">
        <f ca="1">IFERROR(__xludf.DUMMYFUNCTION("IMPORTRANGE(""https://docs.google.com/spreadsheets/d/1MeEWN-I1oV_STSDYn1IFDPWt_1FKiwhDph83XaGc0o0/edit?usp=sharing"",""งบพรบ!EE67"")"),0)</f>
        <v>0</v>
      </c>
      <c r="G67" s="82">
        <f ca="1">IFERROR(__xludf.DUMMYFUNCTION("IMPORTRANGE(""https://docs.google.com/spreadsheets/d/1MeEWN-I1oV_STSDYn1IFDPWt_1FKiwhDph83XaGc0o0/edit?usp=sharing"",""งบพรบ!EF67"")"),0)</f>
        <v>0</v>
      </c>
      <c r="H67" s="82">
        <f ca="1">IFERROR(__xludf.DUMMYFUNCTION("IMPORTRANGE(""https://docs.google.com/spreadsheets/d/1MeEWN-I1oV_STSDYn1IFDPWt_1FKiwhDph83XaGc0o0/edit?usp=sharing"",""งบพรบ!EH67"")"),0)</f>
        <v>0</v>
      </c>
      <c r="I67" s="82">
        <f ca="1">IFERROR(__xludf.DUMMYFUNCTION("IMPORTRANGE(""https://docs.google.com/spreadsheets/d/1MeEWN-I1oV_STSDYn1IFDPWt_1FKiwhDph83XaGc0o0/edit?usp=sharing"",""งบพรบ!EI67"")"),0)</f>
        <v>0</v>
      </c>
      <c r="J67" s="82">
        <f t="shared" ca="1" si="3"/>
        <v>0</v>
      </c>
      <c r="K67" s="83">
        <f t="shared" ca="1" si="4"/>
        <v>0</v>
      </c>
      <c r="L67" s="82">
        <f ca="1">IFERROR(__xludf.DUMMYFUNCTION("IMPORTRANGE(""https://docs.google.com/spreadsheets/d/1MeEWN-I1oV_STSDYn1IFDPWt_1FKiwhDph83XaGc0o0/edit?usp=sharing"",""งบพรบ!EJ67"")"),0)</f>
        <v>0</v>
      </c>
      <c r="M67" s="84">
        <f t="shared" ca="1" si="5"/>
        <v>0</v>
      </c>
      <c r="N67" s="84">
        <f t="shared" ca="1" si="6"/>
        <v>0</v>
      </c>
      <c r="O67" s="85">
        <f ca="1">IFERROR(__xludf.DUMMYFUNCTION("IMPORTRANGE(""https://docs.google.com/spreadsheets/d/1MeEWN-I1oV_STSDYn1IFDPWt_1FKiwhDph83XaGc0o0/edit?usp=sharing"",""งบพรบ!EK67"")"),0)</f>
        <v>0</v>
      </c>
      <c r="P67" s="85">
        <f t="shared" ca="1" si="18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IFERROR(__xludf.DUMMYFUNCTION("IMPORTRANGE(""https://docs.google.com/spreadsheets/d/1qU-W_9MCQD1pgIVXGEOjCFo9QqlmJywuebyGgaN92r8/edit?usp=sharing"",""ราชบุรี!I325"")"),0)</f>
        <v>0</v>
      </c>
      <c r="S67" s="86">
        <f ca="1">IFERROR(__xludf.DUMMYFUNCTION("IMPORTRANGE(""https://docs.google.com/spreadsheets/d/1qU-W_9MCQD1pgIVXGEOjCFo9QqlmJywuebyGgaN92r8/edit?usp=sharing"",""ราชบุรี!J325"")"),0)</f>
        <v>0</v>
      </c>
      <c r="T67" s="87">
        <f t="shared" ca="1" si="16"/>
        <v>0</v>
      </c>
    </row>
    <row r="68" spans="1:20" ht="24" customHeight="1" x14ac:dyDescent="0.2">
      <c r="A68" s="78">
        <v>16</v>
      </c>
      <c r="B68" s="79" t="s">
        <v>90</v>
      </c>
      <c r="C68" s="80">
        <f t="shared" ca="1" si="0"/>
        <v>0</v>
      </c>
      <c r="D68" s="81">
        <f t="shared" ca="1" si="26"/>
        <v>0</v>
      </c>
      <c r="E68" s="82">
        <f ca="1">IFERROR(__xludf.DUMMYFUNCTION("IMPORTRANGE(""https://docs.google.com/spreadsheets/d/1MeEWN-I1oV_STSDYn1IFDPWt_1FKiwhDph83XaGc0o0/edit?usp=sharing"",""งบพรบ!ED68"")"),0)</f>
        <v>0</v>
      </c>
      <c r="F68" s="82">
        <f ca="1">IFERROR(__xludf.DUMMYFUNCTION("IMPORTRANGE(""https://docs.google.com/spreadsheets/d/1MeEWN-I1oV_STSDYn1IFDPWt_1FKiwhDph83XaGc0o0/edit?usp=sharing"",""งบพรบ!EE68"")"),0)</f>
        <v>0</v>
      </c>
      <c r="G68" s="82">
        <f ca="1">IFERROR(__xludf.DUMMYFUNCTION("IMPORTRANGE(""https://docs.google.com/spreadsheets/d/1MeEWN-I1oV_STSDYn1IFDPWt_1FKiwhDph83XaGc0o0/edit?usp=sharing"",""งบพรบ!EF68"")"),0)</f>
        <v>0</v>
      </c>
      <c r="H68" s="82">
        <f ca="1">IFERROR(__xludf.DUMMYFUNCTION("IMPORTRANGE(""https://docs.google.com/spreadsheets/d/1MeEWN-I1oV_STSDYn1IFDPWt_1FKiwhDph83XaGc0o0/edit?usp=sharing"",""งบพรบ!EH68"")"),0)</f>
        <v>0</v>
      </c>
      <c r="I68" s="82">
        <f ca="1">IFERROR(__xludf.DUMMYFUNCTION("IMPORTRANGE(""https://docs.google.com/spreadsheets/d/1MeEWN-I1oV_STSDYn1IFDPWt_1FKiwhDph83XaGc0o0/edit?usp=sharing"",""งบพรบ!EI68"")"),0)</f>
        <v>0</v>
      </c>
      <c r="J68" s="82">
        <f t="shared" ca="1" si="3"/>
        <v>0</v>
      </c>
      <c r="K68" s="83">
        <f t="shared" ca="1" si="4"/>
        <v>0</v>
      </c>
      <c r="L68" s="82">
        <f ca="1">IFERROR(__xludf.DUMMYFUNCTION("IMPORTRANGE(""https://docs.google.com/spreadsheets/d/1MeEWN-I1oV_STSDYn1IFDPWt_1FKiwhDph83XaGc0o0/edit?usp=sharing"",""งบพรบ!EJ68"")"),0)</f>
        <v>0</v>
      </c>
      <c r="M68" s="84">
        <f t="shared" ca="1" si="5"/>
        <v>0</v>
      </c>
      <c r="N68" s="84">
        <f t="shared" ca="1" si="6"/>
        <v>0</v>
      </c>
      <c r="O68" s="85">
        <f ca="1">IFERROR(__xludf.DUMMYFUNCTION("IMPORTRANGE(""https://docs.google.com/spreadsheets/d/1MeEWN-I1oV_STSDYn1IFDPWt_1FKiwhDph83XaGc0o0/edit?usp=sharing"",""งบพรบ!EK68"")"),0)</f>
        <v>0</v>
      </c>
      <c r="P68" s="85">
        <f t="shared" ca="1" si="18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IFERROR(__xludf.DUMMYFUNCTION("IMPORTRANGE(""https://docs.google.com/spreadsheets/d/1xYFIxIM_CspAP5Q-5Zx_V0T_Ut3cjryrjd2hss28vGk/edit?usp=sharing"",""ลพบุรี!I325"")"),0)</f>
        <v>0</v>
      </c>
      <c r="S68" s="86">
        <f ca="1">IFERROR(__xludf.DUMMYFUNCTION("IMPORTRANGE(""https://docs.google.com/spreadsheets/d/1xYFIxIM_CspAP5Q-5Zx_V0T_Ut3cjryrjd2hss28vGk/edit?usp=sharing"",""ลพบุรี!J325"")"),0)</f>
        <v>0</v>
      </c>
      <c r="T68" s="87">
        <f t="shared" ca="1" si="16"/>
        <v>0</v>
      </c>
    </row>
    <row r="69" spans="1:20" ht="21" customHeight="1" x14ac:dyDescent="0.2">
      <c r="A69" s="78">
        <v>17</v>
      </c>
      <c r="B69" s="79" t="s">
        <v>91</v>
      </c>
      <c r="C69" s="80">
        <f t="shared" ca="1" si="0"/>
        <v>153000</v>
      </c>
      <c r="D69" s="81">
        <f t="shared" ca="1" si="26"/>
        <v>153000</v>
      </c>
      <c r="E69" s="82">
        <f ca="1">IFERROR(__xludf.DUMMYFUNCTION("IMPORTRANGE(""https://docs.google.com/spreadsheets/d/1MeEWN-I1oV_STSDYn1IFDPWt_1FKiwhDph83XaGc0o0/edit?usp=sharing"",""งบพรบ!ED69"")"),0)</f>
        <v>0</v>
      </c>
      <c r="F69" s="82">
        <f ca="1">IFERROR(__xludf.DUMMYFUNCTION("IMPORTRANGE(""https://docs.google.com/spreadsheets/d/1MeEWN-I1oV_STSDYn1IFDPWt_1FKiwhDph83XaGc0o0/edit?usp=sharing"",""งบพรบ!EE69"")"),153000)</f>
        <v>153000</v>
      </c>
      <c r="G69" s="82">
        <f ca="1">IFERROR(__xludf.DUMMYFUNCTION("IMPORTRANGE(""https://docs.google.com/spreadsheets/d/1MeEWN-I1oV_STSDYn1IFDPWt_1FKiwhDph83XaGc0o0/edit?usp=sharing"",""งบพรบ!EF69"")"),0)</f>
        <v>0</v>
      </c>
      <c r="H69" s="82">
        <f ca="1">IFERROR(__xludf.DUMMYFUNCTION("IMPORTRANGE(""https://docs.google.com/spreadsheets/d/1MeEWN-I1oV_STSDYn1IFDPWt_1FKiwhDph83XaGc0o0/edit?usp=sharing"",""งบพรบ!EH69"")"),114500)</f>
        <v>114500</v>
      </c>
      <c r="I69" s="82">
        <f ca="1">IFERROR(__xludf.DUMMYFUNCTION("IMPORTRANGE(""https://docs.google.com/spreadsheets/d/1MeEWN-I1oV_STSDYn1IFDPWt_1FKiwhDph83XaGc0o0/edit?usp=sharing"",""งบพรบ!EI69"")"),0)</f>
        <v>0</v>
      </c>
      <c r="J69" s="82">
        <f t="shared" ca="1" si="3"/>
        <v>48448.82</v>
      </c>
      <c r="K69" s="83">
        <f t="shared" ca="1" si="4"/>
        <v>31.665895424836602</v>
      </c>
      <c r="L69" s="82">
        <f ca="1">IFERROR(__xludf.DUMMYFUNCTION("IMPORTRANGE(""https://docs.google.com/spreadsheets/d/1MeEWN-I1oV_STSDYn1IFDPWt_1FKiwhDph83XaGc0o0/edit?usp=sharing"",""งบพรบ!EJ69"")"),48448.82)</f>
        <v>48448.82</v>
      </c>
      <c r="M69" s="84">
        <f t="shared" ca="1" si="5"/>
        <v>31.665895424836602</v>
      </c>
      <c r="N69" s="84">
        <f t="shared" ca="1" si="6"/>
        <v>42.313379912663756</v>
      </c>
      <c r="O69" s="85">
        <f ca="1">IFERROR(__xludf.DUMMYFUNCTION("IMPORTRANGE(""https://docs.google.com/spreadsheets/d/1MeEWN-I1oV_STSDYn1IFDPWt_1FKiwhDph83XaGc0o0/edit?usp=sharing"",""งบพรบ!EK69"")"),0)</f>
        <v>0</v>
      </c>
      <c r="P69" s="85">
        <f t="shared" ca="1" si="18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IFERROR(__xludf.DUMMYFUNCTION("IMPORTRANGE(""https://docs.google.com/spreadsheets/d/11s9m3tKsCBdPWq6syhZm27eBGbKneDLZc75co106bio/edit?usp=sharing"",""สระแก้ว!I325"")"),2)</f>
        <v>2</v>
      </c>
      <c r="S69" s="86">
        <f ca="1">IFERROR(__xludf.DUMMYFUNCTION("IMPORTRANGE(""https://docs.google.com/spreadsheets/d/11s9m3tKsCBdPWq6syhZm27eBGbKneDLZc75co106bio/edit?usp=sharing"",""สระแก้ว!J325"")"),1)</f>
        <v>1</v>
      </c>
      <c r="T69" s="87">
        <f t="shared" ca="1" si="16"/>
        <v>50</v>
      </c>
    </row>
    <row r="70" spans="1:20" ht="21" customHeight="1" x14ac:dyDescent="0.2">
      <c r="A70" s="78">
        <v>18</v>
      </c>
      <c r="B70" s="79" t="s">
        <v>92</v>
      </c>
      <c r="C70" s="80">
        <f t="shared" ca="1" si="0"/>
        <v>0</v>
      </c>
      <c r="D70" s="81">
        <f t="shared" ca="1" si="26"/>
        <v>0</v>
      </c>
      <c r="E70" s="82">
        <f ca="1">IFERROR(__xludf.DUMMYFUNCTION("IMPORTRANGE(""https://docs.google.com/spreadsheets/d/1MeEWN-I1oV_STSDYn1IFDPWt_1FKiwhDph83XaGc0o0/edit?usp=sharing"",""งบพรบ!ED70"")"),0)</f>
        <v>0</v>
      </c>
      <c r="F70" s="82">
        <f ca="1">IFERROR(__xludf.DUMMYFUNCTION("IMPORTRANGE(""https://docs.google.com/spreadsheets/d/1MeEWN-I1oV_STSDYn1IFDPWt_1FKiwhDph83XaGc0o0/edit?usp=sharing"",""งบพรบ!EE70"")"),0)</f>
        <v>0</v>
      </c>
      <c r="G70" s="82">
        <f ca="1">IFERROR(__xludf.DUMMYFUNCTION("IMPORTRANGE(""https://docs.google.com/spreadsheets/d/1MeEWN-I1oV_STSDYn1IFDPWt_1FKiwhDph83XaGc0o0/edit?usp=sharing"",""งบพรบ!EF70"")"),0)</f>
        <v>0</v>
      </c>
      <c r="H70" s="82">
        <f ca="1">IFERROR(__xludf.DUMMYFUNCTION("IMPORTRANGE(""https://docs.google.com/spreadsheets/d/1MeEWN-I1oV_STSDYn1IFDPWt_1FKiwhDph83XaGc0o0/edit?usp=sharing"",""งบพรบ!EH70"")"),0)</f>
        <v>0</v>
      </c>
      <c r="I70" s="82">
        <f ca="1">IFERROR(__xludf.DUMMYFUNCTION("IMPORTRANGE(""https://docs.google.com/spreadsheets/d/1MeEWN-I1oV_STSDYn1IFDPWt_1FKiwhDph83XaGc0o0/edit?usp=sharing"",""งบพรบ!EI70"")"),0)</f>
        <v>0</v>
      </c>
      <c r="J70" s="82">
        <f t="shared" ca="1" si="3"/>
        <v>0</v>
      </c>
      <c r="K70" s="83">
        <f t="shared" ca="1" si="4"/>
        <v>0</v>
      </c>
      <c r="L70" s="82">
        <f ca="1">IFERROR(__xludf.DUMMYFUNCTION("IMPORTRANGE(""https://docs.google.com/spreadsheets/d/1MeEWN-I1oV_STSDYn1IFDPWt_1FKiwhDph83XaGc0o0/edit?usp=sharing"",""งบพรบ!EJ70"")"),0)</f>
        <v>0</v>
      </c>
      <c r="M70" s="84">
        <f t="shared" ca="1" si="5"/>
        <v>0</v>
      </c>
      <c r="N70" s="84">
        <f t="shared" ca="1" si="6"/>
        <v>0</v>
      </c>
      <c r="O70" s="85">
        <f ca="1">IFERROR(__xludf.DUMMYFUNCTION("IMPORTRANGE(""https://docs.google.com/spreadsheets/d/1MeEWN-I1oV_STSDYn1IFDPWt_1FKiwhDph83XaGc0o0/edit?usp=sharing"",""งบพรบ!EK70"")"),0)</f>
        <v>0</v>
      </c>
      <c r="P70" s="85">
        <f t="shared" ca="1" si="18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IFERROR(__xludf.DUMMYFUNCTION("IMPORTRANGE(""https://docs.google.com/spreadsheets/d/1Nn1EvsFPtXldgpgVb3Rcng2K2cls68LFQsBh2FyW0Bg/edit?usp=sharing"",""สระบุรี!I325"")"),0)</f>
        <v>0</v>
      </c>
      <c r="S70" s="86">
        <f ca="1">IFERROR(__xludf.DUMMYFUNCTION("IMPORTRANGE(""https://docs.google.com/spreadsheets/d/1Nn1EvsFPtXldgpgVb3Rcng2K2cls68LFQsBh2FyW0Bg/edit?usp=sharing"",""สระบุรี!J325"")"),0)</f>
        <v>0</v>
      </c>
      <c r="T70" s="87">
        <f t="shared" ca="1" si="16"/>
        <v>0</v>
      </c>
    </row>
    <row r="71" spans="1:20" ht="21" customHeight="1" x14ac:dyDescent="0.2">
      <c r="A71" s="78">
        <v>19</v>
      </c>
      <c r="B71" s="79" t="s">
        <v>93</v>
      </c>
      <c r="C71" s="80">
        <f t="shared" ca="1" si="0"/>
        <v>0</v>
      </c>
      <c r="D71" s="81">
        <f t="shared" ca="1" si="26"/>
        <v>0</v>
      </c>
      <c r="E71" s="82">
        <f ca="1">IFERROR(__xludf.DUMMYFUNCTION("IMPORTRANGE(""https://docs.google.com/spreadsheets/d/1MeEWN-I1oV_STSDYn1IFDPWt_1FKiwhDph83XaGc0o0/edit?usp=sharing"",""งบพรบ!ED71"")"),0)</f>
        <v>0</v>
      </c>
      <c r="F71" s="82">
        <f ca="1">IFERROR(__xludf.DUMMYFUNCTION("IMPORTRANGE(""https://docs.google.com/spreadsheets/d/1MeEWN-I1oV_STSDYn1IFDPWt_1FKiwhDph83XaGc0o0/edit?usp=sharing"",""งบพรบ!EE71"")"),0)</f>
        <v>0</v>
      </c>
      <c r="G71" s="82">
        <f ca="1">IFERROR(__xludf.DUMMYFUNCTION("IMPORTRANGE(""https://docs.google.com/spreadsheets/d/1MeEWN-I1oV_STSDYn1IFDPWt_1FKiwhDph83XaGc0o0/edit?usp=sharing"",""งบพรบ!EF71"")"),0)</f>
        <v>0</v>
      </c>
      <c r="H71" s="82">
        <f ca="1">IFERROR(__xludf.DUMMYFUNCTION("IMPORTRANGE(""https://docs.google.com/spreadsheets/d/1MeEWN-I1oV_STSDYn1IFDPWt_1FKiwhDph83XaGc0o0/edit?usp=sharing"",""งบพรบ!EH71"")"),0)</f>
        <v>0</v>
      </c>
      <c r="I71" s="82">
        <f ca="1">IFERROR(__xludf.DUMMYFUNCTION("IMPORTRANGE(""https://docs.google.com/spreadsheets/d/1MeEWN-I1oV_STSDYn1IFDPWt_1FKiwhDph83XaGc0o0/edit?usp=sharing"",""งบพรบ!EI71"")"),0)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IFERROR(__xludf.DUMMYFUNCTION("IMPORTRANGE(""https://docs.google.com/spreadsheets/d/1MeEWN-I1oV_STSDYn1IFDPWt_1FKiwhDph83XaGc0o0/edit?usp=sharing"",""งบพรบ!EJ71"")"),0)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IFERROR(__xludf.DUMMYFUNCTION("IMPORTRANGE(""https://docs.google.com/spreadsheets/d/1MeEWN-I1oV_STSDYn1IFDPWt_1FKiwhDph83XaGc0o0/edit?usp=sharing"",""งบพรบ!EK71"")"),0)</f>
        <v>0</v>
      </c>
      <c r="P71" s="85">
        <f t="shared" ca="1" si="18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IFERROR(__xludf.DUMMYFUNCTION("IMPORTRANGE(""https://docs.google.com/spreadsheets/d/149xufxukrnEciK3WPbNpHwUK8BKEJxp3UcBG3Al6dA4/edit?usp=sharing"",""สิงห์บุรี!I325"")"),0)</f>
        <v>0</v>
      </c>
      <c r="S71" s="86">
        <f ca="1">IFERROR(__xludf.DUMMYFUNCTION("IMPORTRANGE(""https://docs.google.com/spreadsheets/d/149xufxukrnEciK3WPbNpHwUK8BKEJxp3UcBG3Al6dA4/edit?usp=sharing"",""สิงห์บุรี!J325"")"),0)</f>
        <v>0</v>
      </c>
      <c r="T71" s="87">
        <f t="shared" ca="1" si="16"/>
        <v>0</v>
      </c>
    </row>
    <row r="72" spans="1:20" ht="21" customHeight="1" x14ac:dyDescent="0.2">
      <c r="A72" s="78">
        <v>20</v>
      </c>
      <c r="B72" s="79" t="s">
        <v>94</v>
      </c>
      <c r="C72" s="80">
        <f t="shared" ca="1" si="0"/>
        <v>0</v>
      </c>
      <c r="D72" s="81">
        <f t="shared" ca="1" si="26"/>
        <v>0</v>
      </c>
      <c r="E72" s="82">
        <f ca="1">IFERROR(__xludf.DUMMYFUNCTION("IMPORTRANGE(""https://docs.google.com/spreadsheets/d/1MeEWN-I1oV_STSDYn1IFDPWt_1FKiwhDph83XaGc0o0/edit?usp=sharing"",""งบพรบ!ED72"")"),0)</f>
        <v>0</v>
      </c>
      <c r="F72" s="82">
        <f ca="1">IFERROR(__xludf.DUMMYFUNCTION("IMPORTRANGE(""https://docs.google.com/spreadsheets/d/1MeEWN-I1oV_STSDYn1IFDPWt_1FKiwhDph83XaGc0o0/edit?usp=sharing"",""งบพรบ!EE72"")"),0)</f>
        <v>0</v>
      </c>
      <c r="G72" s="82">
        <f ca="1">IFERROR(__xludf.DUMMYFUNCTION("IMPORTRANGE(""https://docs.google.com/spreadsheets/d/1MeEWN-I1oV_STSDYn1IFDPWt_1FKiwhDph83XaGc0o0/edit?usp=sharing"",""งบพรบ!EF72"")"),0)</f>
        <v>0</v>
      </c>
      <c r="H72" s="82">
        <f ca="1">IFERROR(__xludf.DUMMYFUNCTION("IMPORTRANGE(""https://docs.google.com/spreadsheets/d/1MeEWN-I1oV_STSDYn1IFDPWt_1FKiwhDph83XaGc0o0/edit?usp=sharing"",""งบพรบ!EH72"")"),0)</f>
        <v>0</v>
      </c>
      <c r="I72" s="82">
        <f ca="1">IFERROR(__xludf.DUMMYFUNCTION("IMPORTRANGE(""https://docs.google.com/spreadsheets/d/1MeEWN-I1oV_STSDYn1IFDPWt_1FKiwhDph83XaGc0o0/edit?usp=sharing"",""งบพรบ!EI72"")"),0)</f>
        <v>0</v>
      </c>
      <c r="J72" s="82">
        <f t="shared" ca="1" si="3"/>
        <v>0</v>
      </c>
      <c r="K72" s="83">
        <f t="shared" ca="1" si="4"/>
        <v>0</v>
      </c>
      <c r="L72" s="82">
        <f ca="1">IFERROR(__xludf.DUMMYFUNCTION("IMPORTRANGE(""https://docs.google.com/spreadsheets/d/1MeEWN-I1oV_STSDYn1IFDPWt_1FKiwhDph83XaGc0o0/edit?usp=sharing"",""งบพรบ!EJ72"")"),0)</f>
        <v>0</v>
      </c>
      <c r="M72" s="84">
        <f t="shared" ca="1" si="5"/>
        <v>0</v>
      </c>
      <c r="N72" s="84">
        <f t="shared" ca="1" si="6"/>
        <v>0</v>
      </c>
      <c r="O72" s="85">
        <f ca="1">IFERROR(__xludf.DUMMYFUNCTION("IMPORTRANGE(""https://docs.google.com/spreadsheets/d/1MeEWN-I1oV_STSDYn1IFDPWt_1FKiwhDph83XaGc0o0/edit?usp=sharing"",""งบพรบ!EK72"")"),0)</f>
        <v>0</v>
      </c>
      <c r="P72" s="85">
        <f t="shared" ca="1" si="18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IFERROR(__xludf.DUMMYFUNCTION("IMPORTRANGE(""https://docs.google.com/spreadsheets/d/132g-zJpz2uMKimp17uOIx8A7o3w1Z25zwJyXnwsB56c/edit?usp=sharing"",""สุพรรณบุรี!I325"")"),0)</f>
        <v>0</v>
      </c>
      <c r="S72" s="86">
        <f ca="1">IFERROR(__xludf.DUMMYFUNCTION("IMPORTRANGE(""https://docs.google.com/spreadsheets/d/132g-zJpz2uMKimp17uOIx8A7o3w1Z25zwJyXnwsB56c/edit?usp=sharing"",""สุพรรณบุรี!J325"")"),0)</f>
        <v>0</v>
      </c>
      <c r="T72" s="87">
        <f t="shared" ca="1" si="16"/>
        <v>0</v>
      </c>
    </row>
    <row r="73" spans="1:20" ht="21" customHeight="1" x14ac:dyDescent="0.2">
      <c r="A73" s="89">
        <v>21</v>
      </c>
      <c r="B73" s="90" t="s">
        <v>95</v>
      </c>
      <c r="C73" s="91">
        <f t="shared" ca="1" si="0"/>
        <v>0</v>
      </c>
      <c r="D73" s="92">
        <f t="shared" ca="1" si="26"/>
        <v>0</v>
      </c>
      <c r="E73" s="93">
        <f ca="1">IFERROR(__xludf.DUMMYFUNCTION("IMPORTRANGE(""https://docs.google.com/spreadsheets/d/1MeEWN-I1oV_STSDYn1IFDPWt_1FKiwhDph83XaGc0o0/edit?usp=sharing"",""งบพรบ!ED73"")"),0)</f>
        <v>0</v>
      </c>
      <c r="F73" s="93">
        <f ca="1">IFERROR(__xludf.DUMMYFUNCTION("IMPORTRANGE(""https://docs.google.com/spreadsheets/d/1MeEWN-I1oV_STSDYn1IFDPWt_1FKiwhDph83XaGc0o0/edit?usp=sharing"",""งบพรบ!EE73"")"),0)</f>
        <v>0</v>
      </c>
      <c r="G73" s="93">
        <f ca="1">IFERROR(__xludf.DUMMYFUNCTION("IMPORTRANGE(""https://docs.google.com/spreadsheets/d/1MeEWN-I1oV_STSDYn1IFDPWt_1FKiwhDph83XaGc0o0/edit?usp=sharing"",""งบพรบ!EF73"")"),0)</f>
        <v>0</v>
      </c>
      <c r="H73" s="93">
        <f ca="1">IFERROR(__xludf.DUMMYFUNCTION("IMPORTRANGE(""https://docs.google.com/spreadsheets/d/1MeEWN-I1oV_STSDYn1IFDPWt_1FKiwhDph83XaGc0o0/edit?usp=sharing"",""งบพรบ!EH73"")"),0)</f>
        <v>0</v>
      </c>
      <c r="I73" s="93">
        <f ca="1">IFERROR(__xludf.DUMMYFUNCTION("IMPORTRANGE(""https://docs.google.com/spreadsheets/d/1MeEWN-I1oV_STSDYn1IFDPWt_1FKiwhDph83XaGc0o0/edit?usp=sharing"",""งบพรบ!EI73"")"),0)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IFERROR(__xludf.DUMMYFUNCTION("IMPORTRANGE(""https://docs.google.com/spreadsheets/d/1MeEWN-I1oV_STSDYn1IFDPWt_1FKiwhDph83XaGc0o0/edit?usp=sharing"",""งบพรบ!EJ73"")"),0)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IFERROR(__xludf.DUMMYFUNCTION("IMPORTRANGE(""https://docs.google.com/spreadsheets/d/1MeEWN-I1oV_STSDYn1IFDPWt_1FKiwhDph83XaGc0o0/edit?usp=sharing"",""งบพรบ!EK73"")"),0)</f>
        <v>0</v>
      </c>
      <c r="P73" s="96">
        <f t="shared" ca="1" si="18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IFERROR(__xludf.DUMMYFUNCTION("IMPORTRANGE(""https://docs.google.com/spreadsheets/d/12Q_U0nVnFdxDFwa0pej9xvx8ZvLC9Dpi_vRro_aiG5g/edit?usp=sharing"",""อ่างทอง!I325"")"),0)</f>
        <v>0</v>
      </c>
      <c r="S73" s="97">
        <f ca="1">IFERROR(__xludf.DUMMYFUNCTION("IMPORTRANGE(""https://docs.google.com/spreadsheets/d/12Q_U0nVnFdxDFwa0pej9xvx8ZvLC9Dpi_vRro_aiG5g/edit?usp=sharing"",""อ่างทอง!J325"")"),0)</f>
        <v>0</v>
      </c>
      <c r="T73" s="98">
        <f t="shared" ca="1" si="16"/>
        <v>0</v>
      </c>
    </row>
    <row r="74" spans="1:20" ht="21" customHeight="1" x14ac:dyDescent="0.2">
      <c r="A74" s="377" t="s">
        <v>96</v>
      </c>
      <c r="B74" s="357"/>
      <c r="C74" s="104">
        <f t="shared" ca="1" si="0"/>
        <v>4641000</v>
      </c>
      <c r="D74" s="62">
        <f t="shared" ref="D74:I74" ca="1" si="27">SUM(D75:D88)</f>
        <v>1041000</v>
      </c>
      <c r="E74" s="62">
        <f t="shared" ca="1" si="27"/>
        <v>429000</v>
      </c>
      <c r="F74" s="62">
        <f t="shared" ca="1" si="27"/>
        <v>612000</v>
      </c>
      <c r="G74" s="62">
        <f t="shared" ca="1" si="27"/>
        <v>3600000</v>
      </c>
      <c r="H74" s="62">
        <f t="shared" ca="1" si="27"/>
        <v>832900</v>
      </c>
      <c r="I74" s="62">
        <f t="shared" ca="1" si="27"/>
        <v>3600000</v>
      </c>
      <c r="J74" s="62">
        <f t="shared" ca="1" si="3"/>
        <v>3938974.24</v>
      </c>
      <c r="K74" s="100">
        <f t="shared" ca="1" si="4"/>
        <v>84.873394527041583</v>
      </c>
      <c r="L74" s="62">
        <f ca="1">SUM(L75:L88)</f>
        <v>343974.24</v>
      </c>
      <c r="M74" s="101">
        <f t="shared" ca="1" si="5"/>
        <v>33.042674351585013</v>
      </c>
      <c r="N74" s="101">
        <f t="shared" ca="1" si="6"/>
        <v>41.29838395965902</v>
      </c>
      <c r="O74" s="102">
        <f ca="1">SUM(O75:O88)</f>
        <v>3595000</v>
      </c>
      <c r="P74" s="102">
        <f t="shared" ca="1" si="18"/>
        <v>99.861111111111114</v>
      </c>
      <c r="Q74" s="101">
        <f t="shared" ca="1" si="8"/>
        <v>99.861111111111114</v>
      </c>
      <c r="R74" s="62">
        <f t="shared" ref="R74:S74" ca="1" si="28">SUM(R75:R88)</f>
        <v>5</v>
      </c>
      <c r="S74" s="62">
        <f t="shared" ca="1" si="28"/>
        <v>4</v>
      </c>
      <c r="T74" s="101">
        <f t="shared" ca="1" si="16"/>
        <v>80</v>
      </c>
    </row>
    <row r="75" spans="1:20" ht="21" customHeight="1" x14ac:dyDescent="0.2">
      <c r="A75" s="68">
        <v>1</v>
      </c>
      <c r="B75" s="69" t="s">
        <v>97</v>
      </c>
      <c r="C75" s="103">
        <f t="shared" ca="1" si="0"/>
        <v>3753000</v>
      </c>
      <c r="D75" s="71">
        <f t="shared" ref="D75:D88" ca="1" si="29">+E75+F75</f>
        <v>153000</v>
      </c>
      <c r="E75" s="72">
        <f ca="1">IFERROR(__xludf.DUMMYFUNCTION("IMPORTRANGE(""https://docs.google.com/spreadsheets/d/1MeEWN-I1oV_STSDYn1IFDPWt_1FKiwhDph83XaGc0o0/edit?usp=sharing"",""งบพรบ!ED75"")"),0)</f>
        <v>0</v>
      </c>
      <c r="F75" s="72">
        <f ca="1">IFERROR(__xludf.DUMMYFUNCTION("IMPORTRANGE(""https://docs.google.com/spreadsheets/d/1MeEWN-I1oV_STSDYn1IFDPWt_1FKiwhDph83XaGc0o0/edit?usp=sharing"",""งบพรบ!EE75"")"),153000)</f>
        <v>153000</v>
      </c>
      <c r="G75" s="105">
        <f ca="1">IFERROR(__xludf.DUMMYFUNCTION("IMPORTRANGE(""https://docs.google.com/spreadsheets/d/1MeEWN-I1oV_STSDYn1IFDPWt_1FKiwhDph83XaGc0o0/edit?usp=sharing"",""งบพรบ!EF75"")"),3600000)</f>
        <v>3600000</v>
      </c>
      <c r="H75" s="105">
        <f ca="1">IFERROR(__xludf.DUMMYFUNCTION("IMPORTRANGE(""https://docs.google.com/spreadsheets/d/1MeEWN-I1oV_STSDYn1IFDPWt_1FKiwhDph83XaGc0o0/edit?usp=sharing"",""งบพรบ!EH75"")"),177400)</f>
        <v>177400</v>
      </c>
      <c r="I75" s="105">
        <f ca="1">IFERROR(__xludf.DUMMYFUNCTION("IMPORTRANGE(""https://docs.google.com/spreadsheets/d/1MeEWN-I1oV_STSDYn1IFDPWt_1FKiwhDph83XaGc0o0/edit?usp=sharing"",""งบพรบ!EI75"")"),3600000)</f>
        <v>3600000</v>
      </c>
      <c r="J75" s="105">
        <f t="shared" ca="1" si="3"/>
        <v>3708779.76</v>
      </c>
      <c r="K75" s="106">
        <f t="shared" ca="1" si="4"/>
        <v>98.82173621103118</v>
      </c>
      <c r="L75" s="82">
        <f ca="1">IFERROR(__xludf.DUMMYFUNCTION("IMPORTRANGE(""https://docs.google.com/spreadsheets/d/1MeEWN-I1oV_STSDYn1IFDPWt_1FKiwhDph83XaGc0o0/edit?usp=sharing"",""งบพรบ!EJ75"")"),113779.76)</f>
        <v>113779.76</v>
      </c>
      <c r="M75" s="75">
        <f t="shared" ca="1" si="5"/>
        <v>74.365856209150323</v>
      </c>
      <c r="N75" s="75">
        <f t="shared" ca="1" si="6"/>
        <v>64.137406989853432</v>
      </c>
      <c r="O75" s="76">
        <f ca="1">IFERROR(__xludf.DUMMYFUNCTION("IMPORTRANGE(""https://docs.google.com/spreadsheets/d/1MeEWN-I1oV_STSDYn1IFDPWt_1FKiwhDph83XaGc0o0/edit?usp=sharing"",""งบพรบ!EK75"")"),3595000)</f>
        <v>3595000</v>
      </c>
      <c r="P75" s="76">
        <f t="shared" ca="1" si="18"/>
        <v>99.861111111111114</v>
      </c>
      <c r="Q75" s="75">
        <f t="shared" ca="1" si="8"/>
        <v>99.861111111111114</v>
      </c>
      <c r="R75" s="73">
        <f ca="1">IFERROR(__xludf.DUMMYFUNCTION("IMPORTRANGE(""https://docs.google.com/spreadsheets/d/1kC41EOXpGBFOW658Fs3oD8beYlym0-zO54WY-2Qnp9I/edit?usp=sharing"",""กระบี่!I325"")"),2)</f>
        <v>2</v>
      </c>
      <c r="S75" s="73">
        <f ca="1">IFERROR(__xludf.DUMMYFUNCTION("IMPORTRANGE(""https://docs.google.com/spreadsheets/d/1kC41EOXpGBFOW658Fs3oD8beYlym0-zO54WY-2Qnp9I/edit?usp=sharing"",""กระบี่!J325"")"),2)</f>
        <v>2</v>
      </c>
      <c r="T75" s="77">
        <f t="shared" ca="1" si="16"/>
        <v>100</v>
      </c>
    </row>
    <row r="76" spans="1:20" ht="21" customHeight="1" x14ac:dyDescent="0.2">
      <c r="A76" s="78">
        <v>2</v>
      </c>
      <c r="B76" s="79" t="s">
        <v>98</v>
      </c>
      <c r="C76" s="80">
        <f t="shared" ca="1" si="0"/>
        <v>153000</v>
      </c>
      <c r="D76" s="81">
        <f t="shared" ca="1" si="29"/>
        <v>153000</v>
      </c>
      <c r="E76" s="82">
        <f ca="1">IFERROR(__xludf.DUMMYFUNCTION("IMPORTRANGE(""https://docs.google.com/spreadsheets/d/1MeEWN-I1oV_STSDYn1IFDPWt_1FKiwhDph83XaGc0o0/edit?usp=sharing"",""งบพรบ!ED76"")"),0)</f>
        <v>0</v>
      </c>
      <c r="F76" s="82">
        <f ca="1">IFERROR(__xludf.DUMMYFUNCTION("IMPORTRANGE(""https://docs.google.com/spreadsheets/d/1MeEWN-I1oV_STSDYn1IFDPWt_1FKiwhDph83XaGc0o0/edit?usp=sharing"",""งบพรบ!EE76"")"),153000)</f>
        <v>153000</v>
      </c>
      <c r="G76" s="82">
        <f ca="1">IFERROR(__xludf.DUMMYFUNCTION("IMPORTRANGE(""https://docs.google.com/spreadsheets/d/1MeEWN-I1oV_STSDYn1IFDPWt_1FKiwhDph83XaGc0o0/edit?usp=sharing"",""งบพรบ!EF76"")"),0)</f>
        <v>0</v>
      </c>
      <c r="H76" s="82">
        <f ca="1">IFERROR(__xludf.DUMMYFUNCTION("IMPORTRANGE(""https://docs.google.com/spreadsheets/d/1MeEWN-I1oV_STSDYn1IFDPWt_1FKiwhDph83XaGc0o0/edit?usp=sharing"",""งบพรบ!EH76"")"),114500)</f>
        <v>114500</v>
      </c>
      <c r="I76" s="82">
        <f ca="1">IFERROR(__xludf.DUMMYFUNCTION("IMPORTRANGE(""https://docs.google.com/spreadsheets/d/1MeEWN-I1oV_STSDYn1IFDPWt_1FKiwhDph83XaGc0o0/edit?usp=sharing"",""งบพรบ!EI76"")"),0)</f>
        <v>0</v>
      </c>
      <c r="J76" s="82">
        <f t="shared" ca="1" si="3"/>
        <v>42797.2</v>
      </c>
      <c r="K76" s="83">
        <f t="shared" ca="1" si="4"/>
        <v>27.972026143790849</v>
      </c>
      <c r="L76" s="82">
        <f ca="1">IFERROR(__xludf.DUMMYFUNCTION("IMPORTRANGE(""https://docs.google.com/spreadsheets/d/1MeEWN-I1oV_STSDYn1IFDPWt_1FKiwhDph83XaGc0o0/edit?usp=sharing"",""งบพรบ!EJ76"")"),42797.2)</f>
        <v>42797.2</v>
      </c>
      <c r="M76" s="84">
        <f t="shared" ca="1" si="5"/>
        <v>27.972026143790849</v>
      </c>
      <c r="N76" s="84">
        <f t="shared" ca="1" si="6"/>
        <v>37.377467248908296</v>
      </c>
      <c r="O76" s="85">
        <f ca="1">IFERROR(__xludf.DUMMYFUNCTION("IMPORTRANGE(""https://docs.google.com/spreadsheets/d/1MeEWN-I1oV_STSDYn1IFDPWt_1FKiwhDph83XaGc0o0/edit?usp=sharing"",""งบพรบ!EK76"")"),0)</f>
        <v>0</v>
      </c>
      <c r="P76" s="85">
        <f t="shared" ca="1" si="18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IFERROR(__xludf.DUMMYFUNCTION("IMPORTRANGE(""https://docs.google.com/spreadsheets/d/1FbzMZY_f3MDiEuK7RpCQKrilJ_kpX0Wm7QBZ1L7EjIU/edit?usp=sharing"",""ชุมพร!I325"")"),1)</f>
        <v>1</v>
      </c>
      <c r="S76" s="86">
        <f ca="1">IFERROR(__xludf.DUMMYFUNCTION("IMPORTRANGE(""https://docs.google.com/spreadsheets/d/1FbzMZY_f3MDiEuK7RpCQKrilJ_kpX0Wm7QBZ1L7EjIU/edit?usp=sharing"",""ชุมพร!J325"")"),1)</f>
        <v>1</v>
      </c>
      <c r="T76" s="87">
        <f t="shared" ca="1" si="16"/>
        <v>100</v>
      </c>
    </row>
    <row r="77" spans="1:20" ht="21" customHeight="1" x14ac:dyDescent="0.2">
      <c r="A77" s="78">
        <v>3</v>
      </c>
      <c r="B77" s="79" t="s">
        <v>99</v>
      </c>
      <c r="C77" s="80">
        <f t="shared" ca="1" si="0"/>
        <v>0</v>
      </c>
      <c r="D77" s="81">
        <f t="shared" ca="1" si="29"/>
        <v>0</v>
      </c>
      <c r="E77" s="82">
        <f ca="1">IFERROR(__xludf.DUMMYFUNCTION("IMPORTRANGE(""https://docs.google.com/spreadsheets/d/1MeEWN-I1oV_STSDYn1IFDPWt_1FKiwhDph83XaGc0o0/edit?usp=sharing"",""งบพรบ!ED77"")"),0)</f>
        <v>0</v>
      </c>
      <c r="F77" s="82">
        <f ca="1">IFERROR(__xludf.DUMMYFUNCTION("IMPORTRANGE(""https://docs.google.com/spreadsheets/d/1MeEWN-I1oV_STSDYn1IFDPWt_1FKiwhDph83XaGc0o0/edit?usp=sharing"",""งบพรบ!EE77"")"),0)</f>
        <v>0</v>
      </c>
      <c r="G77" s="82">
        <f ca="1">IFERROR(__xludf.DUMMYFUNCTION("IMPORTRANGE(""https://docs.google.com/spreadsheets/d/1MeEWN-I1oV_STSDYn1IFDPWt_1FKiwhDph83XaGc0o0/edit?usp=sharing"",""งบพรบ!EF77"")"),0)</f>
        <v>0</v>
      </c>
      <c r="H77" s="82">
        <f ca="1">IFERROR(__xludf.DUMMYFUNCTION("IMPORTRANGE(""https://docs.google.com/spreadsheets/d/1MeEWN-I1oV_STSDYn1IFDPWt_1FKiwhDph83XaGc0o0/edit?usp=sharing"",""งบพรบ!EH77"")"),0)</f>
        <v>0</v>
      </c>
      <c r="I77" s="82">
        <f ca="1">IFERROR(__xludf.DUMMYFUNCTION("IMPORTRANGE(""https://docs.google.com/spreadsheets/d/1MeEWN-I1oV_STSDYn1IFDPWt_1FKiwhDph83XaGc0o0/edit?usp=sharing"",""งบพรบ!EI77"")"),0)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IFERROR(__xludf.DUMMYFUNCTION("IMPORTRANGE(""https://docs.google.com/spreadsheets/d/1MeEWN-I1oV_STSDYn1IFDPWt_1FKiwhDph83XaGc0o0/edit?usp=sharing"",""งบพรบ!EJ77"")"),0)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IFERROR(__xludf.DUMMYFUNCTION("IMPORTRANGE(""https://docs.google.com/spreadsheets/d/1MeEWN-I1oV_STSDYn1IFDPWt_1FKiwhDph83XaGc0o0/edit?usp=sharing"",""งบพรบ!EK77"")"),0)</f>
        <v>0</v>
      </c>
      <c r="P77" s="85">
        <f t="shared" ca="1" si="18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IFERROR(__xludf.DUMMYFUNCTION("IMPORTRANGE(""https://docs.google.com/spreadsheets/d/1v5sN-00LrXuhBxw4dkh2GrG_z4l5oAqOdJRBCsUyMaM/edit?usp=sharing"",""ตรัง!I325"")"),0)</f>
        <v>0</v>
      </c>
      <c r="S77" s="86">
        <f ca="1">IFERROR(__xludf.DUMMYFUNCTION("IMPORTRANGE(""https://docs.google.com/spreadsheets/d/1v5sN-00LrXuhBxw4dkh2GrG_z4l5oAqOdJRBCsUyMaM/edit?usp=sharing"",""ตรัง!J325"")"),0)</f>
        <v>0</v>
      </c>
      <c r="T77" s="87">
        <f t="shared" ca="1" si="16"/>
        <v>0</v>
      </c>
    </row>
    <row r="78" spans="1:20" ht="21" customHeight="1" x14ac:dyDescent="0.2">
      <c r="A78" s="78">
        <v>4</v>
      </c>
      <c r="B78" s="79" t="s">
        <v>100</v>
      </c>
      <c r="C78" s="80">
        <f t="shared" ca="1" si="0"/>
        <v>0</v>
      </c>
      <c r="D78" s="81">
        <f t="shared" ca="1" si="29"/>
        <v>0</v>
      </c>
      <c r="E78" s="82">
        <f ca="1">IFERROR(__xludf.DUMMYFUNCTION("IMPORTRANGE(""https://docs.google.com/spreadsheets/d/1MeEWN-I1oV_STSDYn1IFDPWt_1FKiwhDph83XaGc0o0/edit?usp=sharing"",""งบพรบ!ED78"")"),0)</f>
        <v>0</v>
      </c>
      <c r="F78" s="82">
        <f ca="1">IFERROR(__xludf.DUMMYFUNCTION("IMPORTRANGE(""https://docs.google.com/spreadsheets/d/1MeEWN-I1oV_STSDYn1IFDPWt_1FKiwhDph83XaGc0o0/edit?usp=sharing"",""งบพรบ!EE78"")"),0)</f>
        <v>0</v>
      </c>
      <c r="G78" s="82">
        <f ca="1">IFERROR(__xludf.DUMMYFUNCTION("IMPORTRANGE(""https://docs.google.com/spreadsheets/d/1MeEWN-I1oV_STSDYn1IFDPWt_1FKiwhDph83XaGc0o0/edit?usp=sharing"",""งบพรบ!EF78"")"),0)</f>
        <v>0</v>
      </c>
      <c r="H78" s="82">
        <f ca="1">IFERROR(__xludf.DUMMYFUNCTION("IMPORTRANGE(""https://docs.google.com/spreadsheets/d/1MeEWN-I1oV_STSDYn1IFDPWt_1FKiwhDph83XaGc0o0/edit?usp=sharing"",""งบพรบ!EH78"")"),0)</f>
        <v>0</v>
      </c>
      <c r="I78" s="82">
        <f ca="1">IFERROR(__xludf.DUMMYFUNCTION("IMPORTRANGE(""https://docs.google.com/spreadsheets/d/1MeEWN-I1oV_STSDYn1IFDPWt_1FKiwhDph83XaGc0o0/edit?usp=sharing"",""งบพรบ!EI78"")"),0)</f>
        <v>0</v>
      </c>
      <c r="J78" s="82">
        <f t="shared" ca="1" si="3"/>
        <v>0</v>
      </c>
      <c r="K78" s="83">
        <f t="shared" ca="1" si="4"/>
        <v>0</v>
      </c>
      <c r="L78" s="82">
        <f ca="1">IFERROR(__xludf.DUMMYFUNCTION("IMPORTRANGE(""https://docs.google.com/spreadsheets/d/1MeEWN-I1oV_STSDYn1IFDPWt_1FKiwhDph83XaGc0o0/edit?usp=sharing"",""งบพรบ!EJ78"")"),0)</f>
        <v>0</v>
      </c>
      <c r="M78" s="84">
        <f t="shared" ca="1" si="5"/>
        <v>0</v>
      </c>
      <c r="N78" s="84">
        <f t="shared" ca="1" si="6"/>
        <v>0</v>
      </c>
      <c r="O78" s="85">
        <f ca="1">IFERROR(__xludf.DUMMYFUNCTION("IMPORTRANGE(""https://docs.google.com/spreadsheets/d/1MeEWN-I1oV_STSDYn1IFDPWt_1FKiwhDph83XaGc0o0/edit?usp=sharing"",""งบพรบ!EK78"")"),0)</f>
        <v>0</v>
      </c>
      <c r="P78" s="85">
        <f t="shared" ca="1" si="18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IFERROR(__xludf.DUMMYFUNCTION("IMPORTRANGE(""https://docs.google.com/spreadsheets/d/1T5rRTzFc79aSIvqnzkZNvwPstq829QYz_xALlO1Z0s8/edit?usp=sharing"",""นครศรีธรรมราช!I325"")"),0)</f>
        <v>0</v>
      </c>
      <c r="S78" s="86">
        <f ca="1">IFERROR(__xludf.DUMMYFUNCTION("IMPORTRANGE(""https://docs.google.com/spreadsheets/d/1T5rRTzFc79aSIvqnzkZNvwPstq829QYz_xALlO1Z0s8/edit?usp=sharing"",""นครศรีธรรมราช!J325"")"),0)</f>
        <v>0</v>
      </c>
      <c r="T78" s="87">
        <f t="shared" ca="1" si="16"/>
        <v>0</v>
      </c>
    </row>
    <row r="79" spans="1:20" ht="21" customHeight="1" x14ac:dyDescent="0.2">
      <c r="A79" s="78">
        <v>5</v>
      </c>
      <c r="B79" s="79" t="s">
        <v>101</v>
      </c>
      <c r="C79" s="80">
        <f t="shared" ca="1" si="0"/>
        <v>0</v>
      </c>
      <c r="D79" s="81">
        <f t="shared" ca="1" si="29"/>
        <v>0</v>
      </c>
      <c r="E79" s="82">
        <f ca="1">IFERROR(__xludf.DUMMYFUNCTION("IMPORTRANGE(""https://docs.google.com/spreadsheets/d/1MeEWN-I1oV_STSDYn1IFDPWt_1FKiwhDph83XaGc0o0/edit?usp=sharing"",""งบพรบ!ED79"")"),0)</f>
        <v>0</v>
      </c>
      <c r="F79" s="82">
        <f ca="1">IFERROR(__xludf.DUMMYFUNCTION("IMPORTRANGE(""https://docs.google.com/spreadsheets/d/1MeEWN-I1oV_STSDYn1IFDPWt_1FKiwhDph83XaGc0o0/edit?usp=sharing"",""งบพรบ!EE79"")"),0)</f>
        <v>0</v>
      </c>
      <c r="G79" s="82">
        <f ca="1">IFERROR(__xludf.DUMMYFUNCTION("IMPORTRANGE(""https://docs.google.com/spreadsheets/d/1MeEWN-I1oV_STSDYn1IFDPWt_1FKiwhDph83XaGc0o0/edit?usp=sharing"",""งบพรบ!EF79"")"),0)</f>
        <v>0</v>
      </c>
      <c r="H79" s="82">
        <f ca="1">IFERROR(__xludf.DUMMYFUNCTION("IMPORTRANGE(""https://docs.google.com/spreadsheets/d/1MeEWN-I1oV_STSDYn1IFDPWt_1FKiwhDph83XaGc0o0/edit?usp=sharing"",""งบพรบ!EH79"")"),0)</f>
        <v>0</v>
      </c>
      <c r="I79" s="82">
        <f ca="1">IFERROR(__xludf.DUMMYFUNCTION("IMPORTRANGE(""https://docs.google.com/spreadsheets/d/1MeEWN-I1oV_STSDYn1IFDPWt_1FKiwhDph83XaGc0o0/edit?usp=sharing"",""งบพรบ!EI79"")"),0)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IFERROR(__xludf.DUMMYFUNCTION("IMPORTRANGE(""https://docs.google.com/spreadsheets/d/1MeEWN-I1oV_STSDYn1IFDPWt_1FKiwhDph83XaGc0o0/edit?usp=sharing"",""งบพรบ!EJ79"")"),0)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IFERROR(__xludf.DUMMYFUNCTION("IMPORTRANGE(""https://docs.google.com/spreadsheets/d/1MeEWN-I1oV_STSDYn1IFDPWt_1FKiwhDph83XaGc0o0/edit?usp=sharing"",""งบพรบ!EK79"")"),0)</f>
        <v>0</v>
      </c>
      <c r="P79" s="85">
        <f t="shared" ca="1" si="18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IFERROR(__xludf.DUMMYFUNCTION("IMPORTRANGE(""https://docs.google.com/spreadsheets/d/1BeghqumK0IvCmRd2QOy6_afsZq7ZtAGrSnVJy2u7WmY/edit?usp=sharing"",""นราธิวาส!I325"")"),0)</f>
        <v>0</v>
      </c>
      <c r="S79" s="86">
        <f ca="1">IFERROR(__xludf.DUMMYFUNCTION("IMPORTRANGE(""https://docs.google.com/spreadsheets/d/1BeghqumK0IvCmRd2QOy6_afsZq7ZtAGrSnVJy2u7WmY/edit?usp=sharing"",""นราธิวาส!J325"")"),0)</f>
        <v>0</v>
      </c>
      <c r="T79" s="87">
        <f t="shared" ca="1" si="16"/>
        <v>0</v>
      </c>
    </row>
    <row r="80" spans="1:20" ht="21" customHeight="1" x14ac:dyDescent="0.2">
      <c r="A80" s="78">
        <v>6</v>
      </c>
      <c r="B80" s="79" t="s">
        <v>102</v>
      </c>
      <c r="C80" s="80">
        <f t="shared" ca="1" si="0"/>
        <v>0</v>
      </c>
      <c r="D80" s="81">
        <f t="shared" ca="1" si="29"/>
        <v>0</v>
      </c>
      <c r="E80" s="82">
        <f ca="1">IFERROR(__xludf.DUMMYFUNCTION("IMPORTRANGE(""https://docs.google.com/spreadsheets/d/1MeEWN-I1oV_STSDYn1IFDPWt_1FKiwhDph83XaGc0o0/edit?usp=sharing"",""งบพรบ!ED80"")"),0)</f>
        <v>0</v>
      </c>
      <c r="F80" s="82">
        <f ca="1">IFERROR(__xludf.DUMMYFUNCTION("IMPORTRANGE(""https://docs.google.com/spreadsheets/d/1MeEWN-I1oV_STSDYn1IFDPWt_1FKiwhDph83XaGc0o0/edit?usp=sharing"",""งบพรบ!EE80"")"),0)</f>
        <v>0</v>
      </c>
      <c r="G80" s="82">
        <f ca="1">IFERROR(__xludf.DUMMYFUNCTION("IMPORTRANGE(""https://docs.google.com/spreadsheets/d/1MeEWN-I1oV_STSDYn1IFDPWt_1FKiwhDph83XaGc0o0/edit?usp=sharing"",""งบพรบ!EF80"")"),0)</f>
        <v>0</v>
      </c>
      <c r="H80" s="82">
        <f ca="1">IFERROR(__xludf.DUMMYFUNCTION("IMPORTRANGE(""https://docs.google.com/spreadsheets/d/1MeEWN-I1oV_STSDYn1IFDPWt_1FKiwhDph83XaGc0o0/edit?usp=sharing"",""งบพรบ!EH80"")"),0)</f>
        <v>0</v>
      </c>
      <c r="I80" s="82">
        <f ca="1">IFERROR(__xludf.DUMMYFUNCTION("IMPORTRANGE(""https://docs.google.com/spreadsheets/d/1MeEWN-I1oV_STSDYn1IFDPWt_1FKiwhDph83XaGc0o0/edit?usp=sharing"",""งบพรบ!EI80"")"),0)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IFERROR(__xludf.DUMMYFUNCTION("IMPORTRANGE(""https://docs.google.com/spreadsheets/d/1MeEWN-I1oV_STSDYn1IFDPWt_1FKiwhDph83XaGc0o0/edit?usp=sharing"",""งบพรบ!EJ80"")"),0)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IFERROR(__xludf.DUMMYFUNCTION("IMPORTRANGE(""https://docs.google.com/spreadsheets/d/1MeEWN-I1oV_STSDYn1IFDPWt_1FKiwhDph83XaGc0o0/edit?usp=sharing"",""งบพรบ!EK80"")"),0)</f>
        <v>0</v>
      </c>
      <c r="P80" s="85">
        <f t="shared" ca="1" si="18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IFERROR(__xludf.DUMMYFUNCTION("IMPORTRANGE(""https://docs.google.com/spreadsheets/d/1IwnW3-jjRf74MCLW-6PiFwMUffRQXZwZA7YM609NmRc/edit?usp=sharing"",""ปัตตานี!I325"")"),0)</f>
        <v>0</v>
      </c>
      <c r="S80" s="86">
        <f ca="1">IFERROR(__xludf.DUMMYFUNCTION("IMPORTRANGE(""https://docs.google.com/spreadsheets/d/1IwnW3-jjRf74MCLW-6PiFwMUffRQXZwZA7YM609NmRc/edit?usp=sharing"",""ปัตตานี!J325"")"),0)</f>
        <v>0</v>
      </c>
      <c r="T80" s="87">
        <f t="shared" ca="1" si="16"/>
        <v>0</v>
      </c>
    </row>
    <row r="81" spans="1:20" ht="21" customHeight="1" x14ac:dyDescent="0.2">
      <c r="A81" s="78">
        <v>7</v>
      </c>
      <c r="B81" s="79" t="s">
        <v>103</v>
      </c>
      <c r="C81" s="80">
        <f t="shared" ca="1" si="0"/>
        <v>0</v>
      </c>
      <c r="D81" s="81">
        <f t="shared" ca="1" si="29"/>
        <v>0</v>
      </c>
      <c r="E81" s="82">
        <f ca="1">IFERROR(__xludf.DUMMYFUNCTION("IMPORTRANGE(""https://docs.google.com/spreadsheets/d/1MeEWN-I1oV_STSDYn1IFDPWt_1FKiwhDph83XaGc0o0/edit?usp=sharing"",""งบพรบ!ED81"")"),0)</f>
        <v>0</v>
      </c>
      <c r="F81" s="82">
        <f ca="1">IFERROR(__xludf.DUMMYFUNCTION("IMPORTRANGE(""https://docs.google.com/spreadsheets/d/1MeEWN-I1oV_STSDYn1IFDPWt_1FKiwhDph83XaGc0o0/edit?usp=sharing"",""งบพรบ!EE81"")"),0)</f>
        <v>0</v>
      </c>
      <c r="G81" s="82">
        <f ca="1">IFERROR(__xludf.DUMMYFUNCTION("IMPORTRANGE(""https://docs.google.com/spreadsheets/d/1MeEWN-I1oV_STSDYn1IFDPWt_1FKiwhDph83XaGc0o0/edit?usp=sharing"",""งบพรบ!EF81"")"),0)</f>
        <v>0</v>
      </c>
      <c r="H81" s="82">
        <f ca="1">IFERROR(__xludf.DUMMYFUNCTION("IMPORTRANGE(""https://docs.google.com/spreadsheets/d/1MeEWN-I1oV_STSDYn1IFDPWt_1FKiwhDph83XaGc0o0/edit?usp=sharing"",""งบพรบ!EH81"")"),0)</f>
        <v>0</v>
      </c>
      <c r="I81" s="82">
        <f ca="1">IFERROR(__xludf.DUMMYFUNCTION("IMPORTRANGE(""https://docs.google.com/spreadsheets/d/1MeEWN-I1oV_STSDYn1IFDPWt_1FKiwhDph83XaGc0o0/edit?usp=sharing"",""งบพรบ!EI81"")"),0)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IFERROR(__xludf.DUMMYFUNCTION("IMPORTRANGE(""https://docs.google.com/spreadsheets/d/1MeEWN-I1oV_STSDYn1IFDPWt_1FKiwhDph83XaGc0o0/edit?usp=sharing"",""งบพรบ!EJ81"")"),0)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IFERROR(__xludf.DUMMYFUNCTION("IMPORTRANGE(""https://docs.google.com/spreadsheets/d/1MeEWN-I1oV_STSDYn1IFDPWt_1FKiwhDph83XaGc0o0/edit?usp=sharing"",""งบพรบ!EK81"")"),0)</f>
        <v>0</v>
      </c>
      <c r="P81" s="85">
        <f t="shared" ca="1" si="18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IFERROR(__xludf.DUMMYFUNCTION("IMPORTRANGE(""https://docs.google.com/spreadsheets/d/1vl4QWbWdFruual5o_wdo6ZSqXZ_it806oja4CctTLKs/edit?usp=sharing"",""พังงา!I325"")"),0)</f>
        <v>0</v>
      </c>
      <c r="S81" s="86">
        <f ca="1">IFERROR(__xludf.DUMMYFUNCTION("IMPORTRANGE(""https://docs.google.com/spreadsheets/d/1vl4QWbWdFruual5o_wdo6ZSqXZ_it806oja4CctTLKs/edit?usp=sharing"",""พังงา!J325"")"),0)</f>
        <v>0</v>
      </c>
      <c r="T81" s="87">
        <f t="shared" ca="1" si="16"/>
        <v>0</v>
      </c>
    </row>
    <row r="82" spans="1:20" ht="21" customHeight="1" x14ac:dyDescent="0.2">
      <c r="A82" s="78">
        <v>8</v>
      </c>
      <c r="B82" s="79" t="s">
        <v>104</v>
      </c>
      <c r="C82" s="80">
        <f t="shared" ca="1" si="0"/>
        <v>0</v>
      </c>
      <c r="D82" s="81">
        <f t="shared" ca="1" si="29"/>
        <v>0</v>
      </c>
      <c r="E82" s="82">
        <f ca="1">IFERROR(__xludf.DUMMYFUNCTION("IMPORTRANGE(""https://docs.google.com/spreadsheets/d/1MeEWN-I1oV_STSDYn1IFDPWt_1FKiwhDph83XaGc0o0/edit?usp=sharing"",""งบพรบ!ED82"")"),0)</f>
        <v>0</v>
      </c>
      <c r="F82" s="82">
        <f ca="1">IFERROR(__xludf.DUMMYFUNCTION("IMPORTRANGE(""https://docs.google.com/spreadsheets/d/1MeEWN-I1oV_STSDYn1IFDPWt_1FKiwhDph83XaGc0o0/edit?usp=sharing"",""งบพรบ!EE82"")"),0)</f>
        <v>0</v>
      </c>
      <c r="G82" s="82">
        <f ca="1">IFERROR(__xludf.DUMMYFUNCTION("IMPORTRANGE(""https://docs.google.com/spreadsheets/d/1MeEWN-I1oV_STSDYn1IFDPWt_1FKiwhDph83XaGc0o0/edit?usp=sharing"",""งบพรบ!EF82"")"),0)</f>
        <v>0</v>
      </c>
      <c r="H82" s="82">
        <f ca="1">IFERROR(__xludf.DUMMYFUNCTION("IMPORTRANGE(""https://docs.google.com/spreadsheets/d/1MeEWN-I1oV_STSDYn1IFDPWt_1FKiwhDph83XaGc0o0/edit?usp=sharing"",""งบพรบ!EH82"")"),0)</f>
        <v>0</v>
      </c>
      <c r="I82" s="82">
        <f ca="1">IFERROR(__xludf.DUMMYFUNCTION("IMPORTRANGE(""https://docs.google.com/spreadsheets/d/1MeEWN-I1oV_STSDYn1IFDPWt_1FKiwhDph83XaGc0o0/edit?usp=sharing"",""งบพรบ!EI82"")"),0)</f>
        <v>0</v>
      </c>
      <c r="J82" s="82">
        <f t="shared" ca="1" si="3"/>
        <v>0</v>
      </c>
      <c r="K82" s="83">
        <f t="shared" ca="1" si="4"/>
        <v>0</v>
      </c>
      <c r="L82" s="82">
        <f ca="1">IFERROR(__xludf.DUMMYFUNCTION("IMPORTRANGE(""https://docs.google.com/spreadsheets/d/1MeEWN-I1oV_STSDYn1IFDPWt_1FKiwhDph83XaGc0o0/edit?usp=sharing"",""งบพรบ!EJ82"")"),0)</f>
        <v>0</v>
      </c>
      <c r="M82" s="84">
        <f t="shared" ca="1" si="5"/>
        <v>0</v>
      </c>
      <c r="N82" s="84">
        <f t="shared" ca="1" si="6"/>
        <v>0</v>
      </c>
      <c r="O82" s="85">
        <f ca="1">IFERROR(__xludf.DUMMYFUNCTION("IMPORTRANGE(""https://docs.google.com/spreadsheets/d/1MeEWN-I1oV_STSDYn1IFDPWt_1FKiwhDph83XaGc0o0/edit?usp=sharing"",""งบพรบ!EK82"")"),0)</f>
        <v>0</v>
      </c>
      <c r="P82" s="85">
        <f t="shared" ca="1" si="18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IFERROR(__xludf.DUMMYFUNCTION("IMPORTRANGE(""https://docs.google.com/spreadsheets/d/1b6QssHQp2FoAPSMKHOy273KNzAomaIKhtdlvuZ_zDNE/edit?usp=sharing"",""พัทลุง!I325"")"),0)</f>
        <v>0</v>
      </c>
      <c r="S82" s="86">
        <f ca="1">IFERROR(__xludf.DUMMYFUNCTION("IMPORTRANGE(""https://docs.google.com/spreadsheets/d/1b6QssHQp2FoAPSMKHOy273KNzAomaIKhtdlvuZ_zDNE/edit?usp=sharing"",""พัทลุง!J325"")"),0)</f>
        <v>0</v>
      </c>
      <c r="T82" s="87">
        <f t="shared" ca="1" si="16"/>
        <v>0</v>
      </c>
    </row>
    <row r="83" spans="1:20" ht="21" customHeight="1" x14ac:dyDescent="0.2">
      <c r="A83" s="78">
        <v>9</v>
      </c>
      <c r="B83" s="79" t="s">
        <v>105</v>
      </c>
      <c r="C83" s="80">
        <f t="shared" ca="1" si="0"/>
        <v>0</v>
      </c>
      <c r="D83" s="81">
        <f t="shared" ca="1" si="29"/>
        <v>0</v>
      </c>
      <c r="E83" s="82">
        <f ca="1">IFERROR(__xludf.DUMMYFUNCTION("IMPORTRANGE(""https://docs.google.com/spreadsheets/d/1MeEWN-I1oV_STSDYn1IFDPWt_1FKiwhDph83XaGc0o0/edit?usp=sharing"",""งบพรบ!ED83"")"),0)</f>
        <v>0</v>
      </c>
      <c r="F83" s="82">
        <f ca="1">IFERROR(__xludf.DUMMYFUNCTION("IMPORTRANGE(""https://docs.google.com/spreadsheets/d/1MeEWN-I1oV_STSDYn1IFDPWt_1FKiwhDph83XaGc0o0/edit?usp=sharing"",""งบพรบ!EE83"")"),0)</f>
        <v>0</v>
      </c>
      <c r="G83" s="82">
        <f ca="1">IFERROR(__xludf.DUMMYFUNCTION("IMPORTRANGE(""https://docs.google.com/spreadsheets/d/1MeEWN-I1oV_STSDYn1IFDPWt_1FKiwhDph83XaGc0o0/edit?usp=sharing"",""งบพรบ!EF83"")"),0)</f>
        <v>0</v>
      </c>
      <c r="H83" s="82">
        <f ca="1">IFERROR(__xludf.DUMMYFUNCTION("IMPORTRANGE(""https://docs.google.com/spreadsheets/d/1MeEWN-I1oV_STSDYn1IFDPWt_1FKiwhDph83XaGc0o0/edit?usp=sharing"",""งบพรบ!EH83"")"),0)</f>
        <v>0</v>
      </c>
      <c r="I83" s="82">
        <f ca="1">IFERROR(__xludf.DUMMYFUNCTION("IMPORTRANGE(""https://docs.google.com/spreadsheets/d/1MeEWN-I1oV_STSDYn1IFDPWt_1FKiwhDph83XaGc0o0/edit?usp=sharing"",""งบพรบ!EI83"")"),0)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IFERROR(__xludf.DUMMYFUNCTION("IMPORTRANGE(""https://docs.google.com/spreadsheets/d/1MeEWN-I1oV_STSDYn1IFDPWt_1FKiwhDph83XaGc0o0/edit?usp=sharing"",""งบพรบ!EJ83"")"),0)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IFERROR(__xludf.DUMMYFUNCTION("IMPORTRANGE(""https://docs.google.com/spreadsheets/d/1MeEWN-I1oV_STSDYn1IFDPWt_1FKiwhDph83XaGc0o0/edit?usp=sharing"",""งบพรบ!EK83"")"),0)</f>
        <v>0</v>
      </c>
      <c r="P83" s="85">
        <f t="shared" ca="1" si="18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IFERROR(__xludf.DUMMYFUNCTION("IMPORTRANGE(""https://docs.google.com/spreadsheets/d/1o7UZe4_OqlqtLDHrj01Z2YFRSZDf1DMy1n3XViHaxRc/edit?usp=sharing"",""ภูเก็ต!I325"")"),0)</f>
        <v>0</v>
      </c>
      <c r="S83" s="86">
        <f ca="1">IFERROR(__xludf.DUMMYFUNCTION("IMPORTRANGE(""https://docs.google.com/spreadsheets/d/1o7UZe4_OqlqtLDHrj01Z2YFRSZDf1DMy1n3XViHaxRc/edit?usp=sharing"",""ภูเก็ต!J325"")"),0)</f>
        <v>0</v>
      </c>
      <c r="T83" s="87">
        <f t="shared" ca="1" si="16"/>
        <v>0</v>
      </c>
    </row>
    <row r="84" spans="1:20" ht="21" customHeight="1" x14ac:dyDescent="0.2">
      <c r="A84" s="78">
        <v>10</v>
      </c>
      <c r="B84" s="79" t="s">
        <v>106</v>
      </c>
      <c r="C84" s="80">
        <f t="shared" ca="1" si="0"/>
        <v>0</v>
      </c>
      <c r="D84" s="81">
        <f t="shared" ca="1" si="29"/>
        <v>0</v>
      </c>
      <c r="E84" s="82">
        <f ca="1">IFERROR(__xludf.DUMMYFUNCTION("IMPORTRANGE(""https://docs.google.com/spreadsheets/d/1MeEWN-I1oV_STSDYn1IFDPWt_1FKiwhDph83XaGc0o0/edit?usp=sharing"",""งบพรบ!ED84"")"),0)</f>
        <v>0</v>
      </c>
      <c r="F84" s="82">
        <f ca="1">IFERROR(__xludf.DUMMYFUNCTION("IMPORTRANGE(""https://docs.google.com/spreadsheets/d/1MeEWN-I1oV_STSDYn1IFDPWt_1FKiwhDph83XaGc0o0/edit?usp=sharing"",""งบพรบ!EE84"")"),0)</f>
        <v>0</v>
      </c>
      <c r="G84" s="82">
        <f ca="1">IFERROR(__xludf.DUMMYFUNCTION("IMPORTRANGE(""https://docs.google.com/spreadsheets/d/1MeEWN-I1oV_STSDYn1IFDPWt_1FKiwhDph83XaGc0o0/edit?usp=sharing"",""งบพรบ!EF84"")"),0)</f>
        <v>0</v>
      </c>
      <c r="H84" s="82">
        <f ca="1">IFERROR(__xludf.DUMMYFUNCTION("IMPORTRANGE(""https://docs.google.com/spreadsheets/d/1MeEWN-I1oV_STSDYn1IFDPWt_1FKiwhDph83XaGc0o0/edit?usp=sharing"",""งบพรบ!EH84"")"),0)</f>
        <v>0</v>
      </c>
      <c r="I84" s="82">
        <f ca="1">IFERROR(__xludf.DUMMYFUNCTION("IMPORTRANGE(""https://docs.google.com/spreadsheets/d/1MeEWN-I1oV_STSDYn1IFDPWt_1FKiwhDph83XaGc0o0/edit?usp=sharing"",""งบพรบ!EI84"")"),0)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IFERROR(__xludf.DUMMYFUNCTION("IMPORTRANGE(""https://docs.google.com/spreadsheets/d/1MeEWN-I1oV_STSDYn1IFDPWt_1FKiwhDph83XaGc0o0/edit?usp=sharing"",""งบพรบ!EJ84"")"),0)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IFERROR(__xludf.DUMMYFUNCTION("IMPORTRANGE(""https://docs.google.com/spreadsheets/d/1MeEWN-I1oV_STSDYn1IFDPWt_1FKiwhDph83XaGc0o0/edit?usp=sharing"",""งบพรบ!EK84"")"),0)</f>
        <v>0</v>
      </c>
      <c r="P84" s="85">
        <f t="shared" ca="1" si="18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IFERROR(__xludf.DUMMYFUNCTION("IMPORTRANGE(""https://docs.google.com/spreadsheets/d/1ctPm1vUzcUCPuOj9-eoHUD85PqINFqUB0TjdSWmR5-c/edit?usp=sharing"",""ยะลา!I325"")"),0)</f>
        <v>0</v>
      </c>
      <c r="S84" s="86">
        <f ca="1">IFERROR(__xludf.DUMMYFUNCTION("IMPORTRANGE(""https://docs.google.com/spreadsheets/d/1ctPm1vUzcUCPuOj9-eoHUD85PqINFqUB0TjdSWmR5-c/edit?usp=sharing"",""ยะลา!J325"")"),0)</f>
        <v>0</v>
      </c>
      <c r="T84" s="87">
        <f t="shared" ca="1" si="16"/>
        <v>0</v>
      </c>
    </row>
    <row r="85" spans="1:20" ht="21" customHeight="1" x14ac:dyDescent="0.2">
      <c r="A85" s="78">
        <v>11</v>
      </c>
      <c r="B85" s="79" t="s">
        <v>107</v>
      </c>
      <c r="C85" s="80">
        <f t="shared" ca="1" si="0"/>
        <v>0</v>
      </c>
      <c r="D85" s="81">
        <f t="shared" ca="1" si="29"/>
        <v>0</v>
      </c>
      <c r="E85" s="82">
        <f ca="1">IFERROR(__xludf.DUMMYFUNCTION("IMPORTRANGE(""https://docs.google.com/spreadsheets/d/1MeEWN-I1oV_STSDYn1IFDPWt_1FKiwhDph83XaGc0o0/edit?usp=sharing"",""งบพรบ!ED85"")"),0)</f>
        <v>0</v>
      </c>
      <c r="F85" s="82">
        <f ca="1">IFERROR(__xludf.DUMMYFUNCTION("IMPORTRANGE(""https://docs.google.com/spreadsheets/d/1MeEWN-I1oV_STSDYn1IFDPWt_1FKiwhDph83XaGc0o0/edit?usp=sharing"",""งบพรบ!EE85"")"),0)</f>
        <v>0</v>
      </c>
      <c r="G85" s="82">
        <f ca="1">IFERROR(__xludf.DUMMYFUNCTION("IMPORTRANGE(""https://docs.google.com/spreadsheets/d/1MeEWN-I1oV_STSDYn1IFDPWt_1FKiwhDph83XaGc0o0/edit?usp=sharing"",""งบพรบ!EF85"")"),0)</f>
        <v>0</v>
      </c>
      <c r="H85" s="82">
        <f ca="1">IFERROR(__xludf.DUMMYFUNCTION("IMPORTRANGE(""https://docs.google.com/spreadsheets/d/1MeEWN-I1oV_STSDYn1IFDPWt_1FKiwhDph83XaGc0o0/edit?usp=sharing"",""งบพรบ!EH85"")"),0)</f>
        <v>0</v>
      </c>
      <c r="I85" s="82">
        <f ca="1">IFERROR(__xludf.DUMMYFUNCTION("IMPORTRANGE(""https://docs.google.com/spreadsheets/d/1MeEWN-I1oV_STSDYn1IFDPWt_1FKiwhDph83XaGc0o0/edit?usp=sharing"",""งบพรบ!EI85"")"),0)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IFERROR(__xludf.DUMMYFUNCTION("IMPORTRANGE(""https://docs.google.com/spreadsheets/d/1MeEWN-I1oV_STSDYn1IFDPWt_1FKiwhDph83XaGc0o0/edit?usp=sharing"",""งบพรบ!EJ85"")"),0)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IFERROR(__xludf.DUMMYFUNCTION("IMPORTRANGE(""https://docs.google.com/spreadsheets/d/1MeEWN-I1oV_STSDYn1IFDPWt_1FKiwhDph83XaGc0o0/edit?usp=sharing"",""งบพรบ!EK85"")"),0)</f>
        <v>0</v>
      </c>
      <c r="P85" s="85">
        <f t="shared" ca="1" si="18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IFERROR(__xludf.DUMMYFUNCTION("IMPORTRANGE(""https://docs.google.com/spreadsheets/d/1YiDIE7Klmt8osgdapRqYWNr7iPGFSsiJqq46S7PYRE0/edit?usp=sharing"",""ระนอง!I325"")"),0)</f>
        <v>0</v>
      </c>
      <c r="S85" s="86">
        <f ca="1">IFERROR(__xludf.DUMMYFUNCTION("IMPORTRANGE(""https://docs.google.com/spreadsheets/d/1YiDIE7Klmt8osgdapRqYWNr7iPGFSsiJqq46S7PYRE0/edit?usp=sharing"",""ระนอง!J325"")"),0)</f>
        <v>0</v>
      </c>
      <c r="T85" s="87">
        <f t="shared" ca="1" si="16"/>
        <v>0</v>
      </c>
    </row>
    <row r="86" spans="1:20" ht="24" customHeight="1" x14ac:dyDescent="0.2">
      <c r="A86" s="78">
        <v>12</v>
      </c>
      <c r="B86" s="79" t="s">
        <v>108</v>
      </c>
      <c r="C86" s="80">
        <f t="shared" ca="1" si="0"/>
        <v>296000</v>
      </c>
      <c r="D86" s="81">
        <f t="shared" ca="1" si="29"/>
        <v>296000</v>
      </c>
      <c r="E86" s="82">
        <f ca="1">IFERROR(__xludf.DUMMYFUNCTION("IMPORTRANGE(""https://docs.google.com/spreadsheets/d/1MeEWN-I1oV_STSDYn1IFDPWt_1FKiwhDph83XaGc0o0/edit?usp=sharing"",""งบพรบ!ED86"")"),143000)</f>
        <v>143000</v>
      </c>
      <c r="F86" s="82">
        <f ca="1">IFERROR(__xludf.DUMMYFUNCTION("IMPORTRANGE(""https://docs.google.com/spreadsheets/d/1MeEWN-I1oV_STSDYn1IFDPWt_1FKiwhDph83XaGc0o0/edit?usp=sharing"",""งบพรบ!EE86"")"),153000)</f>
        <v>153000</v>
      </c>
      <c r="G86" s="82">
        <f ca="1">IFERROR(__xludf.DUMMYFUNCTION("IMPORTRANGE(""https://docs.google.com/spreadsheets/d/1MeEWN-I1oV_STSDYn1IFDPWt_1FKiwhDph83XaGc0o0/edit?usp=sharing"",""งบพรบ!EF86"")"),0)</f>
        <v>0</v>
      </c>
      <c r="H86" s="82">
        <f ca="1">IFERROR(__xludf.DUMMYFUNCTION("IMPORTRANGE(""https://docs.google.com/spreadsheets/d/1MeEWN-I1oV_STSDYn1IFDPWt_1FKiwhDph83XaGc0o0/edit?usp=sharing"",""งบพรบ!EH86"")"),218500)</f>
        <v>218500</v>
      </c>
      <c r="I86" s="82">
        <f ca="1">IFERROR(__xludf.DUMMYFUNCTION("IMPORTRANGE(""https://docs.google.com/spreadsheets/d/1MeEWN-I1oV_STSDYn1IFDPWt_1FKiwhDph83XaGc0o0/edit?usp=sharing"",""งบพรบ!EI86"")"),0)</f>
        <v>0</v>
      </c>
      <c r="J86" s="82">
        <f t="shared" ca="1" si="3"/>
        <v>64840</v>
      </c>
      <c r="K86" s="83">
        <f t="shared" ca="1" si="4"/>
        <v>21.905405405405407</v>
      </c>
      <c r="L86" s="82">
        <f ca="1">IFERROR(__xludf.DUMMYFUNCTION("IMPORTRANGE(""https://docs.google.com/spreadsheets/d/1MeEWN-I1oV_STSDYn1IFDPWt_1FKiwhDph83XaGc0o0/edit?usp=sharing"",""งบพรบ!EJ86"")"),64840)</f>
        <v>64840</v>
      </c>
      <c r="M86" s="84">
        <f t="shared" ca="1" si="5"/>
        <v>21.905405405405407</v>
      </c>
      <c r="N86" s="84">
        <f t="shared" ca="1" si="6"/>
        <v>29.675057208237988</v>
      </c>
      <c r="O86" s="85">
        <f ca="1">IFERROR(__xludf.DUMMYFUNCTION("IMPORTRANGE(""https://docs.google.com/spreadsheets/d/1MeEWN-I1oV_STSDYn1IFDPWt_1FKiwhDph83XaGc0o0/edit?usp=sharing"",""งบพรบ!EK86"")"),0)</f>
        <v>0</v>
      </c>
      <c r="P86" s="85">
        <f t="shared" ca="1" si="18"/>
        <v>0</v>
      </c>
      <c r="Q86" s="84">
        <f t="shared" ca="1" si="8"/>
        <v>0</v>
      </c>
      <c r="R86" s="86">
        <f ca="1">IFERROR(__xludf.DUMMYFUNCTION("IMPORTRANGE(""https://docs.google.com/spreadsheets/d/16o_4B-V7AWw_6E93bSpXj_XxVv1oVQctk-B6z1dNEWU/edit?usp=sharing"",""สงขลา!I325"")"),1)</f>
        <v>1</v>
      </c>
      <c r="S86" s="86">
        <f ca="1">IFERROR(__xludf.DUMMYFUNCTION("IMPORTRANGE(""https://docs.google.com/spreadsheets/d/16o_4B-V7AWw_6E93bSpXj_XxVv1oVQctk-B6z1dNEWU/edit?usp=sharing"",""สงขลา!J325"")"),0)</f>
        <v>0</v>
      </c>
      <c r="T86" s="87">
        <f t="shared" ca="1" si="16"/>
        <v>0</v>
      </c>
    </row>
    <row r="87" spans="1:20" ht="24" customHeight="1" x14ac:dyDescent="0.2">
      <c r="A87" s="78">
        <v>13</v>
      </c>
      <c r="B87" s="79" t="s">
        <v>109</v>
      </c>
      <c r="C87" s="80">
        <f t="shared" ca="1" si="0"/>
        <v>0</v>
      </c>
      <c r="D87" s="81">
        <f t="shared" ca="1" si="29"/>
        <v>0</v>
      </c>
      <c r="E87" s="82">
        <f ca="1">IFERROR(__xludf.DUMMYFUNCTION("IMPORTRANGE(""https://docs.google.com/spreadsheets/d/1MeEWN-I1oV_STSDYn1IFDPWt_1FKiwhDph83XaGc0o0/edit?usp=sharing"",""งบพรบ!ED87"")"),0)</f>
        <v>0</v>
      </c>
      <c r="F87" s="82">
        <f ca="1">IFERROR(__xludf.DUMMYFUNCTION("IMPORTRANGE(""https://docs.google.com/spreadsheets/d/1MeEWN-I1oV_STSDYn1IFDPWt_1FKiwhDph83XaGc0o0/edit?usp=sharing"",""งบพรบ!EE87"")"),0)</f>
        <v>0</v>
      </c>
      <c r="G87" s="82">
        <f ca="1">IFERROR(__xludf.DUMMYFUNCTION("IMPORTRANGE(""https://docs.google.com/spreadsheets/d/1MeEWN-I1oV_STSDYn1IFDPWt_1FKiwhDph83XaGc0o0/edit?usp=sharing"",""งบพรบ!EF87"")"),0)</f>
        <v>0</v>
      </c>
      <c r="H87" s="82">
        <f ca="1">IFERROR(__xludf.DUMMYFUNCTION("IMPORTRANGE(""https://docs.google.com/spreadsheets/d/1MeEWN-I1oV_STSDYn1IFDPWt_1FKiwhDph83XaGc0o0/edit?usp=sharing"",""งบพรบ!EH87"")"),0)</f>
        <v>0</v>
      </c>
      <c r="I87" s="82">
        <f ca="1">IFERROR(__xludf.DUMMYFUNCTION("IMPORTRANGE(""https://docs.google.com/spreadsheets/d/1MeEWN-I1oV_STSDYn1IFDPWt_1FKiwhDph83XaGc0o0/edit?usp=sharing"",""งบพรบ!EI87"")"),0)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IFERROR(__xludf.DUMMYFUNCTION("IMPORTRANGE(""https://docs.google.com/spreadsheets/d/1MeEWN-I1oV_STSDYn1IFDPWt_1FKiwhDph83XaGc0o0/edit?usp=sharing"",""งบพรบ!EJ87"")"),0)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IFERROR(__xludf.DUMMYFUNCTION("IMPORTRANGE(""https://docs.google.com/spreadsheets/d/1MeEWN-I1oV_STSDYn1IFDPWt_1FKiwhDph83XaGc0o0/edit?usp=sharing"",""งบพรบ!EK87"")"),0)</f>
        <v>0</v>
      </c>
      <c r="P87" s="85">
        <f t="shared" ca="1" si="18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IFERROR(__xludf.DUMMYFUNCTION("IMPORTRANGE(""https://docs.google.com/spreadsheets/d/16cywr71Fj4fA5OGRHsZh30ZG2gwJhMAQv69oVBzYHv0/edit?usp=sharing"",""สตูล!I325"")"),0)</f>
        <v>0</v>
      </c>
      <c r="S87" s="86">
        <f ca="1">IFERROR(__xludf.DUMMYFUNCTION("IMPORTRANGE(""https://docs.google.com/spreadsheets/d/16cywr71Fj4fA5OGRHsZh30ZG2gwJhMAQv69oVBzYHv0/edit?usp=sharing"",""สตูล!J325"")"),0)</f>
        <v>0</v>
      </c>
      <c r="T87" s="87">
        <f t="shared" ca="1" si="16"/>
        <v>0</v>
      </c>
    </row>
    <row r="88" spans="1:20" ht="24" customHeight="1" x14ac:dyDescent="0.2">
      <c r="A88" s="89">
        <v>14</v>
      </c>
      <c r="B88" s="90" t="s">
        <v>110</v>
      </c>
      <c r="C88" s="91">
        <f t="shared" ca="1" si="0"/>
        <v>439000</v>
      </c>
      <c r="D88" s="92">
        <f t="shared" ca="1" si="29"/>
        <v>439000</v>
      </c>
      <c r="E88" s="93">
        <f ca="1">IFERROR(__xludf.DUMMYFUNCTION("IMPORTRANGE(""https://docs.google.com/spreadsheets/d/1MeEWN-I1oV_STSDYn1IFDPWt_1FKiwhDph83XaGc0o0/edit?usp=sharing"",""งบพรบ!ED88"")"),286000)</f>
        <v>286000</v>
      </c>
      <c r="F88" s="93">
        <f ca="1">IFERROR(__xludf.DUMMYFUNCTION("IMPORTRANGE(""https://docs.google.com/spreadsheets/d/1MeEWN-I1oV_STSDYn1IFDPWt_1FKiwhDph83XaGc0o0/edit?usp=sharing"",""งบพรบ!EE88"")"),153000)</f>
        <v>153000</v>
      </c>
      <c r="G88" s="93">
        <f ca="1">IFERROR(__xludf.DUMMYFUNCTION("IMPORTRANGE(""https://docs.google.com/spreadsheets/d/1MeEWN-I1oV_STSDYn1IFDPWt_1FKiwhDph83XaGc0o0/edit?usp=sharing"",""งบพรบ!EF88"")"),0)</f>
        <v>0</v>
      </c>
      <c r="H88" s="93">
        <f ca="1">IFERROR(__xludf.DUMMYFUNCTION("IMPORTRANGE(""https://docs.google.com/spreadsheets/d/1MeEWN-I1oV_STSDYn1IFDPWt_1FKiwhDph83XaGc0o0/edit?usp=sharing"",""งบพรบ!EH88"")"),322500)</f>
        <v>322500</v>
      </c>
      <c r="I88" s="93">
        <f ca="1">IFERROR(__xludf.DUMMYFUNCTION("IMPORTRANGE(""https://docs.google.com/spreadsheets/d/1MeEWN-I1oV_STSDYn1IFDPWt_1FKiwhDph83XaGc0o0/edit?usp=sharing"",""งบพรบ!EI88"")"),0)</f>
        <v>0</v>
      </c>
      <c r="J88" s="93">
        <f t="shared" ca="1" si="3"/>
        <v>122557.28</v>
      </c>
      <c r="K88" s="94">
        <f t="shared" ca="1" si="4"/>
        <v>27.917375854214121</v>
      </c>
      <c r="L88" s="93">
        <f ca="1">IFERROR(__xludf.DUMMYFUNCTION("IMPORTRANGE(""https://docs.google.com/spreadsheets/d/1MeEWN-I1oV_STSDYn1IFDPWt_1FKiwhDph83XaGc0o0/edit?usp=sharing"",""งบพรบ!EJ88"")"),122557.28)</f>
        <v>122557.28</v>
      </c>
      <c r="M88" s="95">
        <f t="shared" ca="1" si="5"/>
        <v>27.917375854214121</v>
      </c>
      <c r="N88" s="95">
        <f t="shared" ca="1" si="6"/>
        <v>38.002257364341084</v>
      </c>
      <c r="O88" s="96">
        <f ca="1">IFERROR(__xludf.DUMMYFUNCTION("IMPORTRANGE(""https://docs.google.com/spreadsheets/d/1MeEWN-I1oV_STSDYn1IFDPWt_1FKiwhDph83XaGc0o0/edit?usp=sharing"",""งบพรบ!EK88"")"),0)</f>
        <v>0</v>
      </c>
      <c r="P88" s="96">
        <f t="shared" ca="1" si="18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IFERROR(__xludf.DUMMYFUNCTION("IMPORTRANGE(""https://docs.google.com/spreadsheets/d/1vO9Sws6kMtrVtyvrAJptINXjK8TFBoX9xLYOVK_C8bQ/edit?usp=sharing"",""สุราษฎร์ธานี!I325"")"),1)</f>
        <v>1</v>
      </c>
      <c r="S88" s="97">
        <f ca="1">IFERROR(__xludf.DUMMYFUNCTION("IMPORTRANGE(""https://docs.google.com/spreadsheets/d/1vO9Sws6kMtrVtyvrAJptINXjK8TFBoX9xLYOVK_C8bQ/edit?usp=sharing"",""สุราษฎร์ธานี!J325"")"),1)</f>
        <v>1</v>
      </c>
      <c r="T88" s="98">
        <f t="shared" ca="1" si="16"/>
        <v>100</v>
      </c>
    </row>
    <row r="89" spans="1:20" ht="21" hidden="1" customHeight="1" x14ac:dyDescent="0.2">
      <c r="A89" s="381" t="s">
        <v>111</v>
      </c>
      <c r="B89" s="357"/>
      <c r="C89" s="107">
        <f t="shared" ca="1" si="0"/>
        <v>860000</v>
      </c>
      <c r="D89" s="46">
        <f t="shared" ref="D89:I89" ca="1" si="30">+D90+D91+D92+D93+D94+D95+D96+D97+D98+D99+D100+D101+D102+D103</f>
        <v>860000</v>
      </c>
      <c r="E89" s="46">
        <f t="shared" ca="1" si="30"/>
        <v>860000</v>
      </c>
      <c r="F89" s="46">
        <f t="shared" ca="1" si="30"/>
        <v>0</v>
      </c>
      <c r="G89" s="46">
        <f t="shared" ca="1" si="30"/>
        <v>0</v>
      </c>
      <c r="H89" s="46">
        <f t="shared" ca="1" si="30"/>
        <v>657500</v>
      </c>
      <c r="I89" s="46">
        <f t="shared" ca="1" si="30"/>
        <v>0</v>
      </c>
      <c r="J89" s="46">
        <f t="shared" ca="1" si="3"/>
        <v>400257.54</v>
      </c>
      <c r="K89" s="48">
        <f t="shared" ca="1" si="4"/>
        <v>46.541574418604654</v>
      </c>
      <c r="L89" s="46">
        <f ca="1">+L90+L91+L92+L93+L94+L95+L96+L97+L98+L99+L100+L101+L102+L103</f>
        <v>400257.54</v>
      </c>
      <c r="M89" s="49">
        <f t="shared" ca="1" si="5"/>
        <v>46.541574418604654</v>
      </c>
      <c r="N89" s="49">
        <f t="shared" ca="1" si="6"/>
        <v>60.875671482889736</v>
      </c>
      <c r="O89" s="50">
        <f ca="1">+O90+O91+O92+O93+O94+O95+O96+O97+O98+O99+O100+O101+O102+O103</f>
        <v>0</v>
      </c>
      <c r="P89" s="50">
        <f t="shared" ca="1" si="18"/>
        <v>0</v>
      </c>
      <c r="Q89" s="49">
        <f t="shared" ca="1" si="8"/>
        <v>0</v>
      </c>
      <c r="R89" s="46"/>
      <c r="S89" s="46"/>
      <c r="T89" s="49"/>
    </row>
    <row r="90" spans="1:20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31">+E90+F90</f>
        <v>0</v>
      </c>
      <c r="E90" s="72">
        <f ca="1">IFERROR(__xludf.DUMMYFUNCTION("IMPORTRANGE(""https://docs.google.com/spreadsheets/d/1MeEWN-I1oV_STSDYn1IFDPWt_1FKiwhDph83XaGc0o0/edit?usp=sharing"",""งบพรบ!ED90"")"),0)</f>
        <v>0</v>
      </c>
      <c r="F90" s="72">
        <f ca="1">IFERROR(__xludf.DUMMYFUNCTION("IMPORTRANGE(""https://docs.google.com/spreadsheets/d/1MeEWN-I1oV_STSDYn1IFDPWt_1FKiwhDph83XaGc0o0/edit?usp=sharing"",""งบพรบ!EE90"")"),0)</f>
        <v>0</v>
      </c>
      <c r="G90" s="72">
        <f ca="1">IFERROR(__xludf.DUMMYFUNCTION("IMPORTRANGE(""https://docs.google.com/spreadsheets/d/1MeEWN-I1oV_STSDYn1IFDPWt_1FKiwhDph83XaGc0o0/edit?usp=sharing"",""งบพรบ!EF90"")"),0)</f>
        <v>0</v>
      </c>
      <c r="H90" s="72">
        <f ca="1">IFERROR(__xludf.DUMMYFUNCTION("IMPORTRANGE(""https://docs.google.com/spreadsheets/d/1MeEWN-I1oV_STSDYn1IFDPWt_1FKiwhDph83XaGc0o0/edit?usp=sharing"",""งบพรบ!EH90"")"),0)</f>
        <v>0</v>
      </c>
      <c r="I90" s="72">
        <f ca="1">IFERROR(__xludf.DUMMYFUNCTION("IMPORTRANGE(""https://docs.google.com/spreadsheets/d/1MeEWN-I1oV_STSDYn1IFDPWt_1FKiwhDph83XaGc0o0/edit?usp=sharing"",""งบพรบ!EI90"")"),0)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IFERROR(__xludf.DUMMYFUNCTION("IMPORTRANGE(""https://docs.google.com/spreadsheets/d/1MeEWN-I1oV_STSDYn1IFDPWt_1FKiwhDph83XaGc0o0/edit?usp=sharing"",""งบพรบ!EJ90"")"),0)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IFERROR(__xludf.DUMMYFUNCTION("IMPORTRANGE(""https://docs.google.com/spreadsheets/d/1MeEWN-I1oV_STSDYn1IFDPWt_1FKiwhDph83XaGc0o0/edit?usp=sharing"",""งบพรบ!EK90"")"),0)</f>
        <v>0</v>
      </c>
      <c r="P90" s="76">
        <f t="shared" ca="1" si="18"/>
        <v>0</v>
      </c>
      <c r="Q90" s="75">
        <f t="shared" ca="1" si="8"/>
        <v>0</v>
      </c>
      <c r="R90" s="72"/>
      <c r="S90" s="72"/>
      <c r="T90" s="75"/>
    </row>
    <row r="91" spans="1:20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31"/>
        <v>0</v>
      </c>
      <c r="E91" s="82">
        <f ca="1">IFERROR(__xludf.DUMMYFUNCTION("IMPORTRANGE(""https://docs.google.com/spreadsheets/d/1MeEWN-I1oV_STSDYn1IFDPWt_1FKiwhDph83XaGc0o0/edit?usp=sharing"",""งบพรบ!ED91"")"),0)</f>
        <v>0</v>
      </c>
      <c r="F91" s="82">
        <f ca="1">IFERROR(__xludf.DUMMYFUNCTION("IMPORTRANGE(""https://docs.google.com/spreadsheets/d/1MeEWN-I1oV_STSDYn1IFDPWt_1FKiwhDph83XaGc0o0/edit?usp=sharing"",""งบพรบ!EE91"")"),0)</f>
        <v>0</v>
      </c>
      <c r="G91" s="82">
        <f ca="1">IFERROR(__xludf.DUMMYFUNCTION("IMPORTRANGE(""https://docs.google.com/spreadsheets/d/1MeEWN-I1oV_STSDYn1IFDPWt_1FKiwhDph83XaGc0o0/edit?usp=sharing"",""งบพรบ!EF91"")"),0)</f>
        <v>0</v>
      </c>
      <c r="H91" s="82">
        <f ca="1">IFERROR(__xludf.DUMMYFUNCTION("IMPORTRANGE(""https://docs.google.com/spreadsheets/d/1MeEWN-I1oV_STSDYn1IFDPWt_1FKiwhDph83XaGc0o0/edit?usp=sharing"",""งบพรบ!EH91"")"),0)</f>
        <v>0</v>
      </c>
      <c r="I91" s="82">
        <f ca="1">IFERROR(__xludf.DUMMYFUNCTION("IMPORTRANGE(""https://docs.google.com/spreadsheets/d/1MeEWN-I1oV_STSDYn1IFDPWt_1FKiwhDph83XaGc0o0/edit?usp=sharing"",""งบพรบ!EI91"")"),0)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IFERROR(__xludf.DUMMYFUNCTION("IMPORTRANGE(""https://docs.google.com/spreadsheets/d/1MeEWN-I1oV_STSDYn1IFDPWt_1FKiwhDph83XaGc0o0/edit?usp=sharing"",""งบพรบ!EJ91"")"),0)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IFERROR(__xludf.DUMMYFUNCTION("IMPORTRANGE(""https://docs.google.com/spreadsheets/d/1MeEWN-I1oV_STSDYn1IFDPWt_1FKiwhDph83XaGc0o0/edit?usp=sharing"",""งบพรบ!EK91"")"),0)</f>
        <v>0</v>
      </c>
      <c r="P91" s="85">
        <f t="shared" ca="1" si="18"/>
        <v>0</v>
      </c>
      <c r="Q91" s="84">
        <f t="shared" ca="1" si="8"/>
        <v>0</v>
      </c>
      <c r="R91" s="82"/>
      <c r="S91" s="82"/>
      <c r="T91" s="84"/>
    </row>
    <row r="92" spans="1:20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31"/>
        <v>0</v>
      </c>
      <c r="E92" s="82">
        <f ca="1">IFERROR(__xludf.DUMMYFUNCTION("IMPORTRANGE(""https://docs.google.com/spreadsheets/d/1MeEWN-I1oV_STSDYn1IFDPWt_1FKiwhDph83XaGc0o0/edit?usp=sharing"",""งบพรบ!ED92"")"),0)</f>
        <v>0</v>
      </c>
      <c r="F92" s="82">
        <f ca="1">IFERROR(__xludf.DUMMYFUNCTION("IMPORTRANGE(""https://docs.google.com/spreadsheets/d/1MeEWN-I1oV_STSDYn1IFDPWt_1FKiwhDph83XaGc0o0/edit?usp=sharing"",""งบพรบ!EE92"")"),0)</f>
        <v>0</v>
      </c>
      <c r="G92" s="82">
        <f ca="1">IFERROR(__xludf.DUMMYFUNCTION("IMPORTRANGE(""https://docs.google.com/spreadsheets/d/1MeEWN-I1oV_STSDYn1IFDPWt_1FKiwhDph83XaGc0o0/edit?usp=sharing"",""งบพรบ!EF92"")"),0)</f>
        <v>0</v>
      </c>
      <c r="H92" s="82">
        <f ca="1">IFERROR(__xludf.DUMMYFUNCTION("IMPORTRANGE(""https://docs.google.com/spreadsheets/d/1MeEWN-I1oV_STSDYn1IFDPWt_1FKiwhDph83XaGc0o0/edit?usp=sharing"",""งบพรบ!EH92"")"),50000)</f>
        <v>50000</v>
      </c>
      <c r="I92" s="82">
        <f ca="1">IFERROR(__xludf.DUMMYFUNCTION("IMPORTRANGE(""https://docs.google.com/spreadsheets/d/1MeEWN-I1oV_STSDYn1IFDPWt_1FKiwhDph83XaGc0o0/edit?usp=sharing"",""งบพรบ!EI92"")"),0)</f>
        <v>0</v>
      </c>
      <c r="J92" s="82">
        <f t="shared" ca="1" si="3"/>
        <v>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IFERROR(__xludf.DUMMYFUNCTION("IMPORTRANGE(""https://docs.google.com/spreadsheets/d/1MeEWN-I1oV_STSDYn1IFDPWt_1FKiwhDph83XaGc0o0/edit?usp=sharing"",""งบพรบ!EJ92"")"),0)</f>
        <v>0</v>
      </c>
      <c r="M92" s="84">
        <f t="shared" ca="1" si="5"/>
        <v>0</v>
      </c>
      <c r="N92" s="84">
        <f t="shared" ca="1" si="6"/>
        <v>0</v>
      </c>
      <c r="O92" s="85">
        <f ca="1">IFERROR(__xludf.DUMMYFUNCTION("IMPORTRANGE(""https://docs.google.com/spreadsheets/d/1MeEWN-I1oV_STSDYn1IFDPWt_1FKiwhDph83XaGc0o0/edit?usp=sharing"",""งบพรบ!EK92"")"),0)</f>
        <v>0</v>
      </c>
      <c r="P92" s="85">
        <f t="shared" ca="1" si="18"/>
        <v>0</v>
      </c>
      <c r="Q92" s="84">
        <f t="shared" ca="1" si="8"/>
        <v>0</v>
      </c>
      <c r="R92" s="82"/>
      <c r="S92" s="82"/>
      <c r="T92" s="84"/>
    </row>
    <row r="93" spans="1:20" ht="24" hidden="1" customHeight="1" x14ac:dyDescent="0.2">
      <c r="A93" s="111">
        <f t="shared" ref="A93:A103" si="32">+A92+1</f>
        <v>4</v>
      </c>
      <c r="B93" s="112" t="s">
        <v>115</v>
      </c>
      <c r="C93" s="80">
        <f t="shared" ca="1" si="0"/>
        <v>0</v>
      </c>
      <c r="D93" s="81">
        <f t="shared" ca="1" si="31"/>
        <v>0</v>
      </c>
      <c r="E93" s="82">
        <f ca="1">IFERROR(__xludf.DUMMYFUNCTION("IMPORTRANGE(""https://docs.google.com/spreadsheets/d/1MeEWN-I1oV_STSDYn1IFDPWt_1FKiwhDph83XaGc0o0/edit?usp=sharing"",""งบพรบ!ED93"")"),0)</f>
        <v>0</v>
      </c>
      <c r="F93" s="82">
        <f ca="1">IFERROR(__xludf.DUMMYFUNCTION("IMPORTRANGE(""https://docs.google.com/spreadsheets/d/1MeEWN-I1oV_STSDYn1IFDPWt_1FKiwhDph83XaGc0o0/edit?usp=sharing"",""งบพรบ!EE93"")"),0)</f>
        <v>0</v>
      </c>
      <c r="G93" s="82">
        <f ca="1">IFERROR(__xludf.DUMMYFUNCTION("IMPORTRANGE(""https://docs.google.com/spreadsheets/d/1MeEWN-I1oV_STSDYn1IFDPWt_1FKiwhDph83XaGc0o0/edit?usp=sharing"",""งบพรบ!EF93"")"),0)</f>
        <v>0</v>
      </c>
      <c r="H93" s="82">
        <f ca="1">IFERROR(__xludf.DUMMYFUNCTION("IMPORTRANGE(""https://docs.google.com/spreadsheets/d/1MeEWN-I1oV_STSDYn1IFDPWt_1FKiwhDph83XaGc0o0/edit?usp=sharing"",""งบพรบ!EH93"")"),0)</f>
        <v>0</v>
      </c>
      <c r="I93" s="82">
        <f ca="1">IFERROR(__xludf.DUMMYFUNCTION("IMPORTRANGE(""https://docs.google.com/spreadsheets/d/1MeEWN-I1oV_STSDYn1IFDPWt_1FKiwhDph83XaGc0o0/edit?usp=sharing"",""งบพรบ!EI93"")"),0)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IFERROR(__xludf.DUMMYFUNCTION("IMPORTRANGE(""https://docs.google.com/spreadsheets/d/1MeEWN-I1oV_STSDYn1IFDPWt_1FKiwhDph83XaGc0o0/edit?usp=sharing"",""งบพรบ!EJ93"")"),0)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IFERROR(__xludf.DUMMYFUNCTION("IMPORTRANGE(""https://docs.google.com/spreadsheets/d/1MeEWN-I1oV_STSDYn1IFDPWt_1FKiwhDph83XaGc0o0/edit?usp=sharing"",""งบพรบ!EK93"")"),0)</f>
        <v>0</v>
      </c>
      <c r="P93" s="85">
        <f t="shared" ca="1" si="18"/>
        <v>0</v>
      </c>
      <c r="Q93" s="84">
        <f t="shared" ca="1" si="8"/>
        <v>0</v>
      </c>
      <c r="R93" s="82"/>
      <c r="S93" s="82"/>
      <c r="T93" s="84"/>
    </row>
    <row r="94" spans="1:20" ht="24" hidden="1" customHeight="1" x14ac:dyDescent="0.2">
      <c r="A94" s="111">
        <f t="shared" si="32"/>
        <v>5</v>
      </c>
      <c r="B94" s="112" t="s">
        <v>116</v>
      </c>
      <c r="C94" s="80">
        <f t="shared" ca="1" si="0"/>
        <v>0</v>
      </c>
      <c r="D94" s="81">
        <f t="shared" ca="1" si="31"/>
        <v>0</v>
      </c>
      <c r="E94" s="82">
        <f ca="1">IFERROR(__xludf.DUMMYFUNCTION("IMPORTRANGE(""https://docs.google.com/spreadsheets/d/1MeEWN-I1oV_STSDYn1IFDPWt_1FKiwhDph83XaGc0o0/edit?usp=sharing"",""งบพรบ!ED94"")"),0)</f>
        <v>0</v>
      </c>
      <c r="F94" s="82">
        <f ca="1">IFERROR(__xludf.DUMMYFUNCTION("IMPORTRANGE(""https://docs.google.com/spreadsheets/d/1MeEWN-I1oV_STSDYn1IFDPWt_1FKiwhDph83XaGc0o0/edit?usp=sharing"",""งบพรบ!EE94"")"),0)</f>
        <v>0</v>
      </c>
      <c r="G94" s="82">
        <f ca="1">IFERROR(__xludf.DUMMYFUNCTION("IMPORTRANGE(""https://docs.google.com/spreadsheets/d/1MeEWN-I1oV_STSDYn1IFDPWt_1FKiwhDph83XaGc0o0/edit?usp=sharing"",""งบพรบ!EF94"")"),0)</f>
        <v>0</v>
      </c>
      <c r="H94" s="82">
        <f ca="1">IFERROR(__xludf.DUMMYFUNCTION("IMPORTRANGE(""https://docs.google.com/spreadsheets/d/1MeEWN-I1oV_STSDYn1IFDPWt_1FKiwhDph83XaGc0o0/edit?usp=sharing"",""งบพรบ!EH94"")"),0)</f>
        <v>0</v>
      </c>
      <c r="I94" s="82">
        <f ca="1">IFERROR(__xludf.DUMMYFUNCTION("IMPORTRANGE(""https://docs.google.com/spreadsheets/d/1MeEWN-I1oV_STSDYn1IFDPWt_1FKiwhDph83XaGc0o0/edit?usp=sharing"",""งบพรบ!EI94"")"),0)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IFERROR(__xludf.DUMMYFUNCTION("IMPORTRANGE(""https://docs.google.com/spreadsheets/d/1MeEWN-I1oV_STSDYn1IFDPWt_1FKiwhDph83XaGc0o0/edit?usp=sharing"",""งบพรบ!EJ94"")"),0)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IFERROR(__xludf.DUMMYFUNCTION("IMPORTRANGE(""https://docs.google.com/spreadsheets/d/1MeEWN-I1oV_STSDYn1IFDPWt_1FKiwhDph83XaGc0o0/edit?usp=sharing"",""งบพรบ!EK94"")"),0)</f>
        <v>0</v>
      </c>
      <c r="P94" s="85">
        <f t="shared" ca="1" si="18"/>
        <v>0</v>
      </c>
      <c r="Q94" s="84">
        <f t="shared" ca="1" si="8"/>
        <v>0</v>
      </c>
      <c r="R94" s="82"/>
      <c r="S94" s="82"/>
      <c r="T94" s="84"/>
    </row>
    <row r="95" spans="1:20" ht="24" hidden="1" customHeight="1" x14ac:dyDescent="0.2">
      <c r="A95" s="111">
        <f t="shared" si="32"/>
        <v>6</v>
      </c>
      <c r="B95" s="112" t="s">
        <v>117</v>
      </c>
      <c r="C95" s="80">
        <f t="shared" ca="1" si="0"/>
        <v>50000</v>
      </c>
      <c r="D95" s="81">
        <f t="shared" ca="1" si="31"/>
        <v>50000</v>
      </c>
      <c r="E95" s="82">
        <f ca="1">IFERROR(__xludf.DUMMYFUNCTION("IMPORTRANGE(""https://docs.google.com/spreadsheets/d/1MeEWN-I1oV_STSDYn1IFDPWt_1FKiwhDph83XaGc0o0/edit?usp=sharing"",""งบพรบ!ED95"")"),50000)</f>
        <v>50000</v>
      </c>
      <c r="F95" s="82">
        <f ca="1">IFERROR(__xludf.DUMMYFUNCTION("IMPORTRANGE(""https://docs.google.com/spreadsheets/d/1MeEWN-I1oV_STSDYn1IFDPWt_1FKiwhDph83XaGc0o0/edit?usp=sharing"",""งบพรบ!EE95"")"),0)</f>
        <v>0</v>
      </c>
      <c r="G95" s="82">
        <f ca="1">IFERROR(__xludf.DUMMYFUNCTION("IMPORTRANGE(""https://docs.google.com/spreadsheets/d/1MeEWN-I1oV_STSDYn1IFDPWt_1FKiwhDph83XaGc0o0/edit?usp=sharing"",""งบพรบ!EF95"")"),0)</f>
        <v>0</v>
      </c>
      <c r="H95" s="82">
        <f ca="1">IFERROR(__xludf.DUMMYFUNCTION("IMPORTRANGE(""https://docs.google.com/spreadsheets/d/1MeEWN-I1oV_STSDYn1IFDPWt_1FKiwhDph83XaGc0o0/edit?usp=sharing"",""งบพรบ!EH95"")"),0)</f>
        <v>0</v>
      </c>
      <c r="I95" s="82">
        <f ca="1">IFERROR(__xludf.DUMMYFUNCTION("IMPORTRANGE(""https://docs.google.com/spreadsheets/d/1MeEWN-I1oV_STSDYn1IFDPWt_1FKiwhDph83XaGc0o0/edit?usp=sharing"",""งบพรบ!EI95"")"),0)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IFERROR(__xludf.DUMMYFUNCTION("IMPORTRANGE(""https://docs.google.com/spreadsheets/d/1MeEWN-I1oV_STSDYn1IFDPWt_1FKiwhDph83XaGc0o0/edit?usp=sharing"",""งบพรบ!EJ95"")"),0)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IFERROR(__xludf.DUMMYFUNCTION("IMPORTRANGE(""https://docs.google.com/spreadsheets/d/1MeEWN-I1oV_STSDYn1IFDPWt_1FKiwhDph83XaGc0o0/edit?usp=sharing"",""งบพรบ!EK95"")"),0)</f>
        <v>0</v>
      </c>
      <c r="P95" s="85">
        <f t="shared" ca="1" si="18"/>
        <v>0</v>
      </c>
      <c r="Q95" s="84">
        <f t="shared" ca="1" si="8"/>
        <v>0</v>
      </c>
      <c r="R95" s="82"/>
      <c r="S95" s="82"/>
      <c r="T95" s="84"/>
    </row>
    <row r="96" spans="1:20" ht="24" hidden="1" customHeight="1" x14ac:dyDescent="0.2">
      <c r="A96" s="111">
        <f t="shared" si="32"/>
        <v>7</v>
      </c>
      <c r="B96" s="112" t="s">
        <v>118</v>
      </c>
      <c r="C96" s="80">
        <f t="shared" ca="1" si="0"/>
        <v>0</v>
      </c>
      <c r="D96" s="81">
        <f t="shared" ca="1" si="31"/>
        <v>0</v>
      </c>
      <c r="E96" s="82">
        <f ca="1">IFERROR(__xludf.DUMMYFUNCTION("IMPORTRANGE(""https://docs.google.com/spreadsheets/d/1MeEWN-I1oV_STSDYn1IFDPWt_1FKiwhDph83XaGc0o0/edit?usp=sharing"",""งบพรบ!ED96"")"),0)</f>
        <v>0</v>
      </c>
      <c r="F96" s="82">
        <f ca="1">IFERROR(__xludf.DUMMYFUNCTION("IMPORTRANGE(""https://docs.google.com/spreadsheets/d/1MeEWN-I1oV_STSDYn1IFDPWt_1FKiwhDph83XaGc0o0/edit?usp=sharing"",""งบพรบ!EE96"")"),0)</f>
        <v>0</v>
      </c>
      <c r="G96" s="82">
        <f ca="1">IFERROR(__xludf.DUMMYFUNCTION("IMPORTRANGE(""https://docs.google.com/spreadsheets/d/1MeEWN-I1oV_STSDYn1IFDPWt_1FKiwhDph83XaGc0o0/edit?usp=sharing"",""งบพรบ!EF96"")"),0)</f>
        <v>0</v>
      </c>
      <c r="H96" s="82">
        <f ca="1">IFERROR(__xludf.DUMMYFUNCTION("IMPORTRANGE(""https://docs.google.com/spreadsheets/d/1MeEWN-I1oV_STSDYn1IFDPWt_1FKiwhDph83XaGc0o0/edit?usp=sharing"",""งบพรบ!EH96"")"),0)</f>
        <v>0</v>
      </c>
      <c r="I96" s="82">
        <f ca="1">IFERROR(__xludf.DUMMYFUNCTION("IMPORTRANGE(""https://docs.google.com/spreadsheets/d/1MeEWN-I1oV_STSDYn1IFDPWt_1FKiwhDph83XaGc0o0/edit?usp=sharing"",""งบพรบ!EI96"")"),0)</f>
        <v>0</v>
      </c>
      <c r="J96" s="82">
        <f t="shared" ca="1" si="3"/>
        <v>0</v>
      </c>
      <c r="K96" s="83">
        <f t="shared" ca="1" si="4"/>
        <v>0</v>
      </c>
      <c r="L96" s="82">
        <f ca="1">IFERROR(__xludf.DUMMYFUNCTION("IMPORTRANGE(""https://docs.google.com/spreadsheets/d/1MeEWN-I1oV_STSDYn1IFDPWt_1FKiwhDph83XaGc0o0/edit?usp=sharing"",""งบพรบ!EJ96"")"),0)</f>
        <v>0</v>
      </c>
      <c r="M96" s="84">
        <f t="shared" ca="1" si="5"/>
        <v>0</v>
      </c>
      <c r="N96" s="84">
        <f t="shared" ca="1" si="6"/>
        <v>0</v>
      </c>
      <c r="O96" s="85">
        <f ca="1">IFERROR(__xludf.DUMMYFUNCTION("IMPORTRANGE(""https://docs.google.com/spreadsheets/d/1MeEWN-I1oV_STSDYn1IFDPWt_1FKiwhDph83XaGc0o0/edit?usp=sharing"",""งบพรบ!EK96"")"),0)</f>
        <v>0</v>
      </c>
      <c r="P96" s="85">
        <f t="shared" ca="1" si="18"/>
        <v>0</v>
      </c>
      <c r="Q96" s="84">
        <f t="shared" ca="1" si="8"/>
        <v>0</v>
      </c>
      <c r="R96" s="82"/>
      <c r="S96" s="82"/>
      <c r="T96" s="84"/>
    </row>
    <row r="97" spans="1:20" ht="24" hidden="1" customHeight="1" x14ac:dyDescent="0.2">
      <c r="A97" s="111">
        <f t="shared" si="32"/>
        <v>8</v>
      </c>
      <c r="B97" s="112" t="s">
        <v>119</v>
      </c>
      <c r="C97" s="80">
        <f t="shared" ca="1" si="0"/>
        <v>810000</v>
      </c>
      <c r="D97" s="81">
        <f t="shared" ca="1" si="31"/>
        <v>810000</v>
      </c>
      <c r="E97" s="82">
        <f ca="1">IFERROR(__xludf.DUMMYFUNCTION("IMPORTRANGE(""https://docs.google.com/spreadsheets/d/1MeEWN-I1oV_STSDYn1IFDPWt_1FKiwhDph83XaGc0o0/edit?usp=sharing"",""งบพรบ!ED97"")"),810000)</f>
        <v>810000</v>
      </c>
      <c r="F97" s="82">
        <f ca="1">IFERROR(__xludf.DUMMYFUNCTION("IMPORTRANGE(""https://docs.google.com/spreadsheets/d/1MeEWN-I1oV_STSDYn1IFDPWt_1FKiwhDph83XaGc0o0/edit?usp=sharing"",""งบพรบ!EE97"")"),0)</f>
        <v>0</v>
      </c>
      <c r="G97" s="82">
        <f ca="1">IFERROR(__xludf.DUMMYFUNCTION("IMPORTRANGE(""https://docs.google.com/spreadsheets/d/1MeEWN-I1oV_STSDYn1IFDPWt_1FKiwhDph83XaGc0o0/edit?usp=sharing"",""งบพรบ!EF97"")"),0)</f>
        <v>0</v>
      </c>
      <c r="H97" s="82">
        <f ca="1">IFERROR(__xludf.DUMMYFUNCTION("IMPORTRANGE(""https://docs.google.com/spreadsheets/d/1MeEWN-I1oV_STSDYn1IFDPWt_1FKiwhDph83XaGc0o0/edit?usp=sharing"",""งบพรบ!EH97"")"),607500)</f>
        <v>607500</v>
      </c>
      <c r="I97" s="82">
        <f ca="1">IFERROR(__xludf.DUMMYFUNCTION("IMPORTRANGE(""https://docs.google.com/spreadsheets/d/1MeEWN-I1oV_STSDYn1IFDPWt_1FKiwhDph83XaGc0o0/edit?usp=sharing"",""งบพรบ!EI97"")"),0)</f>
        <v>0</v>
      </c>
      <c r="J97" s="82">
        <f t="shared" ca="1" si="3"/>
        <v>400257.54</v>
      </c>
      <c r="K97" s="83">
        <f t="shared" ca="1" si="4"/>
        <v>49.414511111111111</v>
      </c>
      <c r="L97" s="82">
        <f ca="1">IFERROR(__xludf.DUMMYFUNCTION("IMPORTRANGE(""https://docs.google.com/spreadsheets/d/1MeEWN-I1oV_STSDYn1IFDPWt_1FKiwhDph83XaGc0o0/edit?usp=sharing"",""งบพรบ!EJ97"")"),400257.54)</f>
        <v>400257.54</v>
      </c>
      <c r="M97" s="84">
        <f t="shared" ca="1" si="5"/>
        <v>49.414511111111111</v>
      </c>
      <c r="N97" s="84">
        <f t="shared" ca="1" si="6"/>
        <v>65.886014814814814</v>
      </c>
      <c r="O97" s="85">
        <f ca="1">IFERROR(__xludf.DUMMYFUNCTION("IMPORTRANGE(""https://docs.google.com/spreadsheets/d/1MeEWN-I1oV_STSDYn1IFDPWt_1FKiwhDph83XaGc0o0/edit?usp=sharing"",""งบพรบ!EK97"")"),0)</f>
        <v>0</v>
      </c>
      <c r="P97" s="85">
        <f t="shared" ca="1" si="18"/>
        <v>0</v>
      </c>
      <c r="Q97" s="84">
        <f t="shared" ca="1" si="8"/>
        <v>0</v>
      </c>
      <c r="R97" s="82"/>
      <c r="S97" s="82"/>
      <c r="T97" s="84"/>
    </row>
    <row r="98" spans="1:20" ht="24" hidden="1" customHeight="1" x14ac:dyDescent="0.2">
      <c r="A98" s="111">
        <f t="shared" si="32"/>
        <v>9</v>
      </c>
      <c r="B98" s="112" t="s">
        <v>120</v>
      </c>
      <c r="C98" s="80">
        <f t="shared" ca="1" si="0"/>
        <v>0</v>
      </c>
      <c r="D98" s="81">
        <f t="shared" ca="1" si="31"/>
        <v>0</v>
      </c>
      <c r="E98" s="82">
        <f ca="1">IFERROR(__xludf.DUMMYFUNCTION("IMPORTRANGE(""https://docs.google.com/spreadsheets/d/1MeEWN-I1oV_STSDYn1IFDPWt_1FKiwhDph83XaGc0o0/edit?usp=sharing"",""งบพรบ!ED98"")"),0)</f>
        <v>0</v>
      </c>
      <c r="F98" s="82">
        <f ca="1">IFERROR(__xludf.DUMMYFUNCTION("IMPORTRANGE(""https://docs.google.com/spreadsheets/d/1MeEWN-I1oV_STSDYn1IFDPWt_1FKiwhDph83XaGc0o0/edit?usp=sharing"",""งบพรบ!EE98"")"),0)</f>
        <v>0</v>
      </c>
      <c r="G98" s="82">
        <f ca="1">IFERROR(__xludf.DUMMYFUNCTION("IMPORTRANGE(""https://docs.google.com/spreadsheets/d/1MeEWN-I1oV_STSDYn1IFDPWt_1FKiwhDph83XaGc0o0/edit?usp=sharing"",""งบพรบ!EF98"")"),0)</f>
        <v>0</v>
      </c>
      <c r="H98" s="82">
        <f ca="1">IFERROR(__xludf.DUMMYFUNCTION("IMPORTRANGE(""https://docs.google.com/spreadsheets/d/1MeEWN-I1oV_STSDYn1IFDPWt_1FKiwhDph83XaGc0o0/edit?usp=sharing"",""งบพรบ!EH98"")"),0)</f>
        <v>0</v>
      </c>
      <c r="I98" s="82">
        <f ca="1">IFERROR(__xludf.DUMMYFUNCTION("IMPORTRANGE(""https://docs.google.com/spreadsheets/d/1MeEWN-I1oV_STSDYn1IFDPWt_1FKiwhDph83XaGc0o0/edit?usp=sharing"",""งบพรบ!EI98"")"),0)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IFERROR(__xludf.DUMMYFUNCTION("IMPORTRANGE(""https://docs.google.com/spreadsheets/d/1MeEWN-I1oV_STSDYn1IFDPWt_1FKiwhDph83XaGc0o0/edit?usp=sharing"",""งบพรบ!EJ98"")"),0)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IFERROR(__xludf.DUMMYFUNCTION("IMPORTRANGE(""https://docs.google.com/spreadsheets/d/1MeEWN-I1oV_STSDYn1IFDPWt_1FKiwhDph83XaGc0o0/edit?usp=sharing"",""งบพรบ!EK98"")"),0)</f>
        <v>0</v>
      </c>
      <c r="P98" s="85">
        <f t="shared" ca="1" si="18"/>
        <v>0</v>
      </c>
      <c r="Q98" s="84">
        <f t="shared" ca="1" si="8"/>
        <v>0</v>
      </c>
      <c r="R98" s="82"/>
      <c r="S98" s="82"/>
      <c r="T98" s="84"/>
    </row>
    <row r="99" spans="1:20" ht="24" hidden="1" customHeight="1" x14ac:dyDescent="0.2">
      <c r="A99" s="111">
        <f t="shared" si="32"/>
        <v>10</v>
      </c>
      <c r="B99" s="112" t="s">
        <v>121</v>
      </c>
      <c r="C99" s="80">
        <f t="shared" ca="1" si="0"/>
        <v>0</v>
      </c>
      <c r="D99" s="81">
        <f t="shared" ca="1" si="31"/>
        <v>0</v>
      </c>
      <c r="E99" s="82">
        <f ca="1">IFERROR(__xludf.DUMMYFUNCTION("IMPORTRANGE(""https://docs.google.com/spreadsheets/d/1MeEWN-I1oV_STSDYn1IFDPWt_1FKiwhDph83XaGc0o0/edit?usp=sharing"",""งบพรบ!ED99"")"),0)</f>
        <v>0</v>
      </c>
      <c r="F99" s="82">
        <f ca="1">IFERROR(__xludf.DUMMYFUNCTION("IMPORTRANGE(""https://docs.google.com/spreadsheets/d/1MeEWN-I1oV_STSDYn1IFDPWt_1FKiwhDph83XaGc0o0/edit?usp=sharing"",""งบพรบ!EE99"")"),0)</f>
        <v>0</v>
      </c>
      <c r="G99" s="82">
        <f ca="1">IFERROR(__xludf.DUMMYFUNCTION("IMPORTRANGE(""https://docs.google.com/spreadsheets/d/1MeEWN-I1oV_STSDYn1IFDPWt_1FKiwhDph83XaGc0o0/edit?usp=sharing"",""งบพรบ!EF99"")"),0)</f>
        <v>0</v>
      </c>
      <c r="H99" s="82">
        <f ca="1">IFERROR(__xludf.DUMMYFUNCTION("IMPORTRANGE(""https://docs.google.com/spreadsheets/d/1MeEWN-I1oV_STSDYn1IFDPWt_1FKiwhDph83XaGc0o0/edit?usp=sharing"",""งบพรบ!EH99"")"),0)</f>
        <v>0</v>
      </c>
      <c r="I99" s="82">
        <f ca="1">IFERROR(__xludf.DUMMYFUNCTION("IMPORTRANGE(""https://docs.google.com/spreadsheets/d/1MeEWN-I1oV_STSDYn1IFDPWt_1FKiwhDph83XaGc0o0/edit?usp=sharing"",""งบพรบ!EI99"")"),0)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IFERROR(__xludf.DUMMYFUNCTION("IMPORTRANGE(""https://docs.google.com/spreadsheets/d/1MeEWN-I1oV_STSDYn1IFDPWt_1FKiwhDph83XaGc0o0/edit?usp=sharing"",""งบพรบ!EJ99"")"),0)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IFERROR(__xludf.DUMMYFUNCTION("IMPORTRANGE(""https://docs.google.com/spreadsheets/d/1MeEWN-I1oV_STSDYn1IFDPWt_1FKiwhDph83XaGc0o0/edit?usp=sharing"",""งบพรบ!EK99"")"),0)</f>
        <v>0</v>
      </c>
      <c r="P99" s="85">
        <f t="shared" ca="1" si="18"/>
        <v>0</v>
      </c>
      <c r="Q99" s="84">
        <f t="shared" ca="1" si="8"/>
        <v>0</v>
      </c>
      <c r="R99" s="82"/>
      <c r="S99" s="82"/>
      <c r="T99" s="84"/>
    </row>
    <row r="100" spans="1:20" ht="24" hidden="1" customHeight="1" x14ac:dyDescent="0.2">
      <c r="A100" s="111">
        <f t="shared" si="32"/>
        <v>11</v>
      </c>
      <c r="B100" s="112" t="s">
        <v>122</v>
      </c>
      <c r="C100" s="80">
        <f t="shared" ca="1" si="0"/>
        <v>0</v>
      </c>
      <c r="D100" s="81">
        <f t="shared" ca="1" si="31"/>
        <v>0</v>
      </c>
      <c r="E100" s="82">
        <f ca="1">IFERROR(__xludf.DUMMYFUNCTION("IMPORTRANGE(""https://docs.google.com/spreadsheets/d/1MeEWN-I1oV_STSDYn1IFDPWt_1FKiwhDph83XaGc0o0/edit?usp=sharing"",""งบพรบ!ED100"")"),0)</f>
        <v>0</v>
      </c>
      <c r="F100" s="82">
        <f ca="1">IFERROR(__xludf.DUMMYFUNCTION("IMPORTRANGE(""https://docs.google.com/spreadsheets/d/1MeEWN-I1oV_STSDYn1IFDPWt_1FKiwhDph83XaGc0o0/edit?usp=sharing"",""งบพรบ!EE100"")"),0)</f>
        <v>0</v>
      </c>
      <c r="G100" s="82">
        <f ca="1">IFERROR(__xludf.DUMMYFUNCTION("IMPORTRANGE(""https://docs.google.com/spreadsheets/d/1MeEWN-I1oV_STSDYn1IFDPWt_1FKiwhDph83XaGc0o0/edit?usp=sharing"",""งบพรบ!EF100"")"),0)</f>
        <v>0</v>
      </c>
      <c r="H100" s="82">
        <f ca="1">IFERROR(__xludf.DUMMYFUNCTION("IMPORTRANGE(""https://docs.google.com/spreadsheets/d/1MeEWN-I1oV_STSDYn1IFDPWt_1FKiwhDph83XaGc0o0/edit?usp=sharing"",""งบพรบ!EH100"")"),0)</f>
        <v>0</v>
      </c>
      <c r="I100" s="82">
        <f ca="1">IFERROR(__xludf.DUMMYFUNCTION("IMPORTRANGE(""https://docs.google.com/spreadsheets/d/1MeEWN-I1oV_STSDYn1IFDPWt_1FKiwhDph83XaGc0o0/edit?usp=sharing"",""งบพรบ!EI100"")"),0)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IFERROR(__xludf.DUMMYFUNCTION("IMPORTRANGE(""https://docs.google.com/spreadsheets/d/1MeEWN-I1oV_STSDYn1IFDPWt_1FKiwhDph83XaGc0o0/edit?usp=sharing"",""งบพรบ!EJ100"")"),0)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IFERROR(__xludf.DUMMYFUNCTION("IMPORTRANGE(""https://docs.google.com/spreadsheets/d/1MeEWN-I1oV_STSDYn1IFDPWt_1FKiwhDph83XaGc0o0/edit?usp=sharing"",""งบพรบ!EK100"")"),0)</f>
        <v>0</v>
      </c>
      <c r="P100" s="85">
        <f t="shared" ca="1" si="18"/>
        <v>0</v>
      </c>
      <c r="Q100" s="84">
        <f t="shared" ca="1" si="8"/>
        <v>0</v>
      </c>
      <c r="R100" s="82"/>
      <c r="S100" s="82"/>
      <c r="T100" s="84"/>
    </row>
    <row r="101" spans="1:20" ht="24" hidden="1" customHeight="1" x14ac:dyDescent="0.2">
      <c r="A101" s="111">
        <f t="shared" si="32"/>
        <v>12</v>
      </c>
      <c r="B101" s="112" t="s">
        <v>123</v>
      </c>
      <c r="C101" s="80">
        <f t="shared" ca="1" si="0"/>
        <v>0</v>
      </c>
      <c r="D101" s="81">
        <f t="shared" ca="1" si="31"/>
        <v>0</v>
      </c>
      <c r="E101" s="82">
        <f ca="1">IFERROR(__xludf.DUMMYFUNCTION("IMPORTRANGE(""https://docs.google.com/spreadsheets/d/1MeEWN-I1oV_STSDYn1IFDPWt_1FKiwhDph83XaGc0o0/edit?usp=sharing"",""งบพรบ!ED101"")"),0)</f>
        <v>0</v>
      </c>
      <c r="F101" s="82">
        <f ca="1">IFERROR(__xludf.DUMMYFUNCTION("IMPORTRANGE(""https://docs.google.com/spreadsheets/d/1MeEWN-I1oV_STSDYn1IFDPWt_1FKiwhDph83XaGc0o0/edit?usp=sharing"",""งบพรบ!EE101"")"),0)</f>
        <v>0</v>
      </c>
      <c r="G101" s="82">
        <f ca="1">IFERROR(__xludf.DUMMYFUNCTION("IMPORTRANGE(""https://docs.google.com/spreadsheets/d/1MeEWN-I1oV_STSDYn1IFDPWt_1FKiwhDph83XaGc0o0/edit?usp=sharing"",""งบพรบ!EF101"")"),0)</f>
        <v>0</v>
      </c>
      <c r="H101" s="82">
        <f ca="1">IFERROR(__xludf.DUMMYFUNCTION("IMPORTRANGE(""https://docs.google.com/spreadsheets/d/1MeEWN-I1oV_STSDYn1IFDPWt_1FKiwhDph83XaGc0o0/edit?usp=sharing"",""งบพรบ!EH101"")"),0)</f>
        <v>0</v>
      </c>
      <c r="I101" s="82">
        <f ca="1">IFERROR(__xludf.DUMMYFUNCTION("IMPORTRANGE(""https://docs.google.com/spreadsheets/d/1MeEWN-I1oV_STSDYn1IFDPWt_1FKiwhDph83XaGc0o0/edit?usp=sharing"",""งบพรบ!EI101"")"),0)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IFERROR(__xludf.DUMMYFUNCTION("IMPORTRANGE(""https://docs.google.com/spreadsheets/d/1MeEWN-I1oV_STSDYn1IFDPWt_1FKiwhDph83XaGc0o0/edit?usp=sharing"",""งบพรบ!EJ101"")"),0)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IFERROR(__xludf.DUMMYFUNCTION("IMPORTRANGE(""https://docs.google.com/spreadsheets/d/1MeEWN-I1oV_STSDYn1IFDPWt_1FKiwhDph83XaGc0o0/edit?usp=sharing"",""งบพรบ!EK101"")"),0)</f>
        <v>0</v>
      </c>
      <c r="P101" s="85">
        <f t="shared" ca="1" si="18"/>
        <v>0</v>
      </c>
      <c r="Q101" s="84">
        <f t="shared" ca="1" si="8"/>
        <v>0</v>
      </c>
      <c r="R101" s="82"/>
      <c r="S101" s="82"/>
      <c r="T101" s="84"/>
    </row>
    <row r="102" spans="1:20" ht="24" hidden="1" customHeight="1" x14ac:dyDescent="0.2">
      <c r="A102" s="111">
        <f t="shared" si="32"/>
        <v>13</v>
      </c>
      <c r="B102" s="112" t="s">
        <v>124</v>
      </c>
      <c r="C102" s="80">
        <f t="shared" ca="1" si="0"/>
        <v>0</v>
      </c>
      <c r="D102" s="81">
        <f t="shared" ca="1" si="31"/>
        <v>0</v>
      </c>
      <c r="E102" s="82">
        <f ca="1">IFERROR(__xludf.DUMMYFUNCTION("IMPORTRANGE(""https://docs.google.com/spreadsheets/d/1MeEWN-I1oV_STSDYn1IFDPWt_1FKiwhDph83XaGc0o0/edit?usp=sharing"",""งบพรบ!ED102"")"),0)</f>
        <v>0</v>
      </c>
      <c r="F102" s="82">
        <f ca="1">IFERROR(__xludf.DUMMYFUNCTION("IMPORTRANGE(""https://docs.google.com/spreadsheets/d/1MeEWN-I1oV_STSDYn1IFDPWt_1FKiwhDph83XaGc0o0/edit?usp=sharing"",""งบพรบ!EE102"")"),0)</f>
        <v>0</v>
      </c>
      <c r="G102" s="82">
        <f ca="1">IFERROR(__xludf.DUMMYFUNCTION("IMPORTRANGE(""https://docs.google.com/spreadsheets/d/1MeEWN-I1oV_STSDYn1IFDPWt_1FKiwhDph83XaGc0o0/edit?usp=sharing"",""งบพรบ!EF102"")"),0)</f>
        <v>0</v>
      </c>
      <c r="H102" s="82">
        <f ca="1">IFERROR(__xludf.DUMMYFUNCTION("IMPORTRANGE(""https://docs.google.com/spreadsheets/d/1MeEWN-I1oV_STSDYn1IFDPWt_1FKiwhDph83XaGc0o0/edit?usp=sharing"",""งบพรบ!EH102"")"),0)</f>
        <v>0</v>
      </c>
      <c r="I102" s="82">
        <f ca="1">IFERROR(__xludf.DUMMYFUNCTION("IMPORTRANGE(""https://docs.google.com/spreadsheets/d/1MeEWN-I1oV_STSDYn1IFDPWt_1FKiwhDph83XaGc0o0/edit?usp=sharing"",""งบพรบ!EI102"")"),0)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IFERROR(__xludf.DUMMYFUNCTION("IMPORTRANGE(""https://docs.google.com/spreadsheets/d/1MeEWN-I1oV_STSDYn1IFDPWt_1FKiwhDph83XaGc0o0/edit?usp=sharing"",""งบพรบ!EJ102"")"),0)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IFERROR(__xludf.DUMMYFUNCTION("IMPORTRANGE(""https://docs.google.com/spreadsheets/d/1MeEWN-I1oV_STSDYn1IFDPWt_1FKiwhDph83XaGc0o0/edit?usp=sharing"",""งบพรบ!EK102"")"),0)</f>
        <v>0</v>
      </c>
      <c r="P102" s="85">
        <f t="shared" ca="1" si="18"/>
        <v>0</v>
      </c>
      <c r="Q102" s="84">
        <f t="shared" ca="1" si="8"/>
        <v>0</v>
      </c>
      <c r="R102" s="82"/>
      <c r="S102" s="82"/>
      <c r="T102" s="84"/>
    </row>
    <row r="103" spans="1:20" ht="24" hidden="1" customHeight="1" x14ac:dyDescent="0.2">
      <c r="A103" s="113">
        <f t="shared" si="32"/>
        <v>14</v>
      </c>
      <c r="B103" s="114" t="s">
        <v>125</v>
      </c>
      <c r="C103" s="91">
        <f t="shared" ca="1" si="0"/>
        <v>0</v>
      </c>
      <c r="D103" s="92">
        <f t="shared" ca="1" si="31"/>
        <v>0</v>
      </c>
      <c r="E103" s="93">
        <f ca="1">IFERROR(__xludf.DUMMYFUNCTION("IMPORTRANGE(""https://docs.google.com/spreadsheets/d/1MeEWN-I1oV_STSDYn1IFDPWt_1FKiwhDph83XaGc0o0/edit?usp=sharing"",""งบพรบ!ED103"")"),0)</f>
        <v>0</v>
      </c>
      <c r="F103" s="93">
        <f ca="1">IFERROR(__xludf.DUMMYFUNCTION("IMPORTRANGE(""https://docs.google.com/spreadsheets/d/1MeEWN-I1oV_STSDYn1IFDPWt_1FKiwhDph83XaGc0o0/edit?usp=sharing"",""งบพรบ!EE103"")"),0)</f>
        <v>0</v>
      </c>
      <c r="G103" s="93">
        <f ca="1">IFERROR(__xludf.DUMMYFUNCTION("IMPORTRANGE(""https://docs.google.com/spreadsheets/d/1MeEWN-I1oV_STSDYn1IFDPWt_1FKiwhDph83XaGc0o0/edit?usp=sharing"",""งบพรบ!EF103"")"),0)</f>
        <v>0</v>
      </c>
      <c r="H103" s="93">
        <f ca="1">IFERROR(__xludf.DUMMYFUNCTION("IMPORTRANGE(""https://docs.google.com/spreadsheets/d/1MeEWN-I1oV_STSDYn1IFDPWt_1FKiwhDph83XaGc0o0/edit?usp=sharing"",""งบพรบ!EH103"")"),0)</f>
        <v>0</v>
      </c>
      <c r="I103" s="93">
        <f ca="1">IFERROR(__xludf.DUMMYFUNCTION("IMPORTRANGE(""https://docs.google.com/spreadsheets/d/1MeEWN-I1oV_STSDYn1IFDPWt_1FKiwhDph83XaGc0o0/edit?usp=sharing"",""งบพรบ!EI103"")"),0)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IFERROR(__xludf.DUMMYFUNCTION("IMPORTRANGE(""https://docs.google.com/spreadsheets/d/1MeEWN-I1oV_STSDYn1IFDPWt_1FKiwhDph83XaGc0o0/edit?usp=sharing"",""งบพรบ!EJ103"")"),0)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IFERROR(__xludf.DUMMYFUNCTION("IMPORTRANGE(""https://docs.google.com/spreadsheets/d/1MeEWN-I1oV_STSDYn1IFDPWt_1FKiwhDph83XaGc0o0/edit?usp=sharing"",""งบพรบ!EK103"")"),0)</f>
        <v>0</v>
      </c>
      <c r="P103" s="96">
        <f t="shared" ca="1" si="18"/>
        <v>0</v>
      </c>
      <c r="Q103" s="95">
        <f t="shared" ca="1" si="8"/>
        <v>0</v>
      </c>
      <c r="R103" s="93"/>
      <c r="S103" s="93"/>
      <c r="T103" s="95"/>
    </row>
    <row r="104" spans="1:20" ht="21" hidden="1" customHeight="1" x14ac:dyDescent="0.2">
      <c r="A104" s="381" t="s">
        <v>126</v>
      </c>
      <c r="B104" s="357"/>
      <c r="C104" s="107">
        <f t="shared" ca="1" si="0"/>
        <v>454500</v>
      </c>
      <c r="D104" s="46">
        <f ca="1">SUM(D105:D116)</f>
        <v>454500</v>
      </c>
      <c r="E104" s="46">
        <f ca="1">IFERROR(__xludf.DUMMYFUNCTION("IMPORTRANGE(""https://docs.google.com/spreadsheets/d/1MeEWN-I1oV_STSDYn1IFDPWt_1FKiwhDph83XaGc0o0/edit?usp=sharing"",""งบพรบ!ED104"")"),454500)</f>
        <v>454500</v>
      </c>
      <c r="F104" s="46">
        <f ca="1">IFERROR(__xludf.DUMMYFUNCTION("IMPORTRANGE(""https://docs.google.com/spreadsheets/d/1MeEWN-I1oV_STSDYn1IFDPWt_1FKiwhDph83XaGc0o0/edit?usp=sharing"",""งบพรบ!EE104"")"),0)</f>
        <v>0</v>
      </c>
      <c r="G104" s="46">
        <f ca="1">IFERROR(__xludf.DUMMYFUNCTION("IMPORTRANGE(""https://docs.google.com/spreadsheets/d/1MeEWN-I1oV_STSDYn1IFDPWt_1FKiwhDph83XaGc0o0/edit?usp=sharing"",""งบพรบ!EF104"")"),0)</f>
        <v>0</v>
      </c>
      <c r="H104" s="46">
        <f ca="1">IFERROR(__xludf.DUMMYFUNCTION("IMPORTRANGE(""https://docs.google.com/spreadsheets/d/1MeEWN-I1oV_STSDYn1IFDPWt_1FKiwhDph83XaGc0o0/edit?usp=sharing"",""งบพรบ!EH104"")"),292200)</f>
        <v>292200</v>
      </c>
      <c r="I104" s="46">
        <f ca="1">IFERROR(__xludf.DUMMYFUNCTION("IMPORTRANGE(""https://docs.google.com/spreadsheets/d/1MeEWN-I1oV_STSDYn1IFDPWt_1FKiwhDph83XaGc0o0/edit?usp=sharing"",""งบพรบ!EI104"")"),0)</f>
        <v>0</v>
      </c>
      <c r="J104" s="46">
        <f t="shared" ca="1" si="3"/>
        <v>0</v>
      </c>
      <c r="K104" s="48">
        <f t="shared" ca="1" si="4"/>
        <v>0</v>
      </c>
      <c r="L104" s="46">
        <f ca="1">IFERROR(__xludf.DUMMYFUNCTION("IMPORTRANGE(""https://docs.google.com/spreadsheets/d/1MeEWN-I1oV_STSDYn1IFDPWt_1FKiwhDph83XaGc0o0/edit?usp=sharing"",""งบพรบ!EJ104"")"),0)</f>
        <v>0</v>
      </c>
      <c r="M104" s="48">
        <f t="shared" ca="1" si="5"/>
        <v>0</v>
      </c>
      <c r="N104" s="48">
        <f t="shared" ca="1" si="6"/>
        <v>0</v>
      </c>
      <c r="O104" s="46">
        <f ca="1">IFERROR(__xludf.DUMMYFUNCTION("IMPORTRANGE(""https://docs.google.com/spreadsheets/d/1MeEWN-I1oV_STSDYn1IFDPWt_1FKiwhDph83XaGc0o0/edit?usp=sharing"",""งบพรบ!EK104"")"),0)</f>
        <v>0</v>
      </c>
      <c r="P104" s="46">
        <f t="shared" ca="1" si="18"/>
        <v>0</v>
      </c>
      <c r="Q104" s="46">
        <f t="shared" ca="1" si="8"/>
        <v>0</v>
      </c>
      <c r="R104" s="46"/>
      <c r="S104" s="46"/>
      <c r="T104" s="46"/>
    </row>
    <row r="105" spans="1:20" ht="24" hidden="1" customHeight="1" x14ac:dyDescent="0.2">
      <c r="A105" s="108">
        <v>1</v>
      </c>
      <c r="B105" s="115" t="s">
        <v>127</v>
      </c>
      <c r="C105" s="116">
        <f t="shared" ca="1" si="0"/>
        <v>404500</v>
      </c>
      <c r="D105" s="71">
        <f t="shared" ref="D105:D116" ca="1" si="33">+E105+F105</f>
        <v>404500</v>
      </c>
      <c r="E105" s="72">
        <f ca="1">IFERROR(__xludf.DUMMYFUNCTION("IMPORTRANGE(""https://docs.google.com/spreadsheets/d/1MeEWN-I1oV_STSDYn1IFDPWt_1FKiwhDph83XaGc0o0/edit?usp=sharing"",""งบพรบ!ED105"")"),404500)</f>
        <v>404500</v>
      </c>
      <c r="F105" s="72">
        <f ca="1">IFERROR(__xludf.DUMMYFUNCTION("IMPORTRANGE(""https://docs.google.com/spreadsheets/d/1MeEWN-I1oV_STSDYn1IFDPWt_1FKiwhDph83XaGc0o0/edit?usp=sharing"",""งบพรบ!EE105"")"),0)</f>
        <v>0</v>
      </c>
      <c r="G105" s="72">
        <f ca="1">IFERROR(__xludf.DUMMYFUNCTION("IMPORTRANGE(""https://docs.google.com/spreadsheets/d/1MeEWN-I1oV_STSDYn1IFDPWt_1FKiwhDph83XaGc0o0/edit?usp=sharing"",""งบพรบ!EF105"")"),0)</f>
        <v>0</v>
      </c>
      <c r="H105" s="72">
        <f ca="1">IFERROR(__xludf.DUMMYFUNCTION("IMPORTRANGE(""https://docs.google.com/spreadsheets/d/1MeEWN-I1oV_STSDYn1IFDPWt_1FKiwhDph83XaGc0o0/edit?usp=sharing"",""งบพรบ!EH105"")"),292200)</f>
        <v>292200</v>
      </c>
      <c r="I105" s="72">
        <f ca="1">IFERROR(__xludf.DUMMYFUNCTION("IMPORTRANGE(""https://docs.google.com/spreadsheets/d/1MeEWN-I1oV_STSDYn1IFDPWt_1FKiwhDph83XaGc0o0/edit?usp=sharing"",""งบพรบ!EI105"")"),0)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IFERROR(__xludf.DUMMYFUNCTION("IMPORTRANGE(""https://docs.google.com/spreadsheets/d/1MeEWN-I1oV_STSDYn1IFDPWt_1FKiwhDph83XaGc0o0/edit?usp=sharing"",""งบพรบ!EJ105"")"),0)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IFERROR(__xludf.DUMMYFUNCTION("IMPORTRANGE(""https://docs.google.com/spreadsheets/d/1MeEWN-I1oV_STSDYn1IFDPWt_1FKiwhDph83XaGc0o0/edit?usp=sharing"",""งบพรบ!EK105"")"),0)</f>
        <v>0</v>
      </c>
      <c r="P105" s="76">
        <f t="shared" ca="1" si="18"/>
        <v>0</v>
      </c>
      <c r="Q105" s="75">
        <f t="shared" ca="1" si="8"/>
        <v>0</v>
      </c>
      <c r="R105" s="72"/>
      <c r="S105" s="72"/>
      <c r="T105" s="72"/>
    </row>
    <row r="106" spans="1:20" ht="24" hidden="1" customHeight="1" x14ac:dyDescent="0.2">
      <c r="A106" s="111">
        <v>2</v>
      </c>
      <c r="B106" s="117" t="s">
        <v>128</v>
      </c>
      <c r="C106" s="118">
        <f t="shared" ca="1" si="0"/>
        <v>50000</v>
      </c>
      <c r="D106" s="81">
        <f t="shared" ca="1" si="33"/>
        <v>50000</v>
      </c>
      <c r="E106" s="82">
        <f ca="1">IFERROR(__xludf.DUMMYFUNCTION("IMPORTRANGE(""https://docs.google.com/spreadsheets/d/1MeEWN-I1oV_STSDYn1IFDPWt_1FKiwhDph83XaGc0o0/edit?usp=sharing"",""งบพรบ!ED106"")"),50000)</f>
        <v>50000</v>
      </c>
      <c r="F106" s="82">
        <f ca="1">IFERROR(__xludf.DUMMYFUNCTION("IMPORTRANGE(""https://docs.google.com/spreadsheets/d/1MeEWN-I1oV_STSDYn1IFDPWt_1FKiwhDph83XaGc0o0/edit?usp=sharing"",""งบพรบ!EE106"")"),0)</f>
        <v>0</v>
      </c>
      <c r="G106" s="82">
        <f ca="1">IFERROR(__xludf.DUMMYFUNCTION("IMPORTRANGE(""https://docs.google.com/spreadsheets/d/1MeEWN-I1oV_STSDYn1IFDPWt_1FKiwhDph83XaGc0o0/edit?usp=sharing"",""งบพรบ!EF106"")"),0)</f>
        <v>0</v>
      </c>
      <c r="H106" s="82">
        <f ca="1">IFERROR(__xludf.DUMMYFUNCTION("IMPORTRANGE(""https://docs.google.com/spreadsheets/d/1MeEWN-I1oV_STSDYn1IFDPWt_1FKiwhDph83XaGc0o0/edit?usp=sharing"",""งบพรบ!EH106"")"),0)</f>
        <v>0</v>
      </c>
      <c r="I106" s="82">
        <f ca="1">IFERROR(__xludf.DUMMYFUNCTION("IMPORTRANGE(""https://docs.google.com/spreadsheets/d/1MeEWN-I1oV_STSDYn1IFDPWt_1FKiwhDph83XaGc0o0/edit?usp=sharing"",""งบพรบ!EI106"")"),0)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IFERROR(__xludf.DUMMYFUNCTION("IMPORTRANGE(""https://docs.google.com/spreadsheets/d/1MeEWN-I1oV_STSDYn1IFDPWt_1FKiwhDph83XaGc0o0/edit?usp=sharing"",""งบพรบ!EJ106"")"),0)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IFERROR(__xludf.DUMMYFUNCTION("IMPORTRANGE(""https://docs.google.com/spreadsheets/d/1MeEWN-I1oV_STSDYn1IFDPWt_1FKiwhDph83XaGc0o0/edit?usp=sharing"",""งบพรบ!EK106"")"),0)</f>
        <v>0</v>
      </c>
      <c r="P106" s="85">
        <f t="shared" ca="1" si="18"/>
        <v>0</v>
      </c>
      <c r="Q106" s="84">
        <f t="shared" ca="1" si="8"/>
        <v>0</v>
      </c>
      <c r="R106" s="82"/>
      <c r="S106" s="82"/>
      <c r="T106" s="82"/>
    </row>
    <row r="107" spans="1:20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33"/>
        <v>0</v>
      </c>
      <c r="E107" s="82">
        <f ca="1">IFERROR(__xludf.DUMMYFUNCTION("IMPORTRANGE(""https://docs.google.com/spreadsheets/d/1MeEWN-I1oV_STSDYn1IFDPWt_1FKiwhDph83XaGc0o0/edit?usp=sharing"",""งบพรบ!ED107"")"),0)</f>
        <v>0</v>
      </c>
      <c r="F107" s="82">
        <f ca="1">IFERROR(__xludf.DUMMYFUNCTION("IMPORTRANGE(""https://docs.google.com/spreadsheets/d/1MeEWN-I1oV_STSDYn1IFDPWt_1FKiwhDph83XaGc0o0/edit?usp=sharing"",""งบพรบ!EE107"")"),0)</f>
        <v>0</v>
      </c>
      <c r="G107" s="82">
        <f ca="1">IFERROR(__xludf.DUMMYFUNCTION("IMPORTRANGE(""https://docs.google.com/spreadsheets/d/1MeEWN-I1oV_STSDYn1IFDPWt_1FKiwhDph83XaGc0o0/edit?usp=sharing"",""งบพรบ!EF107"")"),0)</f>
        <v>0</v>
      </c>
      <c r="H107" s="82">
        <f ca="1">IFERROR(__xludf.DUMMYFUNCTION("IMPORTRANGE(""https://docs.google.com/spreadsheets/d/1MeEWN-I1oV_STSDYn1IFDPWt_1FKiwhDph83XaGc0o0/edit?usp=sharing"",""งบพรบ!EH107"")"),0)</f>
        <v>0</v>
      </c>
      <c r="I107" s="82">
        <f ca="1">IFERROR(__xludf.DUMMYFUNCTION("IMPORTRANGE(""https://docs.google.com/spreadsheets/d/1MeEWN-I1oV_STSDYn1IFDPWt_1FKiwhDph83XaGc0o0/edit?usp=sharing"",""งบพรบ!EI107"")"),0)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IFERROR(__xludf.DUMMYFUNCTION("IMPORTRANGE(""https://docs.google.com/spreadsheets/d/1MeEWN-I1oV_STSDYn1IFDPWt_1FKiwhDph83XaGc0o0/edit?usp=sharing"",""งบพรบ!EJ107"")"),0)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IFERROR(__xludf.DUMMYFUNCTION("IMPORTRANGE(""https://docs.google.com/spreadsheets/d/1MeEWN-I1oV_STSDYn1IFDPWt_1FKiwhDph83XaGc0o0/edit?usp=sharing"",""งบพรบ!EK107"")"),0)</f>
        <v>0</v>
      </c>
      <c r="P107" s="85">
        <f t="shared" ca="1" si="18"/>
        <v>0</v>
      </c>
      <c r="Q107" s="84">
        <f t="shared" ca="1" si="8"/>
        <v>0</v>
      </c>
      <c r="R107" s="82"/>
      <c r="S107" s="82"/>
      <c r="T107" s="82"/>
    </row>
    <row r="108" spans="1:20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33"/>
        <v>0</v>
      </c>
      <c r="E108" s="82">
        <f ca="1">IFERROR(__xludf.DUMMYFUNCTION("IMPORTRANGE(""https://docs.google.com/spreadsheets/d/1MeEWN-I1oV_STSDYn1IFDPWt_1FKiwhDph83XaGc0o0/edit?usp=sharing"",""งบพรบ!ED108"")"),0)</f>
        <v>0</v>
      </c>
      <c r="F108" s="82">
        <f ca="1">IFERROR(__xludf.DUMMYFUNCTION("IMPORTRANGE(""https://docs.google.com/spreadsheets/d/1MeEWN-I1oV_STSDYn1IFDPWt_1FKiwhDph83XaGc0o0/edit?usp=sharing"",""งบพรบ!EE108"")"),0)</f>
        <v>0</v>
      </c>
      <c r="G108" s="82">
        <f ca="1">IFERROR(__xludf.DUMMYFUNCTION("IMPORTRANGE(""https://docs.google.com/spreadsheets/d/1MeEWN-I1oV_STSDYn1IFDPWt_1FKiwhDph83XaGc0o0/edit?usp=sharing"",""งบพรบ!EF108"")"),0)</f>
        <v>0</v>
      </c>
      <c r="H108" s="82">
        <f ca="1">IFERROR(__xludf.DUMMYFUNCTION("IMPORTRANGE(""https://docs.google.com/spreadsheets/d/1MeEWN-I1oV_STSDYn1IFDPWt_1FKiwhDph83XaGc0o0/edit?usp=sharing"",""งบพรบ!EH108"")"),0)</f>
        <v>0</v>
      </c>
      <c r="I108" s="82">
        <f ca="1">IFERROR(__xludf.DUMMYFUNCTION("IMPORTRANGE(""https://docs.google.com/spreadsheets/d/1MeEWN-I1oV_STSDYn1IFDPWt_1FKiwhDph83XaGc0o0/edit?usp=sharing"",""งบพรบ!EI108"")"),0)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IFERROR(__xludf.DUMMYFUNCTION("IMPORTRANGE(""https://docs.google.com/spreadsheets/d/1MeEWN-I1oV_STSDYn1IFDPWt_1FKiwhDph83XaGc0o0/edit?usp=sharing"",""งบพรบ!EJ108"")"),0)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IFERROR(__xludf.DUMMYFUNCTION("IMPORTRANGE(""https://docs.google.com/spreadsheets/d/1MeEWN-I1oV_STSDYn1IFDPWt_1FKiwhDph83XaGc0o0/edit?usp=sharing"",""งบพรบ!EK108"")"),0)</f>
        <v>0</v>
      </c>
      <c r="P108" s="85">
        <f t="shared" ca="1" si="18"/>
        <v>0</v>
      </c>
      <c r="Q108" s="84">
        <f t="shared" ca="1" si="8"/>
        <v>0</v>
      </c>
      <c r="R108" s="82"/>
      <c r="S108" s="82"/>
      <c r="T108" s="82"/>
    </row>
    <row r="109" spans="1:20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33"/>
        <v>0</v>
      </c>
      <c r="E109" s="82">
        <f ca="1">IFERROR(__xludf.DUMMYFUNCTION("IMPORTRANGE(""https://docs.google.com/spreadsheets/d/1MeEWN-I1oV_STSDYn1IFDPWt_1FKiwhDph83XaGc0o0/edit?usp=sharing"",""งบพรบ!ED109"")"),0)</f>
        <v>0</v>
      </c>
      <c r="F109" s="82">
        <f ca="1">IFERROR(__xludf.DUMMYFUNCTION("IMPORTRANGE(""https://docs.google.com/spreadsheets/d/1MeEWN-I1oV_STSDYn1IFDPWt_1FKiwhDph83XaGc0o0/edit?usp=sharing"",""งบพรบ!EE109"")"),0)</f>
        <v>0</v>
      </c>
      <c r="G109" s="82">
        <f ca="1">IFERROR(__xludf.DUMMYFUNCTION("IMPORTRANGE(""https://docs.google.com/spreadsheets/d/1MeEWN-I1oV_STSDYn1IFDPWt_1FKiwhDph83XaGc0o0/edit?usp=sharing"",""งบพรบ!EF109"")"),0)</f>
        <v>0</v>
      </c>
      <c r="H109" s="82">
        <f ca="1">IFERROR(__xludf.DUMMYFUNCTION("IMPORTRANGE(""https://docs.google.com/spreadsheets/d/1MeEWN-I1oV_STSDYn1IFDPWt_1FKiwhDph83XaGc0o0/edit?usp=sharing"",""งบพรบ!EH109"")"),0)</f>
        <v>0</v>
      </c>
      <c r="I109" s="82">
        <f ca="1">IFERROR(__xludf.DUMMYFUNCTION("IMPORTRANGE(""https://docs.google.com/spreadsheets/d/1MeEWN-I1oV_STSDYn1IFDPWt_1FKiwhDph83XaGc0o0/edit?usp=sharing"",""งบพรบ!EI109"")"),0)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IFERROR(__xludf.DUMMYFUNCTION("IMPORTRANGE(""https://docs.google.com/spreadsheets/d/1MeEWN-I1oV_STSDYn1IFDPWt_1FKiwhDph83XaGc0o0/edit?usp=sharing"",""งบพรบ!EJ109"")"),0)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IFERROR(__xludf.DUMMYFUNCTION("IMPORTRANGE(""https://docs.google.com/spreadsheets/d/1MeEWN-I1oV_STSDYn1IFDPWt_1FKiwhDph83XaGc0o0/edit?usp=sharing"",""งบพรบ!EK109"")"),0)</f>
        <v>0</v>
      </c>
      <c r="P109" s="85">
        <f t="shared" ca="1" si="18"/>
        <v>0</v>
      </c>
      <c r="Q109" s="84">
        <f t="shared" ca="1" si="8"/>
        <v>0</v>
      </c>
      <c r="R109" s="82"/>
      <c r="S109" s="82"/>
      <c r="T109" s="82"/>
    </row>
    <row r="110" spans="1:20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33"/>
        <v>0</v>
      </c>
      <c r="E110" s="82">
        <f ca="1">IFERROR(__xludf.DUMMYFUNCTION("IMPORTRANGE(""https://docs.google.com/spreadsheets/d/1MeEWN-I1oV_STSDYn1IFDPWt_1FKiwhDph83XaGc0o0/edit?usp=sharing"",""งบพรบ!ED110"")"),0)</f>
        <v>0</v>
      </c>
      <c r="F110" s="82">
        <f ca="1">IFERROR(__xludf.DUMMYFUNCTION("IMPORTRANGE(""https://docs.google.com/spreadsheets/d/1MeEWN-I1oV_STSDYn1IFDPWt_1FKiwhDph83XaGc0o0/edit?usp=sharing"",""งบพรบ!EE110"")"),0)</f>
        <v>0</v>
      </c>
      <c r="G110" s="82">
        <f ca="1">IFERROR(__xludf.DUMMYFUNCTION("IMPORTRANGE(""https://docs.google.com/spreadsheets/d/1MeEWN-I1oV_STSDYn1IFDPWt_1FKiwhDph83XaGc0o0/edit?usp=sharing"",""งบพรบ!EF110"")"),0)</f>
        <v>0</v>
      </c>
      <c r="H110" s="82">
        <f ca="1">IFERROR(__xludf.DUMMYFUNCTION("IMPORTRANGE(""https://docs.google.com/spreadsheets/d/1MeEWN-I1oV_STSDYn1IFDPWt_1FKiwhDph83XaGc0o0/edit?usp=sharing"",""งบพรบ!EH110"")"),0)</f>
        <v>0</v>
      </c>
      <c r="I110" s="82">
        <f ca="1">IFERROR(__xludf.DUMMYFUNCTION("IMPORTRANGE(""https://docs.google.com/spreadsheets/d/1MeEWN-I1oV_STSDYn1IFDPWt_1FKiwhDph83XaGc0o0/edit?usp=sharing"",""งบพรบ!EI110"")"),0)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IFERROR(__xludf.DUMMYFUNCTION("IMPORTRANGE(""https://docs.google.com/spreadsheets/d/1MeEWN-I1oV_STSDYn1IFDPWt_1FKiwhDph83XaGc0o0/edit?usp=sharing"",""งบพรบ!EJ110"")"),0)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IFERROR(__xludf.DUMMYFUNCTION("IMPORTRANGE(""https://docs.google.com/spreadsheets/d/1MeEWN-I1oV_STSDYn1IFDPWt_1FKiwhDph83XaGc0o0/edit?usp=sharing"",""งบพรบ!EK110"")"),0)</f>
        <v>0</v>
      </c>
      <c r="P110" s="85">
        <f t="shared" ca="1" si="18"/>
        <v>0</v>
      </c>
      <c r="Q110" s="84">
        <f t="shared" ca="1" si="8"/>
        <v>0</v>
      </c>
      <c r="R110" s="82"/>
      <c r="S110" s="82"/>
      <c r="T110" s="82"/>
    </row>
    <row r="111" spans="1:20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33"/>
        <v>0</v>
      </c>
      <c r="E111" s="82">
        <f ca="1">IFERROR(__xludf.DUMMYFUNCTION("IMPORTRANGE(""https://docs.google.com/spreadsheets/d/1MeEWN-I1oV_STSDYn1IFDPWt_1FKiwhDph83XaGc0o0/edit?usp=sharing"",""งบพรบ!ED111"")"),0)</f>
        <v>0</v>
      </c>
      <c r="F111" s="82">
        <f ca="1">IFERROR(__xludf.DUMMYFUNCTION("IMPORTRANGE(""https://docs.google.com/spreadsheets/d/1MeEWN-I1oV_STSDYn1IFDPWt_1FKiwhDph83XaGc0o0/edit?usp=sharing"",""งบพรบ!EE111"")"),0)</f>
        <v>0</v>
      </c>
      <c r="G111" s="82">
        <f ca="1">IFERROR(__xludf.DUMMYFUNCTION("IMPORTRANGE(""https://docs.google.com/spreadsheets/d/1MeEWN-I1oV_STSDYn1IFDPWt_1FKiwhDph83XaGc0o0/edit?usp=sharing"",""งบพรบ!EF111"")"),0)</f>
        <v>0</v>
      </c>
      <c r="H111" s="82">
        <f ca="1">IFERROR(__xludf.DUMMYFUNCTION("IMPORTRANGE(""https://docs.google.com/spreadsheets/d/1MeEWN-I1oV_STSDYn1IFDPWt_1FKiwhDph83XaGc0o0/edit?usp=sharing"",""งบพรบ!EH111"")"),0)</f>
        <v>0</v>
      </c>
      <c r="I111" s="82">
        <f ca="1">IFERROR(__xludf.DUMMYFUNCTION("IMPORTRANGE(""https://docs.google.com/spreadsheets/d/1MeEWN-I1oV_STSDYn1IFDPWt_1FKiwhDph83XaGc0o0/edit?usp=sharing"",""งบพรบ!EI111"")"),0)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IFERROR(__xludf.DUMMYFUNCTION("IMPORTRANGE(""https://docs.google.com/spreadsheets/d/1MeEWN-I1oV_STSDYn1IFDPWt_1FKiwhDph83XaGc0o0/edit?usp=sharing"",""งบพรบ!EJ111"")"),0)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IFERROR(__xludf.DUMMYFUNCTION("IMPORTRANGE(""https://docs.google.com/spreadsheets/d/1MeEWN-I1oV_STSDYn1IFDPWt_1FKiwhDph83XaGc0o0/edit?usp=sharing"",""งบพรบ!EK111"")"),0)</f>
        <v>0</v>
      </c>
      <c r="P111" s="85">
        <f t="shared" ca="1" si="18"/>
        <v>0</v>
      </c>
      <c r="Q111" s="84">
        <f t="shared" ca="1" si="8"/>
        <v>0</v>
      </c>
      <c r="R111" s="82"/>
      <c r="S111" s="82"/>
      <c r="T111" s="82"/>
    </row>
    <row r="112" spans="1:20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33"/>
        <v>0</v>
      </c>
      <c r="E112" s="82">
        <f ca="1">IFERROR(__xludf.DUMMYFUNCTION("IMPORTRANGE(""https://docs.google.com/spreadsheets/d/1MeEWN-I1oV_STSDYn1IFDPWt_1FKiwhDph83XaGc0o0/edit?usp=sharing"",""งบพรบ!ED112"")"),0)</f>
        <v>0</v>
      </c>
      <c r="F112" s="82">
        <f ca="1">IFERROR(__xludf.DUMMYFUNCTION("IMPORTRANGE(""https://docs.google.com/spreadsheets/d/1MeEWN-I1oV_STSDYn1IFDPWt_1FKiwhDph83XaGc0o0/edit?usp=sharing"",""งบพรบ!EE112"")"),0)</f>
        <v>0</v>
      </c>
      <c r="G112" s="82">
        <f ca="1">IFERROR(__xludf.DUMMYFUNCTION("IMPORTRANGE(""https://docs.google.com/spreadsheets/d/1MeEWN-I1oV_STSDYn1IFDPWt_1FKiwhDph83XaGc0o0/edit?usp=sharing"",""งบพรบ!EF112"")"),0)</f>
        <v>0</v>
      </c>
      <c r="H112" s="82">
        <f ca="1">IFERROR(__xludf.DUMMYFUNCTION("IMPORTRANGE(""https://docs.google.com/spreadsheets/d/1MeEWN-I1oV_STSDYn1IFDPWt_1FKiwhDph83XaGc0o0/edit?usp=sharing"",""งบพรบ!EH112"")"),0)</f>
        <v>0</v>
      </c>
      <c r="I112" s="82">
        <f ca="1">IFERROR(__xludf.DUMMYFUNCTION("IMPORTRANGE(""https://docs.google.com/spreadsheets/d/1MeEWN-I1oV_STSDYn1IFDPWt_1FKiwhDph83XaGc0o0/edit?usp=sharing"",""งบพรบ!EI112"")"),0)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IFERROR(__xludf.DUMMYFUNCTION("IMPORTRANGE(""https://docs.google.com/spreadsheets/d/1MeEWN-I1oV_STSDYn1IFDPWt_1FKiwhDph83XaGc0o0/edit?usp=sharing"",""งบพรบ!EJ112"")"),0)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IFERROR(__xludf.DUMMYFUNCTION("IMPORTRANGE(""https://docs.google.com/spreadsheets/d/1MeEWN-I1oV_STSDYn1IFDPWt_1FKiwhDph83XaGc0o0/edit?usp=sharing"",""งบพรบ!EK112"")"),0)</f>
        <v>0</v>
      </c>
      <c r="P112" s="85">
        <f t="shared" ca="1" si="18"/>
        <v>0</v>
      </c>
      <c r="Q112" s="84">
        <f t="shared" ca="1" si="8"/>
        <v>0</v>
      </c>
      <c r="R112" s="82"/>
      <c r="S112" s="82"/>
      <c r="T112" s="82"/>
    </row>
    <row r="113" spans="1:20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33"/>
        <v>0</v>
      </c>
      <c r="E113" s="82">
        <f ca="1">IFERROR(__xludf.DUMMYFUNCTION("IMPORTRANGE(""https://docs.google.com/spreadsheets/d/1MeEWN-I1oV_STSDYn1IFDPWt_1FKiwhDph83XaGc0o0/edit?usp=sharing"",""งบพรบ!ED113"")"),0)</f>
        <v>0</v>
      </c>
      <c r="F113" s="82">
        <f ca="1">IFERROR(__xludf.DUMMYFUNCTION("IMPORTRANGE(""https://docs.google.com/spreadsheets/d/1MeEWN-I1oV_STSDYn1IFDPWt_1FKiwhDph83XaGc0o0/edit?usp=sharing"",""งบพรบ!EE113"")"),0)</f>
        <v>0</v>
      </c>
      <c r="G113" s="82">
        <f ca="1">IFERROR(__xludf.DUMMYFUNCTION("IMPORTRANGE(""https://docs.google.com/spreadsheets/d/1MeEWN-I1oV_STSDYn1IFDPWt_1FKiwhDph83XaGc0o0/edit?usp=sharing"",""งบพรบ!EF113"")"),0)</f>
        <v>0</v>
      </c>
      <c r="H113" s="82">
        <f ca="1">IFERROR(__xludf.DUMMYFUNCTION("IMPORTRANGE(""https://docs.google.com/spreadsheets/d/1MeEWN-I1oV_STSDYn1IFDPWt_1FKiwhDph83XaGc0o0/edit?usp=sharing"",""งบพรบ!EH113"")"),0)</f>
        <v>0</v>
      </c>
      <c r="I113" s="82">
        <f ca="1">IFERROR(__xludf.DUMMYFUNCTION("IMPORTRANGE(""https://docs.google.com/spreadsheets/d/1MeEWN-I1oV_STSDYn1IFDPWt_1FKiwhDph83XaGc0o0/edit?usp=sharing"",""งบพรบ!EI113"")"),0)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IFERROR(__xludf.DUMMYFUNCTION("IMPORTRANGE(""https://docs.google.com/spreadsheets/d/1MeEWN-I1oV_STSDYn1IFDPWt_1FKiwhDph83XaGc0o0/edit?usp=sharing"",""งบพรบ!EJ113"")"),0)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IFERROR(__xludf.DUMMYFUNCTION("IMPORTRANGE(""https://docs.google.com/spreadsheets/d/1MeEWN-I1oV_STSDYn1IFDPWt_1FKiwhDph83XaGc0o0/edit?usp=sharing"",""งบพรบ!EK113"")"),0)</f>
        <v>0</v>
      </c>
      <c r="P113" s="85">
        <f t="shared" ca="1" si="18"/>
        <v>0</v>
      </c>
      <c r="Q113" s="84">
        <f t="shared" ca="1" si="8"/>
        <v>0</v>
      </c>
      <c r="R113" s="82"/>
      <c r="S113" s="82"/>
      <c r="T113" s="82"/>
    </row>
    <row r="114" spans="1:20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33"/>
        <v>0</v>
      </c>
      <c r="E114" s="82">
        <f ca="1">IFERROR(__xludf.DUMMYFUNCTION("IMPORTRANGE(""https://docs.google.com/spreadsheets/d/1MeEWN-I1oV_STSDYn1IFDPWt_1FKiwhDph83XaGc0o0/edit?usp=sharing"",""งบพรบ!ED114"")"),0)</f>
        <v>0</v>
      </c>
      <c r="F114" s="82">
        <f ca="1">IFERROR(__xludf.DUMMYFUNCTION("IMPORTRANGE(""https://docs.google.com/spreadsheets/d/1MeEWN-I1oV_STSDYn1IFDPWt_1FKiwhDph83XaGc0o0/edit?usp=sharing"",""งบพรบ!EE114"")"),0)</f>
        <v>0</v>
      </c>
      <c r="G114" s="82">
        <f ca="1">IFERROR(__xludf.DUMMYFUNCTION("IMPORTRANGE(""https://docs.google.com/spreadsheets/d/1MeEWN-I1oV_STSDYn1IFDPWt_1FKiwhDph83XaGc0o0/edit?usp=sharing"",""งบพรบ!EF114"")"),0)</f>
        <v>0</v>
      </c>
      <c r="H114" s="82">
        <f ca="1">IFERROR(__xludf.DUMMYFUNCTION("IMPORTRANGE(""https://docs.google.com/spreadsheets/d/1MeEWN-I1oV_STSDYn1IFDPWt_1FKiwhDph83XaGc0o0/edit?usp=sharing"",""งบพรบ!EH114"")"),0)</f>
        <v>0</v>
      </c>
      <c r="I114" s="82">
        <f ca="1">IFERROR(__xludf.DUMMYFUNCTION("IMPORTRANGE(""https://docs.google.com/spreadsheets/d/1MeEWN-I1oV_STSDYn1IFDPWt_1FKiwhDph83XaGc0o0/edit?usp=sharing"",""งบพรบ!EI114"")"),0)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IFERROR(__xludf.DUMMYFUNCTION("IMPORTRANGE(""https://docs.google.com/spreadsheets/d/1MeEWN-I1oV_STSDYn1IFDPWt_1FKiwhDph83XaGc0o0/edit?usp=sharing"",""งบพรบ!EJ114"")"),0)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IFERROR(__xludf.DUMMYFUNCTION("IMPORTRANGE(""https://docs.google.com/spreadsheets/d/1MeEWN-I1oV_STSDYn1IFDPWt_1FKiwhDph83XaGc0o0/edit?usp=sharing"",""งบพรบ!EK114"")"),0)</f>
        <v>0</v>
      </c>
      <c r="P114" s="85">
        <f t="shared" ca="1" si="18"/>
        <v>0</v>
      </c>
      <c r="Q114" s="84">
        <f t="shared" ca="1" si="8"/>
        <v>0</v>
      </c>
      <c r="R114" s="82"/>
      <c r="S114" s="82"/>
      <c r="T114" s="82"/>
    </row>
    <row r="115" spans="1:20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33"/>
        <v>0</v>
      </c>
      <c r="E115" s="82">
        <f ca="1">IFERROR(__xludf.DUMMYFUNCTION("IMPORTRANGE(""https://docs.google.com/spreadsheets/d/1MeEWN-I1oV_STSDYn1IFDPWt_1FKiwhDph83XaGc0o0/edit?usp=sharing"",""งบพรบ!ED115"")"),0)</f>
        <v>0</v>
      </c>
      <c r="F115" s="82">
        <f ca="1">IFERROR(__xludf.DUMMYFUNCTION("IMPORTRANGE(""https://docs.google.com/spreadsheets/d/1MeEWN-I1oV_STSDYn1IFDPWt_1FKiwhDph83XaGc0o0/edit?usp=sharing"",""งบพรบ!EE115"")"),0)</f>
        <v>0</v>
      </c>
      <c r="G115" s="82">
        <f ca="1">IFERROR(__xludf.DUMMYFUNCTION("IMPORTRANGE(""https://docs.google.com/spreadsheets/d/1MeEWN-I1oV_STSDYn1IFDPWt_1FKiwhDph83XaGc0o0/edit?usp=sharing"",""งบพรบ!EF115"")"),0)</f>
        <v>0</v>
      </c>
      <c r="H115" s="82">
        <f ca="1">IFERROR(__xludf.DUMMYFUNCTION("IMPORTRANGE(""https://docs.google.com/spreadsheets/d/1MeEWN-I1oV_STSDYn1IFDPWt_1FKiwhDph83XaGc0o0/edit?usp=sharing"",""งบพรบ!EH115"")"),0)</f>
        <v>0</v>
      </c>
      <c r="I115" s="82">
        <f ca="1">IFERROR(__xludf.DUMMYFUNCTION("IMPORTRANGE(""https://docs.google.com/spreadsheets/d/1MeEWN-I1oV_STSDYn1IFDPWt_1FKiwhDph83XaGc0o0/edit?usp=sharing"",""งบพรบ!EI115"")"),0)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IFERROR(__xludf.DUMMYFUNCTION("IMPORTRANGE(""https://docs.google.com/spreadsheets/d/1MeEWN-I1oV_STSDYn1IFDPWt_1FKiwhDph83XaGc0o0/edit?usp=sharing"",""งบพรบ!EJ115"")"),0)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IFERROR(__xludf.DUMMYFUNCTION("IMPORTRANGE(""https://docs.google.com/spreadsheets/d/1MeEWN-I1oV_STSDYn1IFDPWt_1FKiwhDph83XaGc0o0/edit?usp=sharing"",""งบพรบ!EK115"")"),0)</f>
        <v>0</v>
      </c>
      <c r="P115" s="85">
        <f t="shared" ca="1" si="18"/>
        <v>0</v>
      </c>
      <c r="Q115" s="84">
        <f t="shared" ca="1" si="8"/>
        <v>0</v>
      </c>
      <c r="R115" s="82"/>
      <c r="S115" s="82"/>
      <c r="T115" s="82"/>
    </row>
    <row r="116" spans="1:20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33"/>
        <v>0</v>
      </c>
      <c r="E116" s="82">
        <f ca="1">IFERROR(__xludf.DUMMYFUNCTION("IMPORTRANGE(""https://docs.google.com/spreadsheets/d/1MeEWN-I1oV_STSDYn1IFDPWt_1FKiwhDph83XaGc0o0/edit?usp=sharing"",""งบพรบ!ED116"")"),0)</f>
        <v>0</v>
      </c>
      <c r="F116" s="82">
        <f ca="1">IFERROR(__xludf.DUMMYFUNCTION("IMPORTRANGE(""https://docs.google.com/spreadsheets/d/1MeEWN-I1oV_STSDYn1IFDPWt_1FKiwhDph83XaGc0o0/edit?usp=sharing"",""งบพรบ!EE116"")"),0)</f>
        <v>0</v>
      </c>
      <c r="G116" s="82">
        <f ca="1">IFERROR(__xludf.DUMMYFUNCTION("IMPORTRANGE(""https://docs.google.com/spreadsheets/d/1MeEWN-I1oV_STSDYn1IFDPWt_1FKiwhDph83XaGc0o0/edit?usp=sharing"",""งบพรบ!EF116"")"),0)</f>
        <v>0</v>
      </c>
      <c r="H116" s="82">
        <f ca="1">IFERROR(__xludf.DUMMYFUNCTION("IMPORTRANGE(""https://docs.google.com/spreadsheets/d/1MeEWN-I1oV_STSDYn1IFDPWt_1FKiwhDph83XaGc0o0/edit?usp=sharing"",""งบพรบ!EH116"")"),0)</f>
        <v>0</v>
      </c>
      <c r="I116" s="82">
        <f ca="1">IFERROR(__xludf.DUMMYFUNCTION("IMPORTRANGE(""https://docs.google.com/spreadsheets/d/1MeEWN-I1oV_STSDYn1IFDPWt_1FKiwhDph83XaGc0o0/edit?usp=sharing"",""งบพรบ!EI116"")"),0)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IFERROR(__xludf.DUMMYFUNCTION("IMPORTRANGE(""https://docs.google.com/spreadsheets/d/1MeEWN-I1oV_STSDYn1IFDPWt_1FKiwhDph83XaGc0o0/edit?usp=sharing"",""งบพรบ!EJ116"")"),0)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IFERROR(__xludf.DUMMYFUNCTION("IMPORTRANGE(""https://docs.google.com/spreadsheets/d/1MeEWN-I1oV_STSDYn1IFDPWt_1FKiwhDph83XaGc0o0/edit?usp=sharing"",""งบพรบ!EK116"")"),0)</f>
        <v>0</v>
      </c>
      <c r="P116" s="85">
        <f t="shared" ca="1" si="18"/>
        <v>0</v>
      </c>
      <c r="Q116" s="84">
        <f t="shared" ca="1" si="8"/>
        <v>0</v>
      </c>
      <c r="R116" s="82"/>
      <c r="S116" s="82"/>
      <c r="T116" s="82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1"/>
    </row>
    <row r="315" spans="1:20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1"/>
    </row>
    <row r="316" spans="1:20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1"/>
    </row>
    <row r="317" spans="1:20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1"/>
    </row>
    <row r="318" spans="1:20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1"/>
    </row>
    <row r="319" spans="1:20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1"/>
    </row>
    <row r="320" spans="1:20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1"/>
    </row>
    <row r="321" spans="1:20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1"/>
    </row>
    <row r="322" spans="1:20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1"/>
    </row>
    <row r="323" spans="1:20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1"/>
    </row>
    <row r="324" spans="1:20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1"/>
    </row>
    <row r="325" spans="1:20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1"/>
    </row>
    <row r="326" spans="1:20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1"/>
    </row>
    <row r="327" spans="1:20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1"/>
    </row>
    <row r="328" spans="1:20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1"/>
    </row>
    <row r="329" spans="1:20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1"/>
    </row>
    <row r="330" spans="1:20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1"/>
    </row>
    <row r="331" spans="1:20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1"/>
    </row>
    <row r="332" spans="1:20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1"/>
    </row>
    <row r="333" spans="1:20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1"/>
    </row>
    <row r="334" spans="1:20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1"/>
    </row>
    <row r="335" spans="1:20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1"/>
    </row>
    <row r="336" spans="1:20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1"/>
    </row>
    <row r="337" spans="1:20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1"/>
    </row>
    <row r="338" spans="1:20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1"/>
    </row>
    <row r="339" spans="1:20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1"/>
    </row>
    <row r="340" spans="1:20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1"/>
    </row>
    <row r="341" spans="1:20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1"/>
    </row>
    <row r="342" spans="1:20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1"/>
    </row>
    <row r="343" spans="1:20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1"/>
    </row>
    <row r="344" spans="1:20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1"/>
    </row>
    <row r="345" spans="1:20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1"/>
    </row>
    <row r="346" spans="1:20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1"/>
    </row>
    <row r="347" spans="1:20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1"/>
    </row>
    <row r="348" spans="1:20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1"/>
    </row>
    <row r="349" spans="1:20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1"/>
    </row>
    <row r="350" spans="1:20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1"/>
    </row>
    <row r="351" spans="1:20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1"/>
    </row>
    <row r="352" spans="1:20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1"/>
    </row>
    <row r="353" spans="1:20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1"/>
    </row>
    <row r="354" spans="1:20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1"/>
    </row>
    <row r="355" spans="1:20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1"/>
    </row>
    <row r="356" spans="1:20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1"/>
    </row>
    <row r="357" spans="1:20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1"/>
    </row>
    <row r="358" spans="1:20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1"/>
    </row>
    <row r="359" spans="1:20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1"/>
    </row>
    <row r="360" spans="1:20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1"/>
    </row>
    <row r="361" spans="1:20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1"/>
    </row>
    <row r="362" spans="1:20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1"/>
    </row>
    <row r="363" spans="1:20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1"/>
    </row>
    <row r="364" spans="1:20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1"/>
    </row>
    <row r="365" spans="1:20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1"/>
    </row>
    <row r="366" spans="1:20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1"/>
    </row>
    <row r="367" spans="1:20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1"/>
    </row>
    <row r="368" spans="1:20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1"/>
    </row>
    <row r="369" spans="1:20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1"/>
    </row>
    <row r="370" spans="1:20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1"/>
    </row>
    <row r="371" spans="1:20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1"/>
    </row>
    <row r="372" spans="1:20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1"/>
    </row>
    <row r="373" spans="1:20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1"/>
    </row>
    <row r="374" spans="1:20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1"/>
    </row>
    <row r="375" spans="1:20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1"/>
    </row>
    <row r="376" spans="1:20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1"/>
    </row>
    <row r="377" spans="1:20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1"/>
    </row>
    <row r="378" spans="1:20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1"/>
    </row>
    <row r="379" spans="1:20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1"/>
    </row>
    <row r="380" spans="1:20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1"/>
    </row>
    <row r="381" spans="1:20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1"/>
    </row>
    <row r="382" spans="1:20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1"/>
    </row>
    <row r="383" spans="1:20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1"/>
    </row>
    <row r="384" spans="1:20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1"/>
    </row>
    <row r="385" spans="1:20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1"/>
    </row>
    <row r="386" spans="1:20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1"/>
    </row>
    <row r="387" spans="1:20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1"/>
    </row>
    <row r="388" spans="1:20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1"/>
    </row>
    <row r="389" spans="1:20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1"/>
    </row>
    <row r="390" spans="1:20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1"/>
    </row>
    <row r="391" spans="1:20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1"/>
    </row>
    <row r="392" spans="1:20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1"/>
    </row>
    <row r="393" spans="1:20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1"/>
    </row>
    <row r="394" spans="1:20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1"/>
    </row>
    <row r="395" spans="1:20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1"/>
    </row>
    <row r="396" spans="1:20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1"/>
    </row>
    <row r="397" spans="1:20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1"/>
    </row>
    <row r="398" spans="1:20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1"/>
    </row>
    <row r="399" spans="1:20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1"/>
    </row>
    <row r="400" spans="1:20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1"/>
    </row>
    <row r="401" spans="1:20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1"/>
    </row>
    <row r="402" spans="1:20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1"/>
    </row>
    <row r="403" spans="1:20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1"/>
    </row>
    <row r="404" spans="1:20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1"/>
    </row>
    <row r="405" spans="1:20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1"/>
    </row>
    <row r="406" spans="1:20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1"/>
    </row>
    <row r="407" spans="1:20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1"/>
    </row>
    <row r="408" spans="1:20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1"/>
    </row>
    <row r="409" spans="1:20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1"/>
    </row>
    <row r="410" spans="1:20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1"/>
    </row>
    <row r="411" spans="1:20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1"/>
    </row>
    <row r="412" spans="1:20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1"/>
    </row>
    <row r="413" spans="1:20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1"/>
    </row>
    <row r="414" spans="1:20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1"/>
    </row>
    <row r="415" spans="1:20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1"/>
    </row>
    <row r="416" spans="1:20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1"/>
    </row>
    <row r="417" spans="1:20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1"/>
    </row>
    <row r="418" spans="1:20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1"/>
    </row>
    <row r="419" spans="1:20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1"/>
    </row>
    <row r="420" spans="1:20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1"/>
    </row>
    <row r="421" spans="1:20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1"/>
    </row>
    <row r="422" spans="1:20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1"/>
    </row>
    <row r="423" spans="1:20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1"/>
    </row>
    <row r="424" spans="1:20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1"/>
    </row>
    <row r="425" spans="1:20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1"/>
    </row>
    <row r="426" spans="1:20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1"/>
    </row>
    <row r="427" spans="1:20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1"/>
    </row>
    <row r="428" spans="1:20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1"/>
    </row>
    <row r="429" spans="1:20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1"/>
    </row>
    <row r="430" spans="1:20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1"/>
    </row>
    <row r="431" spans="1:20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1"/>
    </row>
    <row r="432" spans="1:20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1"/>
    </row>
    <row r="433" spans="1:20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1"/>
    </row>
    <row r="434" spans="1:20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1"/>
    </row>
    <row r="435" spans="1:20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1"/>
    </row>
    <row r="436" spans="1:20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1"/>
    </row>
    <row r="437" spans="1:20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1"/>
    </row>
    <row r="438" spans="1:20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1"/>
    </row>
    <row r="439" spans="1:20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1"/>
    </row>
    <row r="440" spans="1:20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1"/>
    </row>
    <row r="441" spans="1:20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1"/>
    </row>
    <row r="442" spans="1:20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1"/>
    </row>
    <row r="443" spans="1:20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1"/>
    </row>
    <row r="444" spans="1:20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1"/>
    </row>
    <row r="445" spans="1:20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1"/>
    </row>
    <row r="446" spans="1:20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1"/>
    </row>
    <row r="447" spans="1:20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1"/>
    </row>
    <row r="448" spans="1:20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1"/>
    </row>
    <row r="449" spans="1:20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1"/>
    </row>
    <row r="450" spans="1:20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1"/>
    </row>
    <row r="451" spans="1:20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1"/>
    </row>
    <row r="452" spans="1:20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1"/>
    </row>
    <row r="453" spans="1:20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1"/>
    </row>
    <row r="454" spans="1:20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1"/>
    </row>
    <row r="455" spans="1:20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1"/>
    </row>
    <row r="456" spans="1:20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1"/>
    </row>
    <row r="457" spans="1:20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1"/>
    </row>
    <row r="458" spans="1:20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1"/>
    </row>
    <row r="459" spans="1:20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1"/>
    </row>
    <row r="460" spans="1:20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1"/>
    </row>
    <row r="461" spans="1:20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1"/>
    </row>
    <row r="462" spans="1:20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1"/>
    </row>
    <row r="463" spans="1:20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1"/>
    </row>
    <row r="464" spans="1:20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1"/>
    </row>
    <row r="465" spans="1:20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1"/>
    </row>
    <row r="466" spans="1:20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1"/>
    </row>
    <row r="467" spans="1:20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1"/>
    </row>
    <row r="468" spans="1:20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1"/>
    </row>
    <row r="469" spans="1:20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1"/>
    </row>
    <row r="470" spans="1:20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1"/>
    </row>
    <row r="471" spans="1:20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1"/>
    </row>
    <row r="472" spans="1:20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1"/>
    </row>
    <row r="473" spans="1:20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1"/>
    </row>
    <row r="474" spans="1:20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1"/>
    </row>
    <row r="475" spans="1:20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1"/>
    </row>
    <row r="476" spans="1:20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1"/>
    </row>
    <row r="477" spans="1:20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1"/>
    </row>
    <row r="478" spans="1:20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1"/>
    </row>
    <row r="479" spans="1:20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1"/>
    </row>
    <row r="480" spans="1:20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1"/>
    </row>
    <row r="481" spans="1:20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1"/>
    </row>
    <row r="482" spans="1:20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1"/>
    </row>
    <row r="483" spans="1:20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1"/>
    </row>
    <row r="484" spans="1:20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1"/>
    </row>
    <row r="485" spans="1:20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1"/>
    </row>
    <row r="486" spans="1:20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1"/>
    </row>
    <row r="487" spans="1:20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1"/>
    </row>
    <row r="488" spans="1:20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1"/>
    </row>
    <row r="489" spans="1:20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1"/>
    </row>
    <row r="490" spans="1:20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1"/>
    </row>
    <row r="491" spans="1:20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1"/>
    </row>
    <row r="492" spans="1:20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1"/>
    </row>
    <row r="493" spans="1:20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1"/>
    </row>
    <row r="494" spans="1:20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1"/>
    </row>
    <row r="495" spans="1:20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1"/>
    </row>
    <row r="496" spans="1:20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1"/>
    </row>
    <row r="497" spans="1:20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1"/>
    </row>
    <row r="498" spans="1:20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1"/>
    </row>
    <row r="499" spans="1:20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1"/>
    </row>
    <row r="500" spans="1:20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1"/>
    </row>
    <row r="501" spans="1:20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1"/>
    </row>
    <row r="502" spans="1:20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1"/>
    </row>
    <row r="503" spans="1:20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1"/>
    </row>
    <row r="504" spans="1:20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1"/>
    </row>
    <row r="505" spans="1:20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1"/>
    </row>
    <row r="506" spans="1:20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1"/>
    </row>
    <row r="507" spans="1:20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1"/>
    </row>
    <row r="508" spans="1:20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1"/>
    </row>
    <row r="509" spans="1:20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1"/>
    </row>
    <row r="510" spans="1:20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1"/>
    </row>
    <row r="511" spans="1:20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1"/>
    </row>
    <row r="512" spans="1:20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1"/>
    </row>
    <row r="513" spans="1:20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1"/>
    </row>
    <row r="514" spans="1:20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1"/>
    </row>
    <row r="515" spans="1:20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1"/>
    </row>
    <row r="516" spans="1:20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1"/>
    </row>
    <row r="517" spans="1:20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1"/>
    </row>
    <row r="518" spans="1:20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1"/>
    </row>
    <row r="519" spans="1:20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1"/>
    </row>
    <row r="520" spans="1:20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1"/>
    </row>
    <row r="521" spans="1:20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1"/>
    </row>
    <row r="522" spans="1:20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1"/>
    </row>
    <row r="523" spans="1:20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1"/>
    </row>
    <row r="524" spans="1:20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1"/>
    </row>
    <row r="525" spans="1:20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1"/>
    </row>
    <row r="526" spans="1:20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1"/>
    </row>
    <row r="527" spans="1:20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1"/>
    </row>
    <row r="528" spans="1:20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1"/>
    </row>
    <row r="529" spans="1:20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1"/>
    </row>
    <row r="530" spans="1:20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1"/>
    </row>
    <row r="531" spans="1:20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1"/>
    </row>
    <row r="532" spans="1:20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1"/>
    </row>
    <row r="533" spans="1:20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1"/>
    </row>
    <row r="534" spans="1:20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1"/>
    </row>
    <row r="535" spans="1:20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1"/>
    </row>
    <row r="536" spans="1:20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1"/>
    </row>
    <row r="537" spans="1:20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1"/>
    </row>
    <row r="538" spans="1:20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1"/>
    </row>
    <row r="539" spans="1:20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1"/>
    </row>
    <row r="540" spans="1:20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1"/>
    </row>
    <row r="541" spans="1:20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1"/>
    </row>
    <row r="542" spans="1:20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1"/>
    </row>
    <row r="543" spans="1:20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1"/>
    </row>
    <row r="544" spans="1:20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1"/>
    </row>
    <row r="545" spans="1:20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1"/>
    </row>
    <row r="546" spans="1:20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1"/>
    </row>
    <row r="547" spans="1:20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1"/>
    </row>
    <row r="548" spans="1:20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1"/>
    </row>
    <row r="549" spans="1:20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1"/>
    </row>
    <row r="550" spans="1:20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1"/>
    </row>
    <row r="551" spans="1:20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1"/>
    </row>
    <row r="552" spans="1:20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1"/>
    </row>
    <row r="553" spans="1:20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1"/>
    </row>
    <row r="554" spans="1:20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1"/>
    </row>
    <row r="555" spans="1:20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1"/>
    </row>
    <row r="556" spans="1:20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1"/>
    </row>
    <row r="557" spans="1:20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1"/>
    </row>
    <row r="558" spans="1:20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1"/>
    </row>
    <row r="559" spans="1:20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1"/>
    </row>
    <row r="560" spans="1:20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1"/>
    </row>
    <row r="561" spans="1:20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1"/>
    </row>
    <row r="562" spans="1:20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1"/>
    </row>
    <row r="563" spans="1:20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1"/>
    </row>
    <row r="564" spans="1:20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1"/>
    </row>
    <row r="565" spans="1:20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1"/>
    </row>
    <row r="566" spans="1:20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1"/>
    </row>
    <row r="567" spans="1:20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1"/>
    </row>
    <row r="568" spans="1:20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1"/>
    </row>
    <row r="569" spans="1:20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1"/>
    </row>
    <row r="570" spans="1:20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1"/>
    </row>
    <row r="571" spans="1:20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1"/>
    </row>
    <row r="572" spans="1:20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1"/>
    </row>
    <row r="573" spans="1:20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1"/>
    </row>
    <row r="574" spans="1:20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1"/>
    </row>
    <row r="575" spans="1:20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1"/>
    </row>
    <row r="576" spans="1:20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1"/>
    </row>
    <row r="577" spans="1:20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1"/>
    </row>
    <row r="578" spans="1:20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1"/>
    </row>
    <row r="579" spans="1:20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1"/>
    </row>
    <row r="580" spans="1:20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1"/>
    </row>
    <row r="581" spans="1:20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1"/>
    </row>
    <row r="582" spans="1:20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1"/>
    </row>
    <row r="583" spans="1:20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1"/>
    </row>
    <row r="584" spans="1:20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1"/>
    </row>
    <row r="585" spans="1:20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1"/>
    </row>
    <row r="586" spans="1:20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1"/>
    </row>
    <row r="587" spans="1:20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1"/>
    </row>
    <row r="588" spans="1:20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1"/>
    </row>
    <row r="589" spans="1:20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1"/>
    </row>
    <row r="590" spans="1:20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1"/>
    </row>
    <row r="591" spans="1:20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1"/>
    </row>
    <row r="592" spans="1:20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1"/>
    </row>
    <row r="593" spans="1:20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1"/>
    </row>
    <row r="594" spans="1:20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1"/>
    </row>
    <row r="595" spans="1:20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1"/>
    </row>
    <row r="596" spans="1:20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1"/>
    </row>
    <row r="597" spans="1:20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1"/>
    </row>
    <row r="598" spans="1:20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1"/>
    </row>
    <row r="599" spans="1:20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1"/>
    </row>
    <row r="600" spans="1:20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1"/>
    </row>
    <row r="601" spans="1:20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1"/>
    </row>
    <row r="602" spans="1:20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1"/>
    </row>
    <row r="603" spans="1:20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1"/>
    </row>
    <row r="604" spans="1:20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1"/>
    </row>
    <row r="605" spans="1:20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1"/>
    </row>
    <row r="606" spans="1:20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1"/>
    </row>
    <row r="607" spans="1:20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1"/>
    </row>
    <row r="608" spans="1:20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1"/>
    </row>
    <row r="609" spans="1:20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1"/>
    </row>
    <row r="610" spans="1:20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1"/>
    </row>
    <row r="611" spans="1:20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1"/>
    </row>
    <row r="612" spans="1:20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1"/>
    </row>
    <row r="613" spans="1:20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1"/>
    </row>
    <row r="614" spans="1:20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1"/>
    </row>
    <row r="615" spans="1:20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1"/>
    </row>
    <row r="616" spans="1:20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1"/>
    </row>
    <row r="617" spans="1:20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1"/>
    </row>
    <row r="618" spans="1:20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1"/>
    </row>
    <row r="619" spans="1:20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1"/>
    </row>
    <row r="620" spans="1:20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1"/>
    </row>
    <row r="621" spans="1:20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1"/>
    </row>
    <row r="622" spans="1:20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1"/>
    </row>
    <row r="623" spans="1:20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1"/>
    </row>
    <row r="624" spans="1:20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1"/>
    </row>
    <row r="625" spans="1:20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1"/>
    </row>
    <row r="626" spans="1:20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1"/>
    </row>
    <row r="627" spans="1:20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1"/>
    </row>
    <row r="628" spans="1:20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1"/>
    </row>
    <row r="629" spans="1:20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1"/>
    </row>
    <row r="630" spans="1:20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1"/>
    </row>
    <row r="631" spans="1:20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1"/>
    </row>
    <row r="632" spans="1:20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1"/>
    </row>
    <row r="633" spans="1:20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1"/>
    </row>
    <row r="634" spans="1:20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1"/>
    </row>
    <row r="635" spans="1:20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1"/>
    </row>
    <row r="636" spans="1:20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1"/>
    </row>
    <row r="637" spans="1:20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1"/>
    </row>
    <row r="638" spans="1:20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1"/>
    </row>
    <row r="639" spans="1:20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1"/>
    </row>
    <row r="640" spans="1:20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1"/>
    </row>
    <row r="641" spans="1:20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1"/>
    </row>
    <row r="642" spans="1:20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1"/>
    </row>
    <row r="643" spans="1:20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1"/>
    </row>
    <row r="644" spans="1:20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1"/>
    </row>
    <row r="645" spans="1:20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1"/>
    </row>
    <row r="646" spans="1:20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1"/>
    </row>
    <row r="647" spans="1:20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1"/>
    </row>
    <row r="648" spans="1:20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1"/>
    </row>
    <row r="649" spans="1:20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1"/>
    </row>
    <row r="650" spans="1:20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1"/>
    </row>
    <row r="651" spans="1:20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1"/>
    </row>
    <row r="652" spans="1:20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1"/>
    </row>
    <row r="653" spans="1:20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1"/>
    </row>
    <row r="654" spans="1:20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1"/>
    </row>
    <row r="655" spans="1:20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1"/>
    </row>
    <row r="656" spans="1:20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1"/>
    </row>
    <row r="657" spans="1:20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1"/>
    </row>
    <row r="658" spans="1:20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1"/>
    </row>
    <row r="659" spans="1:20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1"/>
    </row>
    <row r="660" spans="1:20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1"/>
    </row>
    <row r="661" spans="1:20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1"/>
    </row>
    <row r="662" spans="1:20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1"/>
    </row>
    <row r="663" spans="1:20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1"/>
    </row>
    <row r="664" spans="1:20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1"/>
    </row>
    <row r="665" spans="1:20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1"/>
    </row>
    <row r="666" spans="1:20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1"/>
    </row>
    <row r="667" spans="1:20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1"/>
    </row>
    <row r="668" spans="1:20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1"/>
    </row>
    <row r="669" spans="1:20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1"/>
    </row>
    <row r="670" spans="1:20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1"/>
    </row>
    <row r="671" spans="1:20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1"/>
    </row>
    <row r="672" spans="1:20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1"/>
    </row>
    <row r="673" spans="1:20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1"/>
    </row>
    <row r="674" spans="1:20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1"/>
    </row>
    <row r="675" spans="1:20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1"/>
    </row>
    <row r="676" spans="1:20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1"/>
    </row>
    <row r="677" spans="1:20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1"/>
    </row>
    <row r="678" spans="1:20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1"/>
    </row>
    <row r="679" spans="1:20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1"/>
    </row>
    <row r="680" spans="1:20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1"/>
    </row>
    <row r="681" spans="1:20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1"/>
    </row>
    <row r="682" spans="1:20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1"/>
    </row>
    <row r="683" spans="1:20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1"/>
    </row>
    <row r="684" spans="1:20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1"/>
    </row>
    <row r="685" spans="1:20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1"/>
    </row>
    <row r="686" spans="1:20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1"/>
    </row>
    <row r="687" spans="1:20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1"/>
    </row>
    <row r="688" spans="1:20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1"/>
    </row>
    <row r="689" spans="1:20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1"/>
    </row>
    <row r="690" spans="1:20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1"/>
    </row>
    <row r="691" spans="1:20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1"/>
    </row>
    <row r="692" spans="1:20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1"/>
    </row>
    <row r="693" spans="1:20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1"/>
    </row>
    <row r="694" spans="1:20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1"/>
    </row>
    <row r="695" spans="1:20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1"/>
    </row>
    <row r="696" spans="1:20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1"/>
    </row>
    <row r="697" spans="1:20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1"/>
    </row>
    <row r="698" spans="1:20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1"/>
    </row>
    <row r="699" spans="1:20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1"/>
    </row>
    <row r="700" spans="1:20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1"/>
    </row>
    <row r="701" spans="1:20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1"/>
    </row>
    <row r="702" spans="1:20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1"/>
    </row>
    <row r="703" spans="1:20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1"/>
    </row>
    <row r="704" spans="1:20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1"/>
    </row>
    <row r="705" spans="1:20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1"/>
    </row>
    <row r="706" spans="1:20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1"/>
    </row>
    <row r="707" spans="1:20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1"/>
    </row>
    <row r="708" spans="1:20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1"/>
    </row>
    <row r="709" spans="1:20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1"/>
    </row>
    <row r="710" spans="1:20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1"/>
    </row>
    <row r="711" spans="1:20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1"/>
    </row>
    <row r="712" spans="1:20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1"/>
    </row>
    <row r="713" spans="1:20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1"/>
    </row>
    <row r="714" spans="1:20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1"/>
    </row>
    <row r="715" spans="1:20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1"/>
    </row>
    <row r="716" spans="1:20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1"/>
    </row>
    <row r="717" spans="1:20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1"/>
    </row>
    <row r="718" spans="1:20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1"/>
    </row>
    <row r="719" spans="1:20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1"/>
    </row>
    <row r="720" spans="1:20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1"/>
    </row>
    <row r="721" spans="1:20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1"/>
    </row>
    <row r="722" spans="1:20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1"/>
    </row>
    <row r="723" spans="1:20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1"/>
    </row>
    <row r="724" spans="1:20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1"/>
    </row>
    <row r="725" spans="1:20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1"/>
    </row>
    <row r="726" spans="1:20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1"/>
    </row>
    <row r="727" spans="1:20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1"/>
    </row>
    <row r="728" spans="1:20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1"/>
    </row>
    <row r="729" spans="1:20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1"/>
    </row>
    <row r="730" spans="1:20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1"/>
    </row>
    <row r="731" spans="1:20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1"/>
    </row>
    <row r="732" spans="1:20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1"/>
    </row>
    <row r="733" spans="1:20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1"/>
    </row>
    <row r="734" spans="1:20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1"/>
    </row>
    <row r="735" spans="1:20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1"/>
    </row>
    <row r="736" spans="1:20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1"/>
    </row>
    <row r="737" spans="1:20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1"/>
    </row>
    <row r="738" spans="1:20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1"/>
    </row>
    <row r="739" spans="1:20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1"/>
    </row>
    <row r="740" spans="1:20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1"/>
    </row>
    <row r="741" spans="1:20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1"/>
    </row>
    <row r="742" spans="1:20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1"/>
    </row>
    <row r="743" spans="1:20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1"/>
    </row>
    <row r="744" spans="1:20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1"/>
    </row>
    <row r="745" spans="1:20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1"/>
    </row>
    <row r="746" spans="1:20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1"/>
    </row>
    <row r="747" spans="1:20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1"/>
    </row>
    <row r="748" spans="1:20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1"/>
    </row>
    <row r="749" spans="1:20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1"/>
    </row>
    <row r="750" spans="1:20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1"/>
    </row>
    <row r="751" spans="1:20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1"/>
    </row>
    <row r="752" spans="1:20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1"/>
    </row>
    <row r="753" spans="1:20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1"/>
    </row>
    <row r="754" spans="1:20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1"/>
    </row>
    <row r="755" spans="1:20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1"/>
    </row>
    <row r="756" spans="1:20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1"/>
    </row>
    <row r="757" spans="1:20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1"/>
    </row>
    <row r="758" spans="1:20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1"/>
    </row>
    <row r="759" spans="1:20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1"/>
    </row>
    <row r="760" spans="1:20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1"/>
    </row>
    <row r="761" spans="1:20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1"/>
    </row>
    <row r="762" spans="1:20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1"/>
    </row>
    <row r="763" spans="1:20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1"/>
    </row>
    <row r="764" spans="1:20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1"/>
    </row>
    <row r="765" spans="1:20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1"/>
    </row>
    <row r="766" spans="1:20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1"/>
    </row>
    <row r="767" spans="1:20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1"/>
    </row>
    <row r="768" spans="1:20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1"/>
    </row>
    <row r="769" spans="1:20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1"/>
    </row>
    <row r="770" spans="1:20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1"/>
    </row>
    <row r="771" spans="1:20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1"/>
    </row>
    <row r="772" spans="1:20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1"/>
    </row>
    <row r="773" spans="1:20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1"/>
    </row>
    <row r="774" spans="1:20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1"/>
    </row>
    <row r="775" spans="1:20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1"/>
    </row>
    <row r="776" spans="1:20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1"/>
    </row>
    <row r="777" spans="1:20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1"/>
    </row>
    <row r="778" spans="1:20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1"/>
    </row>
    <row r="779" spans="1:20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1"/>
    </row>
    <row r="780" spans="1:20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1"/>
    </row>
    <row r="781" spans="1:20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1"/>
    </row>
    <row r="782" spans="1:20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1"/>
    </row>
    <row r="783" spans="1:20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1"/>
    </row>
    <row r="784" spans="1:20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1"/>
    </row>
    <row r="785" spans="1:20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1"/>
    </row>
    <row r="786" spans="1:20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1"/>
    </row>
    <row r="787" spans="1:20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1"/>
    </row>
    <row r="788" spans="1:20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1"/>
    </row>
    <row r="789" spans="1:20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1"/>
    </row>
    <row r="790" spans="1:20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1"/>
    </row>
    <row r="791" spans="1:20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1"/>
    </row>
    <row r="792" spans="1:20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1"/>
    </row>
    <row r="793" spans="1:20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1"/>
    </row>
    <row r="794" spans="1:20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1"/>
    </row>
    <row r="795" spans="1:20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1"/>
    </row>
    <row r="796" spans="1:20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1"/>
    </row>
    <row r="797" spans="1:20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1"/>
    </row>
    <row r="798" spans="1:20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1"/>
    </row>
    <row r="799" spans="1:20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1"/>
    </row>
    <row r="800" spans="1:20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1"/>
    </row>
    <row r="801" spans="1:20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1"/>
    </row>
    <row r="802" spans="1:20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1"/>
    </row>
    <row r="803" spans="1:20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1"/>
    </row>
    <row r="804" spans="1:20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1"/>
    </row>
    <row r="805" spans="1:20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1"/>
    </row>
    <row r="806" spans="1:20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1"/>
    </row>
    <row r="807" spans="1:20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1"/>
    </row>
    <row r="808" spans="1:20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1"/>
    </row>
    <row r="809" spans="1:20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1"/>
    </row>
    <row r="810" spans="1:20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1"/>
    </row>
    <row r="811" spans="1:20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1"/>
    </row>
    <row r="812" spans="1:20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1"/>
    </row>
    <row r="813" spans="1:20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1"/>
    </row>
    <row r="814" spans="1:20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1"/>
    </row>
    <row r="815" spans="1:20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1"/>
    </row>
    <row r="816" spans="1:20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1"/>
    </row>
    <row r="817" spans="1:20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1"/>
    </row>
    <row r="818" spans="1:20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1"/>
    </row>
    <row r="819" spans="1:20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1"/>
    </row>
    <row r="820" spans="1:20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1"/>
    </row>
    <row r="821" spans="1:20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1"/>
    </row>
    <row r="822" spans="1:20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1"/>
    </row>
    <row r="823" spans="1:20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1"/>
    </row>
    <row r="824" spans="1:20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1"/>
    </row>
    <row r="825" spans="1:20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1"/>
    </row>
    <row r="826" spans="1:20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1"/>
    </row>
    <row r="827" spans="1:20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1"/>
    </row>
    <row r="828" spans="1:20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1"/>
    </row>
    <row r="829" spans="1:20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1"/>
    </row>
    <row r="830" spans="1:20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1"/>
    </row>
    <row r="831" spans="1:20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1"/>
    </row>
    <row r="832" spans="1:20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1"/>
    </row>
    <row r="833" spans="1:20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1"/>
    </row>
    <row r="834" spans="1:20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1"/>
    </row>
    <row r="835" spans="1:20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1"/>
    </row>
    <row r="836" spans="1:20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1"/>
    </row>
    <row r="837" spans="1:20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1"/>
    </row>
    <row r="838" spans="1:20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1"/>
    </row>
    <row r="839" spans="1:20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1"/>
    </row>
    <row r="840" spans="1:20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1"/>
    </row>
    <row r="841" spans="1:20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1"/>
    </row>
    <row r="842" spans="1:20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1"/>
    </row>
    <row r="843" spans="1:20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1"/>
    </row>
    <row r="844" spans="1:20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1"/>
    </row>
    <row r="845" spans="1:20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1"/>
    </row>
    <row r="846" spans="1:20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1"/>
    </row>
    <row r="847" spans="1:20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1"/>
    </row>
    <row r="848" spans="1:20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1"/>
    </row>
    <row r="849" spans="1:20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1"/>
    </row>
    <row r="850" spans="1:20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1"/>
    </row>
    <row r="851" spans="1:20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1"/>
    </row>
    <row r="852" spans="1:20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1"/>
    </row>
    <row r="853" spans="1:20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1"/>
    </row>
    <row r="854" spans="1:20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1"/>
    </row>
    <row r="855" spans="1:20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1"/>
    </row>
    <row r="856" spans="1:20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1"/>
    </row>
    <row r="857" spans="1:20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1"/>
    </row>
    <row r="858" spans="1:20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1"/>
    </row>
    <row r="859" spans="1:20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1"/>
    </row>
    <row r="860" spans="1:20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1"/>
    </row>
    <row r="861" spans="1:20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1"/>
    </row>
    <row r="862" spans="1:20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1"/>
    </row>
    <row r="863" spans="1:20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1"/>
    </row>
    <row r="864" spans="1:20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1"/>
    </row>
    <row r="865" spans="1:20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1"/>
    </row>
    <row r="866" spans="1:20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1"/>
    </row>
    <row r="867" spans="1:20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1"/>
    </row>
    <row r="868" spans="1:20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1"/>
    </row>
    <row r="869" spans="1:20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1"/>
    </row>
    <row r="870" spans="1:20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1"/>
    </row>
    <row r="871" spans="1:20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1"/>
    </row>
    <row r="872" spans="1:20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1"/>
    </row>
    <row r="873" spans="1:20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1"/>
    </row>
    <row r="874" spans="1:20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1"/>
    </row>
    <row r="875" spans="1:20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1"/>
    </row>
    <row r="876" spans="1:20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1"/>
    </row>
    <row r="877" spans="1:20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1"/>
    </row>
    <row r="878" spans="1:20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1"/>
    </row>
    <row r="879" spans="1:20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1"/>
    </row>
    <row r="880" spans="1:20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1"/>
    </row>
    <row r="881" spans="1:20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1"/>
    </row>
    <row r="882" spans="1:20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1"/>
    </row>
    <row r="883" spans="1:20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1"/>
    </row>
    <row r="884" spans="1:20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1"/>
    </row>
    <row r="885" spans="1:20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1"/>
    </row>
    <row r="886" spans="1:20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1"/>
    </row>
    <row r="887" spans="1:20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1"/>
    </row>
    <row r="888" spans="1:20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1"/>
    </row>
    <row r="889" spans="1:20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1"/>
    </row>
    <row r="890" spans="1:20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1"/>
    </row>
    <row r="891" spans="1:20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1"/>
    </row>
    <row r="892" spans="1:20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1"/>
    </row>
    <row r="893" spans="1:20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1"/>
    </row>
    <row r="894" spans="1:20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1"/>
    </row>
    <row r="895" spans="1:20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1"/>
    </row>
    <row r="896" spans="1:20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1"/>
    </row>
    <row r="897" spans="1:20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1"/>
    </row>
    <row r="898" spans="1:20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1"/>
    </row>
    <row r="899" spans="1:20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1"/>
    </row>
    <row r="900" spans="1:20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1"/>
    </row>
    <row r="901" spans="1:20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1"/>
    </row>
    <row r="902" spans="1:20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1"/>
    </row>
    <row r="903" spans="1:20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1"/>
    </row>
    <row r="904" spans="1:20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1"/>
    </row>
    <row r="905" spans="1:20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1"/>
    </row>
    <row r="906" spans="1:20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1"/>
    </row>
    <row r="907" spans="1:20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1"/>
    </row>
    <row r="908" spans="1:20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1"/>
    </row>
    <row r="909" spans="1:20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1"/>
    </row>
    <row r="910" spans="1:20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1"/>
    </row>
    <row r="911" spans="1:20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1"/>
    </row>
    <row r="912" spans="1:20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1"/>
    </row>
    <row r="913" spans="1:20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1"/>
    </row>
    <row r="914" spans="1:20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1"/>
    </row>
    <row r="915" spans="1:20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1"/>
    </row>
    <row r="916" spans="1:20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1"/>
    </row>
    <row r="917" spans="1:20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1"/>
    </row>
    <row r="918" spans="1:20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1"/>
    </row>
    <row r="919" spans="1:20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1"/>
    </row>
    <row r="920" spans="1:20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1"/>
    </row>
    <row r="921" spans="1:20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1"/>
    </row>
    <row r="922" spans="1:20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1"/>
    </row>
    <row r="923" spans="1:20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1"/>
    </row>
    <row r="924" spans="1:20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1"/>
    </row>
    <row r="925" spans="1:20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1"/>
    </row>
    <row r="926" spans="1:20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1"/>
    </row>
    <row r="927" spans="1:20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1"/>
    </row>
    <row r="928" spans="1:20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1"/>
    </row>
    <row r="929" spans="1:20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1"/>
    </row>
    <row r="930" spans="1:20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1"/>
    </row>
    <row r="931" spans="1:20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1"/>
    </row>
    <row r="932" spans="1:20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1"/>
    </row>
    <row r="933" spans="1:20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1"/>
    </row>
    <row r="934" spans="1:20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1"/>
    </row>
    <row r="935" spans="1:20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1"/>
    </row>
    <row r="936" spans="1:20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1"/>
    </row>
    <row r="937" spans="1:20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1"/>
    </row>
    <row r="938" spans="1:20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1"/>
    </row>
    <row r="939" spans="1:20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1"/>
    </row>
    <row r="940" spans="1:20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1"/>
    </row>
    <row r="941" spans="1:20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1"/>
    </row>
    <row r="942" spans="1:20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1"/>
    </row>
    <row r="943" spans="1:20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1"/>
    </row>
    <row r="944" spans="1:20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1"/>
    </row>
    <row r="945" spans="1:20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1"/>
    </row>
    <row r="946" spans="1:20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1"/>
    </row>
    <row r="947" spans="1:20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1"/>
    </row>
    <row r="948" spans="1:20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1"/>
    </row>
    <row r="949" spans="1:20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1"/>
    </row>
    <row r="950" spans="1:20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1"/>
    </row>
    <row r="951" spans="1:20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1"/>
    </row>
    <row r="952" spans="1:20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1"/>
    </row>
    <row r="953" spans="1:20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1"/>
    </row>
    <row r="954" spans="1:20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1"/>
    </row>
    <row r="955" spans="1:20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1"/>
    </row>
    <row r="956" spans="1:20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1"/>
    </row>
    <row r="957" spans="1:20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1"/>
    </row>
    <row r="958" spans="1:20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1"/>
    </row>
    <row r="959" spans="1:20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1"/>
    </row>
    <row r="960" spans="1:20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1"/>
    </row>
    <row r="961" spans="1:20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1"/>
    </row>
    <row r="962" spans="1:20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1"/>
    </row>
    <row r="963" spans="1:20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1"/>
    </row>
    <row r="964" spans="1:20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1"/>
    </row>
    <row r="965" spans="1:20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1"/>
    </row>
    <row r="966" spans="1:20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1"/>
    </row>
    <row r="967" spans="1:20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1"/>
    </row>
    <row r="968" spans="1:20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1"/>
    </row>
    <row r="969" spans="1:20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1"/>
    </row>
    <row r="970" spans="1:20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1"/>
    </row>
    <row r="971" spans="1:20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1"/>
    </row>
    <row r="972" spans="1:20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1"/>
    </row>
    <row r="973" spans="1:20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1"/>
    </row>
    <row r="974" spans="1:20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1"/>
    </row>
    <row r="975" spans="1:20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1"/>
    </row>
    <row r="976" spans="1:20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1"/>
    </row>
    <row r="977" spans="1:20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1"/>
    </row>
    <row r="978" spans="1:20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1"/>
    </row>
    <row r="979" spans="1:20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1"/>
    </row>
    <row r="980" spans="1:20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1"/>
    </row>
    <row r="981" spans="1:20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1"/>
    </row>
    <row r="982" spans="1:20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1"/>
    </row>
    <row r="983" spans="1:20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1"/>
    </row>
    <row r="984" spans="1:20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1"/>
    </row>
    <row r="985" spans="1:20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1"/>
    </row>
    <row r="986" spans="1:20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1"/>
    </row>
    <row r="987" spans="1:20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1"/>
    </row>
    <row r="988" spans="1:20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1"/>
    </row>
    <row r="989" spans="1:20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1"/>
    </row>
    <row r="990" spans="1:20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1"/>
    </row>
    <row r="991" spans="1:20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1"/>
    </row>
    <row r="992" spans="1:20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1"/>
    </row>
    <row r="993" spans="1:20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1"/>
    </row>
    <row r="994" spans="1:20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1"/>
    </row>
    <row r="995" spans="1:20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1"/>
    </row>
    <row r="996" spans="1:20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1"/>
    </row>
    <row r="997" spans="1:20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1"/>
    </row>
    <row r="998" spans="1:20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1"/>
    </row>
    <row r="999" spans="1:20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1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23622047244094491" right="0.23622047244094491" top="0.74803149606299213" bottom="0.74803149606299213" header="0" footer="0"/>
  <pageSetup paperSize="9" scale="52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Z999"/>
  <sheetViews>
    <sheetView view="pageBreakPreview" zoomScale="60" zoomScaleNormal="100" workbookViewId="0">
      <pane xSplit="2" ySplit="7" topLeftCell="D8" activePane="bottomRight" state="frozen"/>
      <selection activeCell="J17" sqref="J17"/>
      <selection pane="topRight" activeCell="J17" sqref="J17"/>
      <selection pane="bottomLeft" activeCell="J17" sqref="J17"/>
      <selection pane="bottomRight" activeCell="Q23" sqref="Q23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9" width="12.5703125" customWidth="1"/>
    <col min="20" max="20" width="10.140625" customWidth="1"/>
    <col min="24" max="26" width="20.140625" customWidth="1"/>
  </cols>
  <sheetData>
    <row r="1" spans="1:26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6" ht="24" customHeight="1" x14ac:dyDescent="0.2">
      <c r="A2" s="382" t="s">
        <v>1</v>
      </c>
      <c r="B2" s="383"/>
      <c r="C2" s="352" t="s">
        <v>216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4"/>
    </row>
    <row r="3" spans="1:26" ht="30" customHeight="1" x14ac:dyDescent="0.2">
      <c r="A3" s="384"/>
      <c r="B3" s="385"/>
      <c r="C3" s="355" t="s">
        <v>3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414" t="s">
        <v>217</v>
      </c>
      <c r="S3" s="361"/>
      <c r="T3" s="362"/>
      <c r="U3" s="414" t="s">
        <v>218</v>
      </c>
      <c r="V3" s="361"/>
      <c r="W3" s="361"/>
      <c r="X3" s="362"/>
      <c r="Y3" s="432" t="s">
        <v>219</v>
      </c>
      <c r="Z3" s="435" t="s">
        <v>220</v>
      </c>
    </row>
    <row r="4" spans="1:26" ht="30" customHeight="1" x14ac:dyDescent="0.2">
      <c r="A4" s="384"/>
      <c r="B4" s="385"/>
      <c r="C4" s="366" t="s">
        <v>6</v>
      </c>
      <c r="D4" s="356"/>
      <c r="E4" s="356"/>
      <c r="F4" s="356"/>
      <c r="G4" s="359"/>
      <c r="H4" s="367" t="s">
        <v>7</v>
      </c>
      <c r="I4" s="359"/>
      <c r="J4" s="371" t="s">
        <v>8</v>
      </c>
      <c r="K4" s="356"/>
      <c r="L4" s="356"/>
      <c r="M4" s="356"/>
      <c r="N4" s="356"/>
      <c r="O4" s="356"/>
      <c r="P4" s="356"/>
      <c r="Q4" s="359"/>
      <c r="R4" s="415"/>
      <c r="S4" s="364"/>
      <c r="T4" s="365"/>
      <c r="U4" s="415"/>
      <c r="V4" s="364"/>
      <c r="W4" s="364"/>
      <c r="X4" s="365"/>
      <c r="Y4" s="433"/>
      <c r="Z4" s="433"/>
    </row>
    <row r="5" spans="1:26" ht="24" customHeight="1" x14ac:dyDescent="0.3">
      <c r="A5" s="384"/>
      <c r="B5" s="385"/>
      <c r="C5" s="437" t="s">
        <v>13</v>
      </c>
      <c r="D5" s="438" t="s">
        <v>14</v>
      </c>
      <c r="E5" s="439" t="s">
        <v>15</v>
      </c>
      <c r="F5" s="440" t="s">
        <v>16</v>
      </c>
      <c r="G5" s="441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64"/>
      <c r="N5" s="365"/>
      <c r="O5" s="375" t="s">
        <v>19</v>
      </c>
      <c r="P5" s="364"/>
      <c r="Q5" s="365"/>
      <c r="R5" s="216" t="s">
        <v>21</v>
      </c>
      <c r="S5" s="376" t="s">
        <v>22</v>
      </c>
      <c r="T5" s="359"/>
      <c r="U5" s="216" t="s">
        <v>21</v>
      </c>
      <c r="V5" s="376" t="s">
        <v>22</v>
      </c>
      <c r="W5" s="359"/>
      <c r="X5" s="345" t="s">
        <v>221</v>
      </c>
      <c r="Y5" s="434"/>
      <c r="Z5" s="434"/>
    </row>
    <row r="6" spans="1:26" ht="36" customHeight="1" x14ac:dyDescent="0.2">
      <c r="A6" s="386"/>
      <c r="B6" s="387"/>
      <c r="C6" s="442"/>
      <c r="D6" s="443"/>
      <c r="E6" s="443"/>
      <c r="F6" s="443"/>
      <c r="G6" s="443"/>
      <c r="H6" s="6"/>
      <c r="I6" s="6"/>
      <c r="J6" s="8" t="s">
        <v>23</v>
      </c>
      <c r="K6" s="9" t="s">
        <v>24</v>
      </c>
      <c r="L6" s="8" t="s">
        <v>23</v>
      </c>
      <c r="M6" s="450" t="s">
        <v>25</v>
      </c>
      <c r="N6" s="451" t="s">
        <v>26</v>
      </c>
      <c r="O6" s="452" t="s">
        <v>23</v>
      </c>
      <c r="P6" s="450" t="s">
        <v>25</v>
      </c>
      <c r="Q6" s="451" t="s">
        <v>26</v>
      </c>
      <c r="R6" s="14" t="s">
        <v>28</v>
      </c>
      <c r="S6" s="17" t="s">
        <v>28</v>
      </c>
      <c r="T6" s="16" t="s">
        <v>24</v>
      </c>
      <c r="U6" s="18" t="s">
        <v>222</v>
      </c>
      <c r="V6" s="217" t="s">
        <v>222</v>
      </c>
      <c r="W6" s="16" t="s">
        <v>24</v>
      </c>
      <c r="X6" s="217" t="s">
        <v>28</v>
      </c>
      <c r="Y6" s="217" t="s">
        <v>28</v>
      </c>
      <c r="Z6" s="217" t="s">
        <v>28</v>
      </c>
    </row>
    <row r="7" spans="1:26" ht="24" customHeight="1" x14ac:dyDescent="0.2">
      <c r="A7" s="389" t="s">
        <v>233</v>
      </c>
      <c r="B7" s="390"/>
      <c r="C7" s="210">
        <f t="shared" ref="C7:C116" ca="1" si="0">D7+G7</f>
        <v>19172300</v>
      </c>
      <c r="D7" s="211">
        <f t="shared" ref="D7:E7" ca="1" si="1">D8+D9+D12</f>
        <v>16510300</v>
      </c>
      <c r="E7" s="23">
        <f t="shared" ca="1" si="1"/>
        <v>4108300</v>
      </c>
      <c r="F7" s="24">
        <f ca="1">F8+F9</f>
        <v>12402000</v>
      </c>
      <c r="G7" s="25">
        <f t="shared" ref="G7:I7" ca="1" si="2">G8+G9+G12</f>
        <v>2662000</v>
      </c>
      <c r="H7" s="26">
        <f t="shared" ca="1" si="2"/>
        <v>9386200</v>
      </c>
      <c r="I7" s="26">
        <f t="shared" ca="1" si="2"/>
        <v>2662000</v>
      </c>
      <c r="J7" s="27">
        <f t="shared" ref="J7:J116" ca="1" si="3">L7+O7</f>
        <v>7341297.7700000005</v>
      </c>
      <c r="K7" s="28">
        <f t="shared" ref="K7:K116" ca="1" si="4">IF(C7&gt;0,J7*100/C7,0)</f>
        <v>38.291168873844036</v>
      </c>
      <c r="L7" s="27">
        <f ca="1">L8+L9+L12</f>
        <v>4857297.7700000005</v>
      </c>
      <c r="M7" s="29">
        <f t="shared" ref="M7:M116" ca="1" si="5">IF(D7&gt;0,L7*100/D7,0)</f>
        <v>29.419803213751418</v>
      </c>
      <c r="N7" s="29">
        <f t="shared" ref="N7:N116" ca="1" si="6">IF(H7&gt;0,L7*100/H7,0)</f>
        <v>51.749352986299044</v>
      </c>
      <c r="O7" s="30">
        <f ca="1">O8+O9+O12</f>
        <v>2484000</v>
      </c>
      <c r="P7" s="30">
        <f t="shared" ref="P7:P11" ca="1" si="7">IF(G7&gt;0,O7*100/G7,0)</f>
        <v>93.313298271975953</v>
      </c>
      <c r="Q7" s="29">
        <f t="shared" ref="Q7:Q116" ca="1" si="8">IF(I7&gt;0,O7*100/I7,0)</f>
        <v>93.313298271975953</v>
      </c>
      <c r="R7" s="31">
        <f t="shared" ref="R7:S7" ca="1" si="9">R8</f>
        <v>180000</v>
      </c>
      <c r="S7" s="32">
        <f t="shared" ca="1" si="9"/>
        <v>106904</v>
      </c>
      <c r="T7" s="33">
        <f t="shared" ref="T7:T8" ca="1" si="10">IF(R7&gt;0,S7*100/R7,0)</f>
        <v>59.391111111111108</v>
      </c>
      <c r="U7" s="31">
        <f t="shared" ref="U7:V7" ca="1" si="11">U8</f>
        <v>400</v>
      </c>
      <c r="V7" s="32">
        <f t="shared" ca="1" si="11"/>
        <v>171</v>
      </c>
      <c r="W7" s="33">
        <f t="shared" ref="W7:W8" ca="1" si="12">IF(U7&gt;0,V7*100/U7,0)</f>
        <v>42.75</v>
      </c>
      <c r="X7" s="32">
        <f t="shared" ref="X7:Z7" ca="1" si="13">X8</f>
        <v>10654</v>
      </c>
      <c r="Y7" s="32">
        <f t="shared" ca="1" si="13"/>
        <v>34</v>
      </c>
      <c r="Z7" s="32">
        <f t="shared" ca="1" si="13"/>
        <v>1242</v>
      </c>
    </row>
    <row r="8" spans="1:26" ht="28.5" customHeight="1" x14ac:dyDescent="0.2">
      <c r="A8" s="34" t="s">
        <v>31</v>
      </c>
      <c r="B8" s="35"/>
      <c r="C8" s="36">
        <f t="shared" ca="1" si="0"/>
        <v>18411200</v>
      </c>
      <c r="D8" s="37">
        <f t="shared" ref="D8:I8" ca="1" si="14">+D13+D31+D52+D74</f>
        <v>15749200</v>
      </c>
      <c r="E8" s="38">
        <f t="shared" ca="1" si="14"/>
        <v>3523200</v>
      </c>
      <c r="F8" s="38">
        <f t="shared" ca="1" si="14"/>
        <v>12226000</v>
      </c>
      <c r="G8" s="38">
        <f t="shared" ca="1" si="14"/>
        <v>2662000</v>
      </c>
      <c r="H8" s="38">
        <f t="shared" ca="1" si="14"/>
        <v>8815400</v>
      </c>
      <c r="I8" s="38">
        <f t="shared" ca="1" si="14"/>
        <v>2662000</v>
      </c>
      <c r="J8" s="38">
        <f t="shared" ca="1" si="3"/>
        <v>7248173.3900000006</v>
      </c>
      <c r="K8" s="39">
        <f t="shared" ca="1" si="4"/>
        <v>39.368283381854525</v>
      </c>
      <c r="L8" s="38">
        <f ca="1">+L13+L31+L52+L74</f>
        <v>4764173.3900000006</v>
      </c>
      <c r="M8" s="40">
        <f t="shared" ca="1" si="5"/>
        <v>30.250256457470858</v>
      </c>
      <c r="N8" s="40">
        <f t="shared" ca="1" si="6"/>
        <v>54.043757401819548</v>
      </c>
      <c r="O8" s="41">
        <f ca="1">+O13+O31+O52+O74</f>
        <v>2484000</v>
      </c>
      <c r="P8" s="41">
        <f t="shared" ca="1" si="7"/>
        <v>93.313298271975953</v>
      </c>
      <c r="Q8" s="40">
        <f t="shared" ca="1" si="8"/>
        <v>93.313298271975953</v>
      </c>
      <c r="R8" s="38">
        <f t="shared" ref="R8:S8" ca="1" si="15">+R13+R31+R52+R74</f>
        <v>180000</v>
      </c>
      <c r="S8" s="38">
        <f t="shared" ca="1" si="15"/>
        <v>106904</v>
      </c>
      <c r="T8" s="40">
        <f t="shared" ca="1" si="10"/>
        <v>59.391111111111108</v>
      </c>
      <c r="U8" s="38">
        <f t="shared" ref="U8:V8" ca="1" si="16">+U13+U31+U52+U74</f>
        <v>400</v>
      </c>
      <c r="V8" s="38">
        <f t="shared" ca="1" si="16"/>
        <v>171</v>
      </c>
      <c r="W8" s="40">
        <f t="shared" ca="1" si="12"/>
        <v>42.75</v>
      </c>
      <c r="X8" s="38">
        <f t="shared" ref="X8:Z8" ca="1" si="17">+X13+X31+X52+X74</f>
        <v>10654</v>
      </c>
      <c r="Y8" s="38">
        <f t="shared" ca="1" si="17"/>
        <v>34</v>
      </c>
      <c r="Z8" s="38">
        <f t="shared" ca="1" si="17"/>
        <v>1242</v>
      </c>
    </row>
    <row r="9" spans="1:26" ht="28.5" customHeight="1" x14ac:dyDescent="0.2">
      <c r="A9" s="44" t="s">
        <v>234</v>
      </c>
      <c r="B9" s="45"/>
      <c r="C9" s="46">
        <f t="shared" ca="1" si="0"/>
        <v>761100</v>
      </c>
      <c r="D9" s="47">
        <f t="shared" ref="D9:I9" ca="1" si="18">+D10+D11</f>
        <v>761100</v>
      </c>
      <c r="E9" s="46">
        <f t="shared" ca="1" si="18"/>
        <v>585100</v>
      </c>
      <c r="F9" s="46">
        <f t="shared" ca="1" si="18"/>
        <v>176000</v>
      </c>
      <c r="G9" s="46">
        <f t="shared" ca="1" si="18"/>
        <v>0</v>
      </c>
      <c r="H9" s="46">
        <f t="shared" ca="1" si="18"/>
        <v>570800</v>
      </c>
      <c r="I9" s="46">
        <f t="shared" ca="1" si="18"/>
        <v>0</v>
      </c>
      <c r="J9" s="46">
        <f t="shared" ca="1" si="3"/>
        <v>93124.38</v>
      </c>
      <c r="K9" s="48">
        <f t="shared" ca="1" si="4"/>
        <v>12.235498620417816</v>
      </c>
      <c r="L9" s="46">
        <f ca="1">+L10+L11</f>
        <v>93124.38</v>
      </c>
      <c r="M9" s="49">
        <f t="shared" ca="1" si="5"/>
        <v>12.235498620417816</v>
      </c>
      <c r="N9" s="49">
        <f t="shared" ca="1" si="6"/>
        <v>16.314712683952347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9"/>
      <c r="U9" s="46"/>
      <c r="V9" s="46"/>
      <c r="W9" s="49"/>
      <c r="X9" s="46"/>
      <c r="Y9" s="46"/>
      <c r="Z9" s="46"/>
    </row>
    <row r="10" spans="1:26" ht="28.5" hidden="1" customHeight="1" x14ac:dyDescent="0.2">
      <c r="A10" s="44" t="s">
        <v>32</v>
      </c>
      <c r="B10" s="45"/>
      <c r="C10" s="46">
        <f t="shared" ca="1" si="0"/>
        <v>684100</v>
      </c>
      <c r="D10" s="47">
        <f t="shared" ref="D10:I10" ca="1" si="19">+D89</f>
        <v>684100</v>
      </c>
      <c r="E10" s="46">
        <f t="shared" ca="1" si="19"/>
        <v>508100</v>
      </c>
      <c r="F10" s="46">
        <f t="shared" ca="1" si="19"/>
        <v>176000</v>
      </c>
      <c r="G10" s="46">
        <f t="shared" ca="1" si="19"/>
        <v>0</v>
      </c>
      <c r="H10" s="46">
        <f t="shared" ca="1" si="19"/>
        <v>513100</v>
      </c>
      <c r="I10" s="46">
        <f t="shared" ca="1" si="19"/>
        <v>0</v>
      </c>
      <c r="J10" s="46">
        <f t="shared" ca="1" si="3"/>
        <v>93124.38</v>
      </c>
      <c r="K10" s="48">
        <f t="shared" ca="1" si="4"/>
        <v>13.612685279929835</v>
      </c>
      <c r="L10" s="46">
        <f ca="1">+L89</f>
        <v>93124.38</v>
      </c>
      <c r="M10" s="49">
        <f t="shared" ca="1" si="5"/>
        <v>13.612685279929835</v>
      </c>
      <c r="N10" s="49">
        <f t="shared" ca="1" si="6"/>
        <v>18.149362697329956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9"/>
      <c r="U10" s="46"/>
      <c r="V10" s="46"/>
      <c r="W10" s="49"/>
      <c r="X10" s="46"/>
      <c r="Y10" s="46"/>
      <c r="Z10" s="46"/>
    </row>
    <row r="11" spans="1:26" ht="28.5" hidden="1" customHeight="1" x14ac:dyDescent="0.2">
      <c r="A11" s="53" t="s">
        <v>33</v>
      </c>
      <c r="B11" s="45"/>
      <c r="C11" s="46">
        <f t="shared" ca="1" si="0"/>
        <v>77000</v>
      </c>
      <c r="D11" s="47">
        <f t="shared" ref="D11:I11" ca="1" si="20">+D104</f>
        <v>77000</v>
      </c>
      <c r="E11" s="46">
        <f t="shared" ca="1" si="20"/>
        <v>77000</v>
      </c>
      <c r="F11" s="46">
        <f t="shared" ca="1" si="20"/>
        <v>0</v>
      </c>
      <c r="G11" s="46">
        <f t="shared" ca="1" si="20"/>
        <v>0</v>
      </c>
      <c r="H11" s="46">
        <f t="shared" ca="1" si="20"/>
        <v>57700</v>
      </c>
      <c r="I11" s="46">
        <f t="shared" ca="1" si="20"/>
        <v>0</v>
      </c>
      <c r="J11" s="46">
        <f t="shared" ca="1" si="3"/>
        <v>0</v>
      </c>
      <c r="K11" s="48">
        <f t="shared" ca="1" si="4"/>
        <v>0</v>
      </c>
      <c r="L11" s="46">
        <f ca="1">+L104</f>
        <v>0</v>
      </c>
      <c r="M11" s="49">
        <f t="shared" ca="1" si="5"/>
        <v>0</v>
      </c>
      <c r="N11" s="49">
        <f t="shared" ca="1" si="6"/>
        <v>0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9"/>
      <c r="U11" s="46"/>
      <c r="V11" s="46"/>
      <c r="W11" s="49"/>
      <c r="X11" s="46"/>
      <c r="Y11" s="46"/>
      <c r="Z11" s="46"/>
    </row>
    <row r="12" spans="1:26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60">
        <f t="shared" ref="T12:T88" si="21">IF(R12&gt;0,S12*100/R12,0)</f>
        <v>0</v>
      </c>
      <c r="U12" s="58">
        <v>0</v>
      </c>
      <c r="V12" s="58">
        <v>0</v>
      </c>
      <c r="W12" s="60">
        <f t="shared" ref="W12:W88" si="22">IF(U12&gt;0,V12*100/U12,0)</f>
        <v>0</v>
      </c>
      <c r="X12" s="58">
        <v>0</v>
      </c>
      <c r="Y12" s="58">
        <v>0</v>
      </c>
      <c r="Z12" s="58">
        <v>0</v>
      </c>
    </row>
    <row r="13" spans="1:26" ht="28.5" customHeight="1" x14ac:dyDescent="0.2">
      <c r="A13" s="377" t="s">
        <v>35</v>
      </c>
      <c r="B13" s="359"/>
      <c r="C13" s="62">
        <f t="shared" ca="1" si="0"/>
        <v>3678600</v>
      </c>
      <c r="D13" s="63">
        <f t="shared" ref="D13:I13" ca="1" si="23">SUM(D14:D30)</f>
        <v>3678600</v>
      </c>
      <c r="E13" s="64">
        <f t="shared" ca="1" si="23"/>
        <v>753600</v>
      </c>
      <c r="F13" s="64">
        <f t="shared" ca="1" si="23"/>
        <v>2925000</v>
      </c>
      <c r="G13" s="64">
        <f t="shared" ca="1" si="23"/>
        <v>0</v>
      </c>
      <c r="H13" s="64">
        <f t="shared" ca="1" si="23"/>
        <v>2027700</v>
      </c>
      <c r="I13" s="64">
        <f t="shared" ca="1" si="23"/>
        <v>0</v>
      </c>
      <c r="J13" s="64">
        <f t="shared" ca="1" si="3"/>
        <v>1053918.98</v>
      </c>
      <c r="K13" s="65">
        <f t="shared" ca="1" si="4"/>
        <v>28.65000217474039</v>
      </c>
      <c r="L13" s="64">
        <f ca="1">SUM(L14:L30)</f>
        <v>1053918.98</v>
      </c>
      <c r="M13" s="66">
        <f t="shared" ca="1" si="5"/>
        <v>28.65000217474039</v>
      </c>
      <c r="N13" s="66">
        <f t="shared" ca="1" si="6"/>
        <v>51.976080288011048</v>
      </c>
      <c r="O13" s="67">
        <f ca="1">SUM(O14:O30)</f>
        <v>0</v>
      </c>
      <c r="P13" s="67">
        <f t="shared" ref="P13:P116" ca="1" si="24">IF(G13&gt;0,O13*100/G13,0)</f>
        <v>0</v>
      </c>
      <c r="Q13" s="66">
        <f t="shared" ca="1" si="8"/>
        <v>0</v>
      </c>
      <c r="R13" s="64">
        <f t="shared" ref="R13:S13" ca="1" si="25">SUM(R14:R30)</f>
        <v>46900</v>
      </c>
      <c r="S13" s="64">
        <f t="shared" ca="1" si="25"/>
        <v>29617</v>
      </c>
      <c r="T13" s="66">
        <f t="shared" ca="1" si="21"/>
        <v>63.149253731343286</v>
      </c>
      <c r="U13" s="64">
        <f t="shared" ref="U13:V13" ca="1" si="26">SUM(U14:U30)</f>
        <v>107</v>
      </c>
      <c r="V13" s="64">
        <f t="shared" ca="1" si="26"/>
        <v>45</v>
      </c>
      <c r="W13" s="66">
        <f t="shared" ca="1" si="22"/>
        <v>42.056074766355138</v>
      </c>
      <c r="X13" s="64">
        <f t="shared" ref="X13:Z13" ca="1" si="27">SUM(X14:X30)</f>
        <v>2916</v>
      </c>
      <c r="Y13" s="64">
        <f t="shared" ca="1" si="27"/>
        <v>19</v>
      </c>
      <c r="Z13" s="64">
        <f t="shared" ca="1" si="27"/>
        <v>698</v>
      </c>
    </row>
    <row r="14" spans="1:26" ht="24" customHeight="1" x14ac:dyDescent="0.2">
      <c r="A14" s="68">
        <v>1</v>
      </c>
      <c r="B14" s="69" t="s">
        <v>36</v>
      </c>
      <c r="C14" s="70">
        <f t="shared" ca="1" si="0"/>
        <v>182000</v>
      </c>
      <c r="D14" s="71">
        <f t="shared" ref="D14:D30" ca="1" si="28">+E14+F14</f>
        <v>182000</v>
      </c>
      <c r="E14" s="72">
        <f ca="1">IFERROR(__xludf.DUMMYFUNCTION("IMPORTRANGE(""https://docs.google.com/spreadsheets/d/1MeEWN-I1oV_STSDYn1IFDPWt_1FKiwhDph83XaGc0o0/edit?usp=sharing"",""งบพรบ!EN14"")"),0)</f>
        <v>0</v>
      </c>
      <c r="F14" s="72">
        <f ca="1">IFERROR(__xludf.DUMMYFUNCTION("IMPORTRANGE(""https://docs.google.com/spreadsheets/d/1MeEWN-I1oV_STSDYn1IFDPWt_1FKiwhDph83XaGc0o0/edit?usp=sharing"",""งบพรบ!EO14"")"),182000)</f>
        <v>182000</v>
      </c>
      <c r="G14" s="73">
        <f ca="1">IFERROR(__xludf.DUMMYFUNCTION("IMPORTRANGE(""https://docs.google.com/spreadsheets/d/1MeEWN-I1oV_STSDYn1IFDPWt_1FKiwhDph83XaGc0o0/edit?usp=sharing"",""งบพรบ!EP14"")"),0)</f>
        <v>0</v>
      </c>
      <c r="H14" s="73">
        <f ca="1">IFERROR(__xludf.DUMMYFUNCTION("IMPORTRANGE(""https://docs.google.com/spreadsheets/d/1MeEWN-I1oV_STSDYn1IFDPWt_1FKiwhDph83XaGc0o0/edit?usp=sharing"",""งบพรบ!ER14"")"),91000)</f>
        <v>91000</v>
      </c>
      <c r="I14" s="73">
        <f ca="1">IFERROR(__xludf.DUMMYFUNCTION("IMPORTRANGE(""https://docs.google.com/spreadsheets/d/1MeEWN-I1oV_STSDYn1IFDPWt_1FKiwhDph83XaGc0o0/edit?usp=sharing"",""งบพรบ!ES14"")"),0)</f>
        <v>0</v>
      </c>
      <c r="J14" s="73">
        <f t="shared" ca="1" si="3"/>
        <v>53440</v>
      </c>
      <c r="K14" s="74">
        <f t="shared" ca="1" si="4"/>
        <v>29.362637362637361</v>
      </c>
      <c r="L14" s="73">
        <f ca="1">IFERROR(__xludf.DUMMYFUNCTION("IMPORTRANGE(""https://docs.google.com/spreadsheets/d/1MeEWN-I1oV_STSDYn1IFDPWt_1FKiwhDph83XaGc0o0/edit?usp=sharing"",""งบพรบ!ET14"")"),53440)</f>
        <v>53440</v>
      </c>
      <c r="M14" s="75">
        <f t="shared" ca="1" si="5"/>
        <v>29.362637362637361</v>
      </c>
      <c r="N14" s="75">
        <f t="shared" ca="1" si="6"/>
        <v>58.725274725274723</v>
      </c>
      <c r="O14" s="76">
        <f ca="1">IFERROR(__xludf.DUMMYFUNCTION("IMPORTRANGE(""https://docs.google.com/spreadsheets/d/1MeEWN-I1oV_STSDYn1IFDPWt_1FKiwhDph83XaGc0o0/edit?usp=sharing"",""งบพรบ!EU14"")"),0)</f>
        <v>0</v>
      </c>
      <c r="P14" s="76">
        <f t="shared" ca="1" si="24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IFERROR(__xludf.DUMMYFUNCTION("IMPORTRANGE(""https://docs.google.com/spreadsheets/d/1KxicF4apzSqm0-jIpmueT4kyZtE-Cwn5zskl7GD4loQ/edit?usp=sharing"",""กำแพงเพชร!I338"")"),7500)</f>
        <v>7500</v>
      </c>
      <c r="S14" s="73">
        <f ca="1">IFERROR(__xludf.DUMMYFUNCTION("IMPORTRANGE(""https://docs.google.com/spreadsheets/d/1KxicF4apzSqm0-jIpmueT4kyZtE-Cwn5zskl7GD4loQ/edit?usp=sharing"",""กำแพงเพชร!J338"")"),6628)</f>
        <v>6628</v>
      </c>
      <c r="T14" s="77">
        <f t="shared" ca="1" si="21"/>
        <v>88.373333333333335</v>
      </c>
      <c r="U14" s="73">
        <f ca="1">IFERROR(__xludf.DUMMYFUNCTION("IMPORTRANGE(""https://docs.google.com/spreadsheets/d/1KxicF4apzSqm0-jIpmueT4kyZtE-Cwn5zskl7GD4loQ/edit?usp=sharing"",""กำแพงเพชร!I340"")"),7)</f>
        <v>7</v>
      </c>
      <c r="V14" s="73">
        <f ca="1">IFERROR(__xludf.DUMMYFUNCTION("IMPORTRANGE(""https://docs.google.com/spreadsheets/d/1KxicF4apzSqm0-jIpmueT4kyZtE-Cwn5zskl7GD4loQ/edit?usp=sharing"",""กำแพงเพชร!J340"")"),3)</f>
        <v>3</v>
      </c>
      <c r="W14" s="77">
        <f t="shared" ca="1" si="22"/>
        <v>42.857142857142854</v>
      </c>
      <c r="X14" s="73">
        <f ca="1">IFERROR(__xludf.DUMMYFUNCTION("IMPORTRANGE(""https://docs.google.com/spreadsheets/d/1KxicF4apzSqm0-jIpmueT4kyZtE-Cwn5zskl7GD4loQ/edit?usp=sharing"",""กำแพงเพชร!J341"")"),79)</f>
        <v>79</v>
      </c>
      <c r="Y14" s="73">
        <f ca="1">IFERROR(__xludf.DUMMYFUNCTION("IMPORTRANGE(""https://docs.google.com/spreadsheets/d/1KxicF4apzSqm0-jIpmueT4kyZtE-Cwn5zskl7GD4loQ/edit?usp=sharing"",""กำแพงเพชร!J342"")"),0)</f>
        <v>0</v>
      </c>
      <c r="Z14" s="73">
        <f ca="1">IFERROR(__xludf.DUMMYFUNCTION("IMPORTRANGE(""https://docs.google.com/spreadsheets/d/1KxicF4apzSqm0-jIpmueT4kyZtE-Cwn5zskl7GD4loQ/edit?usp=sharing"",""กำแพงเพชร!J343"")"),0)</f>
        <v>0</v>
      </c>
    </row>
    <row r="15" spans="1:26" ht="24" customHeight="1" x14ac:dyDescent="0.2">
      <c r="A15" s="78">
        <v>2</v>
      </c>
      <c r="B15" s="79" t="s">
        <v>37</v>
      </c>
      <c r="C15" s="80">
        <f t="shared" ca="1" si="0"/>
        <v>446800</v>
      </c>
      <c r="D15" s="81">
        <f t="shared" ca="1" si="28"/>
        <v>446800</v>
      </c>
      <c r="E15" s="82">
        <f ca="1">IFERROR(__xludf.DUMMYFUNCTION("IMPORTRANGE(""https://docs.google.com/spreadsheets/d/1MeEWN-I1oV_STSDYn1IFDPWt_1FKiwhDph83XaGc0o0/edit?usp=sharing"",""งบพรบ!EN15"")"),262800)</f>
        <v>262800</v>
      </c>
      <c r="F15" s="82">
        <f ca="1">IFERROR(__xludf.DUMMYFUNCTION("IMPORTRANGE(""https://docs.google.com/spreadsheets/d/1MeEWN-I1oV_STSDYn1IFDPWt_1FKiwhDph83XaGc0o0/edit?usp=sharing"",""งบพรบ!EO15"")"),184000)</f>
        <v>184000</v>
      </c>
      <c r="G15" s="82">
        <f ca="1">IFERROR(__xludf.DUMMYFUNCTION("IMPORTRANGE(""https://docs.google.com/spreadsheets/d/1MeEWN-I1oV_STSDYn1IFDPWt_1FKiwhDph83XaGc0o0/edit?usp=sharing"",""งบพรบ!EP15"")"),0)</f>
        <v>0</v>
      </c>
      <c r="H15" s="82">
        <f ca="1">IFERROR(__xludf.DUMMYFUNCTION("IMPORTRANGE(""https://docs.google.com/spreadsheets/d/1MeEWN-I1oV_STSDYn1IFDPWt_1FKiwhDph83XaGc0o0/edit?usp=sharing"",""งบพรบ!ER15"")"),289100)</f>
        <v>289100</v>
      </c>
      <c r="I15" s="82">
        <f ca="1">IFERROR(__xludf.DUMMYFUNCTION("IMPORTRANGE(""https://docs.google.com/spreadsheets/d/1MeEWN-I1oV_STSDYn1IFDPWt_1FKiwhDph83XaGc0o0/edit?usp=sharing"",""งบพรบ!ES15"")"),0)</f>
        <v>0</v>
      </c>
      <c r="J15" s="82">
        <f t="shared" ca="1" si="3"/>
        <v>130575.83</v>
      </c>
      <c r="K15" s="83">
        <f t="shared" ca="1" si="4"/>
        <v>29.224670993733213</v>
      </c>
      <c r="L15" s="82">
        <f ca="1">IFERROR(__xludf.DUMMYFUNCTION("IMPORTRANGE(""https://docs.google.com/spreadsheets/d/1MeEWN-I1oV_STSDYn1IFDPWt_1FKiwhDph83XaGc0o0/edit?usp=sharing"",""งบพรบ!ET15"")"),130575.83)</f>
        <v>130575.83</v>
      </c>
      <c r="M15" s="84">
        <f t="shared" ca="1" si="5"/>
        <v>29.224670993733213</v>
      </c>
      <c r="N15" s="84">
        <f t="shared" ca="1" si="6"/>
        <v>45.166319612590797</v>
      </c>
      <c r="O15" s="85">
        <f ca="1">IFERROR(__xludf.DUMMYFUNCTION("IMPORTRANGE(""https://docs.google.com/spreadsheets/d/1MeEWN-I1oV_STSDYn1IFDPWt_1FKiwhDph83XaGc0o0/edit?usp=sharing"",""งบพรบ!EU15"")"),0)</f>
        <v>0</v>
      </c>
      <c r="P15" s="85">
        <f t="shared" ca="1" si="24"/>
        <v>0</v>
      </c>
      <c r="Q15" s="84">
        <f t="shared" ca="1" si="8"/>
        <v>0</v>
      </c>
      <c r="R15" s="86">
        <f ca="1">IFERROR(__xludf.DUMMYFUNCTION("IMPORTRANGE(""https://docs.google.com/spreadsheets/d/1ZNYWeiFoFA1K1U4xKWqRX29MBvEyRHXORjo734Gnq_c/edit?usp=sharing"",""เชียงราย!I338"")"),6000)</f>
        <v>6000</v>
      </c>
      <c r="S15" s="86">
        <f ca="1">IFERROR(__xludf.DUMMYFUNCTION("IMPORTRANGE(""https://docs.google.com/spreadsheets/d/1ZNYWeiFoFA1K1U4xKWqRX29MBvEyRHXORjo734Gnq_c/edit?usp=sharing"",""เชียงราย!J338"")"),3045)</f>
        <v>3045</v>
      </c>
      <c r="T15" s="87">
        <f t="shared" ca="1" si="21"/>
        <v>50.75</v>
      </c>
      <c r="U15" s="86">
        <f ca="1">IFERROR(__xludf.DUMMYFUNCTION("IMPORTRANGE(""https://docs.google.com/spreadsheets/d/1ZNYWeiFoFA1K1U4xKWqRX29MBvEyRHXORjo734Gnq_c/edit?usp=sharing"",""เชียงราย!I340"")"),8)</f>
        <v>8</v>
      </c>
      <c r="V15" s="86">
        <f ca="1">IFERROR(__xludf.DUMMYFUNCTION("IMPORTRANGE(""https://docs.google.com/spreadsheets/d/1ZNYWeiFoFA1K1U4xKWqRX29MBvEyRHXORjo734Gnq_c/edit?usp=sharing"",""เชียงราย!J340"")"),2)</f>
        <v>2</v>
      </c>
      <c r="W15" s="87">
        <f t="shared" ca="1" si="22"/>
        <v>25</v>
      </c>
      <c r="X15" s="86">
        <f ca="1">IFERROR(__xludf.DUMMYFUNCTION("IMPORTRANGE(""https://docs.google.com/spreadsheets/d/1ZNYWeiFoFA1K1U4xKWqRX29MBvEyRHXORjo734Gnq_c/edit?usp=sharing"",""เชียงราย!J341"")"),99)</f>
        <v>99</v>
      </c>
      <c r="Y15" s="86">
        <f ca="1">IFERROR(__xludf.DUMMYFUNCTION("IMPORTRANGE(""https://docs.google.com/spreadsheets/d/1ZNYWeiFoFA1K1U4xKWqRX29MBvEyRHXORjo734Gnq_c/edit?usp=sharing"",""เชียงราย!J342"")"),0)</f>
        <v>0</v>
      </c>
      <c r="Z15" s="86">
        <f ca="1">IFERROR(__xludf.DUMMYFUNCTION("IMPORTRANGE(""https://docs.google.com/spreadsheets/d/1ZNYWeiFoFA1K1U4xKWqRX29MBvEyRHXORjo734Gnq_c/edit?usp=sharing"",""เชียงราย!J343"")"),6)</f>
        <v>6</v>
      </c>
    </row>
    <row r="16" spans="1:26" ht="24" customHeight="1" x14ac:dyDescent="0.2">
      <c r="A16" s="78">
        <v>3</v>
      </c>
      <c r="B16" s="79" t="s">
        <v>38</v>
      </c>
      <c r="C16" s="80">
        <f t="shared" ca="1" si="0"/>
        <v>651800</v>
      </c>
      <c r="D16" s="81">
        <f t="shared" ca="1" si="28"/>
        <v>651800</v>
      </c>
      <c r="E16" s="82">
        <f ca="1">IFERROR(__xludf.DUMMYFUNCTION("IMPORTRANGE(""https://docs.google.com/spreadsheets/d/1MeEWN-I1oV_STSDYn1IFDPWt_1FKiwhDph83XaGc0o0/edit?usp=sharing"",""งบพรบ!EN16"")"),490800)</f>
        <v>490800</v>
      </c>
      <c r="F16" s="82">
        <f ca="1">IFERROR(__xludf.DUMMYFUNCTION("IMPORTRANGE(""https://docs.google.com/spreadsheets/d/1MeEWN-I1oV_STSDYn1IFDPWt_1FKiwhDph83XaGc0o0/edit?usp=sharing"",""งบพรบ!EO16"")"),161000)</f>
        <v>161000</v>
      </c>
      <c r="G16" s="82">
        <f ca="1">IFERROR(__xludf.DUMMYFUNCTION("IMPORTRANGE(""https://docs.google.com/spreadsheets/d/1MeEWN-I1oV_STSDYn1IFDPWt_1FKiwhDph83XaGc0o0/edit?usp=sharing"",""งบพรบ!EP16"")"),0)</f>
        <v>0</v>
      </c>
      <c r="H16" s="82">
        <f ca="1">IFERROR(__xludf.DUMMYFUNCTION("IMPORTRANGE(""https://docs.google.com/spreadsheets/d/1MeEWN-I1oV_STSDYn1IFDPWt_1FKiwhDph83XaGc0o0/edit?usp=sharing"",""งบพรบ!ER16"")"),448600)</f>
        <v>448600</v>
      </c>
      <c r="I16" s="82">
        <f ca="1">IFERROR(__xludf.DUMMYFUNCTION("IMPORTRANGE(""https://docs.google.com/spreadsheets/d/1MeEWN-I1oV_STSDYn1IFDPWt_1FKiwhDph83XaGc0o0/edit?usp=sharing"",""งบพรบ!ES16"")"),0)</f>
        <v>0</v>
      </c>
      <c r="J16" s="82">
        <f t="shared" ca="1" si="3"/>
        <v>174351.48</v>
      </c>
      <c r="K16" s="83">
        <f t="shared" ca="1" si="4"/>
        <v>26.749229825099725</v>
      </c>
      <c r="L16" s="82">
        <f ca="1">IFERROR(__xludf.DUMMYFUNCTION("IMPORTRANGE(""https://docs.google.com/spreadsheets/d/1MeEWN-I1oV_STSDYn1IFDPWt_1FKiwhDph83XaGc0o0/edit?usp=sharing"",""งบพรบ!ET16"")"),174351.48)</f>
        <v>174351.48</v>
      </c>
      <c r="M16" s="84">
        <f t="shared" ca="1" si="5"/>
        <v>26.749229825099725</v>
      </c>
      <c r="N16" s="84">
        <f t="shared" ca="1" si="6"/>
        <v>38.865688809629958</v>
      </c>
      <c r="O16" s="85">
        <f ca="1">IFERROR(__xludf.DUMMYFUNCTION("IMPORTRANGE(""https://docs.google.com/spreadsheets/d/1MeEWN-I1oV_STSDYn1IFDPWt_1FKiwhDph83XaGc0o0/edit?usp=sharing"",""งบพรบ!EU16"")"),0)</f>
        <v>0</v>
      </c>
      <c r="P16" s="85">
        <f t="shared" ca="1" si="24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IFERROR(__xludf.DUMMYFUNCTION("IMPORTRANGE(""https://docs.google.com/spreadsheets/d/1Jgv0Y7YlHDtsiDawwp-uvifEJ8HVaSn0k2aGHG8-hwM/edit?usp=sharing"",""เชียงใหม่!I338"")"),900)</f>
        <v>900</v>
      </c>
      <c r="S16" s="86">
        <f ca="1">IFERROR(__xludf.DUMMYFUNCTION("IMPORTRANGE(""https://docs.google.com/spreadsheets/d/1Jgv0Y7YlHDtsiDawwp-uvifEJ8HVaSn0k2aGHG8-hwM/edit?usp=sharing"",""เชียงใหม่!J338"")"),681)</f>
        <v>681</v>
      </c>
      <c r="T16" s="87">
        <f t="shared" ca="1" si="21"/>
        <v>75.666666666666671</v>
      </c>
      <c r="U16" s="86">
        <f ca="1">IFERROR(__xludf.DUMMYFUNCTION("IMPORTRANGE(""https://docs.google.com/spreadsheets/d/1Jgv0Y7YlHDtsiDawwp-uvifEJ8HVaSn0k2aGHG8-hwM/edit?usp=sharing"",""เชียงใหม่!I340"")"),4)</f>
        <v>4</v>
      </c>
      <c r="V16" s="86">
        <f ca="1">IFERROR(__xludf.DUMMYFUNCTION("IMPORTRANGE(""https://docs.google.com/spreadsheets/d/1Jgv0Y7YlHDtsiDawwp-uvifEJ8HVaSn0k2aGHG8-hwM/edit?usp=sharing"",""เชียงใหม่!J340"")"),2)</f>
        <v>2</v>
      </c>
      <c r="W16" s="87">
        <f t="shared" ca="1" si="22"/>
        <v>50</v>
      </c>
      <c r="X16" s="86">
        <f ca="1">IFERROR(__xludf.DUMMYFUNCTION("IMPORTRANGE(""https://docs.google.com/spreadsheets/d/1Jgv0Y7YlHDtsiDawwp-uvifEJ8HVaSn0k2aGHG8-hwM/edit?usp=sharing"",""เชียงใหม่!J341"")"),144)</f>
        <v>144</v>
      </c>
      <c r="Y16" s="86">
        <f ca="1">IFERROR(__xludf.DUMMYFUNCTION("IMPORTRANGE(""https://docs.google.com/spreadsheets/d/1Jgv0Y7YlHDtsiDawwp-uvifEJ8HVaSn0k2aGHG8-hwM/edit?usp=sharing"",""เชียงใหม่!J342"")"),0)</f>
        <v>0</v>
      </c>
      <c r="Z16" s="86">
        <f ca="1">IFERROR(__xludf.DUMMYFUNCTION("IMPORTRANGE(""https://docs.google.com/spreadsheets/d/1Jgv0Y7YlHDtsiDawwp-uvifEJ8HVaSn0k2aGHG8-hwM/edit?usp=sharing"",""เชียงใหม่!J343"")"),32)</f>
        <v>32</v>
      </c>
    </row>
    <row r="17" spans="1:26" ht="24" customHeight="1" x14ac:dyDescent="0.2">
      <c r="A17" s="78">
        <v>4</v>
      </c>
      <c r="B17" s="79" t="s">
        <v>39</v>
      </c>
      <c r="C17" s="80">
        <f t="shared" ca="1" si="0"/>
        <v>165000</v>
      </c>
      <c r="D17" s="81">
        <f t="shared" ca="1" si="28"/>
        <v>165000</v>
      </c>
      <c r="E17" s="82">
        <f ca="1">IFERROR(__xludf.DUMMYFUNCTION("IMPORTRANGE(""https://docs.google.com/spreadsheets/d/1MeEWN-I1oV_STSDYn1IFDPWt_1FKiwhDph83XaGc0o0/edit?usp=sharing"",""งบพรบ!EN17"")"),0)</f>
        <v>0</v>
      </c>
      <c r="F17" s="82">
        <f ca="1">IFERROR(__xludf.DUMMYFUNCTION("IMPORTRANGE(""https://docs.google.com/spreadsheets/d/1MeEWN-I1oV_STSDYn1IFDPWt_1FKiwhDph83XaGc0o0/edit?usp=sharing"",""งบพรบ!EO17"")"),165000)</f>
        <v>165000</v>
      </c>
      <c r="G17" s="82">
        <f ca="1">IFERROR(__xludf.DUMMYFUNCTION("IMPORTRANGE(""https://docs.google.com/spreadsheets/d/1MeEWN-I1oV_STSDYn1IFDPWt_1FKiwhDph83XaGc0o0/edit?usp=sharing"",""งบพรบ!EP17"")"),0)</f>
        <v>0</v>
      </c>
      <c r="H17" s="82">
        <f ca="1">IFERROR(__xludf.DUMMYFUNCTION("IMPORTRANGE(""https://docs.google.com/spreadsheets/d/1MeEWN-I1oV_STSDYn1IFDPWt_1FKiwhDph83XaGc0o0/edit?usp=sharing"",""งบพรบ!ER17"")"),82500)</f>
        <v>82500</v>
      </c>
      <c r="I17" s="82">
        <f ca="1">IFERROR(__xludf.DUMMYFUNCTION("IMPORTRANGE(""https://docs.google.com/spreadsheets/d/1MeEWN-I1oV_STSDYn1IFDPWt_1FKiwhDph83XaGc0o0/edit?usp=sharing"",""งบพรบ!ES17"")"),0)</f>
        <v>0</v>
      </c>
      <c r="J17" s="82">
        <f t="shared" ca="1" si="3"/>
        <v>42975</v>
      </c>
      <c r="K17" s="83">
        <f t="shared" ca="1" si="4"/>
        <v>26.045454545454547</v>
      </c>
      <c r="L17" s="82">
        <f ca="1">IFERROR(__xludf.DUMMYFUNCTION("IMPORTRANGE(""https://docs.google.com/spreadsheets/d/1MeEWN-I1oV_STSDYn1IFDPWt_1FKiwhDph83XaGc0o0/edit?usp=sharing"",""งบพรบ!ET17"")"),42975)</f>
        <v>42975</v>
      </c>
      <c r="M17" s="84">
        <f t="shared" ca="1" si="5"/>
        <v>26.045454545454547</v>
      </c>
      <c r="N17" s="84">
        <f t="shared" ca="1" si="6"/>
        <v>52.090909090909093</v>
      </c>
      <c r="O17" s="85">
        <f ca="1">IFERROR(__xludf.DUMMYFUNCTION("IMPORTRANGE(""https://docs.google.com/spreadsheets/d/1MeEWN-I1oV_STSDYn1IFDPWt_1FKiwhDph83XaGc0o0/edit?usp=sharing"",""งบพรบ!EU17"")"),0)</f>
        <v>0</v>
      </c>
      <c r="P17" s="85">
        <f t="shared" ca="1" si="24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IFERROR(__xludf.DUMMYFUNCTION("IMPORTRANGE(""https://docs.google.com/spreadsheets/d/1JWG2rZePOz9pe-f-ObA-yDr0VoOX2kSb0qIix2mTUo8/edit?usp=sharing"",""ตาก!I338"")"),900)</f>
        <v>900</v>
      </c>
      <c r="S17" s="86">
        <f ca="1">IFERROR(__xludf.DUMMYFUNCTION("IMPORTRANGE(""https://docs.google.com/spreadsheets/d/1JWG2rZePOz9pe-f-ObA-yDr0VoOX2kSb0qIix2mTUo8/edit?usp=sharing"",""ตาก!J338"")"),527)</f>
        <v>527</v>
      </c>
      <c r="T17" s="87">
        <f t="shared" ca="1" si="21"/>
        <v>58.555555555555557</v>
      </c>
      <c r="U17" s="86">
        <f ca="1">IFERROR(__xludf.DUMMYFUNCTION("IMPORTRANGE(""https://docs.google.com/spreadsheets/d/1JWG2rZePOz9pe-f-ObA-yDr0VoOX2kSb0qIix2mTUo8/edit?usp=sharing"",""ตาก!I340"")"),6)</f>
        <v>6</v>
      </c>
      <c r="V17" s="86">
        <f ca="1">IFERROR(__xludf.DUMMYFUNCTION("IMPORTRANGE(""https://docs.google.com/spreadsheets/d/1JWG2rZePOz9pe-f-ObA-yDr0VoOX2kSb0qIix2mTUo8/edit?usp=sharing"",""ตาก!J340"")"),3)</f>
        <v>3</v>
      </c>
      <c r="W17" s="87">
        <f t="shared" ca="1" si="22"/>
        <v>50</v>
      </c>
      <c r="X17" s="86">
        <f ca="1">IFERROR(__xludf.DUMMYFUNCTION("IMPORTRANGE(""https://docs.google.com/spreadsheets/d/1JWG2rZePOz9pe-f-ObA-yDr0VoOX2kSb0qIix2mTUo8/edit?usp=sharing"",""ตาก!J341"")"),304)</f>
        <v>304</v>
      </c>
      <c r="Y17" s="86">
        <f ca="1">IFERROR(__xludf.DUMMYFUNCTION("IMPORTRANGE(""https://docs.google.com/spreadsheets/d/1JWG2rZePOz9pe-f-ObA-yDr0VoOX2kSb0qIix2mTUo8/edit?usp=sharing"",""ตาก!J342"")"),0)</f>
        <v>0</v>
      </c>
      <c r="Z17" s="86">
        <f ca="1">IFERROR(__xludf.DUMMYFUNCTION("IMPORTRANGE(""https://docs.google.com/spreadsheets/d/1JWG2rZePOz9pe-f-ObA-yDr0VoOX2kSb0qIix2mTUo8/edit?usp=sharing"",""ตาก!J343"")"),0)</f>
        <v>0</v>
      </c>
    </row>
    <row r="18" spans="1:26" ht="24" customHeight="1" x14ac:dyDescent="0.2">
      <c r="A18" s="78">
        <v>5</v>
      </c>
      <c r="B18" s="79" t="s">
        <v>40</v>
      </c>
      <c r="C18" s="80">
        <f t="shared" ca="1" si="0"/>
        <v>177000</v>
      </c>
      <c r="D18" s="81">
        <f t="shared" ca="1" si="28"/>
        <v>177000</v>
      </c>
      <c r="E18" s="82">
        <f ca="1">IFERROR(__xludf.DUMMYFUNCTION("IMPORTRANGE(""https://docs.google.com/spreadsheets/d/1MeEWN-I1oV_STSDYn1IFDPWt_1FKiwhDph83XaGc0o0/edit?usp=sharing"",""งบพรบ!EN18"")"),0)</f>
        <v>0</v>
      </c>
      <c r="F18" s="82">
        <f ca="1">IFERROR(__xludf.DUMMYFUNCTION("IMPORTRANGE(""https://docs.google.com/spreadsheets/d/1MeEWN-I1oV_STSDYn1IFDPWt_1FKiwhDph83XaGc0o0/edit?usp=sharing"",""งบพรบ!EO18"")"),177000)</f>
        <v>177000</v>
      </c>
      <c r="G18" s="82">
        <f ca="1">IFERROR(__xludf.DUMMYFUNCTION("IMPORTRANGE(""https://docs.google.com/spreadsheets/d/1MeEWN-I1oV_STSDYn1IFDPWt_1FKiwhDph83XaGc0o0/edit?usp=sharing"",""งบพรบ!EP18"")"),0)</f>
        <v>0</v>
      </c>
      <c r="H18" s="82">
        <f ca="1">IFERROR(__xludf.DUMMYFUNCTION("IMPORTRANGE(""https://docs.google.com/spreadsheets/d/1MeEWN-I1oV_STSDYn1IFDPWt_1FKiwhDph83XaGc0o0/edit?usp=sharing"",""งบพรบ!ER18"")"),88500)</f>
        <v>88500</v>
      </c>
      <c r="I18" s="82">
        <f ca="1">IFERROR(__xludf.DUMMYFUNCTION("IMPORTRANGE(""https://docs.google.com/spreadsheets/d/1MeEWN-I1oV_STSDYn1IFDPWt_1FKiwhDph83XaGc0o0/edit?usp=sharing"",""งบพรบ!ES18"")"),0)</f>
        <v>0</v>
      </c>
      <c r="J18" s="82">
        <f t="shared" ca="1" si="3"/>
        <v>48386</v>
      </c>
      <c r="K18" s="83">
        <f t="shared" ca="1" si="4"/>
        <v>27.336723163841807</v>
      </c>
      <c r="L18" s="82">
        <f ca="1">IFERROR(__xludf.DUMMYFUNCTION("IMPORTRANGE(""https://docs.google.com/spreadsheets/d/1MeEWN-I1oV_STSDYn1IFDPWt_1FKiwhDph83XaGc0o0/edit?usp=sharing"",""งบพรบ!ET18"")"),48386)</f>
        <v>48386</v>
      </c>
      <c r="M18" s="84">
        <f t="shared" ca="1" si="5"/>
        <v>27.336723163841807</v>
      </c>
      <c r="N18" s="84">
        <f t="shared" ca="1" si="6"/>
        <v>54.673446327683614</v>
      </c>
      <c r="O18" s="85">
        <f ca="1">IFERROR(__xludf.DUMMYFUNCTION("IMPORTRANGE(""https://docs.google.com/spreadsheets/d/1MeEWN-I1oV_STSDYn1IFDPWt_1FKiwhDph83XaGc0o0/edit?usp=sharing"",""งบพรบ!EU18"")"),0)</f>
        <v>0</v>
      </c>
      <c r="P18" s="85">
        <f t="shared" ca="1" si="24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IFERROR(__xludf.DUMMYFUNCTION("IMPORTRANGE(""https://docs.google.com/spreadsheets/d/10nSRjK08hx8Y6HgSOQKNw81lyY46Zc7U_Cj72hBMp9U/edit?usp=sharing"",""นครสวรรค์!I338"")"),3500)</f>
        <v>3500</v>
      </c>
      <c r="S18" s="86">
        <f ca="1">IFERROR(__xludf.DUMMYFUNCTION("IMPORTRANGE(""https://docs.google.com/spreadsheets/d/10nSRjK08hx8Y6HgSOQKNw81lyY46Zc7U_Cj72hBMp9U/edit?usp=sharing"",""นครสวรรค์!J338"")"),1637)</f>
        <v>1637</v>
      </c>
      <c r="T18" s="87">
        <f t="shared" ca="1" si="21"/>
        <v>46.771428571428572</v>
      </c>
      <c r="U18" s="86">
        <f ca="1">IFERROR(__xludf.DUMMYFUNCTION("IMPORTRANGE(""https://docs.google.com/spreadsheets/d/10nSRjK08hx8Y6HgSOQKNw81lyY46Zc7U_Cj72hBMp9U/edit?usp=sharing"",""นครสวรรค์!I340"")"),7)</f>
        <v>7</v>
      </c>
      <c r="V18" s="86">
        <f ca="1">IFERROR(__xludf.DUMMYFUNCTION("IMPORTRANGE(""https://docs.google.com/spreadsheets/d/10nSRjK08hx8Y6HgSOQKNw81lyY46Zc7U_Cj72hBMp9U/edit?usp=sharing"",""นครสวรรค์!J340"")"),5)</f>
        <v>5</v>
      </c>
      <c r="W18" s="87">
        <f t="shared" ca="1" si="22"/>
        <v>71.428571428571431</v>
      </c>
      <c r="X18" s="86">
        <f ca="1">IFERROR(__xludf.DUMMYFUNCTION("IMPORTRANGE(""https://docs.google.com/spreadsheets/d/10nSRjK08hx8Y6HgSOQKNw81lyY46Zc7U_Cj72hBMp9U/edit?usp=sharing"",""นครสวรรค์!J341"")"),251)</f>
        <v>251</v>
      </c>
      <c r="Y18" s="86">
        <f ca="1">IFERROR(__xludf.DUMMYFUNCTION("IMPORTRANGE(""https://docs.google.com/spreadsheets/d/10nSRjK08hx8Y6HgSOQKNw81lyY46Zc7U_Cj72hBMp9U/edit?usp=sharing"",""นครสวรรค์!J342"")"),4)</f>
        <v>4</v>
      </c>
      <c r="Z18" s="86">
        <f ca="1">IFERROR(__xludf.DUMMYFUNCTION("IMPORTRANGE(""https://docs.google.com/spreadsheets/d/10nSRjK08hx8Y6HgSOQKNw81lyY46Zc7U_Cj72hBMp9U/edit?usp=sharing"",""นครสวรรค์!J343"")"),0)</f>
        <v>0</v>
      </c>
    </row>
    <row r="19" spans="1:26" ht="24" customHeight="1" x14ac:dyDescent="0.2">
      <c r="A19" s="78">
        <v>6</v>
      </c>
      <c r="B19" s="79" t="s">
        <v>41</v>
      </c>
      <c r="C19" s="80">
        <f t="shared" ca="1" si="0"/>
        <v>172000</v>
      </c>
      <c r="D19" s="81">
        <f t="shared" ca="1" si="28"/>
        <v>172000</v>
      </c>
      <c r="E19" s="82">
        <f ca="1">IFERROR(__xludf.DUMMYFUNCTION("IMPORTRANGE(""https://docs.google.com/spreadsheets/d/1MeEWN-I1oV_STSDYn1IFDPWt_1FKiwhDph83XaGc0o0/edit?usp=sharing"",""งบพรบ!EN19"")"),0)</f>
        <v>0</v>
      </c>
      <c r="F19" s="82">
        <f ca="1">IFERROR(__xludf.DUMMYFUNCTION("IMPORTRANGE(""https://docs.google.com/spreadsheets/d/1MeEWN-I1oV_STSDYn1IFDPWt_1FKiwhDph83XaGc0o0/edit?usp=sharing"",""งบพรบ!EO19"")"),172000)</f>
        <v>172000</v>
      </c>
      <c r="G19" s="82">
        <f ca="1">IFERROR(__xludf.DUMMYFUNCTION("IMPORTRANGE(""https://docs.google.com/spreadsheets/d/1MeEWN-I1oV_STSDYn1IFDPWt_1FKiwhDph83XaGc0o0/edit?usp=sharing"",""งบพรบ!EP19"")"),0)</f>
        <v>0</v>
      </c>
      <c r="H19" s="82">
        <f ca="1">IFERROR(__xludf.DUMMYFUNCTION("IMPORTRANGE(""https://docs.google.com/spreadsheets/d/1MeEWN-I1oV_STSDYn1IFDPWt_1FKiwhDph83XaGc0o0/edit?usp=sharing"",""งบพรบ!ER19"")"),86000)</f>
        <v>86000</v>
      </c>
      <c r="I19" s="82">
        <f ca="1">IFERROR(__xludf.DUMMYFUNCTION("IMPORTRANGE(""https://docs.google.com/spreadsheets/d/1MeEWN-I1oV_STSDYn1IFDPWt_1FKiwhDph83XaGc0o0/edit?usp=sharing"",""งบพรบ!ES19"")"),0)</f>
        <v>0</v>
      </c>
      <c r="J19" s="82">
        <f t="shared" ca="1" si="3"/>
        <v>37840</v>
      </c>
      <c r="K19" s="83">
        <f t="shared" ca="1" si="4"/>
        <v>22</v>
      </c>
      <c r="L19" s="82">
        <f ca="1">IFERROR(__xludf.DUMMYFUNCTION("IMPORTRANGE(""https://docs.google.com/spreadsheets/d/1MeEWN-I1oV_STSDYn1IFDPWt_1FKiwhDph83XaGc0o0/edit?usp=sharing"",""งบพรบ!ET19"")"),37840)</f>
        <v>37840</v>
      </c>
      <c r="M19" s="84">
        <f t="shared" ca="1" si="5"/>
        <v>22</v>
      </c>
      <c r="N19" s="84">
        <f t="shared" ca="1" si="6"/>
        <v>44</v>
      </c>
      <c r="O19" s="85">
        <f ca="1">IFERROR(__xludf.DUMMYFUNCTION("IMPORTRANGE(""https://docs.google.com/spreadsheets/d/1MeEWN-I1oV_STSDYn1IFDPWt_1FKiwhDph83XaGc0o0/edit?usp=sharing"",""งบพรบ!EU19"")"),0)</f>
        <v>0</v>
      </c>
      <c r="P19" s="85">
        <f t="shared" ca="1" si="24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IFERROR(__xludf.DUMMYFUNCTION("IMPORTRANGE(""https://docs.google.com/spreadsheets/d/1gFVb7qd7amutrIxAAoM7lcy35hllxznovot8lyOfvDo/edit?usp=sharing"",""น่าน!I338"")"),1600)</f>
        <v>1600</v>
      </c>
      <c r="S19" s="86">
        <f ca="1">IFERROR(__xludf.DUMMYFUNCTION("IMPORTRANGE(""https://docs.google.com/spreadsheets/d/1gFVb7qd7amutrIxAAoM7lcy35hllxznovot8lyOfvDo/edit?usp=sharing"",""น่าน!J338"")"),754)</f>
        <v>754</v>
      </c>
      <c r="T19" s="87">
        <f t="shared" ca="1" si="21"/>
        <v>47.125</v>
      </c>
      <c r="U19" s="86">
        <f ca="1">IFERROR(__xludf.DUMMYFUNCTION("IMPORTRANGE(""https://docs.google.com/spreadsheets/d/1gFVb7qd7amutrIxAAoM7lcy35hllxznovot8lyOfvDo/edit?usp=sharing"",""น่าน!I340"")"),7)</f>
        <v>7</v>
      </c>
      <c r="V19" s="86">
        <f ca="1">IFERROR(__xludf.DUMMYFUNCTION("IMPORTRANGE(""https://docs.google.com/spreadsheets/d/1gFVb7qd7amutrIxAAoM7lcy35hllxznovot8lyOfvDo/edit?usp=sharing"",""น่าน!J340"")"),2)</f>
        <v>2</v>
      </c>
      <c r="W19" s="87">
        <f t="shared" ca="1" si="22"/>
        <v>28.571428571428573</v>
      </c>
      <c r="X19" s="86">
        <f ca="1">IFERROR(__xludf.DUMMYFUNCTION("IMPORTRANGE(""https://docs.google.com/spreadsheets/d/1gFVb7qd7amutrIxAAoM7lcy35hllxznovot8lyOfvDo/edit?usp=sharing"",""น่าน!J341"")"),134)</f>
        <v>134</v>
      </c>
      <c r="Y19" s="86">
        <f ca="1">IFERROR(__xludf.DUMMYFUNCTION("IMPORTRANGE(""https://docs.google.com/spreadsheets/d/1gFVb7qd7amutrIxAAoM7lcy35hllxznovot8lyOfvDo/edit?usp=sharing"",""น่าน!J342"")"),6)</f>
        <v>6</v>
      </c>
      <c r="Z19" s="86">
        <f ca="1">IFERROR(__xludf.DUMMYFUNCTION("IMPORTRANGE(""https://docs.google.com/spreadsheets/d/1gFVb7qd7amutrIxAAoM7lcy35hllxznovot8lyOfvDo/edit?usp=sharing"",""น่าน!J343"")"),0)</f>
        <v>0</v>
      </c>
    </row>
    <row r="20" spans="1:26" ht="24" customHeight="1" x14ac:dyDescent="0.2">
      <c r="A20" s="78">
        <v>7</v>
      </c>
      <c r="B20" s="79" t="s">
        <v>42</v>
      </c>
      <c r="C20" s="80">
        <f t="shared" ca="1" si="0"/>
        <v>168000</v>
      </c>
      <c r="D20" s="81">
        <f t="shared" ca="1" si="28"/>
        <v>168000</v>
      </c>
      <c r="E20" s="82">
        <f ca="1">IFERROR(__xludf.DUMMYFUNCTION("IMPORTRANGE(""https://docs.google.com/spreadsheets/d/1MeEWN-I1oV_STSDYn1IFDPWt_1FKiwhDph83XaGc0o0/edit?usp=sharing"",""งบพรบ!EN20"")"),0)</f>
        <v>0</v>
      </c>
      <c r="F20" s="82">
        <f ca="1">IFERROR(__xludf.DUMMYFUNCTION("IMPORTRANGE(""https://docs.google.com/spreadsheets/d/1MeEWN-I1oV_STSDYn1IFDPWt_1FKiwhDph83XaGc0o0/edit?usp=sharing"",""งบพรบ!EO20"")"),168000)</f>
        <v>168000</v>
      </c>
      <c r="G20" s="82">
        <f ca="1">IFERROR(__xludf.DUMMYFUNCTION("IMPORTRANGE(""https://docs.google.com/spreadsheets/d/1MeEWN-I1oV_STSDYn1IFDPWt_1FKiwhDph83XaGc0o0/edit?usp=sharing"",""งบพรบ!EP20"")"),0)</f>
        <v>0</v>
      </c>
      <c r="H20" s="82">
        <f ca="1">IFERROR(__xludf.DUMMYFUNCTION("IMPORTRANGE(""https://docs.google.com/spreadsheets/d/1MeEWN-I1oV_STSDYn1IFDPWt_1FKiwhDph83XaGc0o0/edit?usp=sharing"",""งบพรบ!ER20"")"),84000)</f>
        <v>84000</v>
      </c>
      <c r="I20" s="82">
        <f ca="1">IFERROR(__xludf.DUMMYFUNCTION("IMPORTRANGE(""https://docs.google.com/spreadsheets/d/1MeEWN-I1oV_STSDYn1IFDPWt_1FKiwhDph83XaGc0o0/edit?usp=sharing"",""งบพรบ!ES20"")"),0)</f>
        <v>0</v>
      </c>
      <c r="J20" s="82">
        <f t="shared" ca="1" si="3"/>
        <v>40750</v>
      </c>
      <c r="K20" s="83">
        <f t="shared" ca="1" si="4"/>
        <v>24.25595238095238</v>
      </c>
      <c r="L20" s="82">
        <f ca="1">IFERROR(__xludf.DUMMYFUNCTION("IMPORTRANGE(""https://docs.google.com/spreadsheets/d/1MeEWN-I1oV_STSDYn1IFDPWt_1FKiwhDph83XaGc0o0/edit?usp=sharing"",""งบพรบ!ET20"")"),40750)</f>
        <v>40750</v>
      </c>
      <c r="M20" s="84">
        <f t="shared" ca="1" si="5"/>
        <v>24.25595238095238</v>
      </c>
      <c r="N20" s="84">
        <f t="shared" ca="1" si="6"/>
        <v>48.511904761904759</v>
      </c>
      <c r="O20" s="85">
        <f ca="1">IFERROR(__xludf.DUMMYFUNCTION("IMPORTRANGE(""https://docs.google.com/spreadsheets/d/1MeEWN-I1oV_STSDYn1IFDPWt_1FKiwhDph83XaGc0o0/edit?usp=sharing"",""งบพรบ!EU20"")"),0)</f>
        <v>0</v>
      </c>
      <c r="P20" s="85">
        <f t="shared" ca="1" si="24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IFERROR(__xludf.DUMMYFUNCTION("IMPORTRANGE(""https://docs.google.com/spreadsheets/d/1K0Aa9s-6EuHE5M0FG1F9aHLXRCOV917xvycTdLdct0w/edit?usp=sharing"",""พะเยา!I338"")"),1600)</f>
        <v>1600</v>
      </c>
      <c r="S20" s="86">
        <f ca="1">IFERROR(__xludf.DUMMYFUNCTION("IMPORTRANGE(""https://docs.google.com/spreadsheets/d/1K0Aa9s-6EuHE5M0FG1F9aHLXRCOV917xvycTdLdct0w/edit?usp=sharing"",""พะเยา!J338"")"),1526)</f>
        <v>1526</v>
      </c>
      <c r="T20" s="87">
        <f t="shared" ca="1" si="21"/>
        <v>95.375</v>
      </c>
      <c r="U20" s="86">
        <f ca="1">IFERROR(__xludf.DUMMYFUNCTION("IMPORTRANGE(""https://docs.google.com/spreadsheets/d/1K0Aa9s-6EuHE5M0FG1F9aHLXRCOV917xvycTdLdct0w/edit?usp=sharing"",""พะเยา!I340"")"),5)</f>
        <v>5</v>
      </c>
      <c r="V20" s="86">
        <f ca="1">IFERROR(__xludf.DUMMYFUNCTION("IMPORTRANGE(""https://docs.google.com/spreadsheets/d/1K0Aa9s-6EuHE5M0FG1F9aHLXRCOV917xvycTdLdct0w/edit?usp=sharing"",""พะเยา!J340"")"),3)</f>
        <v>3</v>
      </c>
      <c r="W20" s="87">
        <f t="shared" ca="1" si="22"/>
        <v>60</v>
      </c>
      <c r="X20" s="86">
        <f ca="1">IFERROR(__xludf.DUMMYFUNCTION("IMPORTRANGE(""https://docs.google.com/spreadsheets/d/1K0Aa9s-6EuHE5M0FG1F9aHLXRCOV917xvycTdLdct0w/edit?usp=sharing"",""พะเยา!J341"")"),143)</f>
        <v>143</v>
      </c>
      <c r="Y20" s="86">
        <f ca="1">IFERROR(__xludf.DUMMYFUNCTION("IMPORTRANGE(""https://docs.google.com/spreadsheets/d/1K0Aa9s-6EuHE5M0FG1F9aHLXRCOV917xvycTdLdct0w/edit?usp=sharing"",""พะเยา!J342"")"),0)</f>
        <v>0</v>
      </c>
      <c r="Z20" s="86">
        <f ca="1">IFERROR(__xludf.DUMMYFUNCTION("IMPORTRANGE(""https://docs.google.com/spreadsheets/d/1K0Aa9s-6EuHE5M0FG1F9aHLXRCOV917xvycTdLdct0w/edit?usp=sharing"",""พะเยา!J343"")"),0)</f>
        <v>0</v>
      </c>
    </row>
    <row r="21" spans="1:26" ht="24" customHeight="1" x14ac:dyDescent="0.2">
      <c r="A21" s="78">
        <v>8</v>
      </c>
      <c r="B21" s="79" t="s">
        <v>43</v>
      </c>
      <c r="C21" s="80">
        <f t="shared" ca="1" si="0"/>
        <v>161000</v>
      </c>
      <c r="D21" s="81">
        <f t="shared" ca="1" si="28"/>
        <v>161000</v>
      </c>
      <c r="E21" s="82">
        <f ca="1">IFERROR(__xludf.DUMMYFUNCTION("IMPORTRANGE(""https://docs.google.com/spreadsheets/d/1MeEWN-I1oV_STSDYn1IFDPWt_1FKiwhDph83XaGc0o0/edit?usp=sharing"",""งบพรบ!EN21"")"),0)</f>
        <v>0</v>
      </c>
      <c r="F21" s="82">
        <f ca="1">IFERROR(__xludf.DUMMYFUNCTION("IMPORTRANGE(""https://docs.google.com/spreadsheets/d/1MeEWN-I1oV_STSDYn1IFDPWt_1FKiwhDph83XaGc0o0/edit?usp=sharing"",""งบพรบ!EO21"")"),161000)</f>
        <v>161000</v>
      </c>
      <c r="G21" s="82">
        <f ca="1">IFERROR(__xludf.DUMMYFUNCTION("IMPORTRANGE(""https://docs.google.com/spreadsheets/d/1MeEWN-I1oV_STSDYn1IFDPWt_1FKiwhDph83XaGc0o0/edit?usp=sharing"",""งบพรบ!EP21"")"),0)</f>
        <v>0</v>
      </c>
      <c r="H21" s="82">
        <f ca="1">IFERROR(__xludf.DUMMYFUNCTION("IMPORTRANGE(""https://docs.google.com/spreadsheets/d/1MeEWN-I1oV_STSDYn1IFDPWt_1FKiwhDph83XaGc0o0/edit?usp=sharing"",""งบพรบ!ER21"")"),80500)</f>
        <v>80500</v>
      </c>
      <c r="I21" s="82">
        <f ca="1">IFERROR(__xludf.DUMMYFUNCTION("IMPORTRANGE(""https://docs.google.com/spreadsheets/d/1MeEWN-I1oV_STSDYn1IFDPWt_1FKiwhDph83XaGc0o0/edit?usp=sharing"",""งบพรบ!ES21"")"),0)</f>
        <v>0</v>
      </c>
      <c r="J21" s="82">
        <f t="shared" ca="1" si="3"/>
        <v>40046</v>
      </c>
      <c r="K21" s="83">
        <f t="shared" ca="1" si="4"/>
        <v>24.873291925465839</v>
      </c>
      <c r="L21" s="82">
        <f ca="1">IFERROR(__xludf.DUMMYFUNCTION("IMPORTRANGE(""https://docs.google.com/spreadsheets/d/1MeEWN-I1oV_STSDYn1IFDPWt_1FKiwhDph83XaGc0o0/edit?usp=sharing"",""งบพรบ!ET21"")"),40046)</f>
        <v>40046</v>
      </c>
      <c r="M21" s="84">
        <f t="shared" ca="1" si="5"/>
        <v>24.873291925465839</v>
      </c>
      <c r="N21" s="84">
        <f t="shared" ca="1" si="6"/>
        <v>49.746583850931678</v>
      </c>
      <c r="O21" s="85">
        <f ca="1">IFERROR(__xludf.DUMMYFUNCTION("IMPORTRANGE(""https://docs.google.com/spreadsheets/d/1MeEWN-I1oV_STSDYn1IFDPWt_1FKiwhDph83XaGc0o0/edit?usp=sharing"",""งบพรบ!EU21"")"),0)</f>
        <v>0</v>
      </c>
      <c r="P21" s="85">
        <f t="shared" ca="1" si="24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IFERROR(__xludf.DUMMYFUNCTION("IMPORTRANGE(""https://docs.google.com/spreadsheets/d/1Y9LPKx95PyL5OKy09d-KbKJSuuEZCFdkhYjwC0XQjBA/edit?usp=sharing"",""พิจิตร!I338"")"),1000)</f>
        <v>1000</v>
      </c>
      <c r="S21" s="86">
        <f ca="1">IFERROR(__xludf.DUMMYFUNCTION("IMPORTRANGE(""https://docs.google.com/spreadsheets/d/1Y9LPKx95PyL5OKy09d-KbKJSuuEZCFdkhYjwC0XQjBA/edit?usp=sharing"",""พิจิตร!J338"")"),459)</f>
        <v>459</v>
      </c>
      <c r="T21" s="87">
        <f t="shared" ca="1" si="21"/>
        <v>45.9</v>
      </c>
      <c r="U21" s="86">
        <f ca="1">IFERROR(__xludf.DUMMYFUNCTION("IMPORTRANGE(""https://docs.google.com/spreadsheets/d/1Y9LPKx95PyL5OKy09d-KbKJSuuEZCFdkhYjwC0XQjBA/edit?usp=sharing"",""พิจิตร!I340"")"),4)</f>
        <v>4</v>
      </c>
      <c r="V21" s="86">
        <f ca="1">IFERROR(__xludf.DUMMYFUNCTION("IMPORTRANGE(""https://docs.google.com/spreadsheets/d/1Y9LPKx95PyL5OKy09d-KbKJSuuEZCFdkhYjwC0XQjBA/edit?usp=sharing"",""พิจิตร!J340"")"),1)</f>
        <v>1</v>
      </c>
      <c r="W21" s="87">
        <f t="shared" ca="1" si="22"/>
        <v>25</v>
      </c>
      <c r="X21" s="86">
        <f ca="1">IFERROR(__xludf.DUMMYFUNCTION("IMPORTRANGE(""https://docs.google.com/spreadsheets/d/1Y9LPKx95PyL5OKy09d-KbKJSuuEZCFdkhYjwC0XQjBA/edit?usp=sharing"",""พิจิตร!J341"")"),30)</f>
        <v>30</v>
      </c>
      <c r="Y21" s="86">
        <f ca="1">IFERROR(__xludf.DUMMYFUNCTION("IMPORTRANGE(""https://docs.google.com/spreadsheets/d/1Y9LPKx95PyL5OKy09d-KbKJSuuEZCFdkhYjwC0XQjBA/edit?usp=sharing"",""พิจิตร!J342"")"),0)</f>
        <v>0</v>
      </c>
      <c r="Z21" s="86">
        <f ca="1">IFERROR(__xludf.DUMMYFUNCTION("IMPORTRANGE(""https://docs.google.com/spreadsheets/d/1Y9LPKx95PyL5OKy09d-KbKJSuuEZCFdkhYjwC0XQjBA/edit?usp=sharing"",""พิจิตร!J343"")"),0)</f>
        <v>0</v>
      </c>
    </row>
    <row r="22" spans="1:26" ht="24" customHeight="1" x14ac:dyDescent="0.2">
      <c r="A22" s="78">
        <v>9</v>
      </c>
      <c r="B22" s="79" t="s">
        <v>44</v>
      </c>
      <c r="C22" s="80">
        <f t="shared" ca="1" si="0"/>
        <v>174000</v>
      </c>
      <c r="D22" s="81">
        <f t="shared" ca="1" si="28"/>
        <v>174000</v>
      </c>
      <c r="E22" s="82">
        <f ca="1">IFERROR(__xludf.DUMMYFUNCTION("IMPORTRANGE(""https://docs.google.com/spreadsheets/d/1MeEWN-I1oV_STSDYn1IFDPWt_1FKiwhDph83XaGc0o0/edit?usp=sharing"",""งบพรบ!EN22"")"),0)</f>
        <v>0</v>
      </c>
      <c r="F22" s="82">
        <f ca="1">IFERROR(__xludf.DUMMYFUNCTION("IMPORTRANGE(""https://docs.google.com/spreadsheets/d/1MeEWN-I1oV_STSDYn1IFDPWt_1FKiwhDph83XaGc0o0/edit?usp=sharing"",""งบพรบ!EO22"")"),174000)</f>
        <v>174000</v>
      </c>
      <c r="G22" s="82">
        <f ca="1">IFERROR(__xludf.DUMMYFUNCTION("IMPORTRANGE(""https://docs.google.com/spreadsheets/d/1MeEWN-I1oV_STSDYn1IFDPWt_1FKiwhDph83XaGc0o0/edit?usp=sharing"",""งบพรบ!EP22"")"),0)</f>
        <v>0</v>
      </c>
      <c r="H22" s="82">
        <f ca="1">IFERROR(__xludf.DUMMYFUNCTION("IMPORTRANGE(""https://docs.google.com/spreadsheets/d/1MeEWN-I1oV_STSDYn1IFDPWt_1FKiwhDph83XaGc0o0/edit?usp=sharing"",""งบพรบ!ER22"")"),87000)</f>
        <v>87000</v>
      </c>
      <c r="I22" s="82">
        <f ca="1">IFERROR(__xludf.DUMMYFUNCTION("IMPORTRANGE(""https://docs.google.com/spreadsheets/d/1MeEWN-I1oV_STSDYn1IFDPWt_1FKiwhDph83XaGc0o0/edit?usp=sharing"",""งบพรบ!ES22"")"),0)</f>
        <v>0</v>
      </c>
      <c r="J22" s="82">
        <f t="shared" ca="1" si="3"/>
        <v>61490</v>
      </c>
      <c r="K22" s="83">
        <f t="shared" ca="1" si="4"/>
        <v>35.339080459770116</v>
      </c>
      <c r="L22" s="82">
        <f ca="1">IFERROR(__xludf.DUMMYFUNCTION("IMPORTRANGE(""https://docs.google.com/spreadsheets/d/1MeEWN-I1oV_STSDYn1IFDPWt_1FKiwhDph83XaGc0o0/edit?usp=sharing"",""งบพรบ!ET22"")"),61490)</f>
        <v>61490</v>
      </c>
      <c r="M22" s="84">
        <f t="shared" ca="1" si="5"/>
        <v>35.339080459770116</v>
      </c>
      <c r="N22" s="84">
        <f t="shared" ca="1" si="6"/>
        <v>70.678160919540232</v>
      </c>
      <c r="O22" s="85">
        <f ca="1">IFERROR(__xludf.DUMMYFUNCTION("IMPORTRANGE(""https://docs.google.com/spreadsheets/d/1MeEWN-I1oV_STSDYn1IFDPWt_1FKiwhDph83XaGc0o0/edit?usp=sharing"",""งบพรบ!EU22"")"),0)</f>
        <v>0</v>
      </c>
      <c r="P22" s="85">
        <f t="shared" ca="1" si="24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IFERROR(__xludf.DUMMYFUNCTION("IMPORTRANGE(""https://docs.google.com/spreadsheets/d/16OMuOwy2eVqZcYWOouQtTpa8X1L23h4660uVHc0C8os/edit?usp=sharing"",""พิษณุโลก!I338"")"),1600)</f>
        <v>1600</v>
      </c>
      <c r="S22" s="86">
        <f ca="1">IFERROR(__xludf.DUMMYFUNCTION("IMPORTRANGE(""https://docs.google.com/spreadsheets/d/16OMuOwy2eVqZcYWOouQtTpa8X1L23h4660uVHc0C8os/edit?usp=sharing"",""พิษณุโลก!J338"")"),796)</f>
        <v>796</v>
      </c>
      <c r="T22" s="87">
        <f t="shared" ca="1" si="21"/>
        <v>49.75</v>
      </c>
      <c r="U22" s="86">
        <f ca="1">IFERROR(__xludf.DUMMYFUNCTION("IMPORTRANGE(""https://docs.google.com/spreadsheets/d/16OMuOwy2eVqZcYWOouQtTpa8X1L23h4660uVHc0C8os/edit?usp=sharing"",""พิษณุโลก!I340"")"),8)</f>
        <v>8</v>
      </c>
      <c r="V22" s="86">
        <f ca="1">IFERROR(__xludf.DUMMYFUNCTION("IMPORTRANGE(""https://docs.google.com/spreadsheets/d/16OMuOwy2eVqZcYWOouQtTpa8X1L23h4660uVHc0C8os/edit?usp=sharing"",""พิษณุโลก!J340"")"),3)</f>
        <v>3</v>
      </c>
      <c r="W22" s="87">
        <f t="shared" ca="1" si="22"/>
        <v>37.5</v>
      </c>
      <c r="X22" s="86">
        <f ca="1">IFERROR(__xludf.DUMMYFUNCTION("IMPORTRANGE(""https://docs.google.com/spreadsheets/d/16OMuOwy2eVqZcYWOouQtTpa8X1L23h4660uVHc0C8os/edit?usp=sharing"",""พิษณุโลก!J341"")"),68)</f>
        <v>68</v>
      </c>
      <c r="Y22" s="86">
        <f ca="1">IFERROR(__xludf.DUMMYFUNCTION("IMPORTRANGE(""https://docs.google.com/spreadsheets/d/16OMuOwy2eVqZcYWOouQtTpa8X1L23h4660uVHc0C8os/edit?usp=sharing"",""พิษณุโลก!J342"")"),1)</f>
        <v>1</v>
      </c>
      <c r="Z22" s="86">
        <f ca="1">IFERROR(__xludf.DUMMYFUNCTION("IMPORTRANGE(""https://docs.google.com/spreadsheets/d/16OMuOwy2eVqZcYWOouQtTpa8X1L23h4660uVHc0C8os/edit?usp=sharing"",""พิษณุโลก!J343"")"),0)</f>
        <v>0</v>
      </c>
    </row>
    <row r="23" spans="1:26" ht="24" customHeight="1" x14ac:dyDescent="0.2">
      <c r="A23" s="78">
        <v>10</v>
      </c>
      <c r="B23" s="79" t="s">
        <v>45</v>
      </c>
      <c r="C23" s="80">
        <f t="shared" ca="1" si="0"/>
        <v>182000</v>
      </c>
      <c r="D23" s="81">
        <f t="shared" ca="1" si="28"/>
        <v>182000</v>
      </c>
      <c r="E23" s="82">
        <f ca="1">IFERROR(__xludf.DUMMYFUNCTION("IMPORTRANGE(""https://docs.google.com/spreadsheets/d/1MeEWN-I1oV_STSDYn1IFDPWt_1FKiwhDph83XaGc0o0/edit?usp=sharing"",""งบพรบ!EN23"")"),0)</f>
        <v>0</v>
      </c>
      <c r="F23" s="82">
        <f ca="1">IFERROR(__xludf.DUMMYFUNCTION("IMPORTRANGE(""https://docs.google.com/spreadsheets/d/1MeEWN-I1oV_STSDYn1IFDPWt_1FKiwhDph83XaGc0o0/edit?usp=sharing"",""งบพรบ!EO23"")"),182000)</f>
        <v>182000</v>
      </c>
      <c r="G23" s="82">
        <f ca="1">IFERROR(__xludf.DUMMYFUNCTION("IMPORTRANGE(""https://docs.google.com/spreadsheets/d/1MeEWN-I1oV_STSDYn1IFDPWt_1FKiwhDph83XaGc0o0/edit?usp=sharing"",""งบพรบ!EP23"")"),0)</f>
        <v>0</v>
      </c>
      <c r="H23" s="82">
        <f ca="1">IFERROR(__xludf.DUMMYFUNCTION("IMPORTRANGE(""https://docs.google.com/spreadsheets/d/1MeEWN-I1oV_STSDYn1IFDPWt_1FKiwhDph83XaGc0o0/edit?usp=sharing"",""งบพรบ!ER23"")"),91000)</f>
        <v>91000</v>
      </c>
      <c r="I23" s="82">
        <f ca="1">IFERROR(__xludf.DUMMYFUNCTION("IMPORTRANGE(""https://docs.google.com/spreadsheets/d/1MeEWN-I1oV_STSDYn1IFDPWt_1FKiwhDph83XaGc0o0/edit?usp=sharing"",""งบพรบ!ES23"")"),0)</f>
        <v>0</v>
      </c>
      <c r="J23" s="82">
        <f t="shared" ca="1" si="3"/>
        <v>59220</v>
      </c>
      <c r="K23" s="83">
        <f t="shared" ca="1" si="4"/>
        <v>32.53846153846154</v>
      </c>
      <c r="L23" s="82">
        <f ca="1">IFERROR(__xludf.DUMMYFUNCTION("IMPORTRANGE(""https://docs.google.com/spreadsheets/d/1MeEWN-I1oV_STSDYn1IFDPWt_1FKiwhDph83XaGc0o0/edit?usp=sharing"",""งบพรบ!ET23"")"),59220)</f>
        <v>59220</v>
      </c>
      <c r="M23" s="84">
        <f t="shared" ca="1" si="5"/>
        <v>32.53846153846154</v>
      </c>
      <c r="N23" s="84">
        <f t="shared" ca="1" si="6"/>
        <v>65.07692307692308</v>
      </c>
      <c r="O23" s="85">
        <f ca="1">IFERROR(__xludf.DUMMYFUNCTION("IMPORTRANGE(""https://docs.google.com/spreadsheets/d/1MeEWN-I1oV_STSDYn1IFDPWt_1FKiwhDph83XaGc0o0/edit?usp=sharing"",""งบพรบ!EU23"")"),0)</f>
        <v>0</v>
      </c>
      <c r="P23" s="85">
        <f t="shared" ca="1" si="24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IFERROR(__xludf.DUMMYFUNCTION("IMPORTRANGE(""https://docs.google.com/spreadsheets/d/1GfgTldLG6k77HXaMQzaafODklYuucJZQNs_GAPEfZyY/edit?usp=sharing"",""เพชรบูรณ์!I338"")"),7600)</f>
        <v>7600</v>
      </c>
      <c r="S23" s="86">
        <f ca="1">IFERROR(__xludf.DUMMYFUNCTION("IMPORTRANGE(""https://docs.google.com/spreadsheets/d/1GfgTldLG6k77HXaMQzaafODklYuucJZQNs_GAPEfZyY/edit?usp=sharing"",""เพชรบูรณ์!J338"")"),3573)</f>
        <v>3573</v>
      </c>
      <c r="T23" s="87">
        <f t="shared" ca="1" si="21"/>
        <v>47.013157894736842</v>
      </c>
      <c r="U23" s="86">
        <f ca="1">IFERROR(__xludf.DUMMYFUNCTION("IMPORTRANGE(""https://docs.google.com/spreadsheets/d/1GfgTldLG6k77HXaMQzaafODklYuucJZQNs_GAPEfZyY/edit?usp=sharing"",""เพชรบูรณ์!I340"")"),7)</f>
        <v>7</v>
      </c>
      <c r="V23" s="86">
        <f ca="1">IFERROR(__xludf.DUMMYFUNCTION("IMPORTRANGE(""https://docs.google.com/spreadsheets/d/1GfgTldLG6k77HXaMQzaafODklYuucJZQNs_GAPEfZyY/edit?usp=sharing"",""เพชรบูรณ์!J340"")"),4)</f>
        <v>4</v>
      </c>
      <c r="W23" s="87">
        <f t="shared" ca="1" si="22"/>
        <v>57.142857142857146</v>
      </c>
      <c r="X23" s="86">
        <f ca="1">IFERROR(__xludf.DUMMYFUNCTION("IMPORTRANGE(""https://docs.google.com/spreadsheets/d/1GfgTldLG6k77HXaMQzaafODklYuucJZQNs_GAPEfZyY/edit?usp=sharing"",""เพชรบูรณ์!J341"")"),694)</f>
        <v>694</v>
      </c>
      <c r="Y23" s="86">
        <f ca="1">IFERROR(__xludf.DUMMYFUNCTION("IMPORTRANGE(""https://docs.google.com/spreadsheets/d/1GfgTldLG6k77HXaMQzaafODklYuucJZQNs_GAPEfZyY/edit?usp=sharing"",""เพชรบูรณ์!J342"")"),3)</f>
        <v>3</v>
      </c>
      <c r="Z23" s="86">
        <f ca="1">IFERROR(__xludf.DUMMYFUNCTION("IMPORTRANGE(""https://docs.google.com/spreadsheets/d/1GfgTldLG6k77HXaMQzaafODklYuucJZQNs_GAPEfZyY/edit?usp=sharing"",""เพชรบูรณ์!J343"")"),306)</f>
        <v>306</v>
      </c>
    </row>
    <row r="24" spans="1:26" ht="24" customHeight="1" x14ac:dyDescent="0.2">
      <c r="A24" s="78">
        <v>11</v>
      </c>
      <c r="B24" s="79" t="s">
        <v>46</v>
      </c>
      <c r="C24" s="80">
        <f t="shared" ca="1" si="0"/>
        <v>170000</v>
      </c>
      <c r="D24" s="81">
        <f t="shared" ca="1" si="28"/>
        <v>170000</v>
      </c>
      <c r="E24" s="82">
        <f ca="1">IFERROR(__xludf.DUMMYFUNCTION("IMPORTRANGE(""https://docs.google.com/spreadsheets/d/1MeEWN-I1oV_STSDYn1IFDPWt_1FKiwhDph83XaGc0o0/edit?usp=sharing"",""งบพรบ!EN24"")"),0)</f>
        <v>0</v>
      </c>
      <c r="F24" s="82">
        <f ca="1">IFERROR(__xludf.DUMMYFUNCTION("IMPORTRANGE(""https://docs.google.com/spreadsheets/d/1MeEWN-I1oV_STSDYn1IFDPWt_1FKiwhDph83XaGc0o0/edit?usp=sharing"",""งบพรบ!EO24"")"),170000)</f>
        <v>170000</v>
      </c>
      <c r="G24" s="82">
        <f ca="1">IFERROR(__xludf.DUMMYFUNCTION("IMPORTRANGE(""https://docs.google.com/spreadsheets/d/1MeEWN-I1oV_STSDYn1IFDPWt_1FKiwhDph83XaGc0o0/edit?usp=sharing"",""งบพรบ!EP24"")"),0)</f>
        <v>0</v>
      </c>
      <c r="H24" s="82">
        <f ca="1">IFERROR(__xludf.DUMMYFUNCTION("IMPORTRANGE(""https://docs.google.com/spreadsheets/d/1MeEWN-I1oV_STSDYn1IFDPWt_1FKiwhDph83XaGc0o0/edit?usp=sharing"",""งบพรบ!ER24"")"),85000)</f>
        <v>85000</v>
      </c>
      <c r="I24" s="82">
        <f ca="1">IFERROR(__xludf.DUMMYFUNCTION("IMPORTRANGE(""https://docs.google.com/spreadsheets/d/1MeEWN-I1oV_STSDYn1IFDPWt_1FKiwhDph83XaGc0o0/edit?usp=sharing"",""งบพรบ!ES24"")"),0)</f>
        <v>0</v>
      </c>
      <c r="J24" s="82">
        <f t="shared" ca="1" si="3"/>
        <v>59080</v>
      </c>
      <c r="K24" s="83">
        <f t="shared" ca="1" si="4"/>
        <v>34.752941176470586</v>
      </c>
      <c r="L24" s="82">
        <f ca="1">IFERROR(__xludf.DUMMYFUNCTION("IMPORTRANGE(""https://docs.google.com/spreadsheets/d/1MeEWN-I1oV_STSDYn1IFDPWt_1FKiwhDph83XaGc0o0/edit?usp=sharing"",""งบพรบ!ET24"")"),59080)</f>
        <v>59080</v>
      </c>
      <c r="M24" s="84">
        <f t="shared" ca="1" si="5"/>
        <v>34.752941176470586</v>
      </c>
      <c r="N24" s="84">
        <f t="shared" ca="1" si="6"/>
        <v>69.505882352941171</v>
      </c>
      <c r="O24" s="85">
        <f ca="1">IFERROR(__xludf.DUMMYFUNCTION("IMPORTRANGE(""https://docs.google.com/spreadsheets/d/1MeEWN-I1oV_STSDYn1IFDPWt_1FKiwhDph83XaGc0o0/edit?usp=sharing"",""งบพรบ!EU24"")"),0)</f>
        <v>0</v>
      </c>
      <c r="P24" s="85">
        <f t="shared" ca="1" si="24"/>
        <v>0</v>
      </c>
      <c r="Q24" s="84">
        <f t="shared" ca="1" si="8"/>
        <v>0</v>
      </c>
      <c r="R24" s="86">
        <f ca="1">IFERROR(__xludf.DUMMYFUNCTION("IMPORTRANGE(""https://docs.google.com/spreadsheets/d/1gvTMYAnm7v1yG1BKWFtr0DnaTsq59oW9dwWvFgq6hs0/edit?usp=sharing"",""แพร่!I338"")"),1700)</f>
        <v>1700</v>
      </c>
      <c r="S24" s="86">
        <f ca="1">IFERROR(__xludf.DUMMYFUNCTION("IMPORTRANGE(""https://docs.google.com/spreadsheets/d/1gvTMYAnm7v1yG1BKWFtr0DnaTsq59oW9dwWvFgq6hs0/edit?usp=sharing"",""แพร่!J338"")"),834)</f>
        <v>834</v>
      </c>
      <c r="T24" s="87">
        <f t="shared" ca="1" si="21"/>
        <v>49.058823529411768</v>
      </c>
      <c r="U24" s="86">
        <f ca="1">IFERROR(__xludf.DUMMYFUNCTION("IMPORTRANGE(""https://docs.google.com/spreadsheets/d/1gvTMYAnm7v1yG1BKWFtr0DnaTsq59oW9dwWvFgq6hs0/edit?usp=sharing"",""แพร่!I340"")"),6)</f>
        <v>6</v>
      </c>
      <c r="V24" s="86">
        <f ca="1">IFERROR(__xludf.DUMMYFUNCTION("IMPORTRANGE(""https://docs.google.com/spreadsheets/d/1gvTMYAnm7v1yG1BKWFtr0DnaTsq59oW9dwWvFgq6hs0/edit?usp=sharing"",""แพร่!J340"")"),1)</f>
        <v>1</v>
      </c>
      <c r="W24" s="87">
        <f t="shared" ca="1" si="22"/>
        <v>16.666666666666668</v>
      </c>
      <c r="X24" s="86">
        <f ca="1">IFERROR(__xludf.DUMMYFUNCTION("IMPORTRANGE(""https://docs.google.com/spreadsheets/d/1gvTMYAnm7v1yG1BKWFtr0DnaTsq59oW9dwWvFgq6hs0/edit?usp=sharing"",""แพร่!J341"")"),126)</f>
        <v>126</v>
      </c>
      <c r="Y24" s="86">
        <f ca="1">IFERROR(__xludf.DUMMYFUNCTION("IMPORTRANGE(""https://docs.google.com/spreadsheets/d/1gvTMYAnm7v1yG1BKWFtr0DnaTsq59oW9dwWvFgq6hs0/edit?usp=sharing"",""แพร่!J342"")"),0)</f>
        <v>0</v>
      </c>
      <c r="Z24" s="86">
        <f ca="1">IFERROR(__xludf.DUMMYFUNCTION("IMPORTRANGE(""https://docs.google.com/spreadsheets/d/1gvTMYAnm7v1yG1BKWFtr0DnaTsq59oW9dwWvFgq6hs0/edit?usp=sharing"",""แพร่!J343"")"),0)</f>
        <v>0</v>
      </c>
    </row>
    <row r="25" spans="1:26" ht="24" customHeight="1" x14ac:dyDescent="0.2">
      <c r="A25" s="78">
        <v>12</v>
      </c>
      <c r="B25" s="79" t="s">
        <v>47</v>
      </c>
      <c r="C25" s="80">
        <f t="shared" ca="1" si="0"/>
        <v>165000</v>
      </c>
      <c r="D25" s="81">
        <f t="shared" ca="1" si="28"/>
        <v>165000</v>
      </c>
      <c r="E25" s="82">
        <f ca="1">IFERROR(__xludf.DUMMYFUNCTION("IMPORTRANGE(""https://docs.google.com/spreadsheets/d/1MeEWN-I1oV_STSDYn1IFDPWt_1FKiwhDph83XaGc0o0/edit?usp=sharing"",""งบพรบ!EN25"")"),0)</f>
        <v>0</v>
      </c>
      <c r="F25" s="82">
        <f ca="1">IFERROR(__xludf.DUMMYFUNCTION("IMPORTRANGE(""https://docs.google.com/spreadsheets/d/1MeEWN-I1oV_STSDYn1IFDPWt_1FKiwhDph83XaGc0o0/edit?usp=sharing"",""งบพรบ!EO25"")"),165000)</f>
        <v>165000</v>
      </c>
      <c r="G25" s="82">
        <f ca="1">IFERROR(__xludf.DUMMYFUNCTION("IMPORTRANGE(""https://docs.google.com/spreadsheets/d/1MeEWN-I1oV_STSDYn1IFDPWt_1FKiwhDph83XaGc0o0/edit?usp=sharing"",""งบพรบ!EP25"")"),0)</f>
        <v>0</v>
      </c>
      <c r="H25" s="82">
        <f ca="1">IFERROR(__xludf.DUMMYFUNCTION("IMPORTRANGE(""https://docs.google.com/spreadsheets/d/1MeEWN-I1oV_STSDYn1IFDPWt_1FKiwhDph83XaGc0o0/edit?usp=sharing"",""งบพรบ!ER25"")"),82500)</f>
        <v>82500</v>
      </c>
      <c r="I25" s="82">
        <f ca="1">IFERROR(__xludf.DUMMYFUNCTION("IMPORTRANGE(""https://docs.google.com/spreadsheets/d/1MeEWN-I1oV_STSDYn1IFDPWt_1FKiwhDph83XaGc0o0/edit?usp=sharing"",""งบพรบ!ES25"")"),0)</f>
        <v>0</v>
      </c>
      <c r="J25" s="82">
        <f t="shared" ca="1" si="3"/>
        <v>53518</v>
      </c>
      <c r="K25" s="83">
        <f t="shared" ca="1" si="4"/>
        <v>32.435151515151517</v>
      </c>
      <c r="L25" s="82">
        <f ca="1">IFERROR(__xludf.DUMMYFUNCTION("IMPORTRANGE(""https://docs.google.com/spreadsheets/d/1MeEWN-I1oV_STSDYn1IFDPWt_1FKiwhDph83XaGc0o0/edit?usp=sharing"",""งบพรบ!ET25"")"),53518)</f>
        <v>53518</v>
      </c>
      <c r="M25" s="84">
        <f t="shared" ca="1" si="5"/>
        <v>32.435151515151517</v>
      </c>
      <c r="N25" s="84">
        <f t="shared" ca="1" si="6"/>
        <v>64.870303030303035</v>
      </c>
      <c r="O25" s="85">
        <f ca="1">IFERROR(__xludf.DUMMYFUNCTION("IMPORTRANGE(""https://docs.google.com/spreadsheets/d/1MeEWN-I1oV_STSDYn1IFDPWt_1FKiwhDph83XaGc0o0/edit?usp=sharing"",""งบพรบ!EU25"")"),0)</f>
        <v>0</v>
      </c>
      <c r="P25" s="85">
        <f t="shared" ca="1" si="24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IFERROR(__xludf.DUMMYFUNCTION("IMPORTRANGE(""https://docs.google.com/spreadsheets/d/1Wbcosgy-Xa1xXUArJSOenub6EfZHUSzc_bpJFWwQUf0/edit?usp=sharing"",""แม่ฮ่องสอน!I338"")"),400)</f>
        <v>400</v>
      </c>
      <c r="S25" s="86">
        <f ca="1">IFERROR(__xludf.DUMMYFUNCTION("IMPORTRANGE(""https://docs.google.com/spreadsheets/d/1Wbcosgy-Xa1xXUArJSOenub6EfZHUSzc_bpJFWwQUf0/edit?usp=sharing"",""แม่ฮ่องสอน!J338"")"),30)</f>
        <v>30</v>
      </c>
      <c r="T25" s="87">
        <f t="shared" ca="1" si="21"/>
        <v>7.5</v>
      </c>
      <c r="U25" s="86">
        <f ca="1">IFERROR(__xludf.DUMMYFUNCTION("IMPORTRANGE(""https://docs.google.com/spreadsheets/d/1Wbcosgy-Xa1xXUArJSOenub6EfZHUSzc_bpJFWwQUf0/edit?usp=sharing"",""แม่ฮ่องสอน!I340"")"),6)</f>
        <v>6</v>
      </c>
      <c r="V25" s="86">
        <f ca="1">IFERROR(__xludf.DUMMYFUNCTION("IMPORTRANGE(""https://docs.google.com/spreadsheets/d/1Wbcosgy-Xa1xXUArJSOenub6EfZHUSzc_bpJFWwQUf0/edit?usp=sharing"",""แม่ฮ่องสอน!J340"")"),2)</f>
        <v>2</v>
      </c>
      <c r="W25" s="87">
        <f t="shared" ca="1" si="22"/>
        <v>33.333333333333336</v>
      </c>
      <c r="X25" s="86">
        <f ca="1">IFERROR(__xludf.DUMMYFUNCTION("IMPORTRANGE(""https://docs.google.com/spreadsheets/d/1Wbcosgy-Xa1xXUArJSOenub6EfZHUSzc_bpJFWwQUf0/edit?usp=sharing"",""แม่ฮ่องสอน!J341"")"),54)</f>
        <v>54</v>
      </c>
      <c r="Y25" s="86">
        <f ca="1">IFERROR(__xludf.DUMMYFUNCTION("IMPORTRANGE(""https://docs.google.com/spreadsheets/d/1Wbcosgy-Xa1xXUArJSOenub6EfZHUSzc_bpJFWwQUf0/edit?usp=sharing"",""แม่ฮ่องสอน!J342"")"),0)</f>
        <v>0</v>
      </c>
      <c r="Z25" s="86">
        <f ca="1">IFERROR(__xludf.DUMMYFUNCTION("IMPORTRANGE(""https://docs.google.com/spreadsheets/d/1Wbcosgy-Xa1xXUArJSOenub6EfZHUSzc_bpJFWwQUf0/edit?usp=sharing"",""แม่ฮ่องสอน!J343"")"),16)</f>
        <v>16</v>
      </c>
    </row>
    <row r="26" spans="1:26" ht="24" customHeight="1" x14ac:dyDescent="0.2">
      <c r="A26" s="78">
        <v>13</v>
      </c>
      <c r="B26" s="79" t="s">
        <v>48</v>
      </c>
      <c r="C26" s="80">
        <f t="shared" ca="1" si="0"/>
        <v>172000</v>
      </c>
      <c r="D26" s="81">
        <f t="shared" ca="1" si="28"/>
        <v>172000</v>
      </c>
      <c r="E26" s="82">
        <f ca="1">IFERROR(__xludf.DUMMYFUNCTION("IMPORTRANGE(""https://docs.google.com/spreadsheets/d/1MeEWN-I1oV_STSDYn1IFDPWt_1FKiwhDph83XaGc0o0/edit?usp=sharing"",""งบพรบ!EN26"")"),0)</f>
        <v>0</v>
      </c>
      <c r="F26" s="82">
        <f ca="1">IFERROR(__xludf.DUMMYFUNCTION("IMPORTRANGE(""https://docs.google.com/spreadsheets/d/1MeEWN-I1oV_STSDYn1IFDPWt_1FKiwhDph83XaGc0o0/edit?usp=sharing"",""งบพรบ!EO26"")"),172000)</f>
        <v>172000</v>
      </c>
      <c r="G26" s="82">
        <f ca="1">IFERROR(__xludf.DUMMYFUNCTION("IMPORTRANGE(""https://docs.google.com/spreadsheets/d/1MeEWN-I1oV_STSDYn1IFDPWt_1FKiwhDph83XaGc0o0/edit?usp=sharing"",""งบพรบ!EP26"")"),0)</f>
        <v>0</v>
      </c>
      <c r="H26" s="82">
        <f ca="1">IFERROR(__xludf.DUMMYFUNCTION("IMPORTRANGE(""https://docs.google.com/spreadsheets/d/1MeEWN-I1oV_STSDYn1IFDPWt_1FKiwhDph83XaGc0o0/edit?usp=sharing"",""งบพรบ!ER26"")"),86000)</f>
        <v>86000</v>
      </c>
      <c r="I26" s="82">
        <f ca="1">IFERROR(__xludf.DUMMYFUNCTION("IMPORTRANGE(""https://docs.google.com/spreadsheets/d/1MeEWN-I1oV_STSDYn1IFDPWt_1FKiwhDph83XaGc0o0/edit?usp=sharing"",""งบพรบ!ES26"")"),0)</f>
        <v>0</v>
      </c>
      <c r="J26" s="82">
        <f t="shared" ca="1" si="3"/>
        <v>34940</v>
      </c>
      <c r="K26" s="83">
        <f t="shared" ca="1" si="4"/>
        <v>20.313953488372093</v>
      </c>
      <c r="L26" s="82">
        <f ca="1">IFERROR(__xludf.DUMMYFUNCTION("IMPORTRANGE(""https://docs.google.com/spreadsheets/d/1MeEWN-I1oV_STSDYn1IFDPWt_1FKiwhDph83XaGc0o0/edit?usp=sharing"",""งบพรบ!ET26"")"),34940)</f>
        <v>34940</v>
      </c>
      <c r="M26" s="84">
        <f t="shared" ca="1" si="5"/>
        <v>20.313953488372093</v>
      </c>
      <c r="N26" s="84">
        <f t="shared" ca="1" si="6"/>
        <v>40.627906976744185</v>
      </c>
      <c r="O26" s="85">
        <f ca="1">IFERROR(__xludf.DUMMYFUNCTION("IMPORTRANGE(""https://docs.google.com/spreadsheets/d/1MeEWN-I1oV_STSDYn1IFDPWt_1FKiwhDph83XaGc0o0/edit?usp=sharing"",""งบพรบ!EU26"")"),0)</f>
        <v>0</v>
      </c>
      <c r="P26" s="85">
        <f t="shared" ca="1" si="24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IFERROR(__xludf.DUMMYFUNCTION("IMPORTRANGE(""https://docs.google.com/spreadsheets/d/1p7ERhsr0qZeSn-KSOdeHS9r0heI-lHtkcn2OH7hP0jQ/edit?usp=sharing"",""ลำปาง!I338"")"),2000)</f>
        <v>2000</v>
      </c>
      <c r="S26" s="86">
        <f ca="1">IFERROR(__xludf.DUMMYFUNCTION("IMPORTRANGE(""https://docs.google.com/spreadsheets/d/1p7ERhsr0qZeSn-KSOdeHS9r0heI-lHtkcn2OH7hP0jQ/edit?usp=sharing"",""ลำปาง!J338"")"),773)</f>
        <v>773</v>
      </c>
      <c r="T26" s="87">
        <f t="shared" ca="1" si="21"/>
        <v>38.65</v>
      </c>
      <c r="U26" s="86">
        <f ca="1">IFERROR(__xludf.DUMMYFUNCTION("IMPORTRANGE(""https://docs.google.com/spreadsheets/d/1p7ERhsr0qZeSn-KSOdeHS9r0heI-lHtkcn2OH7hP0jQ/edit?usp=sharing"",""ลำปาง!I340"")"),7)</f>
        <v>7</v>
      </c>
      <c r="V26" s="86">
        <f ca="1">IFERROR(__xludf.DUMMYFUNCTION("IMPORTRANGE(""https://docs.google.com/spreadsheets/d/1p7ERhsr0qZeSn-KSOdeHS9r0heI-lHtkcn2OH7hP0jQ/edit?usp=sharing"",""ลำปาง!J340"")"),0)</f>
        <v>0</v>
      </c>
      <c r="W26" s="87">
        <f t="shared" ca="1" si="22"/>
        <v>0</v>
      </c>
      <c r="X26" s="86">
        <f ca="1">IFERROR(__xludf.DUMMYFUNCTION("IMPORTRANGE(""https://docs.google.com/spreadsheets/d/1p7ERhsr0qZeSn-KSOdeHS9r0heI-lHtkcn2OH7hP0jQ/edit?usp=sharing"",""ลำปาง!J341"")"),0)</f>
        <v>0</v>
      </c>
      <c r="Y26" s="86">
        <f ca="1">IFERROR(__xludf.DUMMYFUNCTION("IMPORTRANGE(""https://docs.google.com/spreadsheets/d/1p7ERhsr0qZeSn-KSOdeHS9r0heI-lHtkcn2OH7hP0jQ/edit?usp=sharing"",""ลำปาง!J342"")"),0)</f>
        <v>0</v>
      </c>
      <c r="Z26" s="86">
        <f ca="1">IFERROR(__xludf.DUMMYFUNCTION("IMPORTRANGE(""https://docs.google.com/spreadsheets/d/1p7ERhsr0qZeSn-KSOdeHS9r0heI-lHtkcn2OH7hP0jQ/edit?usp=sharing"",""ลำปาง!J343"")"),0)</f>
        <v>0</v>
      </c>
    </row>
    <row r="27" spans="1:26" ht="24" customHeight="1" x14ac:dyDescent="0.2">
      <c r="A27" s="78">
        <v>14</v>
      </c>
      <c r="B27" s="79" t="s">
        <v>49</v>
      </c>
      <c r="C27" s="80">
        <f t="shared" ca="1" si="0"/>
        <v>165000</v>
      </c>
      <c r="D27" s="81">
        <f t="shared" ca="1" si="28"/>
        <v>165000</v>
      </c>
      <c r="E27" s="82">
        <f ca="1">IFERROR(__xludf.DUMMYFUNCTION("IMPORTRANGE(""https://docs.google.com/spreadsheets/d/1MeEWN-I1oV_STSDYn1IFDPWt_1FKiwhDph83XaGc0o0/edit?usp=sharing"",""งบพรบ!EN27"")"),0)</f>
        <v>0</v>
      </c>
      <c r="F27" s="82">
        <f ca="1">IFERROR(__xludf.DUMMYFUNCTION("IMPORTRANGE(""https://docs.google.com/spreadsheets/d/1MeEWN-I1oV_STSDYn1IFDPWt_1FKiwhDph83XaGc0o0/edit?usp=sharing"",""งบพรบ!EO27"")"),165000)</f>
        <v>165000</v>
      </c>
      <c r="G27" s="82">
        <f ca="1">IFERROR(__xludf.DUMMYFUNCTION("IMPORTRANGE(""https://docs.google.com/spreadsheets/d/1MeEWN-I1oV_STSDYn1IFDPWt_1FKiwhDph83XaGc0o0/edit?usp=sharing"",""งบพรบ!EP27"")"),0)</f>
        <v>0</v>
      </c>
      <c r="H27" s="82">
        <f ca="1">IFERROR(__xludf.DUMMYFUNCTION("IMPORTRANGE(""https://docs.google.com/spreadsheets/d/1MeEWN-I1oV_STSDYn1IFDPWt_1FKiwhDph83XaGc0o0/edit?usp=sharing"",""งบพรบ!ER27"")"),82500)</f>
        <v>82500</v>
      </c>
      <c r="I27" s="82">
        <f ca="1">IFERROR(__xludf.DUMMYFUNCTION("IMPORTRANGE(""https://docs.google.com/spreadsheets/d/1MeEWN-I1oV_STSDYn1IFDPWt_1FKiwhDph83XaGc0o0/edit?usp=sharing"",""งบพรบ!ES27"")"),0)</f>
        <v>0</v>
      </c>
      <c r="J27" s="82">
        <f t="shared" ca="1" si="3"/>
        <v>56328</v>
      </c>
      <c r="K27" s="83">
        <f t="shared" ca="1" si="4"/>
        <v>34.13818181818182</v>
      </c>
      <c r="L27" s="82">
        <f ca="1">IFERROR(__xludf.DUMMYFUNCTION("IMPORTRANGE(""https://docs.google.com/spreadsheets/d/1MeEWN-I1oV_STSDYn1IFDPWt_1FKiwhDph83XaGc0o0/edit?usp=sharing"",""งบพรบ!ET27"")"),56328)</f>
        <v>56328</v>
      </c>
      <c r="M27" s="84">
        <f t="shared" ca="1" si="5"/>
        <v>34.13818181818182</v>
      </c>
      <c r="N27" s="84">
        <f t="shared" ca="1" si="6"/>
        <v>68.276363636363641</v>
      </c>
      <c r="O27" s="85">
        <f ca="1">IFERROR(__xludf.DUMMYFUNCTION("IMPORTRANGE(""https://docs.google.com/spreadsheets/d/1MeEWN-I1oV_STSDYn1IFDPWt_1FKiwhDph83XaGc0o0/edit?usp=sharing"",""งบพรบ!EU27"")"),0)</f>
        <v>0</v>
      </c>
      <c r="P27" s="85">
        <f t="shared" ca="1" si="24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IFERROR(__xludf.DUMMYFUNCTION("IMPORTRANGE(""https://docs.google.com/spreadsheets/d/1-uUXvimVhiU2U0bMN-xi2te0tS4X7DI2GLPnMjzl8cA/edit?usp=sharing"",""ลำพูน!I338"")"),700)</f>
        <v>700</v>
      </c>
      <c r="S27" s="86">
        <f ca="1">IFERROR(__xludf.DUMMYFUNCTION("IMPORTRANGE(""https://docs.google.com/spreadsheets/d/1-uUXvimVhiU2U0bMN-xi2te0tS4X7DI2GLPnMjzl8cA/edit?usp=sharing"",""ลำพูน!J338"")"),377)</f>
        <v>377</v>
      </c>
      <c r="T27" s="87">
        <f t="shared" ca="1" si="21"/>
        <v>53.857142857142854</v>
      </c>
      <c r="U27" s="86">
        <f ca="1">IFERROR(__xludf.DUMMYFUNCTION("IMPORTRANGE(""https://docs.google.com/spreadsheets/d/1-uUXvimVhiU2U0bMN-xi2te0tS4X7DI2GLPnMjzl8cA/edit?usp=sharing"",""ลำพูน!I340"")"),6)</f>
        <v>6</v>
      </c>
      <c r="V27" s="86">
        <f ca="1">IFERROR(__xludf.DUMMYFUNCTION("IMPORTRANGE(""https://docs.google.com/spreadsheets/d/1-uUXvimVhiU2U0bMN-xi2te0tS4X7DI2GLPnMjzl8cA/edit?usp=sharing"",""ลำพูน!J340"")"),6)</f>
        <v>6</v>
      </c>
      <c r="W27" s="87">
        <f t="shared" ca="1" si="22"/>
        <v>100</v>
      </c>
      <c r="X27" s="86">
        <f ca="1">IFERROR(__xludf.DUMMYFUNCTION("IMPORTRANGE(""https://docs.google.com/spreadsheets/d/1-uUXvimVhiU2U0bMN-xi2te0tS4X7DI2GLPnMjzl8cA/edit?usp=sharing"",""ลำพูน!J341"")"),268)</f>
        <v>268</v>
      </c>
      <c r="Y27" s="86">
        <f ca="1">IFERROR(__xludf.DUMMYFUNCTION("IMPORTRANGE(""https://docs.google.com/spreadsheets/d/1-uUXvimVhiU2U0bMN-xi2te0tS4X7DI2GLPnMjzl8cA/edit?usp=sharing"",""ลำพูน!J342"")"),0)</f>
        <v>0</v>
      </c>
      <c r="Z27" s="86">
        <f ca="1">IFERROR(__xludf.DUMMYFUNCTION("IMPORTRANGE(""https://docs.google.com/spreadsheets/d/1-uUXvimVhiU2U0bMN-xi2te0tS4X7DI2GLPnMjzl8cA/edit?usp=sharing"",""ลำพูน!J343"")"),0)</f>
        <v>0</v>
      </c>
    </row>
    <row r="28" spans="1:26" ht="24" customHeight="1" x14ac:dyDescent="0.2">
      <c r="A28" s="78">
        <v>15</v>
      </c>
      <c r="B28" s="79" t="s">
        <v>50</v>
      </c>
      <c r="C28" s="80">
        <f t="shared" ca="1" si="0"/>
        <v>182000</v>
      </c>
      <c r="D28" s="81">
        <f t="shared" ca="1" si="28"/>
        <v>182000</v>
      </c>
      <c r="E28" s="82">
        <f ca="1">IFERROR(__xludf.DUMMYFUNCTION("IMPORTRANGE(""https://docs.google.com/spreadsheets/d/1MeEWN-I1oV_STSDYn1IFDPWt_1FKiwhDph83XaGc0o0/edit?usp=sharing"",""งบพรบ!EN28"")"),0)</f>
        <v>0</v>
      </c>
      <c r="F28" s="82">
        <f ca="1">IFERROR(__xludf.DUMMYFUNCTION("IMPORTRANGE(""https://docs.google.com/spreadsheets/d/1MeEWN-I1oV_STSDYn1IFDPWt_1FKiwhDph83XaGc0o0/edit?usp=sharing"",""งบพรบ!EO28"")"),182000)</f>
        <v>182000</v>
      </c>
      <c r="G28" s="82">
        <f ca="1">IFERROR(__xludf.DUMMYFUNCTION("IMPORTRANGE(""https://docs.google.com/spreadsheets/d/1MeEWN-I1oV_STSDYn1IFDPWt_1FKiwhDph83XaGc0o0/edit?usp=sharing"",""งบพรบ!EP28"")"),0)</f>
        <v>0</v>
      </c>
      <c r="H28" s="82">
        <f ca="1">IFERROR(__xludf.DUMMYFUNCTION("IMPORTRANGE(""https://docs.google.com/spreadsheets/d/1MeEWN-I1oV_STSDYn1IFDPWt_1FKiwhDph83XaGc0o0/edit?usp=sharing"",""งบพรบ!ER28"")"),91000)</f>
        <v>91000</v>
      </c>
      <c r="I28" s="82">
        <f ca="1">IFERROR(__xludf.DUMMYFUNCTION("IMPORTRANGE(""https://docs.google.com/spreadsheets/d/1MeEWN-I1oV_STSDYn1IFDPWt_1FKiwhDph83XaGc0o0/edit?usp=sharing"",""งบพรบ!ES28"")"),0)</f>
        <v>0</v>
      </c>
      <c r="J28" s="82">
        <f t="shared" ca="1" si="3"/>
        <v>45506.67</v>
      </c>
      <c r="K28" s="83">
        <f t="shared" ca="1" si="4"/>
        <v>25.003664835164834</v>
      </c>
      <c r="L28" s="82">
        <f ca="1">IFERROR(__xludf.DUMMYFUNCTION("IMPORTRANGE(""https://docs.google.com/spreadsheets/d/1MeEWN-I1oV_STSDYn1IFDPWt_1FKiwhDph83XaGc0o0/edit?usp=sharing"",""งบพรบ!ET28"")"),45506.67)</f>
        <v>45506.67</v>
      </c>
      <c r="M28" s="84">
        <f t="shared" ca="1" si="5"/>
        <v>25.003664835164834</v>
      </c>
      <c r="N28" s="84">
        <f t="shared" ca="1" si="6"/>
        <v>50.007329670329668</v>
      </c>
      <c r="O28" s="85">
        <f ca="1">IFERROR(__xludf.DUMMYFUNCTION("IMPORTRANGE(""https://docs.google.com/spreadsheets/d/1MeEWN-I1oV_STSDYn1IFDPWt_1FKiwhDph83XaGc0o0/edit?usp=sharing"",""งบพรบ!EU28"")"),0)</f>
        <v>0</v>
      </c>
      <c r="P28" s="85">
        <f t="shared" ca="1" si="24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IFERROR(__xludf.DUMMYFUNCTION("IMPORTRANGE(""https://docs.google.com/spreadsheets/d/17HrOaa5pBUI1onckFfumXB8xlg35qb2uBAFfF1D-Myo/edit?usp=sharing"",""สุโขทัย!I338"")"),5600)</f>
        <v>5600</v>
      </c>
      <c r="S28" s="86">
        <f ca="1">IFERROR(__xludf.DUMMYFUNCTION("IMPORTRANGE(""https://docs.google.com/spreadsheets/d/17HrOaa5pBUI1onckFfumXB8xlg35qb2uBAFfF1D-Myo/edit?usp=sharing"",""สุโขทัย!J338"")"),2990)</f>
        <v>2990</v>
      </c>
      <c r="T28" s="87">
        <f t="shared" ca="1" si="21"/>
        <v>53.392857142857146</v>
      </c>
      <c r="U28" s="86">
        <f ca="1">IFERROR(__xludf.DUMMYFUNCTION("IMPORTRANGE(""https://docs.google.com/spreadsheets/d/17HrOaa5pBUI1onckFfumXB8xlg35qb2uBAFfF1D-Myo/edit?usp=sharing"",""สุโขทัย!I340"")"),7)</f>
        <v>7</v>
      </c>
      <c r="V28" s="86">
        <f ca="1">IFERROR(__xludf.DUMMYFUNCTION("IMPORTRANGE(""https://docs.google.com/spreadsheets/d/17HrOaa5pBUI1onckFfumXB8xlg35qb2uBAFfF1D-Myo/edit?usp=sharing"",""สุโขทัย!J340"")"),4)</f>
        <v>4</v>
      </c>
      <c r="W28" s="87">
        <f t="shared" ca="1" si="22"/>
        <v>57.142857142857146</v>
      </c>
      <c r="X28" s="86">
        <f ca="1">IFERROR(__xludf.DUMMYFUNCTION("IMPORTRANGE(""https://docs.google.com/spreadsheets/d/17HrOaa5pBUI1onckFfumXB8xlg35qb2uBAFfF1D-Myo/edit?usp=sharing"",""สุโขทัย!J341"")"),118)</f>
        <v>118</v>
      </c>
      <c r="Y28" s="86">
        <f ca="1">IFERROR(__xludf.DUMMYFUNCTION("IMPORTRANGE(""https://docs.google.com/spreadsheets/d/17HrOaa5pBUI1onckFfumXB8xlg35qb2uBAFfF1D-Myo/edit?usp=sharing"",""สุโขทัย!J342"")"),5)</f>
        <v>5</v>
      </c>
      <c r="Z28" s="86">
        <f ca="1">IFERROR(__xludf.DUMMYFUNCTION("IMPORTRANGE(""https://docs.google.com/spreadsheets/d/17HrOaa5pBUI1onckFfumXB8xlg35qb2uBAFfF1D-Myo/edit?usp=sharing"",""สุโขทัย!J343"")"),0)</f>
        <v>0</v>
      </c>
    </row>
    <row r="29" spans="1:26" ht="24" customHeight="1" x14ac:dyDescent="0.2">
      <c r="A29" s="78">
        <v>16</v>
      </c>
      <c r="B29" s="79" t="s">
        <v>51</v>
      </c>
      <c r="C29" s="80">
        <f t="shared" ca="1" si="0"/>
        <v>175000</v>
      </c>
      <c r="D29" s="81">
        <f t="shared" ca="1" si="28"/>
        <v>175000</v>
      </c>
      <c r="E29" s="82">
        <f ca="1">IFERROR(__xludf.DUMMYFUNCTION("IMPORTRANGE(""https://docs.google.com/spreadsheets/d/1MeEWN-I1oV_STSDYn1IFDPWt_1FKiwhDph83XaGc0o0/edit?usp=sharing"",""งบพรบ!EN29"")"),0)</f>
        <v>0</v>
      </c>
      <c r="F29" s="82">
        <f ca="1">IFERROR(__xludf.DUMMYFUNCTION("IMPORTRANGE(""https://docs.google.com/spreadsheets/d/1MeEWN-I1oV_STSDYn1IFDPWt_1FKiwhDph83XaGc0o0/edit?usp=sharing"",""งบพรบ!EO29"")"),175000)</f>
        <v>175000</v>
      </c>
      <c r="G29" s="82">
        <f ca="1">IFERROR(__xludf.DUMMYFUNCTION("IMPORTRANGE(""https://docs.google.com/spreadsheets/d/1MeEWN-I1oV_STSDYn1IFDPWt_1FKiwhDph83XaGc0o0/edit?usp=sharing"",""งบพรบ!EP29"")"),0)</f>
        <v>0</v>
      </c>
      <c r="H29" s="82">
        <f ca="1">IFERROR(__xludf.DUMMYFUNCTION("IMPORTRANGE(""https://docs.google.com/spreadsheets/d/1MeEWN-I1oV_STSDYn1IFDPWt_1FKiwhDph83XaGc0o0/edit?usp=sharing"",""งบพรบ!ER29"")"),87500)</f>
        <v>87500</v>
      </c>
      <c r="I29" s="82">
        <f ca="1">IFERROR(__xludf.DUMMYFUNCTION("IMPORTRANGE(""https://docs.google.com/spreadsheets/d/1MeEWN-I1oV_STSDYn1IFDPWt_1FKiwhDph83XaGc0o0/edit?usp=sharing"",""งบพรบ!ES29"")"),0)</f>
        <v>0</v>
      </c>
      <c r="J29" s="82">
        <f t="shared" ca="1" si="3"/>
        <v>69426</v>
      </c>
      <c r="K29" s="83">
        <f t="shared" ca="1" si="4"/>
        <v>39.671999999999997</v>
      </c>
      <c r="L29" s="82">
        <f ca="1">IFERROR(__xludf.DUMMYFUNCTION("IMPORTRANGE(""https://docs.google.com/spreadsheets/d/1MeEWN-I1oV_STSDYn1IFDPWt_1FKiwhDph83XaGc0o0/edit?usp=sharing"",""งบพรบ!ET29"")"),69426)</f>
        <v>69426</v>
      </c>
      <c r="M29" s="84">
        <f t="shared" ca="1" si="5"/>
        <v>39.671999999999997</v>
      </c>
      <c r="N29" s="84">
        <f t="shared" ca="1" si="6"/>
        <v>79.343999999999994</v>
      </c>
      <c r="O29" s="85">
        <f ca="1">IFERROR(__xludf.DUMMYFUNCTION("IMPORTRANGE(""https://docs.google.com/spreadsheets/d/1MeEWN-I1oV_STSDYn1IFDPWt_1FKiwhDph83XaGc0o0/edit?usp=sharing"",""งบพรบ!EU29"")"),0)</f>
        <v>0</v>
      </c>
      <c r="P29" s="85">
        <f t="shared" ca="1" si="24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IFERROR(__xludf.DUMMYFUNCTION("IMPORTRANGE(""https://docs.google.com/spreadsheets/d/1ubs5cl16eYL9gHbdHTJtmtYb9MGzHBs7CAphn8kNCgM/edit?usp=sharing"",""อุตรดิตถ์!I338"")"),1800)</f>
        <v>1800</v>
      </c>
      <c r="S29" s="86">
        <f ca="1">IFERROR(__xludf.DUMMYFUNCTION("IMPORTRANGE(""https://docs.google.com/spreadsheets/d/1ubs5cl16eYL9gHbdHTJtmtYb9MGzHBs7CAphn8kNCgM/edit?usp=sharing"",""อุตรดิตถ์!J338"")"),1168)</f>
        <v>1168</v>
      </c>
      <c r="T29" s="87">
        <f t="shared" ca="1" si="21"/>
        <v>64.888888888888886</v>
      </c>
      <c r="U29" s="86">
        <f ca="1">IFERROR(__xludf.DUMMYFUNCTION("IMPORTRANGE(""https://docs.google.com/spreadsheets/d/1ubs5cl16eYL9gHbdHTJtmtYb9MGzHBs7CAphn8kNCgM/edit?usp=sharing"",""อุตรดิตถ์!I340"")"),6)</f>
        <v>6</v>
      </c>
      <c r="V29" s="86">
        <f ca="1">IFERROR(__xludf.DUMMYFUNCTION("IMPORTRANGE(""https://docs.google.com/spreadsheets/d/1ubs5cl16eYL9gHbdHTJtmtYb9MGzHBs7CAphn8kNCgM/edit?usp=sharing"",""อุตรดิตถ์!J340"")"),2)</f>
        <v>2</v>
      </c>
      <c r="W29" s="87">
        <f t="shared" ca="1" si="22"/>
        <v>33.333333333333336</v>
      </c>
      <c r="X29" s="86">
        <f ca="1">IFERROR(__xludf.DUMMYFUNCTION("IMPORTRANGE(""https://docs.google.com/spreadsheets/d/1ubs5cl16eYL9gHbdHTJtmtYb9MGzHBs7CAphn8kNCgM/edit?usp=sharing"",""อุตรดิตถ์!J341"")"),146)</f>
        <v>146</v>
      </c>
      <c r="Y29" s="86">
        <f ca="1">IFERROR(__xludf.DUMMYFUNCTION("IMPORTRANGE(""https://docs.google.com/spreadsheets/d/1ubs5cl16eYL9gHbdHTJtmtYb9MGzHBs7CAphn8kNCgM/edit?usp=sharing"",""อุตรดิตถ์!J342"")"),0)</f>
        <v>0</v>
      </c>
      <c r="Z29" s="86">
        <f ca="1">IFERROR(__xludf.DUMMYFUNCTION("IMPORTRANGE(""https://docs.google.com/spreadsheets/d/1ubs5cl16eYL9gHbdHTJtmtYb9MGzHBs7CAphn8kNCgM/edit?usp=sharing"",""อุตรดิตถ์!J343"")"),338)</f>
        <v>338</v>
      </c>
    </row>
    <row r="30" spans="1:26" ht="24" customHeight="1" x14ac:dyDescent="0.2">
      <c r="A30" s="89">
        <v>17</v>
      </c>
      <c r="B30" s="90" t="s">
        <v>52</v>
      </c>
      <c r="C30" s="91">
        <f t="shared" ca="1" si="0"/>
        <v>170000</v>
      </c>
      <c r="D30" s="92">
        <f t="shared" ca="1" si="28"/>
        <v>170000</v>
      </c>
      <c r="E30" s="93">
        <f ca="1">IFERROR(__xludf.DUMMYFUNCTION("IMPORTRANGE(""https://docs.google.com/spreadsheets/d/1MeEWN-I1oV_STSDYn1IFDPWt_1FKiwhDph83XaGc0o0/edit?usp=sharing"",""งบพรบ!EN30"")"),0)</f>
        <v>0</v>
      </c>
      <c r="F30" s="93">
        <f ca="1">IFERROR(__xludf.DUMMYFUNCTION("IMPORTRANGE(""https://docs.google.com/spreadsheets/d/1MeEWN-I1oV_STSDYn1IFDPWt_1FKiwhDph83XaGc0o0/edit?usp=sharing"",""งบพรบ!EO30"")"),170000)</f>
        <v>170000</v>
      </c>
      <c r="G30" s="93">
        <f ca="1">IFERROR(__xludf.DUMMYFUNCTION("IMPORTRANGE(""https://docs.google.com/spreadsheets/d/1MeEWN-I1oV_STSDYn1IFDPWt_1FKiwhDph83XaGc0o0/edit?usp=sharing"",""งบพรบ!EP30"")"),0)</f>
        <v>0</v>
      </c>
      <c r="H30" s="93">
        <f ca="1">IFERROR(__xludf.DUMMYFUNCTION("IMPORTRANGE(""https://docs.google.com/spreadsheets/d/1MeEWN-I1oV_STSDYn1IFDPWt_1FKiwhDph83XaGc0o0/edit?usp=sharing"",""งบพรบ!ER30"")"),85000)</f>
        <v>85000</v>
      </c>
      <c r="I30" s="93">
        <f ca="1">IFERROR(__xludf.DUMMYFUNCTION("IMPORTRANGE(""https://docs.google.com/spreadsheets/d/1MeEWN-I1oV_STSDYn1IFDPWt_1FKiwhDph83XaGc0o0/edit?usp=sharing"",""งบพรบ!ES30"")"),0)</f>
        <v>0</v>
      </c>
      <c r="J30" s="93">
        <f t="shared" ca="1" si="3"/>
        <v>46046</v>
      </c>
      <c r="K30" s="94">
        <f t="shared" ca="1" si="4"/>
        <v>27.085882352941177</v>
      </c>
      <c r="L30" s="93">
        <f ca="1">IFERROR(__xludf.DUMMYFUNCTION("IMPORTRANGE(""https://docs.google.com/spreadsheets/d/1MeEWN-I1oV_STSDYn1IFDPWt_1FKiwhDph83XaGc0o0/edit?usp=sharing"",""งบพรบ!ET30"")"),46046)</f>
        <v>46046</v>
      </c>
      <c r="M30" s="95">
        <f t="shared" ca="1" si="5"/>
        <v>27.085882352941177</v>
      </c>
      <c r="N30" s="95">
        <f t="shared" ca="1" si="6"/>
        <v>54.171764705882353</v>
      </c>
      <c r="O30" s="96">
        <f ca="1">IFERROR(__xludf.DUMMYFUNCTION("IMPORTRANGE(""https://docs.google.com/spreadsheets/d/1MeEWN-I1oV_STSDYn1IFDPWt_1FKiwhDph83XaGc0o0/edit?usp=sharing"",""งบพรบ!EU30"")"),0)</f>
        <v>0</v>
      </c>
      <c r="P30" s="96">
        <f t="shared" ca="1" si="24"/>
        <v>0</v>
      </c>
      <c r="Q30" s="95">
        <f t="shared" ca="1" si="8"/>
        <v>0</v>
      </c>
      <c r="R30" s="97">
        <f ca="1">IFERROR(__xludf.DUMMYFUNCTION("IMPORTRANGE(""https://docs.google.com/spreadsheets/d/1kII0BjS6CtVrBvI8IrytgPdxDrlyQDyigzMsohRtDMs/edit?usp=sharing"",""อุทัยธานี!I338"")"),2500)</f>
        <v>2500</v>
      </c>
      <c r="S30" s="97">
        <f ca="1">IFERROR(__xludf.DUMMYFUNCTION("IMPORTRANGE(""https://docs.google.com/spreadsheets/d/1kII0BjS6CtVrBvI8IrytgPdxDrlyQDyigzMsohRtDMs/edit?usp=sharing"",""อุทัยธานี!J338"")"),3819)</f>
        <v>3819</v>
      </c>
      <c r="T30" s="98">
        <f t="shared" ca="1" si="21"/>
        <v>152.76</v>
      </c>
      <c r="U30" s="97">
        <f ca="1">IFERROR(__xludf.DUMMYFUNCTION("IMPORTRANGE(""https://docs.google.com/spreadsheets/d/1kII0BjS6CtVrBvI8IrytgPdxDrlyQDyigzMsohRtDMs/edit?usp=sharing"",""อุทัยธานี!I340"")"),6)</f>
        <v>6</v>
      </c>
      <c r="V30" s="97">
        <f ca="1">IFERROR(__xludf.DUMMYFUNCTION("IMPORTRANGE(""https://docs.google.com/spreadsheets/d/1kII0BjS6CtVrBvI8IrytgPdxDrlyQDyigzMsohRtDMs/edit?usp=sharing"",""อุทัยธานี!J340"")"),2)</f>
        <v>2</v>
      </c>
      <c r="W30" s="98">
        <f t="shared" ca="1" si="22"/>
        <v>33.333333333333336</v>
      </c>
      <c r="X30" s="97">
        <f ca="1">IFERROR(__xludf.DUMMYFUNCTION("IMPORTRANGE(""https://docs.google.com/spreadsheets/d/1kII0BjS6CtVrBvI8IrytgPdxDrlyQDyigzMsohRtDMs/edit?usp=sharing"",""อุทัยธานี!J341"")"),258)</f>
        <v>258</v>
      </c>
      <c r="Y30" s="97">
        <f ca="1">IFERROR(__xludf.DUMMYFUNCTION("IMPORTRANGE(""https://docs.google.com/spreadsheets/d/1kII0BjS6CtVrBvI8IrytgPdxDrlyQDyigzMsohRtDMs/edit?usp=sharing"",""อุทัยธานี!J342"")"),0)</f>
        <v>0</v>
      </c>
      <c r="Z30" s="97">
        <f ca="1">IFERROR(__xludf.DUMMYFUNCTION("IMPORTRANGE(""https://docs.google.com/spreadsheets/d/1kII0BjS6CtVrBvI8IrytgPdxDrlyQDyigzMsohRtDMs/edit?usp=sharing"",""อุทัยธานี!J343"")"),0)</f>
        <v>0</v>
      </c>
    </row>
    <row r="31" spans="1:26" ht="21" customHeight="1" x14ac:dyDescent="0.2">
      <c r="A31" s="378" t="s">
        <v>53</v>
      </c>
      <c r="B31" s="379"/>
      <c r="C31" s="99">
        <f t="shared" ca="1" si="0"/>
        <v>4688800</v>
      </c>
      <c r="D31" s="62">
        <f t="shared" ref="D31:I31" ca="1" si="29">SUM(D32:D51)</f>
        <v>3838800</v>
      </c>
      <c r="E31" s="62">
        <f t="shared" ca="1" si="29"/>
        <v>262800</v>
      </c>
      <c r="F31" s="62">
        <f t="shared" ca="1" si="29"/>
        <v>3576000</v>
      </c>
      <c r="G31" s="62">
        <f t="shared" ca="1" si="29"/>
        <v>850000</v>
      </c>
      <c r="H31" s="62">
        <f t="shared" ca="1" si="29"/>
        <v>1985100</v>
      </c>
      <c r="I31" s="62">
        <f t="shared" ca="1" si="29"/>
        <v>850000</v>
      </c>
      <c r="J31" s="62">
        <f t="shared" ca="1" si="3"/>
        <v>1947236.0999999999</v>
      </c>
      <c r="K31" s="100">
        <f t="shared" ca="1" si="4"/>
        <v>41.529519279986353</v>
      </c>
      <c r="L31" s="62">
        <f ca="1">SUM(L32:L51)</f>
        <v>1207236.0999999999</v>
      </c>
      <c r="M31" s="101">
        <f t="shared" ca="1" si="5"/>
        <v>31.448267687819108</v>
      </c>
      <c r="N31" s="101">
        <f t="shared" ca="1" si="6"/>
        <v>60.814875824895466</v>
      </c>
      <c r="O31" s="102">
        <f ca="1">SUM(O32:O51)</f>
        <v>740000</v>
      </c>
      <c r="P31" s="102">
        <f t="shared" ca="1" si="24"/>
        <v>87.058823529411768</v>
      </c>
      <c r="Q31" s="101">
        <f t="shared" ca="1" si="8"/>
        <v>87.058823529411768</v>
      </c>
      <c r="R31" s="62">
        <f t="shared" ref="R31:S31" ca="1" si="30">SUM(R32:R51)</f>
        <v>85820</v>
      </c>
      <c r="S31" s="62">
        <f t="shared" ca="1" si="30"/>
        <v>45858</v>
      </c>
      <c r="T31" s="101">
        <f t="shared" ca="1" si="21"/>
        <v>53.435096714052669</v>
      </c>
      <c r="U31" s="62">
        <f t="shared" ref="U31:V31" ca="1" si="31">SUM(U32:U51)</f>
        <v>158</v>
      </c>
      <c r="V31" s="62">
        <f t="shared" ca="1" si="31"/>
        <v>61</v>
      </c>
      <c r="W31" s="101">
        <f t="shared" ca="1" si="22"/>
        <v>38.607594936708864</v>
      </c>
      <c r="X31" s="62">
        <f t="shared" ref="X31:Z31" ca="1" si="32">SUM(X32:X51)</f>
        <v>4434</v>
      </c>
      <c r="Y31" s="62">
        <f t="shared" ca="1" si="32"/>
        <v>9</v>
      </c>
      <c r="Z31" s="62">
        <f t="shared" ca="1" si="32"/>
        <v>407</v>
      </c>
    </row>
    <row r="32" spans="1:26" ht="21" customHeight="1" x14ac:dyDescent="0.2">
      <c r="A32" s="68">
        <v>1</v>
      </c>
      <c r="B32" s="69" t="s">
        <v>54</v>
      </c>
      <c r="C32" s="103">
        <f t="shared" ca="1" si="0"/>
        <v>174000</v>
      </c>
      <c r="D32" s="71">
        <f t="shared" ref="D32:D51" ca="1" si="33">+E32+F32</f>
        <v>174000</v>
      </c>
      <c r="E32" s="72">
        <f ca="1">IFERROR(__xludf.DUMMYFUNCTION("IMPORTRANGE(""https://docs.google.com/spreadsheets/d/1MeEWN-I1oV_STSDYn1IFDPWt_1FKiwhDph83XaGc0o0/edit?usp=sharing"",""งบพรบ!EN32"")"),0)</f>
        <v>0</v>
      </c>
      <c r="F32" s="72">
        <f ca="1">IFERROR(__xludf.DUMMYFUNCTION("IMPORTRANGE(""https://docs.google.com/spreadsheets/d/1MeEWN-I1oV_STSDYn1IFDPWt_1FKiwhDph83XaGc0o0/edit?usp=sharing"",""งบพรบ!EO32"")"),174000)</f>
        <v>174000</v>
      </c>
      <c r="G32" s="73">
        <f ca="1">IFERROR(__xludf.DUMMYFUNCTION("IMPORTRANGE(""https://docs.google.com/spreadsheets/d/1MeEWN-I1oV_STSDYn1IFDPWt_1FKiwhDph83XaGc0o0/edit?usp=sharing"",""งบพรบ!EP32"")"),0)</f>
        <v>0</v>
      </c>
      <c r="H32" s="73">
        <f ca="1">IFERROR(__xludf.DUMMYFUNCTION("IMPORTRANGE(""https://docs.google.com/spreadsheets/d/1MeEWN-I1oV_STSDYn1IFDPWt_1FKiwhDph83XaGc0o0/edit?usp=sharing"",""งบพรบ!ER32"")"),87000)</f>
        <v>87000</v>
      </c>
      <c r="I32" s="73">
        <f ca="1">IFERROR(__xludf.DUMMYFUNCTION("IMPORTRANGE(""https://docs.google.com/spreadsheets/d/1MeEWN-I1oV_STSDYn1IFDPWt_1FKiwhDph83XaGc0o0/edit?usp=sharing"",""งบพรบ!ES32"")"),0)</f>
        <v>0</v>
      </c>
      <c r="J32" s="73">
        <f t="shared" ca="1" si="3"/>
        <v>51532.74</v>
      </c>
      <c r="K32" s="74">
        <f t="shared" ca="1" si="4"/>
        <v>29.616517241379309</v>
      </c>
      <c r="L32" s="73">
        <f ca="1">IFERROR(__xludf.DUMMYFUNCTION("IMPORTRANGE(""https://docs.google.com/spreadsheets/d/1MeEWN-I1oV_STSDYn1IFDPWt_1FKiwhDph83XaGc0o0/edit?usp=sharing"",""งบพรบ!ET32"")"),51532.74)</f>
        <v>51532.74</v>
      </c>
      <c r="M32" s="75">
        <f t="shared" ca="1" si="5"/>
        <v>29.616517241379309</v>
      </c>
      <c r="N32" s="75">
        <f t="shared" ca="1" si="6"/>
        <v>59.233034482758619</v>
      </c>
      <c r="O32" s="76">
        <f ca="1">IFERROR(__xludf.DUMMYFUNCTION("IMPORTRANGE(""https://docs.google.com/spreadsheets/d/1MeEWN-I1oV_STSDYn1IFDPWt_1FKiwhDph83XaGc0o0/edit?usp=sharing"",""งบพรบ!EU32"")"),0)</f>
        <v>0</v>
      </c>
      <c r="P32" s="76">
        <f t="shared" ca="1" si="24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IFERROR(__xludf.DUMMYFUNCTION("IMPORTRANGE(""https://docs.google.com/spreadsheets/d/1fb2B9NLcpJgjIieIJvenUTNPn0TimZDUi0OtYeiSQ_s/edit?usp=sharing"",""กาฬสินธุ์!I338"")"),1800)</f>
        <v>1800</v>
      </c>
      <c r="S32" s="73">
        <f ca="1">IFERROR(__xludf.DUMMYFUNCTION("IMPORTRANGE(""https://docs.google.com/spreadsheets/d/1fb2B9NLcpJgjIieIJvenUTNPn0TimZDUi0OtYeiSQ_s/edit?usp=sharing"",""กาฬสินธุ์!J338"")"),1239)</f>
        <v>1239</v>
      </c>
      <c r="T32" s="77">
        <f t="shared" ca="1" si="21"/>
        <v>68.833333333333329</v>
      </c>
      <c r="U32" s="73">
        <f ca="1">IFERROR(__xludf.DUMMYFUNCTION("IMPORTRANGE(""https://docs.google.com/spreadsheets/d/1fb2B9NLcpJgjIieIJvenUTNPn0TimZDUi0OtYeiSQ_s/edit?usp=sharing"",""กาฬสินธุ์!I340"")"),8)</f>
        <v>8</v>
      </c>
      <c r="V32" s="73">
        <f ca="1">IFERROR(__xludf.DUMMYFUNCTION("IMPORTRANGE(""https://docs.google.com/spreadsheets/d/1fb2B9NLcpJgjIieIJvenUTNPn0TimZDUi0OtYeiSQ_s/edit?usp=sharing"",""กาฬสินธุ์!J340"")"),3)</f>
        <v>3</v>
      </c>
      <c r="W32" s="77">
        <f t="shared" ca="1" si="22"/>
        <v>37.5</v>
      </c>
      <c r="X32" s="73">
        <f ca="1">IFERROR(__xludf.DUMMYFUNCTION("IMPORTRANGE(""https://docs.google.com/spreadsheets/d/1fb2B9NLcpJgjIieIJvenUTNPn0TimZDUi0OtYeiSQ_s/edit?usp=sharing"",""กาฬสินธุ์!J341"")"),32)</f>
        <v>32</v>
      </c>
      <c r="Y32" s="73">
        <f ca="1">IFERROR(__xludf.DUMMYFUNCTION("IMPORTRANGE(""https://docs.google.com/spreadsheets/d/1fb2B9NLcpJgjIieIJvenUTNPn0TimZDUi0OtYeiSQ_s/edit?usp=sharing"",""กาฬสินธุ์!J342"")"),0)</f>
        <v>0</v>
      </c>
      <c r="Z32" s="73">
        <f ca="1">IFERROR(__xludf.DUMMYFUNCTION("IMPORTRANGE(""https://docs.google.com/spreadsheets/d/1fb2B9NLcpJgjIieIJvenUTNPn0TimZDUi0OtYeiSQ_s/edit?usp=sharing"",""กาฬสินธุ์!J343"")"),0)</f>
        <v>0</v>
      </c>
    </row>
    <row r="33" spans="1:26" ht="21" customHeight="1" x14ac:dyDescent="0.2">
      <c r="A33" s="78">
        <v>2</v>
      </c>
      <c r="B33" s="79" t="s">
        <v>55</v>
      </c>
      <c r="C33" s="80">
        <f t="shared" ca="1" si="0"/>
        <v>183000</v>
      </c>
      <c r="D33" s="81">
        <f t="shared" ca="1" si="33"/>
        <v>183000</v>
      </c>
      <c r="E33" s="82">
        <f ca="1">IFERROR(__xludf.DUMMYFUNCTION("IMPORTRANGE(""https://docs.google.com/spreadsheets/d/1MeEWN-I1oV_STSDYn1IFDPWt_1FKiwhDph83XaGc0o0/edit?usp=sharing"",""งบพรบ!EN33"")"),0)</f>
        <v>0</v>
      </c>
      <c r="F33" s="82">
        <f ca="1">IFERROR(__xludf.DUMMYFUNCTION("IMPORTRANGE(""https://docs.google.com/spreadsheets/d/1MeEWN-I1oV_STSDYn1IFDPWt_1FKiwhDph83XaGc0o0/edit?usp=sharing"",""งบพรบ!EO33"")"),183000)</f>
        <v>183000</v>
      </c>
      <c r="G33" s="82">
        <f ca="1">IFERROR(__xludf.DUMMYFUNCTION("IMPORTRANGE(""https://docs.google.com/spreadsheets/d/1MeEWN-I1oV_STSDYn1IFDPWt_1FKiwhDph83XaGc0o0/edit?usp=sharing"",""งบพรบ!EP33"")"),0)</f>
        <v>0</v>
      </c>
      <c r="H33" s="82">
        <f ca="1">IFERROR(__xludf.DUMMYFUNCTION("IMPORTRANGE(""https://docs.google.com/spreadsheets/d/1MeEWN-I1oV_STSDYn1IFDPWt_1FKiwhDph83XaGc0o0/edit?usp=sharing"",""งบพรบ!ER33"")"),91500)</f>
        <v>91500</v>
      </c>
      <c r="I33" s="82">
        <f ca="1">IFERROR(__xludf.DUMMYFUNCTION("IMPORTRANGE(""https://docs.google.com/spreadsheets/d/1MeEWN-I1oV_STSDYn1IFDPWt_1FKiwhDph83XaGc0o0/edit?usp=sharing"",""งบพรบ!ES33"")"),0)</f>
        <v>0</v>
      </c>
      <c r="J33" s="82">
        <f t="shared" ca="1" si="3"/>
        <v>35348</v>
      </c>
      <c r="K33" s="83">
        <f t="shared" ca="1" si="4"/>
        <v>19.315846994535519</v>
      </c>
      <c r="L33" s="82">
        <f ca="1">IFERROR(__xludf.DUMMYFUNCTION("IMPORTRANGE(""https://docs.google.com/spreadsheets/d/1MeEWN-I1oV_STSDYn1IFDPWt_1FKiwhDph83XaGc0o0/edit?usp=sharing"",""งบพรบ!ET33"")"),35348)</f>
        <v>35348</v>
      </c>
      <c r="M33" s="84">
        <f t="shared" ca="1" si="5"/>
        <v>19.315846994535519</v>
      </c>
      <c r="N33" s="84">
        <f t="shared" ca="1" si="6"/>
        <v>38.631693989071039</v>
      </c>
      <c r="O33" s="85">
        <f ca="1">IFERROR(__xludf.DUMMYFUNCTION("IMPORTRANGE(""https://docs.google.com/spreadsheets/d/1MeEWN-I1oV_STSDYn1IFDPWt_1FKiwhDph83XaGc0o0/edit?usp=sharing"",""งบพรบ!EU33"")"),0)</f>
        <v>0</v>
      </c>
      <c r="P33" s="85">
        <f t="shared" ca="1" si="24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IFERROR(__xludf.DUMMYFUNCTION("IMPORTRANGE(""https://docs.google.com/spreadsheets/d/1SaMnqrwRGmFYNR0MhpWmHuL5niYUd5E7vDq8X7whAlI/edit?usp=sharing"",""ขอนแก่น!I338"")"),4300)</f>
        <v>4300</v>
      </c>
      <c r="S33" s="86">
        <f ca="1">IFERROR(__xludf.DUMMYFUNCTION("IMPORTRANGE(""https://docs.google.com/spreadsheets/d/1SaMnqrwRGmFYNR0MhpWmHuL5niYUd5E7vDq8X7whAlI/edit?usp=sharing"",""ขอนแก่น!J338"")"),1818)</f>
        <v>1818</v>
      </c>
      <c r="T33" s="87">
        <f t="shared" ca="1" si="21"/>
        <v>42.279069767441861</v>
      </c>
      <c r="U33" s="86">
        <f ca="1">IFERROR(__xludf.DUMMYFUNCTION("IMPORTRANGE(""https://docs.google.com/spreadsheets/d/1SaMnqrwRGmFYNR0MhpWmHuL5niYUd5E7vDq8X7whAlI/edit?usp=sharing"",""ขอนแก่น!I340"")"),10)</f>
        <v>10</v>
      </c>
      <c r="V33" s="86">
        <f ca="1">IFERROR(__xludf.DUMMYFUNCTION("IMPORTRANGE(""https://docs.google.com/spreadsheets/d/1SaMnqrwRGmFYNR0MhpWmHuL5niYUd5E7vDq8X7whAlI/edit?usp=sharing"",""ขอนแก่น!J340"")"),5)</f>
        <v>5</v>
      </c>
      <c r="W33" s="87">
        <f t="shared" ca="1" si="22"/>
        <v>50</v>
      </c>
      <c r="X33" s="86">
        <f ca="1">IFERROR(__xludf.DUMMYFUNCTION("IMPORTRANGE(""https://docs.google.com/spreadsheets/d/1SaMnqrwRGmFYNR0MhpWmHuL5niYUd5E7vDq8X7whAlI/edit?usp=sharing"",""ขอนแก่น!J341"")"),178)</f>
        <v>178</v>
      </c>
      <c r="Y33" s="86">
        <f ca="1">IFERROR(__xludf.DUMMYFUNCTION("IMPORTRANGE(""https://docs.google.com/spreadsheets/d/1SaMnqrwRGmFYNR0MhpWmHuL5niYUd5E7vDq8X7whAlI/edit?usp=sharing"",""ขอนแก่น!J342"")"),0)</f>
        <v>0</v>
      </c>
      <c r="Z33" s="86">
        <f ca="1">IFERROR(__xludf.DUMMYFUNCTION("IMPORTRANGE(""https://docs.google.com/spreadsheets/d/1SaMnqrwRGmFYNR0MhpWmHuL5niYUd5E7vDq8X7whAlI/edit?usp=sharing"",""ขอนแก่น!J343"")"),0)</f>
        <v>0</v>
      </c>
    </row>
    <row r="34" spans="1:26" ht="21" customHeight="1" x14ac:dyDescent="0.2">
      <c r="A34" s="78">
        <v>3</v>
      </c>
      <c r="B34" s="79" t="s">
        <v>56</v>
      </c>
      <c r="C34" s="80">
        <f t="shared" ca="1" si="0"/>
        <v>183000</v>
      </c>
      <c r="D34" s="81">
        <f t="shared" ca="1" si="33"/>
        <v>183000</v>
      </c>
      <c r="E34" s="82">
        <f ca="1">IFERROR(__xludf.DUMMYFUNCTION("IMPORTRANGE(""https://docs.google.com/spreadsheets/d/1MeEWN-I1oV_STSDYn1IFDPWt_1FKiwhDph83XaGc0o0/edit?usp=sharing"",""งบพรบ!EN34"")"),0)</f>
        <v>0</v>
      </c>
      <c r="F34" s="82">
        <f ca="1">IFERROR(__xludf.DUMMYFUNCTION("IMPORTRANGE(""https://docs.google.com/spreadsheets/d/1MeEWN-I1oV_STSDYn1IFDPWt_1FKiwhDph83XaGc0o0/edit?usp=sharing"",""งบพรบ!EO34"")"),183000)</f>
        <v>183000</v>
      </c>
      <c r="G34" s="82">
        <f ca="1">IFERROR(__xludf.DUMMYFUNCTION("IMPORTRANGE(""https://docs.google.com/spreadsheets/d/1MeEWN-I1oV_STSDYn1IFDPWt_1FKiwhDph83XaGc0o0/edit?usp=sharing"",""งบพรบ!EP34"")"),0)</f>
        <v>0</v>
      </c>
      <c r="H34" s="82">
        <f ca="1">IFERROR(__xludf.DUMMYFUNCTION("IMPORTRANGE(""https://docs.google.com/spreadsheets/d/1MeEWN-I1oV_STSDYn1IFDPWt_1FKiwhDph83XaGc0o0/edit?usp=sharing"",""งบพรบ!ER34"")"),91500)</f>
        <v>91500</v>
      </c>
      <c r="I34" s="82">
        <f ca="1">IFERROR(__xludf.DUMMYFUNCTION("IMPORTRANGE(""https://docs.google.com/spreadsheets/d/1MeEWN-I1oV_STSDYn1IFDPWt_1FKiwhDph83XaGc0o0/edit?usp=sharing"",""งบพรบ!ES34"")"),0)</f>
        <v>0</v>
      </c>
      <c r="J34" s="82">
        <f t="shared" ca="1" si="3"/>
        <v>68434</v>
      </c>
      <c r="K34" s="83">
        <f t="shared" ca="1" si="4"/>
        <v>37.39562841530055</v>
      </c>
      <c r="L34" s="82">
        <f ca="1">IFERROR(__xludf.DUMMYFUNCTION("IMPORTRANGE(""https://docs.google.com/spreadsheets/d/1MeEWN-I1oV_STSDYn1IFDPWt_1FKiwhDph83XaGc0o0/edit?usp=sharing"",""งบพรบ!ET34"")"),68434)</f>
        <v>68434</v>
      </c>
      <c r="M34" s="84">
        <f t="shared" ca="1" si="5"/>
        <v>37.39562841530055</v>
      </c>
      <c r="N34" s="84">
        <f t="shared" ca="1" si="6"/>
        <v>74.7912568306011</v>
      </c>
      <c r="O34" s="85">
        <f ca="1">IFERROR(__xludf.DUMMYFUNCTION("IMPORTRANGE(""https://docs.google.com/spreadsheets/d/1MeEWN-I1oV_STSDYn1IFDPWt_1FKiwhDph83XaGc0o0/edit?usp=sharing"",""งบพรบ!EU34"")"),0)</f>
        <v>0</v>
      </c>
      <c r="P34" s="85">
        <f t="shared" ca="1" si="24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IFERROR(__xludf.DUMMYFUNCTION("IMPORTRANGE(""https://docs.google.com/spreadsheets/d/1xQzEtGHhTTgxHh6YUkKY1P4dRyjVhS74dGswLfAASA4/edit?usp=sharing"",""ชัยภูมิ!I338"")"),3400)</f>
        <v>3400</v>
      </c>
      <c r="S34" s="86">
        <f ca="1">IFERROR(__xludf.DUMMYFUNCTION("IMPORTRANGE(""https://docs.google.com/spreadsheets/d/1xQzEtGHhTTgxHh6YUkKY1P4dRyjVhS74dGswLfAASA4/edit?usp=sharing"",""ชัยภูมิ!J338"")"),2007)</f>
        <v>2007</v>
      </c>
      <c r="T34" s="87">
        <f t="shared" ca="1" si="21"/>
        <v>59.029411764705884</v>
      </c>
      <c r="U34" s="86">
        <f ca="1">IFERROR(__xludf.DUMMYFUNCTION("IMPORTRANGE(""https://docs.google.com/spreadsheets/d/1xQzEtGHhTTgxHh6YUkKY1P4dRyjVhS74dGswLfAASA4/edit?usp=sharing"",""ชัยภูมิ!I340"")"),10)</f>
        <v>10</v>
      </c>
      <c r="V34" s="86">
        <f ca="1">IFERROR(__xludf.DUMMYFUNCTION("IMPORTRANGE(""https://docs.google.com/spreadsheets/d/1xQzEtGHhTTgxHh6YUkKY1P4dRyjVhS74dGswLfAASA4/edit?usp=sharing"",""ชัยภูมิ!J340"")"),0)</f>
        <v>0</v>
      </c>
      <c r="W34" s="87">
        <f t="shared" ca="1" si="22"/>
        <v>0</v>
      </c>
      <c r="X34" s="86">
        <f ca="1">IFERROR(__xludf.DUMMYFUNCTION("IMPORTRANGE(""https://docs.google.com/spreadsheets/d/1xQzEtGHhTTgxHh6YUkKY1P4dRyjVhS74dGswLfAASA4/edit?usp=sharing"",""ชัยภูมิ!J341"")"),0)</f>
        <v>0</v>
      </c>
      <c r="Y34" s="86">
        <f ca="1">IFERROR(__xludf.DUMMYFUNCTION("IMPORTRANGE(""https://docs.google.com/spreadsheets/d/1xQzEtGHhTTgxHh6YUkKY1P4dRyjVhS74dGswLfAASA4/edit?usp=sharing"",""ชัยภูมิ!J342"")"),0)</f>
        <v>0</v>
      </c>
      <c r="Z34" s="86">
        <f ca="1">IFERROR(__xludf.DUMMYFUNCTION("IMPORTRANGE(""https://docs.google.com/spreadsheets/d/1xQzEtGHhTTgxHh6YUkKY1P4dRyjVhS74dGswLfAASA4/edit?usp=sharing"",""ชัยภูมิ!J343"")"),0)</f>
        <v>0</v>
      </c>
    </row>
    <row r="35" spans="1:26" ht="21" customHeight="1" x14ac:dyDescent="0.2">
      <c r="A35" s="78">
        <v>4</v>
      </c>
      <c r="B35" s="79" t="s">
        <v>57</v>
      </c>
      <c r="C35" s="80">
        <f t="shared" ca="1" si="0"/>
        <v>170000</v>
      </c>
      <c r="D35" s="81">
        <f t="shared" ca="1" si="33"/>
        <v>170000</v>
      </c>
      <c r="E35" s="82">
        <f ca="1">IFERROR(__xludf.DUMMYFUNCTION("IMPORTRANGE(""https://docs.google.com/spreadsheets/d/1MeEWN-I1oV_STSDYn1IFDPWt_1FKiwhDph83XaGc0o0/edit?usp=sharing"",""งบพรบ!EN35"")"),0)</f>
        <v>0</v>
      </c>
      <c r="F35" s="82">
        <f ca="1">IFERROR(__xludf.DUMMYFUNCTION("IMPORTRANGE(""https://docs.google.com/spreadsheets/d/1MeEWN-I1oV_STSDYn1IFDPWt_1FKiwhDph83XaGc0o0/edit?usp=sharing"",""งบพรบ!EO35"")"),170000)</f>
        <v>170000</v>
      </c>
      <c r="G35" s="82">
        <f ca="1">IFERROR(__xludf.DUMMYFUNCTION("IMPORTRANGE(""https://docs.google.com/spreadsheets/d/1MeEWN-I1oV_STSDYn1IFDPWt_1FKiwhDph83XaGc0o0/edit?usp=sharing"",""งบพรบ!EP35"")"),0)</f>
        <v>0</v>
      </c>
      <c r="H35" s="82">
        <f ca="1">IFERROR(__xludf.DUMMYFUNCTION("IMPORTRANGE(""https://docs.google.com/spreadsheets/d/1MeEWN-I1oV_STSDYn1IFDPWt_1FKiwhDph83XaGc0o0/edit?usp=sharing"",""งบพรบ!ER35"")"),85000)</f>
        <v>85000</v>
      </c>
      <c r="I35" s="82">
        <f ca="1">IFERROR(__xludf.DUMMYFUNCTION("IMPORTRANGE(""https://docs.google.com/spreadsheets/d/1MeEWN-I1oV_STSDYn1IFDPWt_1FKiwhDph83XaGc0o0/edit?usp=sharing"",""งบพรบ!ES35"")"),0)</f>
        <v>0</v>
      </c>
      <c r="J35" s="82">
        <f t="shared" ca="1" si="3"/>
        <v>40120</v>
      </c>
      <c r="K35" s="83">
        <f t="shared" ca="1" si="4"/>
        <v>23.6</v>
      </c>
      <c r="L35" s="82">
        <f ca="1">IFERROR(__xludf.DUMMYFUNCTION("IMPORTRANGE(""https://docs.google.com/spreadsheets/d/1MeEWN-I1oV_STSDYn1IFDPWt_1FKiwhDph83XaGc0o0/edit?usp=sharing"",""งบพรบ!ET35"")"),40120)</f>
        <v>40120</v>
      </c>
      <c r="M35" s="84">
        <f t="shared" ca="1" si="5"/>
        <v>23.6</v>
      </c>
      <c r="N35" s="84">
        <f t="shared" ca="1" si="6"/>
        <v>47.2</v>
      </c>
      <c r="O35" s="85">
        <f ca="1">IFERROR(__xludf.DUMMYFUNCTION("IMPORTRANGE(""https://docs.google.com/spreadsheets/d/1MeEWN-I1oV_STSDYn1IFDPWt_1FKiwhDph83XaGc0o0/edit?usp=sharing"",""งบพรบ!EU35"")"),0)</f>
        <v>0</v>
      </c>
      <c r="P35" s="85">
        <f t="shared" ca="1" si="24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IFERROR(__xludf.DUMMYFUNCTION("IMPORTRANGE(""https://docs.google.com/spreadsheets/d/1EXMBoBxU3OFbjT2TRpneM33qFjqDzrKmn9ydcflfI0o/edit?usp=sharing"",""นครพนม!I338"")"),1300)</f>
        <v>1300</v>
      </c>
      <c r="S35" s="86">
        <f ca="1">IFERROR(__xludf.DUMMYFUNCTION("IMPORTRANGE(""https://docs.google.com/spreadsheets/d/1EXMBoBxU3OFbjT2TRpneM33qFjqDzrKmn9ydcflfI0o/edit?usp=sharing"",""นครพนม!J338"")"),677)</f>
        <v>677</v>
      </c>
      <c r="T35" s="87">
        <f t="shared" ca="1" si="21"/>
        <v>52.07692307692308</v>
      </c>
      <c r="U35" s="86">
        <f ca="1">IFERROR(__xludf.DUMMYFUNCTION("IMPORTRANGE(""https://docs.google.com/spreadsheets/d/1EXMBoBxU3OFbjT2TRpneM33qFjqDzrKmn9ydcflfI0o/edit?usp=sharing"",""นครพนม!I340"")"),6)</f>
        <v>6</v>
      </c>
      <c r="V35" s="86">
        <f ca="1">IFERROR(__xludf.DUMMYFUNCTION("IMPORTRANGE(""https://docs.google.com/spreadsheets/d/1EXMBoBxU3OFbjT2TRpneM33qFjqDzrKmn9ydcflfI0o/edit?usp=sharing"",""นครพนม!J340"")"),0)</f>
        <v>0</v>
      </c>
      <c r="W35" s="87">
        <f t="shared" ca="1" si="22"/>
        <v>0</v>
      </c>
      <c r="X35" s="86">
        <f ca="1">IFERROR(__xludf.DUMMYFUNCTION("IMPORTRANGE(""https://docs.google.com/spreadsheets/d/1EXMBoBxU3OFbjT2TRpneM33qFjqDzrKmn9ydcflfI0o/edit?usp=sharing"",""นครพนม!J341"")"),0)</f>
        <v>0</v>
      </c>
      <c r="Y35" s="86">
        <f ca="1">IFERROR(__xludf.DUMMYFUNCTION("IMPORTRANGE(""https://docs.google.com/spreadsheets/d/1EXMBoBxU3OFbjT2TRpneM33qFjqDzrKmn9ydcflfI0o/edit?usp=sharing"",""นครพนม!J342"")"),0)</f>
        <v>0</v>
      </c>
      <c r="Z35" s="86">
        <f ca="1">IFERROR(__xludf.DUMMYFUNCTION("IMPORTRANGE(""https://docs.google.com/spreadsheets/d/1EXMBoBxU3OFbjT2TRpneM33qFjqDzrKmn9ydcflfI0o/edit?usp=sharing"",""นครพนม!J343"")"),0)</f>
        <v>0</v>
      </c>
    </row>
    <row r="36" spans="1:26" ht="21" customHeight="1" x14ac:dyDescent="0.2">
      <c r="A36" s="78">
        <v>5</v>
      </c>
      <c r="B36" s="79" t="s">
        <v>58</v>
      </c>
      <c r="C36" s="80">
        <f t="shared" ca="1" si="0"/>
        <v>198000</v>
      </c>
      <c r="D36" s="81">
        <f t="shared" ca="1" si="33"/>
        <v>198000</v>
      </c>
      <c r="E36" s="82">
        <f ca="1">IFERROR(__xludf.DUMMYFUNCTION("IMPORTRANGE(""https://docs.google.com/spreadsheets/d/1MeEWN-I1oV_STSDYn1IFDPWt_1FKiwhDph83XaGc0o0/edit?usp=sharing"",""งบพรบ!EN36"")"),0)</f>
        <v>0</v>
      </c>
      <c r="F36" s="82">
        <f ca="1">IFERROR(__xludf.DUMMYFUNCTION("IMPORTRANGE(""https://docs.google.com/spreadsheets/d/1MeEWN-I1oV_STSDYn1IFDPWt_1FKiwhDph83XaGc0o0/edit?usp=sharing"",""งบพรบ!EO36"")"),198000)</f>
        <v>198000</v>
      </c>
      <c r="G36" s="82">
        <f ca="1">IFERROR(__xludf.DUMMYFUNCTION("IMPORTRANGE(""https://docs.google.com/spreadsheets/d/1MeEWN-I1oV_STSDYn1IFDPWt_1FKiwhDph83XaGc0o0/edit?usp=sharing"",""งบพรบ!EP36"")"),0)</f>
        <v>0</v>
      </c>
      <c r="H36" s="82">
        <f ca="1">IFERROR(__xludf.DUMMYFUNCTION("IMPORTRANGE(""https://docs.google.com/spreadsheets/d/1MeEWN-I1oV_STSDYn1IFDPWt_1FKiwhDph83XaGc0o0/edit?usp=sharing"",""งบพรบ!ER36"")"),99000)</f>
        <v>99000</v>
      </c>
      <c r="I36" s="82">
        <f ca="1">IFERROR(__xludf.DUMMYFUNCTION("IMPORTRANGE(""https://docs.google.com/spreadsheets/d/1MeEWN-I1oV_STSDYn1IFDPWt_1FKiwhDph83XaGc0o0/edit?usp=sharing"",""งบพรบ!ES36"")"),0)</f>
        <v>0</v>
      </c>
      <c r="J36" s="82">
        <f t="shared" ca="1" si="3"/>
        <v>55912.67</v>
      </c>
      <c r="K36" s="83">
        <f t="shared" ca="1" si="4"/>
        <v>28.238722222222222</v>
      </c>
      <c r="L36" s="82">
        <f ca="1">IFERROR(__xludf.DUMMYFUNCTION("IMPORTRANGE(""https://docs.google.com/spreadsheets/d/1MeEWN-I1oV_STSDYn1IFDPWt_1FKiwhDph83XaGc0o0/edit?usp=sharing"",""งบพรบ!ET36"")"),55912.67)</f>
        <v>55912.67</v>
      </c>
      <c r="M36" s="84">
        <f t="shared" ca="1" si="5"/>
        <v>28.238722222222222</v>
      </c>
      <c r="N36" s="84">
        <f t="shared" ca="1" si="6"/>
        <v>56.477444444444444</v>
      </c>
      <c r="O36" s="85">
        <f ca="1">IFERROR(__xludf.DUMMYFUNCTION("IMPORTRANGE(""https://docs.google.com/spreadsheets/d/1MeEWN-I1oV_STSDYn1IFDPWt_1FKiwhDph83XaGc0o0/edit?usp=sharing"",""งบพรบ!EU36"")"),0)</f>
        <v>0</v>
      </c>
      <c r="P36" s="85">
        <f t="shared" ca="1" si="24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IFERROR(__xludf.DUMMYFUNCTION("IMPORTRANGE(""https://docs.google.com/spreadsheets/d/1bDQrolntRWtHumK8W-x-HXKntwxB9S3sF5aDeRS66Ko/edit?usp=sharing"",""นครราชสีมา!I338"")"),8620)</f>
        <v>8620</v>
      </c>
      <c r="S36" s="86">
        <f ca="1">IFERROR(__xludf.DUMMYFUNCTION("IMPORTRANGE(""https://docs.google.com/spreadsheets/d/1bDQrolntRWtHumK8W-x-HXKntwxB9S3sF5aDeRS66Ko/edit?usp=sharing"",""นครราชสีมา!J338"")"),3279)</f>
        <v>3279</v>
      </c>
      <c r="T36" s="87">
        <f t="shared" ca="1" si="21"/>
        <v>38.039443155452439</v>
      </c>
      <c r="U36" s="86">
        <f ca="1">IFERROR(__xludf.DUMMYFUNCTION("IMPORTRANGE(""https://docs.google.com/spreadsheets/d/1bDQrolntRWtHumK8W-x-HXKntwxB9S3sF5aDeRS66Ko/edit?usp=sharing"",""นครราชสีมา!I340"")"),15)</f>
        <v>15</v>
      </c>
      <c r="V36" s="86">
        <f ca="1">IFERROR(__xludf.DUMMYFUNCTION("IMPORTRANGE(""https://docs.google.com/spreadsheets/d/1bDQrolntRWtHumK8W-x-HXKntwxB9S3sF5aDeRS66Ko/edit?usp=sharing"",""นครราชสีมา!J340"")"),6)</f>
        <v>6</v>
      </c>
      <c r="W36" s="87">
        <f t="shared" ca="1" si="22"/>
        <v>40</v>
      </c>
      <c r="X36" s="86">
        <f ca="1">IFERROR(__xludf.DUMMYFUNCTION("IMPORTRANGE(""https://docs.google.com/spreadsheets/d/1bDQrolntRWtHumK8W-x-HXKntwxB9S3sF5aDeRS66Ko/edit?usp=sharing"",""นครราชสีมา!J341"")"),569)</f>
        <v>569</v>
      </c>
      <c r="Y36" s="86">
        <f ca="1">IFERROR(__xludf.DUMMYFUNCTION("IMPORTRANGE(""https://docs.google.com/spreadsheets/d/1bDQrolntRWtHumK8W-x-HXKntwxB9S3sF5aDeRS66Ko/edit?usp=sharing"",""นครราชสีมา!J342"")"),0)</f>
        <v>0</v>
      </c>
      <c r="Z36" s="86">
        <f ca="1">IFERROR(__xludf.DUMMYFUNCTION("IMPORTRANGE(""https://docs.google.com/spreadsheets/d/1bDQrolntRWtHumK8W-x-HXKntwxB9S3sF5aDeRS66Ko/edit?usp=sharing"",""นครราชสีมา!J343"")"),6)</f>
        <v>6</v>
      </c>
    </row>
    <row r="37" spans="1:26" ht="21" customHeight="1" x14ac:dyDescent="0.2">
      <c r="A37" s="78">
        <v>6</v>
      </c>
      <c r="B37" s="79" t="s">
        <v>59</v>
      </c>
      <c r="C37" s="80">
        <f t="shared" ca="1" si="0"/>
        <v>179000</v>
      </c>
      <c r="D37" s="81">
        <f t="shared" ca="1" si="33"/>
        <v>179000</v>
      </c>
      <c r="E37" s="82">
        <f ca="1">IFERROR(__xludf.DUMMYFUNCTION("IMPORTRANGE(""https://docs.google.com/spreadsheets/d/1MeEWN-I1oV_STSDYn1IFDPWt_1FKiwhDph83XaGc0o0/edit?usp=sharing"",""งบพรบ!EN37"")"),0)</f>
        <v>0</v>
      </c>
      <c r="F37" s="82">
        <f ca="1">IFERROR(__xludf.DUMMYFUNCTION("IMPORTRANGE(""https://docs.google.com/spreadsheets/d/1MeEWN-I1oV_STSDYn1IFDPWt_1FKiwhDph83XaGc0o0/edit?usp=sharing"",""งบพรบ!EO37"")"),179000)</f>
        <v>179000</v>
      </c>
      <c r="G37" s="82">
        <f ca="1">IFERROR(__xludf.DUMMYFUNCTION("IMPORTRANGE(""https://docs.google.com/spreadsheets/d/1MeEWN-I1oV_STSDYn1IFDPWt_1FKiwhDph83XaGc0o0/edit?usp=sharing"",""งบพรบ!EP37"")"),0)</f>
        <v>0</v>
      </c>
      <c r="H37" s="82">
        <f ca="1">IFERROR(__xludf.DUMMYFUNCTION("IMPORTRANGE(""https://docs.google.com/spreadsheets/d/1MeEWN-I1oV_STSDYn1IFDPWt_1FKiwhDph83XaGc0o0/edit?usp=sharing"",""งบพรบ!ER37"")"),89500)</f>
        <v>89500</v>
      </c>
      <c r="I37" s="82">
        <f ca="1">IFERROR(__xludf.DUMMYFUNCTION("IMPORTRANGE(""https://docs.google.com/spreadsheets/d/1MeEWN-I1oV_STSDYn1IFDPWt_1FKiwhDph83XaGc0o0/edit?usp=sharing"",""งบพรบ!ES37"")"),0)</f>
        <v>0</v>
      </c>
      <c r="J37" s="82">
        <f t="shared" ca="1" si="3"/>
        <v>48346</v>
      </c>
      <c r="K37" s="83">
        <f t="shared" ca="1" si="4"/>
        <v>27.008938547486032</v>
      </c>
      <c r="L37" s="82">
        <f ca="1">IFERROR(__xludf.DUMMYFUNCTION("IMPORTRANGE(""https://docs.google.com/spreadsheets/d/1MeEWN-I1oV_STSDYn1IFDPWt_1FKiwhDph83XaGc0o0/edit?usp=sharing"",""งบพรบ!ET37"")"),48346)</f>
        <v>48346</v>
      </c>
      <c r="M37" s="84">
        <f t="shared" ca="1" si="5"/>
        <v>27.008938547486032</v>
      </c>
      <c r="N37" s="84">
        <f t="shared" ca="1" si="6"/>
        <v>54.017877094972064</v>
      </c>
      <c r="O37" s="85">
        <f ca="1">IFERROR(__xludf.DUMMYFUNCTION("IMPORTRANGE(""https://docs.google.com/spreadsheets/d/1MeEWN-I1oV_STSDYn1IFDPWt_1FKiwhDph83XaGc0o0/edit?usp=sharing"",""งบพรบ!EU37"")"),0)</f>
        <v>0</v>
      </c>
      <c r="P37" s="85">
        <f t="shared" ca="1" si="24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IFERROR(__xludf.DUMMYFUNCTION("IMPORTRANGE(""https://docs.google.com/spreadsheets/d/1_MzZ-2gVPiCW-d2VcafoCmFJQTSrZ6SQyFcMqRRQQ2w/edit?usp=sharing"",""บึงกาฬ!I338"")"),3600)</f>
        <v>3600</v>
      </c>
      <c r="S37" s="86">
        <f ca="1">IFERROR(__xludf.DUMMYFUNCTION("IMPORTRANGE(""https://docs.google.com/spreadsheets/d/1_MzZ-2gVPiCW-d2VcafoCmFJQTSrZ6SQyFcMqRRQQ2w/edit?usp=sharing"",""บึงกาฬ!J338"")"),1118)</f>
        <v>1118</v>
      </c>
      <c r="T37" s="87">
        <f t="shared" ca="1" si="21"/>
        <v>31.055555555555557</v>
      </c>
      <c r="U37" s="86">
        <f ca="1">IFERROR(__xludf.DUMMYFUNCTION("IMPORTRANGE(""https://docs.google.com/spreadsheets/d/1_MzZ-2gVPiCW-d2VcafoCmFJQTSrZ6SQyFcMqRRQQ2w/edit?usp=sharing"",""บึงกาฬ!I340"")"),8)</f>
        <v>8</v>
      </c>
      <c r="V37" s="86">
        <f ca="1">IFERROR(__xludf.DUMMYFUNCTION("IMPORTRANGE(""https://docs.google.com/spreadsheets/d/1_MzZ-2gVPiCW-d2VcafoCmFJQTSrZ6SQyFcMqRRQQ2w/edit?usp=sharing"",""บึงกาฬ!J340"")"),1)</f>
        <v>1</v>
      </c>
      <c r="W37" s="87">
        <f t="shared" ca="1" si="22"/>
        <v>12.5</v>
      </c>
      <c r="X37" s="86">
        <f ca="1">IFERROR(__xludf.DUMMYFUNCTION("IMPORTRANGE(""https://docs.google.com/spreadsheets/d/1_MzZ-2gVPiCW-d2VcafoCmFJQTSrZ6SQyFcMqRRQQ2w/edit?usp=sharing"",""บึงกาฬ!J341"")"),39)</f>
        <v>39</v>
      </c>
      <c r="Y37" s="86">
        <f ca="1">IFERROR(__xludf.DUMMYFUNCTION("IMPORTRANGE(""https://docs.google.com/spreadsheets/d/1_MzZ-2gVPiCW-d2VcafoCmFJQTSrZ6SQyFcMqRRQQ2w/edit?usp=sharing"",""บึงกาฬ!J342"")"),0)</f>
        <v>0</v>
      </c>
      <c r="Z37" s="86">
        <f ca="1">IFERROR(__xludf.DUMMYFUNCTION("IMPORTRANGE(""https://docs.google.com/spreadsheets/d/1_MzZ-2gVPiCW-d2VcafoCmFJQTSrZ6SQyFcMqRRQQ2w/edit?usp=sharing"",""บึงกาฬ!J343"")"),0)</f>
        <v>0</v>
      </c>
    </row>
    <row r="38" spans="1:26" ht="21" customHeight="1" x14ac:dyDescent="0.2">
      <c r="A38" s="78">
        <v>7</v>
      </c>
      <c r="B38" s="79" t="s">
        <v>60</v>
      </c>
      <c r="C38" s="80">
        <f t="shared" ca="1" si="0"/>
        <v>355200</v>
      </c>
      <c r="D38" s="81">
        <f t="shared" ca="1" si="33"/>
        <v>355200</v>
      </c>
      <c r="E38" s="82">
        <f ca="1">IFERROR(__xludf.DUMMYFUNCTION("IMPORTRANGE(""https://docs.google.com/spreadsheets/d/1MeEWN-I1oV_STSDYn1IFDPWt_1FKiwhDph83XaGc0o0/edit?usp=sharing"",""งบพรบ!EN38"")"),175200)</f>
        <v>175200</v>
      </c>
      <c r="F38" s="82">
        <f ca="1">IFERROR(__xludf.DUMMYFUNCTION("IMPORTRANGE(""https://docs.google.com/spreadsheets/d/1MeEWN-I1oV_STSDYn1IFDPWt_1FKiwhDph83XaGc0o0/edit?usp=sharing"",""งบพรบ!EO38"")"),180000)</f>
        <v>180000</v>
      </c>
      <c r="G38" s="82">
        <f ca="1">IFERROR(__xludf.DUMMYFUNCTION("IMPORTRANGE(""https://docs.google.com/spreadsheets/d/1MeEWN-I1oV_STSDYn1IFDPWt_1FKiwhDph83XaGc0o0/edit?usp=sharing"",""งบพรบ!EP38"")"),0)</f>
        <v>0</v>
      </c>
      <c r="H38" s="82">
        <f ca="1">IFERROR(__xludf.DUMMYFUNCTION("IMPORTRANGE(""https://docs.google.com/spreadsheets/d/1MeEWN-I1oV_STSDYn1IFDPWt_1FKiwhDph83XaGc0o0/edit?usp=sharing"",""งบพรบ!ER38"")"),221400)</f>
        <v>221400</v>
      </c>
      <c r="I38" s="82">
        <f ca="1">IFERROR(__xludf.DUMMYFUNCTION("IMPORTRANGE(""https://docs.google.com/spreadsheets/d/1MeEWN-I1oV_STSDYn1IFDPWt_1FKiwhDph83XaGc0o0/edit?usp=sharing"",""งบพรบ!ES38"")"),0)</f>
        <v>0</v>
      </c>
      <c r="J38" s="82">
        <f t="shared" ca="1" si="3"/>
        <v>88949.07</v>
      </c>
      <c r="K38" s="83">
        <f t="shared" ca="1" si="4"/>
        <v>25.041967905405407</v>
      </c>
      <c r="L38" s="82">
        <f ca="1">IFERROR(__xludf.DUMMYFUNCTION("IMPORTRANGE(""https://docs.google.com/spreadsheets/d/1MeEWN-I1oV_STSDYn1IFDPWt_1FKiwhDph83XaGc0o0/edit?usp=sharing"",""งบพรบ!ET38"")"),88949.07)</f>
        <v>88949.07</v>
      </c>
      <c r="M38" s="84">
        <f t="shared" ca="1" si="5"/>
        <v>25.041967905405407</v>
      </c>
      <c r="N38" s="84">
        <f t="shared" ca="1" si="6"/>
        <v>40.17573170731707</v>
      </c>
      <c r="O38" s="85">
        <f ca="1">IFERROR(__xludf.DUMMYFUNCTION("IMPORTRANGE(""https://docs.google.com/spreadsheets/d/1MeEWN-I1oV_STSDYn1IFDPWt_1FKiwhDph83XaGc0o0/edit?usp=sharing"",""งบพรบ!EU38"")"),0)</f>
        <v>0</v>
      </c>
      <c r="P38" s="85">
        <f t="shared" ca="1" si="24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IFERROR(__xludf.DUMMYFUNCTION("IMPORTRANGE(""https://docs.google.com/spreadsheets/d/1B3lPpzOuaNwVItLwLEZYl_qEblfcx7dRnbRkAw0l-pE/edit?usp=sharing"",""บุรีรัมย์!I338"")"),6300)</f>
        <v>6300</v>
      </c>
      <c r="S38" s="86">
        <f ca="1">IFERROR(__xludf.DUMMYFUNCTION("IMPORTRANGE(""https://docs.google.com/spreadsheets/d/1B3lPpzOuaNwVItLwLEZYl_qEblfcx7dRnbRkAw0l-pE/edit?usp=sharing"",""บุรีรัมย์!J338"")"),3080)</f>
        <v>3080</v>
      </c>
      <c r="T38" s="87">
        <f t="shared" ca="1" si="21"/>
        <v>48.888888888888886</v>
      </c>
      <c r="U38" s="86">
        <f ca="1">IFERROR(__xludf.DUMMYFUNCTION("IMPORTRANGE(""https://docs.google.com/spreadsheets/d/1B3lPpzOuaNwVItLwLEZYl_qEblfcx7dRnbRkAw0l-pE/edit?usp=sharing"",""บุรีรัมย์!I340"")"),6)</f>
        <v>6</v>
      </c>
      <c r="V38" s="86">
        <f ca="1">IFERROR(__xludf.DUMMYFUNCTION("IMPORTRANGE(""https://docs.google.com/spreadsheets/d/1B3lPpzOuaNwVItLwLEZYl_qEblfcx7dRnbRkAw0l-pE/edit?usp=sharing"",""บุรีรัมย์!J340"")"),4)</f>
        <v>4</v>
      </c>
      <c r="W38" s="87">
        <f t="shared" ca="1" si="22"/>
        <v>66.666666666666671</v>
      </c>
      <c r="X38" s="86">
        <f ca="1">IFERROR(__xludf.DUMMYFUNCTION("IMPORTRANGE(""https://docs.google.com/spreadsheets/d/1B3lPpzOuaNwVItLwLEZYl_qEblfcx7dRnbRkAw0l-pE/edit?usp=sharing"",""บุรีรัมย์!J341"")"),226)</f>
        <v>226</v>
      </c>
      <c r="Y38" s="86">
        <f ca="1">IFERROR(__xludf.DUMMYFUNCTION("IMPORTRANGE(""https://docs.google.com/spreadsheets/d/1B3lPpzOuaNwVItLwLEZYl_qEblfcx7dRnbRkAw0l-pE/edit?usp=sharing"",""บุรีรัมย์!J342"")"),0)</f>
        <v>0</v>
      </c>
      <c r="Z38" s="86">
        <f ca="1">IFERROR(__xludf.DUMMYFUNCTION("IMPORTRANGE(""https://docs.google.com/spreadsheets/d/1B3lPpzOuaNwVItLwLEZYl_qEblfcx7dRnbRkAw0l-pE/edit?usp=sharing"",""บุรีรัมย์!J343"")"),1)</f>
        <v>1</v>
      </c>
    </row>
    <row r="39" spans="1:26" ht="21" customHeight="1" x14ac:dyDescent="0.2">
      <c r="A39" s="78">
        <v>8</v>
      </c>
      <c r="B39" s="79" t="s">
        <v>61</v>
      </c>
      <c r="C39" s="80">
        <f t="shared" ca="1" si="0"/>
        <v>161000</v>
      </c>
      <c r="D39" s="81">
        <f t="shared" ca="1" si="33"/>
        <v>161000</v>
      </c>
      <c r="E39" s="82">
        <f ca="1">IFERROR(__xludf.DUMMYFUNCTION("IMPORTRANGE(""https://docs.google.com/spreadsheets/d/1MeEWN-I1oV_STSDYn1IFDPWt_1FKiwhDph83XaGc0o0/edit?usp=sharing"",""งบพรบ!EN39"")"),0)</f>
        <v>0</v>
      </c>
      <c r="F39" s="82">
        <f ca="1">IFERROR(__xludf.DUMMYFUNCTION("IMPORTRANGE(""https://docs.google.com/spreadsheets/d/1MeEWN-I1oV_STSDYn1IFDPWt_1FKiwhDph83XaGc0o0/edit?usp=sharing"",""งบพรบ!EO39"")"),161000)</f>
        <v>161000</v>
      </c>
      <c r="G39" s="82">
        <f ca="1">IFERROR(__xludf.DUMMYFUNCTION("IMPORTRANGE(""https://docs.google.com/spreadsheets/d/1MeEWN-I1oV_STSDYn1IFDPWt_1FKiwhDph83XaGc0o0/edit?usp=sharing"",""งบพรบ!EP39"")"),0)</f>
        <v>0</v>
      </c>
      <c r="H39" s="82">
        <f ca="1">IFERROR(__xludf.DUMMYFUNCTION("IMPORTRANGE(""https://docs.google.com/spreadsheets/d/1MeEWN-I1oV_STSDYn1IFDPWt_1FKiwhDph83XaGc0o0/edit?usp=sharing"",""งบพรบ!ER39"")"),80500)</f>
        <v>80500</v>
      </c>
      <c r="I39" s="82">
        <f ca="1">IFERROR(__xludf.DUMMYFUNCTION("IMPORTRANGE(""https://docs.google.com/spreadsheets/d/1MeEWN-I1oV_STSDYn1IFDPWt_1FKiwhDph83XaGc0o0/edit?usp=sharing"",""งบพรบ!ES39"")"),0)</f>
        <v>0</v>
      </c>
      <c r="J39" s="82">
        <f t="shared" ca="1" si="3"/>
        <v>71319</v>
      </c>
      <c r="K39" s="83">
        <f t="shared" ca="1" si="4"/>
        <v>44.29751552795031</v>
      </c>
      <c r="L39" s="82">
        <f ca="1">IFERROR(__xludf.DUMMYFUNCTION("IMPORTRANGE(""https://docs.google.com/spreadsheets/d/1MeEWN-I1oV_STSDYn1IFDPWt_1FKiwhDph83XaGc0o0/edit?usp=sharing"",""งบพรบ!ET39"")"),71319)</f>
        <v>71319</v>
      </c>
      <c r="M39" s="84">
        <f t="shared" ca="1" si="5"/>
        <v>44.29751552795031</v>
      </c>
      <c r="N39" s="84">
        <f t="shared" ca="1" si="6"/>
        <v>88.59503105590062</v>
      </c>
      <c r="O39" s="85">
        <f ca="1">IFERROR(__xludf.DUMMYFUNCTION("IMPORTRANGE(""https://docs.google.com/spreadsheets/d/1MeEWN-I1oV_STSDYn1IFDPWt_1FKiwhDph83XaGc0o0/edit?usp=sharing"",""งบพรบ!EU39"")"),0)</f>
        <v>0</v>
      </c>
      <c r="P39" s="85">
        <f t="shared" ca="1" si="24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IFERROR(__xludf.DUMMYFUNCTION("IMPORTRANGE(""https://docs.google.com/spreadsheets/d/19GOkiOqnzYbevLYWrMk4qFOXe3rX14BkSA8X-mq-a40/edit?usp=sharing"",""มหาสารคาม!I338"")"),1000)</f>
        <v>1000</v>
      </c>
      <c r="S39" s="86">
        <f ca="1">IFERROR(__xludf.DUMMYFUNCTION("IMPORTRANGE(""https://docs.google.com/spreadsheets/d/19GOkiOqnzYbevLYWrMk4qFOXe3rX14BkSA8X-mq-a40/edit?usp=sharing"",""มหาสารคาม!J338"")"),515)</f>
        <v>515</v>
      </c>
      <c r="T39" s="87">
        <f t="shared" ca="1" si="21"/>
        <v>51.5</v>
      </c>
      <c r="U39" s="86">
        <f ca="1">IFERROR(__xludf.DUMMYFUNCTION("IMPORTRANGE(""https://docs.google.com/spreadsheets/d/19GOkiOqnzYbevLYWrMk4qFOXe3rX14BkSA8X-mq-a40/edit?usp=sharing"",""มหาสารคาม!I340"")"),4)</f>
        <v>4</v>
      </c>
      <c r="V39" s="86">
        <f ca="1">IFERROR(__xludf.DUMMYFUNCTION("IMPORTRANGE(""https://docs.google.com/spreadsheets/d/19GOkiOqnzYbevLYWrMk4qFOXe3rX14BkSA8X-mq-a40/edit?usp=sharing"",""มหาสารคาม!J340"")"),1)</f>
        <v>1</v>
      </c>
      <c r="W39" s="87">
        <f t="shared" ca="1" si="22"/>
        <v>25</v>
      </c>
      <c r="X39" s="86">
        <f ca="1">IFERROR(__xludf.DUMMYFUNCTION("IMPORTRANGE(""https://docs.google.com/spreadsheets/d/19GOkiOqnzYbevLYWrMk4qFOXe3rX14BkSA8X-mq-a40/edit?usp=sharing"",""มหาสารคาม!J341"")"),41)</f>
        <v>41</v>
      </c>
      <c r="Y39" s="86">
        <f ca="1">IFERROR(__xludf.DUMMYFUNCTION("IMPORTRANGE(""https://docs.google.com/spreadsheets/d/19GOkiOqnzYbevLYWrMk4qFOXe3rX14BkSA8X-mq-a40/edit?usp=sharing"",""มหาสารคาม!J342"")"),0)</f>
        <v>0</v>
      </c>
      <c r="Z39" s="86">
        <f ca="1">IFERROR(__xludf.DUMMYFUNCTION("IMPORTRANGE(""https://docs.google.com/spreadsheets/d/19GOkiOqnzYbevLYWrMk4qFOXe3rX14BkSA8X-mq-a40/edit?usp=sharing"",""มหาสารคาม!J343"")"),0)</f>
        <v>0</v>
      </c>
    </row>
    <row r="40" spans="1:26" ht="21" customHeight="1" x14ac:dyDescent="0.2">
      <c r="A40" s="78">
        <v>9</v>
      </c>
      <c r="B40" s="79" t="s">
        <v>62</v>
      </c>
      <c r="C40" s="80">
        <f t="shared" ca="1" si="0"/>
        <v>1020000</v>
      </c>
      <c r="D40" s="81">
        <f t="shared" ca="1" si="33"/>
        <v>170000</v>
      </c>
      <c r="E40" s="82">
        <f ca="1">IFERROR(__xludf.DUMMYFUNCTION("IMPORTRANGE(""https://docs.google.com/spreadsheets/d/1MeEWN-I1oV_STSDYn1IFDPWt_1FKiwhDph83XaGc0o0/edit?usp=sharing"",""งบพรบ!EN40"")"),0)</f>
        <v>0</v>
      </c>
      <c r="F40" s="82">
        <f ca="1">IFERROR(__xludf.DUMMYFUNCTION("IMPORTRANGE(""https://docs.google.com/spreadsheets/d/1MeEWN-I1oV_STSDYn1IFDPWt_1FKiwhDph83XaGc0o0/edit?usp=sharing"",""งบพรบ!EO40"")"),170000)</f>
        <v>170000</v>
      </c>
      <c r="G40" s="82">
        <f ca="1">IFERROR(__xludf.DUMMYFUNCTION("IMPORTRANGE(""https://docs.google.com/spreadsheets/d/1MeEWN-I1oV_STSDYn1IFDPWt_1FKiwhDph83XaGc0o0/edit?usp=sharing"",""งบพรบ!EP40"")"),850000)</f>
        <v>850000</v>
      </c>
      <c r="H40" s="82">
        <f ca="1">IFERROR(__xludf.DUMMYFUNCTION("IMPORTRANGE(""https://docs.google.com/spreadsheets/d/1MeEWN-I1oV_STSDYn1IFDPWt_1FKiwhDph83XaGc0o0/edit?usp=sharing"",""งบพรบ!ER40"")"),85000)</f>
        <v>85000</v>
      </c>
      <c r="I40" s="82">
        <f ca="1">IFERROR(__xludf.DUMMYFUNCTION("IMPORTRANGE(""https://docs.google.com/spreadsheets/d/1MeEWN-I1oV_STSDYn1IFDPWt_1FKiwhDph83XaGc0o0/edit?usp=sharing"",""งบพรบ!ES40"")"),850000)</f>
        <v>850000</v>
      </c>
      <c r="J40" s="82">
        <f t="shared" ca="1" si="3"/>
        <v>782797</v>
      </c>
      <c r="K40" s="83">
        <f t="shared" ca="1" si="4"/>
        <v>76.744803921568632</v>
      </c>
      <c r="L40" s="82">
        <f ca="1">IFERROR(__xludf.DUMMYFUNCTION("IMPORTRANGE(""https://docs.google.com/spreadsheets/d/1MeEWN-I1oV_STSDYn1IFDPWt_1FKiwhDph83XaGc0o0/edit?usp=sharing"",""งบพรบ!ET40"")"),42797)</f>
        <v>42797</v>
      </c>
      <c r="M40" s="84">
        <f t="shared" ca="1" si="5"/>
        <v>25.174705882352942</v>
      </c>
      <c r="N40" s="84">
        <f t="shared" ca="1" si="6"/>
        <v>50.349411764705884</v>
      </c>
      <c r="O40" s="85">
        <f ca="1">IFERROR(__xludf.DUMMYFUNCTION("IMPORTRANGE(""https://docs.google.com/spreadsheets/d/1MeEWN-I1oV_STSDYn1IFDPWt_1FKiwhDph83XaGc0o0/edit?usp=sharing"",""งบพรบ!EU40"")"),740000)</f>
        <v>740000</v>
      </c>
      <c r="P40" s="85">
        <f t="shared" ca="1" si="24"/>
        <v>87.058823529411768</v>
      </c>
      <c r="Q40" s="84">
        <f t="shared" ca="1" si="8"/>
        <v>87.058823529411768</v>
      </c>
      <c r="R40" s="86">
        <f ca="1">IFERROR(__xludf.DUMMYFUNCTION("IMPORTRANGE(""https://docs.google.com/spreadsheets/d/1uMKqWwuNQ-TCKboGA3Bb1qXb5uj2-faACNUINCz8PN4/edit?usp=sharing"",""มุกดาหาร!I338"")"),2300)</f>
        <v>2300</v>
      </c>
      <c r="S40" s="86">
        <f ca="1">IFERROR(__xludf.DUMMYFUNCTION("IMPORTRANGE(""https://docs.google.com/spreadsheets/d/1uMKqWwuNQ-TCKboGA3Bb1qXb5uj2-faACNUINCz8PN4/edit?usp=sharing"",""มุกดาหาร!J338"")"),754)</f>
        <v>754</v>
      </c>
      <c r="T40" s="87">
        <f t="shared" ca="1" si="21"/>
        <v>32.782608695652172</v>
      </c>
      <c r="U40" s="86">
        <f ca="1">IFERROR(__xludf.DUMMYFUNCTION("IMPORTRANGE(""https://docs.google.com/spreadsheets/d/1uMKqWwuNQ-TCKboGA3Bb1qXb5uj2-faACNUINCz8PN4/edit?usp=sharing"",""มุกดาหาร!I340"")"),6)</f>
        <v>6</v>
      </c>
      <c r="V40" s="86">
        <f ca="1">IFERROR(__xludf.DUMMYFUNCTION("IMPORTRANGE(""https://docs.google.com/spreadsheets/d/1uMKqWwuNQ-TCKboGA3Bb1qXb5uj2-faACNUINCz8PN4/edit?usp=sharing"",""มุกดาหาร!J340"")"),2)</f>
        <v>2</v>
      </c>
      <c r="W40" s="87">
        <f t="shared" ca="1" si="22"/>
        <v>33.333333333333336</v>
      </c>
      <c r="X40" s="86">
        <f ca="1">IFERROR(__xludf.DUMMYFUNCTION("IMPORTRANGE(""https://docs.google.com/spreadsheets/d/1uMKqWwuNQ-TCKboGA3Bb1qXb5uj2-faACNUINCz8PN4/edit?usp=sharing"",""มุกดาหาร!J341"")"),282)</f>
        <v>282</v>
      </c>
      <c r="Y40" s="86">
        <f ca="1">IFERROR(__xludf.DUMMYFUNCTION("IMPORTRANGE(""https://docs.google.com/spreadsheets/d/1uMKqWwuNQ-TCKboGA3Bb1qXb5uj2-faACNUINCz8PN4/edit?usp=sharing"",""มุกดาหาร!J342"")"),0)</f>
        <v>0</v>
      </c>
      <c r="Z40" s="86">
        <f ca="1">IFERROR(__xludf.DUMMYFUNCTION("IMPORTRANGE(""https://docs.google.com/spreadsheets/d/1uMKqWwuNQ-TCKboGA3Bb1qXb5uj2-faACNUINCz8PN4/edit?usp=sharing"",""มุกดาหาร!J343"")"),0)</f>
        <v>0</v>
      </c>
    </row>
    <row r="41" spans="1:26" ht="21" customHeight="1" x14ac:dyDescent="0.2">
      <c r="A41" s="78">
        <v>10</v>
      </c>
      <c r="B41" s="79" t="s">
        <v>63</v>
      </c>
      <c r="C41" s="80">
        <f t="shared" ca="1" si="0"/>
        <v>179000</v>
      </c>
      <c r="D41" s="81">
        <f t="shared" ca="1" si="33"/>
        <v>179000</v>
      </c>
      <c r="E41" s="82">
        <f ca="1">IFERROR(__xludf.DUMMYFUNCTION("IMPORTRANGE(""https://docs.google.com/spreadsheets/d/1MeEWN-I1oV_STSDYn1IFDPWt_1FKiwhDph83XaGc0o0/edit?usp=sharing"",""งบพรบ!EN41"")"),0)</f>
        <v>0</v>
      </c>
      <c r="F41" s="82">
        <f ca="1">IFERROR(__xludf.DUMMYFUNCTION("IMPORTRANGE(""https://docs.google.com/spreadsheets/d/1MeEWN-I1oV_STSDYn1IFDPWt_1FKiwhDph83XaGc0o0/edit?usp=sharing"",""งบพรบ!EO41"")"),179000)</f>
        <v>179000</v>
      </c>
      <c r="G41" s="82">
        <f ca="1">IFERROR(__xludf.DUMMYFUNCTION("IMPORTRANGE(""https://docs.google.com/spreadsheets/d/1MeEWN-I1oV_STSDYn1IFDPWt_1FKiwhDph83XaGc0o0/edit?usp=sharing"",""งบพรบ!EP41"")"),0)</f>
        <v>0</v>
      </c>
      <c r="H41" s="82">
        <f ca="1">IFERROR(__xludf.DUMMYFUNCTION("IMPORTRANGE(""https://docs.google.com/spreadsheets/d/1MeEWN-I1oV_STSDYn1IFDPWt_1FKiwhDph83XaGc0o0/edit?usp=sharing"",""งบพรบ!ER41"")"),89500)</f>
        <v>89500</v>
      </c>
      <c r="I41" s="82">
        <f ca="1">IFERROR(__xludf.DUMMYFUNCTION("IMPORTRANGE(""https://docs.google.com/spreadsheets/d/1MeEWN-I1oV_STSDYn1IFDPWt_1FKiwhDph83XaGc0o0/edit?usp=sharing"",""งบพรบ!ES41"")"),0)</f>
        <v>0</v>
      </c>
      <c r="J41" s="82">
        <f t="shared" ca="1" si="3"/>
        <v>80580</v>
      </c>
      <c r="K41" s="83">
        <f t="shared" ca="1" si="4"/>
        <v>45.016759776536311</v>
      </c>
      <c r="L41" s="82">
        <f ca="1">IFERROR(__xludf.DUMMYFUNCTION("IMPORTRANGE(""https://docs.google.com/spreadsheets/d/1MeEWN-I1oV_STSDYn1IFDPWt_1FKiwhDph83XaGc0o0/edit?usp=sharing"",""งบพรบ!ET41"")"),80580)</f>
        <v>80580</v>
      </c>
      <c r="M41" s="84">
        <f t="shared" ca="1" si="5"/>
        <v>45.016759776536311</v>
      </c>
      <c r="N41" s="84">
        <f t="shared" ca="1" si="6"/>
        <v>90.033519553072622</v>
      </c>
      <c r="O41" s="85">
        <f ca="1">IFERROR(__xludf.DUMMYFUNCTION("IMPORTRANGE(""https://docs.google.com/spreadsheets/d/1MeEWN-I1oV_STSDYn1IFDPWt_1FKiwhDph83XaGc0o0/edit?usp=sharing"",""งบพรบ!EU41"")"),0)</f>
        <v>0</v>
      </c>
      <c r="P41" s="85">
        <f t="shared" ca="1" si="24"/>
        <v>0</v>
      </c>
      <c r="Q41" s="84">
        <f t="shared" ca="1" si="8"/>
        <v>0</v>
      </c>
      <c r="R41" s="86">
        <f ca="1">IFERROR(__xludf.DUMMYFUNCTION("IMPORTRANGE(""https://docs.google.com/spreadsheets/d/1oKaccgDdQABndOzGr688Dbfxb_V3YcF67VqEPBtdzsc/edit?usp=sharing"",""ยโสธร!I338"")"),3200)</f>
        <v>3200</v>
      </c>
      <c r="S41" s="86">
        <f ca="1">IFERROR(__xludf.DUMMYFUNCTION("IMPORTRANGE(""https://docs.google.com/spreadsheets/d/1oKaccgDdQABndOzGr688Dbfxb_V3YcF67VqEPBtdzsc/edit?usp=sharing"",""ยโสธร!J338"")"),1705)</f>
        <v>1705</v>
      </c>
      <c r="T41" s="87">
        <f t="shared" ca="1" si="21"/>
        <v>53.28125</v>
      </c>
      <c r="U41" s="86">
        <f ca="1">IFERROR(__xludf.DUMMYFUNCTION("IMPORTRANGE(""https://docs.google.com/spreadsheets/d/1oKaccgDdQABndOzGr688Dbfxb_V3YcF67VqEPBtdzsc/edit?usp=sharing"",""ยโสธร!I340"")"),8)</f>
        <v>8</v>
      </c>
      <c r="V41" s="86">
        <f ca="1">IFERROR(__xludf.DUMMYFUNCTION("IMPORTRANGE(""https://docs.google.com/spreadsheets/d/1oKaccgDdQABndOzGr688Dbfxb_V3YcF67VqEPBtdzsc/edit?usp=sharing"",""ยโสธร!J340"")"),10)</f>
        <v>10</v>
      </c>
      <c r="W41" s="87">
        <f t="shared" ca="1" si="22"/>
        <v>125</v>
      </c>
      <c r="X41" s="86">
        <f ca="1">IFERROR(__xludf.DUMMYFUNCTION("IMPORTRANGE(""https://docs.google.com/spreadsheets/d/1oKaccgDdQABndOzGr688Dbfxb_V3YcF67VqEPBtdzsc/edit?usp=sharing"",""ยโสธร!J341"")"),330)</f>
        <v>330</v>
      </c>
      <c r="Y41" s="86">
        <f ca="1">IFERROR(__xludf.DUMMYFUNCTION("IMPORTRANGE(""https://docs.google.com/spreadsheets/d/1oKaccgDdQABndOzGr688Dbfxb_V3YcF67VqEPBtdzsc/edit?usp=sharing"",""ยโสธร!J342"")"),0)</f>
        <v>0</v>
      </c>
      <c r="Z41" s="86">
        <f ca="1">IFERROR(__xludf.DUMMYFUNCTION("IMPORTRANGE(""https://docs.google.com/spreadsheets/d/1oKaccgDdQABndOzGr688Dbfxb_V3YcF67VqEPBtdzsc/edit?usp=sharing"",""ยโสธร!J343"")"),0)</f>
        <v>0</v>
      </c>
    </row>
    <row r="42" spans="1:26" ht="21" customHeight="1" x14ac:dyDescent="0.2">
      <c r="A42" s="78">
        <v>11</v>
      </c>
      <c r="B42" s="79" t="s">
        <v>64</v>
      </c>
      <c r="C42" s="80">
        <f t="shared" ca="1" si="0"/>
        <v>271600</v>
      </c>
      <c r="D42" s="81">
        <f t="shared" ca="1" si="33"/>
        <v>271600</v>
      </c>
      <c r="E42" s="82">
        <f ca="1">IFERROR(__xludf.DUMMYFUNCTION("IMPORTRANGE(""https://docs.google.com/spreadsheets/d/1MeEWN-I1oV_STSDYn1IFDPWt_1FKiwhDph83XaGc0o0/edit?usp=sharing"",""งบพรบ!EN42"")"),87600)</f>
        <v>87600</v>
      </c>
      <c r="F42" s="82">
        <f ca="1">IFERROR(__xludf.DUMMYFUNCTION("IMPORTRANGE(""https://docs.google.com/spreadsheets/d/1MeEWN-I1oV_STSDYn1IFDPWt_1FKiwhDph83XaGc0o0/edit?usp=sharing"",""งบพรบ!EO42"")"),184000)</f>
        <v>184000</v>
      </c>
      <c r="G42" s="82">
        <f ca="1">IFERROR(__xludf.DUMMYFUNCTION("IMPORTRANGE(""https://docs.google.com/spreadsheets/d/1MeEWN-I1oV_STSDYn1IFDPWt_1FKiwhDph83XaGc0o0/edit?usp=sharing"",""งบพรบ!EP42"")"),0)</f>
        <v>0</v>
      </c>
      <c r="H42" s="82">
        <f ca="1">IFERROR(__xludf.DUMMYFUNCTION("IMPORTRANGE(""https://docs.google.com/spreadsheets/d/1MeEWN-I1oV_STSDYn1IFDPWt_1FKiwhDph83XaGc0o0/edit?usp=sharing"",""งบพรบ!ER42"")"),157700)</f>
        <v>157700</v>
      </c>
      <c r="I42" s="82">
        <f ca="1">IFERROR(__xludf.DUMMYFUNCTION("IMPORTRANGE(""https://docs.google.com/spreadsheets/d/1MeEWN-I1oV_STSDYn1IFDPWt_1FKiwhDph83XaGc0o0/edit?usp=sharing"",""งบพรบ!ES42"")"),0)</f>
        <v>0</v>
      </c>
      <c r="J42" s="82">
        <f t="shared" ca="1" si="3"/>
        <v>95200</v>
      </c>
      <c r="K42" s="83">
        <f t="shared" ca="1" si="4"/>
        <v>35.051546391752581</v>
      </c>
      <c r="L42" s="82">
        <f ca="1">IFERROR(__xludf.DUMMYFUNCTION("IMPORTRANGE(""https://docs.google.com/spreadsheets/d/1MeEWN-I1oV_STSDYn1IFDPWt_1FKiwhDph83XaGc0o0/edit?usp=sharing"",""งบพรบ!ET42"")"),95200)</f>
        <v>95200</v>
      </c>
      <c r="M42" s="84">
        <f t="shared" ca="1" si="5"/>
        <v>35.051546391752581</v>
      </c>
      <c r="N42" s="84">
        <f t="shared" ca="1" si="6"/>
        <v>60.367786937222576</v>
      </c>
      <c r="O42" s="85">
        <f ca="1">IFERROR(__xludf.DUMMYFUNCTION("IMPORTRANGE(""https://docs.google.com/spreadsheets/d/1MeEWN-I1oV_STSDYn1IFDPWt_1FKiwhDph83XaGc0o0/edit?usp=sharing"",""งบพรบ!EU42"")"),0)</f>
        <v>0</v>
      </c>
      <c r="P42" s="85">
        <f t="shared" ca="1" si="24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IFERROR(__xludf.DUMMYFUNCTION("IMPORTRANGE(""https://docs.google.com/spreadsheets/d/1BRgc8xKpxZ0PX-gauieMVkV_IOxKSotf0yW8MabGprQ/edit?usp=sharing"",""ร้อยเอ็ด!I338"")"),5600)</f>
        <v>5600</v>
      </c>
      <c r="S42" s="86">
        <f ca="1">IFERROR(__xludf.DUMMYFUNCTION("IMPORTRANGE(""https://docs.google.com/spreadsheets/d/1BRgc8xKpxZ0PX-gauieMVkV_IOxKSotf0yW8MabGprQ/edit?usp=sharing"",""ร้อยเอ็ด!J338"")"),3512)</f>
        <v>3512</v>
      </c>
      <c r="T42" s="87">
        <f t="shared" ca="1" si="21"/>
        <v>62.714285714285715</v>
      </c>
      <c r="U42" s="86">
        <f ca="1">IFERROR(__xludf.DUMMYFUNCTION("IMPORTRANGE(""https://docs.google.com/spreadsheets/d/1BRgc8xKpxZ0PX-gauieMVkV_IOxKSotf0yW8MabGprQ/edit?usp=sharing"",""ร้อยเอ็ด!I340"")"),8)</f>
        <v>8</v>
      </c>
      <c r="V42" s="86">
        <f ca="1">IFERROR(__xludf.DUMMYFUNCTION("IMPORTRANGE(""https://docs.google.com/spreadsheets/d/1BRgc8xKpxZ0PX-gauieMVkV_IOxKSotf0yW8MabGprQ/edit?usp=sharing"",""ร้อยเอ็ด!J340"")"),3)</f>
        <v>3</v>
      </c>
      <c r="W42" s="87">
        <f t="shared" ca="1" si="22"/>
        <v>37.5</v>
      </c>
      <c r="X42" s="86">
        <f ca="1">IFERROR(__xludf.DUMMYFUNCTION("IMPORTRANGE(""https://docs.google.com/spreadsheets/d/1BRgc8xKpxZ0PX-gauieMVkV_IOxKSotf0yW8MabGprQ/edit?usp=sharing"",""ร้อยเอ็ด!J341"")"),53)</f>
        <v>53</v>
      </c>
      <c r="Y42" s="86">
        <f ca="1">IFERROR(__xludf.DUMMYFUNCTION("IMPORTRANGE(""https://docs.google.com/spreadsheets/d/1BRgc8xKpxZ0PX-gauieMVkV_IOxKSotf0yW8MabGprQ/edit?usp=sharing"",""ร้อยเอ็ด!J342"")"),0)</f>
        <v>0</v>
      </c>
      <c r="Z42" s="86">
        <f ca="1">IFERROR(__xludf.DUMMYFUNCTION("IMPORTRANGE(""https://docs.google.com/spreadsheets/d/1BRgc8xKpxZ0PX-gauieMVkV_IOxKSotf0yW8MabGprQ/edit?usp=sharing"",""ร้อยเอ็ด!J343"")"),0)</f>
        <v>0</v>
      </c>
    </row>
    <row r="43" spans="1:26" ht="21" customHeight="1" x14ac:dyDescent="0.2">
      <c r="A43" s="78">
        <v>12</v>
      </c>
      <c r="B43" s="79" t="s">
        <v>65</v>
      </c>
      <c r="C43" s="80">
        <f t="shared" ca="1" si="0"/>
        <v>177000</v>
      </c>
      <c r="D43" s="81">
        <f t="shared" ca="1" si="33"/>
        <v>177000</v>
      </c>
      <c r="E43" s="82">
        <f ca="1">IFERROR(__xludf.DUMMYFUNCTION("IMPORTRANGE(""https://docs.google.com/spreadsheets/d/1MeEWN-I1oV_STSDYn1IFDPWt_1FKiwhDph83XaGc0o0/edit?usp=sharing"",""งบพรบ!EN43"")"),0)</f>
        <v>0</v>
      </c>
      <c r="F43" s="82">
        <f ca="1">IFERROR(__xludf.DUMMYFUNCTION("IMPORTRANGE(""https://docs.google.com/spreadsheets/d/1MeEWN-I1oV_STSDYn1IFDPWt_1FKiwhDph83XaGc0o0/edit?usp=sharing"",""งบพรบ!EO43"")"),177000)</f>
        <v>177000</v>
      </c>
      <c r="G43" s="82">
        <f ca="1">IFERROR(__xludf.DUMMYFUNCTION("IMPORTRANGE(""https://docs.google.com/spreadsheets/d/1MeEWN-I1oV_STSDYn1IFDPWt_1FKiwhDph83XaGc0o0/edit?usp=sharing"",""งบพรบ!EP43"")"),0)</f>
        <v>0</v>
      </c>
      <c r="H43" s="82">
        <f ca="1">IFERROR(__xludf.DUMMYFUNCTION("IMPORTRANGE(""https://docs.google.com/spreadsheets/d/1MeEWN-I1oV_STSDYn1IFDPWt_1FKiwhDph83XaGc0o0/edit?usp=sharing"",""งบพรบ!ER43"")"),88500)</f>
        <v>88500</v>
      </c>
      <c r="I43" s="82">
        <f ca="1">IFERROR(__xludf.DUMMYFUNCTION("IMPORTRANGE(""https://docs.google.com/spreadsheets/d/1MeEWN-I1oV_STSDYn1IFDPWt_1FKiwhDph83XaGc0o0/edit?usp=sharing"",""งบพรบ!ES43"")"),0)</f>
        <v>0</v>
      </c>
      <c r="J43" s="82">
        <f t="shared" ca="1" si="3"/>
        <v>53380</v>
      </c>
      <c r="K43" s="83">
        <f t="shared" ca="1" si="4"/>
        <v>30.158192090395481</v>
      </c>
      <c r="L43" s="82">
        <f ca="1">IFERROR(__xludf.DUMMYFUNCTION("IMPORTRANGE(""https://docs.google.com/spreadsheets/d/1MeEWN-I1oV_STSDYn1IFDPWt_1FKiwhDph83XaGc0o0/edit?usp=sharing"",""งบพรบ!ET43"")"),53380)</f>
        <v>53380</v>
      </c>
      <c r="M43" s="84">
        <f t="shared" ca="1" si="5"/>
        <v>30.158192090395481</v>
      </c>
      <c r="N43" s="84">
        <f t="shared" ca="1" si="6"/>
        <v>60.316384180790962</v>
      </c>
      <c r="O43" s="85">
        <f ca="1">IFERROR(__xludf.DUMMYFUNCTION("IMPORTRANGE(""https://docs.google.com/spreadsheets/d/1MeEWN-I1oV_STSDYn1IFDPWt_1FKiwhDph83XaGc0o0/edit?usp=sharing"",""งบพรบ!EU43"")"),0)</f>
        <v>0</v>
      </c>
      <c r="P43" s="85">
        <f t="shared" ca="1" si="24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IFERROR(__xludf.DUMMYFUNCTION("IMPORTRANGE(""https://docs.google.com/spreadsheets/d/1IdolZc-dfdgMwAm_KZxYJl1sUOcIgnbGQzbWOlddedo/edit?usp=sharing"",""เลย!I338"")"),3800)</f>
        <v>3800</v>
      </c>
      <c r="S43" s="86">
        <f ca="1">IFERROR(__xludf.DUMMYFUNCTION("IMPORTRANGE(""https://docs.google.com/spreadsheets/d/1IdolZc-dfdgMwAm_KZxYJl1sUOcIgnbGQzbWOlddedo/edit?usp=sharing"",""เลย!J338"")"),1692)</f>
        <v>1692</v>
      </c>
      <c r="T43" s="87">
        <f t="shared" ca="1" si="21"/>
        <v>44.526315789473685</v>
      </c>
      <c r="U43" s="86">
        <f ca="1">IFERROR(__xludf.DUMMYFUNCTION("IMPORTRANGE(""https://docs.google.com/spreadsheets/d/1IdolZc-dfdgMwAm_KZxYJl1sUOcIgnbGQzbWOlddedo/edit?usp=sharing"",""เลย!I340"")"),7)</f>
        <v>7</v>
      </c>
      <c r="V43" s="86">
        <f ca="1">IFERROR(__xludf.DUMMYFUNCTION("IMPORTRANGE(""https://docs.google.com/spreadsheets/d/1IdolZc-dfdgMwAm_KZxYJl1sUOcIgnbGQzbWOlddedo/edit?usp=sharing"",""เลย!J340"")"),3)</f>
        <v>3</v>
      </c>
      <c r="W43" s="87">
        <f t="shared" ca="1" si="22"/>
        <v>42.857142857142854</v>
      </c>
      <c r="X43" s="86">
        <f ca="1">IFERROR(__xludf.DUMMYFUNCTION("IMPORTRANGE(""https://docs.google.com/spreadsheets/d/1IdolZc-dfdgMwAm_KZxYJl1sUOcIgnbGQzbWOlddedo/edit?usp=sharing"",""เลย!J341"")"),305)</f>
        <v>305</v>
      </c>
      <c r="Y43" s="86">
        <f ca="1">IFERROR(__xludf.DUMMYFUNCTION("IMPORTRANGE(""https://docs.google.com/spreadsheets/d/1IdolZc-dfdgMwAm_KZxYJl1sUOcIgnbGQzbWOlddedo/edit?usp=sharing"",""เลย!J342"")"),0)</f>
        <v>0</v>
      </c>
      <c r="Z43" s="86">
        <f ca="1">IFERROR(__xludf.DUMMYFUNCTION("IMPORTRANGE(""https://docs.google.com/spreadsheets/d/1IdolZc-dfdgMwAm_KZxYJl1sUOcIgnbGQzbWOlddedo/edit?usp=sharing"",""เลย!J343"")"),78)</f>
        <v>78</v>
      </c>
    </row>
    <row r="44" spans="1:26" ht="21" customHeight="1" x14ac:dyDescent="0.2">
      <c r="A44" s="78">
        <v>13</v>
      </c>
      <c r="B44" s="79" t="s">
        <v>66</v>
      </c>
      <c r="C44" s="80">
        <f t="shared" ca="1" si="0"/>
        <v>186000</v>
      </c>
      <c r="D44" s="81">
        <f t="shared" ca="1" si="33"/>
        <v>186000</v>
      </c>
      <c r="E44" s="82">
        <f ca="1">IFERROR(__xludf.DUMMYFUNCTION("IMPORTRANGE(""https://docs.google.com/spreadsheets/d/1MeEWN-I1oV_STSDYn1IFDPWt_1FKiwhDph83XaGc0o0/edit?usp=sharing"",""งบพรบ!EN44"")"),0)</f>
        <v>0</v>
      </c>
      <c r="F44" s="82">
        <f ca="1">IFERROR(__xludf.DUMMYFUNCTION("IMPORTRANGE(""https://docs.google.com/spreadsheets/d/1MeEWN-I1oV_STSDYn1IFDPWt_1FKiwhDph83XaGc0o0/edit?usp=sharing"",""งบพรบ!EO44"")"),186000)</f>
        <v>186000</v>
      </c>
      <c r="G44" s="82">
        <f ca="1">IFERROR(__xludf.DUMMYFUNCTION("IMPORTRANGE(""https://docs.google.com/spreadsheets/d/1MeEWN-I1oV_STSDYn1IFDPWt_1FKiwhDph83XaGc0o0/edit?usp=sharing"",""งบพรบ!EP44"")"),0)</f>
        <v>0</v>
      </c>
      <c r="H44" s="82">
        <f ca="1">IFERROR(__xludf.DUMMYFUNCTION("IMPORTRANGE(""https://docs.google.com/spreadsheets/d/1MeEWN-I1oV_STSDYn1IFDPWt_1FKiwhDph83XaGc0o0/edit?usp=sharing"",""งบพรบ!ER44"")"),93000)</f>
        <v>93000</v>
      </c>
      <c r="I44" s="82">
        <f ca="1">IFERROR(__xludf.DUMMYFUNCTION("IMPORTRANGE(""https://docs.google.com/spreadsheets/d/1MeEWN-I1oV_STSDYn1IFDPWt_1FKiwhDph83XaGc0o0/edit?usp=sharing"",""งบพรบ!ES44"")"),0)</f>
        <v>0</v>
      </c>
      <c r="J44" s="82">
        <f t="shared" ca="1" si="3"/>
        <v>49721.82</v>
      </c>
      <c r="K44" s="83">
        <f t="shared" ca="1" si="4"/>
        <v>26.73216129032258</v>
      </c>
      <c r="L44" s="82">
        <f ca="1">IFERROR(__xludf.DUMMYFUNCTION("IMPORTRANGE(""https://docs.google.com/spreadsheets/d/1MeEWN-I1oV_STSDYn1IFDPWt_1FKiwhDph83XaGc0o0/edit?usp=sharing"",""งบพรบ!ET44"")"),49721.82)</f>
        <v>49721.82</v>
      </c>
      <c r="M44" s="84">
        <f t="shared" ca="1" si="5"/>
        <v>26.73216129032258</v>
      </c>
      <c r="N44" s="84">
        <f t="shared" ca="1" si="6"/>
        <v>53.46432258064516</v>
      </c>
      <c r="O44" s="85">
        <f ca="1">IFERROR(__xludf.DUMMYFUNCTION("IMPORTRANGE(""https://docs.google.com/spreadsheets/d/1MeEWN-I1oV_STSDYn1IFDPWt_1FKiwhDph83XaGc0o0/edit?usp=sharing"",""งบพรบ!EU44"")"),0)</f>
        <v>0</v>
      </c>
      <c r="P44" s="85">
        <f t="shared" ca="1" si="24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IFERROR(__xludf.DUMMYFUNCTION("IMPORTRANGE(""https://docs.google.com/spreadsheets/d/1tZ0nmtGuIRCaGAMXHlQU8EpR9LOAJvyKfc4f7EFmE34/edit?usp=sharing"",""ศรีสะเกษ!I338"")"),6700)</f>
        <v>6700</v>
      </c>
      <c r="S44" s="86">
        <f ca="1">IFERROR(__xludf.DUMMYFUNCTION("IMPORTRANGE(""https://docs.google.com/spreadsheets/d/1tZ0nmtGuIRCaGAMXHlQU8EpR9LOAJvyKfc4f7EFmE34/edit?usp=sharing"",""ศรีสะเกษ!J338"")"),3570)</f>
        <v>3570</v>
      </c>
      <c r="T44" s="87">
        <f t="shared" ca="1" si="21"/>
        <v>53.28358208955224</v>
      </c>
      <c r="U44" s="86">
        <f ca="1">IFERROR(__xludf.DUMMYFUNCTION("IMPORTRANGE(""https://docs.google.com/spreadsheets/d/1tZ0nmtGuIRCaGAMXHlQU8EpR9LOAJvyKfc4f7EFmE34/edit?usp=sharing"",""ศรีสะเกษ!I340"")"),9)</f>
        <v>9</v>
      </c>
      <c r="V44" s="86">
        <f ca="1">IFERROR(__xludf.DUMMYFUNCTION("IMPORTRANGE(""https://docs.google.com/spreadsheets/d/1tZ0nmtGuIRCaGAMXHlQU8EpR9LOAJvyKfc4f7EFmE34/edit?usp=sharing"",""ศรีสะเกษ!J340"")"),4)</f>
        <v>4</v>
      </c>
      <c r="W44" s="87">
        <f t="shared" ca="1" si="22"/>
        <v>44.444444444444443</v>
      </c>
      <c r="X44" s="86">
        <f ca="1">IFERROR(__xludf.DUMMYFUNCTION("IMPORTRANGE(""https://docs.google.com/spreadsheets/d/1tZ0nmtGuIRCaGAMXHlQU8EpR9LOAJvyKfc4f7EFmE34/edit?usp=sharing"",""ศรีสะเกษ!J341"")"),449)</f>
        <v>449</v>
      </c>
      <c r="Y44" s="86">
        <f ca="1">IFERROR(__xludf.DUMMYFUNCTION("IMPORTRANGE(""https://docs.google.com/spreadsheets/d/1tZ0nmtGuIRCaGAMXHlQU8EpR9LOAJvyKfc4f7EFmE34/edit?usp=sharing"",""ศรีสะเกษ!J342"")"),1)</f>
        <v>1</v>
      </c>
      <c r="Z44" s="86">
        <f ca="1">IFERROR(__xludf.DUMMYFUNCTION("IMPORTRANGE(""https://docs.google.com/spreadsheets/d/1tZ0nmtGuIRCaGAMXHlQU8EpR9LOAJvyKfc4f7EFmE34/edit?usp=sharing"",""ศรีสะเกษ!J343"")"),13)</f>
        <v>13</v>
      </c>
    </row>
    <row r="45" spans="1:26" ht="21" customHeight="1" x14ac:dyDescent="0.2">
      <c r="A45" s="78">
        <v>14</v>
      </c>
      <c r="B45" s="79" t="s">
        <v>67</v>
      </c>
      <c r="C45" s="80">
        <f t="shared" ca="1" si="0"/>
        <v>176000</v>
      </c>
      <c r="D45" s="81">
        <f t="shared" ca="1" si="33"/>
        <v>176000</v>
      </c>
      <c r="E45" s="82">
        <f ca="1">IFERROR(__xludf.DUMMYFUNCTION("IMPORTRANGE(""https://docs.google.com/spreadsheets/d/1MeEWN-I1oV_STSDYn1IFDPWt_1FKiwhDph83XaGc0o0/edit?usp=sharing"",""งบพรบ!EN45"")"),0)</f>
        <v>0</v>
      </c>
      <c r="F45" s="82">
        <f ca="1">IFERROR(__xludf.DUMMYFUNCTION("IMPORTRANGE(""https://docs.google.com/spreadsheets/d/1MeEWN-I1oV_STSDYn1IFDPWt_1FKiwhDph83XaGc0o0/edit?usp=sharing"",""งบพรบ!EO45"")"),176000)</f>
        <v>176000</v>
      </c>
      <c r="G45" s="82">
        <f ca="1">IFERROR(__xludf.DUMMYFUNCTION("IMPORTRANGE(""https://docs.google.com/spreadsheets/d/1MeEWN-I1oV_STSDYn1IFDPWt_1FKiwhDph83XaGc0o0/edit?usp=sharing"",""งบพรบ!EP45"")"),0)</f>
        <v>0</v>
      </c>
      <c r="H45" s="82">
        <f ca="1">IFERROR(__xludf.DUMMYFUNCTION("IMPORTRANGE(""https://docs.google.com/spreadsheets/d/1MeEWN-I1oV_STSDYn1IFDPWt_1FKiwhDph83XaGc0o0/edit?usp=sharing"",""งบพรบ!ER45"")"),88000)</f>
        <v>88000</v>
      </c>
      <c r="I45" s="82">
        <f ca="1">IFERROR(__xludf.DUMMYFUNCTION("IMPORTRANGE(""https://docs.google.com/spreadsheets/d/1MeEWN-I1oV_STSDYn1IFDPWt_1FKiwhDph83XaGc0o0/edit?usp=sharing"",""งบพรบ!ES45"")"),0)</f>
        <v>0</v>
      </c>
      <c r="J45" s="82">
        <f t="shared" ca="1" si="3"/>
        <v>86200</v>
      </c>
      <c r="K45" s="83">
        <f t="shared" ca="1" si="4"/>
        <v>48.977272727272727</v>
      </c>
      <c r="L45" s="82">
        <f ca="1">IFERROR(__xludf.DUMMYFUNCTION("IMPORTRANGE(""https://docs.google.com/spreadsheets/d/1MeEWN-I1oV_STSDYn1IFDPWt_1FKiwhDph83XaGc0o0/edit?usp=sharing"",""งบพรบ!ET45"")"),86200)</f>
        <v>86200</v>
      </c>
      <c r="M45" s="84">
        <f t="shared" ca="1" si="5"/>
        <v>48.977272727272727</v>
      </c>
      <c r="N45" s="84">
        <f t="shared" ca="1" si="6"/>
        <v>97.954545454545453</v>
      </c>
      <c r="O45" s="85">
        <f ca="1">IFERROR(__xludf.DUMMYFUNCTION("IMPORTRANGE(""https://docs.google.com/spreadsheets/d/1MeEWN-I1oV_STSDYn1IFDPWt_1FKiwhDph83XaGc0o0/edit?usp=sharing"",""งบพรบ!EU45"")"),0)</f>
        <v>0</v>
      </c>
      <c r="P45" s="85">
        <f t="shared" ca="1" si="24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IFERROR(__xludf.DUMMYFUNCTION("IMPORTRANGE(""https://docs.google.com/spreadsheets/d/1QC8psz9w0f9IVE9Xuc2FT_btkaOzZbbUSgYObpBuetM/edit?usp=sharing"",""สกลนคร!I338"")"),3000)</f>
        <v>3000</v>
      </c>
      <c r="S45" s="86">
        <f ca="1">IFERROR(__xludf.DUMMYFUNCTION("IMPORTRANGE(""https://docs.google.com/spreadsheets/d/1QC8psz9w0f9IVE9Xuc2FT_btkaOzZbbUSgYObpBuetM/edit?usp=sharing"",""สกลนคร!J338"")"),1217)</f>
        <v>1217</v>
      </c>
      <c r="T45" s="87">
        <f t="shared" ca="1" si="21"/>
        <v>40.56666666666667</v>
      </c>
      <c r="U45" s="86">
        <f ca="1">IFERROR(__xludf.DUMMYFUNCTION("IMPORTRANGE(""https://docs.google.com/spreadsheets/d/1QC8psz9w0f9IVE9Xuc2FT_btkaOzZbbUSgYObpBuetM/edit?usp=sharing"",""สกลนคร!I340"")"),9)</f>
        <v>9</v>
      </c>
      <c r="V45" s="86">
        <f ca="1">IFERROR(__xludf.DUMMYFUNCTION("IMPORTRANGE(""https://docs.google.com/spreadsheets/d/1QC8psz9w0f9IVE9Xuc2FT_btkaOzZbbUSgYObpBuetM/edit?usp=sharing"",""สกลนคร!J340"")"),2)</f>
        <v>2</v>
      </c>
      <c r="W45" s="87">
        <f t="shared" ca="1" si="22"/>
        <v>22.222222222222221</v>
      </c>
      <c r="X45" s="86">
        <f ca="1">IFERROR(__xludf.DUMMYFUNCTION("IMPORTRANGE(""https://docs.google.com/spreadsheets/d/1QC8psz9w0f9IVE9Xuc2FT_btkaOzZbbUSgYObpBuetM/edit?usp=sharing"",""สกลนคร!J341"")"),351)</f>
        <v>351</v>
      </c>
      <c r="Y45" s="86">
        <f ca="1">IFERROR(__xludf.DUMMYFUNCTION("IMPORTRANGE(""https://docs.google.com/spreadsheets/d/1QC8psz9w0f9IVE9Xuc2FT_btkaOzZbbUSgYObpBuetM/edit?usp=sharing"",""สกลนคร!J342"")"),0)</f>
        <v>0</v>
      </c>
      <c r="Z45" s="86">
        <f ca="1">IFERROR(__xludf.DUMMYFUNCTION("IMPORTRANGE(""https://docs.google.com/spreadsheets/d/1QC8psz9w0f9IVE9Xuc2FT_btkaOzZbbUSgYObpBuetM/edit?usp=sharing"",""สกลนคร!J343"")"),0)</f>
        <v>0</v>
      </c>
    </row>
    <row r="46" spans="1:26" ht="21" customHeight="1" x14ac:dyDescent="0.2">
      <c r="A46" s="78">
        <v>15</v>
      </c>
      <c r="B46" s="79" t="s">
        <v>68</v>
      </c>
      <c r="C46" s="80">
        <f t="shared" ca="1" si="0"/>
        <v>178000</v>
      </c>
      <c r="D46" s="81">
        <f t="shared" ca="1" si="33"/>
        <v>178000</v>
      </c>
      <c r="E46" s="82">
        <f ca="1">IFERROR(__xludf.DUMMYFUNCTION("IMPORTRANGE(""https://docs.google.com/spreadsheets/d/1MeEWN-I1oV_STSDYn1IFDPWt_1FKiwhDph83XaGc0o0/edit?usp=sharing"",""งบพรบ!EN46"")"),0)</f>
        <v>0</v>
      </c>
      <c r="F46" s="82">
        <f ca="1">IFERROR(__xludf.DUMMYFUNCTION("IMPORTRANGE(""https://docs.google.com/spreadsheets/d/1MeEWN-I1oV_STSDYn1IFDPWt_1FKiwhDph83XaGc0o0/edit?usp=sharing"",""งบพรบ!EO46"")"),178000)</f>
        <v>178000</v>
      </c>
      <c r="G46" s="82">
        <f ca="1">IFERROR(__xludf.DUMMYFUNCTION("IMPORTRANGE(""https://docs.google.com/spreadsheets/d/1MeEWN-I1oV_STSDYn1IFDPWt_1FKiwhDph83XaGc0o0/edit?usp=sharing"",""งบพรบ!EP46"")"),0)</f>
        <v>0</v>
      </c>
      <c r="H46" s="82">
        <f ca="1">IFERROR(__xludf.DUMMYFUNCTION("IMPORTRANGE(""https://docs.google.com/spreadsheets/d/1MeEWN-I1oV_STSDYn1IFDPWt_1FKiwhDph83XaGc0o0/edit?usp=sharing"",""งบพรบ!ER46"")"),89000)</f>
        <v>89000</v>
      </c>
      <c r="I46" s="82">
        <f ca="1">IFERROR(__xludf.DUMMYFUNCTION("IMPORTRANGE(""https://docs.google.com/spreadsheets/d/1MeEWN-I1oV_STSDYn1IFDPWt_1FKiwhDph83XaGc0o0/edit?usp=sharing"",""งบพรบ!ES46"")"),0)</f>
        <v>0</v>
      </c>
      <c r="J46" s="82">
        <f t="shared" ca="1" si="3"/>
        <v>71396</v>
      </c>
      <c r="K46" s="83">
        <f t="shared" ca="1" si="4"/>
        <v>40.110112359550563</v>
      </c>
      <c r="L46" s="82">
        <f ca="1">IFERROR(__xludf.DUMMYFUNCTION("IMPORTRANGE(""https://docs.google.com/spreadsheets/d/1MeEWN-I1oV_STSDYn1IFDPWt_1FKiwhDph83XaGc0o0/edit?usp=sharing"",""งบพรบ!ET46"")"),71396)</f>
        <v>71396</v>
      </c>
      <c r="M46" s="84">
        <f t="shared" ca="1" si="5"/>
        <v>40.110112359550563</v>
      </c>
      <c r="N46" s="84">
        <f t="shared" ca="1" si="6"/>
        <v>80.220224719101125</v>
      </c>
      <c r="O46" s="85">
        <f ca="1">IFERROR(__xludf.DUMMYFUNCTION("IMPORTRANGE(""https://docs.google.com/spreadsheets/d/1MeEWN-I1oV_STSDYn1IFDPWt_1FKiwhDph83XaGc0o0/edit?usp=sharing"",""งบพรบ!EU46"")"),0)</f>
        <v>0</v>
      </c>
      <c r="P46" s="85">
        <f t="shared" ca="1" si="24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IFERROR(__xludf.DUMMYFUNCTION("IMPORTRANGE(""https://docs.google.com/spreadsheets/d/1wPdvRbu02d33MYVlbsCnyTiZpefEBs9NNktAnT1HZvw/edit?usp=sharing"",""สุรินทร์!I338"")"),5300)</f>
        <v>5300</v>
      </c>
      <c r="S46" s="86">
        <f ca="1">IFERROR(__xludf.DUMMYFUNCTION("IMPORTRANGE(""https://docs.google.com/spreadsheets/d/1wPdvRbu02d33MYVlbsCnyTiZpefEBs9NNktAnT1HZvw/edit?usp=sharing"",""สุรินทร์!J338"")"),1948)</f>
        <v>1948</v>
      </c>
      <c r="T46" s="87">
        <f t="shared" ca="1" si="21"/>
        <v>36.754716981132077</v>
      </c>
      <c r="U46" s="86">
        <f ca="1">IFERROR(__xludf.DUMMYFUNCTION("IMPORTRANGE(""https://docs.google.com/spreadsheets/d/1wPdvRbu02d33MYVlbsCnyTiZpefEBs9NNktAnT1HZvw/edit?usp=sharing"",""สุรินทร์!I340"")"),5)</f>
        <v>5</v>
      </c>
      <c r="V46" s="86">
        <f ca="1">IFERROR(__xludf.DUMMYFUNCTION("IMPORTRANGE(""https://docs.google.com/spreadsheets/d/1wPdvRbu02d33MYVlbsCnyTiZpefEBs9NNktAnT1HZvw/edit?usp=sharing"",""สุรินทร์!J340"")"),0)</f>
        <v>0</v>
      </c>
      <c r="W46" s="87">
        <f t="shared" ca="1" si="22"/>
        <v>0</v>
      </c>
      <c r="X46" s="86">
        <f ca="1">IFERROR(__xludf.DUMMYFUNCTION("IMPORTRANGE(""https://docs.google.com/spreadsheets/d/1wPdvRbu02d33MYVlbsCnyTiZpefEBs9NNktAnT1HZvw/edit?usp=sharing"",""สุรินทร์!J341"")"),0)</f>
        <v>0</v>
      </c>
      <c r="Y46" s="86">
        <f ca="1">IFERROR(__xludf.DUMMYFUNCTION("IMPORTRANGE(""https://docs.google.com/spreadsheets/d/1wPdvRbu02d33MYVlbsCnyTiZpefEBs9NNktAnT1HZvw/edit?usp=sharing"",""สุรินทร์!J342"")"),0)</f>
        <v>0</v>
      </c>
      <c r="Z46" s="86">
        <f ca="1">IFERROR(__xludf.DUMMYFUNCTION("IMPORTRANGE(""https://docs.google.com/spreadsheets/d/1wPdvRbu02d33MYVlbsCnyTiZpefEBs9NNktAnT1HZvw/edit?usp=sharing"",""สุรินทร์!J343"")"),29)</f>
        <v>29</v>
      </c>
    </row>
    <row r="47" spans="1:26" ht="21" customHeight="1" x14ac:dyDescent="0.2">
      <c r="A47" s="78">
        <v>16</v>
      </c>
      <c r="B47" s="79" t="s">
        <v>69</v>
      </c>
      <c r="C47" s="80">
        <f t="shared" ca="1" si="0"/>
        <v>177000</v>
      </c>
      <c r="D47" s="81">
        <f t="shared" ca="1" si="33"/>
        <v>177000</v>
      </c>
      <c r="E47" s="82">
        <f ca="1">IFERROR(__xludf.DUMMYFUNCTION("IMPORTRANGE(""https://docs.google.com/spreadsheets/d/1MeEWN-I1oV_STSDYn1IFDPWt_1FKiwhDph83XaGc0o0/edit?usp=sharing"",""งบพรบ!EN47"")"),0)</f>
        <v>0</v>
      </c>
      <c r="F47" s="82">
        <f ca="1">IFERROR(__xludf.DUMMYFUNCTION("IMPORTRANGE(""https://docs.google.com/spreadsheets/d/1MeEWN-I1oV_STSDYn1IFDPWt_1FKiwhDph83XaGc0o0/edit?usp=sharing"",""งบพรบ!EO47"")"),177000)</f>
        <v>177000</v>
      </c>
      <c r="G47" s="82">
        <f ca="1">IFERROR(__xludf.DUMMYFUNCTION("IMPORTRANGE(""https://docs.google.com/spreadsheets/d/1MeEWN-I1oV_STSDYn1IFDPWt_1FKiwhDph83XaGc0o0/edit?usp=sharing"",""งบพรบ!EP47"")"),0)</f>
        <v>0</v>
      </c>
      <c r="H47" s="82">
        <f ca="1">IFERROR(__xludf.DUMMYFUNCTION("IMPORTRANGE(""https://docs.google.com/spreadsheets/d/1MeEWN-I1oV_STSDYn1IFDPWt_1FKiwhDph83XaGc0o0/edit?usp=sharing"",""งบพรบ!ER47"")"),88500)</f>
        <v>88500</v>
      </c>
      <c r="I47" s="82">
        <f ca="1">IFERROR(__xludf.DUMMYFUNCTION("IMPORTRANGE(""https://docs.google.com/spreadsheets/d/1MeEWN-I1oV_STSDYn1IFDPWt_1FKiwhDph83XaGc0o0/edit?usp=sharing"",""งบพรบ!ES47"")"),0)</f>
        <v>0</v>
      </c>
      <c r="J47" s="82">
        <f t="shared" ca="1" si="3"/>
        <v>75355</v>
      </c>
      <c r="K47" s="83">
        <f t="shared" ca="1" si="4"/>
        <v>42.573446327683612</v>
      </c>
      <c r="L47" s="82">
        <f ca="1">IFERROR(__xludf.DUMMYFUNCTION("IMPORTRANGE(""https://docs.google.com/spreadsheets/d/1MeEWN-I1oV_STSDYn1IFDPWt_1FKiwhDph83XaGc0o0/edit?usp=sharing"",""งบพรบ!ET47"")"),75355)</f>
        <v>75355</v>
      </c>
      <c r="M47" s="84">
        <f t="shared" ca="1" si="5"/>
        <v>42.573446327683612</v>
      </c>
      <c r="N47" s="84">
        <f t="shared" ca="1" si="6"/>
        <v>85.146892655367225</v>
      </c>
      <c r="O47" s="85">
        <f ca="1">IFERROR(__xludf.DUMMYFUNCTION("IMPORTRANGE(""https://docs.google.com/spreadsheets/d/1MeEWN-I1oV_STSDYn1IFDPWt_1FKiwhDph83XaGc0o0/edit?usp=sharing"",""งบพรบ!EU47"")"),0)</f>
        <v>0</v>
      </c>
      <c r="P47" s="85">
        <f t="shared" ca="1" si="24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IFERROR(__xludf.DUMMYFUNCTION("IMPORTRANGE(""https://docs.google.com/spreadsheets/d/1GVExpf-Exi_2gmuqTYH28fseTB9MoKPXWcXCbSt_YrM/edit?usp=sharing"",""หนองคาย!I338"")"),3800)</f>
        <v>3800</v>
      </c>
      <c r="S47" s="86">
        <f ca="1">IFERROR(__xludf.DUMMYFUNCTION("IMPORTRANGE(""https://docs.google.com/spreadsheets/d/1GVExpf-Exi_2gmuqTYH28fseTB9MoKPXWcXCbSt_YrM/edit?usp=sharing"",""หนองคาย!J338"")"),1843)</f>
        <v>1843</v>
      </c>
      <c r="T47" s="87">
        <f t="shared" ca="1" si="21"/>
        <v>48.5</v>
      </c>
      <c r="U47" s="86">
        <f ca="1">IFERROR(__xludf.DUMMYFUNCTION("IMPORTRANGE(""https://docs.google.com/spreadsheets/d/1GVExpf-Exi_2gmuqTYH28fseTB9MoKPXWcXCbSt_YrM/edit?usp=sharing"",""หนองคาย!I340"")"),7)</f>
        <v>7</v>
      </c>
      <c r="V47" s="86">
        <f ca="1">IFERROR(__xludf.DUMMYFUNCTION("IMPORTRANGE(""https://docs.google.com/spreadsheets/d/1GVExpf-Exi_2gmuqTYH28fseTB9MoKPXWcXCbSt_YrM/edit?usp=sharing"",""หนองคาย!J340"")"),7)</f>
        <v>7</v>
      </c>
      <c r="W47" s="87">
        <f t="shared" ca="1" si="22"/>
        <v>100</v>
      </c>
      <c r="X47" s="86">
        <f ca="1">IFERROR(__xludf.DUMMYFUNCTION("IMPORTRANGE(""https://docs.google.com/spreadsheets/d/1GVExpf-Exi_2gmuqTYH28fseTB9MoKPXWcXCbSt_YrM/edit?usp=sharing"",""หนองคาย!J341"")"),830)</f>
        <v>830</v>
      </c>
      <c r="Y47" s="86">
        <f ca="1">IFERROR(__xludf.DUMMYFUNCTION("IMPORTRANGE(""https://docs.google.com/spreadsheets/d/1GVExpf-Exi_2gmuqTYH28fseTB9MoKPXWcXCbSt_YrM/edit?usp=sharing"",""หนองคาย!J342"")"),0)</f>
        <v>0</v>
      </c>
      <c r="Z47" s="86">
        <f ca="1">IFERROR(__xludf.DUMMYFUNCTION("IMPORTRANGE(""https://docs.google.com/spreadsheets/d/1GVExpf-Exi_2gmuqTYH28fseTB9MoKPXWcXCbSt_YrM/edit?usp=sharing"",""หนองคาย!J343"")"),0)</f>
        <v>0</v>
      </c>
    </row>
    <row r="48" spans="1:26" ht="21" customHeight="1" x14ac:dyDescent="0.2">
      <c r="A48" s="78">
        <v>17</v>
      </c>
      <c r="B48" s="79" t="s">
        <v>70</v>
      </c>
      <c r="C48" s="80">
        <f t="shared" ca="1" si="0"/>
        <v>175000</v>
      </c>
      <c r="D48" s="81">
        <f t="shared" ca="1" si="33"/>
        <v>175000</v>
      </c>
      <c r="E48" s="82">
        <f ca="1">IFERROR(__xludf.DUMMYFUNCTION("IMPORTRANGE(""https://docs.google.com/spreadsheets/d/1MeEWN-I1oV_STSDYn1IFDPWt_1FKiwhDph83XaGc0o0/edit?usp=sharing"",""งบพรบ!EN48"")"),0)</f>
        <v>0</v>
      </c>
      <c r="F48" s="82">
        <f ca="1">IFERROR(__xludf.DUMMYFUNCTION("IMPORTRANGE(""https://docs.google.com/spreadsheets/d/1MeEWN-I1oV_STSDYn1IFDPWt_1FKiwhDph83XaGc0o0/edit?usp=sharing"",""งบพรบ!EO48"")"),175000)</f>
        <v>175000</v>
      </c>
      <c r="G48" s="82">
        <f ca="1">IFERROR(__xludf.DUMMYFUNCTION("IMPORTRANGE(""https://docs.google.com/spreadsheets/d/1MeEWN-I1oV_STSDYn1IFDPWt_1FKiwhDph83XaGc0o0/edit?usp=sharing"",""งบพรบ!EP48"")"),0)</f>
        <v>0</v>
      </c>
      <c r="H48" s="82">
        <f ca="1">IFERROR(__xludf.DUMMYFUNCTION("IMPORTRANGE(""https://docs.google.com/spreadsheets/d/1MeEWN-I1oV_STSDYn1IFDPWt_1FKiwhDph83XaGc0o0/edit?usp=sharing"",""งบพรบ!ER48"")"),87500)</f>
        <v>87500</v>
      </c>
      <c r="I48" s="82">
        <f ca="1">IFERROR(__xludf.DUMMYFUNCTION("IMPORTRANGE(""https://docs.google.com/spreadsheets/d/1MeEWN-I1oV_STSDYn1IFDPWt_1FKiwhDph83XaGc0o0/edit?usp=sharing"",""งบพรบ!ES48"")"),0)</f>
        <v>0</v>
      </c>
      <c r="J48" s="82">
        <f t="shared" ca="1" si="3"/>
        <v>34000</v>
      </c>
      <c r="K48" s="83">
        <f t="shared" ca="1" si="4"/>
        <v>19.428571428571427</v>
      </c>
      <c r="L48" s="82">
        <f ca="1">IFERROR(__xludf.DUMMYFUNCTION("IMPORTRANGE(""https://docs.google.com/spreadsheets/d/1MeEWN-I1oV_STSDYn1IFDPWt_1FKiwhDph83XaGc0o0/edit?usp=sharing"",""งบพรบ!ET48"")"),34000)</f>
        <v>34000</v>
      </c>
      <c r="M48" s="84">
        <f t="shared" ca="1" si="5"/>
        <v>19.428571428571427</v>
      </c>
      <c r="N48" s="84">
        <f t="shared" ca="1" si="6"/>
        <v>38.857142857142854</v>
      </c>
      <c r="O48" s="85">
        <f ca="1">IFERROR(__xludf.DUMMYFUNCTION("IMPORTRANGE(""https://docs.google.com/spreadsheets/d/1MeEWN-I1oV_STSDYn1IFDPWt_1FKiwhDph83XaGc0o0/edit?usp=sharing"",""งบพรบ!EU48"")"),0)</f>
        <v>0</v>
      </c>
      <c r="P48" s="85">
        <f t="shared" ca="1" si="24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IFERROR(__xludf.DUMMYFUNCTION("IMPORTRANGE(""https://docs.google.com/spreadsheets/d/16UeMz0UgOB5BZcoxP75eYGcLFtGYRn9GoesD4OX9m5U/edit?usp=sharing"",""หนองบัวลำภู!I338"")"),4600)</f>
        <v>4600</v>
      </c>
      <c r="S48" s="86">
        <f ca="1">IFERROR(__xludf.DUMMYFUNCTION("IMPORTRANGE(""https://docs.google.com/spreadsheets/d/16UeMz0UgOB5BZcoxP75eYGcLFtGYRn9GoesD4OX9m5U/edit?usp=sharing"",""หนองบัวลำภู!J338"")"),2017)</f>
        <v>2017</v>
      </c>
      <c r="T48" s="87">
        <f t="shared" ca="1" si="21"/>
        <v>43.847826086956523</v>
      </c>
      <c r="U48" s="86">
        <f ca="1">IFERROR(__xludf.DUMMYFUNCTION("IMPORTRANGE(""https://docs.google.com/spreadsheets/d/16UeMz0UgOB5BZcoxP75eYGcLFtGYRn9GoesD4OX9m5U/edit?usp=sharing"",""หนองบัวลำภู!I340"")"),6)</f>
        <v>6</v>
      </c>
      <c r="V48" s="86">
        <f ca="1">IFERROR(__xludf.DUMMYFUNCTION("IMPORTRANGE(""https://docs.google.com/spreadsheets/d/16UeMz0UgOB5BZcoxP75eYGcLFtGYRn9GoesD4OX9m5U/edit?usp=sharing"",""หนองบัวลำภู!J340"")"),3)</f>
        <v>3</v>
      </c>
      <c r="W48" s="87">
        <f t="shared" ca="1" si="22"/>
        <v>50</v>
      </c>
      <c r="X48" s="86">
        <f ca="1">IFERROR(__xludf.DUMMYFUNCTION("IMPORTRANGE(""https://docs.google.com/spreadsheets/d/16UeMz0UgOB5BZcoxP75eYGcLFtGYRn9GoesD4OX9m5U/edit?usp=sharing"",""หนองบัวลำภู!J341"")"),277)</f>
        <v>277</v>
      </c>
      <c r="Y48" s="86">
        <f ca="1">IFERROR(__xludf.DUMMYFUNCTION("IMPORTRANGE(""https://docs.google.com/spreadsheets/d/16UeMz0UgOB5BZcoxP75eYGcLFtGYRn9GoesD4OX9m5U/edit?usp=sharing"",""หนองบัวลำภู!J342"")"),0)</f>
        <v>0</v>
      </c>
      <c r="Z48" s="86">
        <f ca="1">IFERROR(__xludf.DUMMYFUNCTION("IMPORTRANGE(""https://docs.google.com/spreadsheets/d/16UeMz0UgOB5BZcoxP75eYGcLFtGYRn9GoesD4OX9m5U/edit?usp=sharing"",""หนองบัวลำภู!J343"")"),0)</f>
        <v>0</v>
      </c>
    </row>
    <row r="49" spans="1:26" ht="21" customHeight="1" x14ac:dyDescent="0.2">
      <c r="A49" s="78">
        <v>18</v>
      </c>
      <c r="B49" s="79" t="s">
        <v>71</v>
      </c>
      <c r="C49" s="80">
        <f t="shared" ca="1" si="0"/>
        <v>166000</v>
      </c>
      <c r="D49" s="81">
        <f t="shared" ca="1" si="33"/>
        <v>166000</v>
      </c>
      <c r="E49" s="82">
        <f ca="1">IFERROR(__xludf.DUMMYFUNCTION("IMPORTRANGE(""https://docs.google.com/spreadsheets/d/1MeEWN-I1oV_STSDYn1IFDPWt_1FKiwhDph83XaGc0o0/edit?usp=sharing"",""งบพรบ!EN49"")"),0)</f>
        <v>0</v>
      </c>
      <c r="F49" s="82">
        <f ca="1">IFERROR(__xludf.DUMMYFUNCTION("IMPORTRANGE(""https://docs.google.com/spreadsheets/d/1MeEWN-I1oV_STSDYn1IFDPWt_1FKiwhDph83XaGc0o0/edit?usp=sharing"",""งบพรบ!EO49"")"),166000)</f>
        <v>166000</v>
      </c>
      <c r="G49" s="82">
        <f ca="1">IFERROR(__xludf.DUMMYFUNCTION("IMPORTRANGE(""https://docs.google.com/spreadsheets/d/1MeEWN-I1oV_STSDYn1IFDPWt_1FKiwhDph83XaGc0o0/edit?usp=sharing"",""งบพรบ!EP49"")"),0)</f>
        <v>0</v>
      </c>
      <c r="H49" s="82">
        <f ca="1">IFERROR(__xludf.DUMMYFUNCTION("IMPORTRANGE(""https://docs.google.com/spreadsheets/d/1MeEWN-I1oV_STSDYn1IFDPWt_1FKiwhDph83XaGc0o0/edit?usp=sharing"",""งบพรบ!ER49"")"),83000)</f>
        <v>83000</v>
      </c>
      <c r="I49" s="82">
        <f ca="1">IFERROR(__xludf.DUMMYFUNCTION("IMPORTRANGE(""https://docs.google.com/spreadsheets/d/1MeEWN-I1oV_STSDYn1IFDPWt_1FKiwhDph83XaGc0o0/edit?usp=sharing"",""งบพรบ!ES49"")"),0)</f>
        <v>0</v>
      </c>
      <c r="J49" s="82">
        <f t="shared" ca="1" si="3"/>
        <v>43360</v>
      </c>
      <c r="K49" s="83">
        <f t="shared" ca="1" si="4"/>
        <v>26.120481927710845</v>
      </c>
      <c r="L49" s="82">
        <f ca="1">IFERROR(__xludf.DUMMYFUNCTION("IMPORTRANGE(""https://docs.google.com/spreadsheets/d/1MeEWN-I1oV_STSDYn1IFDPWt_1FKiwhDph83XaGc0o0/edit?usp=sharing"",""งบพรบ!ET49"")"),43360)</f>
        <v>43360</v>
      </c>
      <c r="M49" s="84">
        <f t="shared" ca="1" si="5"/>
        <v>26.120481927710845</v>
      </c>
      <c r="N49" s="84">
        <f t="shared" ca="1" si="6"/>
        <v>52.24096385542169</v>
      </c>
      <c r="O49" s="85">
        <f ca="1">IFERROR(__xludf.DUMMYFUNCTION("IMPORTRANGE(""https://docs.google.com/spreadsheets/d/1MeEWN-I1oV_STSDYn1IFDPWt_1FKiwhDph83XaGc0o0/edit?usp=sharing"",""งบพรบ!EU49"")"),0)</f>
        <v>0</v>
      </c>
      <c r="P49" s="85">
        <f t="shared" ca="1" si="24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IFERROR(__xludf.DUMMYFUNCTION("IMPORTRANGE(""https://docs.google.com/spreadsheets/d/1uUP8Zo1-qaJLuIkRU0qlwLSE3DHkbdrrj2JGJiWBQZE/edit?usp=sharing"",""อำนาจเจริญ!I338"")"),1900)</f>
        <v>1900</v>
      </c>
      <c r="S49" s="86">
        <f ca="1">IFERROR(__xludf.DUMMYFUNCTION("IMPORTRANGE(""https://docs.google.com/spreadsheets/d/1uUP8Zo1-qaJLuIkRU0qlwLSE3DHkbdrrj2JGJiWBQZE/edit?usp=sharing"",""อำนาจเจริญ!J338"")"),752)</f>
        <v>752</v>
      </c>
      <c r="T49" s="87">
        <f t="shared" ca="1" si="21"/>
        <v>39.578947368421055</v>
      </c>
      <c r="U49" s="86">
        <f ca="1">IFERROR(__xludf.DUMMYFUNCTION("IMPORTRANGE(""https://docs.google.com/spreadsheets/d/1uUP8Zo1-qaJLuIkRU0qlwLSE3DHkbdrrj2JGJiWBQZE/edit?usp=sharing"",""อำนาจเจริญ!I340"")"),4)</f>
        <v>4</v>
      </c>
      <c r="V49" s="86">
        <f ca="1">IFERROR(__xludf.DUMMYFUNCTION("IMPORTRANGE(""https://docs.google.com/spreadsheets/d/1uUP8Zo1-qaJLuIkRU0qlwLSE3DHkbdrrj2JGJiWBQZE/edit?usp=sharing"",""อำนาจเจริญ!J340"")"),2)</f>
        <v>2</v>
      </c>
      <c r="W49" s="87">
        <f t="shared" ca="1" si="22"/>
        <v>50</v>
      </c>
      <c r="X49" s="86">
        <f ca="1">IFERROR(__xludf.DUMMYFUNCTION("IMPORTRANGE(""https://docs.google.com/spreadsheets/d/1uUP8Zo1-qaJLuIkRU0qlwLSE3DHkbdrrj2JGJiWBQZE/edit?usp=sharing"",""อำนาจเจริญ!J341"")"),193)</f>
        <v>193</v>
      </c>
      <c r="Y49" s="86">
        <f ca="1">IFERROR(__xludf.DUMMYFUNCTION("IMPORTRANGE(""https://docs.google.com/spreadsheets/d/1uUP8Zo1-qaJLuIkRU0qlwLSE3DHkbdrrj2JGJiWBQZE/edit?usp=sharing"",""อำนาจเจริญ!J342"")"),0)</f>
        <v>0</v>
      </c>
      <c r="Z49" s="86">
        <f ca="1">IFERROR(__xludf.DUMMYFUNCTION("IMPORTRANGE(""https://docs.google.com/spreadsheets/d/1uUP8Zo1-qaJLuIkRU0qlwLSE3DHkbdrrj2JGJiWBQZE/edit?usp=sharing"",""อำนาจเจริญ!J343"")"),51)</f>
        <v>51</v>
      </c>
    </row>
    <row r="50" spans="1:26" ht="21" customHeight="1" x14ac:dyDescent="0.2">
      <c r="A50" s="78">
        <v>19</v>
      </c>
      <c r="B50" s="79" t="s">
        <v>72</v>
      </c>
      <c r="C50" s="80">
        <f t="shared" ca="1" si="0"/>
        <v>192000</v>
      </c>
      <c r="D50" s="81">
        <f t="shared" ca="1" si="33"/>
        <v>192000</v>
      </c>
      <c r="E50" s="82">
        <f ca="1">IFERROR(__xludf.DUMMYFUNCTION("IMPORTRANGE(""https://docs.google.com/spreadsheets/d/1MeEWN-I1oV_STSDYn1IFDPWt_1FKiwhDph83XaGc0o0/edit?usp=sharing"",""งบพรบ!EN50"")"),0)</f>
        <v>0</v>
      </c>
      <c r="F50" s="82">
        <f ca="1">IFERROR(__xludf.DUMMYFUNCTION("IMPORTRANGE(""https://docs.google.com/spreadsheets/d/1MeEWN-I1oV_STSDYn1IFDPWt_1FKiwhDph83XaGc0o0/edit?usp=sharing"",""งบพรบ!EO50"")"),192000)</f>
        <v>192000</v>
      </c>
      <c r="G50" s="82">
        <f ca="1">IFERROR(__xludf.DUMMYFUNCTION("IMPORTRANGE(""https://docs.google.com/spreadsheets/d/1MeEWN-I1oV_STSDYn1IFDPWt_1FKiwhDph83XaGc0o0/edit?usp=sharing"",""งบพรบ!EP50"")"),0)</f>
        <v>0</v>
      </c>
      <c r="H50" s="82">
        <f ca="1">IFERROR(__xludf.DUMMYFUNCTION("IMPORTRANGE(""https://docs.google.com/spreadsheets/d/1MeEWN-I1oV_STSDYn1IFDPWt_1FKiwhDph83XaGc0o0/edit?usp=sharing"",""งบพรบ!ER50"")"),96000)</f>
        <v>96000</v>
      </c>
      <c r="I50" s="82">
        <f ca="1">IFERROR(__xludf.DUMMYFUNCTION("IMPORTRANGE(""https://docs.google.com/spreadsheets/d/1MeEWN-I1oV_STSDYn1IFDPWt_1FKiwhDph83XaGc0o0/edit?usp=sharing"",""งบพรบ!ES50"")"),0)</f>
        <v>0</v>
      </c>
      <c r="J50" s="82">
        <f t="shared" ca="1" si="3"/>
        <v>50240</v>
      </c>
      <c r="K50" s="83">
        <f t="shared" ca="1" si="4"/>
        <v>26.166666666666668</v>
      </c>
      <c r="L50" s="82">
        <f ca="1">IFERROR(__xludf.DUMMYFUNCTION("IMPORTRANGE(""https://docs.google.com/spreadsheets/d/1MeEWN-I1oV_STSDYn1IFDPWt_1FKiwhDph83XaGc0o0/edit?usp=sharing"",""งบพรบ!ET50"")"),50240)</f>
        <v>50240</v>
      </c>
      <c r="M50" s="84">
        <f t="shared" ca="1" si="5"/>
        <v>26.166666666666668</v>
      </c>
      <c r="N50" s="84">
        <f t="shared" ca="1" si="6"/>
        <v>52.333333333333336</v>
      </c>
      <c r="O50" s="85">
        <f ca="1">IFERROR(__xludf.DUMMYFUNCTION("IMPORTRANGE(""https://docs.google.com/spreadsheets/d/1MeEWN-I1oV_STSDYn1IFDPWt_1FKiwhDph83XaGc0o0/edit?usp=sharing"",""งบพรบ!EU50"")"),0)</f>
        <v>0</v>
      </c>
      <c r="P50" s="85">
        <f t="shared" ca="1" si="24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IFERROR(__xludf.DUMMYFUNCTION("IMPORTRANGE(""https://docs.google.com/spreadsheets/d/1hb_taSOHanzRjqfzWPiFo8yiT83VV1L7vvUCLhOiHKc/edit?usp=sharing"",""อุดรธานี!I338"")"),8800)</f>
        <v>8800</v>
      </c>
      <c r="S50" s="86">
        <f ca="1">IFERROR(__xludf.DUMMYFUNCTION("IMPORTRANGE(""https://docs.google.com/spreadsheets/d/1hb_taSOHanzRjqfzWPiFo8yiT83VV1L7vvUCLhOiHKc/edit?usp=sharing"",""อุดรธานี!J338"")"),7450)</f>
        <v>7450</v>
      </c>
      <c r="T50" s="87">
        <f t="shared" ca="1" si="21"/>
        <v>84.659090909090907</v>
      </c>
      <c r="U50" s="86">
        <f ca="1">IFERROR(__xludf.DUMMYFUNCTION("IMPORTRANGE(""https://docs.google.com/spreadsheets/d/1hb_taSOHanzRjqfzWPiFo8yiT83VV1L7vvUCLhOiHKc/edit?usp=sharing"",""อุดรธานี!I340"")"),12)</f>
        <v>12</v>
      </c>
      <c r="V50" s="86">
        <f ca="1">IFERROR(__xludf.DUMMYFUNCTION("IMPORTRANGE(""https://docs.google.com/spreadsheets/d/1hb_taSOHanzRjqfzWPiFo8yiT83VV1L7vvUCLhOiHKc/edit?usp=sharing"",""อุดรธานี!J340"")"),3)</f>
        <v>3</v>
      </c>
      <c r="W50" s="87">
        <f t="shared" ca="1" si="22"/>
        <v>25</v>
      </c>
      <c r="X50" s="86">
        <f ca="1">IFERROR(__xludf.DUMMYFUNCTION("IMPORTRANGE(""https://docs.google.com/spreadsheets/d/1hb_taSOHanzRjqfzWPiFo8yiT83VV1L7vvUCLhOiHKc/edit?usp=sharing"",""อุดรธานี!J341"")"),156)</f>
        <v>156</v>
      </c>
      <c r="Y50" s="86">
        <f ca="1">IFERROR(__xludf.DUMMYFUNCTION("IMPORTRANGE(""https://docs.google.com/spreadsheets/d/1hb_taSOHanzRjqfzWPiFo8yiT83VV1L7vvUCLhOiHKc/edit?usp=sharing"",""อุดรธานี!J342"")"),0)</f>
        <v>0</v>
      </c>
      <c r="Z50" s="86">
        <f ca="1">IFERROR(__xludf.DUMMYFUNCTION("IMPORTRANGE(""https://docs.google.com/spreadsheets/d/1hb_taSOHanzRjqfzWPiFo8yiT83VV1L7vvUCLhOiHKc/edit?usp=sharing"",""อุดรธานี!J343"")"),0)</f>
        <v>0</v>
      </c>
    </row>
    <row r="51" spans="1:26" ht="21" customHeight="1" x14ac:dyDescent="0.2">
      <c r="A51" s="89">
        <v>20</v>
      </c>
      <c r="B51" s="90" t="s">
        <v>73</v>
      </c>
      <c r="C51" s="91">
        <f t="shared" ca="1" si="0"/>
        <v>188000</v>
      </c>
      <c r="D51" s="92">
        <f t="shared" ca="1" si="33"/>
        <v>188000</v>
      </c>
      <c r="E51" s="93">
        <f ca="1">IFERROR(__xludf.DUMMYFUNCTION("IMPORTRANGE(""https://docs.google.com/spreadsheets/d/1MeEWN-I1oV_STSDYn1IFDPWt_1FKiwhDph83XaGc0o0/edit?usp=sharing"",""งบพรบ!EN51"")"),0)</f>
        <v>0</v>
      </c>
      <c r="F51" s="93">
        <f ca="1">IFERROR(__xludf.DUMMYFUNCTION("IMPORTRANGE(""https://docs.google.com/spreadsheets/d/1MeEWN-I1oV_STSDYn1IFDPWt_1FKiwhDph83XaGc0o0/edit?usp=sharing"",""งบพรบ!EO51"")"),188000)</f>
        <v>188000</v>
      </c>
      <c r="G51" s="93">
        <f ca="1">IFERROR(__xludf.DUMMYFUNCTION("IMPORTRANGE(""https://docs.google.com/spreadsheets/d/1MeEWN-I1oV_STSDYn1IFDPWt_1FKiwhDph83XaGc0o0/edit?usp=sharing"",""งบพรบ!EP51"")"),0)</f>
        <v>0</v>
      </c>
      <c r="H51" s="93">
        <f ca="1">IFERROR(__xludf.DUMMYFUNCTION("IMPORTRANGE(""https://docs.google.com/spreadsheets/d/1MeEWN-I1oV_STSDYn1IFDPWt_1FKiwhDph83XaGc0o0/edit?usp=sharing"",""งบพรบ!ER51"")"),94000)</f>
        <v>94000</v>
      </c>
      <c r="I51" s="93">
        <f ca="1">IFERROR(__xludf.DUMMYFUNCTION("IMPORTRANGE(""https://docs.google.com/spreadsheets/d/1MeEWN-I1oV_STSDYn1IFDPWt_1FKiwhDph83XaGc0o0/edit?usp=sharing"",""งบพรบ!ES51"")"),0)</f>
        <v>0</v>
      </c>
      <c r="J51" s="93">
        <f t="shared" ca="1" si="3"/>
        <v>65044.800000000003</v>
      </c>
      <c r="K51" s="94">
        <f t="shared" ca="1" si="4"/>
        <v>34.598297872340424</v>
      </c>
      <c r="L51" s="93">
        <f ca="1">IFERROR(__xludf.DUMMYFUNCTION("IMPORTRANGE(""https://docs.google.com/spreadsheets/d/1MeEWN-I1oV_STSDYn1IFDPWt_1FKiwhDph83XaGc0o0/edit?usp=sharing"",""งบพรบ!ET51"")"),65044.8)</f>
        <v>65044.800000000003</v>
      </c>
      <c r="M51" s="95">
        <f t="shared" ca="1" si="5"/>
        <v>34.598297872340424</v>
      </c>
      <c r="N51" s="95">
        <f t="shared" ca="1" si="6"/>
        <v>69.196595744680849</v>
      </c>
      <c r="O51" s="96">
        <f ca="1">IFERROR(__xludf.DUMMYFUNCTION("IMPORTRANGE(""https://docs.google.com/spreadsheets/d/1MeEWN-I1oV_STSDYn1IFDPWt_1FKiwhDph83XaGc0o0/edit?usp=sharing"",""งบพรบ!EU51"")"),0)</f>
        <v>0</v>
      </c>
      <c r="P51" s="96">
        <f t="shared" ca="1" si="24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IFERROR(__xludf.DUMMYFUNCTION("IMPORTRANGE(""https://docs.google.com/spreadsheets/d/17IOkEwkUd63EGNfyNDnM5de9YlZ7rwzTiW6-dokVjKI/edit?usp=sharing"",""อุบลราชธานี!I338"")"),6500)</f>
        <v>6500</v>
      </c>
      <c r="S51" s="97">
        <f ca="1">IFERROR(__xludf.DUMMYFUNCTION("IMPORTRANGE(""https://docs.google.com/spreadsheets/d/17IOkEwkUd63EGNfyNDnM5de9YlZ7rwzTiW6-dokVjKI/edit?usp=sharing"",""อุบลราชธานี!J338"")"),5665)</f>
        <v>5665</v>
      </c>
      <c r="T51" s="98">
        <f t="shared" ca="1" si="21"/>
        <v>87.15384615384616</v>
      </c>
      <c r="U51" s="97">
        <f ca="1">IFERROR(__xludf.DUMMYFUNCTION("IMPORTRANGE(""https://docs.google.com/spreadsheets/d/17IOkEwkUd63EGNfyNDnM5de9YlZ7rwzTiW6-dokVjKI/edit?usp=sharing"",""อุบลราชธานี!I340"")"),10)</f>
        <v>10</v>
      </c>
      <c r="V51" s="97">
        <f ca="1">IFERROR(__xludf.DUMMYFUNCTION("IMPORTRANGE(""https://docs.google.com/spreadsheets/d/17IOkEwkUd63EGNfyNDnM5de9YlZ7rwzTiW6-dokVjKI/edit?usp=sharing"",""อุบลราชธานี!J340"")"),2)</f>
        <v>2</v>
      </c>
      <c r="W51" s="98">
        <f t="shared" ca="1" si="22"/>
        <v>20</v>
      </c>
      <c r="X51" s="97">
        <f ca="1">IFERROR(__xludf.DUMMYFUNCTION("IMPORTRANGE(""https://docs.google.com/spreadsheets/d/17IOkEwkUd63EGNfyNDnM5de9YlZ7rwzTiW6-dokVjKI/edit?usp=sharing"",""อุบลราชธานี!J341"")"),123)</f>
        <v>123</v>
      </c>
      <c r="Y51" s="97">
        <f ca="1">IFERROR(__xludf.DUMMYFUNCTION("IMPORTRANGE(""https://docs.google.com/spreadsheets/d/17IOkEwkUd63EGNfyNDnM5de9YlZ7rwzTiW6-dokVjKI/edit?usp=sharing"",""อุบลราชธานี!J342"")"),8)</f>
        <v>8</v>
      </c>
      <c r="Z51" s="97">
        <f ca="1">IFERROR(__xludf.DUMMYFUNCTION("IMPORTRANGE(""https://docs.google.com/spreadsheets/d/17IOkEwkUd63EGNfyNDnM5de9YlZ7rwzTiW6-dokVjKI/edit?usp=sharing"",""อุบลราชธานี!J343"")"),229)</f>
        <v>229</v>
      </c>
    </row>
    <row r="52" spans="1:26" ht="21" customHeight="1" x14ac:dyDescent="0.2">
      <c r="A52" s="380" t="s">
        <v>74</v>
      </c>
      <c r="B52" s="379"/>
      <c r="C52" s="99">
        <f t="shared" ca="1" si="0"/>
        <v>7746800</v>
      </c>
      <c r="D52" s="62">
        <f t="shared" ref="D52:I52" ca="1" si="34">SUM(D53:D73)</f>
        <v>5934800</v>
      </c>
      <c r="E52" s="62">
        <f t="shared" ca="1" si="34"/>
        <v>2506800</v>
      </c>
      <c r="F52" s="62">
        <f t="shared" ca="1" si="34"/>
        <v>3428000</v>
      </c>
      <c r="G52" s="62">
        <f t="shared" ca="1" si="34"/>
        <v>1812000</v>
      </c>
      <c r="H52" s="62">
        <f t="shared" ca="1" si="34"/>
        <v>3654100</v>
      </c>
      <c r="I52" s="62">
        <f t="shared" ca="1" si="34"/>
        <v>1812000</v>
      </c>
      <c r="J52" s="62">
        <f t="shared" ca="1" si="3"/>
        <v>3582258.41</v>
      </c>
      <c r="K52" s="100">
        <f t="shared" ca="1" si="4"/>
        <v>46.241782542469146</v>
      </c>
      <c r="L52" s="62">
        <f ca="1">SUM(L53:L73)</f>
        <v>1838258.41</v>
      </c>
      <c r="M52" s="101">
        <f t="shared" ca="1" si="5"/>
        <v>30.974226764170655</v>
      </c>
      <c r="N52" s="101">
        <f t="shared" ca="1" si="6"/>
        <v>50.306735174187899</v>
      </c>
      <c r="O52" s="102">
        <f ca="1">SUM(O53:O73)</f>
        <v>1744000</v>
      </c>
      <c r="P52" s="102">
        <f t="shared" ca="1" si="24"/>
        <v>96.247240618101543</v>
      </c>
      <c r="Q52" s="101">
        <f t="shared" ca="1" si="8"/>
        <v>96.247240618101543</v>
      </c>
      <c r="R52" s="62">
        <f t="shared" ref="R52:S52" ca="1" si="35">SUM(R53:R73)</f>
        <v>29100</v>
      </c>
      <c r="S52" s="62">
        <f t="shared" ca="1" si="35"/>
        <v>18236</v>
      </c>
      <c r="T52" s="101">
        <f t="shared" ca="1" si="21"/>
        <v>62.666666666666664</v>
      </c>
      <c r="U52" s="62">
        <f t="shared" ref="U52:V52" ca="1" si="36">SUM(U53:U73)</f>
        <v>80</v>
      </c>
      <c r="V52" s="62">
        <f t="shared" ca="1" si="36"/>
        <v>44</v>
      </c>
      <c r="W52" s="101">
        <f t="shared" ca="1" si="22"/>
        <v>55</v>
      </c>
      <c r="X52" s="62">
        <f t="shared" ref="X52:Z52" ca="1" si="37">SUM(X53:X73)</f>
        <v>2596</v>
      </c>
      <c r="Y52" s="62">
        <f t="shared" ca="1" si="37"/>
        <v>4</v>
      </c>
      <c r="Z52" s="62">
        <f t="shared" ca="1" si="37"/>
        <v>84</v>
      </c>
    </row>
    <row r="53" spans="1:26" ht="21" customHeight="1" x14ac:dyDescent="0.2">
      <c r="A53" s="68">
        <v>1</v>
      </c>
      <c r="B53" s="69" t="s">
        <v>75</v>
      </c>
      <c r="C53" s="103">
        <f t="shared" ca="1" si="0"/>
        <v>168000</v>
      </c>
      <c r="D53" s="71">
        <f t="shared" ref="D53:D73" ca="1" si="38">+E53+F53</f>
        <v>168000</v>
      </c>
      <c r="E53" s="72">
        <f ca="1">IFERROR(__xludf.DUMMYFUNCTION("IMPORTRANGE(""https://docs.google.com/spreadsheets/d/1MeEWN-I1oV_STSDYn1IFDPWt_1FKiwhDph83XaGc0o0/edit?usp=sharing"",""งบพรบ!EN53"")"),0)</f>
        <v>0</v>
      </c>
      <c r="F53" s="72">
        <f ca="1">IFERROR(__xludf.DUMMYFUNCTION("IMPORTRANGE(""https://docs.google.com/spreadsheets/d/1MeEWN-I1oV_STSDYn1IFDPWt_1FKiwhDph83XaGc0o0/edit?usp=sharing"",""งบพรบ!EO53"")"),168000)</f>
        <v>168000</v>
      </c>
      <c r="G53" s="73">
        <f ca="1">IFERROR(__xludf.DUMMYFUNCTION("IMPORTRANGE(""https://docs.google.com/spreadsheets/d/1MeEWN-I1oV_STSDYn1IFDPWt_1FKiwhDph83XaGc0o0/edit?usp=sharing"",""งบพรบ!EP53"")"),0)</f>
        <v>0</v>
      </c>
      <c r="H53" s="73">
        <f ca="1">IFERROR(__xludf.DUMMYFUNCTION("IMPORTRANGE(""https://docs.google.com/spreadsheets/d/1MeEWN-I1oV_STSDYn1IFDPWt_1FKiwhDph83XaGc0o0/edit?usp=sharing"",""งบพรบ!ER53"")"),144000)</f>
        <v>144000</v>
      </c>
      <c r="I53" s="73">
        <f ca="1">IFERROR(__xludf.DUMMYFUNCTION("IMPORTRANGE(""https://docs.google.com/spreadsheets/d/1MeEWN-I1oV_STSDYn1IFDPWt_1FKiwhDph83XaGc0o0/edit?usp=sharing"",""งบพรบ!ES53"")"),0)</f>
        <v>0</v>
      </c>
      <c r="J53" s="73">
        <f t="shared" ca="1" si="3"/>
        <v>60534</v>
      </c>
      <c r="K53" s="74">
        <f t="shared" ca="1" si="4"/>
        <v>36.032142857142858</v>
      </c>
      <c r="L53" s="73">
        <f ca="1">IFERROR(__xludf.DUMMYFUNCTION("IMPORTRANGE(""https://docs.google.com/spreadsheets/d/1MeEWN-I1oV_STSDYn1IFDPWt_1FKiwhDph83XaGc0o0/edit?usp=sharing"",""งบพรบ!ET53"")"),60534)</f>
        <v>60534</v>
      </c>
      <c r="M53" s="75">
        <f t="shared" ca="1" si="5"/>
        <v>36.032142857142858</v>
      </c>
      <c r="N53" s="75">
        <f t="shared" ca="1" si="6"/>
        <v>42.037500000000001</v>
      </c>
      <c r="O53" s="76">
        <f ca="1">IFERROR(__xludf.DUMMYFUNCTION("IMPORTRANGE(""https://docs.google.com/spreadsheets/d/1MeEWN-I1oV_STSDYn1IFDPWt_1FKiwhDph83XaGc0o0/edit?usp=sharing"",""งบพรบ!EU53"")"),0)</f>
        <v>0</v>
      </c>
      <c r="P53" s="76">
        <f t="shared" ca="1" si="24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IFERROR(__xludf.DUMMYFUNCTION("IMPORTRANGE(""https://docs.google.com/spreadsheets/d/1hKO5uv94SSRZWOvrh72HRcpyoEQF9TsE_Cvxl77XNU4/edit?usp=sharing"",""กาญจนบุรี!I338"")"),1600)</f>
        <v>1600</v>
      </c>
      <c r="S53" s="73">
        <f ca="1">IFERROR(__xludf.DUMMYFUNCTION("IMPORTRANGE(""https://docs.google.com/spreadsheets/d/1hKO5uv94SSRZWOvrh72HRcpyoEQF9TsE_Cvxl77XNU4/edit?usp=sharing"",""กาญจนบุรี!J338"")"),2211)</f>
        <v>2211</v>
      </c>
      <c r="T53" s="77">
        <f t="shared" ca="1" si="21"/>
        <v>138.1875</v>
      </c>
      <c r="U53" s="73">
        <f ca="1">IFERROR(__xludf.DUMMYFUNCTION("IMPORTRANGE(""https://docs.google.com/spreadsheets/d/1hKO5uv94SSRZWOvrh72HRcpyoEQF9TsE_Cvxl77XNU4/edit?usp=sharing"",""กาญจนบุรี!I340"")"),5)</f>
        <v>5</v>
      </c>
      <c r="V53" s="73">
        <f ca="1">IFERROR(__xludf.DUMMYFUNCTION("IMPORTRANGE(""https://docs.google.com/spreadsheets/d/1hKO5uv94SSRZWOvrh72HRcpyoEQF9TsE_Cvxl77XNU4/edit?usp=sharing"",""กาญจนบุรี!J340"")"),3)</f>
        <v>3</v>
      </c>
      <c r="W53" s="77">
        <f t="shared" ca="1" si="22"/>
        <v>60</v>
      </c>
      <c r="X53" s="73">
        <f ca="1">IFERROR(__xludf.DUMMYFUNCTION("IMPORTRANGE(""https://docs.google.com/spreadsheets/d/1hKO5uv94SSRZWOvrh72HRcpyoEQF9TsE_Cvxl77XNU4/edit?usp=sharing"",""กาญจนบุรี!J341"")"),211)</f>
        <v>211</v>
      </c>
      <c r="Y53" s="73">
        <f ca="1">IFERROR(__xludf.DUMMYFUNCTION("IMPORTRANGE(""https://docs.google.com/spreadsheets/d/1hKO5uv94SSRZWOvrh72HRcpyoEQF9TsE_Cvxl77XNU4/edit?usp=sharing"",""กาญจนบุรี!J342"")"),0)</f>
        <v>0</v>
      </c>
      <c r="Z53" s="73">
        <f ca="1">IFERROR(__xludf.DUMMYFUNCTION("IMPORTRANGE(""https://docs.google.com/spreadsheets/d/1hKO5uv94SSRZWOvrh72HRcpyoEQF9TsE_Cvxl77XNU4/edit?usp=sharing"",""กาญจนบุรี!J343"")"),0)</f>
        <v>0</v>
      </c>
    </row>
    <row r="54" spans="1:26" ht="21" customHeight="1" x14ac:dyDescent="0.2">
      <c r="A54" s="78">
        <v>2</v>
      </c>
      <c r="B54" s="79" t="s">
        <v>76</v>
      </c>
      <c r="C54" s="80">
        <f t="shared" ca="1" si="0"/>
        <v>170000</v>
      </c>
      <c r="D54" s="81">
        <f t="shared" ca="1" si="38"/>
        <v>170000</v>
      </c>
      <c r="E54" s="82">
        <f ca="1">IFERROR(__xludf.DUMMYFUNCTION("IMPORTRANGE(""https://docs.google.com/spreadsheets/d/1MeEWN-I1oV_STSDYn1IFDPWt_1FKiwhDph83XaGc0o0/edit?usp=sharing"",""งบพรบ!EN54"")"),0)</f>
        <v>0</v>
      </c>
      <c r="F54" s="82">
        <f ca="1">IFERROR(__xludf.DUMMYFUNCTION("IMPORTRANGE(""https://docs.google.com/spreadsheets/d/1MeEWN-I1oV_STSDYn1IFDPWt_1FKiwhDph83XaGc0o0/edit?usp=sharing"",""งบพรบ!EO54"")"),170000)</f>
        <v>170000</v>
      </c>
      <c r="G54" s="82">
        <f ca="1">IFERROR(__xludf.DUMMYFUNCTION("IMPORTRANGE(""https://docs.google.com/spreadsheets/d/1MeEWN-I1oV_STSDYn1IFDPWt_1FKiwhDph83XaGc0o0/edit?usp=sharing"",""งบพรบ!EP54"")"),0)</f>
        <v>0</v>
      </c>
      <c r="H54" s="82">
        <f ca="1">IFERROR(__xludf.DUMMYFUNCTION("IMPORTRANGE(""https://docs.google.com/spreadsheets/d/1MeEWN-I1oV_STSDYn1IFDPWt_1FKiwhDph83XaGc0o0/edit?usp=sharing"",""งบพรบ!ER54"")"),85000)</f>
        <v>85000</v>
      </c>
      <c r="I54" s="82">
        <f ca="1">IFERROR(__xludf.DUMMYFUNCTION("IMPORTRANGE(""https://docs.google.com/spreadsheets/d/1MeEWN-I1oV_STSDYn1IFDPWt_1FKiwhDph83XaGc0o0/edit?usp=sharing"",""งบพรบ!ES54"")"),0)</f>
        <v>0</v>
      </c>
      <c r="J54" s="82">
        <f t="shared" ca="1" si="3"/>
        <v>41451</v>
      </c>
      <c r="K54" s="83">
        <f t="shared" ca="1" si="4"/>
        <v>24.382941176470588</v>
      </c>
      <c r="L54" s="82">
        <f ca="1">IFERROR(__xludf.DUMMYFUNCTION("IMPORTRANGE(""https://docs.google.com/spreadsheets/d/1MeEWN-I1oV_STSDYn1IFDPWt_1FKiwhDph83XaGc0o0/edit?usp=sharing"",""งบพรบ!ET54"")"),41451)</f>
        <v>41451</v>
      </c>
      <c r="M54" s="84">
        <f t="shared" ca="1" si="5"/>
        <v>24.382941176470588</v>
      </c>
      <c r="N54" s="84">
        <f t="shared" ca="1" si="6"/>
        <v>48.765882352941176</v>
      </c>
      <c r="O54" s="85">
        <f ca="1">IFERROR(__xludf.DUMMYFUNCTION("IMPORTRANGE(""https://docs.google.com/spreadsheets/d/1MeEWN-I1oV_STSDYn1IFDPWt_1FKiwhDph83XaGc0o0/edit?usp=sharing"",""งบพรบ!EU54"")"),0)</f>
        <v>0</v>
      </c>
      <c r="P54" s="85">
        <f t="shared" ca="1" si="24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IFERROR(__xludf.DUMMYFUNCTION("IMPORTRANGE(""https://docs.google.com/spreadsheets/d/1njBaP_xXd-Uotvo2D9zb01TTCFkLJLDK97Tk1l9Qux0/edit?usp=sharing"",""จันทบุรี!I338"")"),1600)</f>
        <v>1600</v>
      </c>
      <c r="S54" s="86">
        <f ca="1">IFERROR(__xludf.DUMMYFUNCTION("IMPORTRANGE(""https://docs.google.com/spreadsheets/d/1njBaP_xXd-Uotvo2D9zb01TTCFkLJLDK97Tk1l9Qux0/edit?usp=sharing"",""จันทบุรี!J338"")"),707)</f>
        <v>707</v>
      </c>
      <c r="T54" s="87">
        <f t="shared" ca="1" si="21"/>
        <v>44.1875</v>
      </c>
      <c r="U54" s="86">
        <f ca="1">IFERROR(__xludf.DUMMYFUNCTION("IMPORTRANGE(""https://docs.google.com/spreadsheets/d/1njBaP_xXd-Uotvo2D9zb01TTCFkLJLDK97Tk1l9Qux0/edit?usp=sharing"",""จันทบุรี!I340"")"),6)</f>
        <v>6</v>
      </c>
      <c r="V54" s="86">
        <f ca="1">IFERROR(__xludf.DUMMYFUNCTION("IMPORTRANGE(""https://docs.google.com/spreadsheets/d/1njBaP_xXd-Uotvo2D9zb01TTCFkLJLDK97Tk1l9Qux0/edit?usp=sharing"",""จันทบุรี!J340"")"),0)</f>
        <v>0</v>
      </c>
      <c r="W54" s="87">
        <f t="shared" ca="1" si="22"/>
        <v>0</v>
      </c>
      <c r="X54" s="86">
        <f ca="1">IFERROR(__xludf.DUMMYFUNCTION("IMPORTRANGE(""https://docs.google.com/spreadsheets/d/1njBaP_xXd-Uotvo2D9zb01TTCFkLJLDK97Tk1l9Qux0/edit?usp=sharing"",""จันทบุรี!J341"")"),0)</f>
        <v>0</v>
      </c>
      <c r="Y54" s="86">
        <f ca="1">IFERROR(__xludf.DUMMYFUNCTION("IMPORTRANGE(""https://docs.google.com/spreadsheets/d/1njBaP_xXd-Uotvo2D9zb01TTCFkLJLDK97Tk1l9Qux0/edit?usp=sharing"",""จันทบุรี!J342"")"),2)</f>
        <v>2</v>
      </c>
      <c r="Z54" s="86">
        <f ca="1">IFERROR(__xludf.DUMMYFUNCTION("IMPORTRANGE(""https://docs.google.com/spreadsheets/d/1njBaP_xXd-Uotvo2D9zb01TTCFkLJLDK97Tk1l9Qux0/edit?usp=sharing"",""จันทบุรี!J343"")"),0)</f>
        <v>0</v>
      </c>
    </row>
    <row r="55" spans="1:26" ht="21" customHeight="1" x14ac:dyDescent="0.2">
      <c r="A55" s="78">
        <v>3</v>
      </c>
      <c r="B55" s="79" t="s">
        <v>77</v>
      </c>
      <c r="C55" s="80">
        <f t="shared" ca="1" si="0"/>
        <v>1139000</v>
      </c>
      <c r="D55" s="81">
        <f t="shared" ca="1" si="38"/>
        <v>177000</v>
      </c>
      <c r="E55" s="82">
        <f ca="1">IFERROR(__xludf.DUMMYFUNCTION("IMPORTRANGE(""https://docs.google.com/spreadsheets/d/1MeEWN-I1oV_STSDYn1IFDPWt_1FKiwhDph83XaGc0o0/edit?usp=sharing"",""งบพรบ!EN55"")"),0)</f>
        <v>0</v>
      </c>
      <c r="F55" s="82">
        <f ca="1">IFERROR(__xludf.DUMMYFUNCTION("IMPORTRANGE(""https://docs.google.com/spreadsheets/d/1MeEWN-I1oV_STSDYn1IFDPWt_1FKiwhDph83XaGc0o0/edit?usp=sharing"",""งบพรบ!EO55"")"),177000)</f>
        <v>177000</v>
      </c>
      <c r="G55" s="82">
        <f ca="1">IFERROR(__xludf.DUMMYFUNCTION("IMPORTRANGE(""https://docs.google.com/spreadsheets/d/1MeEWN-I1oV_STSDYn1IFDPWt_1FKiwhDph83XaGc0o0/edit?usp=sharing"",""งบพรบ!EP55"")"),962000)</f>
        <v>962000</v>
      </c>
      <c r="H55" s="82">
        <f ca="1">IFERROR(__xludf.DUMMYFUNCTION("IMPORTRANGE(""https://docs.google.com/spreadsheets/d/1MeEWN-I1oV_STSDYn1IFDPWt_1FKiwhDph83XaGc0o0/edit?usp=sharing"",""งบพรบ!ER55"")"),88500)</f>
        <v>88500</v>
      </c>
      <c r="I55" s="82">
        <f ca="1">IFERROR(__xludf.DUMMYFUNCTION("IMPORTRANGE(""https://docs.google.com/spreadsheets/d/1MeEWN-I1oV_STSDYn1IFDPWt_1FKiwhDph83XaGc0o0/edit?usp=sharing"",""งบพรบ!ES55"")"),962000)</f>
        <v>962000</v>
      </c>
      <c r="J55" s="82">
        <f t="shared" ca="1" si="3"/>
        <v>960093.31</v>
      </c>
      <c r="K55" s="83">
        <f t="shared" ca="1" si="4"/>
        <v>84.29265232660228</v>
      </c>
      <c r="L55" s="82">
        <f ca="1">IFERROR(__xludf.DUMMYFUNCTION("IMPORTRANGE(""https://docs.google.com/spreadsheets/d/1MeEWN-I1oV_STSDYn1IFDPWt_1FKiwhDph83XaGc0o0/edit?usp=sharing"",""งบพรบ!ET55"")"),65093.31)</f>
        <v>65093.31</v>
      </c>
      <c r="M55" s="84">
        <f t="shared" ca="1" si="5"/>
        <v>36.775881355932206</v>
      </c>
      <c r="N55" s="84">
        <f t="shared" ca="1" si="6"/>
        <v>73.551762711864413</v>
      </c>
      <c r="O55" s="85">
        <f ca="1">IFERROR(__xludf.DUMMYFUNCTION("IMPORTRANGE(""https://docs.google.com/spreadsheets/d/1MeEWN-I1oV_STSDYn1IFDPWt_1FKiwhDph83XaGc0o0/edit?usp=sharing"",""งบพรบ!EU55"")"),895000)</f>
        <v>895000</v>
      </c>
      <c r="P55" s="85">
        <f t="shared" ca="1" si="24"/>
        <v>93.035343035343033</v>
      </c>
      <c r="Q55" s="84">
        <f t="shared" ca="1" si="8"/>
        <v>93.035343035343033</v>
      </c>
      <c r="R55" s="86">
        <f ca="1">IFERROR(__xludf.DUMMYFUNCTION("IMPORTRANGE(""https://docs.google.com/spreadsheets/d/14xp6qUzrGFnUk_qnc1eEmfiaNRd4_grkhpfQH_46fa8/edit?usp=sharing"",""ฉะเชิงเทรา!I338"")"),4300)</f>
        <v>4300</v>
      </c>
      <c r="S55" s="86">
        <f ca="1">IFERROR(__xludf.DUMMYFUNCTION("IMPORTRANGE(""https://docs.google.com/spreadsheets/d/14xp6qUzrGFnUk_qnc1eEmfiaNRd4_grkhpfQH_46fa8/edit?usp=sharing"",""ฉะเชิงเทรา!J338"")"),3080)</f>
        <v>3080</v>
      </c>
      <c r="T55" s="87">
        <f t="shared" ca="1" si="21"/>
        <v>71.627906976744185</v>
      </c>
      <c r="U55" s="86">
        <f ca="1">IFERROR(__xludf.DUMMYFUNCTION("IMPORTRANGE(""https://docs.google.com/spreadsheets/d/14xp6qUzrGFnUk_qnc1eEmfiaNRd4_grkhpfQH_46fa8/edit?usp=sharing"",""ฉะเชิงเทรา!I340"")"),7)</f>
        <v>7</v>
      </c>
      <c r="V55" s="86">
        <f ca="1">IFERROR(__xludf.DUMMYFUNCTION("IMPORTRANGE(""https://docs.google.com/spreadsheets/d/14xp6qUzrGFnUk_qnc1eEmfiaNRd4_grkhpfQH_46fa8/edit?usp=sharing"",""ฉะเชิงเทรา!J340"")"),3)</f>
        <v>3</v>
      </c>
      <c r="W55" s="87">
        <f t="shared" ca="1" si="22"/>
        <v>42.857142857142854</v>
      </c>
      <c r="X55" s="86">
        <f ca="1">IFERROR(__xludf.DUMMYFUNCTION("IMPORTRANGE(""https://docs.google.com/spreadsheets/d/14xp6qUzrGFnUk_qnc1eEmfiaNRd4_grkhpfQH_46fa8/edit?usp=sharing"",""ฉะเชิงเทรา!J341"")"),454)</f>
        <v>454</v>
      </c>
      <c r="Y55" s="86">
        <f ca="1">IFERROR(__xludf.DUMMYFUNCTION("IMPORTRANGE(""https://docs.google.com/spreadsheets/d/14xp6qUzrGFnUk_qnc1eEmfiaNRd4_grkhpfQH_46fa8/edit?usp=sharing"",""ฉะเชิงเทรา!J342"")"),0)</f>
        <v>0</v>
      </c>
      <c r="Z55" s="86">
        <f ca="1">IFERROR(__xludf.DUMMYFUNCTION("IMPORTRANGE(""https://docs.google.com/spreadsheets/d/14xp6qUzrGFnUk_qnc1eEmfiaNRd4_grkhpfQH_46fa8/edit?usp=sharing"",""ฉะเชิงเทรา!J343"")"),0)</f>
        <v>0</v>
      </c>
    </row>
    <row r="56" spans="1:26" ht="21" customHeight="1" x14ac:dyDescent="0.2">
      <c r="A56" s="78">
        <v>4</v>
      </c>
      <c r="B56" s="79" t="s">
        <v>78</v>
      </c>
      <c r="C56" s="80">
        <f t="shared" ca="1" si="0"/>
        <v>1016000</v>
      </c>
      <c r="D56" s="81">
        <f t="shared" ca="1" si="38"/>
        <v>166000</v>
      </c>
      <c r="E56" s="82">
        <f ca="1">IFERROR(__xludf.DUMMYFUNCTION("IMPORTRANGE(""https://docs.google.com/spreadsheets/d/1MeEWN-I1oV_STSDYn1IFDPWt_1FKiwhDph83XaGc0o0/edit?usp=sharing"",""งบพรบ!EN56"")"),0)</f>
        <v>0</v>
      </c>
      <c r="F56" s="82">
        <f ca="1">IFERROR(__xludf.DUMMYFUNCTION("IMPORTRANGE(""https://docs.google.com/spreadsheets/d/1MeEWN-I1oV_STSDYn1IFDPWt_1FKiwhDph83XaGc0o0/edit?usp=sharing"",""งบพรบ!EO56"")"),166000)</f>
        <v>166000</v>
      </c>
      <c r="G56" s="82">
        <f ca="1">IFERROR(__xludf.DUMMYFUNCTION("IMPORTRANGE(""https://docs.google.com/spreadsheets/d/1MeEWN-I1oV_STSDYn1IFDPWt_1FKiwhDph83XaGc0o0/edit?usp=sharing"",""งบพรบ!EP56"")"),850000)</f>
        <v>850000</v>
      </c>
      <c r="H56" s="82">
        <f ca="1">IFERROR(__xludf.DUMMYFUNCTION("IMPORTRANGE(""https://docs.google.com/spreadsheets/d/1MeEWN-I1oV_STSDYn1IFDPWt_1FKiwhDph83XaGc0o0/edit?usp=sharing"",""งบพรบ!ER56"")"),83000)</f>
        <v>83000</v>
      </c>
      <c r="I56" s="82">
        <f ca="1">IFERROR(__xludf.DUMMYFUNCTION("IMPORTRANGE(""https://docs.google.com/spreadsheets/d/1MeEWN-I1oV_STSDYn1IFDPWt_1FKiwhDph83XaGc0o0/edit?usp=sharing"",""งบพรบ!ES56"")"),850000)</f>
        <v>850000</v>
      </c>
      <c r="J56" s="82">
        <f t="shared" ca="1" si="3"/>
        <v>906460.6</v>
      </c>
      <c r="K56" s="83">
        <f t="shared" ca="1" si="4"/>
        <v>89.218562992125982</v>
      </c>
      <c r="L56" s="82">
        <f ca="1">IFERROR(__xludf.DUMMYFUNCTION("IMPORTRANGE(""https://docs.google.com/spreadsheets/d/1MeEWN-I1oV_STSDYn1IFDPWt_1FKiwhDph83XaGc0o0/edit?usp=sharing"",""งบพรบ!ET56"")"),57460.6)</f>
        <v>57460.6</v>
      </c>
      <c r="M56" s="84">
        <f t="shared" ca="1" si="5"/>
        <v>34.614819277108431</v>
      </c>
      <c r="N56" s="84">
        <f t="shared" ca="1" si="6"/>
        <v>69.229638554216862</v>
      </c>
      <c r="O56" s="85">
        <f ca="1">IFERROR(__xludf.DUMMYFUNCTION("IMPORTRANGE(""https://docs.google.com/spreadsheets/d/1MeEWN-I1oV_STSDYn1IFDPWt_1FKiwhDph83XaGc0o0/edit?usp=sharing"",""งบพรบ!EU56"")"),849000)</f>
        <v>849000</v>
      </c>
      <c r="P56" s="85">
        <f t="shared" ca="1" si="24"/>
        <v>99.882352941176464</v>
      </c>
      <c r="Q56" s="84">
        <f t="shared" ca="1" si="8"/>
        <v>99.882352941176464</v>
      </c>
      <c r="R56" s="86">
        <f ca="1">IFERROR(__xludf.DUMMYFUNCTION("IMPORTRANGE(""https://docs.google.com/spreadsheets/d/1_Zwps30dlVa-pZFsorjVf1Pil6WXwzCsJU0U2whO3NI/edit?usp=sharing"",""ชลบุรี!I338"")"),1400)</f>
        <v>1400</v>
      </c>
      <c r="S56" s="86">
        <f ca="1">IFERROR(__xludf.DUMMYFUNCTION("IMPORTRANGE(""https://docs.google.com/spreadsheets/d/1_Zwps30dlVa-pZFsorjVf1Pil6WXwzCsJU0U2whO3NI/edit?usp=sharing"",""ชลบุรี!J338"")"),985)</f>
        <v>985</v>
      </c>
      <c r="T56" s="87">
        <f t="shared" ca="1" si="21"/>
        <v>70.357142857142861</v>
      </c>
      <c r="U56" s="86">
        <f ca="1">IFERROR(__xludf.DUMMYFUNCTION("IMPORTRANGE(""https://docs.google.com/spreadsheets/d/1_Zwps30dlVa-pZFsorjVf1Pil6WXwzCsJU0U2whO3NI/edit?usp=sharing"",""ชลบุรี!I340"")"),4)</f>
        <v>4</v>
      </c>
      <c r="V56" s="86">
        <f ca="1">IFERROR(__xludf.DUMMYFUNCTION("IMPORTRANGE(""https://docs.google.com/spreadsheets/d/1_Zwps30dlVa-pZFsorjVf1Pil6WXwzCsJU0U2whO3NI/edit?usp=sharing"",""ชลบุรี!J340"")"),1)</f>
        <v>1</v>
      </c>
      <c r="W56" s="87">
        <f t="shared" ca="1" si="22"/>
        <v>25</v>
      </c>
      <c r="X56" s="86">
        <f ca="1">IFERROR(__xludf.DUMMYFUNCTION("IMPORTRANGE(""https://docs.google.com/spreadsheets/d/1_Zwps30dlVa-pZFsorjVf1Pil6WXwzCsJU0U2whO3NI/edit?usp=sharing"",""ชลบุรี!J341"")"),30)</f>
        <v>30</v>
      </c>
      <c r="Y56" s="86">
        <f ca="1">IFERROR(__xludf.DUMMYFUNCTION("IMPORTRANGE(""https://docs.google.com/spreadsheets/d/1_Zwps30dlVa-pZFsorjVf1Pil6WXwzCsJU0U2whO3NI/edit?usp=sharing"",""ชลบุรี!J342"")"),0)</f>
        <v>0</v>
      </c>
      <c r="Z56" s="86">
        <f ca="1">IFERROR(__xludf.DUMMYFUNCTION("IMPORTRANGE(""https://docs.google.com/spreadsheets/d/1_Zwps30dlVa-pZFsorjVf1Pil6WXwzCsJU0U2whO3NI/edit?usp=sharing"",""ชลบุรี!J343"")"),0)</f>
        <v>0</v>
      </c>
    </row>
    <row r="57" spans="1:26" ht="21" customHeight="1" x14ac:dyDescent="0.2">
      <c r="A57" s="78">
        <v>5</v>
      </c>
      <c r="B57" s="79" t="s">
        <v>79</v>
      </c>
      <c r="C57" s="80">
        <f t="shared" ca="1" si="0"/>
        <v>163000</v>
      </c>
      <c r="D57" s="81">
        <f t="shared" ca="1" si="38"/>
        <v>163000</v>
      </c>
      <c r="E57" s="82">
        <f ca="1">IFERROR(__xludf.DUMMYFUNCTION("IMPORTRANGE(""https://docs.google.com/spreadsheets/d/1MeEWN-I1oV_STSDYn1IFDPWt_1FKiwhDph83XaGc0o0/edit?usp=sharing"",""งบพรบ!EN57"")"),0)</f>
        <v>0</v>
      </c>
      <c r="F57" s="82">
        <f ca="1">IFERROR(__xludf.DUMMYFUNCTION("IMPORTRANGE(""https://docs.google.com/spreadsheets/d/1MeEWN-I1oV_STSDYn1IFDPWt_1FKiwhDph83XaGc0o0/edit?usp=sharing"",""งบพรบ!EO57"")"),163000)</f>
        <v>163000</v>
      </c>
      <c r="G57" s="82">
        <f ca="1">IFERROR(__xludf.DUMMYFUNCTION("IMPORTRANGE(""https://docs.google.com/spreadsheets/d/1MeEWN-I1oV_STSDYn1IFDPWt_1FKiwhDph83XaGc0o0/edit?usp=sharing"",""งบพรบ!EP57"")"),0)</f>
        <v>0</v>
      </c>
      <c r="H57" s="82">
        <f ca="1">IFERROR(__xludf.DUMMYFUNCTION("IMPORTRANGE(""https://docs.google.com/spreadsheets/d/1MeEWN-I1oV_STSDYn1IFDPWt_1FKiwhDph83XaGc0o0/edit?usp=sharing"",""งบพรบ!ER57"")"),81500)</f>
        <v>81500</v>
      </c>
      <c r="I57" s="82">
        <f ca="1">IFERROR(__xludf.DUMMYFUNCTION("IMPORTRANGE(""https://docs.google.com/spreadsheets/d/1MeEWN-I1oV_STSDYn1IFDPWt_1FKiwhDph83XaGc0o0/edit?usp=sharing"",""งบพรบ!ES57"")"),0)</f>
        <v>0</v>
      </c>
      <c r="J57" s="82">
        <f t="shared" ca="1" si="3"/>
        <v>68880</v>
      </c>
      <c r="K57" s="83">
        <f t="shared" ca="1" si="4"/>
        <v>42.257668711656443</v>
      </c>
      <c r="L57" s="82">
        <f ca="1">IFERROR(__xludf.DUMMYFUNCTION("IMPORTRANGE(""https://docs.google.com/spreadsheets/d/1MeEWN-I1oV_STSDYn1IFDPWt_1FKiwhDph83XaGc0o0/edit?usp=sharing"",""งบพรบ!ET57"")"),68880)</f>
        <v>68880</v>
      </c>
      <c r="M57" s="84">
        <f t="shared" ca="1" si="5"/>
        <v>42.257668711656443</v>
      </c>
      <c r="N57" s="84">
        <f t="shared" ca="1" si="6"/>
        <v>84.515337423312886</v>
      </c>
      <c r="O57" s="85">
        <f ca="1">IFERROR(__xludf.DUMMYFUNCTION("IMPORTRANGE(""https://docs.google.com/spreadsheets/d/1MeEWN-I1oV_STSDYn1IFDPWt_1FKiwhDph83XaGc0o0/edit?usp=sharing"",""งบพรบ!EU57"")"),0)</f>
        <v>0</v>
      </c>
      <c r="P57" s="85">
        <f t="shared" ca="1" si="24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IFERROR(__xludf.DUMMYFUNCTION("IMPORTRANGE(""https://docs.google.com/spreadsheets/d/1xAsT4sUbBlom7l0acStESh_15nvjZcXjZM7fK5uZSq8/edit?usp=sharing"",""ชัยนาท!I338"")"),800)</f>
        <v>800</v>
      </c>
      <c r="S57" s="86">
        <f ca="1">IFERROR(__xludf.DUMMYFUNCTION("IMPORTRANGE(""https://docs.google.com/spreadsheets/d/1xAsT4sUbBlom7l0acStESh_15nvjZcXjZM7fK5uZSq8/edit?usp=sharing"",""ชัยนาท!J338"")"),398)</f>
        <v>398</v>
      </c>
      <c r="T57" s="87">
        <f t="shared" ca="1" si="21"/>
        <v>49.75</v>
      </c>
      <c r="U57" s="86">
        <f ca="1">IFERROR(__xludf.DUMMYFUNCTION("IMPORTRANGE(""https://docs.google.com/spreadsheets/d/1xAsT4sUbBlom7l0acStESh_15nvjZcXjZM7fK5uZSq8/edit?usp=sharing"",""ชัยนาท!I340"")"),5)</f>
        <v>5</v>
      </c>
      <c r="V57" s="86">
        <f ca="1">IFERROR(__xludf.DUMMYFUNCTION("IMPORTRANGE(""https://docs.google.com/spreadsheets/d/1xAsT4sUbBlom7l0acStESh_15nvjZcXjZM7fK5uZSq8/edit?usp=sharing"",""ชัยนาท!J340"")"),1)</f>
        <v>1</v>
      </c>
      <c r="W57" s="87">
        <f t="shared" ca="1" si="22"/>
        <v>20</v>
      </c>
      <c r="X57" s="86">
        <f ca="1">IFERROR(__xludf.DUMMYFUNCTION("IMPORTRANGE(""https://docs.google.com/spreadsheets/d/1xAsT4sUbBlom7l0acStESh_15nvjZcXjZM7fK5uZSq8/edit?usp=sharing"",""ชัยนาท!J341"")"),29)</f>
        <v>29</v>
      </c>
      <c r="Y57" s="86">
        <f ca="1">IFERROR(__xludf.DUMMYFUNCTION("IMPORTRANGE(""https://docs.google.com/spreadsheets/d/1xAsT4sUbBlom7l0acStESh_15nvjZcXjZM7fK5uZSq8/edit?usp=sharing"",""ชัยนาท!J342"")"),0)</f>
        <v>0</v>
      </c>
      <c r="Z57" s="86">
        <f ca="1">IFERROR(__xludf.DUMMYFUNCTION("IMPORTRANGE(""https://docs.google.com/spreadsheets/d/1xAsT4sUbBlom7l0acStESh_15nvjZcXjZM7fK5uZSq8/edit?usp=sharing"",""ชัยนาท!J343"")"),0)</f>
        <v>0</v>
      </c>
    </row>
    <row r="58" spans="1:26" ht="21" customHeight="1" x14ac:dyDescent="0.2">
      <c r="A58" s="78">
        <v>6</v>
      </c>
      <c r="B58" s="79" t="s">
        <v>80</v>
      </c>
      <c r="C58" s="80">
        <f t="shared" ca="1" si="0"/>
        <v>157000</v>
      </c>
      <c r="D58" s="81">
        <f t="shared" ca="1" si="38"/>
        <v>157000</v>
      </c>
      <c r="E58" s="82">
        <f ca="1">IFERROR(__xludf.DUMMYFUNCTION("IMPORTRANGE(""https://docs.google.com/spreadsheets/d/1MeEWN-I1oV_STSDYn1IFDPWt_1FKiwhDph83XaGc0o0/edit?usp=sharing"",""งบพรบ!EN58"")"),0)</f>
        <v>0</v>
      </c>
      <c r="F58" s="82">
        <f ca="1">IFERROR(__xludf.DUMMYFUNCTION("IMPORTRANGE(""https://docs.google.com/spreadsheets/d/1MeEWN-I1oV_STSDYn1IFDPWt_1FKiwhDph83XaGc0o0/edit?usp=sharing"",""งบพรบ!EO58"")"),157000)</f>
        <v>157000</v>
      </c>
      <c r="G58" s="82">
        <f ca="1">IFERROR(__xludf.DUMMYFUNCTION("IMPORTRANGE(""https://docs.google.com/spreadsheets/d/1MeEWN-I1oV_STSDYn1IFDPWt_1FKiwhDph83XaGc0o0/edit?usp=sharing"",""งบพรบ!EP58"")"),0)</f>
        <v>0</v>
      </c>
      <c r="H58" s="82">
        <f ca="1">IFERROR(__xludf.DUMMYFUNCTION("IMPORTRANGE(""https://docs.google.com/spreadsheets/d/1MeEWN-I1oV_STSDYn1IFDPWt_1FKiwhDph83XaGc0o0/edit?usp=sharing"",""งบพรบ!ER58"")"),78500)</f>
        <v>78500</v>
      </c>
      <c r="I58" s="82">
        <f ca="1">IFERROR(__xludf.DUMMYFUNCTION("IMPORTRANGE(""https://docs.google.com/spreadsheets/d/1MeEWN-I1oV_STSDYn1IFDPWt_1FKiwhDph83XaGc0o0/edit?usp=sharing"",""งบพรบ!ES58"")"),0)</f>
        <v>0</v>
      </c>
      <c r="J58" s="82">
        <f t="shared" ca="1" si="3"/>
        <v>59292</v>
      </c>
      <c r="K58" s="83">
        <f t="shared" ca="1" si="4"/>
        <v>37.765605095541403</v>
      </c>
      <c r="L58" s="82">
        <f ca="1">IFERROR(__xludf.DUMMYFUNCTION("IMPORTRANGE(""https://docs.google.com/spreadsheets/d/1MeEWN-I1oV_STSDYn1IFDPWt_1FKiwhDph83XaGc0o0/edit?usp=sharing"",""งบพรบ!ET58"")"),59292)</f>
        <v>59292</v>
      </c>
      <c r="M58" s="84">
        <f t="shared" ca="1" si="5"/>
        <v>37.765605095541403</v>
      </c>
      <c r="N58" s="84">
        <f t="shared" ca="1" si="6"/>
        <v>75.531210191082806</v>
      </c>
      <c r="O58" s="85">
        <f ca="1">IFERROR(__xludf.DUMMYFUNCTION("IMPORTRANGE(""https://docs.google.com/spreadsheets/d/1MeEWN-I1oV_STSDYn1IFDPWt_1FKiwhDph83XaGc0o0/edit?usp=sharing"",""งบพรบ!EU58"")"),0)</f>
        <v>0</v>
      </c>
      <c r="P58" s="85">
        <f t="shared" ca="1" si="24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IFERROR(__xludf.DUMMYFUNCTION("IMPORTRANGE(""https://docs.google.com/spreadsheets/d/1vWPVBOAaZ6mHSI8yf95DNqHwTJ1cpeFsvqt6cxV34QA/edit?usp=sharing"",""ตราด!I338"")"),600)</f>
        <v>600</v>
      </c>
      <c r="S58" s="86">
        <f ca="1">IFERROR(__xludf.DUMMYFUNCTION("IMPORTRANGE(""https://docs.google.com/spreadsheets/d/1vWPVBOAaZ6mHSI8yf95DNqHwTJ1cpeFsvqt6cxV34QA/edit?usp=sharing"",""ตราด!J338"")"),1222)</f>
        <v>1222</v>
      </c>
      <c r="T58" s="87">
        <f t="shared" ca="1" si="21"/>
        <v>203.66666666666666</v>
      </c>
      <c r="U58" s="86">
        <f ca="1">IFERROR(__xludf.DUMMYFUNCTION("IMPORTRANGE(""https://docs.google.com/spreadsheets/d/1vWPVBOAaZ6mHSI8yf95DNqHwTJ1cpeFsvqt6cxV34QA/edit?usp=sharing"",""ตราด!I340"")"),2)</f>
        <v>2</v>
      </c>
      <c r="V58" s="86">
        <f ca="1">IFERROR(__xludf.DUMMYFUNCTION("IMPORTRANGE(""https://docs.google.com/spreadsheets/d/1vWPVBOAaZ6mHSI8yf95DNqHwTJ1cpeFsvqt6cxV34QA/edit?usp=sharing"",""ตราด!J340"")"),2)</f>
        <v>2</v>
      </c>
      <c r="W58" s="87">
        <f t="shared" ca="1" si="22"/>
        <v>100</v>
      </c>
      <c r="X58" s="86">
        <f ca="1">IFERROR(__xludf.DUMMYFUNCTION("IMPORTRANGE(""https://docs.google.com/spreadsheets/d/1vWPVBOAaZ6mHSI8yf95DNqHwTJ1cpeFsvqt6cxV34QA/edit?usp=sharing"",""ตราด!J341"")"),56)</f>
        <v>56</v>
      </c>
      <c r="Y58" s="86">
        <f ca="1">IFERROR(__xludf.DUMMYFUNCTION("IMPORTRANGE(""https://docs.google.com/spreadsheets/d/1vWPVBOAaZ6mHSI8yf95DNqHwTJ1cpeFsvqt6cxV34QA/edit?usp=sharing"",""ตราด!J342"")"),0)</f>
        <v>0</v>
      </c>
      <c r="Z58" s="86">
        <f ca="1">IFERROR(__xludf.DUMMYFUNCTION("IMPORTRANGE(""https://docs.google.com/spreadsheets/d/1vWPVBOAaZ6mHSI8yf95DNqHwTJ1cpeFsvqt6cxV34QA/edit?usp=sharing"",""ตราด!J343"")"),0)</f>
        <v>0</v>
      </c>
    </row>
    <row r="59" spans="1:26" ht="21" customHeight="1" x14ac:dyDescent="0.2">
      <c r="A59" s="78">
        <v>7</v>
      </c>
      <c r="B59" s="79" t="s">
        <v>81</v>
      </c>
      <c r="C59" s="80">
        <f t="shared" ca="1" si="0"/>
        <v>788200</v>
      </c>
      <c r="D59" s="81">
        <f t="shared" ca="1" si="38"/>
        <v>788200</v>
      </c>
      <c r="E59" s="82">
        <f ca="1">IFERROR(__xludf.DUMMYFUNCTION("IMPORTRANGE(""https://docs.google.com/spreadsheets/d/1MeEWN-I1oV_STSDYn1IFDPWt_1FKiwhDph83XaGc0o0/edit?usp=sharing"",""งบพรบ!EN59"")"),631200)</f>
        <v>631200</v>
      </c>
      <c r="F59" s="82">
        <f ca="1">IFERROR(__xludf.DUMMYFUNCTION("IMPORTRANGE(""https://docs.google.com/spreadsheets/d/1MeEWN-I1oV_STSDYn1IFDPWt_1FKiwhDph83XaGc0o0/edit?usp=sharing"",""งบพรบ!EO59"")"),157000)</f>
        <v>157000</v>
      </c>
      <c r="G59" s="82">
        <f ca="1">IFERROR(__xludf.DUMMYFUNCTION("IMPORTRANGE(""https://docs.google.com/spreadsheets/d/1MeEWN-I1oV_STSDYn1IFDPWt_1FKiwhDph83XaGc0o0/edit?usp=sharing"",""งบพรบ!EP59"")"),0)</f>
        <v>0</v>
      </c>
      <c r="H59" s="82">
        <f ca="1">IFERROR(__xludf.DUMMYFUNCTION("IMPORTRANGE(""https://docs.google.com/spreadsheets/d/1MeEWN-I1oV_STSDYn1IFDPWt_1FKiwhDph83XaGc0o0/edit?usp=sharing"",""งบพรบ!ER59"")"),551900)</f>
        <v>551900</v>
      </c>
      <c r="I59" s="82">
        <f ca="1">IFERROR(__xludf.DUMMYFUNCTION("IMPORTRANGE(""https://docs.google.com/spreadsheets/d/1MeEWN-I1oV_STSDYn1IFDPWt_1FKiwhDph83XaGc0o0/edit?usp=sharing"",""งบพรบ!ES59"")"),0)</f>
        <v>0</v>
      </c>
      <c r="J59" s="82">
        <f t="shared" ca="1" si="3"/>
        <v>230734</v>
      </c>
      <c r="K59" s="83">
        <f t="shared" ca="1" si="4"/>
        <v>29.273534635879219</v>
      </c>
      <c r="L59" s="82">
        <f ca="1">IFERROR(__xludf.DUMMYFUNCTION("IMPORTRANGE(""https://docs.google.com/spreadsheets/d/1MeEWN-I1oV_STSDYn1IFDPWt_1FKiwhDph83XaGc0o0/edit?usp=sharing"",""งบพรบ!ET59"")"),230734)</f>
        <v>230734</v>
      </c>
      <c r="M59" s="84">
        <f t="shared" ca="1" si="5"/>
        <v>29.273534635879219</v>
      </c>
      <c r="N59" s="84">
        <f t="shared" ca="1" si="6"/>
        <v>41.807211451349879</v>
      </c>
      <c r="O59" s="85">
        <f ca="1">IFERROR(__xludf.DUMMYFUNCTION("IMPORTRANGE(""https://docs.google.com/spreadsheets/d/1MeEWN-I1oV_STSDYn1IFDPWt_1FKiwhDph83XaGc0o0/edit?usp=sharing"",""งบพรบ!EU59"")"),0)</f>
        <v>0</v>
      </c>
      <c r="P59" s="85">
        <f t="shared" ca="1" si="24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IFERROR(__xludf.DUMMYFUNCTION("IMPORTRANGE(""https://docs.google.com/spreadsheets/d/1phaeSb9lTGgzDpbvVqI9hfmOQQzUom07-HEvpbARzEg/edit?usp=sharing"",""นครนายก!I338"")"),600)</f>
        <v>600</v>
      </c>
      <c r="S59" s="86">
        <f ca="1">IFERROR(__xludf.DUMMYFUNCTION("IMPORTRANGE(""https://docs.google.com/spreadsheets/d/1phaeSb9lTGgzDpbvVqI9hfmOQQzUom07-HEvpbARzEg/edit?usp=sharing"",""นครนายก!J338"")"),168)</f>
        <v>168</v>
      </c>
      <c r="T59" s="87">
        <f t="shared" ca="1" si="21"/>
        <v>28</v>
      </c>
      <c r="U59" s="86">
        <f ca="1">IFERROR(__xludf.DUMMYFUNCTION("IMPORTRANGE(""https://docs.google.com/spreadsheets/d/1phaeSb9lTGgzDpbvVqI9hfmOQQzUom07-HEvpbARzEg/edit?usp=sharing"",""นครนายก!I340"")"),2)</f>
        <v>2</v>
      </c>
      <c r="V59" s="86">
        <f ca="1">IFERROR(__xludf.DUMMYFUNCTION("IMPORTRANGE(""https://docs.google.com/spreadsheets/d/1phaeSb9lTGgzDpbvVqI9hfmOQQzUom07-HEvpbARzEg/edit?usp=sharing"",""นครนายก!J340"")"),0)</f>
        <v>0</v>
      </c>
      <c r="W59" s="87">
        <f t="shared" ca="1" si="22"/>
        <v>0</v>
      </c>
      <c r="X59" s="86">
        <f ca="1">IFERROR(__xludf.DUMMYFUNCTION("IMPORTRANGE(""https://docs.google.com/spreadsheets/d/1phaeSb9lTGgzDpbvVqI9hfmOQQzUom07-HEvpbARzEg/edit?usp=sharing"",""นครนายก!J341"")"),0)</f>
        <v>0</v>
      </c>
      <c r="Y59" s="86">
        <f ca="1">IFERROR(__xludf.DUMMYFUNCTION("IMPORTRANGE(""https://docs.google.com/spreadsheets/d/1phaeSb9lTGgzDpbvVqI9hfmOQQzUom07-HEvpbARzEg/edit?usp=sharing"",""นครนายก!J342"")"),0)</f>
        <v>0</v>
      </c>
      <c r="Z59" s="86">
        <f ca="1">IFERROR(__xludf.DUMMYFUNCTION("IMPORTRANGE(""https://docs.google.com/spreadsheets/d/1phaeSb9lTGgzDpbvVqI9hfmOQQzUom07-HEvpbARzEg/edit?usp=sharing"",""นครนายก!J343"")"),0)</f>
        <v>0</v>
      </c>
    </row>
    <row r="60" spans="1:26" ht="21" customHeight="1" x14ac:dyDescent="0.2">
      <c r="A60" s="78">
        <v>8</v>
      </c>
      <c r="B60" s="79" t="s">
        <v>82</v>
      </c>
      <c r="C60" s="80">
        <f t="shared" ca="1" si="0"/>
        <v>244600</v>
      </c>
      <c r="D60" s="81">
        <f t="shared" ca="1" si="38"/>
        <v>244600</v>
      </c>
      <c r="E60" s="82">
        <f ca="1">IFERROR(__xludf.DUMMYFUNCTION("IMPORTRANGE(""https://docs.google.com/spreadsheets/d/1MeEWN-I1oV_STSDYn1IFDPWt_1FKiwhDph83XaGc0o0/edit?usp=sharing"",""งบพรบ!EN60"")"),87600)</f>
        <v>87600</v>
      </c>
      <c r="F60" s="82">
        <f ca="1">IFERROR(__xludf.DUMMYFUNCTION("IMPORTRANGE(""https://docs.google.com/spreadsheets/d/1MeEWN-I1oV_STSDYn1IFDPWt_1FKiwhDph83XaGc0o0/edit?usp=sharing"",""งบพรบ!EO60"")"),157000)</f>
        <v>157000</v>
      </c>
      <c r="G60" s="82">
        <f ca="1">IFERROR(__xludf.DUMMYFUNCTION("IMPORTRANGE(""https://docs.google.com/spreadsheets/d/1MeEWN-I1oV_STSDYn1IFDPWt_1FKiwhDph83XaGc0o0/edit?usp=sharing"",""งบพรบ!EP60"")"),0)</f>
        <v>0</v>
      </c>
      <c r="H60" s="82">
        <f ca="1">IFERROR(__xludf.DUMMYFUNCTION("IMPORTRANGE(""https://docs.google.com/spreadsheets/d/1MeEWN-I1oV_STSDYn1IFDPWt_1FKiwhDph83XaGc0o0/edit?usp=sharing"",""งบพรบ!ER60"")"),144200)</f>
        <v>144200</v>
      </c>
      <c r="I60" s="82">
        <f ca="1">IFERROR(__xludf.DUMMYFUNCTION("IMPORTRANGE(""https://docs.google.com/spreadsheets/d/1MeEWN-I1oV_STSDYn1IFDPWt_1FKiwhDph83XaGc0o0/edit?usp=sharing"",""งบพรบ!ES60"")"),0)</f>
        <v>0</v>
      </c>
      <c r="J60" s="82">
        <f t="shared" ca="1" si="3"/>
        <v>74140</v>
      </c>
      <c r="K60" s="83">
        <f t="shared" ca="1" si="4"/>
        <v>30.310711365494686</v>
      </c>
      <c r="L60" s="82">
        <f ca="1">IFERROR(__xludf.DUMMYFUNCTION("IMPORTRANGE(""https://docs.google.com/spreadsheets/d/1MeEWN-I1oV_STSDYn1IFDPWt_1FKiwhDph83XaGc0o0/edit?usp=sharing"",""งบพรบ!ET60"")"),74140)</f>
        <v>74140</v>
      </c>
      <c r="M60" s="84">
        <f t="shared" ca="1" si="5"/>
        <v>30.310711365494686</v>
      </c>
      <c r="N60" s="84">
        <f t="shared" ca="1" si="6"/>
        <v>51.414701803051315</v>
      </c>
      <c r="O60" s="85">
        <f ca="1">IFERROR(__xludf.DUMMYFUNCTION("IMPORTRANGE(""https://docs.google.com/spreadsheets/d/1MeEWN-I1oV_STSDYn1IFDPWt_1FKiwhDph83XaGc0o0/edit?usp=sharing"",""งบพรบ!EU60"")"),0)</f>
        <v>0</v>
      </c>
      <c r="P60" s="85">
        <f t="shared" ca="1" si="24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IFERROR(__xludf.DUMMYFUNCTION("IMPORTRANGE(""https://docs.google.com/spreadsheets/d/1tpwhWwkqkBeiSWCcfB5f2fbwPRbM9hHOEDSDHpl2MIc/edit?usp=sharing"",""นครปฐม!I338"")"),200)</f>
        <v>200</v>
      </c>
      <c r="S60" s="86">
        <f ca="1">IFERROR(__xludf.DUMMYFUNCTION("IMPORTRANGE(""https://docs.google.com/spreadsheets/d/1tpwhWwkqkBeiSWCcfB5f2fbwPRbM9hHOEDSDHpl2MIc/edit?usp=sharing"",""นครปฐม!J338"")"),105)</f>
        <v>105</v>
      </c>
      <c r="T60" s="87">
        <f t="shared" ca="1" si="21"/>
        <v>52.5</v>
      </c>
      <c r="U60" s="86">
        <f ca="1">IFERROR(__xludf.DUMMYFUNCTION("IMPORTRANGE(""https://docs.google.com/spreadsheets/d/1tpwhWwkqkBeiSWCcfB5f2fbwPRbM9hHOEDSDHpl2MIc/edit?usp=sharing"",""นครปฐม!I340"")"),2)</f>
        <v>2</v>
      </c>
      <c r="V60" s="86">
        <f ca="1">IFERROR(__xludf.DUMMYFUNCTION("IMPORTRANGE(""https://docs.google.com/spreadsheets/d/1tpwhWwkqkBeiSWCcfB5f2fbwPRbM9hHOEDSDHpl2MIc/edit?usp=sharing"",""นครปฐม!J340"")"),1)</f>
        <v>1</v>
      </c>
      <c r="W60" s="87">
        <f t="shared" ca="1" si="22"/>
        <v>50</v>
      </c>
      <c r="X60" s="86">
        <f ca="1">IFERROR(__xludf.DUMMYFUNCTION("IMPORTRANGE(""https://docs.google.com/spreadsheets/d/1tpwhWwkqkBeiSWCcfB5f2fbwPRbM9hHOEDSDHpl2MIc/edit?usp=sharing"",""นครปฐม!J341"")"),72)</f>
        <v>72</v>
      </c>
      <c r="Y60" s="86">
        <f ca="1">IFERROR(__xludf.DUMMYFUNCTION("IMPORTRANGE(""https://docs.google.com/spreadsheets/d/1tpwhWwkqkBeiSWCcfB5f2fbwPRbM9hHOEDSDHpl2MIc/edit?usp=sharing"",""นครปฐม!J342"")"),0)</f>
        <v>0</v>
      </c>
      <c r="Z60" s="86">
        <f ca="1">IFERROR(__xludf.DUMMYFUNCTION("IMPORTRANGE(""https://docs.google.com/spreadsheets/d/1tpwhWwkqkBeiSWCcfB5f2fbwPRbM9hHOEDSDHpl2MIc/edit?usp=sharing"",""นครปฐม!J343"")"),0)</f>
        <v>0</v>
      </c>
    </row>
    <row r="61" spans="1:26" ht="21" customHeight="1" x14ac:dyDescent="0.2">
      <c r="A61" s="78">
        <v>9</v>
      </c>
      <c r="B61" s="79" t="s">
        <v>83</v>
      </c>
      <c r="C61" s="80">
        <f t="shared" ca="1" si="0"/>
        <v>337200</v>
      </c>
      <c r="D61" s="81">
        <f t="shared" ca="1" si="38"/>
        <v>337200</v>
      </c>
      <c r="E61" s="82">
        <f ca="1">IFERROR(__xludf.DUMMYFUNCTION("IMPORTRANGE(""https://docs.google.com/spreadsheets/d/1MeEWN-I1oV_STSDYn1IFDPWt_1FKiwhDph83XaGc0o0/edit?usp=sharing"",""งบพรบ!EN61"")"),175200)</f>
        <v>175200</v>
      </c>
      <c r="F61" s="82">
        <f ca="1">IFERROR(__xludf.DUMMYFUNCTION("IMPORTRANGE(""https://docs.google.com/spreadsheets/d/1MeEWN-I1oV_STSDYn1IFDPWt_1FKiwhDph83XaGc0o0/edit?usp=sharing"",""งบพรบ!EO61"")"),162000)</f>
        <v>162000</v>
      </c>
      <c r="G61" s="82">
        <f ca="1">IFERROR(__xludf.DUMMYFUNCTION("IMPORTRANGE(""https://docs.google.com/spreadsheets/d/1MeEWN-I1oV_STSDYn1IFDPWt_1FKiwhDph83XaGc0o0/edit?usp=sharing"",""งบพรบ!EP61"")"),0)</f>
        <v>0</v>
      </c>
      <c r="H61" s="82">
        <f ca="1">IFERROR(__xludf.DUMMYFUNCTION("IMPORTRANGE(""https://docs.google.com/spreadsheets/d/1MeEWN-I1oV_STSDYn1IFDPWt_1FKiwhDph83XaGc0o0/edit?usp=sharing"",""งบพรบ!ER61"")"),212400)</f>
        <v>212400</v>
      </c>
      <c r="I61" s="82">
        <f ca="1">IFERROR(__xludf.DUMMYFUNCTION("IMPORTRANGE(""https://docs.google.com/spreadsheets/d/1MeEWN-I1oV_STSDYn1IFDPWt_1FKiwhDph83XaGc0o0/edit?usp=sharing"",""งบพรบ!ES61"")"),0)</f>
        <v>0</v>
      </c>
      <c r="J61" s="82">
        <f t="shared" ca="1" si="3"/>
        <v>101123.34</v>
      </c>
      <c r="K61" s="83">
        <f t="shared" ca="1" si="4"/>
        <v>29.989128113879005</v>
      </c>
      <c r="L61" s="82">
        <f ca="1">IFERROR(__xludf.DUMMYFUNCTION("IMPORTRANGE(""https://docs.google.com/spreadsheets/d/1MeEWN-I1oV_STSDYn1IFDPWt_1FKiwhDph83XaGc0o0/edit?usp=sharing"",""งบพรบ!ET61"")"),101123.34)</f>
        <v>101123.34</v>
      </c>
      <c r="M61" s="84">
        <f t="shared" ca="1" si="5"/>
        <v>29.989128113879005</v>
      </c>
      <c r="N61" s="84">
        <f t="shared" ca="1" si="6"/>
        <v>47.609858757062149</v>
      </c>
      <c r="O61" s="85">
        <f ca="1">IFERROR(__xludf.DUMMYFUNCTION("IMPORTRANGE(""https://docs.google.com/spreadsheets/d/1MeEWN-I1oV_STSDYn1IFDPWt_1FKiwhDph83XaGc0o0/edit?usp=sharing"",""งบพรบ!EU61"")"),0)</f>
        <v>0</v>
      </c>
      <c r="P61" s="85">
        <f t="shared" ca="1" si="24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IFERROR(__xludf.DUMMYFUNCTION("IMPORTRANGE(""https://docs.google.com/spreadsheets/d/1fJJCVBkBnhriyv0Cp5ZFMr0I_yrfdEITNpb4zILJgUQ/edit?usp=sharing"",""ปทุมธานี!I338"")"),1400)</f>
        <v>1400</v>
      </c>
      <c r="S61" s="86">
        <f ca="1">IFERROR(__xludf.DUMMYFUNCTION("IMPORTRANGE(""https://docs.google.com/spreadsheets/d/1fJJCVBkBnhriyv0Cp5ZFMr0I_yrfdEITNpb4zILJgUQ/edit?usp=sharing"",""ปทุมธานี!J338"")"),233)</f>
        <v>233</v>
      </c>
      <c r="T61" s="87">
        <f t="shared" ca="1" si="21"/>
        <v>16.642857142857142</v>
      </c>
      <c r="U61" s="86">
        <f ca="1">IFERROR(__xludf.DUMMYFUNCTION("IMPORTRANGE(""https://docs.google.com/spreadsheets/d/1fJJCVBkBnhriyv0Cp5ZFMr0I_yrfdEITNpb4zILJgUQ/edit?usp=sharing"",""ปทุมธานี!I340"")"),2)</f>
        <v>2</v>
      </c>
      <c r="V61" s="86">
        <f ca="1">IFERROR(__xludf.DUMMYFUNCTION("IMPORTRANGE(""https://docs.google.com/spreadsheets/d/1fJJCVBkBnhriyv0Cp5ZFMr0I_yrfdEITNpb4zILJgUQ/edit?usp=sharing"",""ปทุมธานี!J340"")"),10)</f>
        <v>10</v>
      </c>
      <c r="W61" s="87">
        <f t="shared" ca="1" si="22"/>
        <v>500</v>
      </c>
      <c r="X61" s="86">
        <f ca="1">IFERROR(__xludf.DUMMYFUNCTION("IMPORTRANGE(""https://docs.google.com/spreadsheets/d/1fJJCVBkBnhriyv0Cp5ZFMr0I_yrfdEITNpb4zILJgUQ/edit?usp=sharing"",""ปทุมธานี!J341"")"),750)</f>
        <v>750</v>
      </c>
      <c r="Y61" s="86">
        <f ca="1">IFERROR(__xludf.DUMMYFUNCTION("IMPORTRANGE(""https://docs.google.com/spreadsheets/d/1fJJCVBkBnhriyv0Cp5ZFMr0I_yrfdEITNpb4zILJgUQ/edit?usp=sharing"",""ปทุมธานี!J342"")"),0)</f>
        <v>0</v>
      </c>
      <c r="Z61" s="86">
        <f ca="1">IFERROR(__xludf.DUMMYFUNCTION("IMPORTRANGE(""https://docs.google.com/spreadsheets/d/1fJJCVBkBnhriyv0Cp5ZFMr0I_yrfdEITNpb4zILJgUQ/edit?usp=sharing"",""ปทุมธานี!J343"")"),0)</f>
        <v>0</v>
      </c>
    </row>
    <row r="62" spans="1:26" ht="21" customHeight="1" x14ac:dyDescent="0.2">
      <c r="A62" s="78">
        <v>10</v>
      </c>
      <c r="B62" s="79" t="s">
        <v>84</v>
      </c>
      <c r="C62" s="80">
        <f t="shared" ca="1" si="0"/>
        <v>159000</v>
      </c>
      <c r="D62" s="81">
        <f t="shared" ca="1" si="38"/>
        <v>159000</v>
      </c>
      <c r="E62" s="82">
        <f ca="1">IFERROR(__xludf.DUMMYFUNCTION("IMPORTRANGE(""https://docs.google.com/spreadsheets/d/1MeEWN-I1oV_STSDYn1IFDPWt_1FKiwhDph83XaGc0o0/edit?usp=sharing"",""งบพรบ!EN62"")"),0)</f>
        <v>0</v>
      </c>
      <c r="F62" s="82">
        <f ca="1">IFERROR(__xludf.DUMMYFUNCTION("IMPORTRANGE(""https://docs.google.com/spreadsheets/d/1MeEWN-I1oV_STSDYn1IFDPWt_1FKiwhDph83XaGc0o0/edit?usp=sharing"",""งบพรบ!EO62"")"),159000)</f>
        <v>159000</v>
      </c>
      <c r="G62" s="82">
        <f ca="1">IFERROR(__xludf.DUMMYFUNCTION("IMPORTRANGE(""https://docs.google.com/spreadsheets/d/1MeEWN-I1oV_STSDYn1IFDPWt_1FKiwhDph83XaGc0o0/edit?usp=sharing"",""งบพรบ!EP62"")"),0)</f>
        <v>0</v>
      </c>
      <c r="H62" s="82">
        <f ca="1">IFERROR(__xludf.DUMMYFUNCTION("IMPORTRANGE(""https://docs.google.com/spreadsheets/d/1MeEWN-I1oV_STSDYn1IFDPWt_1FKiwhDph83XaGc0o0/edit?usp=sharing"",""งบพรบ!ER62"")"),79500)</f>
        <v>79500</v>
      </c>
      <c r="I62" s="82">
        <f ca="1">IFERROR(__xludf.DUMMYFUNCTION("IMPORTRANGE(""https://docs.google.com/spreadsheets/d/1MeEWN-I1oV_STSDYn1IFDPWt_1FKiwhDph83XaGc0o0/edit?usp=sharing"",""งบพรบ!ES62"")"),0)</f>
        <v>0</v>
      </c>
      <c r="J62" s="82">
        <f t="shared" ca="1" si="3"/>
        <v>42610</v>
      </c>
      <c r="K62" s="83">
        <f t="shared" ca="1" si="4"/>
        <v>26.79874213836478</v>
      </c>
      <c r="L62" s="82">
        <f ca="1">IFERROR(__xludf.DUMMYFUNCTION("IMPORTRANGE(""https://docs.google.com/spreadsheets/d/1MeEWN-I1oV_STSDYn1IFDPWt_1FKiwhDph83XaGc0o0/edit?usp=sharing"",""งบพรบ!ET62"")"),42610)</f>
        <v>42610</v>
      </c>
      <c r="M62" s="84">
        <f t="shared" ca="1" si="5"/>
        <v>26.79874213836478</v>
      </c>
      <c r="N62" s="84">
        <f t="shared" ca="1" si="6"/>
        <v>53.59748427672956</v>
      </c>
      <c r="O62" s="85">
        <f ca="1">IFERROR(__xludf.DUMMYFUNCTION("IMPORTRANGE(""https://docs.google.com/spreadsheets/d/1MeEWN-I1oV_STSDYn1IFDPWt_1FKiwhDph83XaGc0o0/edit?usp=sharing"",""งบพรบ!EU62"")"),0)</f>
        <v>0</v>
      </c>
      <c r="P62" s="85">
        <f t="shared" ca="1" si="24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IFERROR(__xludf.DUMMYFUNCTION("IMPORTRANGE(""https://docs.google.com/spreadsheets/d/1W5Jj_S0gYw6wSO7QcMI02YgyOBDKYgmm0NSUk-AQEac/edit?usp=sharing"",""ประจวบคีรีขันธ์!I338"")"),800)</f>
        <v>800</v>
      </c>
      <c r="S62" s="86">
        <f ca="1">IFERROR(__xludf.DUMMYFUNCTION("IMPORTRANGE(""https://docs.google.com/spreadsheets/d/1W5Jj_S0gYw6wSO7QcMI02YgyOBDKYgmm0NSUk-AQEac/edit?usp=sharing"",""ประจวบคีรีขันธ์!J338"")"),523)</f>
        <v>523</v>
      </c>
      <c r="T62" s="87">
        <f t="shared" ca="1" si="21"/>
        <v>65.375</v>
      </c>
      <c r="U62" s="86">
        <f ca="1">IFERROR(__xludf.DUMMYFUNCTION("IMPORTRANGE(""https://docs.google.com/spreadsheets/d/1W5Jj_S0gYw6wSO7QcMI02YgyOBDKYgmm0NSUk-AQEac/edit?usp=sharing"",""ประจวบคีรีขันธ์!I340"")"),3)</f>
        <v>3</v>
      </c>
      <c r="V62" s="86">
        <f ca="1">IFERROR(__xludf.DUMMYFUNCTION("IMPORTRANGE(""https://docs.google.com/spreadsheets/d/1W5Jj_S0gYw6wSO7QcMI02YgyOBDKYgmm0NSUk-AQEac/edit?usp=sharing"",""ประจวบคีรีขันธ์!J340"")"),0)</f>
        <v>0</v>
      </c>
      <c r="W62" s="87">
        <f t="shared" ca="1" si="22"/>
        <v>0</v>
      </c>
      <c r="X62" s="86">
        <f ca="1">IFERROR(__xludf.DUMMYFUNCTION("IMPORTRANGE(""https://docs.google.com/spreadsheets/d/1W5Jj_S0gYw6wSO7QcMI02YgyOBDKYgmm0NSUk-AQEac/edit?usp=sharing"",""ประจวบคีรีขันธ์!J341"")"),0)</f>
        <v>0</v>
      </c>
      <c r="Y62" s="86">
        <f ca="1">IFERROR(__xludf.DUMMYFUNCTION("IMPORTRANGE(""https://docs.google.com/spreadsheets/d/1W5Jj_S0gYw6wSO7QcMI02YgyOBDKYgmm0NSUk-AQEac/edit?usp=sharing"",""ประจวบคีรีขันธ์!J342"")"),0)</f>
        <v>0</v>
      </c>
      <c r="Z62" s="86">
        <f ca="1">IFERROR(__xludf.DUMMYFUNCTION("IMPORTRANGE(""https://docs.google.com/spreadsheets/d/1W5Jj_S0gYw6wSO7QcMI02YgyOBDKYgmm0NSUk-AQEac/edit?usp=sharing"",""ประจวบคีรีขันธ์!J343"")"),47)</f>
        <v>47</v>
      </c>
    </row>
    <row r="63" spans="1:26" ht="21" customHeight="1" x14ac:dyDescent="0.2">
      <c r="A63" s="78">
        <v>11</v>
      </c>
      <c r="B63" s="79" t="s">
        <v>85</v>
      </c>
      <c r="C63" s="80">
        <f t="shared" ca="1" si="0"/>
        <v>159000</v>
      </c>
      <c r="D63" s="81">
        <f t="shared" ca="1" si="38"/>
        <v>159000</v>
      </c>
      <c r="E63" s="82">
        <f ca="1">IFERROR(__xludf.DUMMYFUNCTION("IMPORTRANGE(""https://docs.google.com/spreadsheets/d/1MeEWN-I1oV_STSDYn1IFDPWt_1FKiwhDph83XaGc0o0/edit?usp=sharing"",""งบพรบ!EN63"")"),0)</f>
        <v>0</v>
      </c>
      <c r="F63" s="82">
        <f ca="1">IFERROR(__xludf.DUMMYFUNCTION("IMPORTRANGE(""https://docs.google.com/spreadsheets/d/1MeEWN-I1oV_STSDYn1IFDPWt_1FKiwhDph83XaGc0o0/edit?usp=sharing"",""งบพรบ!EO63"")"),159000)</f>
        <v>159000</v>
      </c>
      <c r="G63" s="82">
        <f ca="1">IFERROR(__xludf.DUMMYFUNCTION("IMPORTRANGE(""https://docs.google.com/spreadsheets/d/1MeEWN-I1oV_STSDYn1IFDPWt_1FKiwhDph83XaGc0o0/edit?usp=sharing"",""งบพรบ!EP63"")"),0)</f>
        <v>0</v>
      </c>
      <c r="H63" s="82">
        <f ca="1">IFERROR(__xludf.DUMMYFUNCTION("IMPORTRANGE(""https://docs.google.com/spreadsheets/d/1MeEWN-I1oV_STSDYn1IFDPWt_1FKiwhDph83XaGc0o0/edit?usp=sharing"",""งบพรบ!ER63"")"),79500)</f>
        <v>79500</v>
      </c>
      <c r="I63" s="82">
        <f ca="1">IFERROR(__xludf.DUMMYFUNCTION("IMPORTRANGE(""https://docs.google.com/spreadsheets/d/1MeEWN-I1oV_STSDYn1IFDPWt_1FKiwhDph83XaGc0o0/edit?usp=sharing"",""งบพรบ!ES63"")"),0)</f>
        <v>0</v>
      </c>
      <c r="J63" s="82">
        <f t="shared" ca="1" si="3"/>
        <v>53500</v>
      </c>
      <c r="K63" s="83">
        <f t="shared" ca="1" si="4"/>
        <v>33.647798742138363</v>
      </c>
      <c r="L63" s="82">
        <f ca="1">IFERROR(__xludf.DUMMYFUNCTION("IMPORTRANGE(""https://docs.google.com/spreadsheets/d/1MeEWN-I1oV_STSDYn1IFDPWt_1FKiwhDph83XaGc0o0/edit?usp=sharing"",""งบพรบ!ET63"")"),53500)</f>
        <v>53500</v>
      </c>
      <c r="M63" s="84">
        <f t="shared" ca="1" si="5"/>
        <v>33.647798742138363</v>
      </c>
      <c r="N63" s="84">
        <f t="shared" ca="1" si="6"/>
        <v>67.295597484276726</v>
      </c>
      <c r="O63" s="85">
        <f ca="1">IFERROR(__xludf.DUMMYFUNCTION("IMPORTRANGE(""https://docs.google.com/spreadsheets/d/1MeEWN-I1oV_STSDYn1IFDPWt_1FKiwhDph83XaGc0o0/edit?usp=sharing"",""งบพรบ!EU63"")"),0)</f>
        <v>0</v>
      </c>
      <c r="P63" s="85">
        <f t="shared" ca="1" si="24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IFERROR(__xludf.DUMMYFUNCTION("IMPORTRANGE(""https://docs.google.com/spreadsheets/d/1nYxRXgnCfTXtqUY1otYuTlnrzE0Tn-Y0YRsW5pkRVqo/edit?usp=sharing"",""ปราจีนบุรี!I338"")"),1000)</f>
        <v>1000</v>
      </c>
      <c r="S63" s="86">
        <f ca="1">IFERROR(__xludf.DUMMYFUNCTION("IMPORTRANGE(""https://docs.google.com/spreadsheets/d/1nYxRXgnCfTXtqUY1otYuTlnrzE0Tn-Y0YRsW5pkRVqo/edit?usp=sharing"",""ปราจีนบุรี!J338"")"),357)</f>
        <v>357</v>
      </c>
      <c r="T63" s="87">
        <f t="shared" ca="1" si="21"/>
        <v>35.700000000000003</v>
      </c>
      <c r="U63" s="86">
        <f ca="1">IFERROR(__xludf.DUMMYFUNCTION("IMPORTRANGE(""https://docs.google.com/spreadsheets/d/1nYxRXgnCfTXtqUY1otYuTlnrzE0Tn-Y0YRsW5pkRVqo/edit?usp=sharing"",""ปราจีนบุรี!I340"")"),3)</f>
        <v>3</v>
      </c>
      <c r="V63" s="86">
        <f ca="1">IFERROR(__xludf.DUMMYFUNCTION("IMPORTRANGE(""https://docs.google.com/spreadsheets/d/1nYxRXgnCfTXtqUY1otYuTlnrzE0Tn-Y0YRsW5pkRVqo/edit?usp=sharing"",""ปราจีนบุรี!J340"")"),6)</f>
        <v>6</v>
      </c>
      <c r="W63" s="87">
        <f t="shared" ca="1" si="22"/>
        <v>200</v>
      </c>
      <c r="X63" s="86">
        <f ca="1">IFERROR(__xludf.DUMMYFUNCTION("IMPORTRANGE(""https://docs.google.com/spreadsheets/d/1nYxRXgnCfTXtqUY1otYuTlnrzE0Tn-Y0YRsW5pkRVqo/edit?usp=sharing"",""ปราจีนบุรี!J341"")"),93)</f>
        <v>93</v>
      </c>
      <c r="Y63" s="86">
        <f ca="1">IFERROR(__xludf.DUMMYFUNCTION("IMPORTRANGE(""https://docs.google.com/spreadsheets/d/1nYxRXgnCfTXtqUY1otYuTlnrzE0Tn-Y0YRsW5pkRVqo/edit?usp=sharing"",""ปราจีนบุรี!J342"")"),0)</f>
        <v>0</v>
      </c>
      <c r="Z63" s="86">
        <f ca="1">IFERROR(__xludf.DUMMYFUNCTION("IMPORTRANGE(""https://docs.google.com/spreadsheets/d/1nYxRXgnCfTXtqUY1otYuTlnrzE0Tn-Y0YRsW5pkRVqo/edit?usp=sharing"",""ปราจีนบุรี!J343"")"),0)</f>
        <v>0</v>
      </c>
    </row>
    <row r="64" spans="1:26" ht="21" customHeight="1" x14ac:dyDescent="0.2">
      <c r="A64" s="78">
        <v>12</v>
      </c>
      <c r="B64" s="79" t="s">
        <v>86</v>
      </c>
      <c r="C64" s="80">
        <f t="shared" ca="1" si="0"/>
        <v>588600</v>
      </c>
      <c r="D64" s="81">
        <f t="shared" ca="1" si="38"/>
        <v>588600</v>
      </c>
      <c r="E64" s="82">
        <f ca="1">IFERROR(__xludf.DUMMYFUNCTION("IMPORTRANGE(""https://docs.google.com/spreadsheets/d/1MeEWN-I1oV_STSDYn1IFDPWt_1FKiwhDph83XaGc0o0/edit?usp=sharing"",""งบพรบ!EN64"")"),429600)</f>
        <v>429600</v>
      </c>
      <c r="F64" s="82">
        <f ca="1">IFERROR(__xludf.DUMMYFUNCTION("IMPORTRANGE(""https://docs.google.com/spreadsheets/d/1MeEWN-I1oV_STSDYn1IFDPWt_1FKiwhDph83XaGc0o0/edit?usp=sharing"",""งบพรบ!EO64"")"),159000)</f>
        <v>159000</v>
      </c>
      <c r="G64" s="82">
        <f ca="1">IFERROR(__xludf.DUMMYFUNCTION("IMPORTRANGE(""https://docs.google.com/spreadsheets/d/1MeEWN-I1oV_STSDYn1IFDPWt_1FKiwhDph83XaGc0o0/edit?usp=sharing"",""งบพรบ!EP64"")"),0)</f>
        <v>0</v>
      </c>
      <c r="H64" s="82">
        <f ca="1">IFERROR(__xludf.DUMMYFUNCTION("IMPORTRANGE(""https://docs.google.com/spreadsheets/d/1MeEWN-I1oV_STSDYn1IFDPWt_1FKiwhDph83XaGc0o0/edit?usp=sharing"",""งบพรบ!ER64"")"),401700)</f>
        <v>401700</v>
      </c>
      <c r="I64" s="82">
        <f ca="1">IFERROR(__xludf.DUMMYFUNCTION("IMPORTRANGE(""https://docs.google.com/spreadsheets/d/1MeEWN-I1oV_STSDYn1IFDPWt_1FKiwhDph83XaGc0o0/edit?usp=sharing"",""งบพรบ!ES64"")"),0)</f>
        <v>0</v>
      </c>
      <c r="J64" s="82">
        <f t="shared" ca="1" si="3"/>
        <v>128314</v>
      </c>
      <c r="K64" s="83">
        <f t="shared" ca="1" si="4"/>
        <v>21.799864084267753</v>
      </c>
      <c r="L64" s="82">
        <f ca="1">IFERROR(__xludf.DUMMYFUNCTION("IMPORTRANGE(""https://docs.google.com/spreadsheets/d/1MeEWN-I1oV_STSDYn1IFDPWt_1FKiwhDph83XaGc0o0/edit?usp=sharing"",""งบพรบ!ET64"")"),128314)</f>
        <v>128314</v>
      </c>
      <c r="M64" s="84">
        <f t="shared" ca="1" si="5"/>
        <v>21.799864084267753</v>
      </c>
      <c r="N64" s="84">
        <f t="shared" ca="1" si="6"/>
        <v>31.942743340801592</v>
      </c>
      <c r="O64" s="85">
        <f ca="1">IFERROR(__xludf.DUMMYFUNCTION("IMPORTRANGE(""https://docs.google.com/spreadsheets/d/1MeEWN-I1oV_STSDYn1IFDPWt_1FKiwhDph83XaGc0o0/edit?usp=sharing"",""งบพรบ!EU64"")"),0)</f>
        <v>0</v>
      </c>
      <c r="P64" s="85">
        <f t="shared" ca="1" si="24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IFERROR(__xludf.DUMMYFUNCTION("IMPORTRANGE(""https://docs.google.com/spreadsheets/d/1nNHCLO8ZAXOMfQvxux7cf_hrzPAh8FAvaHq_ClKbZNo/edit?usp=sharing"",""พระนครศรีอยุธยา!I338"")"),800)</f>
        <v>800</v>
      </c>
      <c r="S64" s="86">
        <f ca="1">IFERROR(__xludf.DUMMYFUNCTION("IMPORTRANGE(""https://docs.google.com/spreadsheets/d/1nNHCLO8ZAXOMfQvxux7cf_hrzPAh8FAvaHq_ClKbZNo/edit?usp=sharing"",""พระนครศรีอยุธยา!J338"")"),463)</f>
        <v>463</v>
      </c>
      <c r="T64" s="87">
        <f t="shared" ca="1" si="21"/>
        <v>57.875</v>
      </c>
      <c r="U64" s="86">
        <f ca="1">IFERROR(__xludf.DUMMYFUNCTION("IMPORTRANGE(""https://docs.google.com/spreadsheets/d/1nNHCLO8ZAXOMfQvxux7cf_hrzPAh8FAvaHq_ClKbZNo/edit?usp=sharing"",""พระนครศรีอยุธยา!I340"")"),3)</f>
        <v>3</v>
      </c>
      <c r="V64" s="86">
        <f ca="1">IFERROR(__xludf.DUMMYFUNCTION("IMPORTRANGE(""https://docs.google.com/spreadsheets/d/1nNHCLO8ZAXOMfQvxux7cf_hrzPAh8FAvaHq_ClKbZNo/edit?usp=sharing"",""พระนครศรีอยุธยา!J340"")"),4)</f>
        <v>4</v>
      </c>
      <c r="W64" s="87">
        <f t="shared" ca="1" si="22"/>
        <v>133.33333333333334</v>
      </c>
      <c r="X64" s="86">
        <f ca="1">IFERROR(__xludf.DUMMYFUNCTION("IMPORTRANGE(""https://docs.google.com/spreadsheets/d/1nNHCLO8ZAXOMfQvxux7cf_hrzPAh8FAvaHq_ClKbZNo/edit?usp=sharing"",""พระนครศรีอยุธยา!J341"")"),281)</f>
        <v>281</v>
      </c>
      <c r="Y64" s="86">
        <f ca="1">IFERROR(__xludf.DUMMYFUNCTION("IMPORTRANGE(""https://docs.google.com/spreadsheets/d/1nNHCLO8ZAXOMfQvxux7cf_hrzPAh8FAvaHq_ClKbZNo/edit?usp=sharing"",""พระนครศรีอยุธยา!J342"")"),0)</f>
        <v>0</v>
      </c>
      <c r="Z64" s="86">
        <f ca="1">IFERROR(__xludf.DUMMYFUNCTION("IMPORTRANGE(""https://docs.google.com/spreadsheets/d/1nNHCLO8ZAXOMfQvxux7cf_hrzPAh8FAvaHq_ClKbZNo/edit?usp=sharing"",""พระนครศรีอยุธยา!J343"")"),0)</f>
        <v>0</v>
      </c>
    </row>
    <row r="65" spans="1:26" ht="21" customHeight="1" x14ac:dyDescent="0.2">
      <c r="A65" s="78">
        <v>13</v>
      </c>
      <c r="B65" s="79" t="s">
        <v>87</v>
      </c>
      <c r="C65" s="80">
        <f t="shared" ca="1" si="0"/>
        <v>161000</v>
      </c>
      <c r="D65" s="81">
        <f t="shared" ca="1" si="38"/>
        <v>161000</v>
      </c>
      <c r="E65" s="82">
        <f ca="1">IFERROR(__xludf.DUMMYFUNCTION("IMPORTRANGE(""https://docs.google.com/spreadsheets/d/1MeEWN-I1oV_STSDYn1IFDPWt_1FKiwhDph83XaGc0o0/edit?usp=sharing"",""งบพรบ!EN65"")"),0)</f>
        <v>0</v>
      </c>
      <c r="F65" s="82">
        <f ca="1">IFERROR(__xludf.DUMMYFUNCTION("IMPORTRANGE(""https://docs.google.com/spreadsheets/d/1MeEWN-I1oV_STSDYn1IFDPWt_1FKiwhDph83XaGc0o0/edit?usp=sharing"",""งบพรบ!EO65"")"),161000)</f>
        <v>161000</v>
      </c>
      <c r="G65" s="82">
        <f ca="1">IFERROR(__xludf.DUMMYFUNCTION("IMPORTRANGE(""https://docs.google.com/spreadsheets/d/1MeEWN-I1oV_STSDYn1IFDPWt_1FKiwhDph83XaGc0o0/edit?usp=sharing"",""งบพรบ!EP65"")"),0)</f>
        <v>0</v>
      </c>
      <c r="H65" s="82">
        <f ca="1">IFERROR(__xludf.DUMMYFUNCTION("IMPORTRANGE(""https://docs.google.com/spreadsheets/d/1MeEWN-I1oV_STSDYn1IFDPWt_1FKiwhDph83XaGc0o0/edit?usp=sharing"",""งบพรบ!ER65"")"),80500)</f>
        <v>80500</v>
      </c>
      <c r="I65" s="82">
        <f ca="1">IFERROR(__xludf.DUMMYFUNCTION("IMPORTRANGE(""https://docs.google.com/spreadsheets/d/1MeEWN-I1oV_STSDYn1IFDPWt_1FKiwhDph83XaGc0o0/edit?usp=sharing"",""งบพรบ!ES65"")"),0)</f>
        <v>0</v>
      </c>
      <c r="J65" s="82">
        <f t="shared" ca="1" si="3"/>
        <v>45270</v>
      </c>
      <c r="K65" s="83">
        <f t="shared" ca="1" si="4"/>
        <v>28.118012422360248</v>
      </c>
      <c r="L65" s="82">
        <f ca="1">IFERROR(__xludf.DUMMYFUNCTION("IMPORTRANGE(""https://docs.google.com/spreadsheets/d/1MeEWN-I1oV_STSDYn1IFDPWt_1FKiwhDph83XaGc0o0/edit?usp=sharing"",""งบพรบ!ET65"")"),45270)</f>
        <v>45270</v>
      </c>
      <c r="M65" s="84">
        <f t="shared" ca="1" si="5"/>
        <v>28.118012422360248</v>
      </c>
      <c r="N65" s="84">
        <f t="shared" ca="1" si="6"/>
        <v>56.236024844720497</v>
      </c>
      <c r="O65" s="85">
        <f ca="1">IFERROR(__xludf.DUMMYFUNCTION("IMPORTRANGE(""https://docs.google.com/spreadsheets/d/1MeEWN-I1oV_STSDYn1IFDPWt_1FKiwhDph83XaGc0o0/edit?usp=sharing"",""งบพรบ!EU65"")"),0)</f>
        <v>0</v>
      </c>
      <c r="P65" s="85">
        <f t="shared" ca="1" si="24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IFERROR(__xludf.DUMMYFUNCTION("IMPORTRANGE(""https://docs.google.com/spreadsheets/d/1CdNicvf3i6yt4tJlCePe3V1Va76wYqW0QzMzTsaGRrA/edit?usp=sharing"",""เพชรบุรี!I338"")"),700)</f>
        <v>700</v>
      </c>
      <c r="S65" s="86">
        <f ca="1">IFERROR(__xludf.DUMMYFUNCTION("IMPORTRANGE(""https://docs.google.com/spreadsheets/d/1CdNicvf3i6yt4tJlCePe3V1Va76wYqW0QzMzTsaGRrA/edit?usp=sharing"",""เพชรบุรี!J338"")"),193)</f>
        <v>193</v>
      </c>
      <c r="T65" s="87">
        <f t="shared" ca="1" si="21"/>
        <v>27.571428571428573</v>
      </c>
      <c r="U65" s="86">
        <f ca="1">IFERROR(__xludf.DUMMYFUNCTION("IMPORTRANGE(""https://docs.google.com/spreadsheets/d/1CdNicvf3i6yt4tJlCePe3V1Va76wYqW0QzMzTsaGRrA/edit?usp=sharing"",""เพชรบุรี!I340"")"),4)</f>
        <v>4</v>
      </c>
      <c r="V65" s="86">
        <f ca="1">IFERROR(__xludf.DUMMYFUNCTION("IMPORTRANGE(""https://docs.google.com/spreadsheets/d/1CdNicvf3i6yt4tJlCePe3V1Va76wYqW0QzMzTsaGRrA/edit?usp=sharing"",""เพชรบุรี!J340"")"),2)</f>
        <v>2</v>
      </c>
      <c r="W65" s="87">
        <f t="shared" ca="1" si="22"/>
        <v>50</v>
      </c>
      <c r="X65" s="86">
        <f ca="1">IFERROR(__xludf.DUMMYFUNCTION("IMPORTRANGE(""https://docs.google.com/spreadsheets/d/1CdNicvf3i6yt4tJlCePe3V1Va76wYqW0QzMzTsaGRrA/edit?usp=sharing"",""เพชรบุรี!J341"")"),88)</f>
        <v>88</v>
      </c>
      <c r="Y65" s="86">
        <f ca="1">IFERROR(__xludf.DUMMYFUNCTION("IMPORTRANGE(""https://docs.google.com/spreadsheets/d/1CdNicvf3i6yt4tJlCePe3V1Va76wYqW0QzMzTsaGRrA/edit?usp=sharing"",""เพชรบุรี!J342"")"),0)</f>
        <v>0</v>
      </c>
      <c r="Z65" s="86">
        <f ca="1">IFERROR(__xludf.DUMMYFUNCTION("IMPORTRANGE(""https://docs.google.com/spreadsheets/d/1CdNicvf3i6yt4tJlCePe3V1Va76wYqW0QzMzTsaGRrA/edit?usp=sharing"",""เพชรบุรี!J343"")"),0)</f>
        <v>0</v>
      </c>
    </row>
    <row r="66" spans="1:26" ht="21" customHeight="1" x14ac:dyDescent="0.2">
      <c r="A66" s="78">
        <v>14</v>
      </c>
      <c r="B66" s="79" t="s">
        <v>88</v>
      </c>
      <c r="C66" s="80">
        <f t="shared" ca="1" si="0"/>
        <v>157000</v>
      </c>
      <c r="D66" s="81">
        <f t="shared" ca="1" si="38"/>
        <v>157000</v>
      </c>
      <c r="E66" s="82">
        <f ca="1">IFERROR(__xludf.DUMMYFUNCTION("IMPORTRANGE(""https://docs.google.com/spreadsheets/d/1MeEWN-I1oV_STSDYn1IFDPWt_1FKiwhDph83XaGc0o0/edit?usp=sharing"",""งบพรบ!EN66"")"),0)</f>
        <v>0</v>
      </c>
      <c r="F66" s="82">
        <f ca="1">IFERROR(__xludf.DUMMYFUNCTION("IMPORTRANGE(""https://docs.google.com/spreadsheets/d/1MeEWN-I1oV_STSDYn1IFDPWt_1FKiwhDph83XaGc0o0/edit?usp=sharing"",""งบพรบ!EO66"")"),157000)</f>
        <v>157000</v>
      </c>
      <c r="G66" s="82">
        <f ca="1">IFERROR(__xludf.DUMMYFUNCTION("IMPORTRANGE(""https://docs.google.com/spreadsheets/d/1MeEWN-I1oV_STSDYn1IFDPWt_1FKiwhDph83XaGc0o0/edit?usp=sharing"",""งบพรบ!EP66"")"),0)</f>
        <v>0</v>
      </c>
      <c r="H66" s="82">
        <f ca="1">IFERROR(__xludf.DUMMYFUNCTION("IMPORTRANGE(""https://docs.google.com/spreadsheets/d/1MeEWN-I1oV_STSDYn1IFDPWt_1FKiwhDph83XaGc0o0/edit?usp=sharing"",""งบพรบ!ER66"")"),78500)</f>
        <v>78500</v>
      </c>
      <c r="I66" s="82">
        <f ca="1">IFERROR(__xludf.DUMMYFUNCTION("IMPORTRANGE(""https://docs.google.com/spreadsheets/d/1MeEWN-I1oV_STSDYn1IFDPWt_1FKiwhDph83XaGc0o0/edit?usp=sharing"",""งบพรบ!ES66"")"),0)</f>
        <v>0</v>
      </c>
      <c r="J66" s="82">
        <f t="shared" ca="1" si="3"/>
        <v>45491.1</v>
      </c>
      <c r="K66" s="83">
        <f t="shared" ca="1" si="4"/>
        <v>28.975222929936304</v>
      </c>
      <c r="L66" s="82">
        <f ca="1">IFERROR(__xludf.DUMMYFUNCTION("IMPORTRANGE(""https://docs.google.com/spreadsheets/d/1MeEWN-I1oV_STSDYn1IFDPWt_1FKiwhDph83XaGc0o0/edit?usp=sharing"",""งบพรบ!ET66"")"),45491.1)</f>
        <v>45491.1</v>
      </c>
      <c r="M66" s="84">
        <f t="shared" ca="1" si="5"/>
        <v>28.975222929936304</v>
      </c>
      <c r="N66" s="84">
        <f t="shared" ca="1" si="6"/>
        <v>57.950445859872609</v>
      </c>
      <c r="O66" s="85">
        <f ca="1">IFERROR(__xludf.DUMMYFUNCTION("IMPORTRANGE(""https://docs.google.com/spreadsheets/d/1MeEWN-I1oV_STSDYn1IFDPWt_1FKiwhDph83XaGc0o0/edit?usp=sharing"",""งบพรบ!EU66"")"),0)</f>
        <v>0</v>
      </c>
      <c r="P66" s="85">
        <f t="shared" ca="1" si="24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IFERROR(__xludf.DUMMYFUNCTION("IMPORTRANGE(""https://docs.google.com/spreadsheets/d/1XiF77UIVHV0Kjc6xbXuOuJ10WgJYxd4p_22ngKVV5oM/edit?usp=sharing"",""ระยอง!I338"")"),400)</f>
        <v>400</v>
      </c>
      <c r="S66" s="86">
        <f ca="1">IFERROR(__xludf.DUMMYFUNCTION("IMPORTRANGE(""https://docs.google.com/spreadsheets/d/1XiF77UIVHV0Kjc6xbXuOuJ10WgJYxd4p_22ngKVV5oM/edit?usp=sharing"",""ระยอง!J338"")"),249)</f>
        <v>249</v>
      </c>
      <c r="T66" s="87">
        <f t="shared" ca="1" si="21"/>
        <v>62.25</v>
      </c>
      <c r="U66" s="86">
        <f ca="1">IFERROR(__xludf.DUMMYFUNCTION("IMPORTRANGE(""https://docs.google.com/spreadsheets/d/1XiF77UIVHV0Kjc6xbXuOuJ10WgJYxd4p_22ngKVV5oM/edit?usp=sharing"",""ระยอง!I340"")"),2)</f>
        <v>2</v>
      </c>
      <c r="V66" s="86">
        <f ca="1">IFERROR(__xludf.DUMMYFUNCTION("IMPORTRANGE(""https://docs.google.com/spreadsheets/d/1XiF77UIVHV0Kjc6xbXuOuJ10WgJYxd4p_22ngKVV5oM/edit?usp=sharing"",""ระยอง!J340"")"),0)</f>
        <v>0</v>
      </c>
      <c r="W66" s="87">
        <f t="shared" ca="1" si="22"/>
        <v>0</v>
      </c>
      <c r="X66" s="86">
        <f ca="1">IFERROR(__xludf.DUMMYFUNCTION("IMPORTRANGE(""https://docs.google.com/spreadsheets/d/1XiF77UIVHV0Kjc6xbXuOuJ10WgJYxd4p_22ngKVV5oM/edit?usp=sharing"",""ระยอง!J341"")"),0)</f>
        <v>0</v>
      </c>
      <c r="Y66" s="86">
        <f ca="1">IFERROR(__xludf.DUMMYFUNCTION("IMPORTRANGE(""https://docs.google.com/spreadsheets/d/1XiF77UIVHV0Kjc6xbXuOuJ10WgJYxd4p_22ngKVV5oM/edit?usp=sharing"",""ระยอง!J342"")"),0)</f>
        <v>0</v>
      </c>
      <c r="Z66" s="86">
        <f ca="1">IFERROR(__xludf.DUMMYFUNCTION("IMPORTRANGE(""https://docs.google.com/spreadsheets/d/1XiF77UIVHV0Kjc6xbXuOuJ10WgJYxd4p_22ngKVV5oM/edit?usp=sharing"",""ระยอง!J343"")"),37)</f>
        <v>37</v>
      </c>
    </row>
    <row r="67" spans="1:26" ht="21" customHeight="1" x14ac:dyDescent="0.2">
      <c r="A67" s="78">
        <v>15</v>
      </c>
      <c r="B67" s="79" t="s">
        <v>89</v>
      </c>
      <c r="C67" s="80">
        <f t="shared" ca="1" si="0"/>
        <v>687200</v>
      </c>
      <c r="D67" s="81">
        <f t="shared" ca="1" si="38"/>
        <v>687200</v>
      </c>
      <c r="E67" s="82">
        <f ca="1">IFERROR(__xludf.DUMMYFUNCTION("IMPORTRANGE(""https://docs.google.com/spreadsheets/d/1MeEWN-I1oV_STSDYn1IFDPWt_1FKiwhDph83XaGc0o0/edit?usp=sharing"",""งบพรบ!EN67"")"),517200)</f>
        <v>517200</v>
      </c>
      <c r="F67" s="82">
        <f ca="1">IFERROR(__xludf.DUMMYFUNCTION("IMPORTRANGE(""https://docs.google.com/spreadsheets/d/1MeEWN-I1oV_STSDYn1IFDPWt_1FKiwhDph83XaGc0o0/edit?usp=sharing"",""งบพรบ!EO67"")"),170000)</f>
        <v>170000</v>
      </c>
      <c r="G67" s="82">
        <f ca="1">IFERROR(__xludf.DUMMYFUNCTION("IMPORTRANGE(""https://docs.google.com/spreadsheets/d/1MeEWN-I1oV_STSDYn1IFDPWt_1FKiwhDph83XaGc0o0/edit?usp=sharing"",""งบพรบ!EP67"")"),0)</f>
        <v>0</v>
      </c>
      <c r="H67" s="82">
        <f ca="1">IFERROR(__xludf.DUMMYFUNCTION("IMPORTRANGE(""https://docs.google.com/spreadsheets/d/1MeEWN-I1oV_STSDYn1IFDPWt_1FKiwhDph83XaGc0o0/edit?usp=sharing"",""งบพรบ!ER67"")"),472900)</f>
        <v>472900</v>
      </c>
      <c r="I67" s="82">
        <f ca="1">IFERROR(__xludf.DUMMYFUNCTION("IMPORTRANGE(""https://docs.google.com/spreadsheets/d/1MeEWN-I1oV_STSDYn1IFDPWt_1FKiwhDph83XaGc0o0/edit?usp=sharing"",""งบพรบ!ES67"")"),0)</f>
        <v>0</v>
      </c>
      <c r="J67" s="82">
        <f t="shared" ca="1" si="3"/>
        <v>242580.66</v>
      </c>
      <c r="K67" s="83">
        <f t="shared" ca="1" si="4"/>
        <v>35.299863213038414</v>
      </c>
      <c r="L67" s="82">
        <f ca="1">IFERROR(__xludf.DUMMYFUNCTION("IMPORTRANGE(""https://docs.google.com/spreadsheets/d/1MeEWN-I1oV_STSDYn1IFDPWt_1FKiwhDph83XaGc0o0/edit?usp=sharing"",""งบพรบ!ET67"")"),242580.66)</f>
        <v>242580.66</v>
      </c>
      <c r="M67" s="84">
        <f t="shared" ca="1" si="5"/>
        <v>35.299863213038414</v>
      </c>
      <c r="N67" s="84">
        <f t="shared" ca="1" si="6"/>
        <v>51.296396701205332</v>
      </c>
      <c r="O67" s="85">
        <f ca="1">IFERROR(__xludf.DUMMYFUNCTION("IMPORTRANGE(""https://docs.google.com/spreadsheets/d/1MeEWN-I1oV_STSDYn1IFDPWt_1FKiwhDph83XaGc0o0/edit?usp=sharing"",""งบพรบ!EU67"")"),0)</f>
        <v>0</v>
      </c>
      <c r="P67" s="85">
        <f t="shared" ca="1" si="24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IFERROR(__xludf.DUMMYFUNCTION("IMPORTRANGE(""https://docs.google.com/spreadsheets/d/1qU-W_9MCQD1pgIVXGEOjCFo9QqlmJywuebyGgaN92r8/edit?usp=sharing"",""ราชบุรี!I338"")"),1600)</f>
        <v>1600</v>
      </c>
      <c r="S67" s="86">
        <f ca="1">IFERROR(__xludf.DUMMYFUNCTION("IMPORTRANGE(""https://docs.google.com/spreadsheets/d/1qU-W_9MCQD1pgIVXGEOjCFo9QqlmJywuebyGgaN92r8/edit?usp=sharing"",""ราชบุรี!J338"")"),1542)</f>
        <v>1542</v>
      </c>
      <c r="T67" s="87">
        <f t="shared" ca="1" si="21"/>
        <v>96.375</v>
      </c>
      <c r="U67" s="86">
        <f ca="1">IFERROR(__xludf.DUMMYFUNCTION("IMPORTRANGE(""https://docs.google.com/spreadsheets/d/1qU-W_9MCQD1pgIVXGEOjCFo9QqlmJywuebyGgaN92r8/edit?usp=sharing"",""ราชบุรี!I340"")"),6)</f>
        <v>6</v>
      </c>
      <c r="V67" s="86">
        <f ca="1">IFERROR(__xludf.DUMMYFUNCTION("IMPORTRANGE(""https://docs.google.com/spreadsheets/d/1qU-W_9MCQD1pgIVXGEOjCFo9QqlmJywuebyGgaN92r8/edit?usp=sharing"",""ราชบุรี!J340"")"),2)</f>
        <v>2</v>
      </c>
      <c r="W67" s="87">
        <f t="shared" ca="1" si="22"/>
        <v>33.333333333333336</v>
      </c>
      <c r="X67" s="86">
        <f ca="1">IFERROR(__xludf.DUMMYFUNCTION("IMPORTRANGE(""https://docs.google.com/spreadsheets/d/1qU-W_9MCQD1pgIVXGEOjCFo9QqlmJywuebyGgaN92r8/edit?usp=sharing"",""ราชบุรี!J341"")"),74)</f>
        <v>74</v>
      </c>
      <c r="Y67" s="86">
        <f ca="1">IFERROR(__xludf.DUMMYFUNCTION("IMPORTRANGE(""https://docs.google.com/spreadsheets/d/1qU-W_9MCQD1pgIVXGEOjCFo9QqlmJywuebyGgaN92r8/edit?usp=sharing"",""ราชบุรี!J342"")"),2)</f>
        <v>2</v>
      </c>
      <c r="Z67" s="86">
        <f ca="1">IFERROR(__xludf.DUMMYFUNCTION("IMPORTRANGE(""https://docs.google.com/spreadsheets/d/1qU-W_9MCQD1pgIVXGEOjCFo9QqlmJywuebyGgaN92r8/edit?usp=sharing"",""ราชบุรี!J343"")"),0)</f>
        <v>0</v>
      </c>
    </row>
    <row r="68" spans="1:26" ht="24" customHeight="1" x14ac:dyDescent="0.2">
      <c r="A68" s="78">
        <v>16</v>
      </c>
      <c r="B68" s="79" t="s">
        <v>90</v>
      </c>
      <c r="C68" s="80">
        <f t="shared" ca="1" si="0"/>
        <v>170000</v>
      </c>
      <c r="D68" s="81">
        <f t="shared" ca="1" si="38"/>
        <v>170000</v>
      </c>
      <c r="E68" s="82">
        <f ca="1">IFERROR(__xludf.DUMMYFUNCTION("IMPORTRANGE(""https://docs.google.com/spreadsheets/d/1MeEWN-I1oV_STSDYn1IFDPWt_1FKiwhDph83XaGc0o0/edit?usp=sharing"",""งบพรบ!EN68"")"),0)</f>
        <v>0</v>
      </c>
      <c r="F68" s="82">
        <f ca="1">IFERROR(__xludf.DUMMYFUNCTION("IMPORTRANGE(""https://docs.google.com/spreadsheets/d/1MeEWN-I1oV_STSDYn1IFDPWt_1FKiwhDph83XaGc0o0/edit?usp=sharing"",""งบพรบ!EO68"")"),170000)</f>
        <v>170000</v>
      </c>
      <c r="G68" s="82">
        <f ca="1">IFERROR(__xludf.DUMMYFUNCTION("IMPORTRANGE(""https://docs.google.com/spreadsheets/d/1MeEWN-I1oV_STSDYn1IFDPWt_1FKiwhDph83XaGc0o0/edit?usp=sharing"",""งบพรบ!EP68"")"),0)</f>
        <v>0</v>
      </c>
      <c r="H68" s="82">
        <f ca="1">IFERROR(__xludf.DUMMYFUNCTION("IMPORTRANGE(""https://docs.google.com/spreadsheets/d/1MeEWN-I1oV_STSDYn1IFDPWt_1FKiwhDph83XaGc0o0/edit?usp=sharing"",""งบพรบ!ER68"")"),85000)</f>
        <v>85000</v>
      </c>
      <c r="I68" s="82">
        <f ca="1">IFERROR(__xludf.DUMMYFUNCTION("IMPORTRANGE(""https://docs.google.com/spreadsheets/d/1MeEWN-I1oV_STSDYn1IFDPWt_1FKiwhDph83XaGc0o0/edit?usp=sharing"",""งบพรบ!ES68"")"),0)</f>
        <v>0</v>
      </c>
      <c r="J68" s="82">
        <f t="shared" ca="1" si="3"/>
        <v>47973</v>
      </c>
      <c r="K68" s="83">
        <f t="shared" ca="1" si="4"/>
        <v>28.219411764705882</v>
      </c>
      <c r="L68" s="82">
        <f ca="1">IFERROR(__xludf.DUMMYFUNCTION("IMPORTRANGE(""https://docs.google.com/spreadsheets/d/1MeEWN-I1oV_STSDYn1IFDPWt_1FKiwhDph83XaGc0o0/edit?usp=sharing"",""งบพรบ!ET68"")"),47973)</f>
        <v>47973</v>
      </c>
      <c r="M68" s="84">
        <f t="shared" ca="1" si="5"/>
        <v>28.219411764705882</v>
      </c>
      <c r="N68" s="84">
        <f t="shared" ca="1" si="6"/>
        <v>56.438823529411764</v>
      </c>
      <c r="O68" s="85">
        <f ca="1">IFERROR(__xludf.DUMMYFUNCTION("IMPORTRANGE(""https://docs.google.com/spreadsheets/d/1MeEWN-I1oV_STSDYn1IFDPWt_1FKiwhDph83XaGc0o0/edit?usp=sharing"",""งบพรบ!EU68"")"),0)</f>
        <v>0</v>
      </c>
      <c r="P68" s="85">
        <f t="shared" ca="1" si="24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IFERROR(__xludf.DUMMYFUNCTION("IMPORTRANGE(""https://docs.google.com/spreadsheets/d/1xYFIxIM_CspAP5Q-5Zx_V0T_Ut3cjryrjd2hss28vGk/edit?usp=sharing"",""ลพบุรี!I338"")"),2100)</f>
        <v>2100</v>
      </c>
      <c r="S68" s="86">
        <f ca="1">IFERROR(__xludf.DUMMYFUNCTION("IMPORTRANGE(""https://docs.google.com/spreadsheets/d/1xYFIxIM_CspAP5Q-5Zx_V0T_Ut3cjryrjd2hss28vGk/edit?usp=sharing"",""ลพบุรี!J338"")"),1391)</f>
        <v>1391</v>
      </c>
      <c r="T68" s="87">
        <f t="shared" ca="1" si="21"/>
        <v>66.238095238095241</v>
      </c>
      <c r="U68" s="86">
        <f ca="1">IFERROR(__xludf.DUMMYFUNCTION("IMPORTRANGE(""https://docs.google.com/spreadsheets/d/1xYFIxIM_CspAP5Q-5Zx_V0T_Ut3cjryrjd2hss28vGk/edit?usp=sharing"",""ลพบุรี!I340"")"),6)</f>
        <v>6</v>
      </c>
      <c r="V68" s="86">
        <f ca="1">IFERROR(__xludf.DUMMYFUNCTION("IMPORTRANGE(""https://docs.google.com/spreadsheets/d/1xYFIxIM_CspAP5Q-5Zx_V0T_Ut3cjryrjd2hss28vGk/edit?usp=sharing"",""ลพบุรี!J340"")"),0)</f>
        <v>0</v>
      </c>
      <c r="W68" s="87">
        <f t="shared" ca="1" si="22"/>
        <v>0</v>
      </c>
      <c r="X68" s="86">
        <f ca="1">IFERROR(__xludf.DUMMYFUNCTION("IMPORTRANGE(""https://docs.google.com/spreadsheets/d/1xYFIxIM_CspAP5Q-5Zx_V0T_Ut3cjryrjd2hss28vGk/edit?usp=sharing"",""ลพบุรี!J341"")"),0)</f>
        <v>0</v>
      </c>
      <c r="Y68" s="86">
        <f ca="1">IFERROR(__xludf.DUMMYFUNCTION("IMPORTRANGE(""https://docs.google.com/spreadsheets/d/1xYFIxIM_CspAP5Q-5Zx_V0T_Ut3cjryrjd2hss28vGk/edit?usp=sharing"",""ลพบุรี!J342"")"),0)</f>
        <v>0</v>
      </c>
      <c r="Z68" s="86">
        <f ca="1">IFERROR(__xludf.DUMMYFUNCTION("IMPORTRANGE(""https://docs.google.com/spreadsheets/d/1xYFIxIM_CspAP5Q-5Zx_V0T_Ut3cjryrjd2hss28vGk/edit?usp=sharing"",""ลพบุรี!J343"")"),0)</f>
        <v>0</v>
      </c>
    </row>
    <row r="69" spans="1:26" ht="21" customHeight="1" x14ac:dyDescent="0.2">
      <c r="A69" s="78">
        <v>17</v>
      </c>
      <c r="B69" s="79" t="s">
        <v>91</v>
      </c>
      <c r="C69" s="80">
        <f t="shared" ca="1" si="0"/>
        <v>182000</v>
      </c>
      <c r="D69" s="81">
        <f t="shared" ca="1" si="38"/>
        <v>182000</v>
      </c>
      <c r="E69" s="82">
        <f ca="1">IFERROR(__xludf.DUMMYFUNCTION("IMPORTRANGE(""https://docs.google.com/spreadsheets/d/1MeEWN-I1oV_STSDYn1IFDPWt_1FKiwhDph83XaGc0o0/edit?usp=sharing"",""งบพรบ!EN69"")"),0)</f>
        <v>0</v>
      </c>
      <c r="F69" s="82">
        <f ca="1">IFERROR(__xludf.DUMMYFUNCTION("IMPORTRANGE(""https://docs.google.com/spreadsheets/d/1MeEWN-I1oV_STSDYn1IFDPWt_1FKiwhDph83XaGc0o0/edit?usp=sharing"",""งบพรบ!EO69"")"),182000)</f>
        <v>182000</v>
      </c>
      <c r="G69" s="82">
        <f ca="1">IFERROR(__xludf.DUMMYFUNCTION("IMPORTRANGE(""https://docs.google.com/spreadsheets/d/1MeEWN-I1oV_STSDYn1IFDPWt_1FKiwhDph83XaGc0o0/edit?usp=sharing"",""งบพรบ!EP69"")"),0)</f>
        <v>0</v>
      </c>
      <c r="H69" s="82">
        <f ca="1">IFERROR(__xludf.DUMMYFUNCTION("IMPORTRANGE(""https://docs.google.com/spreadsheets/d/1MeEWN-I1oV_STSDYn1IFDPWt_1FKiwhDph83XaGc0o0/edit?usp=sharing"",""งบพรบ!ER69"")"),91000)</f>
        <v>91000</v>
      </c>
      <c r="I69" s="82">
        <f ca="1">IFERROR(__xludf.DUMMYFUNCTION("IMPORTRANGE(""https://docs.google.com/spreadsheets/d/1MeEWN-I1oV_STSDYn1IFDPWt_1FKiwhDph83XaGc0o0/edit?usp=sharing"",""งบพรบ!ES69"")"),0)</f>
        <v>0</v>
      </c>
      <c r="J69" s="82">
        <f t="shared" ca="1" si="3"/>
        <v>59002.26</v>
      </c>
      <c r="K69" s="83">
        <f t="shared" ca="1" si="4"/>
        <v>32.418824175824177</v>
      </c>
      <c r="L69" s="82">
        <f ca="1">IFERROR(__xludf.DUMMYFUNCTION("IMPORTRANGE(""https://docs.google.com/spreadsheets/d/1MeEWN-I1oV_STSDYn1IFDPWt_1FKiwhDph83XaGc0o0/edit?usp=sharing"",""งบพรบ!ET69"")"),59002.26)</f>
        <v>59002.26</v>
      </c>
      <c r="M69" s="84">
        <f t="shared" ca="1" si="5"/>
        <v>32.418824175824177</v>
      </c>
      <c r="N69" s="84">
        <f t="shared" ca="1" si="6"/>
        <v>64.837648351648355</v>
      </c>
      <c r="O69" s="85">
        <f ca="1">IFERROR(__xludf.DUMMYFUNCTION("IMPORTRANGE(""https://docs.google.com/spreadsheets/d/1MeEWN-I1oV_STSDYn1IFDPWt_1FKiwhDph83XaGc0o0/edit?usp=sharing"",""งบพรบ!EU69"")"),0)</f>
        <v>0</v>
      </c>
      <c r="P69" s="85">
        <f t="shared" ca="1" si="24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IFERROR(__xludf.DUMMYFUNCTION("IMPORTRANGE(""https://docs.google.com/spreadsheets/d/11s9m3tKsCBdPWq6syhZm27eBGbKneDLZc75co106bio/edit?usp=sharing"",""สระแก้ว!I338"")"),5300)</f>
        <v>5300</v>
      </c>
      <c r="S69" s="86">
        <f ca="1">IFERROR(__xludf.DUMMYFUNCTION("IMPORTRANGE(""https://docs.google.com/spreadsheets/d/11s9m3tKsCBdPWq6syhZm27eBGbKneDLZc75co106bio/edit?usp=sharing"",""สระแก้ว!J338"")"),1977)</f>
        <v>1977</v>
      </c>
      <c r="T69" s="87">
        <f t="shared" ca="1" si="21"/>
        <v>37.301886792452834</v>
      </c>
      <c r="U69" s="86">
        <f ca="1">IFERROR(__xludf.DUMMYFUNCTION("IMPORTRANGE(""https://docs.google.com/spreadsheets/d/11s9m3tKsCBdPWq6syhZm27eBGbKneDLZc75co106bio/edit?usp=sharing"",""สระแก้ว!I340"")"),7)</f>
        <v>7</v>
      </c>
      <c r="V69" s="86">
        <f ca="1">IFERROR(__xludf.DUMMYFUNCTION("IMPORTRANGE(""https://docs.google.com/spreadsheets/d/11s9m3tKsCBdPWq6syhZm27eBGbKneDLZc75co106bio/edit?usp=sharing"",""สระแก้ว!J340"")"),4)</f>
        <v>4</v>
      </c>
      <c r="W69" s="87">
        <f t="shared" ca="1" si="22"/>
        <v>57.142857142857146</v>
      </c>
      <c r="X69" s="86">
        <f ca="1">IFERROR(__xludf.DUMMYFUNCTION("IMPORTRANGE(""https://docs.google.com/spreadsheets/d/11s9m3tKsCBdPWq6syhZm27eBGbKneDLZc75co106bio/edit?usp=sharing"",""สระแก้ว!J341"")"),35)</f>
        <v>35</v>
      </c>
      <c r="Y69" s="86">
        <f ca="1">IFERROR(__xludf.DUMMYFUNCTION("IMPORTRANGE(""https://docs.google.com/spreadsheets/d/11s9m3tKsCBdPWq6syhZm27eBGbKneDLZc75co106bio/edit?usp=sharing"",""สระแก้ว!J342"")"),0)</f>
        <v>0</v>
      </c>
      <c r="Z69" s="86">
        <f ca="1">IFERROR(__xludf.DUMMYFUNCTION("IMPORTRANGE(""https://docs.google.com/spreadsheets/d/11s9m3tKsCBdPWq6syhZm27eBGbKneDLZc75co106bio/edit?usp=sharing"",""สระแก้ว!J343"")"),0)</f>
        <v>0</v>
      </c>
    </row>
    <row r="70" spans="1:26" ht="21" customHeight="1" x14ac:dyDescent="0.2">
      <c r="A70" s="78">
        <v>18</v>
      </c>
      <c r="B70" s="79" t="s">
        <v>92</v>
      </c>
      <c r="C70" s="80">
        <f t="shared" ca="1" si="0"/>
        <v>426800</v>
      </c>
      <c r="D70" s="81">
        <f t="shared" ca="1" si="38"/>
        <v>426800</v>
      </c>
      <c r="E70" s="82">
        <f ca="1">IFERROR(__xludf.DUMMYFUNCTION("IMPORTRANGE(""https://docs.google.com/spreadsheets/d/1MeEWN-I1oV_STSDYn1IFDPWt_1FKiwhDph83XaGc0o0/edit?usp=sharing"",""งบพรบ!EN70"")"),262800)</f>
        <v>262800</v>
      </c>
      <c r="F70" s="82">
        <f ca="1">IFERROR(__xludf.DUMMYFUNCTION("IMPORTRANGE(""https://docs.google.com/spreadsheets/d/1MeEWN-I1oV_STSDYn1IFDPWt_1FKiwhDph83XaGc0o0/edit?usp=sharing"",""งบพรบ!EO70"")"),164000)</f>
        <v>164000</v>
      </c>
      <c r="G70" s="82">
        <f ca="1">IFERROR(__xludf.DUMMYFUNCTION("IMPORTRANGE(""https://docs.google.com/spreadsheets/d/1MeEWN-I1oV_STSDYn1IFDPWt_1FKiwhDph83XaGc0o0/edit?usp=sharing"",""งบพรบ!EP70"")"),0)</f>
        <v>0</v>
      </c>
      <c r="H70" s="82">
        <f ca="1">IFERROR(__xludf.DUMMYFUNCTION("IMPORTRANGE(""https://docs.google.com/spreadsheets/d/1MeEWN-I1oV_STSDYn1IFDPWt_1FKiwhDph83XaGc0o0/edit?usp=sharing"",""งบพรบ!ER70"")"),279100)</f>
        <v>279100</v>
      </c>
      <c r="I70" s="82">
        <f ca="1">IFERROR(__xludf.DUMMYFUNCTION("IMPORTRANGE(""https://docs.google.com/spreadsheets/d/1MeEWN-I1oV_STSDYn1IFDPWt_1FKiwhDph83XaGc0o0/edit?usp=sharing"",""งบพรบ!ES70"")"),0)</f>
        <v>0</v>
      </c>
      <c r="J70" s="82">
        <f t="shared" ca="1" si="3"/>
        <v>130279</v>
      </c>
      <c r="K70" s="83">
        <f t="shared" ca="1" si="4"/>
        <v>30.524601686972822</v>
      </c>
      <c r="L70" s="82">
        <f ca="1">IFERROR(__xludf.DUMMYFUNCTION("IMPORTRANGE(""https://docs.google.com/spreadsheets/d/1MeEWN-I1oV_STSDYn1IFDPWt_1FKiwhDph83XaGc0o0/edit?usp=sharing"",""งบพรบ!ET70"")"),130279)</f>
        <v>130279</v>
      </c>
      <c r="M70" s="84">
        <f t="shared" ca="1" si="5"/>
        <v>30.524601686972822</v>
      </c>
      <c r="N70" s="84">
        <f t="shared" ca="1" si="6"/>
        <v>46.678251522751701</v>
      </c>
      <c r="O70" s="85">
        <f ca="1">IFERROR(__xludf.DUMMYFUNCTION("IMPORTRANGE(""https://docs.google.com/spreadsheets/d/1MeEWN-I1oV_STSDYn1IFDPWt_1FKiwhDph83XaGc0o0/edit?usp=sharing"",""งบพรบ!EU70"")"),0)</f>
        <v>0</v>
      </c>
      <c r="P70" s="85">
        <f t="shared" ca="1" si="24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IFERROR(__xludf.DUMMYFUNCTION("IMPORTRANGE(""https://docs.google.com/spreadsheets/d/1Nn1EvsFPtXldgpgVb3Rcng2K2cls68LFQsBh2FyW0Bg/edit?usp=sharing"",""สระบุรี!I338"")"),1500)</f>
        <v>1500</v>
      </c>
      <c r="S70" s="86">
        <f ca="1">IFERROR(__xludf.DUMMYFUNCTION("IMPORTRANGE(""https://docs.google.com/spreadsheets/d/1Nn1EvsFPtXldgpgVb3Rcng2K2cls68LFQsBh2FyW0Bg/edit?usp=sharing"",""สระบุรี!J338"")"),1205)</f>
        <v>1205</v>
      </c>
      <c r="T70" s="87">
        <f t="shared" ca="1" si="21"/>
        <v>80.333333333333329</v>
      </c>
      <c r="U70" s="86">
        <f ca="1">IFERROR(__xludf.DUMMYFUNCTION("IMPORTRANGE(""https://docs.google.com/spreadsheets/d/1Nn1EvsFPtXldgpgVb3Rcng2K2cls68LFQsBh2FyW0Bg/edit?usp=sharing"",""สระบุรี!I340"")"),3)</f>
        <v>3</v>
      </c>
      <c r="V70" s="86">
        <f ca="1">IFERROR(__xludf.DUMMYFUNCTION("IMPORTRANGE(""https://docs.google.com/spreadsheets/d/1Nn1EvsFPtXldgpgVb3Rcng2K2cls68LFQsBh2FyW0Bg/edit?usp=sharing"",""สระบุรี!J340"")"),2)</f>
        <v>2</v>
      </c>
      <c r="W70" s="87">
        <f t="shared" ca="1" si="22"/>
        <v>66.666666666666671</v>
      </c>
      <c r="X70" s="86">
        <f ca="1">IFERROR(__xludf.DUMMYFUNCTION("IMPORTRANGE(""https://docs.google.com/spreadsheets/d/1Nn1EvsFPtXldgpgVb3Rcng2K2cls68LFQsBh2FyW0Bg/edit?usp=sharing"",""สระบุรี!J341"")"),329)</f>
        <v>329</v>
      </c>
      <c r="Y70" s="86">
        <f ca="1">IFERROR(__xludf.DUMMYFUNCTION("IMPORTRANGE(""https://docs.google.com/spreadsheets/d/1Nn1EvsFPtXldgpgVb3Rcng2K2cls68LFQsBh2FyW0Bg/edit?usp=sharing"",""สระบุรี!J342"")"),0)</f>
        <v>0</v>
      </c>
      <c r="Z70" s="86">
        <f ca="1">IFERROR(__xludf.DUMMYFUNCTION("IMPORTRANGE(""https://docs.google.com/spreadsheets/d/1Nn1EvsFPtXldgpgVb3Rcng2K2cls68LFQsBh2FyW0Bg/edit?usp=sharing"",""สระบุรี!J343"")"),0)</f>
        <v>0</v>
      </c>
    </row>
    <row r="71" spans="1:26" ht="21" customHeight="1" x14ac:dyDescent="0.2">
      <c r="A71" s="78">
        <v>19</v>
      </c>
      <c r="B71" s="79" t="s">
        <v>93</v>
      </c>
      <c r="C71" s="80">
        <f t="shared" ca="1" si="0"/>
        <v>353600</v>
      </c>
      <c r="D71" s="81">
        <f t="shared" ca="1" si="38"/>
        <v>353600</v>
      </c>
      <c r="E71" s="82">
        <f ca="1">IFERROR(__xludf.DUMMYFUNCTION("IMPORTRANGE(""https://docs.google.com/spreadsheets/d/1MeEWN-I1oV_STSDYn1IFDPWt_1FKiwhDph83XaGc0o0/edit?usp=sharing"",""งบพรบ!EN71"")"),201600)</f>
        <v>201600</v>
      </c>
      <c r="F71" s="82">
        <f ca="1">IFERROR(__xludf.DUMMYFUNCTION("IMPORTRANGE(""https://docs.google.com/spreadsheets/d/1MeEWN-I1oV_STSDYn1IFDPWt_1FKiwhDph83XaGc0o0/edit?usp=sharing"",""งบพรบ!EO71"")"),152000)</f>
        <v>152000</v>
      </c>
      <c r="G71" s="82">
        <f ca="1">IFERROR(__xludf.DUMMYFUNCTION("IMPORTRANGE(""https://docs.google.com/spreadsheets/d/1MeEWN-I1oV_STSDYn1IFDPWt_1FKiwhDph83XaGc0o0/edit?usp=sharing"",""งบพรบ!EP71"")"),0)</f>
        <v>0</v>
      </c>
      <c r="H71" s="82">
        <f ca="1">IFERROR(__xludf.DUMMYFUNCTION("IMPORTRANGE(""https://docs.google.com/spreadsheets/d/1MeEWN-I1oV_STSDYn1IFDPWt_1FKiwhDph83XaGc0o0/edit?usp=sharing"",""งบพรบ!ER71"")"),227200)</f>
        <v>227200</v>
      </c>
      <c r="I71" s="82">
        <f ca="1">IFERROR(__xludf.DUMMYFUNCTION("IMPORTRANGE(""https://docs.google.com/spreadsheets/d/1MeEWN-I1oV_STSDYn1IFDPWt_1FKiwhDph83XaGc0o0/edit?usp=sharing"",""งบพรบ!ES71"")"),0)</f>
        <v>0</v>
      </c>
      <c r="J71" s="82">
        <f t="shared" ca="1" si="3"/>
        <v>126766.67</v>
      </c>
      <c r="K71" s="83">
        <f t="shared" ca="1" si="4"/>
        <v>35.850302601809958</v>
      </c>
      <c r="L71" s="82">
        <f ca="1">IFERROR(__xludf.DUMMYFUNCTION("IMPORTRANGE(""https://docs.google.com/spreadsheets/d/1MeEWN-I1oV_STSDYn1IFDPWt_1FKiwhDph83XaGc0o0/edit?usp=sharing"",""งบพรบ!ET71"")"),126766.67)</f>
        <v>126766.67</v>
      </c>
      <c r="M71" s="84">
        <f t="shared" ca="1" si="5"/>
        <v>35.850302601809958</v>
      </c>
      <c r="N71" s="84">
        <f t="shared" ca="1" si="6"/>
        <v>55.795189260563383</v>
      </c>
      <c r="O71" s="85">
        <f ca="1">IFERROR(__xludf.DUMMYFUNCTION("IMPORTRANGE(""https://docs.google.com/spreadsheets/d/1MeEWN-I1oV_STSDYn1IFDPWt_1FKiwhDph83XaGc0o0/edit?usp=sharing"",""งบพรบ!EU71"")"),0)</f>
        <v>0</v>
      </c>
      <c r="P71" s="85">
        <f t="shared" ca="1" si="24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IFERROR(__xludf.DUMMYFUNCTION("IMPORTRANGE(""https://docs.google.com/spreadsheets/d/149xufxukrnEciK3WPbNpHwUK8BKEJxp3UcBG3Al6dA4/edit?usp=sharing"",""สิงห์บุรี!I338"")"),50)</f>
        <v>50</v>
      </c>
      <c r="S71" s="86">
        <f ca="1">IFERROR(__xludf.DUMMYFUNCTION("IMPORTRANGE(""https://docs.google.com/spreadsheets/d/149xufxukrnEciK3WPbNpHwUK8BKEJxp3UcBG3Al6dA4/edit?usp=sharing"",""สิงห์บุรี!J338"")"),4)</f>
        <v>4</v>
      </c>
      <c r="T71" s="87">
        <f t="shared" ca="1" si="21"/>
        <v>8</v>
      </c>
      <c r="U71" s="86">
        <f ca="1">IFERROR(__xludf.DUMMYFUNCTION("IMPORTRANGE(""https://docs.google.com/spreadsheets/d/149xufxukrnEciK3WPbNpHwUK8BKEJxp3UcBG3Al6dA4/edit?usp=sharing"",""สิงห์บุรี!I340"")"),2)</f>
        <v>2</v>
      </c>
      <c r="V71" s="86">
        <f ca="1">IFERROR(__xludf.DUMMYFUNCTION("IMPORTRANGE(""https://docs.google.com/spreadsheets/d/149xufxukrnEciK3WPbNpHwUK8BKEJxp3UcBG3Al6dA4/edit?usp=sharing"",""สิงห์บุรี!J340"")"),1)</f>
        <v>1</v>
      </c>
      <c r="W71" s="87">
        <f t="shared" ca="1" si="22"/>
        <v>50</v>
      </c>
      <c r="X71" s="86">
        <f ca="1">IFERROR(__xludf.DUMMYFUNCTION("IMPORTRANGE(""https://docs.google.com/spreadsheets/d/149xufxukrnEciK3WPbNpHwUK8BKEJxp3UcBG3Al6dA4/edit?usp=sharing"",""สิงห์บุรี!J341"")"),17)</f>
        <v>17</v>
      </c>
      <c r="Y71" s="86">
        <f ca="1">IFERROR(__xludf.DUMMYFUNCTION("IMPORTRANGE(""https://docs.google.com/spreadsheets/d/149xufxukrnEciK3WPbNpHwUK8BKEJxp3UcBG3Al6dA4/edit?usp=sharing"",""สิงห์บุรี!J342"")"),0)</f>
        <v>0</v>
      </c>
      <c r="Z71" s="86">
        <f ca="1">IFERROR(__xludf.DUMMYFUNCTION("IMPORTRANGE(""https://docs.google.com/spreadsheets/d/149xufxukrnEciK3WPbNpHwUK8BKEJxp3UcBG3Al6dA4/edit?usp=sharing"",""สิงห์บุรี!J343"")"),0)</f>
        <v>0</v>
      </c>
    </row>
    <row r="72" spans="1:26" ht="21" customHeight="1" x14ac:dyDescent="0.2">
      <c r="A72" s="78">
        <v>20</v>
      </c>
      <c r="B72" s="79" t="s">
        <v>94</v>
      </c>
      <c r="C72" s="80">
        <f t="shared" ca="1" si="0"/>
        <v>166000</v>
      </c>
      <c r="D72" s="81">
        <f t="shared" ca="1" si="38"/>
        <v>166000</v>
      </c>
      <c r="E72" s="82">
        <f ca="1">IFERROR(__xludf.DUMMYFUNCTION("IMPORTRANGE(""https://docs.google.com/spreadsheets/d/1MeEWN-I1oV_STSDYn1IFDPWt_1FKiwhDph83XaGc0o0/edit?usp=sharing"",""งบพรบ!EN72"")"),0)</f>
        <v>0</v>
      </c>
      <c r="F72" s="82">
        <f ca="1">IFERROR(__xludf.DUMMYFUNCTION("IMPORTRANGE(""https://docs.google.com/spreadsheets/d/1MeEWN-I1oV_STSDYn1IFDPWt_1FKiwhDph83XaGc0o0/edit?usp=sharing"",""งบพรบ!EO72"")"),166000)</f>
        <v>166000</v>
      </c>
      <c r="G72" s="82">
        <f ca="1">IFERROR(__xludf.DUMMYFUNCTION("IMPORTRANGE(""https://docs.google.com/spreadsheets/d/1MeEWN-I1oV_STSDYn1IFDPWt_1FKiwhDph83XaGc0o0/edit?usp=sharing"",""งบพรบ!EP72"")"),0)</f>
        <v>0</v>
      </c>
      <c r="H72" s="82">
        <f ca="1">IFERROR(__xludf.DUMMYFUNCTION("IMPORTRANGE(""https://docs.google.com/spreadsheets/d/1MeEWN-I1oV_STSDYn1IFDPWt_1FKiwhDph83XaGc0o0/edit?usp=sharing"",""งบพรบ!ER72"")"),83000)</f>
        <v>83000</v>
      </c>
      <c r="I72" s="82">
        <f ca="1">IFERROR(__xludf.DUMMYFUNCTION("IMPORTRANGE(""https://docs.google.com/spreadsheets/d/1MeEWN-I1oV_STSDYn1IFDPWt_1FKiwhDph83XaGc0o0/edit?usp=sharing"",""งบพรบ!ES72"")"),0)</f>
        <v>0</v>
      </c>
      <c r="J72" s="82">
        <f t="shared" ca="1" si="3"/>
        <v>47903.47</v>
      </c>
      <c r="K72" s="83">
        <f t="shared" ca="1" si="4"/>
        <v>28.85751204819277</v>
      </c>
      <c r="L72" s="82">
        <f ca="1">IFERROR(__xludf.DUMMYFUNCTION("IMPORTRANGE(""https://docs.google.com/spreadsheets/d/1MeEWN-I1oV_STSDYn1IFDPWt_1FKiwhDph83XaGc0o0/edit?usp=sharing"",""งบพรบ!ET72"")"),47903.47)</f>
        <v>47903.47</v>
      </c>
      <c r="M72" s="84">
        <f t="shared" ca="1" si="5"/>
        <v>28.85751204819277</v>
      </c>
      <c r="N72" s="84">
        <f t="shared" ca="1" si="6"/>
        <v>57.715024096385541</v>
      </c>
      <c r="O72" s="85">
        <f ca="1">IFERROR(__xludf.DUMMYFUNCTION("IMPORTRANGE(""https://docs.google.com/spreadsheets/d/1MeEWN-I1oV_STSDYn1IFDPWt_1FKiwhDph83XaGc0o0/edit?usp=sharing"",""งบพรบ!EU72"")"),0)</f>
        <v>0</v>
      </c>
      <c r="P72" s="85">
        <f t="shared" ca="1" si="24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IFERROR(__xludf.DUMMYFUNCTION("IMPORTRANGE(""https://docs.google.com/spreadsheets/d/132g-zJpz2uMKimp17uOIx8A7o3w1Z25zwJyXnwsB56c/edit?usp=sharing"",""สุพรรณบุรี!I338"")"),2300)</f>
        <v>2300</v>
      </c>
      <c r="S72" s="86">
        <f ca="1">IFERROR(__xludf.DUMMYFUNCTION("IMPORTRANGE(""https://docs.google.com/spreadsheets/d/132g-zJpz2uMKimp17uOIx8A7o3w1Z25zwJyXnwsB56c/edit?usp=sharing"",""สุพรรณบุรี!J338"")"),1201)</f>
        <v>1201</v>
      </c>
      <c r="T72" s="87">
        <f t="shared" ca="1" si="21"/>
        <v>52.217391304347828</v>
      </c>
      <c r="U72" s="86">
        <f ca="1">IFERROR(__xludf.DUMMYFUNCTION("IMPORTRANGE(""https://docs.google.com/spreadsheets/d/132g-zJpz2uMKimp17uOIx8A7o3w1Z25zwJyXnwsB56c/edit?usp=sharing"",""สุพรรณบุรี!I340"")"),4)</f>
        <v>4</v>
      </c>
      <c r="V72" s="86">
        <f ca="1">IFERROR(__xludf.DUMMYFUNCTION("IMPORTRANGE(""https://docs.google.com/spreadsheets/d/132g-zJpz2uMKimp17uOIx8A7o3w1Z25zwJyXnwsB56c/edit?usp=sharing"",""สุพรรณบุรี!J340"")"),1)</f>
        <v>1</v>
      </c>
      <c r="W72" s="87">
        <f t="shared" ca="1" si="22"/>
        <v>25</v>
      </c>
      <c r="X72" s="86">
        <f ca="1">IFERROR(__xludf.DUMMYFUNCTION("IMPORTRANGE(""https://docs.google.com/spreadsheets/d/132g-zJpz2uMKimp17uOIx8A7o3w1Z25zwJyXnwsB56c/edit?usp=sharing"",""สุพรรณบุรี!J341"")"),50)</f>
        <v>50</v>
      </c>
      <c r="Y72" s="86">
        <f ca="1">IFERROR(__xludf.DUMMYFUNCTION("IMPORTRANGE(""https://docs.google.com/spreadsheets/d/132g-zJpz2uMKimp17uOIx8A7o3w1Z25zwJyXnwsB56c/edit?usp=sharing"",""สุพรรณบุรี!J342"")"),0)</f>
        <v>0</v>
      </c>
      <c r="Z72" s="86">
        <f ca="1">IFERROR(__xludf.DUMMYFUNCTION("IMPORTRANGE(""https://docs.google.com/spreadsheets/d/132g-zJpz2uMKimp17uOIx8A7o3w1Z25zwJyXnwsB56c/edit?usp=sharing"",""สุพรรณบุรี!J343"")"),0)</f>
        <v>0</v>
      </c>
    </row>
    <row r="73" spans="1:26" ht="21" customHeight="1" x14ac:dyDescent="0.2">
      <c r="A73" s="89">
        <v>21</v>
      </c>
      <c r="B73" s="90" t="s">
        <v>95</v>
      </c>
      <c r="C73" s="91">
        <f t="shared" ca="1" si="0"/>
        <v>353600</v>
      </c>
      <c r="D73" s="92">
        <f t="shared" ca="1" si="38"/>
        <v>353600</v>
      </c>
      <c r="E73" s="93">
        <f ca="1">IFERROR(__xludf.DUMMYFUNCTION("IMPORTRANGE(""https://docs.google.com/spreadsheets/d/1MeEWN-I1oV_STSDYn1IFDPWt_1FKiwhDph83XaGc0o0/edit?usp=sharing"",""งบพรบ!EN73"")"),201600)</f>
        <v>201600</v>
      </c>
      <c r="F73" s="93">
        <f ca="1">IFERROR(__xludf.DUMMYFUNCTION("IMPORTRANGE(""https://docs.google.com/spreadsheets/d/1MeEWN-I1oV_STSDYn1IFDPWt_1FKiwhDph83XaGc0o0/edit?usp=sharing"",""งบพรบ!EO73"")"),152000)</f>
        <v>152000</v>
      </c>
      <c r="G73" s="93">
        <f ca="1">IFERROR(__xludf.DUMMYFUNCTION("IMPORTRANGE(""https://docs.google.com/spreadsheets/d/1MeEWN-I1oV_STSDYn1IFDPWt_1FKiwhDph83XaGc0o0/edit?usp=sharing"",""งบพรบ!EP73"")"),0)</f>
        <v>0</v>
      </c>
      <c r="H73" s="93">
        <f ca="1">IFERROR(__xludf.DUMMYFUNCTION("IMPORTRANGE(""https://docs.google.com/spreadsheets/d/1MeEWN-I1oV_STSDYn1IFDPWt_1FKiwhDph83XaGc0o0/edit?usp=sharing"",""งบพรบ!ER73"")"),227200)</f>
        <v>227200</v>
      </c>
      <c r="I73" s="93">
        <f ca="1">IFERROR(__xludf.DUMMYFUNCTION("IMPORTRANGE(""https://docs.google.com/spreadsheets/d/1MeEWN-I1oV_STSDYn1IFDPWt_1FKiwhDph83XaGc0o0/edit?usp=sharing"",""งบพรบ!ES73"")"),0)</f>
        <v>0</v>
      </c>
      <c r="J73" s="93">
        <f t="shared" ca="1" si="3"/>
        <v>109860</v>
      </c>
      <c r="K73" s="94">
        <f t="shared" ca="1" si="4"/>
        <v>31.069004524886878</v>
      </c>
      <c r="L73" s="93">
        <f ca="1">IFERROR(__xludf.DUMMYFUNCTION("IMPORTRANGE(""https://docs.google.com/spreadsheets/d/1MeEWN-I1oV_STSDYn1IFDPWt_1FKiwhDph83XaGc0o0/edit?usp=sharing"",""งบพรบ!ET73"")"),109860)</f>
        <v>109860</v>
      </c>
      <c r="M73" s="95">
        <f t="shared" ca="1" si="5"/>
        <v>31.069004524886878</v>
      </c>
      <c r="N73" s="95">
        <f t="shared" ca="1" si="6"/>
        <v>48.353873239436616</v>
      </c>
      <c r="O73" s="96">
        <f ca="1">IFERROR(__xludf.DUMMYFUNCTION("IMPORTRANGE(""https://docs.google.com/spreadsheets/d/1MeEWN-I1oV_STSDYn1IFDPWt_1FKiwhDph83XaGc0o0/edit?usp=sharing"",""งบพรบ!EU73"")"),0)</f>
        <v>0</v>
      </c>
      <c r="P73" s="96">
        <f t="shared" ca="1" si="24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IFERROR(__xludf.DUMMYFUNCTION("IMPORTRANGE(""https://docs.google.com/spreadsheets/d/12Q_U0nVnFdxDFwa0pej9xvx8ZvLC9Dpi_vRro_aiG5g/edit?usp=sharing"",""อ่างทอง!I338"")"),50)</f>
        <v>50</v>
      </c>
      <c r="S73" s="97">
        <f ca="1">IFERROR(__xludf.DUMMYFUNCTION("IMPORTRANGE(""https://docs.google.com/spreadsheets/d/12Q_U0nVnFdxDFwa0pej9xvx8ZvLC9Dpi_vRro_aiG5g/edit?usp=sharing"",""อ่างทอง!J338"")"),22)</f>
        <v>22</v>
      </c>
      <c r="T73" s="98">
        <f t="shared" ca="1" si="21"/>
        <v>44</v>
      </c>
      <c r="U73" s="97">
        <f ca="1">IFERROR(__xludf.DUMMYFUNCTION("IMPORTRANGE(""https://docs.google.com/spreadsheets/d/12Q_U0nVnFdxDFwa0pej9xvx8ZvLC9Dpi_vRro_aiG5g/edit?usp=sharing"",""อ่างทอง!I340"")"),2)</f>
        <v>2</v>
      </c>
      <c r="V73" s="97">
        <f ca="1">IFERROR(__xludf.DUMMYFUNCTION("IMPORTRANGE(""https://docs.google.com/spreadsheets/d/12Q_U0nVnFdxDFwa0pej9xvx8ZvLC9Dpi_vRro_aiG5g/edit?usp=sharing"",""อ่างทอง!J340"")"),1)</f>
        <v>1</v>
      </c>
      <c r="W73" s="98">
        <f t="shared" ca="1" si="22"/>
        <v>50</v>
      </c>
      <c r="X73" s="97">
        <f ca="1">IFERROR(__xludf.DUMMYFUNCTION("IMPORTRANGE(""https://docs.google.com/spreadsheets/d/12Q_U0nVnFdxDFwa0pej9xvx8ZvLC9Dpi_vRro_aiG5g/edit?usp=sharing"",""อ่างทอง!J341"")"),27)</f>
        <v>27</v>
      </c>
      <c r="Y73" s="97">
        <f ca="1">IFERROR(__xludf.DUMMYFUNCTION("IMPORTRANGE(""https://docs.google.com/spreadsheets/d/12Q_U0nVnFdxDFwa0pej9xvx8ZvLC9Dpi_vRro_aiG5g/edit?usp=sharing"",""อ่างทอง!J342"")"),0)</f>
        <v>0</v>
      </c>
      <c r="Z73" s="97">
        <f ca="1">IFERROR(__xludf.DUMMYFUNCTION("IMPORTRANGE(""https://docs.google.com/spreadsheets/d/12Q_U0nVnFdxDFwa0pej9xvx8ZvLC9Dpi_vRro_aiG5g/edit?usp=sharing"",""อ่างทอง!J343"")"),0)</f>
        <v>0</v>
      </c>
    </row>
    <row r="74" spans="1:26" ht="21" customHeight="1" x14ac:dyDescent="0.2">
      <c r="A74" s="377" t="s">
        <v>96</v>
      </c>
      <c r="B74" s="357"/>
      <c r="C74" s="104">
        <f t="shared" ca="1" si="0"/>
        <v>2297000</v>
      </c>
      <c r="D74" s="62">
        <f t="shared" ref="D74:I74" ca="1" si="39">SUM(D75:D88)</f>
        <v>2297000</v>
      </c>
      <c r="E74" s="62">
        <f t="shared" ca="1" si="39"/>
        <v>0</v>
      </c>
      <c r="F74" s="62">
        <f t="shared" ca="1" si="39"/>
        <v>2297000</v>
      </c>
      <c r="G74" s="62">
        <f t="shared" ca="1" si="39"/>
        <v>0</v>
      </c>
      <c r="H74" s="62">
        <f t="shared" ca="1" si="39"/>
        <v>1148500</v>
      </c>
      <c r="I74" s="62">
        <f t="shared" ca="1" si="39"/>
        <v>0</v>
      </c>
      <c r="J74" s="62">
        <f t="shared" ca="1" si="3"/>
        <v>664759.9</v>
      </c>
      <c r="K74" s="100">
        <f t="shared" ca="1" si="4"/>
        <v>28.940352633870265</v>
      </c>
      <c r="L74" s="62">
        <f ca="1">SUM(L75:L88)</f>
        <v>664759.9</v>
      </c>
      <c r="M74" s="101">
        <f t="shared" ca="1" si="5"/>
        <v>28.940352633870265</v>
      </c>
      <c r="N74" s="101">
        <f t="shared" ca="1" si="6"/>
        <v>57.880705267740531</v>
      </c>
      <c r="O74" s="102">
        <f ca="1">SUM(O75:O88)</f>
        <v>0</v>
      </c>
      <c r="P74" s="102">
        <f t="shared" ca="1" si="24"/>
        <v>0</v>
      </c>
      <c r="Q74" s="101">
        <f t="shared" ca="1" si="8"/>
        <v>0</v>
      </c>
      <c r="R74" s="62">
        <f t="shared" ref="R74:S74" ca="1" si="40">SUM(R75:R88)</f>
        <v>18180</v>
      </c>
      <c r="S74" s="62">
        <f t="shared" ca="1" si="40"/>
        <v>13193</v>
      </c>
      <c r="T74" s="101">
        <f t="shared" ca="1" si="21"/>
        <v>72.568756875687569</v>
      </c>
      <c r="U74" s="62">
        <f t="shared" ref="U74:V74" ca="1" si="41">SUM(U75:U88)</f>
        <v>55</v>
      </c>
      <c r="V74" s="62">
        <f t="shared" ca="1" si="41"/>
        <v>21</v>
      </c>
      <c r="W74" s="101">
        <f t="shared" ca="1" si="22"/>
        <v>38.18181818181818</v>
      </c>
      <c r="X74" s="62">
        <f t="shared" ref="X74:Z74" ca="1" si="42">SUM(X75:X88)</f>
        <v>708</v>
      </c>
      <c r="Y74" s="62">
        <f t="shared" ca="1" si="42"/>
        <v>2</v>
      </c>
      <c r="Z74" s="62">
        <f t="shared" ca="1" si="42"/>
        <v>53</v>
      </c>
    </row>
    <row r="75" spans="1:26" ht="21" customHeight="1" x14ac:dyDescent="0.2">
      <c r="A75" s="68">
        <v>1</v>
      </c>
      <c r="B75" s="69" t="s">
        <v>97</v>
      </c>
      <c r="C75" s="103">
        <f t="shared" ca="1" si="0"/>
        <v>168000</v>
      </c>
      <c r="D75" s="71">
        <f t="shared" ref="D75:D88" ca="1" si="43">+E75+F75</f>
        <v>168000</v>
      </c>
      <c r="E75" s="72">
        <f ca="1">IFERROR(__xludf.DUMMYFUNCTION("IMPORTRANGE(""https://docs.google.com/spreadsheets/d/1MeEWN-I1oV_STSDYn1IFDPWt_1FKiwhDph83XaGc0o0/edit?usp=sharing"",""งบพรบ!EN75"")"),0)</f>
        <v>0</v>
      </c>
      <c r="F75" s="72">
        <f ca="1">IFERROR(__xludf.DUMMYFUNCTION("IMPORTRANGE(""https://docs.google.com/spreadsheets/d/1MeEWN-I1oV_STSDYn1IFDPWt_1FKiwhDph83XaGc0o0/edit?usp=sharing"",""งบพรบ!EO75"")"),168000)</f>
        <v>168000</v>
      </c>
      <c r="G75" s="105">
        <f ca="1">IFERROR(__xludf.DUMMYFUNCTION("IMPORTRANGE(""https://docs.google.com/spreadsheets/d/1MeEWN-I1oV_STSDYn1IFDPWt_1FKiwhDph83XaGc0o0/edit?usp=sharing"",""งบพรบ!EP75"")"),0)</f>
        <v>0</v>
      </c>
      <c r="H75" s="105">
        <f ca="1">IFERROR(__xludf.DUMMYFUNCTION("IMPORTRANGE(""https://docs.google.com/spreadsheets/d/1MeEWN-I1oV_STSDYn1IFDPWt_1FKiwhDph83XaGc0o0/edit?usp=sharing"",""งบพรบ!ER75"")"),84000)</f>
        <v>84000</v>
      </c>
      <c r="I75" s="105">
        <f ca="1">IFERROR(__xludf.DUMMYFUNCTION("IMPORTRANGE(""https://docs.google.com/spreadsheets/d/1MeEWN-I1oV_STSDYn1IFDPWt_1FKiwhDph83XaGc0o0/edit?usp=sharing"",""งบพรบ!ES75"")"),0)</f>
        <v>0</v>
      </c>
      <c r="J75" s="105">
        <f t="shared" ca="1" si="3"/>
        <v>57370.36</v>
      </c>
      <c r="K75" s="106">
        <f t="shared" ca="1" si="4"/>
        <v>34.149023809523811</v>
      </c>
      <c r="L75" s="82">
        <f ca="1">IFERROR(__xludf.DUMMYFUNCTION("IMPORTRANGE(""https://docs.google.com/spreadsheets/d/1MeEWN-I1oV_STSDYn1IFDPWt_1FKiwhDph83XaGc0o0/edit?usp=sharing"",""งบพรบ!ET75"")"),57370.36)</f>
        <v>57370.36</v>
      </c>
      <c r="M75" s="75">
        <f t="shared" ca="1" si="5"/>
        <v>34.149023809523811</v>
      </c>
      <c r="N75" s="75">
        <f t="shared" ca="1" si="6"/>
        <v>68.298047619047622</v>
      </c>
      <c r="O75" s="76">
        <f ca="1">IFERROR(__xludf.DUMMYFUNCTION("IMPORTRANGE(""https://docs.google.com/spreadsheets/d/1MeEWN-I1oV_STSDYn1IFDPWt_1FKiwhDph83XaGc0o0/edit?usp=sharing"",""งบพรบ!EU75"")"),0)</f>
        <v>0</v>
      </c>
      <c r="P75" s="76">
        <f t="shared" ca="1" si="24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IFERROR(__xludf.DUMMYFUNCTION("IMPORTRANGE(""https://docs.google.com/spreadsheets/d/1kC41EOXpGBFOW658Fs3oD8beYlym0-zO54WY-2Qnp9I/edit?usp=sharing"",""กระบี่!I338"")"),2000)</f>
        <v>2000</v>
      </c>
      <c r="S75" s="73">
        <f ca="1">IFERROR(__xludf.DUMMYFUNCTION("IMPORTRANGE(""https://docs.google.com/spreadsheets/d/1kC41EOXpGBFOW658Fs3oD8beYlym0-zO54WY-2Qnp9I/edit?usp=sharing"",""กระบี่!J338"")"),990)</f>
        <v>990</v>
      </c>
      <c r="T75" s="77">
        <f t="shared" ca="1" si="21"/>
        <v>49.5</v>
      </c>
      <c r="U75" s="73">
        <f ca="1">IFERROR(__xludf.DUMMYFUNCTION("IMPORTRANGE(""https://docs.google.com/spreadsheets/d/1kC41EOXpGBFOW658Fs3oD8beYlym0-zO54WY-2Qnp9I/edit?usp=sharing"",""กระบี่!I340"")"),5)</f>
        <v>5</v>
      </c>
      <c r="V75" s="73">
        <f ca="1">IFERROR(__xludf.DUMMYFUNCTION("IMPORTRANGE(""https://docs.google.com/spreadsheets/d/1kC41EOXpGBFOW658Fs3oD8beYlym0-zO54WY-2Qnp9I/edit?usp=sharing"",""กระบี่!J340"")"),2)</f>
        <v>2</v>
      </c>
      <c r="W75" s="77">
        <f t="shared" ca="1" si="22"/>
        <v>40</v>
      </c>
      <c r="X75" s="73">
        <f ca="1">IFERROR(__xludf.DUMMYFUNCTION("IMPORTRANGE(""https://docs.google.com/spreadsheets/d/1kC41EOXpGBFOW658Fs3oD8beYlym0-zO54WY-2Qnp9I/edit?usp=sharing"",""กระบี่!J341"")"),31)</f>
        <v>31</v>
      </c>
      <c r="Y75" s="73">
        <f ca="1">IFERROR(__xludf.DUMMYFUNCTION("IMPORTRANGE(""https://docs.google.com/spreadsheets/d/1kC41EOXpGBFOW658Fs3oD8beYlym0-zO54WY-2Qnp9I/edit?usp=sharing"",""กระบี่!J342"")"),0)</f>
        <v>0</v>
      </c>
      <c r="Z75" s="73">
        <f ca="1">IFERROR(__xludf.DUMMYFUNCTION("IMPORTRANGE(""https://docs.google.com/spreadsheets/d/1kC41EOXpGBFOW658Fs3oD8beYlym0-zO54WY-2Qnp9I/edit?usp=sharing"",""กระบี่!J343"")"),0)</f>
        <v>0</v>
      </c>
    </row>
    <row r="76" spans="1:26" ht="21" customHeight="1" x14ac:dyDescent="0.2">
      <c r="A76" s="78">
        <v>2</v>
      </c>
      <c r="B76" s="79" t="s">
        <v>98</v>
      </c>
      <c r="C76" s="80">
        <f t="shared" ca="1" si="0"/>
        <v>173000</v>
      </c>
      <c r="D76" s="81">
        <f t="shared" ca="1" si="43"/>
        <v>173000</v>
      </c>
      <c r="E76" s="82">
        <f ca="1">IFERROR(__xludf.DUMMYFUNCTION("IMPORTRANGE(""https://docs.google.com/spreadsheets/d/1MeEWN-I1oV_STSDYn1IFDPWt_1FKiwhDph83XaGc0o0/edit?usp=sharing"",""งบพรบ!EN76"")"),0)</f>
        <v>0</v>
      </c>
      <c r="F76" s="82">
        <f ca="1">IFERROR(__xludf.DUMMYFUNCTION("IMPORTRANGE(""https://docs.google.com/spreadsheets/d/1MeEWN-I1oV_STSDYn1IFDPWt_1FKiwhDph83XaGc0o0/edit?usp=sharing"",""งบพรบ!EO76"")"),173000)</f>
        <v>173000</v>
      </c>
      <c r="G76" s="82">
        <f ca="1">IFERROR(__xludf.DUMMYFUNCTION("IMPORTRANGE(""https://docs.google.com/spreadsheets/d/1MeEWN-I1oV_STSDYn1IFDPWt_1FKiwhDph83XaGc0o0/edit?usp=sharing"",""งบพรบ!EP76"")"),0)</f>
        <v>0</v>
      </c>
      <c r="H76" s="82">
        <f ca="1">IFERROR(__xludf.DUMMYFUNCTION("IMPORTRANGE(""https://docs.google.com/spreadsheets/d/1MeEWN-I1oV_STSDYn1IFDPWt_1FKiwhDph83XaGc0o0/edit?usp=sharing"",""งบพรบ!ER76"")"),86500)</f>
        <v>86500</v>
      </c>
      <c r="I76" s="82">
        <f ca="1">IFERROR(__xludf.DUMMYFUNCTION("IMPORTRANGE(""https://docs.google.com/spreadsheets/d/1MeEWN-I1oV_STSDYn1IFDPWt_1FKiwhDph83XaGc0o0/edit?usp=sharing"",""งบพรบ!ES76"")"),0)</f>
        <v>0</v>
      </c>
      <c r="J76" s="82">
        <f t="shared" ca="1" si="3"/>
        <v>45694</v>
      </c>
      <c r="K76" s="83">
        <f t="shared" ca="1" si="4"/>
        <v>26.412716763005779</v>
      </c>
      <c r="L76" s="82">
        <f ca="1">IFERROR(__xludf.DUMMYFUNCTION("IMPORTRANGE(""https://docs.google.com/spreadsheets/d/1MeEWN-I1oV_STSDYn1IFDPWt_1FKiwhDph83XaGc0o0/edit?usp=sharing"",""งบพรบ!ET76"")"),45694)</f>
        <v>45694</v>
      </c>
      <c r="M76" s="84">
        <f t="shared" ca="1" si="5"/>
        <v>26.412716763005779</v>
      </c>
      <c r="N76" s="84">
        <f t="shared" ca="1" si="6"/>
        <v>52.825433526011558</v>
      </c>
      <c r="O76" s="85">
        <f ca="1">IFERROR(__xludf.DUMMYFUNCTION("IMPORTRANGE(""https://docs.google.com/spreadsheets/d/1MeEWN-I1oV_STSDYn1IFDPWt_1FKiwhDph83XaGc0o0/edit?usp=sharing"",""งบพรบ!EU76"")"),0)</f>
        <v>0</v>
      </c>
      <c r="P76" s="85">
        <f t="shared" ca="1" si="24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IFERROR(__xludf.DUMMYFUNCTION("IMPORTRANGE(""https://docs.google.com/spreadsheets/d/1FbzMZY_f3MDiEuK7RpCQKrilJ_kpX0Wm7QBZ1L7EjIU/edit?usp=sharing"",""ชุมพร!I338"")"),3100)</f>
        <v>3100</v>
      </c>
      <c r="S76" s="86">
        <f ca="1">IFERROR(__xludf.DUMMYFUNCTION("IMPORTRANGE(""https://docs.google.com/spreadsheets/d/1FbzMZY_f3MDiEuK7RpCQKrilJ_kpX0Wm7QBZ1L7EjIU/edit?usp=sharing"",""ชุมพร!J338"")"),1682)</f>
        <v>1682</v>
      </c>
      <c r="T76" s="87">
        <f t="shared" ca="1" si="21"/>
        <v>54.258064516129032</v>
      </c>
      <c r="U76" s="86">
        <f ca="1">IFERROR(__xludf.DUMMYFUNCTION("IMPORTRANGE(""https://docs.google.com/spreadsheets/d/1FbzMZY_f3MDiEuK7RpCQKrilJ_kpX0Wm7QBZ1L7EjIU/edit?usp=sharing"",""ชุมพร!I340"")"),5)</f>
        <v>5</v>
      </c>
      <c r="V76" s="86">
        <f ca="1">IFERROR(__xludf.DUMMYFUNCTION("IMPORTRANGE(""https://docs.google.com/spreadsheets/d/1FbzMZY_f3MDiEuK7RpCQKrilJ_kpX0Wm7QBZ1L7EjIU/edit?usp=sharing"",""ชุมพร!J340"")"),0)</f>
        <v>0</v>
      </c>
      <c r="W76" s="87">
        <f t="shared" ca="1" si="22"/>
        <v>0</v>
      </c>
      <c r="X76" s="86">
        <f ca="1">IFERROR(__xludf.DUMMYFUNCTION("IMPORTRANGE(""https://docs.google.com/spreadsheets/d/1FbzMZY_f3MDiEuK7RpCQKrilJ_kpX0Wm7QBZ1L7EjIU/edit?usp=sharing"",""ชุมพร!J341"")"),0)</f>
        <v>0</v>
      </c>
      <c r="Y76" s="86">
        <f ca="1">IFERROR(__xludf.DUMMYFUNCTION("IMPORTRANGE(""https://docs.google.com/spreadsheets/d/1FbzMZY_f3MDiEuK7RpCQKrilJ_kpX0Wm7QBZ1L7EjIU/edit?usp=sharing"",""ชุมพร!J342"")"),0)</f>
        <v>0</v>
      </c>
      <c r="Z76" s="86">
        <f ca="1">IFERROR(__xludf.DUMMYFUNCTION("IMPORTRANGE(""https://docs.google.com/spreadsheets/d/1FbzMZY_f3MDiEuK7RpCQKrilJ_kpX0Wm7QBZ1L7EjIU/edit?usp=sharing"",""ชุมพร!J343"")"),0)</f>
        <v>0</v>
      </c>
    </row>
    <row r="77" spans="1:26" ht="21" customHeight="1" x14ac:dyDescent="0.2">
      <c r="A77" s="78">
        <v>3</v>
      </c>
      <c r="B77" s="79" t="s">
        <v>99</v>
      </c>
      <c r="C77" s="80">
        <f t="shared" ca="1" si="0"/>
        <v>166000</v>
      </c>
      <c r="D77" s="81">
        <f t="shared" ca="1" si="43"/>
        <v>166000</v>
      </c>
      <c r="E77" s="82">
        <f ca="1">IFERROR(__xludf.DUMMYFUNCTION("IMPORTRANGE(""https://docs.google.com/spreadsheets/d/1MeEWN-I1oV_STSDYn1IFDPWt_1FKiwhDph83XaGc0o0/edit?usp=sharing"",""งบพรบ!EN77"")"),0)</f>
        <v>0</v>
      </c>
      <c r="F77" s="82">
        <f ca="1">IFERROR(__xludf.DUMMYFUNCTION("IMPORTRANGE(""https://docs.google.com/spreadsheets/d/1MeEWN-I1oV_STSDYn1IFDPWt_1FKiwhDph83XaGc0o0/edit?usp=sharing"",""งบพรบ!EO77"")"),166000)</f>
        <v>166000</v>
      </c>
      <c r="G77" s="82">
        <f ca="1">IFERROR(__xludf.DUMMYFUNCTION("IMPORTRANGE(""https://docs.google.com/spreadsheets/d/1MeEWN-I1oV_STSDYn1IFDPWt_1FKiwhDph83XaGc0o0/edit?usp=sharing"",""งบพรบ!EP77"")"),0)</f>
        <v>0</v>
      </c>
      <c r="H77" s="82">
        <f ca="1">IFERROR(__xludf.DUMMYFUNCTION("IMPORTRANGE(""https://docs.google.com/spreadsheets/d/1MeEWN-I1oV_STSDYn1IFDPWt_1FKiwhDph83XaGc0o0/edit?usp=sharing"",""งบพรบ!ER77"")"),83000)</f>
        <v>83000</v>
      </c>
      <c r="I77" s="82">
        <f ca="1">IFERROR(__xludf.DUMMYFUNCTION("IMPORTRANGE(""https://docs.google.com/spreadsheets/d/1MeEWN-I1oV_STSDYn1IFDPWt_1FKiwhDph83XaGc0o0/edit?usp=sharing"",""งบพรบ!ES77"")"),0)</f>
        <v>0</v>
      </c>
      <c r="J77" s="82">
        <f t="shared" ca="1" si="3"/>
        <v>60844.76</v>
      </c>
      <c r="K77" s="83">
        <f t="shared" ca="1" si="4"/>
        <v>36.65346987951807</v>
      </c>
      <c r="L77" s="82">
        <f ca="1">IFERROR(__xludf.DUMMYFUNCTION("IMPORTRANGE(""https://docs.google.com/spreadsheets/d/1MeEWN-I1oV_STSDYn1IFDPWt_1FKiwhDph83XaGc0o0/edit?usp=sharing"",""งบพรบ!ET77"")"),60844.76)</f>
        <v>60844.76</v>
      </c>
      <c r="M77" s="84">
        <f t="shared" ca="1" si="5"/>
        <v>36.65346987951807</v>
      </c>
      <c r="N77" s="84">
        <f t="shared" ca="1" si="6"/>
        <v>73.30693975903614</v>
      </c>
      <c r="O77" s="85">
        <f ca="1">IFERROR(__xludf.DUMMYFUNCTION("IMPORTRANGE(""https://docs.google.com/spreadsheets/d/1MeEWN-I1oV_STSDYn1IFDPWt_1FKiwhDph83XaGc0o0/edit?usp=sharing"",""งบพรบ!EU77"")"),0)</f>
        <v>0</v>
      </c>
      <c r="P77" s="85">
        <f t="shared" ca="1" si="24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IFERROR(__xludf.DUMMYFUNCTION("IMPORTRANGE(""https://docs.google.com/spreadsheets/d/1v5sN-00LrXuhBxw4dkh2GrG_z4l5oAqOdJRBCsUyMaM/edit?usp=sharing"",""ตรัง!I338"")"),1700)</f>
        <v>1700</v>
      </c>
      <c r="S77" s="86">
        <f ca="1">IFERROR(__xludf.DUMMYFUNCTION("IMPORTRANGE(""https://docs.google.com/spreadsheets/d/1v5sN-00LrXuhBxw4dkh2GrG_z4l5oAqOdJRBCsUyMaM/edit?usp=sharing"",""ตรัง!J338"")"),2018)</f>
        <v>2018</v>
      </c>
      <c r="T77" s="87">
        <f t="shared" ca="1" si="21"/>
        <v>118.70588235294117</v>
      </c>
      <c r="U77" s="86">
        <f ca="1">IFERROR(__xludf.DUMMYFUNCTION("IMPORTRANGE(""https://docs.google.com/spreadsheets/d/1v5sN-00LrXuhBxw4dkh2GrG_z4l5oAqOdJRBCsUyMaM/edit?usp=sharing"",""ตรัง!I340"")"),4)</f>
        <v>4</v>
      </c>
      <c r="V77" s="86">
        <f ca="1">IFERROR(__xludf.DUMMYFUNCTION("IMPORTRANGE(""https://docs.google.com/spreadsheets/d/1v5sN-00LrXuhBxw4dkh2GrG_z4l5oAqOdJRBCsUyMaM/edit?usp=sharing"",""ตรัง!J340"")"),2)</f>
        <v>2</v>
      </c>
      <c r="W77" s="87">
        <f t="shared" ca="1" si="22"/>
        <v>50</v>
      </c>
      <c r="X77" s="86">
        <f ca="1">IFERROR(__xludf.DUMMYFUNCTION("IMPORTRANGE(""https://docs.google.com/spreadsheets/d/1v5sN-00LrXuhBxw4dkh2GrG_z4l5oAqOdJRBCsUyMaM/edit?usp=sharing"",""ตรัง!J341"")"),101)</f>
        <v>101</v>
      </c>
      <c r="Y77" s="86">
        <f ca="1">IFERROR(__xludf.DUMMYFUNCTION("IMPORTRANGE(""https://docs.google.com/spreadsheets/d/1v5sN-00LrXuhBxw4dkh2GrG_z4l5oAqOdJRBCsUyMaM/edit?usp=sharing"",""ตรัง!J342"")"),0)</f>
        <v>0</v>
      </c>
      <c r="Z77" s="86">
        <f ca="1">IFERROR(__xludf.DUMMYFUNCTION("IMPORTRANGE(""https://docs.google.com/spreadsheets/d/1v5sN-00LrXuhBxw4dkh2GrG_z4l5oAqOdJRBCsUyMaM/edit?usp=sharing"",""ตรัง!J343"")"),0)</f>
        <v>0</v>
      </c>
    </row>
    <row r="78" spans="1:26" ht="21" customHeight="1" x14ac:dyDescent="0.2">
      <c r="A78" s="78">
        <v>4</v>
      </c>
      <c r="B78" s="79" t="s">
        <v>100</v>
      </c>
      <c r="C78" s="80">
        <f t="shared" ca="1" si="0"/>
        <v>174000</v>
      </c>
      <c r="D78" s="81">
        <f t="shared" ca="1" si="43"/>
        <v>174000</v>
      </c>
      <c r="E78" s="82">
        <f ca="1">IFERROR(__xludf.DUMMYFUNCTION("IMPORTRANGE(""https://docs.google.com/spreadsheets/d/1MeEWN-I1oV_STSDYn1IFDPWt_1FKiwhDph83XaGc0o0/edit?usp=sharing"",""งบพรบ!EN78"")"),0)</f>
        <v>0</v>
      </c>
      <c r="F78" s="82">
        <f ca="1">IFERROR(__xludf.DUMMYFUNCTION("IMPORTRANGE(""https://docs.google.com/spreadsheets/d/1MeEWN-I1oV_STSDYn1IFDPWt_1FKiwhDph83XaGc0o0/edit?usp=sharing"",""งบพรบ!EO78"")"),174000)</f>
        <v>174000</v>
      </c>
      <c r="G78" s="82">
        <f ca="1">IFERROR(__xludf.DUMMYFUNCTION("IMPORTRANGE(""https://docs.google.com/spreadsheets/d/1MeEWN-I1oV_STSDYn1IFDPWt_1FKiwhDph83XaGc0o0/edit?usp=sharing"",""งบพรบ!EP78"")"),0)</f>
        <v>0</v>
      </c>
      <c r="H78" s="82">
        <f ca="1">IFERROR(__xludf.DUMMYFUNCTION("IMPORTRANGE(""https://docs.google.com/spreadsheets/d/1MeEWN-I1oV_STSDYn1IFDPWt_1FKiwhDph83XaGc0o0/edit?usp=sharing"",""งบพรบ!ER78"")"),87000)</f>
        <v>87000</v>
      </c>
      <c r="I78" s="82">
        <f ca="1">IFERROR(__xludf.DUMMYFUNCTION("IMPORTRANGE(""https://docs.google.com/spreadsheets/d/1MeEWN-I1oV_STSDYn1IFDPWt_1FKiwhDph83XaGc0o0/edit?usp=sharing"",""งบพรบ!ES78"")"),0)</f>
        <v>0</v>
      </c>
      <c r="J78" s="82">
        <f t="shared" ca="1" si="3"/>
        <v>42089.33</v>
      </c>
      <c r="K78" s="83">
        <f t="shared" ca="1" si="4"/>
        <v>24.189270114942527</v>
      </c>
      <c r="L78" s="82">
        <f ca="1">IFERROR(__xludf.DUMMYFUNCTION("IMPORTRANGE(""https://docs.google.com/spreadsheets/d/1MeEWN-I1oV_STSDYn1IFDPWt_1FKiwhDph83XaGc0o0/edit?usp=sharing"",""งบพรบ!ET78"")"),42089.33)</f>
        <v>42089.33</v>
      </c>
      <c r="M78" s="84">
        <f t="shared" ca="1" si="5"/>
        <v>24.189270114942527</v>
      </c>
      <c r="N78" s="84">
        <f t="shared" ca="1" si="6"/>
        <v>48.378540229885054</v>
      </c>
      <c r="O78" s="85">
        <f ca="1">IFERROR(__xludf.DUMMYFUNCTION("IMPORTRANGE(""https://docs.google.com/spreadsheets/d/1MeEWN-I1oV_STSDYn1IFDPWt_1FKiwhDph83XaGc0o0/edit?usp=sharing"",""งบพรบ!EU78"")"),0)</f>
        <v>0</v>
      </c>
      <c r="P78" s="85">
        <f t="shared" ca="1" si="24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IFERROR(__xludf.DUMMYFUNCTION("IMPORTRANGE(""https://docs.google.com/spreadsheets/d/1T5rRTzFc79aSIvqnzkZNvwPstq829QYz_xALlO1Z0s8/edit?usp=sharing"",""นครศรีธรรมราช!I338"")"),1600)</f>
        <v>1600</v>
      </c>
      <c r="S78" s="86">
        <f ca="1">IFERROR(__xludf.DUMMYFUNCTION("IMPORTRANGE(""https://docs.google.com/spreadsheets/d/1T5rRTzFc79aSIvqnzkZNvwPstq829QYz_xALlO1Z0s8/edit?usp=sharing"",""นครศรีธรรมราช!J338"")"),1054)</f>
        <v>1054</v>
      </c>
      <c r="T78" s="87">
        <f t="shared" ca="1" si="21"/>
        <v>65.875</v>
      </c>
      <c r="U78" s="86">
        <f ca="1">IFERROR(__xludf.DUMMYFUNCTION("IMPORTRANGE(""https://docs.google.com/spreadsheets/d/1T5rRTzFc79aSIvqnzkZNvwPstq829QYz_xALlO1Z0s8/edit?usp=sharing"",""นครศรีธรรมราช!I340"")"),8)</f>
        <v>8</v>
      </c>
      <c r="V78" s="86">
        <f ca="1">IFERROR(__xludf.DUMMYFUNCTION("IMPORTRANGE(""https://docs.google.com/spreadsheets/d/1T5rRTzFc79aSIvqnzkZNvwPstq829QYz_xALlO1Z0s8/edit?usp=sharing"",""นครศรีธรรมราช!J340"")"),0)</f>
        <v>0</v>
      </c>
      <c r="W78" s="87">
        <f t="shared" ca="1" si="22"/>
        <v>0</v>
      </c>
      <c r="X78" s="86">
        <f ca="1">IFERROR(__xludf.DUMMYFUNCTION("IMPORTRANGE(""https://docs.google.com/spreadsheets/d/1T5rRTzFc79aSIvqnzkZNvwPstq829QYz_xALlO1Z0s8/edit?usp=sharing"",""นครศรีธรรมราช!J341"")"),0)</f>
        <v>0</v>
      </c>
      <c r="Y78" s="86">
        <f ca="1">IFERROR(__xludf.DUMMYFUNCTION("IMPORTRANGE(""https://docs.google.com/spreadsheets/d/1T5rRTzFc79aSIvqnzkZNvwPstq829QYz_xALlO1Z0s8/edit?usp=sharing"",""นครศรีธรรมราช!J342"")"),0)</f>
        <v>0</v>
      </c>
      <c r="Z78" s="86">
        <f ca="1">IFERROR(__xludf.DUMMYFUNCTION("IMPORTRANGE(""https://docs.google.com/spreadsheets/d/1T5rRTzFc79aSIvqnzkZNvwPstq829QYz_xALlO1Z0s8/edit?usp=sharing"",""นครศรีธรรมราช!J343"")"),0)</f>
        <v>0</v>
      </c>
    </row>
    <row r="79" spans="1:26" ht="21" customHeight="1" x14ac:dyDescent="0.2">
      <c r="A79" s="78">
        <v>5</v>
      </c>
      <c r="B79" s="79" t="s">
        <v>101</v>
      </c>
      <c r="C79" s="80">
        <f t="shared" ca="1" si="0"/>
        <v>157000</v>
      </c>
      <c r="D79" s="81">
        <f t="shared" ca="1" si="43"/>
        <v>157000</v>
      </c>
      <c r="E79" s="82">
        <f ca="1">IFERROR(__xludf.DUMMYFUNCTION("IMPORTRANGE(""https://docs.google.com/spreadsheets/d/1MeEWN-I1oV_STSDYn1IFDPWt_1FKiwhDph83XaGc0o0/edit?usp=sharing"",""งบพรบ!EN79"")"),0)</f>
        <v>0</v>
      </c>
      <c r="F79" s="82">
        <f ca="1">IFERROR(__xludf.DUMMYFUNCTION("IMPORTRANGE(""https://docs.google.com/spreadsheets/d/1MeEWN-I1oV_STSDYn1IFDPWt_1FKiwhDph83XaGc0o0/edit?usp=sharing"",""งบพรบ!EO79"")"),157000)</f>
        <v>157000</v>
      </c>
      <c r="G79" s="82">
        <f ca="1">IFERROR(__xludf.DUMMYFUNCTION("IMPORTRANGE(""https://docs.google.com/spreadsheets/d/1MeEWN-I1oV_STSDYn1IFDPWt_1FKiwhDph83XaGc0o0/edit?usp=sharing"",""งบพรบ!EP79"")"),0)</f>
        <v>0</v>
      </c>
      <c r="H79" s="82">
        <f ca="1">IFERROR(__xludf.DUMMYFUNCTION("IMPORTRANGE(""https://docs.google.com/spreadsheets/d/1MeEWN-I1oV_STSDYn1IFDPWt_1FKiwhDph83XaGc0o0/edit?usp=sharing"",""งบพรบ!ER79"")"),78500)</f>
        <v>78500</v>
      </c>
      <c r="I79" s="82">
        <f ca="1">IFERROR(__xludf.DUMMYFUNCTION("IMPORTRANGE(""https://docs.google.com/spreadsheets/d/1MeEWN-I1oV_STSDYn1IFDPWt_1FKiwhDph83XaGc0o0/edit?usp=sharing"",""งบพรบ!ES79"")"),0)</f>
        <v>0</v>
      </c>
      <c r="J79" s="82">
        <f t="shared" ca="1" si="3"/>
        <v>55738</v>
      </c>
      <c r="K79" s="83">
        <f t="shared" ca="1" si="4"/>
        <v>35.50191082802548</v>
      </c>
      <c r="L79" s="82">
        <f ca="1">IFERROR(__xludf.DUMMYFUNCTION("IMPORTRANGE(""https://docs.google.com/spreadsheets/d/1MeEWN-I1oV_STSDYn1IFDPWt_1FKiwhDph83XaGc0o0/edit?usp=sharing"",""งบพรบ!ET79"")"),55738)</f>
        <v>55738</v>
      </c>
      <c r="M79" s="84">
        <f t="shared" ca="1" si="5"/>
        <v>35.50191082802548</v>
      </c>
      <c r="N79" s="84">
        <f t="shared" ca="1" si="6"/>
        <v>71.00382165605096</v>
      </c>
      <c r="O79" s="85">
        <f ca="1">IFERROR(__xludf.DUMMYFUNCTION("IMPORTRANGE(""https://docs.google.com/spreadsheets/d/1MeEWN-I1oV_STSDYn1IFDPWt_1FKiwhDph83XaGc0o0/edit?usp=sharing"",""งบพรบ!EU79"")"),0)</f>
        <v>0</v>
      </c>
      <c r="P79" s="85">
        <f t="shared" ca="1" si="24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IFERROR(__xludf.DUMMYFUNCTION("IMPORTRANGE(""https://docs.google.com/spreadsheets/d/1BeghqumK0IvCmRd2QOy6_afsZq7ZtAGrSnVJy2u7WmY/edit?usp=sharing"",""นราธิวาส!I338"")"),300)</f>
        <v>300</v>
      </c>
      <c r="S79" s="86">
        <f ca="1">IFERROR(__xludf.DUMMYFUNCTION("IMPORTRANGE(""https://docs.google.com/spreadsheets/d/1BeghqumK0IvCmRd2QOy6_afsZq7ZtAGrSnVJy2u7WmY/edit?usp=sharing"",""นราธิวาส!J338"")"),195)</f>
        <v>195</v>
      </c>
      <c r="T79" s="87">
        <f t="shared" ca="1" si="21"/>
        <v>65</v>
      </c>
      <c r="U79" s="86">
        <f ca="1">IFERROR(__xludf.DUMMYFUNCTION("IMPORTRANGE(""https://docs.google.com/spreadsheets/d/1BeghqumK0IvCmRd2QOy6_afsZq7ZtAGrSnVJy2u7WmY/edit?usp=sharing"",""นราธิวาส!I340"")"),2)</f>
        <v>2</v>
      </c>
      <c r="V79" s="86">
        <f ca="1">IFERROR(__xludf.DUMMYFUNCTION("IMPORTRANGE(""https://docs.google.com/spreadsheets/d/1BeghqumK0IvCmRd2QOy6_afsZq7ZtAGrSnVJy2u7WmY/edit?usp=sharing"",""นราธิวาส!J340"")"),1)</f>
        <v>1</v>
      </c>
      <c r="W79" s="87">
        <f t="shared" ca="1" si="22"/>
        <v>50</v>
      </c>
      <c r="X79" s="86">
        <f ca="1">IFERROR(__xludf.DUMMYFUNCTION("IMPORTRANGE(""https://docs.google.com/spreadsheets/d/1BeghqumK0IvCmRd2QOy6_afsZq7ZtAGrSnVJy2u7WmY/edit?usp=sharing"",""นราธิวาส!J341"")"),130)</f>
        <v>130</v>
      </c>
      <c r="Y79" s="86">
        <f ca="1">IFERROR(__xludf.DUMMYFUNCTION("IMPORTRANGE(""https://docs.google.com/spreadsheets/d/1BeghqumK0IvCmRd2QOy6_afsZq7ZtAGrSnVJy2u7WmY/edit?usp=sharing"",""นราธิวาส!J342"")"),0)</f>
        <v>0</v>
      </c>
      <c r="Z79" s="86">
        <f ca="1">IFERROR(__xludf.DUMMYFUNCTION("IMPORTRANGE(""https://docs.google.com/spreadsheets/d/1BeghqumK0IvCmRd2QOy6_afsZq7ZtAGrSnVJy2u7WmY/edit?usp=sharing"",""นราธิวาส!J343"")"),0)</f>
        <v>0</v>
      </c>
    </row>
    <row r="80" spans="1:26" ht="21" customHeight="1" x14ac:dyDescent="0.2">
      <c r="A80" s="78">
        <v>6</v>
      </c>
      <c r="B80" s="79" t="s">
        <v>102</v>
      </c>
      <c r="C80" s="80">
        <f t="shared" ca="1" si="0"/>
        <v>157000</v>
      </c>
      <c r="D80" s="81">
        <f t="shared" ca="1" si="43"/>
        <v>157000</v>
      </c>
      <c r="E80" s="82">
        <f ca="1">IFERROR(__xludf.DUMMYFUNCTION("IMPORTRANGE(""https://docs.google.com/spreadsheets/d/1MeEWN-I1oV_STSDYn1IFDPWt_1FKiwhDph83XaGc0o0/edit?usp=sharing"",""งบพรบ!EN80"")"),0)</f>
        <v>0</v>
      </c>
      <c r="F80" s="82">
        <f ca="1">IFERROR(__xludf.DUMMYFUNCTION("IMPORTRANGE(""https://docs.google.com/spreadsheets/d/1MeEWN-I1oV_STSDYn1IFDPWt_1FKiwhDph83XaGc0o0/edit?usp=sharing"",""งบพรบ!EO80"")"),157000)</f>
        <v>157000</v>
      </c>
      <c r="G80" s="82">
        <f ca="1">IFERROR(__xludf.DUMMYFUNCTION("IMPORTRANGE(""https://docs.google.com/spreadsheets/d/1MeEWN-I1oV_STSDYn1IFDPWt_1FKiwhDph83XaGc0o0/edit?usp=sharing"",""งบพรบ!EP80"")"),0)</f>
        <v>0</v>
      </c>
      <c r="H80" s="82">
        <f ca="1">IFERROR(__xludf.DUMMYFUNCTION("IMPORTRANGE(""https://docs.google.com/spreadsheets/d/1MeEWN-I1oV_STSDYn1IFDPWt_1FKiwhDph83XaGc0o0/edit?usp=sharing"",""งบพรบ!ER80"")"),78500)</f>
        <v>78500</v>
      </c>
      <c r="I80" s="82">
        <f ca="1">IFERROR(__xludf.DUMMYFUNCTION("IMPORTRANGE(""https://docs.google.com/spreadsheets/d/1MeEWN-I1oV_STSDYn1IFDPWt_1FKiwhDph83XaGc0o0/edit?usp=sharing"",""งบพรบ!ES80"")"),0)</f>
        <v>0</v>
      </c>
      <c r="J80" s="82">
        <f t="shared" ca="1" si="3"/>
        <v>21364</v>
      </c>
      <c r="K80" s="83">
        <f t="shared" ca="1" si="4"/>
        <v>13.60764331210191</v>
      </c>
      <c r="L80" s="82">
        <f ca="1">IFERROR(__xludf.DUMMYFUNCTION("IMPORTRANGE(""https://docs.google.com/spreadsheets/d/1MeEWN-I1oV_STSDYn1IFDPWt_1FKiwhDph83XaGc0o0/edit?usp=sharing"",""งบพรบ!ET80"")"),21364)</f>
        <v>21364</v>
      </c>
      <c r="M80" s="84">
        <f t="shared" ca="1" si="5"/>
        <v>13.60764331210191</v>
      </c>
      <c r="N80" s="84">
        <f t="shared" ca="1" si="6"/>
        <v>27.21528662420382</v>
      </c>
      <c r="O80" s="85">
        <f ca="1">IFERROR(__xludf.DUMMYFUNCTION("IMPORTRANGE(""https://docs.google.com/spreadsheets/d/1MeEWN-I1oV_STSDYn1IFDPWt_1FKiwhDph83XaGc0o0/edit?usp=sharing"",""งบพรบ!EU80"")"),0)</f>
        <v>0</v>
      </c>
      <c r="P80" s="85">
        <f t="shared" ca="1" si="24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IFERROR(__xludf.DUMMYFUNCTION("IMPORTRANGE(""https://docs.google.com/spreadsheets/d/1IwnW3-jjRf74MCLW-6PiFwMUffRQXZwZA7YM609NmRc/edit?usp=sharing"",""ปัตตานี!I338"")"),300)</f>
        <v>300</v>
      </c>
      <c r="S80" s="86">
        <f ca="1">IFERROR(__xludf.DUMMYFUNCTION("IMPORTRANGE(""https://docs.google.com/spreadsheets/d/1IwnW3-jjRf74MCLW-6PiFwMUffRQXZwZA7YM609NmRc/edit?usp=sharing"",""ปัตตานี!J338"")"),168)</f>
        <v>168</v>
      </c>
      <c r="T80" s="87">
        <f t="shared" ca="1" si="21"/>
        <v>56</v>
      </c>
      <c r="U80" s="86">
        <f ca="1">IFERROR(__xludf.DUMMYFUNCTION("IMPORTRANGE(""https://docs.google.com/spreadsheets/d/1IwnW3-jjRf74MCLW-6PiFwMUffRQXZwZA7YM609NmRc/edit?usp=sharing"",""ปัตตานี!I340"")"),2)</f>
        <v>2</v>
      </c>
      <c r="V80" s="86">
        <f ca="1">IFERROR(__xludf.DUMMYFUNCTION("IMPORTRANGE(""https://docs.google.com/spreadsheets/d/1IwnW3-jjRf74MCLW-6PiFwMUffRQXZwZA7YM609NmRc/edit?usp=sharing"",""ปัตตานี!J340"")"),2)</f>
        <v>2</v>
      </c>
      <c r="W80" s="87">
        <f t="shared" ca="1" si="22"/>
        <v>100</v>
      </c>
      <c r="X80" s="86">
        <f ca="1">IFERROR(__xludf.DUMMYFUNCTION("IMPORTRANGE(""https://docs.google.com/spreadsheets/d/1IwnW3-jjRf74MCLW-6PiFwMUffRQXZwZA7YM609NmRc/edit?usp=sharing"",""ปัตตานี!J341"")"),69)</f>
        <v>69</v>
      </c>
      <c r="Y80" s="86">
        <f ca="1">IFERROR(__xludf.DUMMYFUNCTION("IMPORTRANGE(""https://docs.google.com/spreadsheets/d/1IwnW3-jjRf74MCLW-6PiFwMUffRQXZwZA7YM609NmRc/edit?usp=sharing"",""ปัตตานี!J342"")"),0)</f>
        <v>0</v>
      </c>
      <c r="Z80" s="86">
        <f ca="1">IFERROR(__xludf.DUMMYFUNCTION("IMPORTRANGE(""https://docs.google.com/spreadsheets/d/1IwnW3-jjRf74MCLW-6PiFwMUffRQXZwZA7YM609NmRc/edit?usp=sharing"",""ปัตตานี!J343"")"),10)</f>
        <v>10</v>
      </c>
    </row>
    <row r="81" spans="1:26" ht="21" customHeight="1" x14ac:dyDescent="0.2">
      <c r="A81" s="78">
        <v>7</v>
      </c>
      <c r="B81" s="79" t="s">
        <v>103</v>
      </c>
      <c r="C81" s="80">
        <f t="shared" ca="1" si="0"/>
        <v>163000</v>
      </c>
      <c r="D81" s="81">
        <f t="shared" ca="1" si="43"/>
        <v>163000</v>
      </c>
      <c r="E81" s="82">
        <f ca="1">IFERROR(__xludf.DUMMYFUNCTION("IMPORTRANGE(""https://docs.google.com/spreadsheets/d/1MeEWN-I1oV_STSDYn1IFDPWt_1FKiwhDph83XaGc0o0/edit?usp=sharing"",""งบพรบ!EN81"")"),0)</f>
        <v>0</v>
      </c>
      <c r="F81" s="82">
        <f ca="1">IFERROR(__xludf.DUMMYFUNCTION("IMPORTRANGE(""https://docs.google.com/spreadsheets/d/1MeEWN-I1oV_STSDYn1IFDPWt_1FKiwhDph83XaGc0o0/edit?usp=sharing"",""งบพรบ!EO81"")"),163000)</f>
        <v>163000</v>
      </c>
      <c r="G81" s="82">
        <f ca="1">IFERROR(__xludf.DUMMYFUNCTION("IMPORTRANGE(""https://docs.google.com/spreadsheets/d/1MeEWN-I1oV_STSDYn1IFDPWt_1FKiwhDph83XaGc0o0/edit?usp=sharing"",""งบพรบ!EP81"")"),0)</f>
        <v>0</v>
      </c>
      <c r="H81" s="82">
        <f ca="1">IFERROR(__xludf.DUMMYFUNCTION("IMPORTRANGE(""https://docs.google.com/spreadsheets/d/1MeEWN-I1oV_STSDYn1IFDPWt_1FKiwhDph83XaGc0o0/edit?usp=sharing"",""งบพรบ!ER81"")"),81500)</f>
        <v>81500</v>
      </c>
      <c r="I81" s="82">
        <f ca="1">IFERROR(__xludf.DUMMYFUNCTION("IMPORTRANGE(""https://docs.google.com/spreadsheets/d/1MeEWN-I1oV_STSDYn1IFDPWt_1FKiwhDph83XaGc0o0/edit?usp=sharing"",""งบพรบ!ES81"")"),0)</f>
        <v>0</v>
      </c>
      <c r="J81" s="82">
        <f t="shared" ca="1" si="3"/>
        <v>29769.33</v>
      </c>
      <c r="K81" s="83">
        <f t="shared" ca="1" si="4"/>
        <v>18.263392638036809</v>
      </c>
      <c r="L81" s="82">
        <f ca="1">IFERROR(__xludf.DUMMYFUNCTION("IMPORTRANGE(""https://docs.google.com/spreadsheets/d/1MeEWN-I1oV_STSDYn1IFDPWt_1FKiwhDph83XaGc0o0/edit?usp=sharing"",""งบพรบ!ET81"")"),29769.33)</f>
        <v>29769.33</v>
      </c>
      <c r="M81" s="84">
        <f t="shared" ca="1" si="5"/>
        <v>18.263392638036809</v>
      </c>
      <c r="N81" s="84">
        <f t="shared" ca="1" si="6"/>
        <v>36.526785276073618</v>
      </c>
      <c r="O81" s="85">
        <f ca="1">IFERROR(__xludf.DUMMYFUNCTION("IMPORTRANGE(""https://docs.google.com/spreadsheets/d/1MeEWN-I1oV_STSDYn1IFDPWt_1FKiwhDph83XaGc0o0/edit?usp=sharing"",""งบพรบ!EU81"")"),0)</f>
        <v>0</v>
      </c>
      <c r="P81" s="85">
        <f t="shared" ca="1" si="24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IFERROR(__xludf.DUMMYFUNCTION("IMPORTRANGE(""https://docs.google.com/spreadsheets/d/1vl4QWbWdFruual5o_wdo6ZSqXZ_it806oja4CctTLKs/edit?usp=sharing"",""พังงา!I338"")"),800)</f>
        <v>800</v>
      </c>
      <c r="S81" s="86">
        <f ca="1">IFERROR(__xludf.DUMMYFUNCTION("IMPORTRANGE(""https://docs.google.com/spreadsheets/d/1vl4QWbWdFruual5o_wdo6ZSqXZ_it806oja4CctTLKs/edit?usp=sharing"",""พังงา!J338"")"),260)</f>
        <v>260</v>
      </c>
      <c r="T81" s="87">
        <f t="shared" ca="1" si="21"/>
        <v>32.5</v>
      </c>
      <c r="U81" s="86">
        <f ca="1">IFERROR(__xludf.DUMMYFUNCTION("IMPORTRANGE(""https://docs.google.com/spreadsheets/d/1vl4QWbWdFruual5o_wdo6ZSqXZ_it806oja4CctTLKs/edit?usp=sharing"",""พังงา!I340"")"),5)</f>
        <v>5</v>
      </c>
      <c r="V81" s="86">
        <f ca="1">IFERROR(__xludf.DUMMYFUNCTION("IMPORTRANGE(""https://docs.google.com/spreadsheets/d/1vl4QWbWdFruual5o_wdo6ZSqXZ_it806oja4CctTLKs/edit?usp=sharing"",""พังงา!J340"")"),2)</f>
        <v>2</v>
      </c>
      <c r="W81" s="87">
        <f t="shared" ca="1" si="22"/>
        <v>40</v>
      </c>
      <c r="X81" s="86">
        <f ca="1">IFERROR(__xludf.DUMMYFUNCTION("IMPORTRANGE(""https://docs.google.com/spreadsheets/d/1vl4QWbWdFruual5o_wdo6ZSqXZ_it806oja4CctTLKs/edit?usp=sharing"",""พังงา!J341"")"),40)</f>
        <v>40</v>
      </c>
      <c r="Y81" s="86">
        <f ca="1">IFERROR(__xludf.DUMMYFUNCTION("IMPORTRANGE(""https://docs.google.com/spreadsheets/d/1vl4QWbWdFruual5o_wdo6ZSqXZ_it806oja4CctTLKs/edit?usp=sharing"",""พังงา!J342"")"),0)</f>
        <v>0</v>
      </c>
      <c r="Z81" s="86">
        <f ca="1">IFERROR(__xludf.DUMMYFUNCTION("IMPORTRANGE(""https://docs.google.com/spreadsheets/d/1vl4QWbWdFruual5o_wdo6ZSqXZ_it806oja4CctTLKs/edit?usp=sharing"",""พังงา!J343"")"),0)</f>
        <v>0</v>
      </c>
    </row>
    <row r="82" spans="1:26" ht="21" customHeight="1" x14ac:dyDescent="0.2">
      <c r="A82" s="78">
        <v>8</v>
      </c>
      <c r="B82" s="79" t="s">
        <v>104</v>
      </c>
      <c r="C82" s="80">
        <f t="shared" ca="1" si="0"/>
        <v>162000</v>
      </c>
      <c r="D82" s="81">
        <f t="shared" ca="1" si="43"/>
        <v>162000</v>
      </c>
      <c r="E82" s="82">
        <f ca="1">IFERROR(__xludf.DUMMYFUNCTION("IMPORTRANGE(""https://docs.google.com/spreadsheets/d/1MeEWN-I1oV_STSDYn1IFDPWt_1FKiwhDph83XaGc0o0/edit?usp=sharing"",""งบพรบ!EN82"")"),0)</f>
        <v>0</v>
      </c>
      <c r="F82" s="82">
        <f ca="1">IFERROR(__xludf.DUMMYFUNCTION("IMPORTRANGE(""https://docs.google.com/spreadsheets/d/1MeEWN-I1oV_STSDYn1IFDPWt_1FKiwhDph83XaGc0o0/edit?usp=sharing"",""งบพรบ!EO82"")"),162000)</f>
        <v>162000</v>
      </c>
      <c r="G82" s="82">
        <f ca="1">IFERROR(__xludf.DUMMYFUNCTION("IMPORTRANGE(""https://docs.google.com/spreadsheets/d/1MeEWN-I1oV_STSDYn1IFDPWt_1FKiwhDph83XaGc0o0/edit?usp=sharing"",""งบพรบ!EP82"")"),0)</f>
        <v>0</v>
      </c>
      <c r="H82" s="82">
        <f ca="1">IFERROR(__xludf.DUMMYFUNCTION("IMPORTRANGE(""https://docs.google.com/spreadsheets/d/1MeEWN-I1oV_STSDYn1IFDPWt_1FKiwhDph83XaGc0o0/edit?usp=sharing"",""งบพรบ!ER82"")"),81000)</f>
        <v>81000</v>
      </c>
      <c r="I82" s="82">
        <f ca="1">IFERROR(__xludf.DUMMYFUNCTION("IMPORTRANGE(""https://docs.google.com/spreadsheets/d/1MeEWN-I1oV_STSDYn1IFDPWt_1FKiwhDph83XaGc0o0/edit?usp=sharing"",""งบพรบ!ES82"")"),0)</f>
        <v>0</v>
      </c>
      <c r="J82" s="82">
        <f t="shared" ca="1" si="3"/>
        <v>32604</v>
      </c>
      <c r="K82" s="83">
        <f t="shared" ca="1" si="4"/>
        <v>20.125925925925927</v>
      </c>
      <c r="L82" s="82">
        <f ca="1">IFERROR(__xludf.DUMMYFUNCTION("IMPORTRANGE(""https://docs.google.com/spreadsheets/d/1MeEWN-I1oV_STSDYn1IFDPWt_1FKiwhDph83XaGc0o0/edit?usp=sharing"",""งบพรบ!ET82"")"),32604)</f>
        <v>32604</v>
      </c>
      <c r="M82" s="84">
        <f t="shared" ca="1" si="5"/>
        <v>20.125925925925927</v>
      </c>
      <c r="N82" s="84">
        <f t="shared" ca="1" si="6"/>
        <v>40.251851851851853</v>
      </c>
      <c r="O82" s="85">
        <f ca="1">IFERROR(__xludf.DUMMYFUNCTION("IMPORTRANGE(""https://docs.google.com/spreadsheets/d/1MeEWN-I1oV_STSDYn1IFDPWt_1FKiwhDph83XaGc0o0/edit?usp=sharing"",""งบพรบ!EU82"")"),0)</f>
        <v>0</v>
      </c>
      <c r="P82" s="85">
        <f t="shared" ca="1" si="24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IFERROR(__xludf.DUMMYFUNCTION("IMPORTRANGE(""https://docs.google.com/spreadsheets/d/1b6QssHQp2FoAPSMKHOy273KNzAomaIKhtdlvuZ_zDNE/edit?usp=sharing"",""พัทลุง!I338"")"),1200)</f>
        <v>1200</v>
      </c>
      <c r="S82" s="86">
        <f ca="1">IFERROR(__xludf.DUMMYFUNCTION("IMPORTRANGE(""https://docs.google.com/spreadsheets/d/1b6QssHQp2FoAPSMKHOy273KNzAomaIKhtdlvuZ_zDNE/edit?usp=sharing"",""พัทลุง!J338"")"),682)</f>
        <v>682</v>
      </c>
      <c r="T82" s="87">
        <f t="shared" ca="1" si="21"/>
        <v>56.833333333333336</v>
      </c>
      <c r="U82" s="86">
        <f ca="1">IFERROR(__xludf.DUMMYFUNCTION("IMPORTRANGE(""https://docs.google.com/spreadsheets/d/1b6QssHQp2FoAPSMKHOy273KNzAomaIKhtdlvuZ_zDNE/edit?usp=sharing"",""พัทลุง!I340"")"),2)</f>
        <v>2</v>
      </c>
      <c r="V82" s="86">
        <f ca="1">IFERROR(__xludf.DUMMYFUNCTION("IMPORTRANGE(""https://docs.google.com/spreadsheets/d/1b6QssHQp2FoAPSMKHOy273KNzAomaIKhtdlvuZ_zDNE/edit?usp=sharing"",""พัทลุง!J340"")"),0)</f>
        <v>0</v>
      </c>
      <c r="W82" s="87">
        <f t="shared" ca="1" si="22"/>
        <v>0</v>
      </c>
      <c r="X82" s="86">
        <f ca="1">IFERROR(__xludf.DUMMYFUNCTION("IMPORTRANGE(""https://docs.google.com/spreadsheets/d/1b6QssHQp2FoAPSMKHOy273KNzAomaIKhtdlvuZ_zDNE/edit?usp=sharing"",""พัทลุง!J341"")"),0)</f>
        <v>0</v>
      </c>
      <c r="Y82" s="86">
        <f ca="1">IFERROR(__xludf.DUMMYFUNCTION("IMPORTRANGE(""https://docs.google.com/spreadsheets/d/1b6QssHQp2FoAPSMKHOy273KNzAomaIKhtdlvuZ_zDNE/edit?usp=sharing"",""พัทลุง!J342"")"),0)</f>
        <v>0</v>
      </c>
      <c r="Z82" s="86">
        <f ca="1">IFERROR(__xludf.DUMMYFUNCTION("IMPORTRANGE(""https://docs.google.com/spreadsheets/d/1b6QssHQp2FoAPSMKHOy273KNzAomaIKhtdlvuZ_zDNE/edit?usp=sharing"",""พัทลุง!J343"")"),0)</f>
        <v>0</v>
      </c>
    </row>
    <row r="83" spans="1:26" ht="21" customHeight="1" x14ac:dyDescent="0.2">
      <c r="A83" s="78">
        <v>9</v>
      </c>
      <c r="B83" s="79" t="s">
        <v>105</v>
      </c>
      <c r="C83" s="80">
        <f t="shared" ca="1" si="0"/>
        <v>157000</v>
      </c>
      <c r="D83" s="81">
        <f t="shared" ca="1" si="43"/>
        <v>157000</v>
      </c>
      <c r="E83" s="82">
        <f ca="1">IFERROR(__xludf.DUMMYFUNCTION("IMPORTRANGE(""https://docs.google.com/spreadsheets/d/1MeEWN-I1oV_STSDYn1IFDPWt_1FKiwhDph83XaGc0o0/edit?usp=sharing"",""งบพรบ!EN83"")"),0)</f>
        <v>0</v>
      </c>
      <c r="F83" s="82">
        <f ca="1">IFERROR(__xludf.DUMMYFUNCTION("IMPORTRANGE(""https://docs.google.com/spreadsheets/d/1MeEWN-I1oV_STSDYn1IFDPWt_1FKiwhDph83XaGc0o0/edit?usp=sharing"",""งบพรบ!EO83"")"),157000)</f>
        <v>157000</v>
      </c>
      <c r="G83" s="82">
        <f ca="1">IFERROR(__xludf.DUMMYFUNCTION("IMPORTRANGE(""https://docs.google.com/spreadsheets/d/1MeEWN-I1oV_STSDYn1IFDPWt_1FKiwhDph83XaGc0o0/edit?usp=sharing"",""งบพรบ!EP83"")"),0)</f>
        <v>0</v>
      </c>
      <c r="H83" s="82">
        <f ca="1">IFERROR(__xludf.DUMMYFUNCTION("IMPORTRANGE(""https://docs.google.com/spreadsheets/d/1MeEWN-I1oV_STSDYn1IFDPWt_1FKiwhDph83XaGc0o0/edit?usp=sharing"",""งบพรบ!ER83"")"),78500)</f>
        <v>78500</v>
      </c>
      <c r="I83" s="82">
        <f ca="1">IFERROR(__xludf.DUMMYFUNCTION("IMPORTRANGE(""https://docs.google.com/spreadsheets/d/1MeEWN-I1oV_STSDYn1IFDPWt_1FKiwhDph83XaGc0o0/edit?usp=sharing"",""งบพรบ!ES83"")"),0)</f>
        <v>0</v>
      </c>
      <c r="J83" s="82">
        <f t="shared" ca="1" si="3"/>
        <v>56706.2</v>
      </c>
      <c r="K83" s="83">
        <f t="shared" ca="1" si="4"/>
        <v>36.118598726114648</v>
      </c>
      <c r="L83" s="82">
        <f ca="1">IFERROR(__xludf.DUMMYFUNCTION("IMPORTRANGE(""https://docs.google.com/spreadsheets/d/1MeEWN-I1oV_STSDYn1IFDPWt_1FKiwhDph83XaGc0o0/edit?usp=sharing"",""งบพรบ!ET83"")"),56706.2)</f>
        <v>56706.2</v>
      </c>
      <c r="M83" s="84">
        <f t="shared" ca="1" si="5"/>
        <v>36.118598726114648</v>
      </c>
      <c r="N83" s="84">
        <f t="shared" ca="1" si="6"/>
        <v>72.237197452229296</v>
      </c>
      <c r="O83" s="85">
        <f ca="1">IFERROR(__xludf.DUMMYFUNCTION("IMPORTRANGE(""https://docs.google.com/spreadsheets/d/1MeEWN-I1oV_STSDYn1IFDPWt_1FKiwhDph83XaGc0o0/edit?usp=sharing"",""งบพรบ!EU83"")"),0)</f>
        <v>0</v>
      </c>
      <c r="P83" s="85">
        <f t="shared" ca="1" si="24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IFERROR(__xludf.DUMMYFUNCTION("IMPORTRANGE(""https://docs.google.com/spreadsheets/d/1o7UZe4_OqlqtLDHrj01Z2YFRSZDf1DMy1n3XViHaxRc/edit?usp=sharing"",""ภูเก็ต!I338"")"),180)</f>
        <v>180</v>
      </c>
      <c r="S83" s="86">
        <f ca="1">IFERROR(__xludf.DUMMYFUNCTION("IMPORTRANGE(""https://docs.google.com/spreadsheets/d/1o7UZe4_OqlqtLDHrj01Z2YFRSZDf1DMy1n3XViHaxRc/edit?usp=sharing"",""ภูเก็ต!J338"")"),65)</f>
        <v>65</v>
      </c>
      <c r="T83" s="87">
        <f t="shared" ca="1" si="21"/>
        <v>36.111111111111114</v>
      </c>
      <c r="U83" s="86">
        <f ca="1">IFERROR(__xludf.DUMMYFUNCTION("IMPORTRANGE(""https://docs.google.com/spreadsheets/d/1o7UZe4_OqlqtLDHrj01Z2YFRSZDf1DMy1n3XViHaxRc/edit?usp=sharing"",""ภูเก็ต!I340"")"),2)</f>
        <v>2</v>
      </c>
      <c r="V83" s="86">
        <f ca="1">IFERROR(__xludf.DUMMYFUNCTION("IMPORTRANGE(""https://docs.google.com/spreadsheets/d/1o7UZe4_OqlqtLDHrj01Z2YFRSZDf1DMy1n3XViHaxRc/edit?usp=sharing"",""ภูเก็ต!J340"")"),1)</f>
        <v>1</v>
      </c>
      <c r="W83" s="87">
        <f t="shared" ca="1" si="22"/>
        <v>50</v>
      </c>
      <c r="X83" s="86">
        <f ca="1">IFERROR(__xludf.DUMMYFUNCTION("IMPORTRANGE(""https://docs.google.com/spreadsheets/d/1o7UZe4_OqlqtLDHrj01Z2YFRSZDf1DMy1n3XViHaxRc/edit?usp=sharing"",""ภูเก็ต!J341"")"),8)</f>
        <v>8</v>
      </c>
      <c r="Y83" s="86">
        <f ca="1">IFERROR(__xludf.DUMMYFUNCTION("IMPORTRANGE(""https://docs.google.com/spreadsheets/d/1o7UZe4_OqlqtLDHrj01Z2YFRSZDf1DMy1n3XViHaxRc/edit?usp=sharing"",""ภูเก็ต!J342"")"),0)</f>
        <v>0</v>
      </c>
      <c r="Z83" s="86">
        <f ca="1">IFERROR(__xludf.DUMMYFUNCTION("IMPORTRANGE(""https://docs.google.com/spreadsheets/d/1o7UZe4_OqlqtLDHrj01Z2YFRSZDf1DMy1n3XViHaxRc/edit?usp=sharing"",""ภูเก็ต!J343"")"),0)</f>
        <v>0</v>
      </c>
    </row>
    <row r="84" spans="1:26" ht="21" customHeight="1" x14ac:dyDescent="0.2">
      <c r="A84" s="78">
        <v>10</v>
      </c>
      <c r="B84" s="79" t="s">
        <v>106</v>
      </c>
      <c r="C84" s="80">
        <f t="shared" ca="1" si="0"/>
        <v>157000</v>
      </c>
      <c r="D84" s="81">
        <f t="shared" ca="1" si="43"/>
        <v>157000</v>
      </c>
      <c r="E84" s="82">
        <f ca="1">IFERROR(__xludf.DUMMYFUNCTION("IMPORTRANGE(""https://docs.google.com/spreadsheets/d/1MeEWN-I1oV_STSDYn1IFDPWt_1FKiwhDph83XaGc0o0/edit?usp=sharing"",""งบพรบ!EN84"")"),0)</f>
        <v>0</v>
      </c>
      <c r="F84" s="82">
        <f ca="1">IFERROR(__xludf.DUMMYFUNCTION("IMPORTRANGE(""https://docs.google.com/spreadsheets/d/1MeEWN-I1oV_STSDYn1IFDPWt_1FKiwhDph83XaGc0o0/edit?usp=sharing"",""งบพรบ!EO84"")"),157000)</f>
        <v>157000</v>
      </c>
      <c r="G84" s="82">
        <f ca="1">IFERROR(__xludf.DUMMYFUNCTION("IMPORTRANGE(""https://docs.google.com/spreadsheets/d/1MeEWN-I1oV_STSDYn1IFDPWt_1FKiwhDph83XaGc0o0/edit?usp=sharing"",""งบพรบ!EP84"")"),0)</f>
        <v>0</v>
      </c>
      <c r="H84" s="82">
        <f ca="1">IFERROR(__xludf.DUMMYFUNCTION("IMPORTRANGE(""https://docs.google.com/spreadsheets/d/1MeEWN-I1oV_STSDYn1IFDPWt_1FKiwhDph83XaGc0o0/edit?usp=sharing"",""งบพรบ!ER84"")"),78500)</f>
        <v>78500</v>
      </c>
      <c r="I84" s="82">
        <f ca="1">IFERROR(__xludf.DUMMYFUNCTION("IMPORTRANGE(""https://docs.google.com/spreadsheets/d/1MeEWN-I1oV_STSDYn1IFDPWt_1FKiwhDph83XaGc0o0/edit?usp=sharing"",""งบพรบ!ES84"")"),0)</f>
        <v>0</v>
      </c>
      <c r="J84" s="82">
        <f t="shared" ca="1" si="3"/>
        <v>50410</v>
      </c>
      <c r="K84" s="83">
        <f t="shared" ca="1" si="4"/>
        <v>32.108280254777071</v>
      </c>
      <c r="L84" s="82">
        <f ca="1">IFERROR(__xludf.DUMMYFUNCTION("IMPORTRANGE(""https://docs.google.com/spreadsheets/d/1MeEWN-I1oV_STSDYn1IFDPWt_1FKiwhDph83XaGc0o0/edit?usp=sharing"",""งบพรบ!ET84"")"),50410)</f>
        <v>50410</v>
      </c>
      <c r="M84" s="84">
        <f t="shared" ca="1" si="5"/>
        <v>32.108280254777071</v>
      </c>
      <c r="N84" s="84">
        <f t="shared" ca="1" si="6"/>
        <v>64.216560509554142</v>
      </c>
      <c r="O84" s="85">
        <f ca="1">IFERROR(__xludf.DUMMYFUNCTION("IMPORTRANGE(""https://docs.google.com/spreadsheets/d/1MeEWN-I1oV_STSDYn1IFDPWt_1FKiwhDph83XaGc0o0/edit?usp=sharing"",""งบพรบ!EU84"")"),0)</f>
        <v>0</v>
      </c>
      <c r="P84" s="85">
        <f t="shared" ca="1" si="24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IFERROR(__xludf.DUMMYFUNCTION("IMPORTRANGE(""https://docs.google.com/spreadsheets/d/1ctPm1vUzcUCPuOj9-eoHUD85PqINFqUB0TjdSWmR5-c/edit?usp=sharing"",""ยะลา!I338"")"),200)</f>
        <v>200</v>
      </c>
      <c r="S84" s="86">
        <f ca="1">IFERROR(__xludf.DUMMYFUNCTION("IMPORTRANGE(""https://docs.google.com/spreadsheets/d/1ctPm1vUzcUCPuOj9-eoHUD85PqINFqUB0TjdSWmR5-c/edit?usp=sharing"",""ยะลา!J338"")"),78)</f>
        <v>78</v>
      </c>
      <c r="T84" s="87">
        <f t="shared" ca="1" si="21"/>
        <v>39</v>
      </c>
      <c r="U84" s="86">
        <f ca="1">IFERROR(__xludf.DUMMYFUNCTION("IMPORTRANGE(""https://docs.google.com/spreadsheets/d/1ctPm1vUzcUCPuOj9-eoHUD85PqINFqUB0TjdSWmR5-c/edit?usp=sharing"",""ยะลา!I340"")"),2)</f>
        <v>2</v>
      </c>
      <c r="V84" s="86">
        <f ca="1">IFERROR(__xludf.DUMMYFUNCTION("IMPORTRANGE(""https://docs.google.com/spreadsheets/d/1ctPm1vUzcUCPuOj9-eoHUD85PqINFqUB0TjdSWmR5-c/edit?usp=sharing"",""ยะลา!J340"")"),1)</f>
        <v>1</v>
      </c>
      <c r="W84" s="87">
        <f t="shared" ca="1" si="22"/>
        <v>50</v>
      </c>
      <c r="X84" s="86">
        <f ca="1">IFERROR(__xludf.DUMMYFUNCTION("IMPORTRANGE(""https://docs.google.com/spreadsheets/d/1ctPm1vUzcUCPuOj9-eoHUD85PqINFqUB0TjdSWmR5-c/edit?usp=sharing"",""ยะลา!J341"")"),10)</f>
        <v>10</v>
      </c>
      <c r="Y84" s="86">
        <f ca="1">IFERROR(__xludf.DUMMYFUNCTION("IMPORTRANGE(""https://docs.google.com/spreadsheets/d/1ctPm1vUzcUCPuOj9-eoHUD85PqINFqUB0TjdSWmR5-c/edit?usp=sharing"",""ยะลา!J342"")"),0)</f>
        <v>0</v>
      </c>
      <c r="Z84" s="86">
        <f ca="1">IFERROR(__xludf.DUMMYFUNCTION("IMPORTRANGE(""https://docs.google.com/spreadsheets/d/1ctPm1vUzcUCPuOj9-eoHUD85PqINFqUB0TjdSWmR5-c/edit?usp=sharing"",""ยะลา!J343"")"),0)</f>
        <v>0</v>
      </c>
    </row>
    <row r="85" spans="1:26" ht="21" customHeight="1" x14ac:dyDescent="0.2">
      <c r="A85" s="78">
        <v>11</v>
      </c>
      <c r="B85" s="79" t="s">
        <v>107</v>
      </c>
      <c r="C85" s="80">
        <f t="shared" ca="1" si="0"/>
        <v>159000</v>
      </c>
      <c r="D85" s="81">
        <f t="shared" ca="1" si="43"/>
        <v>159000</v>
      </c>
      <c r="E85" s="82">
        <f ca="1">IFERROR(__xludf.DUMMYFUNCTION("IMPORTRANGE(""https://docs.google.com/spreadsheets/d/1MeEWN-I1oV_STSDYn1IFDPWt_1FKiwhDph83XaGc0o0/edit?usp=sharing"",""งบพรบ!EN85"")"),0)</f>
        <v>0</v>
      </c>
      <c r="F85" s="82">
        <f ca="1">IFERROR(__xludf.DUMMYFUNCTION("IMPORTRANGE(""https://docs.google.com/spreadsheets/d/1MeEWN-I1oV_STSDYn1IFDPWt_1FKiwhDph83XaGc0o0/edit?usp=sharing"",""งบพรบ!EO85"")"),159000)</f>
        <v>159000</v>
      </c>
      <c r="G85" s="82">
        <f ca="1">IFERROR(__xludf.DUMMYFUNCTION("IMPORTRANGE(""https://docs.google.com/spreadsheets/d/1MeEWN-I1oV_STSDYn1IFDPWt_1FKiwhDph83XaGc0o0/edit?usp=sharing"",""งบพรบ!EP85"")"),0)</f>
        <v>0</v>
      </c>
      <c r="H85" s="82">
        <f ca="1">IFERROR(__xludf.DUMMYFUNCTION("IMPORTRANGE(""https://docs.google.com/spreadsheets/d/1MeEWN-I1oV_STSDYn1IFDPWt_1FKiwhDph83XaGc0o0/edit?usp=sharing"",""งบพรบ!ER85"")"),79500)</f>
        <v>79500</v>
      </c>
      <c r="I85" s="82">
        <f ca="1">IFERROR(__xludf.DUMMYFUNCTION("IMPORTRANGE(""https://docs.google.com/spreadsheets/d/1MeEWN-I1oV_STSDYn1IFDPWt_1FKiwhDph83XaGc0o0/edit?usp=sharing"",""งบพรบ!ES85"")"),0)</f>
        <v>0</v>
      </c>
      <c r="J85" s="82">
        <f t="shared" ca="1" si="3"/>
        <v>43993.34</v>
      </c>
      <c r="K85" s="83">
        <f t="shared" ca="1" si="4"/>
        <v>27.668767295597483</v>
      </c>
      <c r="L85" s="82">
        <f ca="1">IFERROR(__xludf.DUMMYFUNCTION("IMPORTRANGE(""https://docs.google.com/spreadsheets/d/1MeEWN-I1oV_STSDYn1IFDPWt_1FKiwhDph83XaGc0o0/edit?usp=sharing"",""งบพรบ!ET85"")"),43993.34)</f>
        <v>43993.34</v>
      </c>
      <c r="M85" s="84">
        <f t="shared" ca="1" si="5"/>
        <v>27.668767295597483</v>
      </c>
      <c r="N85" s="84">
        <f t="shared" ca="1" si="6"/>
        <v>55.337534591194967</v>
      </c>
      <c r="O85" s="85">
        <f ca="1">IFERROR(__xludf.DUMMYFUNCTION("IMPORTRANGE(""https://docs.google.com/spreadsheets/d/1MeEWN-I1oV_STSDYn1IFDPWt_1FKiwhDph83XaGc0o0/edit?usp=sharing"",""งบพรบ!EU85"")"),0)</f>
        <v>0</v>
      </c>
      <c r="P85" s="85">
        <f t="shared" ca="1" si="24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IFERROR(__xludf.DUMMYFUNCTION("IMPORTRANGE(""https://docs.google.com/spreadsheets/d/1YiDIE7Klmt8osgdapRqYWNr7iPGFSsiJqq46S7PYRE0/edit?usp=sharing"",""ระนอง!I338"")"),500)</f>
        <v>500</v>
      </c>
      <c r="S85" s="86">
        <f ca="1">IFERROR(__xludf.DUMMYFUNCTION("IMPORTRANGE(""https://docs.google.com/spreadsheets/d/1YiDIE7Klmt8osgdapRqYWNr7iPGFSsiJqq46S7PYRE0/edit?usp=sharing"",""ระนอง!J338"")"),383)</f>
        <v>383</v>
      </c>
      <c r="T85" s="87">
        <f t="shared" ca="1" si="21"/>
        <v>76.599999999999994</v>
      </c>
      <c r="U85" s="86">
        <f ca="1">IFERROR(__xludf.DUMMYFUNCTION("IMPORTRANGE(""https://docs.google.com/spreadsheets/d/1YiDIE7Klmt8osgdapRqYWNr7iPGFSsiJqq46S7PYRE0/edit?usp=sharing"",""ระนอง!I340"")"),3)</f>
        <v>3</v>
      </c>
      <c r="V85" s="86">
        <f ca="1">IFERROR(__xludf.DUMMYFUNCTION("IMPORTRANGE(""https://docs.google.com/spreadsheets/d/1YiDIE7Klmt8osgdapRqYWNr7iPGFSsiJqq46S7PYRE0/edit?usp=sharing"",""ระนอง!J340"")"),3)</f>
        <v>3</v>
      </c>
      <c r="W85" s="87">
        <f t="shared" ca="1" si="22"/>
        <v>100</v>
      </c>
      <c r="X85" s="86">
        <f ca="1">IFERROR(__xludf.DUMMYFUNCTION("IMPORTRANGE(""https://docs.google.com/spreadsheets/d/1YiDIE7Klmt8osgdapRqYWNr7iPGFSsiJqq46S7PYRE0/edit?usp=sharing"",""ระนอง!J341"")"),73)</f>
        <v>73</v>
      </c>
      <c r="Y85" s="86">
        <f ca="1">IFERROR(__xludf.DUMMYFUNCTION("IMPORTRANGE(""https://docs.google.com/spreadsheets/d/1YiDIE7Klmt8osgdapRqYWNr7iPGFSsiJqq46S7PYRE0/edit?usp=sharing"",""ระนอง!J342"")"),0)</f>
        <v>0</v>
      </c>
      <c r="Z85" s="86">
        <f ca="1">IFERROR(__xludf.DUMMYFUNCTION("IMPORTRANGE(""https://docs.google.com/spreadsheets/d/1YiDIE7Klmt8osgdapRqYWNr7iPGFSsiJqq46S7PYRE0/edit?usp=sharing"",""ระนอง!J343"")"),0)</f>
        <v>0</v>
      </c>
    </row>
    <row r="86" spans="1:26" ht="24" customHeight="1" x14ac:dyDescent="0.2">
      <c r="A86" s="78">
        <v>12</v>
      </c>
      <c r="B86" s="79" t="s">
        <v>108</v>
      </c>
      <c r="C86" s="80">
        <f t="shared" ca="1" si="0"/>
        <v>168000</v>
      </c>
      <c r="D86" s="81">
        <f t="shared" ca="1" si="43"/>
        <v>168000</v>
      </c>
      <c r="E86" s="82">
        <f ca="1">IFERROR(__xludf.DUMMYFUNCTION("IMPORTRANGE(""https://docs.google.com/spreadsheets/d/1MeEWN-I1oV_STSDYn1IFDPWt_1FKiwhDph83XaGc0o0/edit?usp=sharing"",""งบพรบ!EN86"")"),0)</f>
        <v>0</v>
      </c>
      <c r="F86" s="82">
        <f ca="1">IFERROR(__xludf.DUMMYFUNCTION("IMPORTRANGE(""https://docs.google.com/spreadsheets/d/1MeEWN-I1oV_STSDYn1IFDPWt_1FKiwhDph83XaGc0o0/edit?usp=sharing"",""งบพรบ!EO86"")"),168000)</f>
        <v>168000</v>
      </c>
      <c r="G86" s="82">
        <f ca="1">IFERROR(__xludf.DUMMYFUNCTION("IMPORTRANGE(""https://docs.google.com/spreadsheets/d/1MeEWN-I1oV_STSDYn1IFDPWt_1FKiwhDph83XaGc0o0/edit?usp=sharing"",""งบพรบ!EP86"")"),0)</f>
        <v>0</v>
      </c>
      <c r="H86" s="82">
        <f ca="1">IFERROR(__xludf.DUMMYFUNCTION("IMPORTRANGE(""https://docs.google.com/spreadsheets/d/1MeEWN-I1oV_STSDYn1IFDPWt_1FKiwhDph83XaGc0o0/edit?usp=sharing"",""งบพรบ!ER86"")"),84000)</f>
        <v>84000</v>
      </c>
      <c r="I86" s="82">
        <f ca="1">IFERROR(__xludf.DUMMYFUNCTION("IMPORTRANGE(""https://docs.google.com/spreadsheets/d/1MeEWN-I1oV_STSDYn1IFDPWt_1FKiwhDph83XaGc0o0/edit?usp=sharing"",""งบพรบ!ES86"")"),0)</f>
        <v>0</v>
      </c>
      <c r="J86" s="82">
        <f t="shared" ca="1" si="3"/>
        <v>52712</v>
      </c>
      <c r="K86" s="83">
        <f t="shared" ca="1" si="4"/>
        <v>31.376190476190477</v>
      </c>
      <c r="L86" s="82">
        <f ca="1">IFERROR(__xludf.DUMMYFUNCTION("IMPORTRANGE(""https://docs.google.com/spreadsheets/d/1MeEWN-I1oV_STSDYn1IFDPWt_1FKiwhDph83XaGc0o0/edit?usp=sharing"",""งบพรบ!ET86"")"),52712)</f>
        <v>52712</v>
      </c>
      <c r="M86" s="84">
        <f t="shared" ca="1" si="5"/>
        <v>31.376190476190477</v>
      </c>
      <c r="N86" s="84">
        <f t="shared" ca="1" si="6"/>
        <v>62.752380952380953</v>
      </c>
      <c r="O86" s="85">
        <f ca="1">IFERROR(__xludf.DUMMYFUNCTION("IMPORTRANGE(""https://docs.google.com/spreadsheets/d/1MeEWN-I1oV_STSDYn1IFDPWt_1FKiwhDph83XaGc0o0/edit?usp=sharing"",""งบพรบ!EU86"")"),0)</f>
        <v>0</v>
      </c>
      <c r="P86" s="85">
        <f t="shared" ca="1" si="24"/>
        <v>0</v>
      </c>
      <c r="Q86" s="84">
        <f t="shared" ca="1" si="8"/>
        <v>0</v>
      </c>
      <c r="R86" s="86">
        <f ca="1">IFERROR(__xludf.DUMMYFUNCTION("IMPORTRANGE(""https://docs.google.com/spreadsheets/d/16o_4B-V7AWw_6E93bSpXj_XxVv1oVQctk-B6z1dNEWU/edit?usp=sharing"",""สงขลา!I338"")"),1300)</f>
        <v>1300</v>
      </c>
      <c r="S86" s="86">
        <f ca="1">IFERROR(__xludf.DUMMYFUNCTION("IMPORTRANGE(""https://docs.google.com/spreadsheets/d/16o_4B-V7AWw_6E93bSpXj_XxVv1oVQctk-B6z1dNEWU/edit?usp=sharing"",""สงขลา!J338"")"),1375)</f>
        <v>1375</v>
      </c>
      <c r="T86" s="87">
        <f t="shared" ca="1" si="21"/>
        <v>105.76923076923077</v>
      </c>
      <c r="U86" s="86">
        <f ca="1">IFERROR(__xludf.DUMMYFUNCTION("IMPORTRANGE(""https://docs.google.com/spreadsheets/d/16o_4B-V7AWw_6E93bSpXj_XxVv1oVQctk-B6z1dNEWU/edit?usp=sharing"",""สงขลา!I340"")"),5)</f>
        <v>5</v>
      </c>
      <c r="V86" s="86">
        <f ca="1">IFERROR(__xludf.DUMMYFUNCTION("IMPORTRANGE(""https://docs.google.com/spreadsheets/d/16o_4B-V7AWw_6E93bSpXj_XxVv1oVQctk-B6z1dNEWU/edit?usp=sharing"",""สงขลา!J340"")"),1)</f>
        <v>1</v>
      </c>
      <c r="W86" s="87">
        <f t="shared" ca="1" si="22"/>
        <v>20</v>
      </c>
      <c r="X86" s="86">
        <f ca="1">IFERROR(__xludf.DUMMYFUNCTION("IMPORTRANGE(""https://docs.google.com/spreadsheets/d/16o_4B-V7AWw_6E93bSpXj_XxVv1oVQctk-B6z1dNEWU/edit?usp=sharing"",""สงขลา!J341"")"),90)</f>
        <v>90</v>
      </c>
      <c r="Y86" s="86">
        <f ca="1">IFERROR(__xludf.DUMMYFUNCTION("IMPORTRANGE(""https://docs.google.com/spreadsheets/d/16o_4B-V7AWw_6E93bSpXj_XxVv1oVQctk-B6z1dNEWU/edit?usp=sharing"",""สงขลา!J342"")"),2)</f>
        <v>2</v>
      </c>
      <c r="Z86" s="86">
        <f ca="1">IFERROR(__xludf.DUMMYFUNCTION("IMPORTRANGE(""https://docs.google.com/spreadsheets/d/16o_4B-V7AWw_6E93bSpXj_XxVv1oVQctk-B6z1dNEWU/edit?usp=sharing"",""สงขลา!J343"")"),31)</f>
        <v>31</v>
      </c>
    </row>
    <row r="87" spans="1:26" ht="24" customHeight="1" x14ac:dyDescent="0.2">
      <c r="A87" s="78">
        <v>13</v>
      </c>
      <c r="B87" s="79" t="s">
        <v>109</v>
      </c>
      <c r="C87" s="80">
        <f t="shared" ca="1" si="0"/>
        <v>157000</v>
      </c>
      <c r="D87" s="81">
        <f t="shared" ca="1" si="43"/>
        <v>157000</v>
      </c>
      <c r="E87" s="82">
        <f ca="1">IFERROR(__xludf.DUMMYFUNCTION("IMPORTRANGE(""https://docs.google.com/spreadsheets/d/1MeEWN-I1oV_STSDYn1IFDPWt_1FKiwhDph83XaGc0o0/edit?usp=sharing"",""งบพรบ!EN87"")"),0)</f>
        <v>0</v>
      </c>
      <c r="F87" s="82">
        <f ca="1">IFERROR(__xludf.DUMMYFUNCTION("IMPORTRANGE(""https://docs.google.com/spreadsheets/d/1MeEWN-I1oV_STSDYn1IFDPWt_1FKiwhDph83XaGc0o0/edit?usp=sharing"",""งบพรบ!EO87"")"),157000)</f>
        <v>157000</v>
      </c>
      <c r="G87" s="82">
        <f ca="1">IFERROR(__xludf.DUMMYFUNCTION("IMPORTRANGE(""https://docs.google.com/spreadsheets/d/1MeEWN-I1oV_STSDYn1IFDPWt_1FKiwhDph83XaGc0o0/edit?usp=sharing"",""งบพรบ!EP87"")"),0)</f>
        <v>0</v>
      </c>
      <c r="H87" s="82">
        <f ca="1">IFERROR(__xludf.DUMMYFUNCTION("IMPORTRANGE(""https://docs.google.com/spreadsheets/d/1MeEWN-I1oV_STSDYn1IFDPWt_1FKiwhDph83XaGc0o0/edit?usp=sharing"",""งบพรบ!ER87"")"),78500)</f>
        <v>78500</v>
      </c>
      <c r="I87" s="82">
        <f ca="1">IFERROR(__xludf.DUMMYFUNCTION("IMPORTRANGE(""https://docs.google.com/spreadsheets/d/1MeEWN-I1oV_STSDYn1IFDPWt_1FKiwhDph83XaGc0o0/edit?usp=sharing"",""งบพรบ!ES87"")"),0)</f>
        <v>0</v>
      </c>
      <c r="J87" s="82">
        <f t="shared" ca="1" si="3"/>
        <v>53112</v>
      </c>
      <c r="K87" s="83">
        <f t="shared" ca="1" si="4"/>
        <v>33.829299363057324</v>
      </c>
      <c r="L87" s="82">
        <f ca="1">IFERROR(__xludf.DUMMYFUNCTION("IMPORTRANGE(""https://docs.google.com/spreadsheets/d/1MeEWN-I1oV_STSDYn1IFDPWt_1FKiwhDph83XaGc0o0/edit?usp=sharing"",""งบพรบ!ET87"")"),53112)</f>
        <v>53112</v>
      </c>
      <c r="M87" s="84">
        <f t="shared" ca="1" si="5"/>
        <v>33.829299363057324</v>
      </c>
      <c r="N87" s="84">
        <f t="shared" ca="1" si="6"/>
        <v>67.658598726114647</v>
      </c>
      <c r="O87" s="85">
        <f ca="1">IFERROR(__xludf.DUMMYFUNCTION("IMPORTRANGE(""https://docs.google.com/spreadsheets/d/1MeEWN-I1oV_STSDYn1IFDPWt_1FKiwhDph83XaGc0o0/edit?usp=sharing"",""งบพรบ!EU87"")"),0)</f>
        <v>0</v>
      </c>
      <c r="P87" s="85">
        <f t="shared" ca="1" si="24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IFERROR(__xludf.DUMMYFUNCTION("IMPORTRANGE(""https://docs.google.com/spreadsheets/d/16cywr71Fj4fA5OGRHsZh30ZG2gwJhMAQv69oVBzYHv0/edit?usp=sharing"",""สตูล!I338"")"),200)</f>
        <v>200</v>
      </c>
      <c r="S87" s="86">
        <f ca="1">IFERROR(__xludf.DUMMYFUNCTION("IMPORTRANGE(""https://docs.google.com/spreadsheets/d/16cywr71Fj4fA5OGRHsZh30ZG2gwJhMAQv69oVBzYHv0/edit?usp=sharing"",""สตูล!J338"")"),113)</f>
        <v>113</v>
      </c>
      <c r="T87" s="87">
        <f t="shared" ca="1" si="21"/>
        <v>56.5</v>
      </c>
      <c r="U87" s="86">
        <f ca="1">IFERROR(__xludf.DUMMYFUNCTION("IMPORTRANGE(""https://docs.google.com/spreadsheets/d/16cywr71Fj4fA5OGRHsZh30ZG2gwJhMAQv69oVBzYHv0/edit?usp=sharing"",""สตูล!I340"")"),2)</f>
        <v>2</v>
      </c>
      <c r="V87" s="86">
        <f ca="1">IFERROR(__xludf.DUMMYFUNCTION("IMPORTRANGE(""https://docs.google.com/spreadsheets/d/16cywr71Fj4fA5OGRHsZh30ZG2gwJhMAQv69oVBzYHv0/edit?usp=sharing"",""สตูล!J340"")"),2)</f>
        <v>2</v>
      </c>
      <c r="W87" s="87">
        <f t="shared" ca="1" si="22"/>
        <v>100</v>
      </c>
      <c r="X87" s="86">
        <f ca="1">IFERROR(__xludf.DUMMYFUNCTION("IMPORTRANGE(""https://docs.google.com/spreadsheets/d/16cywr71Fj4fA5OGRHsZh30ZG2gwJhMAQv69oVBzYHv0/edit?usp=sharing"",""สตูล!J341"")"),18)</f>
        <v>18</v>
      </c>
      <c r="Y87" s="86">
        <f ca="1">IFERROR(__xludf.DUMMYFUNCTION("IMPORTRANGE(""https://docs.google.com/spreadsheets/d/16cywr71Fj4fA5OGRHsZh30ZG2gwJhMAQv69oVBzYHv0/edit?usp=sharing"",""สตูล!J342"")"),0)</f>
        <v>0</v>
      </c>
      <c r="Z87" s="86">
        <f ca="1">IFERROR(__xludf.DUMMYFUNCTION("IMPORTRANGE(""https://docs.google.com/spreadsheets/d/16cywr71Fj4fA5OGRHsZh30ZG2gwJhMAQv69oVBzYHv0/edit?usp=sharing"",""สตูล!J343"")"),0)</f>
        <v>0</v>
      </c>
    </row>
    <row r="88" spans="1:26" ht="24" customHeight="1" x14ac:dyDescent="0.2">
      <c r="A88" s="89">
        <v>14</v>
      </c>
      <c r="B88" s="90" t="s">
        <v>110</v>
      </c>
      <c r="C88" s="91">
        <f t="shared" ca="1" si="0"/>
        <v>179000</v>
      </c>
      <c r="D88" s="92">
        <f t="shared" ca="1" si="43"/>
        <v>179000</v>
      </c>
      <c r="E88" s="93">
        <f ca="1">IFERROR(__xludf.DUMMYFUNCTION("IMPORTRANGE(""https://docs.google.com/spreadsheets/d/1MeEWN-I1oV_STSDYn1IFDPWt_1FKiwhDph83XaGc0o0/edit?usp=sharing"",""งบพรบ!EN88"")"),0)</f>
        <v>0</v>
      </c>
      <c r="F88" s="93">
        <f ca="1">IFERROR(__xludf.DUMMYFUNCTION("IMPORTRANGE(""https://docs.google.com/spreadsheets/d/1MeEWN-I1oV_STSDYn1IFDPWt_1FKiwhDph83XaGc0o0/edit?usp=sharing"",""งบพรบ!EO88"")"),179000)</f>
        <v>179000</v>
      </c>
      <c r="G88" s="93">
        <f ca="1">IFERROR(__xludf.DUMMYFUNCTION("IMPORTRANGE(""https://docs.google.com/spreadsheets/d/1MeEWN-I1oV_STSDYn1IFDPWt_1FKiwhDph83XaGc0o0/edit?usp=sharing"",""งบพรบ!EP88"")"),0)</f>
        <v>0</v>
      </c>
      <c r="H88" s="93">
        <f ca="1">IFERROR(__xludf.DUMMYFUNCTION("IMPORTRANGE(""https://docs.google.com/spreadsheets/d/1MeEWN-I1oV_STSDYn1IFDPWt_1FKiwhDph83XaGc0o0/edit?usp=sharing"",""งบพรบ!ER88"")"),89500)</f>
        <v>89500</v>
      </c>
      <c r="I88" s="93">
        <f ca="1">IFERROR(__xludf.DUMMYFUNCTION("IMPORTRANGE(""https://docs.google.com/spreadsheets/d/1MeEWN-I1oV_STSDYn1IFDPWt_1FKiwhDph83XaGc0o0/edit?usp=sharing"",""งบพรบ!ES88"")"),0)</f>
        <v>0</v>
      </c>
      <c r="J88" s="93">
        <f t="shared" ca="1" si="3"/>
        <v>62352.58</v>
      </c>
      <c r="K88" s="94">
        <f t="shared" ca="1" si="4"/>
        <v>34.833843575418996</v>
      </c>
      <c r="L88" s="93">
        <f ca="1">IFERROR(__xludf.DUMMYFUNCTION("IMPORTRANGE(""https://docs.google.com/spreadsheets/d/1MeEWN-I1oV_STSDYn1IFDPWt_1FKiwhDph83XaGc0o0/edit?usp=sharing"",""งบพรบ!ET88"")"),62352.58)</f>
        <v>62352.58</v>
      </c>
      <c r="M88" s="95">
        <f t="shared" ca="1" si="5"/>
        <v>34.833843575418996</v>
      </c>
      <c r="N88" s="95">
        <f t="shared" ca="1" si="6"/>
        <v>69.667687150837992</v>
      </c>
      <c r="O88" s="96">
        <f ca="1">IFERROR(__xludf.DUMMYFUNCTION("IMPORTRANGE(""https://docs.google.com/spreadsheets/d/1MeEWN-I1oV_STSDYn1IFDPWt_1FKiwhDph83XaGc0o0/edit?usp=sharing"",""งบพรบ!EU88"")"),0)</f>
        <v>0</v>
      </c>
      <c r="P88" s="96">
        <f t="shared" ca="1" si="24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IFERROR(__xludf.DUMMYFUNCTION("IMPORTRANGE(""https://docs.google.com/spreadsheets/d/1vO9Sws6kMtrVtyvrAJptINXjK8TFBoX9xLYOVK_C8bQ/edit?usp=sharing"",""สุราษฎร์ธานี!I338"")"),4800)</f>
        <v>4800</v>
      </c>
      <c r="S88" s="97">
        <f ca="1">IFERROR(__xludf.DUMMYFUNCTION("IMPORTRANGE(""https://docs.google.com/spreadsheets/d/1vO9Sws6kMtrVtyvrAJptINXjK8TFBoX9xLYOVK_C8bQ/edit?usp=sharing"",""สุราษฎร์ธานี!J338"")"),4130)</f>
        <v>4130</v>
      </c>
      <c r="T88" s="98">
        <f t="shared" ca="1" si="21"/>
        <v>86.041666666666671</v>
      </c>
      <c r="U88" s="97">
        <f ca="1">IFERROR(__xludf.DUMMYFUNCTION("IMPORTRANGE(""https://docs.google.com/spreadsheets/d/1vO9Sws6kMtrVtyvrAJptINXjK8TFBoX9xLYOVK_C8bQ/edit?usp=sharing"",""สุราษฎร์ธานี!I340"")"),8)</f>
        <v>8</v>
      </c>
      <c r="V88" s="97">
        <f ca="1">IFERROR(__xludf.DUMMYFUNCTION("IMPORTRANGE(""https://docs.google.com/spreadsheets/d/1vO9Sws6kMtrVtyvrAJptINXjK8TFBoX9xLYOVK_C8bQ/edit?usp=sharing"",""สุราษฎร์ธานี!J340"")"),4)</f>
        <v>4</v>
      </c>
      <c r="W88" s="98">
        <f t="shared" ca="1" si="22"/>
        <v>50</v>
      </c>
      <c r="X88" s="97">
        <f ca="1">IFERROR(__xludf.DUMMYFUNCTION("IMPORTRANGE(""https://docs.google.com/spreadsheets/d/1vO9Sws6kMtrVtyvrAJptINXjK8TFBoX9xLYOVK_C8bQ/edit?usp=sharing"",""สุราษฎร์ธานี!J341"")"),138)</f>
        <v>138</v>
      </c>
      <c r="Y88" s="97">
        <f ca="1">IFERROR(__xludf.DUMMYFUNCTION("IMPORTRANGE(""https://docs.google.com/spreadsheets/d/1vO9Sws6kMtrVtyvrAJptINXjK8TFBoX9xLYOVK_C8bQ/edit?usp=sharing"",""สุราษฎร์ธานี!J342"")"),0)</f>
        <v>0</v>
      </c>
      <c r="Z88" s="97">
        <f ca="1">IFERROR(__xludf.DUMMYFUNCTION("IMPORTRANGE(""https://docs.google.com/spreadsheets/d/1vO9Sws6kMtrVtyvrAJptINXjK8TFBoX9xLYOVK_C8bQ/edit?usp=sharing"",""สุราษฎร์ธานี!J343"")"),12)</f>
        <v>12</v>
      </c>
    </row>
    <row r="89" spans="1:26" ht="21" hidden="1" customHeight="1" x14ac:dyDescent="0.2">
      <c r="A89" s="381" t="s">
        <v>111</v>
      </c>
      <c r="B89" s="357"/>
      <c r="C89" s="107">
        <f t="shared" ca="1" si="0"/>
        <v>684100</v>
      </c>
      <c r="D89" s="46">
        <f t="shared" ref="D89:I89" ca="1" si="44">+D90+D91+D92+D93+D94+D95+D96+D97+D98+D99+D100+D101+D102+D103</f>
        <v>684100</v>
      </c>
      <c r="E89" s="46">
        <f t="shared" ca="1" si="44"/>
        <v>508100</v>
      </c>
      <c r="F89" s="46">
        <f t="shared" ca="1" si="44"/>
        <v>176000</v>
      </c>
      <c r="G89" s="46">
        <f t="shared" ca="1" si="44"/>
        <v>0</v>
      </c>
      <c r="H89" s="46">
        <f t="shared" ca="1" si="44"/>
        <v>513100</v>
      </c>
      <c r="I89" s="46">
        <f t="shared" ca="1" si="44"/>
        <v>0</v>
      </c>
      <c r="J89" s="46">
        <f t="shared" ca="1" si="3"/>
        <v>93124.38</v>
      </c>
      <c r="K89" s="48">
        <f t="shared" ca="1" si="4"/>
        <v>13.612685279929835</v>
      </c>
      <c r="L89" s="46">
        <f ca="1">+L90+L91+L92+L93+L94+L95+L96+L97+L98+L99+L100+L101+L102+L103</f>
        <v>93124.38</v>
      </c>
      <c r="M89" s="49">
        <f t="shared" ca="1" si="5"/>
        <v>13.612685279929835</v>
      </c>
      <c r="N89" s="49">
        <f t="shared" ca="1" si="6"/>
        <v>18.149362697329956</v>
      </c>
      <c r="O89" s="50">
        <f ca="1">+O90+O91+O92+O93+O94+O95+O96+O97+O98+O99+O100+O101+O102+O103</f>
        <v>0</v>
      </c>
      <c r="P89" s="50">
        <f t="shared" ca="1" si="24"/>
        <v>0</v>
      </c>
      <c r="Q89" s="49">
        <f t="shared" ca="1" si="8"/>
        <v>0</v>
      </c>
      <c r="R89" s="46"/>
      <c r="S89" s="46"/>
      <c r="T89" s="49"/>
      <c r="U89" s="46"/>
      <c r="V89" s="46"/>
      <c r="W89" s="49"/>
      <c r="X89" s="46"/>
      <c r="Y89" s="46"/>
      <c r="Z89" s="46"/>
    </row>
    <row r="90" spans="1:26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45">+E90+F90</f>
        <v>0</v>
      </c>
      <c r="E90" s="72">
        <f ca="1">IFERROR(__xludf.DUMMYFUNCTION("IMPORTRANGE(""https://docs.google.com/spreadsheets/d/1MeEWN-I1oV_STSDYn1IFDPWt_1FKiwhDph83XaGc0o0/edit?usp=sharing"",""งบพรบ!EN90"")"),0)</f>
        <v>0</v>
      </c>
      <c r="F90" s="72">
        <f ca="1">IFERROR(__xludf.DUMMYFUNCTION("IMPORTRANGE(""https://docs.google.com/spreadsheets/d/1MeEWN-I1oV_STSDYn1IFDPWt_1FKiwhDph83XaGc0o0/edit?usp=sharing"",""งบพรบ!EO90"")"),0)</f>
        <v>0</v>
      </c>
      <c r="G90" s="72">
        <f ca="1">IFERROR(__xludf.DUMMYFUNCTION("IMPORTRANGE(""https://docs.google.com/spreadsheets/d/1MeEWN-I1oV_STSDYn1IFDPWt_1FKiwhDph83XaGc0o0/edit?usp=sharing"",""งบพรบ!EP90"")"),0)</f>
        <v>0</v>
      </c>
      <c r="H90" s="72">
        <f ca="1">IFERROR(__xludf.DUMMYFUNCTION("IMPORTRANGE(""https://docs.google.com/spreadsheets/d/1MeEWN-I1oV_STSDYn1IFDPWt_1FKiwhDph83XaGc0o0/edit?usp=sharing"",""งบพรบ!ER90"")"),0)</f>
        <v>0</v>
      </c>
      <c r="I90" s="72">
        <f ca="1">IFERROR(__xludf.DUMMYFUNCTION("IMPORTRANGE(""https://docs.google.com/spreadsheets/d/1MeEWN-I1oV_STSDYn1IFDPWt_1FKiwhDph83XaGc0o0/edit?usp=sharing"",""งบพรบ!ES90"")"),0)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IFERROR(__xludf.DUMMYFUNCTION("IMPORTRANGE(""https://docs.google.com/spreadsheets/d/1MeEWN-I1oV_STSDYn1IFDPWt_1FKiwhDph83XaGc0o0/edit?usp=sharing"",""งบพรบ!ET90"")"),0)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IFERROR(__xludf.DUMMYFUNCTION("IMPORTRANGE(""https://docs.google.com/spreadsheets/d/1MeEWN-I1oV_STSDYn1IFDPWt_1FKiwhDph83XaGc0o0/edit?usp=sharing"",""งบพรบ!EU90"")"),0)</f>
        <v>0</v>
      </c>
      <c r="P90" s="76">
        <f t="shared" ca="1" si="24"/>
        <v>0</v>
      </c>
      <c r="Q90" s="75">
        <f t="shared" ca="1" si="8"/>
        <v>0</v>
      </c>
      <c r="R90" s="72"/>
      <c r="S90" s="72"/>
      <c r="T90" s="75"/>
      <c r="U90" s="72"/>
      <c r="V90" s="72"/>
      <c r="W90" s="75"/>
      <c r="X90" s="72"/>
      <c r="Y90" s="72"/>
      <c r="Z90" s="72"/>
    </row>
    <row r="91" spans="1:26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45"/>
        <v>0</v>
      </c>
      <c r="E91" s="82">
        <f ca="1">IFERROR(__xludf.DUMMYFUNCTION("IMPORTRANGE(""https://docs.google.com/spreadsheets/d/1MeEWN-I1oV_STSDYn1IFDPWt_1FKiwhDph83XaGc0o0/edit?usp=sharing"",""งบพรบ!EN91"")"),0)</f>
        <v>0</v>
      </c>
      <c r="F91" s="82">
        <f ca="1">IFERROR(__xludf.DUMMYFUNCTION("IMPORTRANGE(""https://docs.google.com/spreadsheets/d/1MeEWN-I1oV_STSDYn1IFDPWt_1FKiwhDph83XaGc0o0/edit?usp=sharing"",""งบพรบ!EO91"")"),0)</f>
        <v>0</v>
      </c>
      <c r="G91" s="82">
        <f ca="1">IFERROR(__xludf.DUMMYFUNCTION("IMPORTRANGE(""https://docs.google.com/spreadsheets/d/1MeEWN-I1oV_STSDYn1IFDPWt_1FKiwhDph83XaGc0o0/edit?usp=sharing"",""งบพรบ!EP91"")"),0)</f>
        <v>0</v>
      </c>
      <c r="H91" s="82">
        <f ca="1">IFERROR(__xludf.DUMMYFUNCTION("IMPORTRANGE(""https://docs.google.com/spreadsheets/d/1MeEWN-I1oV_STSDYn1IFDPWt_1FKiwhDph83XaGc0o0/edit?usp=sharing"",""งบพรบ!ER91"")"),0)</f>
        <v>0</v>
      </c>
      <c r="I91" s="82">
        <f ca="1">IFERROR(__xludf.DUMMYFUNCTION("IMPORTRANGE(""https://docs.google.com/spreadsheets/d/1MeEWN-I1oV_STSDYn1IFDPWt_1FKiwhDph83XaGc0o0/edit?usp=sharing"",""งบพรบ!ES91"")"),0)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IFERROR(__xludf.DUMMYFUNCTION("IMPORTRANGE(""https://docs.google.com/spreadsheets/d/1MeEWN-I1oV_STSDYn1IFDPWt_1FKiwhDph83XaGc0o0/edit?usp=sharing"",""งบพรบ!ET91"")"),0)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IFERROR(__xludf.DUMMYFUNCTION("IMPORTRANGE(""https://docs.google.com/spreadsheets/d/1MeEWN-I1oV_STSDYn1IFDPWt_1FKiwhDph83XaGc0o0/edit?usp=sharing"",""งบพรบ!EU91"")"),0)</f>
        <v>0</v>
      </c>
      <c r="P91" s="85">
        <f t="shared" ca="1" si="24"/>
        <v>0</v>
      </c>
      <c r="Q91" s="84">
        <f t="shared" ca="1" si="8"/>
        <v>0</v>
      </c>
      <c r="R91" s="82"/>
      <c r="S91" s="82"/>
      <c r="T91" s="84"/>
      <c r="U91" s="82"/>
      <c r="V91" s="82"/>
      <c r="W91" s="84"/>
      <c r="X91" s="82"/>
      <c r="Y91" s="82"/>
      <c r="Z91" s="82"/>
    </row>
    <row r="92" spans="1:26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45"/>
        <v>0</v>
      </c>
      <c r="E92" s="82">
        <f ca="1">IFERROR(__xludf.DUMMYFUNCTION("IMPORTRANGE(""https://docs.google.com/spreadsheets/d/1MeEWN-I1oV_STSDYn1IFDPWt_1FKiwhDph83XaGc0o0/edit?usp=sharing"",""งบพรบ!EN92"")"),0)</f>
        <v>0</v>
      </c>
      <c r="F92" s="82">
        <f ca="1">IFERROR(__xludf.DUMMYFUNCTION("IMPORTRANGE(""https://docs.google.com/spreadsheets/d/1MeEWN-I1oV_STSDYn1IFDPWt_1FKiwhDph83XaGc0o0/edit?usp=sharing"",""งบพรบ!EO92"")"),0)</f>
        <v>0</v>
      </c>
      <c r="G92" s="82">
        <f ca="1">IFERROR(__xludf.DUMMYFUNCTION("IMPORTRANGE(""https://docs.google.com/spreadsheets/d/1MeEWN-I1oV_STSDYn1IFDPWt_1FKiwhDph83XaGc0o0/edit?usp=sharing"",""งบพรบ!EP92"")"),0)</f>
        <v>0</v>
      </c>
      <c r="H92" s="82">
        <f ca="1">IFERROR(__xludf.DUMMYFUNCTION("IMPORTRANGE(""https://docs.google.com/spreadsheets/d/1MeEWN-I1oV_STSDYn1IFDPWt_1FKiwhDph83XaGc0o0/edit?usp=sharing"",""งบพรบ!ER92"")"),0)</f>
        <v>0</v>
      </c>
      <c r="I92" s="82">
        <f ca="1">IFERROR(__xludf.DUMMYFUNCTION("IMPORTRANGE(""https://docs.google.com/spreadsheets/d/1MeEWN-I1oV_STSDYn1IFDPWt_1FKiwhDph83XaGc0o0/edit?usp=sharing"",""งบพรบ!ES92"")"),0)</f>
        <v>0</v>
      </c>
      <c r="J92" s="82">
        <f t="shared" ca="1" si="3"/>
        <v>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IFERROR(__xludf.DUMMYFUNCTION("IMPORTRANGE(""https://docs.google.com/spreadsheets/d/1MeEWN-I1oV_STSDYn1IFDPWt_1FKiwhDph83XaGc0o0/edit?usp=sharing"",""งบพรบ!ET92"")"),0)</f>
        <v>0</v>
      </c>
      <c r="M92" s="84">
        <f t="shared" ca="1" si="5"/>
        <v>0</v>
      </c>
      <c r="N92" s="84">
        <f t="shared" ca="1" si="6"/>
        <v>0</v>
      </c>
      <c r="O92" s="85">
        <f ca="1">IFERROR(__xludf.DUMMYFUNCTION("IMPORTRANGE(""https://docs.google.com/spreadsheets/d/1MeEWN-I1oV_STSDYn1IFDPWt_1FKiwhDph83XaGc0o0/edit?usp=sharing"",""งบพรบ!EU92"")"),0)</f>
        <v>0</v>
      </c>
      <c r="P92" s="85">
        <f t="shared" ca="1" si="24"/>
        <v>0</v>
      </c>
      <c r="Q92" s="84">
        <f t="shared" ca="1" si="8"/>
        <v>0</v>
      </c>
      <c r="R92" s="82"/>
      <c r="S92" s="82"/>
      <c r="T92" s="84"/>
      <c r="U92" s="82"/>
      <c r="V92" s="82"/>
      <c r="W92" s="84"/>
      <c r="X92" s="82"/>
      <c r="Y92" s="82"/>
      <c r="Z92" s="82"/>
    </row>
    <row r="93" spans="1:26" ht="24" hidden="1" customHeight="1" x14ac:dyDescent="0.2">
      <c r="A93" s="111">
        <f t="shared" ref="A93:A103" si="46">+A92+1</f>
        <v>4</v>
      </c>
      <c r="B93" s="112" t="s">
        <v>115</v>
      </c>
      <c r="C93" s="80">
        <f t="shared" ca="1" si="0"/>
        <v>0</v>
      </c>
      <c r="D93" s="81">
        <f t="shared" ca="1" si="45"/>
        <v>0</v>
      </c>
      <c r="E93" s="82">
        <f ca="1">IFERROR(__xludf.DUMMYFUNCTION("IMPORTRANGE(""https://docs.google.com/spreadsheets/d/1MeEWN-I1oV_STSDYn1IFDPWt_1FKiwhDph83XaGc0o0/edit?usp=sharing"",""งบพรบ!EN93"")"),0)</f>
        <v>0</v>
      </c>
      <c r="F93" s="82">
        <f ca="1">IFERROR(__xludf.DUMMYFUNCTION("IMPORTRANGE(""https://docs.google.com/spreadsheets/d/1MeEWN-I1oV_STSDYn1IFDPWt_1FKiwhDph83XaGc0o0/edit?usp=sharing"",""งบพรบ!EO93"")"),0)</f>
        <v>0</v>
      </c>
      <c r="G93" s="82">
        <f ca="1">IFERROR(__xludf.DUMMYFUNCTION("IMPORTRANGE(""https://docs.google.com/spreadsheets/d/1MeEWN-I1oV_STSDYn1IFDPWt_1FKiwhDph83XaGc0o0/edit?usp=sharing"",""งบพรบ!EP93"")"),0)</f>
        <v>0</v>
      </c>
      <c r="H93" s="82">
        <f ca="1">IFERROR(__xludf.DUMMYFUNCTION("IMPORTRANGE(""https://docs.google.com/spreadsheets/d/1MeEWN-I1oV_STSDYn1IFDPWt_1FKiwhDph83XaGc0o0/edit?usp=sharing"",""งบพรบ!ER93"")"),0)</f>
        <v>0</v>
      </c>
      <c r="I93" s="82">
        <f ca="1">IFERROR(__xludf.DUMMYFUNCTION("IMPORTRANGE(""https://docs.google.com/spreadsheets/d/1MeEWN-I1oV_STSDYn1IFDPWt_1FKiwhDph83XaGc0o0/edit?usp=sharing"",""งบพรบ!ES93"")"),0)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IFERROR(__xludf.DUMMYFUNCTION("IMPORTRANGE(""https://docs.google.com/spreadsheets/d/1MeEWN-I1oV_STSDYn1IFDPWt_1FKiwhDph83XaGc0o0/edit?usp=sharing"",""งบพรบ!ET93"")"),0)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IFERROR(__xludf.DUMMYFUNCTION("IMPORTRANGE(""https://docs.google.com/spreadsheets/d/1MeEWN-I1oV_STSDYn1IFDPWt_1FKiwhDph83XaGc0o0/edit?usp=sharing"",""งบพรบ!EU93"")"),0)</f>
        <v>0</v>
      </c>
      <c r="P93" s="85">
        <f t="shared" ca="1" si="24"/>
        <v>0</v>
      </c>
      <c r="Q93" s="84">
        <f t="shared" ca="1" si="8"/>
        <v>0</v>
      </c>
      <c r="R93" s="82"/>
      <c r="S93" s="82"/>
      <c r="T93" s="84"/>
      <c r="U93" s="82"/>
      <c r="V93" s="82"/>
      <c r="W93" s="84"/>
      <c r="X93" s="82"/>
      <c r="Y93" s="82"/>
      <c r="Z93" s="82"/>
    </row>
    <row r="94" spans="1:26" ht="24" hidden="1" customHeight="1" x14ac:dyDescent="0.2">
      <c r="A94" s="111">
        <f t="shared" si="46"/>
        <v>5</v>
      </c>
      <c r="B94" s="112" t="s">
        <v>116</v>
      </c>
      <c r="C94" s="80">
        <f t="shared" ca="1" si="0"/>
        <v>0</v>
      </c>
      <c r="D94" s="81">
        <f t="shared" ca="1" si="45"/>
        <v>0</v>
      </c>
      <c r="E94" s="82">
        <f ca="1">IFERROR(__xludf.DUMMYFUNCTION("IMPORTRANGE(""https://docs.google.com/spreadsheets/d/1MeEWN-I1oV_STSDYn1IFDPWt_1FKiwhDph83XaGc0o0/edit?usp=sharing"",""งบพรบ!EN94"")"),0)</f>
        <v>0</v>
      </c>
      <c r="F94" s="82">
        <f ca="1">IFERROR(__xludf.DUMMYFUNCTION("IMPORTRANGE(""https://docs.google.com/spreadsheets/d/1MeEWN-I1oV_STSDYn1IFDPWt_1FKiwhDph83XaGc0o0/edit?usp=sharing"",""งบพรบ!EO94"")"),0)</f>
        <v>0</v>
      </c>
      <c r="G94" s="82">
        <f ca="1">IFERROR(__xludf.DUMMYFUNCTION("IMPORTRANGE(""https://docs.google.com/spreadsheets/d/1MeEWN-I1oV_STSDYn1IFDPWt_1FKiwhDph83XaGc0o0/edit?usp=sharing"",""งบพรบ!EP94"")"),0)</f>
        <v>0</v>
      </c>
      <c r="H94" s="82">
        <f ca="1">IFERROR(__xludf.DUMMYFUNCTION("IMPORTRANGE(""https://docs.google.com/spreadsheets/d/1MeEWN-I1oV_STSDYn1IFDPWt_1FKiwhDph83XaGc0o0/edit?usp=sharing"",""งบพรบ!ER94"")"),0)</f>
        <v>0</v>
      </c>
      <c r="I94" s="82">
        <f ca="1">IFERROR(__xludf.DUMMYFUNCTION("IMPORTRANGE(""https://docs.google.com/spreadsheets/d/1MeEWN-I1oV_STSDYn1IFDPWt_1FKiwhDph83XaGc0o0/edit?usp=sharing"",""งบพรบ!ES94"")"),0)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IFERROR(__xludf.DUMMYFUNCTION("IMPORTRANGE(""https://docs.google.com/spreadsheets/d/1MeEWN-I1oV_STSDYn1IFDPWt_1FKiwhDph83XaGc0o0/edit?usp=sharing"",""งบพรบ!ET94"")"),0)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IFERROR(__xludf.DUMMYFUNCTION("IMPORTRANGE(""https://docs.google.com/spreadsheets/d/1MeEWN-I1oV_STSDYn1IFDPWt_1FKiwhDph83XaGc0o0/edit?usp=sharing"",""งบพรบ!EU94"")"),0)</f>
        <v>0</v>
      </c>
      <c r="P94" s="85">
        <f t="shared" ca="1" si="24"/>
        <v>0</v>
      </c>
      <c r="Q94" s="84">
        <f t="shared" ca="1" si="8"/>
        <v>0</v>
      </c>
      <c r="R94" s="82"/>
      <c r="S94" s="82"/>
      <c r="T94" s="84"/>
      <c r="U94" s="82"/>
      <c r="V94" s="82"/>
      <c r="W94" s="84"/>
      <c r="X94" s="82"/>
      <c r="Y94" s="82"/>
      <c r="Z94" s="82"/>
    </row>
    <row r="95" spans="1:26" ht="24" hidden="1" customHeight="1" x14ac:dyDescent="0.2">
      <c r="A95" s="111">
        <f t="shared" si="46"/>
        <v>6</v>
      </c>
      <c r="B95" s="112" t="s">
        <v>117</v>
      </c>
      <c r="C95" s="80">
        <f t="shared" ca="1" si="0"/>
        <v>684100</v>
      </c>
      <c r="D95" s="81">
        <f t="shared" ca="1" si="45"/>
        <v>684100</v>
      </c>
      <c r="E95" s="82">
        <f ca="1">IFERROR(__xludf.DUMMYFUNCTION("IMPORTRANGE(""https://docs.google.com/spreadsheets/d/1MeEWN-I1oV_STSDYn1IFDPWt_1FKiwhDph83XaGc0o0/edit?usp=sharing"",""งบพรบ!EN95"")"),508100)</f>
        <v>508100</v>
      </c>
      <c r="F95" s="82">
        <f ca="1">IFERROR(__xludf.DUMMYFUNCTION("IMPORTRANGE(""https://docs.google.com/spreadsheets/d/1MeEWN-I1oV_STSDYn1IFDPWt_1FKiwhDph83XaGc0o0/edit?usp=sharing"",""งบพรบ!EO95"")"),176000)</f>
        <v>176000</v>
      </c>
      <c r="G95" s="82">
        <f ca="1">IFERROR(__xludf.DUMMYFUNCTION("IMPORTRANGE(""https://docs.google.com/spreadsheets/d/1MeEWN-I1oV_STSDYn1IFDPWt_1FKiwhDph83XaGc0o0/edit?usp=sharing"",""งบพรบ!EP95"")"),0)</f>
        <v>0</v>
      </c>
      <c r="H95" s="82">
        <f ca="1">IFERROR(__xludf.DUMMYFUNCTION("IMPORTRANGE(""https://docs.google.com/spreadsheets/d/1MeEWN-I1oV_STSDYn1IFDPWt_1FKiwhDph83XaGc0o0/edit?usp=sharing"",""งบพรบ!ER95"")"),513100)</f>
        <v>513100</v>
      </c>
      <c r="I95" s="82">
        <f ca="1">IFERROR(__xludf.DUMMYFUNCTION("IMPORTRANGE(""https://docs.google.com/spreadsheets/d/1MeEWN-I1oV_STSDYn1IFDPWt_1FKiwhDph83XaGc0o0/edit?usp=sharing"",""งบพรบ!ES95"")"),0)</f>
        <v>0</v>
      </c>
      <c r="J95" s="82">
        <f t="shared" ca="1" si="3"/>
        <v>93124.38</v>
      </c>
      <c r="K95" s="83">
        <f t="shared" ca="1" si="4"/>
        <v>13.612685279929835</v>
      </c>
      <c r="L95" s="82">
        <f ca="1">IFERROR(__xludf.DUMMYFUNCTION("IMPORTRANGE(""https://docs.google.com/spreadsheets/d/1MeEWN-I1oV_STSDYn1IFDPWt_1FKiwhDph83XaGc0o0/edit?usp=sharing"",""งบพรบ!ET95"")"),93124.38)</f>
        <v>93124.38</v>
      </c>
      <c r="M95" s="84">
        <f t="shared" ca="1" si="5"/>
        <v>13.612685279929835</v>
      </c>
      <c r="N95" s="84">
        <f t="shared" ca="1" si="6"/>
        <v>18.149362697329956</v>
      </c>
      <c r="O95" s="85">
        <f ca="1">IFERROR(__xludf.DUMMYFUNCTION("IMPORTRANGE(""https://docs.google.com/spreadsheets/d/1MeEWN-I1oV_STSDYn1IFDPWt_1FKiwhDph83XaGc0o0/edit?usp=sharing"",""งบพรบ!EU95"")"),0)</f>
        <v>0</v>
      </c>
      <c r="P95" s="85">
        <f t="shared" ca="1" si="24"/>
        <v>0</v>
      </c>
      <c r="Q95" s="84">
        <f t="shared" ca="1" si="8"/>
        <v>0</v>
      </c>
      <c r="R95" s="82"/>
      <c r="S95" s="82"/>
      <c r="T95" s="84"/>
      <c r="U95" s="82"/>
      <c r="V95" s="82"/>
      <c r="W95" s="84"/>
      <c r="X95" s="82"/>
      <c r="Y95" s="82"/>
      <c r="Z95" s="82"/>
    </row>
    <row r="96" spans="1:26" ht="24" hidden="1" customHeight="1" x14ac:dyDescent="0.2">
      <c r="A96" s="111">
        <f t="shared" si="46"/>
        <v>7</v>
      </c>
      <c r="B96" s="112" t="s">
        <v>118</v>
      </c>
      <c r="C96" s="80">
        <f t="shared" ca="1" si="0"/>
        <v>0</v>
      </c>
      <c r="D96" s="81">
        <f t="shared" ca="1" si="45"/>
        <v>0</v>
      </c>
      <c r="E96" s="82">
        <f ca="1">IFERROR(__xludf.DUMMYFUNCTION("IMPORTRANGE(""https://docs.google.com/spreadsheets/d/1MeEWN-I1oV_STSDYn1IFDPWt_1FKiwhDph83XaGc0o0/edit?usp=sharing"",""งบพรบ!EN96"")"),0)</f>
        <v>0</v>
      </c>
      <c r="F96" s="82">
        <f ca="1">IFERROR(__xludf.DUMMYFUNCTION("IMPORTRANGE(""https://docs.google.com/spreadsheets/d/1MeEWN-I1oV_STSDYn1IFDPWt_1FKiwhDph83XaGc0o0/edit?usp=sharing"",""งบพรบ!EO96"")"),0)</f>
        <v>0</v>
      </c>
      <c r="G96" s="82">
        <f ca="1">IFERROR(__xludf.DUMMYFUNCTION("IMPORTRANGE(""https://docs.google.com/spreadsheets/d/1MeEWN-I1oV_STSDYn1IFDPWt_1FKiwhDph83XaGc0o0/edit?usp=sharing"",""งบพรบ!EP96"")"),0)</f>
        <v>0</v>
      </c>
      <c r="H96" s="82">
        <f ca="1">IFERROR(__xludf.DUMMYFUNCTION("IMPORTRANGE(""https://docs.google.com/spreadsheets/d/1MeEWN-I1oV_STSDYn1IFDPWt_1FKiwhDph83XaGc0o0/edit?usp=sharing"",""งบพรบ!ER96"")"),0)</f>
        <v>0</v>
      </c>
      <c r="I96" s="82">
        <f ca="1">IFERROR(__xludf.DUMMYFUNCTION("IMPORTRANGE(""https://docs.google.com/spreadsheets/d/1MeEWN-I1oV_STSDYn1IFDPWt_1FKiwhDph83XaGc0o0/edit?usp=sharing"",""งบพรบ!ES96"")"),0)</f>
        <v>0</v>
      </c>
      <c r="J96" s="82">
        <f t="shared" ca="1" si="3"/>
        <v>0</v>
      </c>
      <c r="K96" s="83">
        <f t="shared" ca="1" si="4"/>
        <v>0</v>
      </c>
      <c r="L96" s="82">
        <f ca="1">IFERROR(__xludf.DUMMYFUNCTION("IMPORTRANGE(""https://docs.google.com/spreadsheets/d/1MeEWN-I1oV_STSDYn1IFDPWt_1FKiwhDph83XaGc0o0/edit?usp=sharing"",""งบพรบ!ET96"")"),0)</f>
        <v>0</v>
      </c>
      <c r="M96" s="84">
        <f t="shared" ca="1" si="5"/>
        <v>0</v>
      </c>
      <c r="N96" s="84">
        <f t="shared" ca="1" si="6"/>
        <v>0</v>
      </c>
      <c r="O96" s="85">
        <f ca="1">IFERROR(__xludf.DUMMYFUNCTION("IMPORTRANGE(""https://docs.google.com/spreadsheets/d/1MeEWN-I1oV_STSDYn1IFDPWt_1FKiwhDph83XaGc0o0/edit?usp=sharing"",""งบพรบ!EU96"")"),0)</f>
        <v>0</v>
      </c>
      <c r="P96" s="85">
        <f t="shared" ca="1" si="24"/>
        <v>0</v>
      </c>
      <c r="Q96" s="84">
        <f t="shared" ca="1" si="8"/>
        <v>0</v>
      </c>
      <c r="R96" s="82"/>
      <c r="S96" s="82"/>
      <c r="T96" s="84"/>
      <c r="U96" s="82"/>
      <c r="V96" s="82"/>
      <c r="W96" s="84"/>
      <c r="X96" s="82"/>
      <c r="Y96" s="82"/>
      <c r="Z96" s="82"/>
    </row>
    <row r="97" spans="1:26" ht="24" hidden="1" customHeight="1" x14ac:dyDescent="0.2">
      <c r="A97" s="111">
        <f t="shared" si="46"/>
        <v>8</v>
      </c>
      <c r="B97" s="112" t="s">
        <v>119</v>
      </c>
      <c r="C97" s="80">
        <f t="shared" ca="1" si="0"/>
        <v>0</v>
      </c>
      <c r="D97" s="81">
        <f t="shared" ca="1" si="45"/>
        <v>0</v>
      </c>
      <c r="E97" s="82">
        <f ca="1">IFERROR(__xludf.DUMMYFUNCTION("IMPORTRANGE(""https://docs.google.com/spreadsheets/d/1MeEWN-I1oV_STSDYn1IFDPWt_1FKiwhDph83XaGc0o0/edit?usp=sharing"",""งบพรบ!EN97"")"),0)</f>
        <v>0</v>
      </c>
      <c r="F97" s="82">
        <f ca="1">IFERROR(__xludf.DUMMYFUNCTION("IMPORTRANGE(""https://docs.google.com/spreadsheets/d/1MeEWN-I1oV_STSDYn1IFDPWt_1FKiwhDph83XaGc0o0/edit?usp=sharing"",""งบพรบ!EO97"")"),0)</f>
        <v>0</v>
      </c>
      <c r="G97" s="82">
        <f ca="1">IFERROR(__xludf.DUMMYFUNCTION("IMPORTRANGE(""https://docs.google.com/spreadsheets/d/1MeEWN-I1oV_STSDYn1IFDPWt_1FKiwhDph83XaGc0o0/edit?usp=sharing"",""งบพรบ!EP97"")"),0)</f>
        <v>0</v>
      </c>
      <c r="H97" s="82">
        <f ca="1">IFERROR(__xludf.DUMMYFUNCTION("IMPORTRANGE(""https://docs.google.com/spreadsheets/d/1MeEWN-I1oV_STSDYn1IFDPWt_1FKiwhDph83XaGc0o0/edit?usp=sharing"",""งบพรบ!ER97"")"),0)</f>
        <v>0</v>
      </c>
      <c r="I97" s="82">
        <f ca="1">IFERROR(__xludf.DUMMYFUNCTION("IMPORTRANGE(""https://docs.google.com/spreadsheets/d/1MeEWN-I1oV_STSDYn1IFDPWt_1FKiwhDph83XaGc0o0/edit?usp=sharing"",""งบพรบ!ES97"")"),0)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IFERROR(__xludf.DUMMYFUNCTION("IMPORTRANGE(""https://docs.google.com/spreadsheets/d/1MeEWN-I1oV_STSDYn1IFDPWt_1FKiwhDph83XaGc0o0/edit?usp=sharing"",""งบพรบ!ET97"")"),0)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IFERROR(__xludf.DUMMYFUNCTION("IMPORTRANGE(""https://docs.google.com/spreadsheets/d/1MeEWN-I1oV_STSDYn1IFDPWt_1FKiwhDph83XaGc0o0/edit?usp=sharing"",""งบพรบ!EU97"")"),0)</f>
        <v>0</v>
      </c>
      <c r="P97" s="85">
        <f t="shared" ca="1" si="24"/>
        <v>0</v>
      </c>
      <c r="Q97" s="84">
        <f t="shared" ca="1" si="8"/>
        <v>0</v>
      </c>
      <c r="R97" s="82"/>
      <c r="S97" s="82"/>
      <c r="T97" s="84"/>
      <c r="U97" s="82"/>
      <c r="V97" s="82"/>
      <c r="W97" s="84"/>
      <c r="X97" s="82"/>
      <c r="Y97" s="82"/>
      <c r="Z97" s="82"/>
    </row>
    <row r="98" spans="1:26" ht="24" hidden="1" customHeight="1" x14ac:dyDescent="0.2">
      <c r="A98" s="111">
        <f t="shared" si="46"/>
        <v>9</v>
      </c>
      <c r="B98" s="112" t="s">
        <v>120</v>
      </c>
      <c r="C98" s="80">
        <f t="shared" ca="1" si="0"/>
        <v>0</v>
      </c>
      <c r="D98" s="81">
        <f t="shared" ca="1" si="45"/>
        <v>0</v>
      </c>
      <c r="E98" s="82">
        <f ca="1">IFERROR(__xludf.DUMMYFUNCTION("IMPORTRANGE(""https://docs.google.com/spreadsheets/d/1MeEWN-I1oV_STSDYn1IFDPWt_1FKiwhDph83XaGc0o0/edit?usp=sharing"",""งบพรบ!EN98"")"),0)</f>
        <v>0</v>
      </c>
      <c r="F98" s="82">
        <f ca="1">IFERROR(__xludf.DUMMYFUNCTION("IMPORTRANGE(""https://docs.google.com/spreadsheets/d/1MeEWN-I1oV_STSDYn1IFDPWt_1FKiwhDph83XaGc0o0/edit?usp=sharing"",""งบพรบ!EO98"")"),0)</f>
        <v>0</v>
      </c>
      <c r="G98" s="82">
        <f ca="1">IFERROR(__xludf.DUMMYFUNCTION("IMPORTRANGE(""https://docs.google.com/spreadsheets/d/1MeEWN-I1oV_STSDYn1IFDPWt_1FKiwhDph83XaGc0o0/edit?usp=sharing"",""งบพรบ!EP98"")"),0)</f>
        <v>0</v>
      </c>
      <c r="H98" s="82">
        <f ca="1">IFERROR(__xludf.DUMMYFUNCTION("IMPORTRANGE(""https://docs.google.com/spreadsheets/d/1MeEWN-I1oV_STSDYn1IFDPWt_1FKiwhDph83XaGc0o0/edit?usp=sharing"",""งบพรบ!ER98"")"),0)</f>
        <v>0</v>
      </c>
      <c r="I98" s="82">
        <f ca="1">IFERROR(__xludf.DUMMYFUNCTION("IMPORTRANGE(""https://docs.google.com/spreadsheets/d/1MeEWN-I1oV_STSDYn1IFDPWt_1FKiwhDph83XaGc0o0/edit?usp=sharing"",""งบพรบ!ES98"")"),0)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IFERROR(__xludf.DUMMYFUNCTION("IMPORTRANGE(""https://docs.google.com/spreadsheets/d/1MeEWN-I1oV_STSDYn1IFDPWt_1FKiwhDph83XaGc0o0/edit?usp=sharing"",""งบพรบ!ET98"")"),0)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IFERROR(__xludf.DUMMYFUNCTION("IMPORTRANGE(""https://docs.google.com/spreadsheets/d/1MeEWN-I1oV_STSDYn1IFDPWt_1FKiwhDph83XaGc0o0/edit?usp=sharing"",""งบพรบ!EU98"")"),0)</f>
        <v>0</v>
      </c>
      <c r="P98" s="85">
        <f t="shared" ca="1" si="24"/>
        <v>0</v>
      </c>
      <c r="Q98" s="84">
        <f t="shared" ca="1" si="8"/>
        <v>0</v>
      </c>
      <c r="R98" s="82"/>
      <c r="S98" s="82"/>
      <c r="T98" s="84"/>
      <c r="U98" s="82"/>
      <c r="V98" s="82"/>
      <c r="W98" s="84"/>
      <c r="X98" s="82"/>
      <c r="Y98" s="82"/>
      <c r="Z98" s="82"/>
    </row>
    <row r="99" spans="1:26" ht="24" hidden="1" customHeight="1" x14ac:dyDescent="0.2">
      <c r="A99" s="111">
        <f t="shared" si="46"/>
        <v>10</v>
      </c>
      <c r="B99" s="112" t="s">
        <v>121</v>
      </c>
      <c r="C99" s="80">
        <f t="shared" ca="1" si="0"/>
        <v>0</v>
      </c>
      <c r="D99" s="81">
        <f t="shared" ca="1" si="45"/>
        <v>0</v>
      </c>
      <c r="E99" s="82">
        <f ca="1">IFERROR(__xludf.DUMMYFUNCTION("IMPORTRANGE(""https://docs.google.com/spreadsheets/d/1MeEWN-I1oV_STSDYn1IFDPWt_1FKiwhDph83XaGc0o0/edit?usp=sharing"",""งบพรบ!EN99"")"),0)</f>
        <v>0</v>
      </c>
      <c r="F99" s="82">
        <f ca="1">IFERROR(__xludf.DUMMYFUNCTION("IMPORTRANGE(""https://docs.google.com/spreadsheets/d/1MeEWN-I1oV_STSDYn1IFDPWt_1FKiwhDph83XaGc0o0/edit?usp=sharing"",""งบพรบ!EO99"")"),0)</f>
        <v>0</v>
      </c>
      <c r="G99" s="82">
        <f ca="1">IFERROR(__xludf.DUMMYFUNCTION("IMPORTRANGE(""https://docs.google.com/spreadsheets/d/1MeEWN-I1oV_STSDYn1IFDPWt_1FKiwhDph83XaGc0o0/edit?usp=sharing"",""งบพรบ!EP99"")"),0)</f>
        <v>0</v>
      </c>
      <c r="H99" s="82">
        <f ca="1">IFERROR(__xludf.DUMMYFUNCTION("IMPORTRANGE(""https://docs.google.com/spreadsheets/d/1MeEWN-I1oV_STSDYn1IFDPWt_1FKiwhDph83XaGc0o0/edit?usp=sharing"",""งบพรบ!ER99"")"),0)</f>
        <v>0</v>
      </c>
      <c r="I99" s="82">
        <f ca="1">IFERROR(__xludf.DUMMYFUNCTION("IMPORTRANGE(""https://docs.google.com/spreadsheets/d/1MeEWN-I1oV_STSDYn1IFDPWt_1FKiwhDph83XaGc0o0/edit?usp=sharing"",""งบพรบ!ES99"")"),0)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IFERROR(__xludf.DUMMYFUNCTION("IMPORTRANGE(""https://docs.google.com/spreadsheets/d/1MeEWN-I1oV_STSDYn1IFDPWt_1FKiwhDph83XaGc0o0/edit?usp=sharing"",""งบพรบ!ET99"")"),0)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IFERROR(__xludf.DUMMYFUNCTION("IMPORTRANGE(""https://docs.google.com/spreadsheets/d/1MeEWN-I1oV_STSDYn1IFDPWt_1FKiwhDph83XaGc0o0/edit?usp=sharing"",""งบพรบ!EU99"")"),0)</f>
        <v>0</v>
      </c>
      <c r="P99" s="85">
        <f t="shared" ca="1" si="24"/>
        <v>0</v>
      </c>
      <c r="Q99" s="84">
        <f t="shared" ca="1" si="8"/>
        <v>0</v>
      </c>
      <c r="R99" s="82"/>
      <c r="S99" s="82"/>
      <c r="T99" s="84"/>
      <c r="U99" s="82"/>
      <c r="V99" s="82"/>
      <c r="W99" s="84"/>
      <c r="X99" s="82"/>
      <c r="Y99" s="82"/>
      <c r="Z99" s="82"/>
    </row>
    <row r="100" spans="1:26" ht="24" hidden="1" customHeight="1" x14ac:dyDescent="0.2">
      <c r="A100" s="111">
        <f t="shared" si="46"/>
        <v>11</v>
      </c>
      <c r="B100" s="112" t="s">
        <v>122</v>
      </c>
      <c r="C100" s="80">
        <f t="shared" ca="1" si="0"/>
        <v>0</v>
      </c>
      <c r="D100" s="81">
        <f t="shared" ca="1" si="45"/>
        <v>0</v>
      </c>
      <c r="E100" s="82">
        <f ca="1">IFERROR(__xludf.DUMMYFUNCTION("IMPORTRANGE(""https://docs.google.com/spreadsheets/d/1MeEWN-I1oV_STSDYn1IFDPWt_1FKiwhDph83XaGc0o0/edit?usp=sharing"",""งบพรบ!EN100"")"),0)</f>
        <v>0</v>
      </c>
      <c r="F100" s="82">
        <f ca="1">IFERROR(__xludf.DUMMYFUNCTION("IMPORTRANGE(""https://docs.google.com/spreadsheets/d/1MeEWN-I1oV_STSDYn1IFDPWt_1FKiwhDph83XaGc0o0/edit?usp=sharing"",""งบพรบ!EO100"")"),0)</f>
        <v>0</v>
      </c>
      <c r="G100" s="82">
        <f ca="1">IFERROR(__xludf.DUMMYFUNCTION("IMPORTRANGE(""https://docs.google.com/spreadsheets/d/1MeEWN-I1oV_STSDYn1IFDPWt_1FKiwhDph83XaGc0o0/edit?usp=sharing"",""งบพรบ!EP100"")"),0)</f>
        <v>0</v>
      </c>
      <c r="H100" s="82">
        <f ca="1">IFERROR(__xludf.DUMMYFUNCTION("IMPORTRANGE(""https://docs.google.com/spreadsheets/d/1MeEWN-I1oV_STSDYn1IFDPWt_1FKiwhDph83XaGc0o0/edit?usp=sharing"",""งบพรบ!ER100"")"),0)</f>
        <v>0</v>
      </c>
      <c r="I100" s="82">
        <f ca="1">IFERROR(__xludf.DUMMYFUNCTION("IMPORTRANGE(""https://docs.google.com/spreadsheets/d/1MeEWN-I1oV_STSDYn1IFDPWt_1FKiwhDph83XaGc0o0/edit?usp=sharing"",""งบพรบ!ES100"")"),0)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IFERROR(__xludf.DUMMYFUNCTION("IMPORTRANGE(""https://docs.google.com/spreadsheets/d/1MeEWN-I1oV_STSDYn1IFDPWt_1FKiwhDph83XaGc0o0/edit?usp=sharing"",""งบพรบ!ET100"")"),0)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IFERROR(__xludf.DUMMYFUNCTION("IMPORTRANGE(""https://docs.google.com/spreadsheets/d/1MeEWN-I1oV_STSDYn1IFDPWt_1FKiwhDph83XaGc0o0/edit?usp=sharing"",""งบพรบ!EU100"")"),0)</f>
        <v>0</v>
      </c>
      <c r="P100" s="85">
        <f t="shared" ca="1" si="24"/>
        <v>0</v>
      </c>
      <c r="Q100" s="84">
        <f t="shared" ca="1" si="8"/>
        <v>0</v>
      </c>
      <c r="R100" s="82"/>
      <c r="S100" s="82"/>
      <c r="T100" s="84"/>
      <c r="U100" s="82"/>
      <c r="V100" s="82"/>
      <c r="W100" s="84"/>
      <c r="X100" s="82"/>
      <c r="Y100" s="82"/>
      <c r="Z100" s="82"/>
    </row>
    <row r="101" spans="1:26" ht="24" hidden="1" customHeight="1" x14ac:dyDescent="0.2">
      <c r="A101" s="111">
        <f t="shared" si="46"/>
        <v>12</v>
      </c>
      <c r="B101" s="112" t="s">
        <v>123</v>
      </c>
      <c r="C101" s="80">
        <f t="shared" ca="1" si="0"/>
        <v>0</v>
      </c>
      <c r="D101" s="81">
        <f t="shared" ca="1" si="45"/>
        <v>0</v>
      </c>
      <c r="E101" s="82">
        <f ca="1">IFERROR(__xludf.DUMMYFUNCTION("IMPORTRANGE(""https://docs.google.com/spreadsheets/d/1MeEWN-I1oV_STSDYn1IFDPWt_1FKiwhDph83XaGc0o0/edit?usp=sharing"",""งบพรบ!EN101"")"),0)</f>
        <v>0</v>
      </c>
      <c r="F101" s="82">
        <f ca="1">IFERROR(__xludf.DUMMYFUNCTION("IMPORTRANGE(""https://docs.google.com/spreadsheets/d/1MeEWN-I1oV_STSDYn1IFDPWt_1FKiwhDph83XaGc0o0/edit?usp=sharing"",""งบพรบ!EO101"")"),0)</f>
        <v>0</v>
      </c>
      <c r="G101" s="82">
        <f ca="1">IFERROR(__xludf.DUMMYFUNCTION("IMPORTRANGE(""https://docs.google.com/spreadsheets/d/1MeEWN-I1oV_STSDYn1IFDPWt_1FKiwhDph83XaGc0o0/edit?usp=sharing"",""งบพรบ!EP101"")"),0)</f>
        <v>0</v>
      </c>
      <c r="H101" s="82">
        <f ca="1">IFERROR(__xludf.DUMMYFUNCTION("IMPORTRANGE(""https://docs.google.com/spreadsheets/d/1MeEWN-I1oV_STSDYn1IFDPWt_1FKiwhDph83XaGc0o0/edit?usp=sharing"",""งบพรบ!ER101"")"),0)</f>
        <v>0</v>
      </c>
      <c r="I101" s="82">
        <f ca="1">IFERROR(__xludf.DUMMYFUNCTION("IMPORTRANGE(""https://docs.google.com/spreadsheets/d/1MeEWN-I1oV_STSDYn1IFDPWt_1FKiwhDph83XaGc0o0/edit?usp=sharing"",""งบพรบ!ES101"")"),0)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IFERROR(__xludf.DUMMYFUNCTION("IMPORTRANGE(""https://docs.google.com/spreadsheets/d/1MeEWN-I1oV_STSDYn1IFDPWt_1FKiwhDph83XaGc0o0/edit?usp=sharing"",""งบพรบ!ET101"")"),0)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IFERROR(__xludf.DUMMYFUNCTION("IMPORTRANGE(""https://docs.google.com/spreadsheets/d/1MeEWN-I1oV_STSDYn1IFDPWt_1FKiwhDph83XaGc0o0/edit?usp=sharing"",""งบพรบ!EU101"")"),0)</f>
        <v>0</v>
      </c>
      <c r="P101" s="85">
        <f t="shared" ca="1" si="24"/>
        <v>0</v>
      </c>
      <c r="Q101" s="84">
        <f t="shared" ca="1" si="8"/>
        <v>0</v>
      </c>
      <c r="R101" s="82"/>
      <c r="S101" s="82"/>
      <c r="T101" s="84"/>
      <c r="U101" s="82"/>
      <c r="V101" s="82"/>
      <c r="W101" s="84"/>
      <c r="X101" s="82"/>
      <c r="Y101" s="82"/>
      <c r="Z101" s="82"/>
    </row>
    <row r="102" spans="1:26" ht="24" hidden="1" customHeight="1" x14ac:dyDescent="0.2">
      <c r="A102" s="111">
        <f t="shared" si="46"/>
        <v>13</v>
      </c>
      <c r="B102" s="112" t="s">
        <v>124</v>
      </c>
      <c r="C102" s="80">
        <f t="shared" ca="1" si="0"/>
        <v>0</v>
      </c>
      <c r="D102" s="81">
        <f t="shared" ca="1" si="45"/>
        <v>0</v>
      </c>
      <c r="E102" s="82">
        <f ca="1">IFERROR(__xludf.DUMMYFUNCTION("IMPORTRANGE(""https://docs.google.com/spreadsheets/d/1MeEWN-I1oV_STSDYn1IFDPWt_1FKiwhDph83XaGc0o0/edit?usp=sharing"",""งบพรบ!EN102"")"),0)</f>
        <v>0</v>
      </c>
      <c r="F102" s="82">
        <f ca="1">IFERROR(__xludf.DUMMYFUNCTION("IMPORTRANGE(""https://docs.google.com/spreadsheets/d/1MeEWN-I1oV_STSDYn1IFDPWt_1FKiwhDph83XaGc0o0/edit?usp=sharing"",""งบพรบ!EO102"")"),0)</f>
        <v>0</v>
      </c>
      <c r="G102" s="82">
        <f ca="1">IFERROR(__xludf.DUMMYFUNCTION("IMPORTRANGE(""https://docs.google.com/spreadsheets/d/1MeEWN-I1oV_STSDYn1IFDPWt_1FKiwhDph83XaGc0o0/edit?usp=sharing"",""งบพรบ!EP102"")"),0)</f>
        <v>0</v>
      </c>
      <c r="H102" s="82">
        <f ca="1">IFERROR(__xludf.DUMMYFUNCTION("IMPORTRANGE(""https://docs.google.com/spreadsheets/d/1MeEWN-I1oV_STSDYn1IFDPWt_1FKiwhDph83XaGc0o0/edit?usp=sharing"",""งบพรบ!ER102"")"),0)</f>
        <v>0</v>
      </c>
      <c r="I102" s="82">
        <f ca="1">IFERROR(__xludf.DUMMYFUNCTION("IMPORTRANGE(""https://docs.google.com/spreadsheets/d/1MeEWN-I1oV_STSDYn1IFDPWt_1FKiwhDph83XaGc0o0/edit?usp=sharing"",""งบพรบ!ES102"")"),0)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IFERROR(__xludf.DUMMYFUNCTION("IMPORTRANGE(""https://docs.google.com/spreadsheets/d/1MeEWN-I1oV_STSDYn1IFDPWt_1FKiwhDph83XaGc0o0/edit?usp=sharing"",""งบพรบ!ET102"")"),0)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IFERROR(__xludf.DUMMYFUNCTION("IMPORTRANGE(""https://docs.google.com/spreadsheets/d/1MeEWN-I1oV_STSDYn1IFDPWt_1FKiwhDph83XaGc0o0/edit?usp=sharing"",""งบพรบ!EU102"")"),0)</f>
        <v>0</v>
      </c>
      <c r="P102" s="85">
        <f t="shared" ca="1" si="24"/>
        <v>0</v>
      </c>
      <c r="Q102" s="84">
        <f t="shared" ca="1" si="8"/>
        <v>0</v>
      </c>
      <c r="R102" s="82"/>
      <c r="S102" s="82"/>
      <c r="T102" s="84"/>
      <c r="U102" s="82"/>
      <c r="V102" s="82"/>
      <c r="W102" s="84"/>
      <c r="X102" s="82"/>
      <c r="Y102" s="82"/>
      <c r="Z102" s="82"/>
    </row>
    <row r="103" spans="1:26" ht="24" hidden="1" customHeight="1" x14ac:dyDescent="0.2">
      <c r="A103" s="113">
        <f t="shared" si="46"/>
        <v>14</v>
      </c>
      <c r="B103" s="114" t="s">
        <v>125</v>
      </c>
      <c r="C103" s="91">
        <f t="shared" ca="1" si="0"/>
        <v>0</v>
      </c>
      <c r="D103" s="92">
        <f t="shared" ca="1" si="45"/>
        <v>0</v>
      </c>
      <c r="E103" s="93">
        <f ca="1">IFERROR(__xludf.DUMMYFUNCTION("IMPORTRANGE(""https://docs.google.com/spreadsheets/d/1MeEWN-I1oV_STSDYn1IFDPWt_1FKiwhDph83XaGc0o0/edit?usp=sharing"",""งบพรบ!EN103"")"),0)</f>
        <v>0</v>
      </c>
      <c r="F103" s="93">
        <f ca="1">IFERROR(__xludf.DUMMYFUNCTION("IMPORTRANGE(""https://docs.google.com/spreadsheets/d/1MeEWN-I1oV_STSDYn1IFDPWt_1FKiwhDph83XaGc0o0/edit?usp=sharing"",""งบพรบ!EO103"")"),0)</f>
        <v>0</v>
      </c>
      <c r="G103" s="93">
        <f ca="1">IFERROR(__xludf.DUMMYFUNCTION("IMPORTRANGE(""https://docs.google.com/spreadsheets/d/1MeEWN-I1oV_STSDYn1IFDPWt_1FKiwhDph83XaGc0o0/edit?usp=sharing"",""งบพรบ!EP103"")"),0)</f>
        <v>0</v>
      </c>
      <c r="H103" s="93">
        <f ca="1">IFERROR(__xludf.DUMMYFUNCTION("IMPORTRANGE(""https://docs.google.com/spreadsheets/d/1MeEWN-I1oV_STSDYn1IFDPWt_1FKiwhDph83XaGc0o0/edit?usp=sharing"",""งบพรบ!ER103"")"),0)</f>
        <v>0</v>
      </c>
      <c r="I103" s="93">
        <f ca="1">IFERROR(__xludf.DUMMYFUNCTION("IMPORTRANGE(""https://docs.google.com/spreadsheets/d/1MeEWN-I1oV_STSDYn1IFDPWt_1FKiwhDph83XaGc0o0/edit?usp=sharing"",""งบพรบ!ES103"")"),0)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IFERROR(__xludf.DUMMYFUNCTION("IMPORTRANGE(""https://docs.google.com/spreadsheets/d/1MeEWN-I1oV_STSDYn1IFDPWt_1FKiwhDph83XaGc0o0/edit?usp=sharing"",""งบพรบ!ET103"")"),0)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IFERROR(__xludf.DUMMYFUNCTION("IMPORTRANGE(""https://docs.google.com/spreadsheets/d/1MeEWN-I1oV_STSDYn1IFDPWt_1FKiwhDph83XaGc0o0/edit?usp=sharing"",""งบพรบ!EU103"")"),0)</f>
        <v>0</v>
      </c>
      <c r="P103" s="96">
        <f t="shared" ca="1" si="24"/>
        <v>0</v>
      </c>
      <c r="Q103" s="95">
        <f t="shared" ca="1" si="8"/>
        <v>0</v>
      </c>
      <c r="R103" s="93"/>
      <c r="S103" s="93"/>
      <c r="T103" s="95"/>
      <c r="U103" s="93"/>
      <c r="V103" s="93"/>
      <c r="W103" s="95"/>
      <c r="X103" s="93"/>
      <c r="Y103" s="93"/>
      <c r="Z103" s="93"/>
    </row>
    <row r="104" spans="1:26" ht="21" hidden="1" customHeight="1" x14ac:dyDescent="0.2">
      <c r="A104" s="381" t="s">
        <v>126</v>
      </c>
      <c r="B104" s="357"/>
      <c r="C104" s="107">
        <f t="shared" ca="1" si="0"/>
        <v>77000</v>
      </c>
      <c r="D104" s="46">
        <f ca="1">SUM(D105:D116)</f>
        <v>77000</v>
      </c>
      <c r="E104" s="46">
        <f ca="1">IFERROR(__xludf.DUMMYFUNCTION("IMPORTRANGE(""https://docs.google.com/spreadsheets/d/1MeEWN-I1oV_STSDYn1IFDPWt_1FKiwhDph83XaGc0o0/edit?usp=sharing"",""งบพรบ!EN104"")"),77000)</f>
        <v>77000</v>
      </c>
      <c r="F104" s="46">
        <f ca="1">IFERROR(__xludf.DUMMYFUNCTION("IMPORTRANGE(""https://docs.google.com/spreadsheets/d/1MeEWN-I1oV_STSDYn1IFDPWt_1FKiwhDph83XaGc0o0/edit?usp=sharing"",""งบพรบ!EO104"")"),0)</f>
        <v>0</v>
      </c>
      <c r="G104" s="46">
        <f ca="1">IFERROR(__xludf.DUMMYFUNCTION("IMPORTRANGE(""https://docs.google.com/spreadsheets/d/1MeEWN-I1oV_STSDYn1IFDPWt_1FKiwhDph83XaGc0o0/edit?usp=sharing"",""งบพรบ!EP104"")"),0)</f>
        <v>0</v>
      </c>
      <c r="H104" s="46">
        <f ca="1">IFERROR(__xludf.DUMMYFUNCTION("IMPORTRANGE(""https://docs.google.com/spreadsheets/d/1MeEWN-I1oV_STSDYn1IFDPWt_1FKiwhDph83XaGc0o0/edit?usp=sharing"",""งบพรบ!ER104"")"),57700)</f>
        <v>57700</v>
      </c>
      <c r="I104" s="46">
        <f ca="1">IFERROR(__xludf.DUMMYFUNCTION("IMPORTRANGE(""https://docs.google.com/spreadsheets/d/1MeEWN-I1oV_STSDYn1IFDPWt_1FKiwhDph83XaGc0o0/edit?usp=sharing"",""งบพรบ!ES104"")"),0)</f>
        <v>0</v>
      </c>
      <c r="J104" s="46">
        <f t="shared" ca="1" si="3"/>
        <v>0</v>
      </c>
      <c r="K104" s="48">
        <f t="shared" ca="1" si="4"/>
        <v>0</v>
      </c>
      <c r="L104" s="46">
        <f ca="1">IFERROR(__xludf.DUMMYFUNCTION("IMPORTRANGE(""https://docs.google.com/spreadsheets/d/1MeEWN-I1oV_STSDYn1IFDPWt_1FKiwhDph83XaGc0o0/edit?usp=sharing"",""งบพรบ!ET104"")"),0)</f>
        <v>0</v>
      </c>
      <c r="M104" s="48">
        <f t="shared" ca="1" si="5"/>
        <v>0</v>
      </c>
      <c r="N104" s="48">
        <f t="shared" ca="1" si="6"/>
        <v>0</v>
      </c>
      <c r="O104" s="46">
        <f ca="1">IFERROR(__xludf.DUMMYFUNCTION("IMPORTRANGE(""https://docs.google.com/spreadsheets/d/1MeEWN-I1oV_STSDYn1IFDPWt_1FKiwhDph83XaGc0o0/edit?usp=sharing"",""งบพรบ!EU104"")"),0)</f>
        <v>0</v>
      </c>
      <c r="P104" s="46">
        <f t="shared" ca="1" si="24"/>
        <v>0</v>
      </c>
      <c r="Q104" s="46">
        <f t="shared" ca="1" si="8"/>
        <v>0</v>
      </c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24" hidden="1" customHeight="1" x14ac:dyDescent="0.2">
      <c r="A105" s="108">
        <v>1</v>
      </c>
      <c r="B105" s="115" t="s">
        <v>127</v>
      </c>
      <c r="C105" s="116">
        <f t="shared" ca="1" si="0"/>
        <v>77000</v>
      </c>
      <c r="D105" s="71">
        <f t="shared" ref="D105:D116" ca="1" si="47">+E105+F105</f>
        <v>77000</v>
      </c>
      <c r="E105" s="72">
        <f ca="1">IFERROR(__xludf.DUMMYFUNCTION("IMPORTRANGE(""https://docs.google.com/spreadsheets/d/1MeEWN-I1oV_STSDYn1IFDPWt_1FKiwhDph83XaGc0o0/edit?usp=sharing"",""งบพรบ!EN105"")"),77000)</f>
        <v>77000</v>
      </c>
      <c r="F105" s="72">
        <f ca="1">IFERROR(__xludf.DUMMYFUNCTION("IMPORTRANGE(""https://docs.google.com/spreadsheets/d/1MeEWN-I1oV_STSDYn1IFDPWt_1FKiwhDph83XaGc0o0/edit?usp=sharing"",""งบพรบ!EO105"")"),0)</f>
        <v>0</v>
      </c>
      <c r="G105" s="72">
        <f ca="1">IFERROR(__xludf.DUMMYFUNCTION("IMPORTRANGE(""https://docs.google.com/spreadsheets/d/1MeEWN-I1oV_STSDYn1IFDPWt_1FKiwhDph83XaGc0o0/edit?usp=sharing"",""งบพรบ!EP105"")"),0)</f>
        <v>0</v>
      </c>
      <c r="H105" s="72">
        <f ca="1">IFERROR(__xludf.DUMMYFUNCTION("IMPORTRANGE(""https://docs.google.com/spreadsheets/d/1MeEWN-I1oV_STSDYn1IFDPWt_1FKiwhDph83XaGc0o0/edit?usp=sharing"",""งบพรบ!ER105"")"),57700)</f>
        <v>57700</v>
      </c>
      <c r="I105" s="72">
        <f ca="1">IFERROR(__xludf.DUMMYFUNCTION("IMPORTRANGE(""https://docs.google.com/spreadsheets/d/1MeEWN-I1oV_STSDYn1IFDPWt_1FKiwhDph83XaGc0o0/edit?usp=sharing"",""งบพรบ!ES105"")"),0)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IFERROR(__xludf.DUMMYFUNCTION("IMPORTRANGE(""https://docs.google.com/spreadsheets/d/1MeEWN-I1oV_STSDYn1IFDPWt_1FKiwhDph83XaGc0o0/edit?usp=sharing"",""งบพรบ!ET105"")"),0)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IFERROR(__xludf.DUMMYFUNCTION("IMPORTRANGE(""https://docs.google.com/spreadsheets/d/1MeEWN-I1oV_STSDYn1IFDPWt_1FKiwhDph83XaGc0o0/edit?usp=sharing"",""งบพรบ!EU105"")"),0)</f>
        <v>0</v>
      </c>
      <c r="P105" s="76">
        <f t="shared" ca="1" si="24"/>
        <v>0</v>
      </c>
      <c r="Q105" s="75">
        <f t="shared" ca="1" si="8"/>
        <v>0</v>
      </c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24" hidden="1" customHeight="1" x14ac:dyDescent="0.2">
      <c r="A106" s="111">
        <v>2</v>
      </c>
      <c r="B106" s="117" t="s">
        <v>128</v>
      </c>
      <c r="C106" s="118">
        <f t="shared" ca="1" si="0"/>
        <v>0</v>
      </c>
      <c r="D106" s="81">
        <f t="shared" ca="1" si="47"/>
        <v>0</v>
      </c>
      <c r="E106" s="82">
        <f ca="1">IFERROR(__xludf.DUMMYFUNCTION("IMPORTRANGE(""https://docs.google.com/spreadsheets/d/1MeEWN-I1oV_STSDYn1IFDPWt_1FKiwhDph83XaGc0o0/edit?usp=sharing"",""งบพรบ!EN106"")"),0)</f>
        <v>0</v>
      </c>
      <c r="F106" s="82">
        <f ca="1">IFERROR(__xludf.DUMMYFUNCTION("IMPORTRANGE(""https://docs.google.com/spreadsheets/d/1MeEWN-I1oV_STSDYn1IFDPWt_1FKiwhDph83XaGc0o0/edit?usp=sharing"",""งบพรบ!EO106"")"),0)</f>
        <v>0</v>
      </c>
      <c r="G106" s="82">
        <f ca="1">IFERROR(__xludf.DUMMYFUNCTION("IMPORTRANGE(""https://docs.google.com/spreadsheets/d/1MeEWN-I1oV_STSDYn1IFDPWt_1FKiwhDph83XaGc0o0/edit?usp=sharing"",""งบพรบ!EP106"")"),0)</f>
        <v>0</v>
      </c>
      <c r="H106" s="82">
        <f ca="1">IFERROR(__xludf.DUMMYFUNCTION("IMPORTRANGE(""https://docs.google.com/spreadsheets/d/1MeEWN-I1oV_STSDYn1IFDPWt_1FKiwhDph83XaGc0o0/edit?usp=sharing"",""งบพรบ!ER106"")"),0)</f>
        <v>0</v>
      </c>
      <c r="I106" s="82">
        <f ca="1">IFERROR(__xludf.DUMMYFUNCTION("IMPORTRANGE(""https://docs.google.com/spreadsheets/d/1MeEWN-I1oV_STSDYn1IFDPWt_1FKiwhDph83XaGc0o0/edit?usp=sharing"",""งบพรบ!ES106"")"),0)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IFERROR(__xludf.DUMMYFUNCTION("IMPORTRANGE(""https://docs.google.com/spreadsheets/d/1MeEWN-I1oV_STSDYn1IFDPWt_1FKiwhDph83XaGc0o0/edit?usp=sharing"",""งบพรบ!ET106"")"),0)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IFERROR(__xludf.DUMMYFUNCTION("IMPORTRANGE(""https://docs.google.com/spreadsheets/d/1MeEWN-I1oV_STSDYn1IFDPWt_1FKiwhDph83XaGc0o0/edit?usp=sharing"",""งบพรบ!EU106"")"),0)</f>
        <v>0</v>
      </c>
      <c r="P106" s="85">
        <f t="shared" ca="1" si="24"/>
        <v>0</v>
      </c>
      <c r="Q106" s="84">
        <f t="shared" ca="1" si="8"/>
        <v>0</v>
      </c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47"/>
        <v>0</v>
      </c>
      <c r="E107" s="82">
        <f ca="1">IFERROR(__xludf.DUMMYFUNCTION("IMPORTRANGE(""https://docs.google.com/spreadsheets/d/1MeEWN-I1oV_STSDYn1IFDPWt_1FKiwhDph83XaGc0o0/edit?usp=sharing"",""งบพรบ!EN107"")"),0)</f>
        <v>0</v>
      </c>
      <c r="F107" s="82">
        <f ca="1">IFERROR(__xludf.DUMMYFUNCTION("IMPORTRANGE(""https://docs.google.com/spreadsheets/d/1MeEWN-I1oV_STSDYn1IFDPWt_1FKiwhDph83XaGc0o0/edit?usp=sharing"",""งบพรบ!EO107"")"),0)</f>
        <v>0</v>
      </c>
      <c r="G107" s="82">
        <f ca="1">IFERROR(__xludf.DUMMYFUNCTION("IMPORTRANGE(""https://docs.google.com/spreadsheets/d/1MeEWN-I1oV_STSDYn1IFDPWt_1FKiwhDph83XaGc0o0/edit?usp=sharing"",""งบพรบ!EP107"")"),0)</f>
        <v>0</v>
      </c>
      <c r="H107" s="82">
        <f ca="1">IFERROR(__xludf.DUMMYFUNCTION("IMPORTRANGE(""https://docs.google.com/spreadsheets/d/1MeEWN-I1oV_STSDYn1IFDPWt_1FKiwhDph83XaGc0o0/edit?usp=sharing"",""งบพรบ!ER107"")"),0)</f>
        <v>0</v>
      </c>
      <c r="I107" s="82">
        <f ca="1">IFERROR(__xludf.DUMMYFUNCTION("IMPORTRANGE(""https://docs.google.com/spreadsheets/d/1MeEWN-I1oV_STSDYn1IFDPWt_1FKiwhDph83XaGc0o0/edit?usp=sharing"",""งบพรบ!ES107"")"),0)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IFERROR(__xludf.DUMMYFUNCTION("IMPORTRANGE(""https://docs.google.com/spreadsheets/d/1MeEWN-I1oV_STSDYn1IFDPWt_1FKiwhDph83XaGc0o0/edit?usp=sharing"",""งบพรบ!ET107"")"),0)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IFERROR(__xludf.DUMMYFUNCTION("IMPORTRANGE(""https://docs.google.com/spreadsheets/d/1MeEWN-I1oV_STSDYn1IFDPWt_1FKiwhDph83XaGc0o0/edit?usp=sharing"",""งบพรบ!EU107"")"),0)</f>
        <v>0</v>
      </c>
      <c r="P107" s="85">
        <f t="shared" ca="1" si="24"/>
        <v>0</v>
      </c>
      <c r="Q107" s="84">
        <f t="shared" ca="1" si="8"/>
        <v>0</v>
      </c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47"/>
        <v>0</v>
      </c>
      <c r="E108" s="82">
        <f ca="1">IFERROR(__xludf.DUMMYFUNCTION("IMPORTRANGE(""https://docs.google.com/spreadsheets/d/1MeEWN-I1oV_STSDYn1IFDPWt_1FKiwhDph83XaGc0o0/edit?usp=sharing"",""งบพรบ!EN108"")"),0)</f>
        <v>0</v>
      </c>
      <c r="F108" s="82">
        <f ca="1">IFERROR(__xludf.DUMMYFUNCTION("IMPORTRANGE(""https://docs.google.com/spreadsheets/d/1MeEWN-I1oV_STSDYn1IFDPWt_1FKiwhDph83XaGc0o0/edit?usp=sharing"",""งบพรบ!EO108"")"),0)</f>
        <v>0</v>
      </c>
      <c r="G108" s="82">
        <f ca="1">IFERROR(__xludf.DUMMYFUNCTION("IMPORTRANGE(""https://docs.google.com/spreadsheets/d/1MeEWN-I1oV_STSDYn1IFDPWt_1FKiwhDph83XaGc0o0/edit?usp=sharing"",""งบพรบ!EP108"")"),0)</f>
        <v>0</v>
      </c>
      <c r="H108" s="82">
        <f ca="1">IFERROR(__xludf.DUMMYFUNCTION("IMPORTRANGE(""https://docs.google.com/spreadsheets/d/1MeEWN-I1oV_STSDYn1IFDPWt_1FKiwhDph83XaGc0o0/edit?usp=sharing"",""งบพรบ!ER108"")"),0)</f>
        <v>0</v>
      </c>
      <c r="I108" s="82">
        <f ca="1">IFERROR(__xludf.DUMMYFUNCTION("IMPORTRANGE(""https://docs.google.com/spreadsheets/d/1MeEWN-I1oV_STSDYn1IFDPWt_1FKiwhDph83XaGc0o0/edit?usp=sharing"",""งบพรบ!ES108"")"),0)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IFERROR(__xludf.DUMMYFUNCTION("IMPORTRANGE(""https://docs.google.com/spreadsheets/d/1MeEWN-I1oV_STSDYn1IFDPWt_1FKiwhDph83XaGc0o0/edit?usp=sharing"",""งบพรบ!ET108"")"),0)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IFERROR(__xludf.DUMMYFUNCTION("IMPORTRANGE(""https://docs.google.com/spreadsheets/d/1MeEWN-I1oV_STSDYn1IFDPWt_1FKiwhDph83XaGc0o0/edit?usp=sharing"",""งบพรบ!EU108"")"),0)</f>
        <v>0</v>
      </c>
      <c r="P108" s="85">
        <f t="shared" ca="1" si="24"/>
        <v>0</v>
      </c>
      <c r="Q108" s="84">
        <f t="shared" ca="1" si="8"/>
        <v>0</v>
      </c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47"/>
        <v>0</v>
      </c>
      <c r="E109" s="82">
        <f ca="1">IFERROR(__xludf.DUMMYFUNCTION("IMPORTRANGE(""https://docs.google.com/spreadsheets/d/1MeEWN-I1oV_STSDYn1IFDPWt_1FKiwhDph83XaGc0o0/edit?usp=sharing"",""งบพรบ!EN109"")"),0)</f>
        <v>0</v>
      </c>
      <c r="F109" s="82">
        <f ca="1">IFERROR(__xludf.DUMMYFUNCTION("IMPORTRANGE(""https://docs.google.com/spreadsheets/d/1MeEWN-I1oV_STSDYn1IFDPWt_1FKiwhDph83XaGc0o0/edit?usp=sharing"",""งบพรบ!EO109"")"),0)</f>
        <v>0</v>
      </c>
      <c r="G109" s="82">
        <f ca="1">IFERROR(__xludf.DUMMYFUNCTION("IMPORTRANGE(""https://docs.google.com/spreadsheets/d/1MeEWN-I1oV_STSDYn1IFDPWt_1FKiwhDph83XaGc0o0/edit?usp=sharing"",""งบพรบ!EP109"")"),0)</f>
        <v>0</v>
      </c>
      <c r="H109" s="82">
        <f ca="1">IFERROR(__xludf.DUMMYFUNCTION("IMPORTRANGE(""https://docs.google.com/spreadsheets/d/1MeEWN-I1oV_STSDYn1IFDPWt_1FKiwhDph83XaGc0o0/edit?usp=sharing"",""งบพรบ!ER109"")"),0)</f>
        <v>0</v>
      </c>
      <c r="I109" s="82">
        <f ca="1">IFERROR(__xludf.DUMMYFUNCTION("IMPORTRANGE(""https://docs.google.com/spreadsheets/d/1MeEWN-I1oV_STSDYn1IFDPWt_1FKiwhDph83XaGc0o0/edit?usp=sharing"",""งบพรบ!ES109"")"),0)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IFERROR(__xludf.DUMMYFUNCTION("IMPORTRANGE(""https://docs.google.com/spreadsheets/d/1MeEWN-I1oV_STSDYn1IFDPWt_1FKiwhDph83XaGc0o0/edit?usp=sharing"",""งบพรบ!ET109"")"),0)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IFERROR(__xludf.DUMMYFUNCTION("IMPORTRANGE(""https://docs.google.com/spreadsheets/d/1MeEWN-I1oV_STSDYn1IFDPWt_1FKiwhDph83XaGc0o0/edit?usp=sharing"",""งบพรบ!EU109"")"),0)</f>
        <v>0</v>
      </c>
      <c r="P109" s="85">
        <f t="shared" ca="1" si="24"/>
        <v>0</v>
      </c>
      <c r="Q109" s="84">
        <f t="shared" ca="1" si="8"/>
        <v>0</v>
      </c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47"/>
        <v>0</v>
      </c>
      <c r="E110" s="82">
        <f ca="1">IFERROR(__xludf.DUMMYFUNCTION("IMPORTRANGE(""https://docs.google.com/spreadsheets/d/1MeEWN-I1oV_STSDYn1IFDPWt_1FKiwhDph83XaGc0o0/edit?usp=sharing"",""งบพรบ!EN110"")"),0)</f>
        <v>0</v>
      </c>
      <c r="F110" s="82">
        <f ca="1">IFERROR(__xludf.DUMMYFUNCTION("IMPORTRANGE(""https://docs.google.com/spreadsheets/d/1MeEWN-I1oV_STSDYn1IFDPWt_1FKiwhDph83XaGc0o0/edit?usp=sharing"",""งบพรบ!EO110"")"),0)</f>
        <v>0</v>
      </c>
      <c r="G110" s="82">
        <f ca="1">IFERROR(__xludf.DUMMYFUNCTION("IMPORTRANGE(""https://docs.google.com/spreadsheets/d/1MeEWN-I1oV_STSDYn1IFDPWt_1FKiwhDph83XaGc0o0/edit?usp=sharing"",""งบพรบ!EP110"")"),0)</f>
        <v>0</v>
      </c>
      <c r="H110" s="82">
        <f ca="1">IFERROR(__xludf.DUMMYFUNCTION("IMPORTRANGE(""https://docs.google.com/spreadsheets/d/1MeEWN-I1oV_STSDYn1IFDPWt_1FKiwhDph83XaGc0o0/edit?usp=sharing"",""งบพรบ!ER110"")"),0)</f>
        <v>0</v>
      </c>
      <c r="I110" s="82">
        <f ca="1">IFERROR(__xludf.DUMMYFUNCTION("IMPORTRANGE(""https://docs.google.com/spreadsheets/d/1MeEWN-I1oV_STSDYn1IFDPWt_1FKiwhDph83XaGc0o0/edit?usp=sharing"",""งบพรบ!ES110"")"),0)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IFERROR(__xludf.DUMMYFUNCTION("IMPORTRANGE(""https://docs.google.com/spreadsheets/d/1MeEWN-I1oV_STSDYn1IFDPWt_1FKiwhDph83XaGc0o0/edit?usp=sharing"",""งบพรบ!ET110"")"),0)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IFERROR(__xludf.DUMMYFUNCTION("IMPORTRANGE(""https://docs.google.com/spreadsheets/d/1MeEWN-I1oV_STSDYn1IFDPWt_1FKiwhDph83XaGc0o0/edit?usp=sharing"",""งบพรบ!EU110"")"),0)</f>
        <v>0</v>
      </c>
      <c r="P110" s="85">
        <f t="shared" ca="1" si="24"/>
        <v>0</v>
      </c>
      <c r="Q110" s="84">
        <f t="shared" ca="1" si="8"/>
        <v>0</v>
      </c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47"/>
        <v>0</v>
      </c>
      <c r="E111" s="82">
        <f ca="1">IFERROR(__xludf.DUMMYFUNCTION("IMPORTRANGE(""https://docs.google.com/spreadsheets/d/1MeEWN-I1oV_STSDYn1IFDPWt_1FKiwhDph83XaGc0o0/edit?usp=sharing"",""งบพรบ!EN111"")"),0)</f>
        <v>0</v>
      </c>
      <c r="F111" s="82">
        <f ca="1">IFERROR(__xludf.DUMMYFUNCTION("IMPORTRANGE(""https://docs.google.com/spreadsheets/d/1MeEWN-I1oV_STSDYn1IFDPWt_1FKiwhDph83XaGc0o0/edit?usp=sharing"",""งบพรบ!EO111"")"),0)</f>
        <v>0</v>
      </c>
      <c r="G111" s="82">
        <f ca="1">IFERROR(__xludf.DUMMYFUNCTION("IMPORTRANGE(""https://docs.google.com/spreadsheets/d/1MeEWN-I1oV_STSDYn1IFDPWt_1FKiwhDph83XaGc0o0/edit?usp=sharing"",""งบพรบ!EP111"")"),0)</f>
        <v>0</v>
      </c>
      <c r="H111" s="82">
        <f ca="1">IFERROR(__xludf.DUMMYFUNCTION("IMPORTRANGE(""https://docs.google.com/spreadsheets/d/1MeEWN-I1oV_STSDYn1IFDPWt_1FKiwhDph83XaGc0o0/edit?usp=sharing"",""งบพรบ!ER111"")"),0)</f>
        <v>0</v>
      </c>
      <c r="I111" s="82">
        <f ca="1">IFERROR(__xludf.DUMMYFUNCTION("IMPORTRANGE(""https://docs.google.com/spreadsheets/d/1MeEWN-I1oV_STSDYn1IFDPWt_1FKiwhDph83XaGc0o0/edit?usp=sharing"",""งบพรบ!ES111"")"),0)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IFERROR(__xludf.DUMMYFUNCTION("IMPORTRANGE(""https://docs.google.com/spreadsheets/d/1MeEWN-I1oV_STSDYn1IFDPWt_1FKiwhDph83XaGc0o0/edit?usp=sharing"",""งบพรบ!ET111"")"),0)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IFERROR(__xludf.DUMMYFUNCTION("IMPORTRANGE(""https://docs.google.com/spreadsheets/d/1MeEWN-I1oV_STSDYn1IFDPWt_1FKiwhDph83XaGc0o0/edit?usp=sharing"",""งบพรบ!EU111"")"),0)</f>
        <v>0</v>
      </c>
      <c r="P111" s="85">
        <f t="shared" ca="1" si="24"/>
        <v>0</v>
      </c>
      <c r="Q111" s="84">
        <f t="shared" ca="1" si="8"/>
        <v>0</v>
      </c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47"/>
        <v>0</v>
      </c>
      <c r="E112" s="82">
        <f ca="1">IFERROR(__xludf.DUMMYFUNCTION("IMPORTRANGE(""https://docs.google.com/spreadsheets/d/1MeEWN-I1oV_STSDYn1IFDPWt_1FKiwhDph83XaGc0o0/edit?usp=sharing"",""งบพรบ!EN112"")"),0)</f>
        <v>0</v>
      </c>
      <c r="F112" s="82">
        <f ca="1">IFERROR(__xludf.DUMMYFUNCTION("IMPORTRANGE(""https://docs.google.com/spreadsheets/d/1MeEWN-I1oV_STSDYn1IFDPWt_1FKiwhDph83XaGc0o0/edit?usp=sharing"",""งบพรบ!EO112"")"),0)</f>
        <v>0</v>
      </c>
      <c r="G112" s="82">
        <f ca="1">IFERROR(__xludf.DUMMYFUNCTION("IMPORTRANGE(""https://docs.google.com/spreadsheets/d/1MeEWN-I1oV_STSDYn1IFDPWt_1FKiwhDph83XaGc0o0/edit?usp=sharing"",""งบพรบ!EP112"")"),0)</f>
        <v>0</v>
      </c>
      <c r="H112" s="82">
        <f ca="1">IFERROR(__xludf.DUMMYFUNCTION("IMPORTRANGE(""https://docs.google.com/spreadsheets/d/1MeEWN-I1oV_STSDYn1IFDPWt_1FKiwhDph83XaGc0o0/edit?usp=sharing"",""งบพรบ!ER112"")"),0)</f>
        <v>0</v>
      </c>
      <c r="I112" s="82">
        <f ca="1">IFERROR(__xludf.DUMMYFUNCTION("IMPORTRANGE(""https://docs.google.com/spreadsheets/d/1MeEWN-I1oV_STSDYn1IFDPWt_1FKiwhDph83XaGc0o0/edit?usp=sharing"",""งบพรบ!ES112"")"),0)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IFERROR(__xludf.DUMMYFUNCTION("IMPORTRANGE(""https://docs.google.com/spreadsheets/d/1MeEWN-I1oV_STSDYn1IFDPWt_1FKiwhDph83XaGc0o0/edit?usp=sharing"",""งบพรบ!ET112"")"),0)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IFERROR(__xludf.DUMMYFUNCTION("IMPORTRANGE(""https://docs.google.com/spreadsheets/d/1MeEWN-I1oV_STSDYn1IFDPWt_1FKiwhDph83XaGc0o0/edit?usp=sharing"",""งบพรบ!EU112"")"),0)</f>
        <v>0</v>
      </c>
      <c r="P112" s="85">
        <f t="shared" ca="1" si="24"/>
        <v>0</v>
      </c>
      <c r="Q112" s="84">
        <f t="shared" ca="1" si="8"/>
        <v>0</v>
      </c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47"/>
        <v>0</v>
      </c>
      <c r="E113" s="82">
        <f ca="1">IFERROR(__xludf.DUMMYFUNCTION("IMPORTRANGE(""https://docs.google.com/spreadsheets/d/1MeEWN-I1oV_STSDYn1IFDPWt_1FKiwhDph83XaGc0o0/edit?usp=sharing"",""งบพรบ!EN113"")"),0)</f>
        <v>0</v>
      </c>
      <c r="F113" s="82">
        <f ca="1">IFERROR(__xludf.DUMMYFUNCTION("IMPORTRANGE(""https://docs.google.com/spreadsheets/d/1MeEWN-I1oV_STSDYn1IFDPWt_1FKiwhDph83XaGc0o0/edit?usp=sharing"",""งบพรบ!EO113"")"),0)</f>
        <v>0</v>
      </c>
      <c r="G113" s="82">
        <f ca="1">IFERROR(__xludf.DUMMYFUNCTION("IMPORTRANGE(""https://docs.google.com/spreadsheets/d/1MeEWN-I1oV_STSDYn1IFDPWt_1FKiwhDph83XaGc0o0/edit?usp=sharing"",""งบพรบ!EP113"")"),0)</f>
        <v>0</v>
      </c>
      <c r="H113" s="82">
        <f ca="1">IFERROR(__xludf.DUMMYFUNCTION("IMPORTRANGE(""https://docs.google.com/spreadsheets/d/1MeEWN-I1oV_STSDYn1IFDPWt_1FKiwhDph83XaGc0o0/edit?usp=sharing"",""งบพรบ!ER113"")"),0)</f>
        <v>0</v>
      </c>
      <c r="I113" s="82">
        <f ca="1">IFERROR(__xludf.DUMMYFUNCTION("IMPORTRANGE(""https://docs.google.com/spreadsheets/d/1MeEWN-I1oV_STSDYn1IFDPWt_1FKiwhDph83XaGc0o0/edit?usp=sharing"",""งบพรบ!ES113"")"),0)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IFERROR(__xludf.DUMMYFUNCTION("IMPORTRANGE(""https://docs.google.com/spreadsheets/d/1MeEWN-I1oV_STSDYn1IFDPWt_1FKiwhDph83XaGc0o0/edit?usp=sharing"",""งบพรบ!ET113"")"),0)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IFERROR(__xludf.DUMMYFUNCTION("IMPORTRANGE(""https://docs.google.com/spreadsheets/d/1MeEWN-I1oV_STSDYn1IFDPWt_1FKiwhDph83XaGc0o0/edit?usp=sharing"",""งบพรบ!EU113"")"),0)</f>
        <v>0</v>
      </c>
      <c r="P113" s="85">
        <f t="shared" ca="1" si="24"/>
        <v>0</v>
      </c>
      <c r="Q113" s="84">
        <f t="shared" ca="1" si="8"/>
        <v>0</v>
      </c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47"/>
        <v>0</v>
      </c>
      <c r="E114" s="82">
        <f ca="1">IFERROR(__xludf.DUMMYFUNCTION("IMPORTRANGE(""https://docs.google.com/spreadsheets/d/1MeEWN-I1oV_STSDYn1IFDPWt_1FKiwhDph83XaGc0o0/edit?usp=sharing"",""งบพรบ!EN114"")"),0)</f>
        <v>0</v>
      </c>
      <c r="F114" s="82">
        <f ca="1">IFERROR(__xludf.DUMMYFUNCTION("IMPORTRANGE(""https://docs.google.com/spreadsheets/d/1MeEWN-I1oV_STSDYn1IFDPWt_1FKiwhDph83XaGc0o0/edit?usp=sharing"",""งบพรบ!EO114"")"),0)</f>
        <v>0</v>
      </c>
      <c r="G114" s="82">
        <f ca="1">IFERROR(__xludf.DUMMYFUNCTION("IMPORTRANGE(""https://docs.google.com/spreadsheets/d/1MeEWN-I1oV_STSDYn1IFDPWt_1FKiwhDph83XaGc0o0/edit?usp=sharing"",""งบพรบ!EP114"")"),0)</f>
        <v>0</v>
      </c>
      <c r="H114" s="82">
        <f ca="1">IFERROR(__xludf.DUMMYFUNCTION("IMPORTRANGE(""https://docs.google.com/spreadsheets/d/1MeEWN-I1oV_STSDYn1IFDPWt_1FKiwhDph83XaGc0o0/edit?usp=sharing"",""งบพรบ!ER114"")"),0)</f>
        <v>0</v>
      </c>
      <c r="I114" s="82">
        <f ca="1">IFERROR(__xludf.DUMMYFUNCTION("IMPORTRANGE(""https://docs.google.com/spreadsheets/d/1MeEWN-I1oV_STSDYn1IFDPWt_1FKiwhDph83XaGc0o0/edit?usp=sharing"",""งบพรบ!ES114"")"),0)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IFERROR(__xludf.DUMMYFUNCTION("IMPORTRANGE(""https://docs.google.com/spreadsheets/d/1MeEWN-I1oV_STSDYn1IFDPWt_1FKiwhDph83XaGc0o0/edit?usp=sharing"",""งบพรบ!ET114"")"),0)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IFERROR(__xludf.DUMMYFUNCTION("IMPORTRANGE(""https://docs.google.com/spreadsheets/d/1MeEWN-I1oV_STSDYn1IFDPWt_1FKiwhDph83XaGc0o0/edit?usp=sharing"",""งบพรบ!EU114"")"),0)</f>
        <v>0</v>
      </c>
      <c r="P114" s="85">
        <f t="shared" ca="1" si="24"/>
        <v>0</v>
      </c>
      <c r="Q114" s="84">
        <f t="shared" ca="1" si="8"/>
        <v>0</v>
      </c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47"/>
        <v>0</v>
      </c>
      <c r="E115" s="82">
        <f ca="1">IFERROR(__xludf.DUMMYFUNCTION("IMPORTRANGE(""https://docs.google.com/spreadsheets/d/1MeEWN-I1oV_STSDYn1IFDPWt_1FKiwhDph83XaGc0o0/edit?usp=sharing"",""งบพรบ!EN115"")"),0)</f>
        <v>0</v>
      </c>
      <c r="F115" s="82">
        <f ca="1">IFERROR(__xludf.DUMMYFUNCTION("IMPORTRANGE(""https://docs.google.com/spreadsheets/d/1MeEWN-I1oV_STSDYn1IFDPWt_1FKiwhDph83XaGc0o0/edit?usp=sharing"",""งบพรบ!EO115"")"),0)</f>
        <v>0</v>
      </c>
      <c r="G115" s="82">
        <f ca="1">IFERROR(__xludf.DUMMYFUNCTION("IMPORTRANGE(""https://docs.google.com/spreadsheets/d/1MeEWN-I1oV_STSDYn1IFDPWt_1FKiwhDph83XaGc0o0/edit?usp=sharing"",""งบพรบ!EP115"")"),0)</f>
        <v>0</v>
      </c>
      <c r="H115" s="82">
        <f ca="1">IFERROR(__xludf.DUMMYFUNCTION("IMPORTRANGE(""https://docs.google.com/spreadsheets/d/1MeEWN-I1oV_STSDYn1IFDPWt_1FKiwhDph83XaGc0o0/edit?usp=sharing"",""งบพรบ!ER115"")"),0)</f>
        <v>0</v>
      </c>
      <c r="I115" s="82">
        <f ca="1">IFERROR(__xludf.DUMMYFUNCTION("IMPORTRANGE(""https://docs.google.com/spreadsheets/d/1MeEWN-I1oV_STSDYn1IFDPWt_1FKiwhDph83XaGc0o0/edit?usp=sharing"",""งบพรบ!ES115"")"),0)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IFERROR(__xludf.DUMMYFUNCTION("IMPORTRANGE(""https://docs.google.com/spreadsheets/d/1MeEWN-I1oV_STSDYn1IFDPWt_1FKiwhDph83XaGc0o0/edit?usp=sharing"",""งบพรบ!ET115"")"),0)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IFERROR(__xludf.DUMMYFUNCTION("IMPORTRANGE(""https://docs.google.com/spreadsheets/d/1MeEWN-I1oV_STSDYn1IFDPWt_1FKiwhDph83XaGc0o0/edit?usp=sharing"",""งบพรบ!EU115"")"),0)</f>
        <v>0</v>
      </c>
      <c r="P115" s="85">
        <f t="shared" ca="1" si="24"/>
        <v>0</v>
      </c>
      <c r="Q115" s="84">
        <f t="shared" ca="1" si="8"/>
        <v>0</v>
      </c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47"/>
        <v>0</v>
      </c>
      <c r="E116" s="82">
        <f ca="1">IFERROR(__xludf.DUMMYFUNCTION("IMPORTRANGE(""https://docs.google.com/spreadsheets/d/1MeEWN-I1oV_STSDYn1IFDPWt_1FKiwhDph83XaGc0o0/edit?usp=sharing"",""งบพรบ!EN116"")"),0)</f>
        <v>0</v>
      </c>
      <c r="F116" s="82">
        <f ca="1">IFERROR(__xludf.DUMMYFUNCTION("IMPORTRANGE(""https://docs.google.com/spreadsheets/d/1MeEWN-I1oV_STSDYn1IFDPWt_1FKiwhDph83XaGc0o0/edit?usp=sharing"",""งบพรบ!EO116"")"),0)</f>
        <v>0</v>
      </c>
      <c r="G116" s="82">
        <f ca="1">IFERROR(__xludf.DUMMYFUNCTION("IMPORTRANGE(""https://docs.google.com/spreadsheets/d/1MeEWN-I1oV_STSDYn1IFDPWt_1FKiwhDph83XaGc0o0/edit?usp=sharing"",""งบพรบ!EP116"")"),0)</f>
        <v>0</v>
      </c>
      <c r="H116" s="82">
        <f ca="1">IFERROR(__xludf.DUMMYFUNCTION("IMPORTRANGE(""https://docs.google.com/spreadsheets/d/1MeEWN-I1oV_STSDYn1IFDPWt_1FKiwhDph83XaGc0o0/edit?usp=sharing"",""งบพรบ!ER116"")"),0)</f>
        <v>0</v>
      </c>
      <c r="I116" s="82">
        <f ca="1">IFERROR(__xludf.DUMMYFUNCTION("IMPORTRANGE(""https://docs.google.com/spreadsheets/d/1MeEWN-I1oV_STSDYn1IFDPWt_1FKiwhDph83XaGc0o0/edit?usp=sharing"",""งบพรบ!ES116"")"),0)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IFERROR(__xludf.DUMMYFUNCTION("IMPORTRANGE(""https://docs.google.com/spreadsheets/d/1MeEWN-I1oV_STSDYn1IFDPWt_1FKiwhDph83XaGc0o0/edit?usp=sharing"",""งบพรบ!ET116"")"),0)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IFERROR(__xludf.DUMMYFUNCTION("IMPORTRANGE(""https://docs.google.com/spreadsheets/d/1MeEWN-I1oV_STSDYn1IFDPWt_1FKiwhDph83XaGc0o0/edit?usp=sharing"",""งบพรบ!EU116"")"),0)</f>
        <v>0</v>
      </c>
      <c r="P116" s="85">
        <f t="shared" ca="1" si="24"/>
        <v>0</v>
      </c>
      <c r="Q116" s="84">
        <f t="shared" ca="1" si="8"/>
        <v>0</v>
      </c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6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6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6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6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6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6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6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6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6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6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6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1"/>
    </row>
    <row r="315" spans="1:20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1"/>
    </row>
    <row r="316" spans="1:20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1"/>
    </row>
    <row r="317" spans="1:20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1"/>
    </row>
    <row r="318" spans="1:20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1"/>
    </row>
    <row r="319" spans="1:20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1"/>
    </row>
    <row r="320" spans="1:20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1"/>
    </row>
    <row r="321" spans="1:20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1"/>
    </row>
    <row r="322" spans="1:20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1"/>
    </row>
    <row r="323" spans="1:20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1"/>
    </row>
    <row r="324" spans="1:20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1"/>
    </row>
    <row r="325" spans="1:20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1"/>
    </row>
    <row r="326" spans="1:20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1"/>
    </row>
    <row r="327" spans="1:20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1"/>
    </row>
    <row r="328" spans="1:20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1"/>
    </row>
    <row r="329" spans="1:20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1"/>
    </row>
    <row r="330" spans="1:20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1"/>
    </row>
    <row r="331" spans="1:20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1"/>
    </row>
    <row r="332" spans="1:20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1"/>
    </row>
    <row r="333" spans="1:20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1"/>
    </row>
    <row r="334" spans="1:20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1"/>
    </row>
    <row r="335" spans="1:20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1"/>
    </row>
    <row r="336" spans="1:20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1"/>
    </row>
    <row r="337" spans="1:20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1"/>
    </row>
    <row r="338" spans="1:20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1"/>
    </row>
    <row r="339" spans="1:20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1"/>
    </row>
    <row r="340" spans="1:20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1"/>
    </row>
    <row r="341" spans="1:20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1"/>
    </row>
    <row r="342" spans="1:20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1"/>
    </row>
    <row r="343" spans="1:20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1"/>
    </row>
    <row r="344" spans="1:20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1"/>
    </row>
    <row r="345" spans="1:20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1"/>
    </row>
    <row r="346" spans="1:20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1"/>
    </row>
    <row r="347" spans="1:20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1"/>
    </row>
    <row r="348" spans="1:20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1"/>
    </row>
    <row r="349" spans="1:20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1"/>
    </row>
    <row r="350" spans="1:20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1"/>
    </row>
    <row r="351" spans="1:20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1"/>
    </row>
    <row r="352" spans="1:20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1"/>
    </row>
    <row r="353" spans="1:20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1"/>
    </row>
    <row r="354" spans="1:20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1"/>
    </row>
    <row r="355" spans="1:20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1"/>
    </row>
    <row r="356" spans="1:20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1"/>
    </row>
    <row r="357" spans="1:20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1"/>
    </row>
    <row r="358" spans="1:20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1"/>
    </row>
    <row r="359" spans="1:20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1"/>
    </row>
    <row r="360" spans="1:20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1"/>
    </row>
    <row r="361" spans="1:20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1"/>
    </row>
    <row r="362" spans="1:20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1"/>
    </row>
    <row r="363" spans="1:20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1"/>
    </row>
    <row r="364" spans="1:20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1"/>
    </row>
    <row r="365" spans="1:20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1"/>
    </row>
    <row r="366" spans="1:20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1"/>
    </row>
    <row r="367" spans="1:20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1"/>
    </row>
    <row r="368" spans="1:20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1"/>
    </row>
    <row r="369" spans="1:20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1"/>
    </row>
    <row r="370" spans="1:20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1"/>
    </row>
    <row r="371" spans="1:20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1"/>
    </row>
    <row r="372" spans="1:20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1"/>
    </row>
    <row r="373" spans="1:20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1"/>
    </row>
    <row r="374" spans="1:20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1"/>
    </row>
    <row r="375" spans="1:20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1"/>
    </row>
    <row r="376" spans="1:20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1"/>
    </row>
    <row r="377" spans="1:20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1"/>
    </row>
    <row r="378" spans="1:20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1"/>
    </row>
    <row r="379" spans="1:20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1"/>
    </row>
    <row r="380" spans="1:20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1"/>
    </row>
    <row r="381" spans="1:20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1"/>
    </row>
    <row r="382" spans="1:20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1"/>
    </row>
    <row r="383" spans="1:20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1"/>
    </row>
    <row r="384" spans="1:20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1"/>
    </row>
    <row r="385" spans="1:20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1"/>
    </row>
    <row r="386" spans="1:20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1"/>
    </row>
    <row r="387" spans="1:20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1"/>
    </row>
    <row r="388" spans="1:20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1"/>
    </row>
    <row r="389" spans="1:20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1"/>
    </row>
    <row r="390" spans="1:20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1"/>
    </row>
    <row r="391" spans="1:20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1"/>
    </row>
    <row r="392" spans="1:20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1"/>
    </row>
    <row r="393" spans="1:20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1"/>
    </row>
    <row r="394" spans="1:20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1"/>
    </row>
    <row r="395" spans="1:20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1"/>
    </row>
    <row r="396" spans="1:20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1"/>
    </row>
    <row r="397" spans="1:20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1"/>
    </row>
    <row r="398" spans="1:20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1"/>
    </row>
    <row r="399" spans="1:20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1"/>
    </row>
    <row r="400" spans="1:20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1"/>
    </row>
    <row r="401" spans="1:20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1"/>
    </row>
    <row r="402" spans="1:20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1"/>
    </row>
    <row r="403" spans="1:20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1"/>
    </row>
    <row r="404" spans="1:20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1"/>
    </row>
    <row r="405" spans="1:20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1"/>
    </row>
    <row r="406" spans="1:20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1"/>
    </row>
    <row r="407" spans="1:20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1"/>
    </row>
    <row r="408" spans="1:20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1"/>
    </row>
    <row r="409" spans="1:20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1"/>
    </row>
    <row r="410" spans="1:20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1"/>
    </row>
    <row r="411" spans="1:20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1"/>
    </row>
    <row r="412" spans="1:20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1"/>
    </row>
    <row r="413" spans="1:20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1"/>
    </row>
    <row r="414" spans="1:20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1"/>
    </row>
    <row r="415" spans="1:20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1"/>
    </row>
    <row r="416" spans="1:20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1"/>
    </row>
    <row r="417" spans="1:20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1"/>
    </row>
    <row r="418" spans="1:20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1"/>
    </row>
    <row r="419" spans="1:20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1"/>
    </row>
    <row r="420" spans="1:20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1"/>
    </row>
    <row r="421" spans="1:20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1"/>
    </row>
    <row r="422" spans="1:20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1"/>
    </row>
    <row r="423" spans="1:20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1"/>
    </row>
    <row r="424" spans="1:20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1"/>
    </row>
    <row r="425" spans="1:20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1"/>
    </row>
    <row r="426" spans="1:20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1"/>
    </row>
    <row r="427" spans="1:20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1"/>
    </row>
    <row r="428" spans="1:20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1"/>
    </row>
    <row r="429" spans="1:20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1"/>
    </row>
    <row r="430" spans="1:20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1"/>
    </row>
    <row r="431" spans="1:20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1"/>
    </row>
    <row r="432" spans="1:20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1"/>
    </row>
    <row r="433" spans="1:20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1"/>
    </row>
    <row r="434" spans="1:20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1"/>
    </row>
    <row r="435" spans="1:20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1"/>
    </row>
    <row r="436" spans="1:20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1"/>
    </row>
    <row r="437" spans="1:20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1"/>
    </row>
    <row r="438" spans="1:20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1"/>
    </row>
    <row r="439" spans="1:20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1"/>
    </row>
    <row r="440" spans="1:20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1"/>
    </row>
    <row r="441" spans="1:20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1"/>
    </row>
    <row r="442" spans="1:20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1"/>
    </row>
    <row r="443" spans="1:20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1"/>
    </row>
    <row r="444" spans="1:20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1"/>
    </row>
    <row r="445" spans="1:20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1"/>
    </row>
    <row r="446" spans="1:20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1"/>
    </row>
    <row r="447" spans="1:20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1"/>
    </row>
    <row r="448" spans="1:20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1"/>
    </row>
    <row r="449" spans="1:20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1"/>
    </row>
    <row r="450" spans="1:20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1"/>
    </row>
    <row r="451" spans="1:20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1"/>
    </row>
    <row r="452" spans="1:20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1"/>
    </row>
    <row r="453" spans="1:20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1"/>
    </row>
    <row r="454" spans="1:20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1"/>
    </row>
    <row r="455" spans="1:20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1"/>
    </row>
    <row r="456" spans="1:20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1"/>
    </row>
    <row r="457" spans="1:20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1"/>
    </row>
    <row r="458" spans="1:20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1"/>
    </row>
    <row r="459" spans="1:20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1"/>
    </row>
    <row r="460" spans="1:20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1"/>
    </row>
    <row r="461" spans="1:20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1"/>
    </row>
    <row r="462" spans="1:20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1"/>
    </row>
    <row r="463" spans="1:20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1"/>
    </row>
    <row r="464" spans="1:20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1"/>
    </row>
    <row r="465" spans="1:20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1"/>
    </row>
    <row r="466" spans="1:20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1"/>
    </row>
    <row r="467" spans="1:20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1"/>
    </row>
    <row r="468" spans="1:20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1"/>
    </row>
    <row r="469" spans="1:20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1"/>
    </row>
    <row r="470" spans="1:20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1"/>
    </row>
    <row r="471" spans="1:20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1"/>
    </row>
    <row r="472" spans="1:20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1"/>
    </row>
    <row r="473" spans="1:20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1"/>
    </row>
    <row r="474" spans="1:20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1"/>
    </row>
    <row r="475" spans="1:20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1"/>
    </row>
    <row r="476" spans="1:20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1"/>
    </row>
    <row r="477" spans="1:20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1"/>
    </row>
    <row r="478" spans="1:20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1"/>
    </row>
    <row r="479" spans="1:20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1"/>
    </row>
    <row r="480" spans="1:20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1"/>
    </row>
    <row r="481" spans="1:20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1"/>
    </row>
    <row r="482" spans="1:20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1"/>
    </row>
    <row r="483" spans="1:20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1"/>
    </row>
    <row r="484" spans="1:20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1"/>
    </row>
    <row r="485" spans="1:20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1"/>
    </row>
    <row r="486" spans="1:20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1"/>
    </row>
    <row r="487" spans="1:20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1"/>
    </row>
    <row r="488" spans="1:20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1"/>
    </row>
    <row r="489" spans="1:20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1"/>
    </row>
    <row r="490" spans="1:20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1"/>
    </row>
    <row r="491" spans="1:20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1"/>
    </row>
    <row r="492" spans="1:20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1"/>
    </row>
    <row r="493" spans="1:20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1"/>
    </row>
    <row r="494" spans="1:20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1"/>
    </row>
    <row r="495" spans="1:20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1"/>
    </row>
    <row r="496" spans="1:20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1"/>
    </row>
    <row r="497" spans="1:20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1"/>
    </row>
    <row r="498" spans="1:20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1"/>
    </row>
    <row r="499" spans="1:20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1"/>
    </row>
    <row r="500" spans="1:20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1"/>
    </row>
    <row r="501" spans="1:20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1"/>
    </row>
    <row r="502" spans="1:20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1"/>
    </row>
    <row r="503" spans="1:20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1"/>
    </row>
    <row r="504" spans="1:20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1"/>
    </row>
    <row r="505" spans="1:20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1"/>
    </row>
    <row r="506" spans="1:20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1"/>
    </row>
    <row r="507" spans="1:20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1"/>
    </row>
    <row r="508" spans="1:20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1"/>
    </row>
    <row r="509" spans="1:20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1"/>
    </row>
    <row r="510" spans="1:20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1"/>
    </row>
    <row r="511" spans="1:20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1"/>
    </row>
    <row r="512" spans="1:20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1"/>
    </row>
    <row r="513" spans="1:20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1"/>
    </row>
    <row r="514" spans="1:20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1"/>
    </row>
    <row r="515" spans="1:20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1"/>
    </row>
    <row r="516" spans="1:20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1"/>
    </row>
    <row r="517" spans="1:20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1"/>
    </row>
    <row r="518" spans="1:20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1"/>
    </row>
    <row r="519" spans="1:20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1"/>
    </row>
    <row r="520" spans="1:20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1"/>
    </row>
    <row r="521" spans="1:20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1"/>
    </row>
    <row r="522" spans="1:20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1"/>
    </row>
    <row r="523" spans="1:20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1"/>
    </row>
    <row r="524" spans="1:20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1"/>
    </row>
    <row r="525" spans="1:20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1"/>
    </row>
    <row r="526" spans="1:20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1"/>
    </row>
    <row r="527" spans="1:20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1"/>
    </row>
    <row r="528" spans="1:20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1"/>
    </row>
    <row r="529" spans="1:20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1"/>
    </row>
    <row r="530" spans="1:20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1"/>
    </row>
    <row r="531" spans="1:20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1"/>
    </row>
    <row r="532" spans="1:20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1"/>
    </row>
    <row r="533" spans="1:20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1"/>
    </row>
    <row r="534" spans="1:20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1"/>
    </row>
    <row r="535" spans="1:20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1"/>
    </row>
    <row r="536" spans="1:20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1"/>
    </row>
    <row r="537" spans="1:20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1"/>
    </row>
    <row r="538" spans="1:20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1"/>
    </row>
    <row r="539" spans="1:20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1"/>
    </row>
    <row r="540" spans="1:20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1"/>
    </row>
    <row r="541" spans="1:20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1"/>
    </row>
    <row r="542" spans="1:20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1"/>
    </row>
    <row r="543" spans="1:20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1"/>
    </row>
    <row r="544" spans="1:20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1"/>
    </row>
    <row r="545" spans="1:20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1"/>
    </row>
    <row r="546" spans="1:20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1"/>
    </row>
    <row r="547" spans="1:20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1"/>
    </row>
    <row r="548" spans="1:20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1"/>
    </row>
    <row r="549" spans="1:20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1"/>
    </row>
    <row r="550" spans="1:20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1"/>
    </row>
    <row r="551" spans="1:20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1"/>
    </row>
    <row r="552" spans="1:20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1"/>
    </row>
    <row r="553" spans="1:20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1"/>
    </row>
    <row r="554" spans="1:20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1"/>
    </row>
    <row r="555" spans="1:20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1"/>
    </row>
    <row r="556" spans="1:20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1"/>
    </row>
    <row r="557" spans="1:20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1"/>
    </row>
    <row r="558" spans="1:20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1"/>
    </row>
    <row r="559" spans="1:20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1"/>
    </row>
    <row r="560" spans="1:20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1"/>
    </row>
    <row r="561" spans="1:20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1"/>
    </row>
    <row r="562" spans="1:20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1"/>
    </row>
    <row r="563" spans="1:20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1"/>
    </row>
    <row r="564" spans="1:20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1"/>
    </row>
    <row r="565" spans="1:20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1"/>
    </row>
    <row r="566" spans="1:20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1"/>
    </row>
    <row r="567" spans="1:20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1"/>
    </row>
    <row r="568" spans="1:20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1"/>
    </row>
    <row r="569" spans="1:20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1"/>
    </row>
    <row r="570" spans="1:20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1"/>
    </row>
    <row r="571" spans="1:20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1"/>
    </row>
    <row r="572" spans="1:20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1"/>
    </row>
    <row r="573" spans="1:20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1"/>
    </row>
    <row r="574" spans="1:20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1"/>
    </row>
    <row r="575" spans="1:20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1"/>
    </row>
    <row r="576" spans="1:20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1"/>
    </row>
    <row r="577" spans="1:20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1"/>
    </row>
    <row r="578" spans="1:20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1"/>
    </row>
    <row r="579" spans="1:20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1"/>
    </row>
    <row r="580" spans="1:20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1"/>
    </row>
    <row r="581" spans="1:20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1"/>
    </row>
    <row r="582" spans="1:20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1"/>
    </row>
    <row r="583" spans="1:20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1"/>
    </row>
    <row r="584" spans="1:20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1"/>
    </row>
    <row r="585" spans="1:20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1"/>
    </row>
    <row r="586" spans="1:20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1"/>
    </row>
    <row r="587" spans="1:20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1"/>
    </row>
    <row r="588" spans="1:20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1"/>
    </row>
    <row r="589" spans="1:20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1"/>
    </row>
    <row r="590" spans="1:20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1"/>
    </row>
    <row r="591" spans="1:20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1"/>
    </row>
    <row r="592" spans="1:20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1"/>
    </row>
    <row r="593" spans="1:20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1"/>
    </row>
    <row r="594" spans="1:20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1"/>
    </row>
    <row r="595" spans="1:20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1"/>
    </row>
    <row r="596" spans="1:20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1"/>
    </row>
    <row r="597" spans="1:20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1"/>
    </row>
    <row r="598" spans="1:20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1"/>
    </row>
    <row r="599" spans="1:20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1"/>
    </row>
    <row r="600" spans="1:20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1"/>
    </row>
    <row r="601" spans="1:20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1"/>
    </row>
    <row r="602" spans="1:20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1"/>
    </row>
    <row r="603" spans="1:20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1"/>
    </row>
    <row r="604" spans="1:20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1"/>
    </row>
    <row r="605" spans="1:20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1"/>
    </row>
    <row r="606" spans="1:20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1"/>
    </row>
    <row r="607" spans="1:20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1"/>
    </row>
    <row r="608" spans="1:20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1"/>
    </row>
    <row r="609" spans="1:20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1"/>
    </row>
    <row r="610" spans="1:20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1"/>
    </row>
    <row r="611" spans="1:20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1"/>
    </row>
    <row r="612" spans="1:20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1"/>
    </row>
    <row r="613" spans="1:20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1"/>
    </row>
    <row r="614" spans="1:20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1"/>
    </row>
    <row r="615" spans="1:20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1"/>
    </row>
    <row r="616" spans="1:20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1"/>
    </row>
    <row r="617" spans="1:20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1"/>
    </row>
    <row r="618" spans="1:20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1"/>
    </row>
    <row r="619" spans="1:20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1"/>
    </row>
    <row r="620" spans="1:20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1"/>
    </row>
    <row r="621" spans="1:20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1"/>
    </row>
    <row r="622" spans="1:20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1"/>
    </row>
    <row r="623" spans="1:20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1"/>
    </row>
    <row r="624" spans="1:20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1"/>
    </row>
    <row r="625" spans="1:20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1"/>
    </row>
    <row r="626" spans="1:20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1"/>
    </row>
    <row r="627" spans="1:20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1"/>
    </row>
    <row r="628" spans="1:20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1"/>
    </row>
    <row r="629" spans="1:20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1"/>
    </row>
    <row r="630" spans="1:20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1"/>
    </row>
    <row r="631" spans="1:20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1"/>
    </row>
    <row r="632" spans="1:20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1"/>
    </row>
    <row r="633" spans="1:20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1"/>
    </row>
    <row r="634" spans="1:20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1"/>
    </row>
    <row r="635" spans="1:20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1"/>
    </row>
    <row r="636" spans="1:20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1"/>
    </row>
    <row r="637" spans="1:20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1"/>
    </row>
    <row r="638" spans="1:20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1"/>
    </row>
    <row r="639" spans="1:20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1"/>
    </row>
    <row r="640" spans="1:20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1"/>
    </row>
    <row r="641" spans="1:20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1"/>
    </row>
    <row r="642" spans="1:20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1"/>
    </row>
    <row r="643" spans="1:20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1"/>
    </row>
    <row r="644" spans="1:20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1"/>
    </row>
    <row r="645" spans="1:20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1"/>
    </row>
    <row r="646" spans="1:20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1"/>
    </row>
    <row r="647" spans="1:20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1"/>
    </row>
    <row r="648" spans="1:20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1"/>
    </row>
    <row r="649" spans="1:20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1"/>
    </row>
    <row r="650" spans="1:20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1"/>
    </row>
    <row r="651" spans="1:20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1"/>
    </row>
    <row r="652" spans="1:20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1"/>
    </row>
    <row r="653" spans="1:20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1"/>
    </row>
    <row r="654" spans="1:20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1"/>
    </row>
    <row r="655" spans="1:20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1"/>
    </row>
    <row r="656" spans="1:20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1"/>
    </row>
    <row r="657" spans="1:20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1"/>
    </row>
    <row r="658" spans="1:20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1"/>
    </row>
    <row r="659" spans="1:20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1"/>
    </row>
    <row r="660" spans="1:20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1"/>
    </row>
    <row r="661" spans="1:20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1"/>
    </row>
    <row r="662" spans="1:20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1"/>
    </row>
    <row r="663" spans="1:20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1"/>
    </row>
    <row r="664" spans="1:20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1"/>
    </row>
    <row r="665" spans="1:20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1"/>
    </row>
    <row r="666" spans="1:20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1"/>
    </row>
    <row r="667" spans="1:20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1"/>
    </row>
    <row r="668" spans="1:20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1"/>
    </row>
    <row r="669" spans="1:20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1"/>
    </row>
    <row r="670" spans="1:20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1"/>
    </row>
    <row r="671" spans="1:20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1"/>
    </row>
    <row r="672" spans="1:20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1"/>
    </row>
    <row r="673" spans="1:20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1"/>
    </row>
    <row r="674" spans="1:20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1"/>
    </row>
    <row r="675" spans="1:20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1"/>
    </row>
    <row r="676" spans="1:20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1"/>
    </row>
    <row r="677" spans="1:20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1"/>
    </row>
    <row r="678" spans="1:20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1"/>
    </row>
    <row r="679" spans="1:20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1"/>
    </row>
    <row r="680" spans="1:20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1"/>
    </row>
    <row r="681" spans="1:20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1"/>
    </row>
    <row r="682" spans="1:20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1"/>
    </row>
    <row r="683" spans="1:20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1"/>
    </row>
    <row r="684" spans="1:20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1"/>
    </row>
    <row r="685" spans="1:20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1"/>
    </row>
    <row r="686" spans="1:20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1"/>
    </row>
    <row r="687" spans="1:20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1"/>
    </row>
    <row r="688" spans="1:20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1"/>
    </row>
    <row r="689" spans="1:20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1"/>
    </row>
    <row r="690" spans="1:20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1"/>
    </row>
    <row r="691" spans="1:20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1"/>
    </row>
    <row r="692" spans="1:20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1"/>
    </row>
    <row r="693" spans="1:20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1"/>
    </row>
    <row r="694" spans="1:20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1"/>
    </row>
    <row r="695" spans="1:20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1"/>
    </row>
    <row r="696" spans="1:20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1"/>
    </row>
    <row r="697" spans="1:20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1"/>
    </row>
    <row r="698" spans="1:20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1"/>
    </row>
    <row r="699" spans="1:20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1"/>
    </row>
    <row r="700" spans="1:20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1"/>
    </row>
    <row r="701" spans="1:20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1"/>
    </row>
    <row r="702" spans="1:20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1"/>
    </row>
    <row r="703" spans="1:20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1"/>
    </row>
    <row r="704" spans="1:20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1"/>
    </row>
    <row r="705" spans="1:20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1"/>
    </row>
    <row r="706" spans="1:20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1"/>
    </row>
    <row r="707" spans="1:20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1"/>
    </row>
    <row r="708" spans="1:20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1"/>
    </row>
    <row r="709" spans="1:20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1"/>
    </row>
    <row r="710" spans="1:20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1"/>
    </row>
    <row r="711" spans="1:20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1"/>
    </row>
    <row r="712" spans="1:20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1"/>
    </row>
    <row r="713" spans="1:20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1"/>
    </row>
    <row r="714" spans="1:20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1"/>
    </row>
    <row r="715" spans="1:20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1"/>
    </row>
    <row r="716" spans="1:20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1"/>
    </row>
    <row r="717" spans="1:20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1"/>
    </row>
    <row r="718" spans="1:20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1"/>
    </row>
    <row r="719" spans="1:20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1"/>
    </row>
    <row r="720" spans="1:20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1"/>
    </row>
    <row r="721" spans="1:20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1"/>
    </row>
    <row r="722" spans="1:20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1"/>
    </row>
    <row r="723" spans="1:20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1"/>
    </row>
    <row r="724" spans="1:20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1"/>
    </row>
    <row r="725" spans="1:20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1"/>
    </row>
    <row r="726" spans="1:20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1"/>
    </row>
    <row r="727" spans="1:20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1"/>
    </row>
    <row r="728" spans="1:20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1"/>
    </row>
    <row r="729" spans="1:20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1"/>
    </row>
    <row r="730" spans="1:20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1"/>
    </row>
    <row r="731" spans="1:20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1"/>
    </row>
    <row r="732" spans="1:20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1"/>
    </row>
    <row r="733" spans="1:20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1"/>
    </row>
    <row r="734" spans="1:20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1"/>
    </row>
    <row r="735" spans="1:20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1"/>
    </row>
    <row r="736" spans="1:20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1"/>
    </row>
    <row r="737" spans="1:20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1"/>
    </row>
    <row r="738" spans="1:20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1"/>
    </row>
    <row r="739" spans="1:20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1"/>
    </row>
    <row r="740" spans="1:20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1"/>
    </row>
    <row r="741" spans="1:20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1"/>
    </row>
    <row r="742" spans="1:20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1"/>
    </row>
    <row r="743" spans="1:20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1"/>
    </row>
    <row r="744" spans="1:20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1"/>
    </row>
    <row r="745" spans="1:20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1"/>
    </row>
    <row r="746" spans="1:20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1"/>
    </row>
    <row r="747" spans="1:20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1"/>
    </row>
    <row r="748" spans="1:20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1"/>
    </row>
    <row r="749" spans="1:20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1"/>
    </row>
    <row r="750" spans="1:20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1"/>
    </row>
    <row r="751" spans="1:20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1"/>
    </row>
    <row r="752" spans="1:20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1"/>
    </row>
    <row r="753" spans="1:20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1"/>
    </row>
    <row r="754" spans="1:20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1"/>
    </row>
    <row r="755" spans="1:20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1"/>
    </row>
    <row r="756" spans="1:20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1"/>
    </row>
    <row r="757" spans="1:20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1"/>
    </row>
    <row r="758" spans="1:20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1"/>
    </row>
    <row r="759" spans="1:20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1"/>
    </row>
    <row r="760" spans="1:20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1"/>
    </row>
    <row r="761" spans="1:20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1"/>
    </row>
    <row r="762" spans="1:20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1"/>
    </row>
    <row r="763" spans="1:20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1"/>
    </row>
    <row r="764" spans="1:20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1"/>
    </row>
    <row r="765" spans="1:20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1"/>
    </row>
    <row r="766" spans="1:20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1"/>
    </row>
    <row r="767" spans="1:20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1"/>
    </row>
    <row r="768" spans="1:20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1"/>
    </row>
    <row r="769" spans="1:20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1"/>
    </row>
    <row r="770" spans="1:20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1"/>
    </row>
    <row r="771" spans="1:20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1"/>
    </row>
    <row r="772" spans="1:20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1"/>
    </row>
    <row r="773" spans="1:20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1"/>
    </row>
    <row r="774" spans="1:20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1"/>
    </row>
    <row r="775" spans="1:20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1"/>
    </row>
    <row r="776" spans="1:20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1"/>
    </row>
    <row r="777" spans="1:20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1"/>
    </row>
    <row r="778" spans="1:20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1"/>
    </row>
    <row r="779" spans="1:20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1"/>
    </row>
    <row r="780" spans="1:20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1"/>
    </row>
    <row r="781" spans="1:20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1"/>
    </row>
    <row r="782" spans="1:20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1"/>
    </row>
    <row r="783" spans="1:20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1"/>
    </row>
    <row r="784" spans="1:20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1"/>
    </row>
    <row r="785" spans="1:20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1"/>
    </row>
    <row r="786" spans="1:20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1"/>
    </row>
    <row r="787" spans="1:20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1"/>
    </row>
    <row r="788" spans="1:20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1"/>
    </row>
    <row r="789" spans="1:20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1"/>
    </row>
    <row r="790" spans="1:20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1"/>
    </row>
    <row r="791" spans="1:20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1"/>
    </row>
    <row r="792" spans="1:20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1"/>
    </row>
    <row r="793" spans="1:20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1"/>
    </row>
    <row r="794" spans="1:20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1"/>
    </row>
    <row r="795" spans="1:20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1"/>
    </row>
    <row r="796" spans="1:20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1"/>
    </row>
    <row r="797" spans="1:20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1"/>
    </row>
    <row r="798" spans="1:20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1"/>
    </row>
    <row r="799" spans="1:20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1"/>
    </row>
    <row r="800" spans="1:20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1"/>
    </row>
    <row r="801" spans="1:20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1"/>
    </row>
    <row r="802" spans="1:20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1"/>
    </row>
    <row r="803" spans="1:20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1"/>
    </row>
    <row r="804" spans="1:20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1"/>
    </row>
    <row r="805" spans="1:20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1"/>
    </row>
    <row r="806" spans="1:20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1"/>
    </row>
    <row r="807" spans="1:20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1"/>
    </row>
    <row r="808" spans="1:20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1"/>
    </row>
    <row r="809" spans="1:20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1"/>
    </row>
    <row r="810" spans="1:20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1"/>
    </row>
    <row r="811" spans="1:20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1"/>
    </row>
    <row r="812" spans="1:20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1"/>
    </row>
    <row r="813" spans="1:20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1"/>
    </row>
    <row r="814" spans="1:20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1"/>
    </row>
    <row r="815" spans="1:20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1"/>
    </row>
    <row r="816" spans="1:20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1"/>
    </row>
    <row r="817" spans="1:20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1"/>
    </row>
    <row r="818" spans="1:20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1"/>
    </row>
    <row r="819" spans="1:20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1"/>
    </row>
    <row r="820" spans="1:20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1"/>
    </row>
    <row r="821" spans="1:20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1"/>
    </row>
    <row r="822" spans="1:20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1"/>
    </row>
    <row r="823" spans="1:20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1"/>
    </row>
    <row r="824" spans="1:20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1"/>
    </row>
    <row r="825" spans="1:20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1"/>
    </row>
    <row r="826" spans="1:20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1"/>
    </row>
    <row r="827" spans="1:20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1"/>
    </row>
    <row r="828" spans="1:20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1"/>
    </row>
    <row r="829" spans="1:20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1"/>
    </row>
    <row r="830" spans="1:20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1"/>
    </row>
    <row r="831" spans="1:20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1"/>
    </row>
    <row r="832" spans="1:20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1"/>
    </row>
    <row r="833" spans="1:20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1"/>
    </row>
    <row r="834" spans="1:20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1"/>
    </row>
    <row r="835" spans="1:20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1"/>
    </row>
    <row r="836" spans="1:20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1"/>
    </row>
    <row r="837" spans="1:20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1"/>
    </row>
    <row r="838" spans="1:20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1"/>
    </row>
    <row r="839" spans="1:20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1"/>
    </row>
    <row r="840" spans="1:20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1"/>
    </row>
    <row r="841" spans="1:20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1"/>
    </row>
    <row r="842" spans="1:20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1"/>
    </row>
    <row r="843" spans="1:20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1"/>
    </row>
    <row r="844" spans="1:20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1"/>
    </row>
    <row r="845" spans="1:20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1"/>
    </row>
    <row r="846" spans="1:20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1"/>
    </row>
    <row r="847" spans="1:20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1"/>
    </row>
    <row r="848" spans="1:20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1"/>
    </row>
    <row r="849" spans="1:20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1"/>
    </row>
    <row r="850" spans="1:20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1"/>
    </row>
    <row r="851" spans="1:20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1"/>
    </row>
    <row r="852" spans="1:20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1"/>
    </row>
    <row r="853" spans="1:20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1"/>
    </row>
    <row r="854" spans="1:20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1"/>
    </row>
    <row r="855" spans="1:20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1"/>
    </row>
    <row r="856" spans="1:20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1"/>
    </row>
    <row r="857" spans="1:20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1"/>
    </row>
    <row r="858" spans="1:20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1"/>
    </row>
    <row r="859" spans="1:20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1"/>
    </row>
    <row r="860" spans="1:20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1"/>
    </row>
    <row r="861" spans="1:20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1"/>
    </row>
    <row r="862" spans="1:20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1"/>
    </row>
    <row r="863" spans="1:20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1"/>
    </row>
    <row r="864" spans="1:20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1"/>
    </row>
    <row r="865" spans="1:20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1"/>
    </row>
    <row r="866" spans="1:20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1"/>
    </row>
    <row r="867" spans="1:20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1"/>
    </row>
    <row r="868" spans="1:20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1"/>
    </row>
    <row r="869" spans="1:20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1"/>
    </row>
    <row r="870" spans="1:20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1"/>
    </row>
    <row r="871" spans="1:20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1"/>
    </row>
    <row r="872" spans="1:20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1"/>
    </row>
    <row r="873" spans="1:20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1"/>
    </row>
    <row r="874" spans="1:20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1"/>
    </row>
    <row r="875" spans="1:20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1"/>
    </row>
    <row r="876" spans="1:20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1"/>
    </row>
    <row r="877" spans="1:20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1"/>
    </row>
    <row r="878" spans="1:20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1"/>
    </row>
    <row r="879" spans="1:20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1"/>
    </row>
    <row r="880" spans="1:20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1"/>
    </row>
    <row r="881" spans="1:20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1"/>
    </row>
    <row r="882" spans="1:20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1"/>
    </row>
    <row r="883" spans="1:20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1"/>
    </row>
    <row r="884" spans="1:20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1"/>
    </row>
    <row r="885" spans="1:20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1"/>
    </row>
    <row r="886" spans="1:20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1"/>
    </row>
    <row r="887" spans="1:20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1"/>
    </row>
    <row r="888" spans="1:20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1"/>
    </row>
    <row r="889" spans="1:20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1"/>
    </row>
    <row r="890" spans="1:20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1"/>
    </row>
    <row r="891" spans="1:20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1"/>
    </row>
    <row r="892" spans="1:20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1"/>
    </row>
    <row r="893" spans="1:20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1"/>
    </row>
    <row r="894" spans="1:20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1"/>
    </row>
    <row r="895" spans="1:20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1"/>
    </row>
    <row r="896" spans="1:20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1"/>
    </row>
    <row r="897" spans="1:20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1"/>
    </row>
    <row r="898" spans="1:20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1"/>
    </row>
    <row r="899" spans="1:20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1"/>
    </row>
    <row r="900" spans="1:20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1"/>
    </row>
    <row r="901" spans="1:20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1"/>
    </row>
    <row r="902" spans="1:20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1"/>
    </row>
    <row r="903" spans="1:20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1"/>
    </row>
    <row r="904" spans="1:20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1"/>
    </row>
    <row r="905" spans="1:20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1"/>
    </row>
    <row r="906" spans="1:20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1"/>
    </row>
    <row r="907" spans="1:20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1"/>
    </row>
    <row r="908" spans="1:20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1"/>
    </row>
    <row r="909" spans="1:20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1"/>
    </row>
    <row r="910" spans="1:20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1"/>
    </row>
    <row r="911" spans="1:20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1"/>
    </row>
    <row r="912" spans="1:20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1"/>
    </row>
    <row r="913" spans="1:20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1"/>
    </row>
    <row r="914" spans="1:20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1"/>
    </row>
    <row r="915" spans="1:20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1"/>
    </row>
    <row r="916" spans="1:20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1"/>
    </row>
    <row r="917" spans="1:20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1"/>
    </row>
    <row r="918" spans="1:20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1"/>
    </row>
    <row r="919" spans="1:20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1"/>
    </row>
    <row r="920" spans="1:20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1"/>
    </row>
    <row r="921" spans="1:20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1"/>
    </row>
    <row r="922" spans="1:20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1"/>
    </row>
    <row r="923" spans="1:20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1"/>
    </row>
    <row r="924" spans="1:20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1"/>
    </row>
    <row r="925" spans="1:20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1"/>
    </row>
    <row r="926" spans="1:20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1"/>
    </row>
    <row r="927" spans="1:20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1"/>
    </row>
    <row r="928" spans="1:20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1"/>
    </row>
    <row r="929" spans="1:20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1"/>
    </row>
    <row r="930" spans="1:20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1"/>
    </row>
    <row r="931" spans="1:20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1"/>
    </row>
    <row r="932" spans="1:20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1"/>
    </row>
    <row r="933" spans="1:20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1"/>
    </row>
    <row r="934" spans="1:20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1"/>
    </row>
    <row r="935" spans="1:20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1"/>
    </row>
    <row r="936" spans="1:20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1"/>
    </row>
    <row r="937" spans="1:20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1"/>
    </row>
    <row r="938" spans="1:20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1"/>
    </row>
    <row r="939" spans="1:20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1"/>
    </row>
    <row r="940" spans="1:20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1"/>
    </row>
    <row r="941" spans="1:20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1"/>
    </row>
    <row r="942" spans="1:20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1"/>
    </row>
    <row r="943" spans="1:20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1"/>
    </row>
    <row r="944" spans="1:20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1"/>
    </row>
    <row r="945" spans="1:20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1"/>
    </row>
    <row r="946" spans="1:20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1"/>
    </row>
    <row r="947" spans="1:20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1"/>
    </row>
    <row r="948" spans="1:20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1"/>
    </row>
    <row r="949" spans="1:20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1"/>
    </row>
    <row r="950" spans="1:20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1"/>
    </row>
    <row r="951" spans="1:20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1"/>
    </row>
    <row r="952" spans="1:20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1"/>
    </row>
    <row r="953" spans="1:20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1"/>
    </row>
    <row r="954" spans="1:20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1"/>
    </row>
    <row r="955" spans="1:20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1"/>
    </row>
    <row r="956" spans="1:20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1"/>
    </row>
    <row r="957" spans="1:20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1"/>
    </row>
    <row r="958" spans="1:20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1"/>
    </row>
    <row r="959" spans="1:20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1"/>
    </row>
    <row r="960" spans="1:20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1"/>
    </row>
    <row r="961" spans="1:20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1"/>
    </row>
    <row r="962" spans="1:20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1"/>
    </row>
    <row r="963" spans="1:20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1"/>
    </row>
    <row r="964" spans="1:20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1"/>
    </row>
    <row r="965" spans="1:20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1"/>
    </row>
    <row r="966" spans="1:20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1"/>
    </row>
    <row r="967" spans="1:20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1"/>
    </row>
    <row r="968" spans="1:20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1"/>
    </row>
    <row r="969" spans="1:20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1"/>
    </row>
    <row r="970" spans="1:20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1"/>
    </row>
    <row r="971" spans="1:20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1"/>
    </row>
    <row r="972" spans="1:20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1"/>
    </row>
    <row r="973" spans="1:20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1"/>
    </row>
    <row r="974" spans="1:20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1"/>
    </row>
    <row r="975" spans="1:20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1"/>
    </row>
    <row r="976" spans="1:20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1"/>
    </row>
    <row r="977" spans="1:20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1"/>
    </row>
    <row r="978" spans="1:20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1"/>
    </row>
    <row r="979" spans="1:20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1"/>
    </row>
    <row r="980" spans="1:20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1"/>
    </row>
    <row r="981" spans="1:20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1"/>
    </row>
    <row r="982" spans="1:20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1"/>
    </row>
    <row r="983" spans="1:20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1"/>
    </row>
    <row r="984" spans="1:20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1"/>
    </row>
    <row r="985" spans="1:20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1"/>
    </row>
    <row r="986" spans="1:20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1"/>
    </row>
    <row r="987" spans="1:20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1"/>
    </row>
    <row r="988" spans="1:20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1"/>
    </row>
    <row r="989" spans="1:20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1"/>
    </row>
    <row r="990" spans="1:20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1"/>
    </row>
    <row r="991" spans="1:20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1"/>
    </row>
    <row r="992" spans="1:20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1"/>
    </row>
    <row r="993" spans="1:20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1"/>
    </row>
    <row r="994" spans="1:20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1"/>
    </row>
    <row r="995" spans="1:20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1"/>
    </row>
    <row r="996" spans="1:20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1"/>
    </row>
    <row r="997" spans="1:20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1"/>
    </row>
    <row r="998" spans="1:20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1"/>
    </row>
    <row r="999" spans="1:20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1"/>
    </row>
  </sheetData>
  <mergeCells count="27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S5:T5"/>
    <mergeCell ref="C2:Z2"/>
    <mergeCell ref="C3:Q3"/>
    <mergeCell ref="R3:T4"/>
    <mergeCell ref="U3:X4"/>
    <mergeCell ref="Y3:Y5"/>
    <mergeCell ref="Z3:Z5"/>
    <mergeCell ref="J4:Q4"/>
    <mergeCell ref="V5:W5"/>
    <mergeCell ref="F5:F6"/>
    <mergeCell ref="G5:G6"/>
    <mergeCell ref="C4:G4"/>
    <mergeCell ref="H4:I4"/>
    <mergeCell ref="J5:K5"/>
    <mergeCell ref="L5:N5"/>
    <mergeCell ref="O5:Q5"/>
  </mergeCells>
  <printOptions horizontalCentered="1"/>
  <pageMargins left="0.23622047244094491" right="0.23622047244094491" top="0.74803149606299213" bottom="0.74803149606299213" header="0" footer="0"/>
  <pageSetup paperSize="9" scale="38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D999"/>
  <sheetViews>
    <sheetView view="pageBreakPreview" zoomScale="60" zoomScaleNormal="100" workbookViewId="0">
      <pane xSplit="2" ySplit="7" topLeftCell="C25" activePane="bottomRight" state="frozen"/>
      <selection activeCell="J17" sqref="J17"/>
      <selection pane="topRight" activeCell="J17" sqref="J17"/>
      <selection pane="bottomLeft" activeCell="J17" sqref="J17"/>
      <selection pane="bottomRight" activeCell="AY14" sqref="AY14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9" width="16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56" width="12.5703125" customWidth="1"/>
  </cols>
  <sheetData>
    <row r="1" spans="1:56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</row>
    <row r="2" spans="1:56" ht="24" customHeight="1" x14ac:dyDescent="0.2">
      <c r="A2" s="382" t="s">
        <v>1</v>
      </c>
      <c r="B2" s="383"/>
      <c r="C2" s="352" t="s">
        <v>223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4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6"/>
      <c r="AS2" s="346"/>
      <c r="AT2" s="346"/>
      <c r="AU2" s="346"/>
      <c r="AV2" s="346"/>
      <c r="AW2" s="346"/>
      <c r="AX2" s="346"/>
      <c r="AY2" s="346"/>
      <c r="AZ2" s="346"/>
      <c r="BA2" s="346"/>
      <c r="BB2" s="346"/>
      <c r="BC2" s="346"/>
      <c r="BD2" s="346"/>
    </row>
    <row r="3" spans="1:56" ht="45" customHeight="1" x14ac:dyDescent="0.2">
      <c r="A3" s="384"/>
      <c r="B3" s="385"/>
      <c r="C3" s="355" t="s">
        <v>3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467" t="s">
        <v>224</v>
      </c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2"/>
      <c r="AD3" s="468" t="s">
        <v>225</v>
      </c>
      <c r="AE3" s="463"/>
      <c r="AF3" s="462"/>
      <c r="AG3" s="469" t="s">
        <v>226</v>
      </c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2"/>
      <c r="AS3" s="470" t="s">
        <v>227</v>
      </c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2"/>
    </row>
    <row r="4" spans="1:56" ht="30" customHeight="1" x14ac:dyDescent="0.2">
      <c r="A4" s="384"/>
      <c r="B4" s="385"/>
      <c r="C4" s="366" t="s">
        <v>6</v>
      </c>
      <c r="D4" s="356"/>
      <c r="E4" s="356"/>
      <c r="F4" s="356"/>
      <c r="G4" s="359"/>
      <c r="H4" s="367" t="s">
        <v>7</v>
      </c>
      <c r="I4" s="359"/>
      <c r="J4" s="371" t="s">
        <v>8</v>
      </c>
      <c r="K4" s="356"/>
      <c r="L4" s="356"/>
      <c r="M4" s="356"/>
      <c r="N4" s="356"/>
      <c r="O4" s="356"/>
      <c r="P4" s="356"/>
      <c r="Q4" s="359"/>
      <c r="R4" s="358" t="s">
        <v>228</v>
      </c>
      <c r="S4" s="356"/>
      <c r="T4" s="356"/>
      <c r="U4" s="359"/>
      <c r="V4" s="358" t="s">
        <v>229</v>
      </c>
      <c r="W4" s="356"/>
      <c r="X4" s="356"/>
      <c r="Y4" s="359"/>
      <c r="Z4" s="358" t="s">
        <v>230</v>
      </c>
      <c r="AA4" s="356"/>
      <c r="AB4" s="356"/>
      <c r="AC4" s="359"/>
      <c r="AD4" s="464"/>
      <c r="AE4" s="466"/>
      <c r="AF4" s="465"/>
      <c r="AG4" s="358" t="s">
        <v>228</v>
      </c>
      <c r="AH4" s="356"/>
      <c r="AI4" s="356"/>
      <c r="AJ4" s="359"/>
      <c r="AK4" s="358" t="s">
        <v>229</v>
      </c>
      <c r="AL4" s="356"/>
      <c r="AM4" s="356"/>
      <c r="AN4" s="359"/>
      <c r="AO4" s="358" t="s">
        <v>230</v>
      </c>
      <c r="AP4" s="356"/>
      <c r="AQ4" s="356"/>
      <c r="AR4" s="359"/>
      <c r="AS4" s="358" t="s">
        <v>228</v>
      </c>
      <c r="AT4" s="356"/>
      <c r="AU4" s="356"/>
      <c r="AV4" s="359"/>
      <c r="AW4" s="358" t="s">
        <v>229</v>
      </c>
      <c r="AX4" s="356"/>
      <c r="AY4" s="356"/>
      <c r="AZ4" s="359"/>
      <c r="BA4" s="358" t="s">
        <v>230</v>
      </c>
      <c r="BB4" s="356"/>
      <c r="BC4" s="356"/>
      <c r="BD4" s="359"/>
    </row>
    <row r="5" spans="1:56" ht="24" customHeight="1" x14ac:dyDescent="0.3">
      <c r="A5" s="384"/>
      <c r="B5" s="385"/>
      <c r="C5" s="437" t="s">
        <v>13</v>
      </c>
      <c r="D5" s="438" t="s">
        <v>14</v>
      </c>
      <c r="E5" s="439" t="s">
        <v>15</v>
      </c>
      <c r="F5" s="440" t="s">
        <v>16</v>
      </c>
      <c r="G5" s="441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64"/>
      <c r="N5" s="365"/>
      <c r="O5" s="375" t="s">
        <v>19</v>
      </c>
      <c r="P5" s="364"/>
      <c r="Q5" s="365"/>
      <c r="R5" s="216" t="s">
        <v>21</v>
      </c>
      <c r="S5" s="376" t="s">
        <v>22</v>
      </c>
      <c r="T5" s="356"/>
      <c r="U5" s="359"/>
      <c r="V5" s="216" t="s">
        <v>21</v>
      </c>
      <c r="W5" s="376" t="s">
        <v>22</v>
      </c>
      <c r="X5" s="356"/>
      <c r="Y5" s="359"/>
      <c r="Z5" s="216" t="s">
        <v>21</v>
      </c>
      <c r="AA5" s="376" t="s">
        <v>22</v>
      </c>
      <c r="AB5" s="356"/>
      <c r="AC5" s="359"/>
      <c r="AD5" s="216" t="s">
        <v>21</v>
      </c>
      <c r="AE5" s="436" t="s">
        <v>22</v>
      </c>
      <c r="AF5" s="359"/>
      <c r="AG5" s="216" t="s">
        <v>21</v>
      </c>
      <c r="AH5" s="376" t="s">
        <v>22</v>
      </c>
      <c r="AI5" s="356"/>
      <c r="AJ5" s="359"/>
      <c r="AK5" s="216" t="s">
        <v>21</v>
      </c>
      <c r="AL5" s="376" t="s">
        <v>22</v>
      </c>
      <c r="AM5" s="356"/>
      <c r="AN5" s="359"/>
      <c r="AO5" s="216" t="s">
        <v>21</v>
      </c>
      <c r="AP5" s="376" t="s">
        <v>22</v>
      </c>
      <c r="AQ5" s="356"/>
      <c r="AR5" s="359"/>
      <c r="AS5" s="216" t="s">
        <v>21</v>
      </c>
      <c r="AT5" s="376" t="s">
        <v>22</v>
      </c>
      <c r="AU5" s="356"/>
      <c r="AV5" s="359"/>
      <c r="AW5" s="216" t="s">
        <v>21</v>
      </c>
      <c r="AX5" s="376" t="s">
        <v>22</v>
      </c>
      <c r="AY5" s="356"/>
      <c r="AZ5" s="359"/>
      <c r="BA5" s="216" t="s">
        <v>21</v>
      </c>
      <c r="BB5" s="376" t="s">
        <v>22</v>
      </c>
      <c r="BC5" s="356"/>
      <c r="BD5" s="359"/>
    </row>
    <row r="6" spans="1:56" ht="36" customHeight="1" x14ac:dyDescent="0.2">
      <c r="A6" s="386"/>
      <c r="B6" s="387"/>
      <c r="C6" s="442"/>
      <c r="D6" s="443"/>
      <c r="E6" s="443"/>
      <c r="F6" s="443"/>
      <c r="G6" s="443"/>
      <c r="H6" s="6"/>
      <c r="I6" s="6"/>
      <c r="J6" s="8" t="s">
        <v>23</v>
      </c>
      <c r="K6" s="9" t="s">
        <v>24</v>
      </c>
      <c r="L6" s="8" t="s">
        <v>23</v>
      </c>
      <c r="M6" s="450" t="s">
        <v>25</v>
      </c>
      <c r="N6" s="451" t="s">
        <v>26</v>
      </c>
      <c r="O6" s="452" t="s">
        <v>23</v>
      </c>
      <c r="P6" s="450" t="s">
        <v>25</v>
      </c>
      <c r="Q6" s="451" t="s">
        <v>26</v>
      </c>
      <c r="R6" s="18" t="s">
        <v>146</v>
      </c>
      <c r="S6" s="347" t="s">
        <v>28</v>
      </c>
      <c r="T6" s="217" t="s">
        <v>146</v>
      </c>
      <c r="U6" s="348" t="s">
        <v>231</v>
      </c>
      <c r="V6" s="14" t="s">
        <v>28</v>
      </c>
      <c r="W6" s="17" t="s">
        <v>28</v>
      </c>
      <c r="X6" s="217" t="s">
        <v>146</v>
      </c>
      <c r="Y6" s="348" t="s">
        <v>232</v>
      </c>
      <c r="Z6" s="14" t="s">
        <v>28</v>
      </c>
      <c r="AA6" s="17" t="s">
        <v>28</v>
      </c>
      <c r="AB6" s="217" t="s">
        <v>146</v>
      </c>
      <c r="AC6" s="348" t="s">
        <v>232</v>
      </c>
      <c r="AD6" s="18" t="s">
        <v>28</v>
      </c>
      <c r="AE6" s="347" t="s">
        <v>28</v>
      </c>
      <c r="AF6" s="348" t="s">
        <v>231</v>
      </c>
      <c r="AG6" s="18" t="s">
        <v>146</v>
      </c>
      <c r="AH6" s="347" t="s">
        <v>28</v>
      </c>
      <c r="AI6" s="217" t="s">
        <v>146</v>
      </c>
      <c r="AJ6" s="348" t="s">
        <v>231</v>
      </c>
      <c r="AK6" s="14" t="s">
        <v>28</v>
      </c>
      <c r="AL6" s="17" t="s">
        <v>28</v>
      </c>
      <c r="AM6" s="217" t="s">
        <v>146</v>
      </c>
      <c r="AN6" s="348" t="s">
        <v>232</v>
      </c>
      <c r="AO6" s="14" t="s">
        <v>28</v>
      </c>
      <c r="AP6" s="17" t="s">
        <v>28</v>
      </c>
      <c r="AQ6" s="217" t="s">
        <v>146</v>
      </c>
      <c r="AR6" s="348" t="s">
        <v>232</v>
      </c>
      <c r="AS6" s="18" t="s">
        <v>146</v>
      </c>
      <c r="AT6" s="347" t="s">
        <v>28</v>
      </c>
      <c r="AU6" s="217" t="s">
        <v>146</v>
      </c>
      <c r="AV6" s="348" t="s">
        <v>231</v>
      </c>
      <c r="AW6" s="14" t="s">
        <v>28</v>
      </c>
      <c r="AX6" s="17" t="s">
        <v>28</v>
      </c>
      <c r="AY6" s="217" t="s">
        <v>146</v>
      </c>
      <c r="AZ6" s="348" t="s">
        <v>232</v>
      </c>
      <c r="BA6" s="14" t="s">
        <v>28</v>
      </c>
      <c r="BB6" s="17" t="s">
        <v>28</v>
      </c>
      <c r="BC6" s="217" t="s">
        <v>146</v>
      </c>
      <c r="BD6" s="348" t="s">
        <v>232</v>
      </c>
    </row>
    <row r="7" spans="1:56" ht="24" customHeight="1" x14ac:dyDescent="0.2">
      <c r="A7" s="389" t="s">
        <v>233</v>
      </c>
      <c r="B7" s="390"/>
      <c r="C7" s="210">
        <f t="shared" ref="C7:C116" ca="1" si="0">D7+G7</f>
        <v>128736700</v>
      </c>
      <c r="D7" s="211">
        <f t="shared" ref="D7:E7" ca="1" si="1">D8+D9+D12</f>
        <v>96916700</v>
      </c>
      <c r="E7" s="23">
        <f t="shared" ca="1" si="1"/>
        <v>45177300</v>
      </c>
      <c r="F7" s="24">
        <f ca="1">F8+F9</f>
        <v>51739400</v>
      </c>
      <c r="G7" s="25">
        <f t="shared" ref="G7:I7" ca="1" si="2">G8+G9+G12</f>
        <v>31820000</v>
      </c>
      <c r="H7" s="26">
        <f t="shared" ca="1" si="2"/>
        <v>72687500</v>
      </c>
      <c r="I7" s="26">
        <f t="shared" ca="1" si="2"/>
        <v>31820000</v>
      </c>
      <c r="J7" s="27">
        <f t="shared" ref="J7:J116" ca="1" si="3">L7+O7</f>
        <v>58374039.620000005</v>
      </c>
      <c r="K7" s="28">
        <f t="shared" ref="K7:K116" ca="1" si="4">IF(C7&gt;0,J7*100/C7,0)</f>
        <v>45.343743951802402</v>
      </c>
      <c r="L7" s="27">
        <f ca="1">L8+L9+L12</f>
        <v>31855442.350000001</v>
      </c>
      <c r="M7" s="29">
        <f t="shared" ref="M7:M116" ca="1" si="5">IF(D7&gt;0,L7*100/D7,0)</f>
        <v>32.868888798318558</v>
      </c>
      <c r="N7" s="29">
        <f t="shared" ref="N7:N116" ca="1" si="6">IF(H7&gt;0,L7*100/H7,0)</f>
        <v>43.825200137575237</v>
      </c>
      <c r="O7" s="30">
        <f ca="1">O8+O9+O12</f>
        <v>26518597.27</v>
      </c>
      <c r="P7" s="29">
        <f t="shared" ref="P7:P11" ca="1" si="7">IF(G7&gt;0,O7*100/G7,0)</f>
        <v>83.339400597108735</v>
      </c>
      <c r="Q7" s="29">
        <f t="shared" ref="Q7:Q116" ca="1" si="8">IF(I7&gt;0,O7*100/I7,0)</f>
        <v>83.339400597108735</v>
      </c>
      <c r="R7" s="31">
        <f t="shared" ref="R7:T7" ca="1" si="9">R8</f>
        <v>240000</v>
      </c>
      <c r="S7" s="32">
        <f t="shared" ca="1" si="9"/>
        <v>8551</v>
      </c>
      <c r="T7" s="32">
        <f t="shared" ca="1" si="9"/>
        <v>72112.499999999971</v>
      </c>
      <c r="U7" s="33">
        <f t="shared" ref="U7:U8" ca="1" si="10">IF(R7&gt;0,T7*100/R7,0)</f>
        <v>30.046874999999989</v>
      </c>
      <c r="V7" s="31">
        <f t="shared" ref="V7:X7" ca="1" si="11">V8</f>
        <v>24000</v>
      </c>
      <c r="W7" s="32">
        <f t="shared" ca="1" si="11"/>
        <v>6206</v>
      </c>
      <c r="X7" s="32">
        <f t="shared" ca="1" si="11"/>
        <v>55648.209999999948</v>
      </c>
      <c r="Y7" s="33">
        <f t="shared" ref="Y7:Y8" ca="1" si="12">IF(V7&gt;0,W7*100/V7,0)</f>
        <v>25.858333333333334</v>
      </c>
      <c r="Z7" s="31">
        <f t="shared" ref="Z7:AB7" ca="1" si="13">Z8</f>
        <v>24000</v>
      </c>
      <c r="AA7" s="32">
        <f t="shared" ca="1" si="13"/>
        <v>2108</v>
      </c>
      <c r="AB7" s="32">
        <f t="shared" ca="1" si="13"/>
        <v>17103.170000000002</v>
      </c>
      <c r="AC7" s="33">
        <f t="shared" ref="AC7:AC8" ca="1" si="14">IF(Z7&gt;0,AA7*100/Z7,0)</f>
        <v>8.7833333333333332</v>
      </c>
      <c r="AD7" s="31">
        <f t="shared" ref="AD7:AE7" ca="1" si="15">AD8</f>
        <v>43712</v>
      </c>
      <c r="AE7" s="32">
        <f t="shared" ca="1" si="15"/>
        <v>9269</v>
      </c>
      <c r="AF7" s="33">
        <f t="shared" ref="AF7:AF88" ca="1" si="16">IF(AD7&gt;0,AE7*100/AD7,0)</f>
        <v>21.204703513909223</v>
      </c>
      <c r="AG7" s="31">
        <f t="shared" ref="AG7:AI7" ca="1" si="17">AG8</f>
        <v>86713</v>
      </c>
      <c r="AH7" s="32">
        <f t="shared" ca="1" si="17"/>
        <v>3205</v>
      </c>
      <c r="AI7" s="32">
        <f t="shared" ca="1" si="17"/>
        <v>26413</v>
      </c>
      <c r="AJ7" s="33">
        <f t="shared" ref="AJ7:AJ8" ca="1" si="18">IF(AG7&gt;0,AI7*100/AG7,0)</f>
        <v>30.460253941162225</v>
      </c>
      <c r="AK7" s="31">
        <f t="shared" ref="AK7:AM7" ca="1" si="19">AK8</f>
        <v>8253</v>
      </c>
      <c r="AL7" s="32">
        <f t="shared" ca="1" si="19"/>
        <v>1958</v>
      </c>
      <c r="AM7" s="32">
        <f t="shared" ca="1" si="19"/>
        <v>18712.29</v>
      </c>
      <c r="AN7" s="33">
        <f t="shared" ref="AN7:AN8" ca="1" si="20">IF(AK7&gt;0,AL7*100/AK7,0)</f>
        <v>23.724706167454258</v>
      </c>
      <c r="AO7" s="31">
        <f t="shared" ref="AO7:AQ7" ca="1" si="21">AO8</f>
        <v>8253</v>
      </c>
      <c r="AP7" s="32">
        <f t="shared" ca="1" si="21"/>
        <v>620</v>
      </c>
      <c r="AQ7" s="32">
        <f t="shared" ca="1" si="21"/>
        <v>5652.4800000000005</v>
      </c>
      <c r="AR7" s="33">
        <f t="shared" ref="AR7:AR8" ca="1" si="22">IF(AO7&gt;0,AP7*100/AO7,0)</f>
        <v>7.5124197261601839</v>
      </c>
      <c r="AS7" s="31">
        <f t="shared" ref="AS7:AU7" ca="1" si="23">AS8</f>
        <v>153287</v>
      </c>
      <c r="AT7" s="32">
        <f t="shared" ca="1" si="23"/>
        <v>5373</v>
      </c>
      <c r="AU7" s="32">
        <f t="shared" ca="1" si="23"/>
        <v>46047.340000000004</v>
      </c>
      <c r="AV7" s="33">
        <f t="shared" ref="AV7:AV8" ca="1" si="24">IF(AS7&gt;0,AU7*100/AS7,0)</f>
        <v>30.039951202646016</v>
      </c>
      <c r="AW7" s="31">
        <f t="shared" ref="AW7:AY7" ca="1" si="25">AW8</f>
        <v>35459</v>
      </c>
      <c r="AX7" s="32">
        <f t="shared" ca="1" si="25"/>
        <v>12641</v>
      </c>
      <c r="AY7" s="32">
        <f t="shared" ca="1" si="25"/>
        <v>145712.76</v>
      </c>
      <c r="AZ7" s="33">
        <f t="shared" ref="AZ7:AZ8" ca="1" si="26">IF(AW7&gt;0,AX7*100/AW7,0)</f>
        <v>35.649623508841195</v>
      </c>
      <c r="BA7" s="31">
        <f t="shared" ref="BA7:BC7" ca="1" si="27">BA8</f>
        <v>35459</v>
      </c>
      <c r="BB7" s="32">
        <f t="shared" ca="1" si="27"/>
        <v>8649</v>
      </c>
      <c r="BC7" s="32">
        <f t="shared" ca="1" si="27"/>
        <v>104117.51999999999</v>
      </c>
      <c r="BD7" s="33">
        <f t="shared" ref="BD7:BD8" ca="1" si="28">IF(BA7&gt;0,BB7*100/BA7,0)</f>
        <v>24.391550805155251</v>
      </c>
    </row>
    <row r="8" spans="1:56" ht="28.5" customHeight="1" x14ac:dyDescent="0.2">
      <c r="A8" s="34" t="s">
        <v>31</v>
      </c>
      <c r="B8" s="35"/>
      <c r="C8" s="36">
        <f t="shared" ca="1" si="0"/>
        <v>66708130</v>
      </c>
      <c r="D8" s="37">
        <f t="shared" ref="D8:I8" ca="1" si="29">+D13+D31+D52+D74</f>
        <v>59351730</v>
      </c>
      <c r="E8" s="38">
        <f t="shared" ca="1" si="29"/>
        <v>17312400</v>
      </c>
      <c r="F8" s="38">
        <f t="shared" ca="1" si="29"/>
        <v>42039330</v>
      </c>
      <c r="G8" s="38">
        <f t="shared" ca="1" si="29"/>
        <v>7356400</v>
      </c>
      <c r="H8" s="38">
        <f t="shared" ca="1" si="29"/>
        <v>39119682</v>
      </c>
      <c r="I8" s="38">
        <f t="shared" ca="1" si="29"/>
        <v>7303050</v>
      </c>
      <c r="J8" s="38">
        <f t="shared" ca="1" si="3"/>
        <v>26712843.370000001</v>
      </c>
      <c r="K8" s="39">
        <f t="shared" ca="1" si="4"/>
        <v>40.04435946563035</v>
      </c>
      <c r="L8" s="38">
        <f ca="1">+L13+L31+L52+L74</f>
        <v>19409793.370000001</v>
      </c>
      <c r="M8" s="40">
        <f t="shared" ca="1" si="5"/>
        <v>32.70299512752198</v>
      </c>
      <c r="N8" s="40">
        <f t="shared" ca="1" si="6"/>
        <v>49.616439545699784</v>
      </c>
      <c r="O8" s="41">
        <f ca="1">+O13+O31+O52+O74</f>
        <v>7303050</v>
      </c>
      <c r="P8" s="40">
        <f t="shared" ca="1" si="7"/>
        <v>99.27478114295036</v>
      </c>
      <c r="Q8" s="40">
        <f t="shared" ca="1" si="8"/>
        <v>100</v>
      </c>
      <c r="R8" s="38">
        <f t="shared" ref="R8:T8" ca="1" si="30">+R13+R31+R52+R74</f>
        <v>240000</v>
      </c>
      <c r="S8" s="38">
        <f t="shared" ca="1" si="30"/>
        <v>8551</v>
      </c>
      <c r="T8" s="38">
        <f t="shared" ca="1" si="30"/>
        <v>72112.499999999971</v>
      </c>
      <c r="U8" s="40">
        <f t="shared" ca="1" si="10"/>
        <v>30.046874999999989</v>
      </c>
      <c r="V8" s="38">
        <f t="shared" ref="V8:X8" ca="1" si="31">+V13+V31+V52+V74</f>
        <v>24000</v>
      </c>
      <c r="W8" s="38">
        <f t="shared" ca="1" si="31"/>
        <v>6206</v>
      </c>
      <c r="X8" s="38">
        <f t="shared" ca="1" si="31"/>
        <v>55648.209999999948</v>
      </c>
      <c r="Y8" s="40">
        <f t="shared" ca="1" si="12"/>
        <v>25.858333333333334</v>
      </c>
      <c r="Z8" s="38">
        <f t="shared" ref="Z8:AB8" ca="1" si="32">+Z13+Z31+Z52+Z74</f>
        <v>24000</v>
      </c>
      <c r="AA8" s="38">
        <f t="shared" ca="1" si="32"/>
        <v>2108</v>
      </c>
      <c r="AB8" s="38">
        <f t="shared" ca="1" si="32"/>
        <v>17103.170000000002</v>
      </c>
      <c r="AC8" s="40">
        <f t="shared" ca="1" si="14"/>
        <v>8.7833333333333332</v>
      </c>
      <c r="AD8" s="38">
        <f t="shared" ref="AD8:AE8" ca="1" si="33">+AD13+AD31+AD52+AD74</f>
        <v>43712</v>
      </c>
      <c r="AE8" s="38">
        <f t="shared" ca="1" si="33"/>
        <v>9269</v>
      </c>
      <c r="AF8" s="40">
        <f t="shared" ca="1" si="16"/>
        <v>21.204703513909223</v>
      </c>
      <c r="AG8" s="38">
        <f t="shared" ref="AG8:AI8" ca="1" si="34">+AG13+AG31+AG52+AG74</f>
        <v>86713</v>
      </c>
      <c r="AH8" s="38">
        <f t="shared" ca="1" si="34"/>
        <v>3205</v>
      </c>
      <c r="AI8" s="38">
        <f t="shared" ca="1" si="34"/>
        <v>26413</v>
      </c>
      <c r="AJ8" s="40">
        <f t="shared" ca="1" si="18"/>
        <v>30.460253941162225</v>
      </c>
      <c r="AK8" s="38">
        <f t="shared" ref="AK8:AM8" ca="1" si="35">+AK13+AK31+AK52+AK74</f>
        <v>8253</v>
      </c>
      <c r="AL8" s="38">
        <f t="shared" ca="1" si="35"/>
        <v>1958</v>
      </c>
      <c r="AM8" s="38">
        <f t="shared" ca="1" si="35"/>
        <v>18712.29</v>
      </c>
      <c r="AN8" s="40">
        <f t="shared" ca="1" si="20"/>
        <v>23.724706167454258</v>
      </c>
      <c r="AO8" s="38">
        <f t="shared" ref="AO8:AQ8" ca="1" si="36">+AO13+AO31+AO52+AO74</f>
        <v>8253</v>
      </c>
      <c r="AP8" s="38">
        <f t="shared" ca="1" si="36"/>
        <v>620</v>
      </c>
      <c r="AQ8" s="38">
        <f t="shared" ca="1" si="36"/>
        <v>5652.4800000000005</v>
      </c>
      <c r="AR8" s="40">
        <f t="shared" ca="1" si="22"/>
        <v>7.5124197261601839</v>
      </c>
      <c r="AS8" s="38">
        <f t="shared" ref="AS8:AU8" ca="1" si="37">+AS13+AS31+AS52+AS74</f>
        <v>153287</v>
      </c>
      <c r="AT8" s="38">
        <f t="shared" ca="1" si="37"/>
        <v>5373</v>
      </c>
      <c r="AU8" s="38">
        <f t="shared" ca="1" si="37"/>
        <v>46047.340000000004</v>
      </c>
      <c r="AV8" s="40">
        <f t="shared" ca="1" si="24"/>
        <v>30.039951202646016</v>
      </c>
      <c r="AW8" s="38">
        <f t="shared" ref="AW8:AY8" ca="1" si="38">+AW13+AW31+AW52+AW74</f>
        <v>35459</v>
      </c>
      <c r="AX8" s="38">
        <f t="shared" ca="1" si="38"/>
        <v>12641</v>
      </c>
      <c r="AY8" s="38">
        <f t="shared" ca="1" si="38"/>
        <v>145712.76</v>
      </c>
      <c r="AZ8" s="40">
        <f t="shared" ca="1" si="26"/>
        <v>35.649623508841195</v>
      </c>
      <c r="BA8" s="38">
        <f t="shared" ref="BA8:BC8" ca="1" si="39">+BA13+BA31+BA52+BA74</f>
        <v>35459</v>
      </c>
      <c r="BB8" s="38">
        <f t="shared" ca="1" si="39"/>
        <v>8649</v>
      </c>
      <c r="BC8" s="38">
        <f t="shared" ca="1" si="39"/>
        <v>104117.51999999999</v>
      </c>
      <c r="BD8" s="40">
        <f t="shared" ca="1" si="28"/>
        <v>24.391550805155251</v>
      </c>
    </row>
    <row r="9" spans="1:56" ht="28.5" customHeight="1" x14ac:dyDescent="0.2">
      <c r="A9" s="44" t="s">
        <v>234</v>
      </c>
      <c r="B9" s="45"/>
      <c r="C9" s="46">
        <f t="shared" ca="1" si="0"/>
        <v>62028570</v>
      </c>
      <c r="D9" s="47">
        <f t="shared" ref="D9:I9" ca="1" si="40">+D10+D11</f>
        <v>37564970</v>
      </c>
      <c r="E9" s="46">
        <f t="shared" ca="1" si="40"/>
        <v>27864900</v>
      </c>
      <c r="F9" s="46">
        <f t="shared" ca="1" si="40"/>
        <v>9700070</v>
      </c>
      <c r="G9" s="46">
        <f t="shared" ca="1" si="40"/>
        <v>24463600</v>
      </c>
      <c r="H9" s="46">
        <f t="shared" ca="1" si="40"/>
        <v>33567818</v>
      </c>
      <c r="I9" s="46">
        <f t="shared" ca="1" si="40"/>
        <v>24516950</v>
      </c>
      <c r="J9" s="46">
        <f t="shared" ca="1" si="3"/>
        <v>31661196.25</v>
      </c>
      <c r="K9" s="48">
        <f t="shared" ca="1" si="4"/>
        <v>51.042924655525674</v>
      </c>
      <c r="L9" s="46">
        <f ca="1">+L10+L11</f>
        <v>12445648.98</v>
      </c>
      <c r="M9" s="49">
        <f t="shared" ca="1" si="5"/>
        <v>33.130996723809446</v>
      </c>
      <c r="N9" s="49">
        <f t="shared" ca="1" si="6"/>
        <v>37.076133396576445</v>
      </c>
      <c r="O9" s="50">
        <f ca="1">+O10+O11</f>
        <v>19215547.27</v>
      </c>
      <c r="P9" s="49">
        <f t="shared" ca="1" si="7"/>
        <v>78.54750433296816</v>
      </c>
      <c r="Q9" s="49">
        <f t="shared" ca="1" si="8"/>
        <v>78.376581385531239</v>
      </c>
      <c r="R9" s="46"/>
      <c r="S9" s="46"/>
      <c r="T9" s="46"/>
      <c r="U9" s="49"/>
      <c r="V9" s="46"/>
      <c r="W9" s="46"/>
      <c r="X9" s="46"/>
      <c r="Y9" s="49"/>
      <c r="Z9" s="46"/>
      <c r="AA9" s="46"/>
      <c r="AB9" s="46"/>
      <c r="AC9" s="49"/>
      <c r="AD9" s="46"/>
      <c r="AE9" s="46"/>
      <c r="AF9" s="49">
        <f t="shared" si="16"/>
        <v>0</v>
      </c>
      <c r="AG9" s="46"/>
      <c r="AH9" s="46"/>
      <c r="AI9" s="46"/>
      <c r="AJ9" s="49"/>
      <c r="AK9" s="46"/>
      <c r="AL9" s="46"/>
      <c r="AM9" s="46"/>
      <c r="AN9" s="49"/>
      <c r="AO9" s="46"/>
      <c r="AP9" s="46"/>
      <c r="AQ9" s="46"/>
      <c r="AR9" s="49"/>
      <c r="AS9" s="46"/>
      <c r="AT9" s="46"/>
      <c r="AU9" s="46"/>
      <c r="AV9" s="49"/>
      <c r="AW9" s="46"/>
      <c r="AX9" s="46"/>
      <c r="AY9" s="46"/>
      <c r="AZ9" s="49"/>
      <c r="BA9" s="46"/>
      <c r="BB9" s="46"/>
      <c r="BC9" s="46"/>
      <c r="BD9" s="49"/>
    </row>
    <row r="10" spans="1:56" ht="28.5" hidden="1" customHeight="1" x14ac:dyDescent="0.2">
      <c r="A10" s="44" t="s">
        <v>32</v>
      </c>
      <c r="B10" s="45"/>
      <c r="C10" s="46">
        <f t="shared" ca="1" si="0"/>
        <v>58947470</v>
      </c>
      <c r="D10" s="47">
        <f t="shared" ref="D10:I10" ca="1" si="41">+D89</f>
        <v>34483870</v>
      </c>
      <c r="E10" s="46">
        <f t="shared" ca="1" si="41"/>
        <v>24783800</v>
      </c>
      <c r="F10" s="46">
        <f t="shared" ca="1" si="41"/>
        <v>9700070</v>
      </c>
      <c r="G10" s="46">
        <f t="shared" ca="1" si="41"/>
        <v>24463600</v>
      </c>
      <c r="H10" s="46">
        <f t="shared" ca="1" si="41"/>
        <v>30695768</v>
      </c>
      <c r="I10" s="46">
        <f t="shared" ca="1" si="41"/>
        <v>19215547.27</v>
      </c>
      <c r="J10" s="46">
        <f t="shared" ca="1" si="3"/>
        <v>30516970.039999999</v>
      </c>
      <c r="K10" s="48">
        <f t="shared" ca="1" si="4"/>
        <v>51.769770678877315</v>
      </c>
      <c r="L10" s="46">
        <f ca="1">+L89</f>
        <v>11301422.77</v>
      </c>
      <c r="M10" s="49">
        <f t="shared" ca="1" si="5"/>
        <v>32.773069756961732</v>
      </c>
      <c r="N10" s="49">
        <f t="shared" ca="1" si="6"/>
        <v>36.817527321681609</v>
      </c>
      <c r="O10" s="50">
        <f ca="1">+O89</f>
        <v>19215547.27</v>
      </c>
      <c r="P10" s="49">
        <f t="shared" ca="1" si="7"/>
        <v>78.54750433296816</v>
      </c>
      <c r="Q10" s="49">
        <f t="shared" ca="1" si="8"/>
        <v>100</v>
      </c>
      <c r="R10" s="46"/>
      <c r="S10" s="46"/>
      <c r="T10" s="46"/>
      <c r="U10" s="49"/>
      <c r="V10" s="46"/>
      <c r="W10" s="46"/>
      <c r="X10" s="46"/>
      <c r="Y10" s="49"/>
      <c r="Z10" s="46"/>
      <c r="AA10" s="46"/>
      <c r="AB10" s="46"/>
      <c r="AC10" s="49"/>
      <c r="AD10" s="46"/>
      <c r="AE10" s="46"/>
      <c r="AF10" s="49">
        <f t="shared" si="16"/>
        <v>0</v>
      </c>
      <c r="AG10" s="46"/>
      <c r="AH10" s="46"/>
      <c r="AI10" s="46"/>
      <c r="AJ10" s="49"/>
      <c r="AK10" s="46"/>
      <c r="AL10" s="46"/>
      <c r="AM10" s="46"/>
      <c r="AN10" s="49"/>
      <c r="AO10" s="46"/>
      <c r="AP10" s="46"/>
      <c r="AQ10" s="46"/>
      <c r="AR10" s="49"/>
      <c r="AS10" s="46"/>
      <c r="AT10" s="46"/>
      <c r="AU10" s="46"/>
      <c r="AV10" s="49"/>
      <c r="AW10" s="46"/>
      <c r="AX10" s="46"/>
      <c r="AY10" s="46"/>
      <c r="AZ10" s="49"/>
      <c r="BA10" s="46"/>
      <c r="BB10" s="46"/>
      <c r="BC10" s="46"/>
      <c r="BD10" s="49"/>
    </row>
    <row r="11" spans="1:56" ht="28.5" hidden="1" customHeight="1" x14ac:dyDescent="0.2">
      <c r="A11" s="53" t="s">
        <v>33</v>
      </c>
      <c r="B11" s="45"/>
      <c r="C11" s="46">
        <f t="shared" ca="1" si="0"/>
        <v>3081100</v>
      </c>
      <c r="D11" s="47">
        <f t="shared" ref="D11:I11" ca="1" si="42">+D104</f>
        <v>3081100</v>
      </c>
      <c r="E11" s="46">
        <f t="shared" ca="1" si="42"/>
        <v>3081100</v>
      </c>
      <c r="F11" s="46">
        <f t="shared" ca="1" si="42"/>
        <v>0</v>
      </c>
      <c r="G11" s="46">
        <f t="shared" ca="1" si="42"/>
        <v>0</v>
      </c>
      <c r="H11" s="46">
        <f t="shared" ca="1" si="42"/>
        <v>2872050</v>
      </c>
      <c r="I11" s="46">
        <f t="shared" ca="1" si="42"/>
        <v>5301402.7300000004</v>
      </c>
      <c r="J11" s="46">
        <f t="shared" ca="1" si="3"/>
        <v>1144226.21</v>
      </c>
      <c r="K11" s="48">
        <f t="shared" ca="1" si="4"/>
        <v>37.136938431079813</v>
      </c>
      <c r="L11" s="46">
        <f ca="1">+L104</f>
        <v>1144226.21</v>
      </c>
      <c r="M11" s="49">
        <f t="shared" ca="1" si="5"/>
        <v>37.136938431079813</v>
      </c>
      <c r="N11" s="49">
        <f t="shared" ca="1" si="6"/>
        <v>39.840051879319653</v>
      </c>
      <c r="O11" s="50">
        <f ca="1">+O104</f>
        <v>0</v>
      </c>
      <c r="P11" s="49">
        <f t="shared" ca="1" si="7"/>
        <v>0</v>
      </c>
      <c r="Q11" s="49">
        <f t="shared" ca="1" si="8"/>
        <v>0</v>
      </c>
      <c r="R11" s="46"/>
      <c r="S11" s="46"/>
      <c r="T11" s="46"/>
      <c r="U11" s="49"/>
      <c r="V11" s="46"/>
      <c r="W11" s="46"/>
      <c r="X11" s="46"/>
      <c r="Y11" s="49"/>
      <c r="Z11" s="46"/>
      <c r="AA11" s="46"/>
      <c r="AB11" s="46"/>
      <c r="AC11" s="49"/>
      <c r="AD11" s="46"/>
      <c r="AE11" s="46"/>
      <c r="AF11" s="49">
        <f t="shared" si="16"/>
        <v>0</v>
      </c>
      <c r="AG11" s="46"/>
      <c r="AH11" s="46"/>
      <c r="AI11" s="46"/>
      <c r="AJ11" s="49"/>
      <c r="AK11" s="46"/>
      <c r="AL11" s="46"/>
      <c r="AM11" s="46"/>
      <c r="AN11" s="49"/>
      <c r="AO11" s="46"/>
      <c r="AP11" s="46"/>
      <c r="AQ11" s="46"/>
      <c r="AR11" s="49"/>
      <c r="AS11" s="46"/>
      <c r="AT11" s="46"/>
      <c r="AU11" s="46"/>
      <c r="AV11" s="49"/>
      <c r="AW11" s="46"/>
      <c r="AX11" s="46"/>
      <c r="AY11" s="46"/>
      <c r="AZ11" s="49"/>
      <c r="BA11" s="46"/>
      <c r="BB11" s="46"/>
      <c r="BC11" s="46"/>
      <c r="BD11" s="49"/>
    </row>
    <row r="12" spans="1:56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0"/>
      <c r="Q12" s="60">
        <f t="shared" si="8"/>
        <v>0</v>
      </c>
      <c r="R12" s="58">
        <v>0</v>
      </c>
      <c r="S12" s="58">
        <v>0</v>
      </c>
      <c r="T12" s="58">
        <v>0</v>
      </c>
      <c r="U12" s="60">
        <f t="shared" ref="U12:U88" si="43">IF(R12&gt;0,T12*100/R12,0)</f>
        <v>0</v>
      </c>
      <c r="V12" s="58">
        <v>0</v>
      </c>
      <c r="W12" s="58">
        <v>0</v>
      </c>
      <c r="X12" s="58">
        <v>0</v>
      </c>
      <c r="Y12" s="60">
        <f t="shared" ref="Y12:Y88" si="44">IF(V12&gt;0,W12*100/V12,0)</f>
        <v>0</v>
      </c>
      <c r="Z12" s="58">
        <v>0</v>
      </c>
      <c r="AA12" s="58">
        <v>0</v>
      </c>
      <c r="AB12" s="58">
        <v>0</v>
      </c>
      <c r="AC12" s="60">
        <f t="shared" ref="AC12:AC88" si="45">IF(Z12&gt;0,AA12*100/Z12,0)</f>
        <v>0</v>
      </c>
      <c r="AD12" s="58">
        <v>0</v>
      </c>
      <c r="AE12" s="58">
        <v>0</v>
      </c>
      <c r="AF12" s="60">
        <f t="shared" si="16"/>
        <v>0</v>
      </c>
      <c r="AG12" s="58">
        <v>0</v>
      </c>
      <c r="AH12" s="58">
        <v>0</v>
      </c>
      <c r="AI12" s="58">
        <v>0</v>
      </c>
      <c r="AJ12" s="60">
        <f t="shared" ref="AJ12:AJ88" si="46">IF(AG12&gt;0,AI12*100/AG12,0)</f>
        <v>0</v>
      </c>
      <c r="AK12" s="58">
        <v>0</v>
      </c>
      <c r="AL12" s="58">
        <v>0</v>
      </c>
      <c r="AM12" s="58">
        <v>0</v>
      </c>
      <c r="AN12" s="60">
        <f t="shared" ref="AN12:AN88" si="47">IF(AK12&gt;0,AL12*100/AK12,0)</f>
        <v>0</v>
      </c>
      <c r="AO12" s="58">
        <v>0</v>
      </c>
      <c r="AP12" s="58">
        <v>0</v>
      </c>
      <c r="AQ12" s="58">
        <v>0</v>
      </c>
      <c r="AR12" s="60">
        <f t="shared" ref="AR12:AR88" si="48">IF(AO12&gt;0,AP12*100/AO12,0)</f>
        <v>0</v>
      </c>
      <c r="AS12" s="58">
        <v>0</v>
      </c>
      <c r="AT12" s="58">
        <v>0</v>
      </c>
      <c r="AU12" s="58">
        <v>0</v>
      </c>
      <c r="AV12" s="60">
        <f t="shared" ref="AV12:AV88" si="49">IF(AS12&gt;0,AU12*100/AS12,0)</f>
        <v>0</v>
      </c>
      <c r="AW12" s="58">
        <v>0</v>
      </c>
      <c r="AX12" s="58">
        <v>0</v>
      </c>
      <c r="AY12" s="58">
        <v>0</v>
      </c>
      <c r="AZ12" s="60">
        <f t="shared" ref="AZ12:AZ88" si="50">IF(AW12&gt;0,AX12*100/AW12,0)</f>
        <v>0</v>
      </c>
      <c r="BA12" s="58">
        <v>0</v>
      </c>
      <c r="BB12" s="58">
        <v>0</v>
      </c>
      <c r="BC12" s="58">
        <v>0</v>
      </c>
      <c r="BD12" s="60">
        <f t="shared" ref="BD12:BD88" si="51">IF(BA12&gt;0,BB12*100/BA12,0)</f>
        <v>0</v>
      </c>
    </row>
    <row r="13" spans="1:56" ht="28.5" customHeight="1" x14ac:dyDescent="0.2">
      <c r="A13" s="377" t="s">
        <v>35</v>
      </c>
      <c r="B13" s="359"/>
      <c r="C13" s="62">
        <f t="shared" ca="1" si="0"/>
        <v>13325790</v>
      </c>
      <c r="D13" s="63">
        <f t="shared" ref="D13:I13" ca="1" si="52">SUM(D14:D30)</f>
        <v>11818690</v>
      </c>
      <c r="E13" s="64">
        <f t="shared" ca="1" si="52"/>
        <v>3628800</v>
      </c>
      <c r="F13" s="64">
        <f t="shared" ca="1" si="52"/>
        <v>8189890</v>
      </c>
      <c r="G13" s="64">
        <f t="shared" ca="1" si="52"/>
        <v>1507100</v>
      </c>
      <c r="H13" s="64">
        <f t="shared" ca="1" si="52"/>
        <v>7964180</v>
      </c>
      <c r="I13" s="64">
        <f t="shared" ca="1" si="52"/>
        <v>1491080</v>
      </c>
      <c r="J13" s="64">
        <f t="shared" ca="1" si="3"/>
        <v>5096524.2699999996</v>
      </c>
      <c r="K13" s="65">
        <f t="shared" ca="1" si="4"/>
        <v>38.245569455919679</v>
      </c>
      <c r="L13" s="64">
        <f ca="1">SUM(L14:L30)</f>
        <v>3605444.2699999996</v>
      </c>
      <c r="M13" s="66">
        <f t="shared" ca="1" si="5"/>
        <v>30.506293590914048</v>
      </c>
      <c r="N13" s="66">
        <f t="shared" ca="1" si="6"/>
        <v>45.270753172329094</v>
      </c>
      <c r="O13" s="67">
        <f ca="1">SUM(O14:O30)</f>
        <v>1491080</v>
      </c>
      <c r="P13" s="66">
        <f t="shared" ref="P13:P116" ca="1" si="53">IF(G13&gt;0,O13*100/G13,0)</f>
        <v>98.93703138477872</v>
      </c>
      <c r="Q13" s="66">
        <f t="shared" ca="1" si="8"/>
        <v>100</v>
      </c>
      <c r="R13" s="64">
        <f t="shared" ref="R13:T13" ca="1" si="54">SUM(R14:R30)</f>
        <v>35800</v>
      </c>
      <c r="S13" s="64">
        <f t="shared" ca="1" si="54"/>
        <v>1145</v>
      </c>
      <c r="T13" s="64">
        <f t="shared" ca="1" si="54"/>
        <v>8157.8499999999985</v>
      </c>
      <c r="U13" s="66">
        <f t="shared" ca="1" si="43"/>
        <v>22.787290502793294</v>
      </c>
      <c r="V13" s="64">
        <f t="shared" ref="V13:X13" ca="1" si="55">SUM(V14:V30)</f>
        <v>4028</v>
      </c>
      <c r="W13" s="64">
        <f t="shared" ca="1" si="55"/>
        <v>740</v>
      </c>
      <c r="X13" s="64">
        <f t="shared" ca="1" si="55"/>
        <v>5646.8899999999876</v>
      </c>
      <c r="Y13" s="66">
        <f t="shared" ca="1" si="44"/>
        <v>18.371400198609731</v>
      </c>
      <c r="Z13" s="64">
        <f t="shared" ref="Z13:AB13" ca="1" si="56">SUM(Z14:Z30)</f>
        <v>4028</v>
      </c>
      <c r="AA13" s="64">
        <f t="shared" ca="1" si="56"/>
        <v>425</v>
      </c>
      <c r="AB13" s="64">
        <f t="shared" ca="1" si="56"/>
        <v>2879.7799999999997</v>
      </c>
      <c r="AC13" s="66">
        <f t="shared" ca="1" si="45"/>
        <v>10.551142005958292</v>
      </c>
      <c r="AD13" s="64">
        <f t="shared" ref="AD13:AE13" ca="1" si="57">SUM(AD14:AD30)</f>
        <v>9438</v>
      </c>
      <c r="AE13" s="64">
        <f t="shared" ca="1" si="57"/>
        <v>1968</v>
      </c>
      <c r="AF13" s="66">
        <f t="shared" ca="1" si="16"/>
        <v>20.851875397329941</v>
      </c>
      <c r="AG13" s="64">
        <f t="shared" ref="AG13:AI13" ca="1" si="58">SUM(AG14:AG30)</f>
        <v>13540</v>
      </c>
      <c r="AH13" s="64">
        <f t="shared" ca="1" si="58"/>
        <v>450</v>
      </c>
      <c r="AI13" s="64">
        <f t="shared" ca="1" si="58"/>
        <v>3027.79</v>
      </c>
      <c r="AJ13" s="66">
        <f t="shared" ca="1" si="46"/>
        <v>22.361816838995569</v>
      </c>
      <c r="AK13" s="64">
        <f t="shared" ref="AK13:AM13" ca="1" si="59">SUM(AK14:AK30)</f>
        <v>1343</v>
      </c>
      <c r="AL13" s="64">
        <f t="shared" ca="1" si="59"/>
        <v>270</v>
      </c>
      <c r="AM13" s="64">
        <f t="shared" ca="1" si="59"/>
        <v>2670.21</v>
      </c>
      <c r="AN13" s="66">
        <f t="shared" ca="1" si="47"/>
        <v>20.104244229337304</v>
      </c>
      <c r="AO13" s="64">
        <f t="shared" ref="AO13:AQ13" ca="1" si="60">SUM(AO14:AO30)</f>
        <v>1343</v>
      </c>
      <c r="AP13" s="64">
        <f t="shared" ca="1" si="60"/>
        <v>73</v>
      </c>
      <c r="AQ13" s="64">
        <f t="shared" ca="1" si="60"/>
        <v>849.57</v>
      </c>
      <c r="AR13" s="66">
        <f t="shared" ca="1" si="48"/>
        <v>5.4355919583023082</v>
      </c>
      <c r="AS13" s="64">
        <f t="shared" ref="AS13:AU13" ca="1" si="61">SUM(AS14:AS30)</f>
        <v>22260</v>
      </c>
      <c r="AT13" s="64">
        <f t="shared" ca="1" si="61"/>
        <v>696</v>
      </c>
      <c r="AU13" s="64">
        <f t="shared" ca="1" si="61"/>
        <v>5145.7800000000007</v>
      </c>
      <c r="AV13" s="66">
        <f t="shared" ca="1" si="49"/>
        <v>23.1167115902965</v>
      </c>
      <c r="AW13" s="64">
        <f t="shared" ref="AW13:AY13" ca="1" si="62">SUM(AW14:AW30)</f>
        <v>8095</v>
      </c>
      <c r="AX13" s="64">
        <f t="shared" ca="1" si="62"/>
        <v>2051</v>
      </c>
      <c r="AY13" s="64">
        <f t="shared" ca="1" si="62"/>
        <v>23343.870000000003</v>
      </c>
      <c r="AZ13" s="66">
        <f t="shared" ca="1" si="50"/>
        <v>25.336627547869053</v>
      </c>
      <c r="BA13" s="64">
        <f t="shared" ref="BA13:BC13" ca="1" si="63">SUM(BA14:BA30)</f>
        <v>8095</v>
      </c>
      <c r="BB13" s="64">
        <f t="shared" ca="1" si="63"/>
        <v>1895</v>
      </c>
      <c r="BC13" s="64">
        <f t="shared" ca="1" si="63"/>
        <v>22099.75</v>
      </c>
      <c r="BD13" s="66">
        <f t="shared" ca="1" si="51"/>
        <v>23.409512044471896</v>
      </c>
    </row>
    <row r="14" spans="1:56" ht="24" customHeight="1" x14ac:dyDescent="0.2">
      <c r="A14" s="68">
        <v>1</v>
      </c>
      <c r="B14" s="69" t="s">
        <v>36</v>
      </c>
      <c r="C14" s="70">
        <f t="shared" ca="1" si="0"/>
        <v>1622080</v>
      </c>
      <c r="D14" s="71">
        <f t="shared" ref="D14:D30" ca="1" si="64">+E14+F14</f>
        <v>1562080</v>
      </c>
      <c r="E14" s="72">
        <f ca="1">IFERROR(__xludf.DUMMYFUNCTION("IMPORTRANGE(""https://docs.google.com/spreadsheets/d/1MeEWN-I1oV_STSDYn1IFDPWt_1FKiwhDph83XaGc0o0/edit?usp=sharing"",""งบพรบ!EX14"")"),517200)</f>
        <v>517200</v>
      </c>
      <c r="F14" s="72">
        <f ca="1">IFERROR(__xludf.DUMMYFUNCTION("IMPORTRANGE(""https://docs.google.com/spreadsheets/d/1MeEWN-I1oV_STSDYn1IFDPWt_1FKiwhDph83XaGc0o0/edit?usp=sharing"",""งบพรบ!EY14"")"),1044880)</f>
        <v>1044880</v>
      </c>
      <c r="G14" s="73">
        <f ca="1">IFERROR(__xludf.DUMMYFUNCTION("IMPORTRANGE(""https://docs.google.com/spreadsheets/d/1MeEWN-I1oV_STSDYn1IFDPWt_1FKiwhDph83XaGc0o0/edit?usp=sharing"",""งบพรบ!EZ14"")"),60000)</f>
        <v>60000</v>
      </c>
      <c r="H14" s="73">
        <f ca="1">IFERROR(__xludf.DUMMYFUNCTION("IMPORTRANGE(""https://docs.google.com/spreadsheets/d/1MeEWN-I1oV_STSDYn1IFDPWt_1FKiwhDph83XaGc0o0/edit?usp=sharing"",""งบพรบ!FB14"")"),999560)</f>
        <v>999560</v>
      </c>
      <c r="I14" s="73">
        <f ca="1">IFERROR(__xludf.DUMMYFUNCTION("IMPORTRANGE(""https://docs.google.com/spreadsheets/d/1MeEWN-I1oV_STSDYn1IFDPWt_1FKiwhDph83XaGc0o0/edit?usp=sharing"",""งบพรบ!FC14"")"),59600)</f>
        <v>59600</v>
      </c>
      <c r="J14" s="73">
        <f t="shared" ca="1" si="3"/>
        <v>489480</v>
      </c>
      <c r="K14" s="74">
        <f t="shared" ca="1" si="4"/>
        <v>30.176070230814755</v>
      </c>
      <c r="L14" s="73">
        <f ca="1">IFERROR(__xludf.DUMMYFUNCTION("IMPORTRANGE(""https://docs.google.com/spreadsheets/d/1MeEWN-I1oV_STSDYn1IFDPWt_1FKiwhDph83XaGc0o0/edit?usp=sharing"",""งบพรบ!FD14"")"),429880)</f>
        <v>429880</v>
      </c>
      <c r="M14" s="75">
        <f t="shared" ca="1" si="5"/>
        <v>27.519717300010242</v>
      </c>
      <c r="N14" s="75">
        <f t="shared" ca="1" si="6"/>
        <v>43.006923046140301</v>
      </c>
      <c r="O14" s="76">
        <f ca="1">IFERROR(__xludf.DUMMYFUNCTION("IMPORTRANGE(""https://docs.google.com/spreadsheets/d/1MeEWN-I1oV_STSDYn1IFDPWt_1FKiwhDph83XaGc0o0/edit?usp=sharing"",""งบพรบ!FE14"")"),59600)</f>
        <v>59600</v>
      </c>
      <c r="P14" s="75">
        <f t="shared" ca="1" si="53"/>
        <v>99.333333333333329</v>
      </c>
      <c r="Q14" s="75">
        <f t="shared" ca="1" si="8"/>
        <v>100</v>
      </c>
      <c r="R14" s="73">
        <f ca="1">IFERROR(__xludf.DUMMYFUNCTION("IMPORTRANGE(""https://docs.google.com/spreadsheets/d/1KxicF4apzSqm0-jIpmueT4kyZtE-Cwn5zskl7GD4loQ/edit?usp=sharing"",""กำแพงเพชร!I359"")"),5600)</f>
        <v>5600</v>
      </c>
      <c r="S14" s="73">
        <f ca="1">IFERROR(__xludf.DUMMYFUNCTION("IMPORTRANGE(""https://docs.google.com/spreadsheets/d/1KxicF4apzSqm0-jIpmueT4kyZtE-Cwn5zskl7GD4loQ/edit?usp=sharing"",""กำแพงเพชร!J358"")"),58)</f>
        <v>58</v>
      </c>
      <c r="T14" s="73">
        <f ca="1">IFERROR(__xludf.DUMMYFUNCTION("IMPORTRANGE(""https://docs.google.com/spreadsheets/d/1KxicF4apzSqm0-jIpmueT4kyZtE-Cwn5zskl7GD4loQ/edit?usp=sharing"",""กำแพงเพชร!J359"")"),427.87)</f>
        <v>427.87</v>
      </c>
      <c r="U14" s="77">
        <f t="shared" ca="1" si="43"/>
        <v>7.640535714285714</v>
      </c>
      <c r="V14" s="73">
        <f ca="1">IFERROR(__xludf.DUMMYFUNCTION("IMPORTRANGE(""https://docs.google.com/spreadsheets/d/1KxicF4apzSqm0-jIpmueT4kyZtE-Cwn5zskl7GD4loQ/edit?usp=sharing"",""กำแพงเพชร!I360"")"),560)</f>
        <v>560</v>
      </c>
      <c r="W14" s="73">
        <f ca="1">IFERROR(__xludf.DUMMYFUNCTION("IMPORTRANGE(""https://docs.google.com/spreadsheets/d/1KxicF4apzSqm0-jIpmueT4kyZtE-Cwn5zskl7GD4loQ/edit?usp=sharing"",""กำแพงเพชร!J360"")"),3)</f>
        <v>3</v>
      </c>
      <c r="X14" s="73">
        <f ca="1">IFERROR(__xludf.DUMMYFUNCTION("IMPORTRANGE(""https://docs.google.com/spreadsheets/d/1KxicF4apzSqm0-jIpmueT4kyZtE-Cwn5zskl7GD4loQ/edit?usp=sharing"",""กำแพงเพชร!J361"")"),24.95)</f>
        <v>24.95</v>
      </c>
      <c r="Y14" s="77">
        <f t="shared" ca="1" si="44"/>
        <v>0.5357142857142857</v>
      </c>
      <c r="Z14" s="73">
        <f ca="1">IFERROR(__xludf.DUMMYFUNCTION("IMPORTRANGE(""https://docs.google.com/spreadsheets/d/1KxicF4apzSqm0-jIpmueT4kyZtE-Cwn5zskl7GD4loQ/edit?usp=sharing"",""กำแพงเพชร!I362"")"),560)</f>
        <v>560</v>
      </c>
      <c r="AA14" s="73">
        <f ca="1">IFERROR(__xludf.DUMMYFUNCTION("IMPORTRANGE(""https://docs.google.com/spreadsheets/d/1KxicF4apzSqm0-jIpmueT4kyZtE-Cwn5zskl7GD4loQ/edit?usp=sharing"",""กำแพงเพชร!J362"")"),3)</f>
        <v>3</v>
      </c>
      <c r="AB14" s="73">
        <f ca="1">IFERROR(__xludf.DUMMYFUNCTION("IMPORTRANGE(""https://docs.google.com/spreadsheets/d/1KxicF4apzSqm0-jIpmueT4kyZtE-Cwn5zskl7GD4loQ/edit?usp=sharing"",""กำแพงเพชร!J363"")"),24.95)</f>
        <v>24.95</v>
      </c>
      <c r="AC14" s="77">
        <f t="shared" ca="1" si="45"/>
        <v>0.5357142857142857</v>
      </c>
      <c r="AD14" s="73">
        <f ca="1">IFERROR(__xludf.DUMMYFUNCTION("IMPORTRANGE(""https://docs.google.com/spreadsheets/d/1KxicF4apzSqm0-jIpmueT4kyZtE-Cwn5zskl7GD4loQ/edit?usp=sharing"",""กำแพงเพชร!I364"")"),1110)</f>
        <v>1110</v>
      </c>
      <c r="AE14" s="73">
        <f ca="1">IFERROR(__xludf.DUMMYFUNCTION("IMPORTRANGE(""https://docs.google.com/spreadsheets/d/1KxicF4apzSqm0-jIpmueT4kyZtE-Cwn5zskl7GD4loQ/edit?usp=sharing"",""กำแพงเพชร!J364"")"),19)</f>
        <v>19</v>
      </c>
      <c r="AF14" s="77">
        <f t="shared" ca="1" si="16"/>
        <v>1.7117117117117118</v>
      </c>
      <c r="AG14" s="73">
        <f ca="1">IFERROR(__xludf.DUMMYFUNCTION("IMPORTRANGE(""https://docs.google.com/spreadsheets/d/1KxicF4apzSqm0-jIpmueT4kyZtE-Cwn5zskl7GD4loQ/edit?usp=sharing"",""กำแพงเพชร!I369"")"),1600)</f>
        <v>1600</v>
      </c>
      <c r="AH14" s="73">
        <f ca="1">IFERROR(__xludf.DUMMYFUNCTION("IMPORTRANGE(""https://docs.google.com/spreadsheets/d/1KxicF4apzSqm0-jIpmueT4kyZtE-Cwn5zskl7GD4loQ/edit?usp=sharing"",""กำแพงเพชร!J368"")"),11)</f>
        <v>11</v>
      </c>
      <c r="AI14" s="73">
        <f ca="1">IFERROR(__xludf.DUMMYFUNCTION("IMPORTRANGE(""https://docs.google.com/spreadsheets/d/1KxicF4apzSqm0-jIpmueT4kyZtE-Cwn5zskl7GD4loQ/edit?usp=sharing"",""กำแพงเพชร!J369"")"),56.78)</f>
        <v>56.78</v>
      </c>
      <c r="AJ14" s="77">
        <f t="shared" ca="1" si="46"/>
        <v>3.5487500000000001</v>
      </c>
      <c r="AK14" s="73">
        <f ca="1">IFERROR(__xludf.DUMMYFUNCTION("IMPORTRANGE(""https://docs.google.com/spreadsheets/d/1KxicF4apzSqm0-jIpmueT4kyZtE-Cwn5zskl7GD4loQ/edit?usp=sharing"",""กำแพงเพชร!I370"")"),160)</f>
        <v>160</v>
      </c>
      <c r="AL14" s="73">
        <f ca="1">IFERROR(__xludf.DUMMYFUNCTION("IMPORTRANGE(""https://docs.google.com/spreadsheets/d/1KxicF4apzSqm0-jIpmueT4kyZtE-Cwn5zskl7GD4loQ/edit?usp=sharing"",""กำแพงเพชร!J370"")"),3)</f>
        <v>3</v>
      </c>
      <c r="AM14" s="73">
        <f ca="1">IFERROR(__xludf.DUMMYFUNCTION("IMPORTRANGE(""https://docs.google.com/spreadsheets/d/1KxicF4apzSqm0-jIpmueT4kyZtE-Cwn5zskl7GD4loQ/edit?usp=sharing"",""กำแพงเพชร!J371"")"),24.95)</f>
        <v>24.95</v>
      </c>
      <c r="AN14" s="77">
        <f t="shared" ca="1" si="47"/>
        <v>1.875</v>
      </c>
      <c r="AO14" s="73">
        <f ca="1">IFERROR(__xludf.DUMMYFUNCTION("IMPORTRANGE(""https://docs.google.com/spreadsheets/d/1KxicF4apzSqm0-jIpmueT4kyZtE-Cwn5zskl7GD4loQ/edit?usp=sharing"",""กำแพงเพชร!I372"")"),160)</f>
        <v>160</v>
      </c>
      <c r="AP14" s="73">
        <f ca="1">IFERROR(__xludf.DUMMYFUNCTION("IMPORTRANGE(""https://docs.google.com/spreadsheets/d/1KxicF4apzSqm0-jIpmueT4kyZtE-Cwn5zskl7GD4loQ/edit?usp=sharing"",""กำแพงเพชร!J372"")"),3)</f>
        <v>3</v>
      </c>
      <c r="AQ14" s="73">
        <f ca="1">IFERROR(__xludf.DUMMYFUNCTION("IMPORTRANGE(""https://docs.google.com/spreadsheets/d/1KxicF4apzSqm0-jIpmueT4kyZtE-Cwn5zskl7GD4loQ/edit?usp=sharing"",""กำแพงเพชร!J373"")"),24.95)</f>
        <v>24.95</v>
      </c>
      <c r="AR14" s="77">
        <f t="shared" ca="1" si="48"/>
        <v>1.875</v>
      </c>
      <c r="AS14" s="73">
        <f ca="1">IFERROR(__xludf.DUMMYFUNCTION("IMPORTRANGE(""https://docs.google.com/spreadsheets/d/1KxicF4apzSqm0-jIpmueT4kyZtE-Cwn5zskl7GD4loQ/edit?usp=sharing"",""กำแพงเพชร!I378"")"),4000)</f>
        <v>4000</v>
      </c>
      <c r="AT14" s="73">
        <f ca="1">IFERROR(__xludf.DUMMYFUNCTION("IMPORTRANGE(""https://docs.google.com/spreadsheets/d/1KxicF4apzSqm0-jIpmueT4kyZtE-Cwn5zskl7GD4loQ/edit?usp=sharing"",""กำแพงเพชร!J377"")"),47)</f>
        <v>47</v>
      </c>
      <c r="AU14" s="73">
        <f ca="1">IFERROR(__xludf.DUMMYFUNCTION("IMPORTRANGE(""https://docs.google.com/spreadsheets/d/1KxicF4apzSqm0-jIpmueT4kyZtE-Cwn5zskl7GD4loQ/edit?usp=sharing"",""กำแพงเพชร!J378"")"),371.09)</f>
        <v>371.09</v>
      </c>
      <c r="AV14" s="77">
        <f t="shared" ca="1" si="49"/>
        <v>9.2772500000000004</v>
      </c>
      <c r="AW14" s="73">
        <f ca="1">IFERROR(__xludf.DUMMYFUNCTION("IMPORTRANGE(""https://docs.google.com/spreadsheets/d/1KxicF4apzSqm0-jIpmueT4kyZtE-Cwn5zskl7GD4loQ/edit?usp=sharing"",""กำแพงเพชร!I379"")"),950)</f>
        <v>950</v>
      </c>
      <c r="AX14" s="73">
        <f ca="1">IFERROR(__xludf.DUMMYFUNCTION("IMPORTRANGE(""https://docs.google.com/spreadsheets/d/1KxicF4apzSqm0-jIpmueT4kyZtE-Cwn5zskl7GD4loQ/edit?usp=sharing"",""กำแพงเพชร!J379"")"),16)</f>
        <v>16</v>
      </c>
      <c r="AY14" s="73">
        <f ca="1">IFERROR(__xludf.DUMMYFUNCTION("IMPORTRANGE(""https://docs.google.com/spreadsheets/d/1KxicF4apzSqm0-jIpmueT4kyZtE-Cwn5zskl7GD4loQ/edit?usp=sharing"",""กำแพงเพชร!J380"")"),203.75)</f>
        <v>203.75</v>
      </c>
      <c r="AZ14" s="77">
        <f t="shared" ca="1" si="50"/>
        <v>1.6842105263157894</v>
      </c>
      <c r="BA14" s="73">
        <f ca="1">IFERROR(__xludf.DUMMYFUNCTION("IMPORTRANGE(""https://docs.google.com/spreadsheets/d/1KxicF4apzSqm0-jIpmueT4kyZtE-Cwn5zskl7GD4loQ/edit?usp=sharing"",""กำแพงเพชร!I381"")"),950)</f>
        <v>950</v>
      </c>
      <c r="BB14" s="73">
        <f ca="1">IFERROR(__xludf.DUMMYFUNCTION("IMPORTRANGE(""https://docs.google.com/spreadsheets/d/1KxicF4apzSqm0-jIpmueT4kyZtE-Cwn5zskl7GD4loQ/edit?usp=sharing"",""กำแพงเพชร!J381"")"),16)</f>
        <v>16</v>
      </c>
      <c r="BC14" s="73">
        <f ca="1">IFERROR(__xludf.DUMMYFUNCTION("IMPORTRANGE(""https://docs.google.com/spreadsheets/d/1KxicF4apzSqm0-jIpmueT4kyZtE-Cwn5zskl7GD4loQ/edit?usp=sharing"",""กำแพงเพชร!J382"")"),203.75)</f>
        <v>203.75</v>
      </c>
      <c r="BD14" s="77">
        <f t="shared" ca="1" si="51"/>
        <v>1.6842105263157894</v>
      </c>
    </row>
    <row r="15" spans="1:56" ht="24" customHeight="1" x14ac:dyDescent="0.2">
      <c r="A15" s="78">
        <v>2</v>
      </c>
      <c r="B15" s="79" t="s">
        <v>37</v>
      </c>
      <c r="C15" s="80">
        <f t="shared" ca="1" si="0"/>
        <v>1250420</v>
      </c>
      <c r="D15" s="81">
        <f t="shared" ca="1" si="64"/>
        <v>1161820</v>
      </c>
      <c r="E15" s="82">
        <f ca="1">IFERROR(__xludf.DUMMYFUNCTION("IMPORTRANGE(""https://docs.google.com/spreadsheets/d/1MeEWN-I1oV_STSDYn1IFDPWt_1FKiwhDph83XaGc0o0/edit?usp=sharing"",""งบพรบ!EX15"")"),262800)</f>
        <v>262800</v>
      </c>
      <c r="F15" s="82">
        <f ca="1">IFERROR(__xludf.DUMMYFUNCTION("IMPORTRANGE(""https://docs.google.com/spreadsheets/d/1MeEWN-I1oV_STSDYn1IFDPWt_1FKiwhDph83XaGc0o0/edit?usp=sharing"",""งบพรบ!EY15"")"),899020)</f>
        <v>899020</v>
      </c>
      <c r="G15" s="82">
        <f ca="1">IFERROR(__xludf.DUMMYFUNCTION("IMPORTRANGE(""https://docs.google.com/spreadsheets/d/1MeEWN-I1oV_STSDYn1IFDPWt_1FKiwhDph83XaGc0o0/edit?usp=sharing"",""งบพรบ!EZ15"")"),88600)</f>
        <v>88600</v>
      </c>
      <c r="H15" s="82">
        <f ca="1">IFERROR(__xludf.DUMMYFUNCTION("IMPORTRANGE(""https://docs.google.com/spreadsheets/d/1MeEWN-I1oV_STSDYn1IFDPWt_1FKiwhDph83XaGc0o0/edit?usp=sharing"",""งบพรบ!FB15"")"),736870)</f>
        <v>736870</v>
      </c>
      <c r="I15" s="82">
        <f ca="1">IFERROR(__xludf.DUMMYFUNCTION("IMPORTRANGE(""https://docs.google.com/spreadsheets/d/1MeEWN-I1oV_STSDYn1IFDPWt_1FKiwhDph83XaGc0o0/edit?usp=sharing"",""งบพรบ!FC15"")"),88600)</f>
        <v>88600</v>
      </c>
      <c r="J15" s="82">
        <f t="shared" ca="1" si="3"/>
        <v>594598.54</v>
      </c>
      <c r="K15" s="83">
        <f t="shared" ca="1" si="4"/>
        <v>47.551905759664756</v>
      </c>
      <c r="L15" s="82">
        <f ca="1">IFERROR(__xludf.DUMMYFUNCTION("IMPORTRANGE(""https://docs.google.com/spreadsheets/d/1MeEWN-I1oV_STSDYn1IFDPWt_1FKiwhDph83XaGc0o0/edit?usp=sharing"",""งบพรบ!FD15"")"),505998.54)</f>
        <v>505998.54</v>
      </c>
      <c r="M15" s="84">
        <f t="shared" ca="1" si="5"/>
        <v>43.552231843142657</v>
      </c>
      <c r="N15" s="84">
        <f t="shared" ca="1" si="6"/>
        <v>68.668630830404283</v>
      </c>
      <c r="O15" s="85">
        <f ca="1">IFERROR(__xludf.DUMMYFUNCTION("IMPORTRANGE(""https://docs.google.com/spreadsheets/d/1MeEWN-I1oV_STSDYn1IFDPWt_1FKiwhDph83XaGc0o0/edit?usp=sharing"",""งบพรบ!FE15"")"),88600)</f>
        <v>88600</v>
      </c>
      <c r="P15" s="84">
        <f t="shared" ca="1" si="53"/>
        <v>100</v>
      </c>
      <c r="Q15" s="84">
        <f t="shared" ca="1" si="8"/>
        <v>100</v>
      </c>
      <c r="R15" s="86">
        <f ca="1">IFERROR(__xludf.DUMMYFUNCTION("IMPORTRANGE(""https://docs.google.com/spreadsheets/d/1ZNYWeiFoFA1K1U4xKWqRX29MBvEyRHXORjo734Gnq_c/edit?usp=sharing"",""เชียงราย!I359"")"),3600)</f>
        <v>3600</v>
      </c>
      <c r="S15" s="86">
        <f ca="1">IFERROR(__xludf.DUMMYFUNCTION("IMPORTRANGE(""https://docs.google.com/spreadsheets/d/1ZNYWeiFoFA1K1U4xKWqRX29MBvEyRHXORjo734Gnq_c/edit?usp=sharing"",""เชียงราย!J358"")"),120)</f>
        <v>120</v>
      </c>
      <c r="T15" s="86">
        <f ca="1">IFERROR(__xludf.DUMMYFUNCTION("IMPORTRANGE(""https://docs.google.com/spreadsheets/d/1ZNYWeiFoFA1K1U4xKWqRX29MBvEyRHXORjo734Gnq_c/edit?usp=sharing"",""เชียงราย!J359"")"),576.24)</f>
        <v>576.24</v>
      </c>
      <c r="U15" s="87">
        <f t="shared" ca="1" si="43"/>
        <v>16.006666666666668</v>
      </c>
      <c r="V15" s="86">
        <f ca="1">IFERROR(__xludf.DUMMYFUNCTION("IMPORTRANGE(""https://docs.google.com/spreadsheets/d/1ZNYWeiFoFA1K1U4xKWqRX29MBvEyRHXORjo734Gnq_c/edit?usp=sharing"",""เชียงราย!I360"")"),460)</f>
        <v>460</v>
      </c>
      <c r="W15" s="86">
        <f ca="1">IFERROR(__xludf.DUMMYFUNCTION("IMPORTRANGE(""https://docs.google.com/spreadsheets/d/1ZNYWeiFoFA1K1U4xKWqRX29MBvEyRHXORjo734Gnq_c/edit?usp=sharing"",""เชียงราย!J360"")"),86)</f>
        <v>86</v>
      </c>
      <c r="X15" s="86">
        <f ca="1">IFERROR(__xludf.DUMMYFUNCTION("IMPORTRANGE(""https://docs.google.com/spreadsheets/d/1ZNYWeiFoFA1K1U4xKWqRX29MBvEyRHXORjo734Gnq_c/edit?usp=sharing"",""เชียงราย!J361"")"),371.539999999999)</f>
        <v>371.539999999999</v>
      </c>
      <c r="Y15" s="87">
        <f t="shared" ca="1" si="44"/>
        <v>18.695652173913043</v>
      </c>
      <c r="Z15" s="86">
        <f ca="1">IFERROR(__xludf.DUMMYFUNCTION("IMPORTRANGE(""https://docs.google.com/spreadsheets/d/1ZNYWeiFoFA1K1U4xKWqRX29MBvEyRHXORjo734Gnq_c/edit?usp=sharing"",""เชียงราย!I362"")"),460)</f>
        <v>460</v>
      </c>
      <c r="AA15" s="86">
        <f ca="1">IFERROR(__xludf.DUMMYFUNCTION("IMPORTRANGE(""https://docs.google.com/spreadsheets/d/1ZNYWeiFoFA1K1U4xKWqRX29MBvEyRHXORjo734Gnq_c/edit?usp=sharing"",""เชียงราย!J362"")"),114)</f>
        <v>114</v>
      </c>
      <c r="AB15" s="86">
        <f ca="1">IFERROR(__xludf.DUMMYFUNCTION("IMPORTRANGE(""https://docs.google.com/spreadsheets/d/1ZNYWeiFoFA1K1U4xKWqRX29MBvEyRHXORjo734Gnq_c/edit?usp=sharing"",""เชียงราย!J363"")"),579.41)</f>
        <v>579.41</v>
      </c>
      <c r="AC15" s="87">
        <f t="shared" ca="1" si="45"/>
        <v>24.782608695652176</v>
      </c>
      <c r="AD15" s="86">
        <f ca="1">IFERROR(__xludf.DUMMYFUNCTION("IMPORTRANGE(""https://docs.google.com/spreadsheets/d/1ZNYWeiFoFA1K1U4xKWqRX29MBvEyRHXORjo734Gnq_c/edit?usp=sharing"",""เชียงราย!I364"")"),1360)</f>
        <v>1360</v>
      </c>
      <c r="AE15" s="86">
        <f ca="1">IFERROR(__xludf.DUMMYFUNCTION("IMPORTRANGE(""https://docs.google.com/spreadsheets/d/1ZNYWeiFoFA1K1U4xKWqRX29MBvEyRHXORjo734Gnq_c/edit?usp=sharing"",""เชียงราย!J364"")"),266)</f>
        <v>266</v>
      </c>
      <c r="AF15" s="87">
        <f t="shared" ca="1" si="16"/>
        <v>19.558823529411764</v>
      </c>
      <c r="AG15" s="86">
        <f ca="1">IFERROR(__xludf.DUMMYFUNCTION("IMPORTRANGE(""https://docs.google.com/spreadsheets/d/1ZNYWeiFoFA1K1U4xKWqRX29MBvEyRHXORjo734Gnq_c/edit?usp=sharing"",""เชียงราย!I369"")"),1100)</f>
        <v>1100</v>
      </c>
      <c r="AH15" s="86">
        <f ca="1">IFERROR(__xludf.DUMMYFUNCTION("IMPORTRANGE(""https://docs.google.com/spreadsheets/d/1ZNYWeiFoFA1K1U4xKWqRX29MBvEyRHXORjo734Gnq_c/edit?usp=sharing"",""เชียงราย!J368"")"),12)</f>
        <v>12</v>
      </c>
      <c r="AI15" s="86">
        <f ca="1">IFERROR(__xludf.DUMMYFUNCTION("IMPORTRANGE(""https://docs.google.com/spreadsheets/d/1ZNYWeiFoFA1K1U4xKWqRX29MBvEyRHXORjo734Gnq_c/edit?usp=sharing"",""เชียงราย!J369"")"),62.55)</f>
        <v>62.55</v>
      </c>
      <c r="AJ15" s="87">
        <f t="shared" ca="1" si="46"/>
        <v>5.6863636363636365</v>
      </c>
      <c r="AK15" s="86">
        <f ca="1">IFERROR(__xludf.DUMMYFUNCTION("IMPORTRANGE(""https://docs.google.com/spreadsheets/d/1ZNYWeiFoFA1K1U4xKWqRX29MBvEyRHXORjo734Gnq_c/edit?usp=sharing"",""เชียงราย!I370"")"),110)</f>
        <v>110</v>
      </c>
      <c r="AL15" s="86">
        <f ca="1">IFERROR(__xludf.DUMMYFUNCTION("IMPORTRANGE(""https://docs.google.com/spreadsheets/d/1ZNYWeiFoFA1K1U4xKWqRX29MBvEyRHXORjo734Gnq_c/edit?usp=sharing"",""เชียงราย!J370"")"),6)</f>
        <v>6</v>
      </c>
      <c r="AM15" s="86">
        <f ca="1">IFERROR(__xludf.DUMMYFUNCTION("IMPORTRANGE(""https://docs.google.com/spreadsheets/d/1ZNYWeiFoFA1K1U4xKWqRX29MBvEyRHXORjo734Gnq_c/edit?usp=sharing"",""เชียงราย!J371"")"),23.64)</f>
        <v>23.64</v>
      </c>
      <c r="AN15" s="87">
        <f t="shared" ca="1" si="47"/>
        <v>5.4545454545454541</v>
      </c>
      <c r="AO15" s="86">
        <f ca="1">IFERROR(__xludf.DUMMYFUNCTION("IMPORTRANGE(""https://docs.google.com/spreadsheets/d/1ZNYWeiFoFA1K1U4xKWqRX29MBvEyRHXORjo734Gnq_c/edit?usp=sharing"",""เชียงราย!I372"")"),110)</f>
        <v>110</v>
      </c>
      <c r="AP15" s="86">
        <f ca="1">IFERROR(__xludf.DUMMYFUNCTION("IMPORTRANGE(""https://docs.google.com/spreadsheets/d/1ZNYWeiFoFA1K1U4xKWqRX29MBvEyRHXORjo734Gnq_c/edit?usp=sharing"",""เชียงราย!J372"")"),6)</f>
        <v>6</v>
      </c>
      <c r="AQ15" s="86">
        <f ca="1">IFERROR(__xludf.DUMMYFUNCTION("IMPORTRANGE(""https://docs.google.com/spreadsheets/d/1ZNYWeiFoFA1K1U4xKWqRX29MBvEyRHXORjo734Gnq_c/edit?usp=sharing"",""เชียงราย!J373"")"),65.72)</f>
        <v>65.72</v>
      </c>
      <c r="AR15" s="87">
        <f t="shared" ca="1" si="48"/>
        <v>5.4545454545454541</v>
      </c>
      <c r="AS15" s="86">
        <f ca="1">IFERROR(__xludf.DUMMYFUNCTION("IMPORTRANGE(""https://docs.google.com/spreadsheets/d/1ZNYWeiFoFA1K1U4xKWqRX29MBvEyRHXORjo734Gnq_c/edit?usp=sharing"",""เชียงราย!I378"")"),2500)</f>
        <v>2500</v>
      </c>
      <c r="AT15" s="86">
        <f ca="1">IFERROR(__xludf.DUMMYFUNCTION("IMPORTRANGE(""https://docs.google.com/spreadsheets/d/1ZNYWeiFoFA1K1U4xKWqRX29MBvEyRHXORjo734Gnq_c/edit?usp=sharing"",""เชียงราย!J377"")"),108)</f>
        <v>108</v>
      </c>
      <c r="AU15" s="86">
        <f ca="1">IFERROR(__xludf.DUMMYFUNCTION("IMPORTRANGE(""https://docs.google.com/spreadsheets/d/1ZNYWeiFoFA1K1U4xKWqRX29MBvEyRHXORjo734Gnq_c/edit?usp=sharing"",""เชียงราย!J378"")"),513.69)</f>
        <v>513.69000000000005</v>
      </c>
      <c r="AV15" s="87">
        <f t="shared" ca="1" si="49"/>
        <v>20.547600000000003</v>
      </c>
      <c r="AW15" s="86">
        <f ca="1">IFERROR(__xludf.DUMMYFUNCTION("IMPORTRANGE(""https://docs.google.com/spreadsheets/d/1ZNYWeiFoFA1K1U4xKWqRX29MBvEyRHXORjo734Gnq_c/edit?usp=sharing"",""เชียงราย!I379"")"),1250)</f>
        <v>1250</v>
      </c>
      <c r="AX15" s="86">
        <f ca="1">IFERROR(__xludf.DUMMYFUNCTION("IMPORTRANGE(""https://docs.google.com/spreadsheets/d/1ZNYWeiFoFA1K1U4xKWqRX29MBvEyRHXORjo734Gnq_c/edit?usp=sharing"",""เชียงราย!J379"")"),250)</f>
        <v>250</v>
      </c>
      <c r="AY15" s="86">
        <f ca="1">IFERROR(__xludf.DUMMYFUNCTION("IMPORTRANGE(""https://docs.google.com/spreadsheets/d/1ZNYWeiFoFA1K1U4xKWqRX29MBvEyRHXORjo734Gnq_c/edit?usp=sharing"",""เชียงราย!J380"")"),1707.54)</f>
        <v>1707.54</v>
      </c>
      <c r="AZ15" s="87">
        <f t="shared" ca="1" si="50"/>
        <v>20</v>
      </c>
      <c r="BA15" s="86">
        <f ca="1">IFERROR(__xludf.DUMMYFUNCTION("IMPORTRANGE(""https://docs.google.com/spreadsheets/d/1ZNYWeiFoFA1K1U4xKWqRX29MBvEyRHXORjo734Gnq_c/edit?usp=sharing"",""เชียงราย!I381"")"),1250)</f>
        <v>1250</v>
      </c>
      <c r="BB15" s="86">
        <f ca="1">IFERROR(__xludf.DUMMYFUNCTION("IMPORTRANGE(""https://docs.google.com/spreadsheets/d/1ZNYWeiFoFA1K1U4xKWqRX29MBvEyRHXORjo734Gnq_c/edit?usp=sharing"",""เชียงราย!J381"")"),260)</f>
        <v>260</v>
      </c>
      <c r="BC15" s="86">
        <f ca="1">IFERROR(__xludf.DUMMYFUNCTION("IMPORTRANGE(""https://docs.google.com/spreadsheets/d/1ZNYWeiFoFA1K1U4xKWqRX29MBvEyRHXORjo734Gnq_c/edit?usp=sharing"",""เชียงราย!J382"")"),1753.54)</f>
        <v>1753.54</v>
      </c>
      <c r="BD15" s="87">
        <f t="shared" ca="1" si="51"/>
        <v>20.8</v>
      </c>
    </row>
    <row r="16" spans="1:56" ht="24" customHeight="1" x14ac:dyDescent="0.2">
      <c r="A16" s="78">
        <v>3</v>
      </c>
      <c r="B16" s="79" t="s">
        <v>38</v>
      </c>
      <c r="C16" s="80">
        <f t="shared" ca="1" si="0"/>
        <v>422030</v>
      </c>
      <c r="D16" s="81">
        <f t="shared" ca="1" si="64"/>
        <v>338230</v>
      </c>
      <c r="E16" s="82">
        <f ca="1">IFERROR(__xludf.DUMMYFUNCTION("IMPORTRANGE(""https://docs.google.com/spreadsheets/d/1MeEWN-I1oV_STSDYn1IFDPWt_1FKiwhDph83XaGc0o0/edit?usp=sharing"",""งบพรบ!EX16"")"),0)</f>
        <v>0</v>
      </c>
      <c r="F16" s="82">
        <f ca="1">IFERROR(__xludf.DUMMYFUNCTION("IMPORTRANGE(""https://docs.google.com/spreadsheets/d/1MeEWN-I1oV_STSDYn1IFDPWt_1FKiwhDph83XaGc0o0/edit?usp=sharing"",""งบพรบ!EY16"")"),338230)</f>
        <v>338230</v>
      </c>
      <c r="G16" s="82">
        <f ca="1">IFERROR(__xludf.DUMMYFUNCTION("IMPORTRANGE(""https://docs.google.com/spreadsheets/d/1MeEWN-I1oV_STSDYn1IFDPWt_1FKiwhDph83XaGc0o0/edit?usp=sharing"",""งบพรบ!EZ16"")"),83800)</f>
        <v>83800</v>
      </c>
      <c r="H16" s="82">
        <f ca="1">IFERROR(__xludf.DUMMYFUNCTION("IMPORTRANGE(""https://docs.google.com/spreadsheets/d/1MeEWN-I1oV_STSDYn1IFDPWt_1FKiwhDph83XaGc0o0/edit?usp=sharing"",""งบพรบ!FB16"")"),225180)</f>
        <v>225180</v>
      </c>
      <c r="I16" s="82">
        <f ca="1">IFERROR(__xludf.DUMMYFUNCTION("IMPORTRANGE(""https://docs.google.com/spreadsheets/d/1MeEWN-I1oV_STSDYn1IFDPWt_1FKiwhDph83XaGc0o0/edit?usp=sharing"",""งบพรบ!FC16"")"),83800)</f>
        <v>83800</v>
      </c>
      <c r="J16" s="82">
        <f t="shared" ca="1" si="3"/>
        <v>139980</v>
      </c>
      <c r="K16" s="83">
        <f t="shared" ca="1" si="4"/>
        <v>33.168258180698054</v>
      </c>
      <c r="L16" s="82">
        <f ca="1">IFERROR(__xludf.DUMMYFUNCTION("IMPORTRANGE(""https://docs.google.com/spreadsheets/d/1MeEWN-I1oV_STSDYn1IFDPWt_1FKiwhDph83XaGc0o0/edit?usp=sharing"",""งบพรบ!FD16"")"),56180)</f>
        <v>56180</v>
      </c>
      <c r="M16" s="84">
        <f t="shared" ca="1" si="5"/>
        <v>16.609999113029595</v>
      </c>
      <c r="N16" s="84">
        <f t="shared" ca="1" si="6"/>
        <v>24.948929745092816</v>
      </c>
      <c r="O16" s="85">
        <f ca="1">IFERROR(__xludf.DUMMYFUNCTION("IMPORTRANGE(""https://docs.google.com/spreadsheets/d/1MeEWN-I1oV_STSDYn1IFDPWt_1FKiwhDph83XaGc0o0/edit?usp=sharing"",""งบพรบ!FE16"")"),83800)</f>
        <v>83800</v>
      </c>
      <c r="P16" s="84">
        <f t="shared" ca="1" si="53"/>
        <v>100</v>
      </c>
      <c r="Q16" s="84">
        <f t="shared" ca="1" si="8"/>
        <v>100</v>
      </c>
      <c r="R16" s="86">
        <f ca="1">IFERROR(__xludf.DUMMYFUNCTION("IMPORTRANGE(""https://docs.google.com/spreadsheets/d/1Jgv0Y7YlHDtsiDawwp-uvifEJ8HVaSn0k2aGHG8-hwM/edit?usp=sharing"",""เชียงใหม่!I359"")"),1100)</f>
        <v>1100</v>
      </c>
      <c r="S16" s="86">
        <f ca="1">IFERROR(__xludf.DUMMYFUNCTION("IMPORTRANGE(""https://docs.google.com/spreadsheets/d/1Jgv0Y7YlHDtsiDawwp-uvifEJ8HVaSn0k2aGHG8-hwM/edit?usp=sharing"",""เชียงใหม่!J358"")"),32)</f>
        <v>32</v>
      </c>
      <c r="T16" s="86">
        <f ca="1">IFERROR(__xludf.DUMMYFUNCTION("IMPORTRANGE(""https://docs.google.com/spreadsheets/d/1Jgv0Y7YlHDtsiDawwp-uvifEJ8HVaSn0k2aGHG8-hwM/edit?usp=sharing"",""เชียงใหม่!J359"")"),244.67)</f>
        <v>244.67</v>
      </c>
      <c r="U16" s="87">
        <f t="shared" ca="1" si="43"/>
        <v>22.242727272727272</v>
      </c>
      <c r="V16" s="86">
        <f ca="1">IFERROR(__xludf.DUMMYFUNCTION("IMPORTRANGE(""https://docs.google.com/spreadsheets/d/1Jgv0Y7YlHDtsiDawwp-uvifEJ8HVaSn0k2aGHG8-hwM/edit?usp=sharing"",""เชียงใหม่!I360"")"),110)</f>
        <v>110</v>
      </c>
      <c r="W16" s="86">
        <f ca="1">IFERROR(__xludf.DUMMYFUNCTION("IMPORTRANGE(""https://docs.google.com/spreadsheets/d/1Jgv0Y7YlHDtsiDawwp-uvifEJ8HVaSn0k2aGHG8-hwM/edit?usp=sharing"",""เชียงใหม่!J360"")"),24)</f>
        <v>24</v>
      </c>
      <c r="X16" s="86">
        <f ca="1">IFERROR(__xludf.DUMMYFUNCTION("IMPORTRANGE(""https://docs.google.com/spreadsheets/d/1Jgv0Y7YlHDtsiDawwp-uvifEJ8HVaSn0k2aGHG8-hwM/edit?usp=sharing"",""เชียงใหม่!J361"")"),226.32)</f>
        <v>226.32</v>
      </c>
      <c r="Y16" s="87">
        <f t="shared" ca="1" si="44"/>
        <v>21.818181818181817</v>
      </c>
      <c r="Z16" s="86">
        <f ca="1">IFERROR(__xludf.DUMMYFUNCTION("IMPORTRANGE(""https://docs.google.com/spreadsheets/d/1Jgv0Y7YlHDtsiDawwp-uvifEJ8HVaSn0k2aGHG8-hwM/edit?usp=sharing"",""เชียงใหม่!I362"")"),110)</f>
        <v>110</v>
      </c>
      <c r="AA16" s="86">
        <f ca="1">IFERROR(__xludf.DUMMYFUNCTION("IMPORTRANGE(""https://docs.google.com/spreadsheets/d/1Jgv0Y7YlHDtsiDawwp-uvifEJ8HVaSn0k2aGHG8-hwM/edit?usp=sharing"",""เชียงใหม่!J362"")"),0)</f>
        <v>0</v>
      </c>
      <c r="AB16" s="86">
        <f ca="1">IFERROR(__xludf.DUMMYFUNCTION("IMPORTRANGE(""https://docs.google.com/spreadsheets/d/1Jgv0Y7YlHDtsiDawwp-uvifEJ8HVaSn0k2aGHG8-hwM/edit?usp=sharing"",""เชียงใหม่!J363"")"),0)</f>
        <v>0</v>
      </c>
      <c r="AC16" s="87">
        <f t="shared" ca="1" si="45"/>
        <v>0</v>
      </c>
      <c r="AD16" s="86">
        <f ca="1">IFERROR(__xludf.DUMMYFUNCTION("IMPORTRANGE(""https://docs.google.com/spreadsheets/d/1Jgv0Y7YlHDtsiDawwp-uvifEJ8HVaSn0k2aGHG8-hwM/edit?usp=sharing"",""เชียงใหม่!I364"")"),270)</f>
        <v>270</v>
      </c>
      <c r="AE16" s="86">
        <f ca="1">IFERROR(__xludf.DUMMYFUNCTION("IMPORTRANGE(""https://docs.google.com/spreadsheets/d/1Jgv0Y7YlHDtsiDawwp-uvifEJ8HVaSn0k2aGHG8-hwM/edit?usp=sharing"",""เชียงใหม่!J364"")"),28)</f>
        <v>28</v>
      </c>
      <c r="AF16" s="87">
        <f t="shared" ca="1" si="16"/>
        <v>10.37037037037037</v>
      </c>
      <c r="AG16" s="86">
        <f ca="1">IFERROR(__xludf.DUMMYFUNCTION("IMPORTRANGE(""https://docs.google.com/spreadsheets/d/1Jgv0Y7YlHDtsiDawwp-uvifEJ8HVaSn0k2aGHG8-hwM/edit?usp=sharing"",""เชียงใหม่!I369"")"),800)</f>
        <v>800</v>
      </c>
      <c r="AH16" s="86">
        <f ca="1">IFERROR(__xludf.DUMMYFUNCTION("IMPORTRANGE(""https://docs.google.com/spreadsheets/d/1Jgv0Y7YlHDtsiDawwp-uvifEJ8HVaSn0k2aGHG8-hwM/edit?usp=sharing"",""เชียงใหม่!J368"")"),32)</f>
        <v>32</v>
      </c>
      <c r="AI16" s="86">
        <f ca="1">IFERROR(__xludf.DUMMYFUNCTION("IMPORTRANGE(""https://docs.google.com/spreadsheets/d/1Jgv0Y7YlHDtsiDawwp-uvifEJ8HVaSn0k2aGHG8-hwM/edit?usp=sharing"",""เชียงใหม่!J369"")"),244.67)</f>
        <v>244.67</v>
      </c>
      <c r="AJ16" s="87">
        <f t="shared" ca="1" si="46"/>
        <v>30.583749999999998</v>
      </c>
      <c r="AK16" s="86">
        <f ca="1">IFERROR(__xludf.DUMMYFUNCTION("IMPORTRANGE(""https://docs.google.com/spreadsheets/d/1Jgv0Y7YlHDtsiDawwp-uvifEJ8HVaSn0k2aGHG8-hwM/edit?usp=sharing"",""เชียงใหม่!I370"")"),80)</f>
        <v>80</v>
      </c>
      <c r="AL16" s="86">
        <f ca="1">IFERROR(__xludf.DUMMYFUNCTION("IMPORTRANGE(""https://docs.google.com/spreadsheets/d/1Jgv0Y7YlHDtsiDawwp-uvifEJ8HVaSn0k2aGHG8-hwM/edit?usp=sharing"",""เชียงใหม่!J370"")"),24)</f>
        <v>24</v>
      </c>
      <c r="AM16" s="86">
        <f ca="1">IFERROR(__xludf.DUMMYFUNCTION("IMPORTRANGE(""https://docs.google.com/spreadsheets/d/1Jgv0Y7YlHDtsiDawwp-uvifEJ8HVaSn0k2aGHG8-hwM/edit?usp=sharing"",""เชียงใหม่!J371"")"),226.32)</f>
        <v>226.32</v>
      </c>
      <c r="AN16" s="87">
        <f t="shared" ca="1" si="47"/>
        <v>30</v>
      </c>
      <c r="AO16" s="86">
        <f ca="1">IFERROR(__xludf.DUMMYFUNCTION("IMPORTRANGE(""https://docs.google.com/spreadsheets/d/1Jgv0Y7YlHDtsiDawwp-uvifEJ8HVaSn0k2aGHG8-hwM/edit?usp=sharing"",""เชียงใหม่!I372"")"),80)</f>
        <v>80</v>
      </c>
      <c r="AP16" s="86">
        <f ca="1">IFERROR(__xludf.DUMMYFUNCTION("IMPORTRANGE(""https://docs.google.com/spreadsheets/d/1Jgv0Y7YlHDtsiDawwp-uvifEJ8HVaSn0k2aGHG8-hwM/edit?usp=sharing"",""เชียงใหม่!J372"")"),0)</f>
        <v>0</v>
      </c>
      <c r="AQ16" s="86">
        <f ca="1">IFERROR(__xludf.DUMMYFUNCTION("IMPORTRANGE(""https://docs.google.com/spreadsheets/d/1Jgv0Y7YlHDtsiDawwp-uvifEJ8HVaSn0k2aGHG8-hwM/edit?usp=sharing"",""เชียงใหม่!J373"")"),0)</f>
        <v>0</v>
      </c>
      <c r="AR16" s="87">
        <f t="shared" ca="1" si="48"/>
        <v>0</v>
      </c>
      <c r="AS16" s="86">
        <f ca="1">IFERROR(__xludf.DUMMYFUNCTION("IMPORTRANGE(""https://docs.google.com/spreadsheets/d/1Jgv0Y7YlHDtsiDawwp-uvifEJ8HVaSn0k2aGHG8-hwM/edit?usp=sharing"",""เชียงใหม่!I378"")"),300)</f>
        <v>300</v>
      </c>
      <c r="AT16" s="86">
        <f ca="1">IFERROR(__xludf.DUMMYFUNCTION("IMPORTRANGE(""https://docs.google.com/spreadsheets/d/1Jgv0Y7YlHDtsiDawwp-uvifEJ8HVaSn0k2aGHG8-hwM/edit?usp=sharing"",""เชียงใหม่!J377"")"),0)</f>
        <v>0</v>
      </c>
      <c r="AU16" s="86">
        <f ca="1">IFERROR(__xludf.DUMMYFUNCTION("IMPORTRANGE(""https://docs.google.com/spreadsheets/d/1Jgv0Y7YlHDtsiDawwp-uvifEJ8HVaSn0k2aGHG8-hwM/edit?usp=sharing"",""เชียงใหม่!J378"")"),0)</f>
        <v>0</v>
      </c>
      <c r="AV16" s="87">
        <f t="shared" ca="1" si="49"/>
        <v>0</v>
      </c>
      <c r="AW16" s="86">
        <f ca="1">IFERROR(__xludf.DUMMYFUNCTION("IMPORTRANGE(""https://docs.google.com/spreadsheets/d/1Jgv0Y7YlHDtsiDawwp-uvifEJ8HVaSn0k2aGHG8-hwM/edit?usp=sharing"",""เชียงใหม่!I379"")"),190)</f>
        <v>190</v>
      </c>
      <c r="AX16" s="86">
        <f ca="1">IFERROR(__xludf.DUMMYFUNCTION("IMPORTRANGE(""https://docs.google.com/spreadsheets/d/1Jgv0Y7YlHDtsiDawwp-uvifEJ8HVaSn0k2aGHG8-hwM/edit?usp=sharing"",""เชียงใหม่!J379"")"),49)</f>
        <v>49</v>
      </c>
      <c r="AY16" s="86">
        <f ca="1">IFERROR(__xludf.DUMMYFUNCTION("IMPORTRANGE(""https://docs.google.com/spreadsheets/d/1Jgv0Y7YlHDtsiDawwp-uvifEJ8HVaSn0k2aGHG8-hwM/edit?usp=sharing"",""เชียงใหม่!J380"")"),308.37)</f>
        <v>308.37</v>
      </c>
      <c r="AZ16" s="87">
        <f t="shared" ca="1" si="50"/>
        <v>25.789473684210527</v>
      </c>
      <c r="BA16" s="86">
        <f ca="1">IFERROR(__xludf.DUMMYFUNCTION("IMPORTRANGE(""https://docs.google.com/spreadsheets/d/1Jgv0Y7YlHDtsiDawwp-uvifEJ8HVaSn0k2aGHG8-hwM/edit?usp=sharing"",""เชียงใหม่!I381"")"),190)</f>
        <v>190</v>
      </c>
      <c r="BB16" s="86">
        <f ca="1">IFERROR(__xludf.DUMMYFUNCTION("IMPORTRANGE(""https://docs.google.com/spreadsheets/d/1Jgv0Y7YlHDtsiDawwp-uvifEJ8HVaSn0k2aGHG8-hwM/edit?usp=sharing"",""เชียงใหม่!J381"")"),28)</f>
        <v>28</v>
      </c>
      <c r="BC16" s="86">
        <f ca="1">IFERROR(__xludf.DUMMYFUNCTION("IMPORTRANGE(""https://docs.google.com/spreadsheets/d/1Jgv0Y7YlHDtsiDawwp-uvifEJ8HVaSn0k2aGHG8-hwM/edit?usp=sharing"",""เชียงใหม่!J382"")"),155.28)</f>
        <v>155.28</v>
      </c>
      <c r="BD16" s="87">
        <f t="shared" ca="1" si="51"/>
        <v>14.736842105263158</v>
      </c>
    </row>
    <row r="17" spans="1:56" ht="24" customHeight="1" x14ac:dyDescent="0.2">
      <c r="A17" s="78">
        <v>4</v>
      </c>
      <c r="B17" s="79" t="s">
        <v>39</v>
      </c>
      <c r="C17" s="80">
        <f t="shared" ca="1" si="0"/>
        <v>768200</v>
      </c>
      <c r="D17" s="81">
        <f t="shared" ca="1" si="64"/>
        <v>695600</v>
      </c>
      <c r="E17" s="82">
        <f ca="1">IFERROR(__xludf.DUMMYFUNCTION("IMPORTRANGE(""https://docs.google.com/spreadsheets/d/1MeEWN-I1oV_STSDYn1IFDPWt_1FKiwhDph83XaGc0o0/edit?usp=sharing"",""งบพรบ!EX17"")"),228000)</f>
        <v>228000</v>
      </c>
      <c r="F17" s="82">
        <f ca="1">IFERROR(__xludf.DUMMYFUNCTION("IMPORTRANGE(""https://docs.google.com/spreadsheets/d/1MeEWN-I1oV_STSDYn1IFDPWt_1FKiwhDph83XaGc0o0/edit?usp=sharing"",""งบพรบ!EY17"")"),467600)</f>
        <v>467600</v>
      </c>
      <c r="G17" s="82">
        <f ca="1">IFERROR(__xludf.DUMMYFUNCTION("IMPORTRANGE(""https://docs.google.com/spreadsheets/d/1MeEWN-I1oV_STSDYn1IFDPWt_1FKiwhDph83XaGc0o0/edit?usp=sharing"",""งบพรบ!EZ17"")"),72600)</f>
        <v>72600</v>
      </c>
      <c r="H17" s="82">
        <f ca="1">IFERROR(__xludf.DUMMYFUNCTION("IMPORTRANGE(""https://docs.google.com/spreadsheets/d/1MeEWN-I1oV_STSDYn1IFDPWt_1FKiwhDph83XaGc0o0/edit?usp=sharing"",""งบพรบ!FB17"")"),456200)</f>
        <v>456200</v>
      </c>
      <c r="I17" s="82">
        <f ca="1">IFERROR(__xludf.DUMMYFUNCTION("IMPORTRANGE(""https://docs.google.com/spreadsheets/d/1MeEWN-I1oV_STSDYn1IFDPWt_1FKiwhDph83XaGc0o0/edit?usp=sharing"",""งบพรบ!FC17"")"),71580)</f>
        <v>71580</v>
      </c>
      <c r="J17" s="82">
        <f t="shared" ca="1" si="3"/>
        <v>293384</v>
      </c>
      <c r="K17" s="83">
        <f t="shared" ca="1" si="4"/>
        <v>38.191096068732101</v>
      </c>
      <c r="L17" s="82">
        <f ca="1">IFERROR(__xludf.DUMMYFUNCTION("IMPORTRANGE(""https://docs.google.com/spreadsheets/d/1MeEWN-I1oV_STSDYn1IFDPWt_1FKiwhDph83XaGc0o0/edit?usp=sharing"",""งบพรบ!FD17"")"),221804)</f>
        <v>221804</v>
      </c>
      <c r="M17" s="84">
        <f t="shared" ca="1" si="5"/>
        <v>31.88671650373778</v>
      </c>
      <c r="N17" s="84">
        <f t="shared" ca="1" si="6"/>
        <v>48.619903551074088</v>
      </c>
      <c r="O17" s="85">
        <f ca="1">IFERROR(__xludf.DUMMYFUNCTION("IMPORTRANGE(""https://docs.google.com/spreadsheets/d/1MeEWN-I1oV_STSDYn1IFDPWt_1FKiwhDph83XaGc0o0/edit?usp=sharing"",""งบพรบ!FE17"")"),71580)</f>
        <v>71580</v>
      </c>
      <c r="P17" s="84">
        <f t="shared" ca="1" si="53"/>
        <v>98.595041322314046</v>
      </c>
      <c r="Q17" s="84">
        <f t="shared" ca="1" si="8"/>
        <v>100</v>
      </c>
      <c r="R17" s="86">
        <f ca="1">IFERROR(__xludf.DUMMYFUNCTION("IMPORTRANGE(""https://docs.google.com/spreadsheets/d/1JWG2rZePOz9pe-f-ObA-yDr0VoOX2kSb0qIix2mTUo8/edit?usp=sharing"",""ตาก!I359"")"),2500)</f>
        <v>2500</v>
      </c>
      <c r="S17" s="86">
        <f ca="1">IFERROR(__xludf.DUMMYFUNCTION("IMPORTRANGE(""https://docs.google.com/spreadsheets/d/1JWG2rZePOz9pe-f-ObA-yDr0VoOX2kSb0qIix2mTUo8/edit?usp=sharing"",""ตาก!J358"")"),69)</f>
        <v>69</v>
      </c>
      <c r="T17" s="86">
        <f ca="1">IFERROR(__xludf.DUMMYFUNCTION("IMPORTRANGE(""https://docs.google.com/spreadsheets/d/1JWG2rZePOz9pe-f-ObA-yDr0VoOX2kSb0qIix2mTUo8/edit?usp=sharing"",""ตาก!J359"")"),553.56)</f>
        <v>553.55999999999995</v>
      </c>
      <c r="U17" s="87">
        <f t="shared" ca="1" si="43"/>
        <v>22.142399999999999</v>
      </c>
      <c r="V17" s="86">
        <f ca="1">IFERROR(__xludf.DUMMYFUNCTION("IMPORTRANGE(""https://docs.google.com/spreadsheets/d/1JWG2rZePOz9pe-f-ObA-yDr0VoOX2kSb0qIix2mTUo8/edit?usp=sharing"",""ตาก!I360"")"),250)</f>
        <v>250</v>
      </c>
      <c r="W17" s="86">
        <f ca="1">IFERROR(__xludf.DUMMYFUNCTION("IMPORTRANGE(""https://docs.google.com/spreadsheets/d/1JWG2rZePOz9pe-f-ObA-yDr0VoOX2kSb0qIix2mTUo8/edit?usp=sharing"",""ตาก!J360"")"),72)</f>
        <v>72</v>
      </c>
      <c r="X17" s="86">
        <f ca="1">IFERROR(__xludf.DUMMYFUNCTION("IMPORTRANGE(""https://docs.google.com/spreadsheets/d/1JWG2rZePOz9pe-f-ObA-yDr0VoOX2kSb0qIix2mTUo8/edit?usp=sharing"",""ตาก!J361"")"),684.18)</f>
        <v>684.18</v>
      </c>
      <c r="Y17" s="87">
        <f t="shared" ca="1" si="44"/>
        <v>28.8</v>
      </c>
      <c r="Z17" s="86">
        <f ca="1">IFERROR(__xludf.DUMMYFUNCTION("IMPORTRANGE(""https://docs.google.com/spreadsheets/d/1JWG2rZePOz9pe-f-ObA-yDr0VoOX2kSb0qIix2mTUo8/edit?usp=sharing"",""ตาก!I362"")"),250)</f>
        <v>250</v>
      </c>
      <c r="AA17" s="86">
        <f ca="1">IFERROR(__xludf.DUMMYFUNCTION("IMPORTRANGE(""https://docs.google.com/spreadsheets/d/1JWG2rZePOz9pe-f-ObA-yDr0VoOX2kSb0qIix2mTUo8/edit?usp=sharing"",""ตาก!J362"")"),62)</f>
        <v>62</v>
      </c>
      <c r="AB17" s="86">
        <f ca="1">IFERROR(__xludf.DUMMYFUNCTION("IMPORTRANGE(""https://docs.google.com/spreadsheets/d/1JWG2rZePOz9pe-f-ObA-yDr0VoOX2kSb0qIix2mTUo8/edit?usp=sharing"",""ตาก!J363"")"),500.87)</f>
        <v>500.87</v>
      </c>
      <c r="AC17" s="87">
        <f t="shared" ca="1" si="45"/>
        <v>24.8</v>
      </c>
      <c r="AD17" s="86">
        <f ca="1">IFERROR(__xludf.DUMMYFUNCTION("IMPORTRANGE(""https://docs.google.com/spreadsheets/d/1JWG2rZePOz9pe-f-ObA-yDr0VoOX2kSb0qIix2mTUo8/edit?usp=sharing"",""ตาก!I364"")"),370)</f>
        <v>370</v>
      </c>
      <c r="AE17" s="86">
        <f ca="1">IFERROR(__xludf.DUMMYFUNCTION("IMPORTRANGE(""https://docs.google.com/spreadsheets/d/1JWG2rZePOz9pe-f-ObA-yDr0VoOX2kSb0qIix2mTUo8/edit?usp=sharing"",""ตาก!J364"")"),168)</f>
        <v>168</v>
      </c>
      <c r="AF17" s="87">
        <f t="shared" ca="1" si="16"/>
        <v>45.405405405405403</v>
      </c>
      <c r="AG17" s="86">
        <f ca="1">IFERROR(__xludf.DUMMYFUNCTION("IMPORTRANGE(""https://docs.google.com/spreadsheets/d/1JWG2rZePOz9pe-f-ObA-yDr0VoOX2kSb0qIix2mTUo8/edit?usp=sharing"",""ตาก!I369"")"),1000)</f>
        <v>1000</v>
      </c>
      <c r="AH17" s="86">
        <f ca="1">IFERROR(__xludf.DUMMYFUNCTION("IMPORTRANGE(""https://docs.google.com/spreadsheets/d/1JWG2rZePOz9pe-f-ObA-yDr0VoOX2kSb0qIix2mTUo8/edit?usp=sharing"",""ตาก!J368"")"),16)</f>
        <v>16</v>
      </c>
      <c r="AI17" s="86">
        <f ca="1">IFERROR(__xludf.DUMMYFUNCTION("IMPORTRANGE(""https://docs.google.com/spreadsheets/d/1JWG2rZePOz9pe-f-ObA-yDr0VoOX2kSb0qIix2mTUo8/edit?usp=sharing"",""ตาก!J369"")"),156.24)</f>
        <v>156.24</v>
      </c>
      <c r="AJ17" s="87">
        <f t="shared" ca="1" si="46"/>
        <v>15.624000000000001</v>
      </c>
      <c r="AK17" s="86">
        <f ca="1">IFERROR(__xludf.DUMMYFUNCTION("IMPORTRANGE(""https://docs.google.com/spreadsheets/d/1JWG2rZePOz9pe-f-ObA-yDr0VoOX2kSb0qIix2mTUo8/edit?usp=sharing"",""ตาก!I370"")"),100)</f>
        <v>100</v>
      </c>
      <c r="AL17" s="86">
        <f ca="1">IFERROR(__xludf.DUMMYFUNCTION("IMPORTRANGE(""https://docs.google.com/spreadsheets/d/1JWG2rZePOz9pe-f-ObA-yDr0VoOX2kSb0qIix2mTUo8/edit?usp=sharing"",""ตาก!J370"")"),19)</f>
        <v>19</v>
      </c>
      <c r="AM17" s="86">
        <f ca="1">IFERROR(__xludf.DUMMYFUNCTION("IMPORTRANGE(""https://docs.google.com/spreadsheets/d/1JWG2rZePOz9pe-f-ObA-yDr0VoOX2kSb0qIix2mTUo8/edit?usp=sharing"",""ตาก!J371"")"),286.86)</f>
        <v>286.86</v>
      </c>
      <c r="AN17" s="87">
        <f t="shared" ca="1" si="47"/>
        <v>19</v>
      </c>
      <c r="AO17" s="86">
        <f ca="1">IFERROR(__xludf.DUMMYFUNCTION("IMPORTRANGE(""https://docs.google.com/spreadsheets/d/1JWG2rZePOz9pe-f-ObA-yDr0VoOX2kSb0qIix2mTUo8/edit?usp=sharing"",""ตาก!I372"")"),100)</f>
        <v>100</v>
      </c>
      <c r="AP17" s="86">
        <f ca="1">IFERROR(__xludf.DUMMYFUNCTION("IMPORTRANGE(""https://docs.google.com/spreadsheets/d/1JWG2rZePOz9pe-f-ObA-yDr0VoOX2kSb0qIix2mTUo8/edit?usp=sharing"",""ตาก!J372"")"),9)</f>
        <v>9</v>
      </c>
      <c r="AQ17" s="86">
        <f ca="1">IFERROR(__xludf.DUMMYFUNCTION("IMPORTRANGE(""https://docs.google.com/spreadsheets/d/1JWG2rZePOz9pe-f-ObA-yDr0VoOX2kSb0qIix2mTUo8/edit?usp=sharing"",""ตาก!J373"")"),103.55)</f>
        <v>103.55</v>
      </c>
      <c r="AR17" s="87">
        <f t="shared" ca="1" si="48"/>
        <v>9</v>
      </c>
      <c r="AS17" s="86">
        <f ca="1">IFERROR(__xludf.DUMMYFUNCTION("IMPORTRANGE(""https://docs.google.com/spreadsheets/d/1JWG2rZePOz9pe-f-ObA-yDr0VoOX2kSb0qIix2mTUo8/edit?usp=sharing"",""ตาก!I378"")"),1500)</f>
        <v>1500</v>
      </c>
      <c r="AT17" s="86">
        <f ca="1">IFERROR(__xludf.DUMMYFUNCTION("IMPORTRANGE(""https://docs.google.com/spreadsheets/d/1JWG2rZePOz9pe-f-ObA-yDr0VoOX2kSb0qIix2mTUo8/edit?usp=sharing"",""ตาก!J377"")"),53)</f>
        <v>53</v>
      </c>
      <c r="AU17" s="86">
        <f ca="1">IFERROR(__xludf.DUMMYFUNCTION("IMPORTRANGE(""https://docs.google.com/spreadsheets/d/1JWG2rZePOz9pe-f-ObA-yDr0VoOX2kSb0qIix2mTUo8/edit?usp=sharing"",""ตาก!J378"")"),397.32)</f>
        <v>397.32</v>
      </c>
      <c r="AV17" s="87">
        <f t="shared" ca="1" si="49"/>
        <v>26.488</v>
      </c>
      <c r="AW17" s="86">
        <f ca="1">IFERROR(__xludf.DUMMYFUNCTION("IMPORTRANGE(""https://docs.google.com/spreadsheets/d/1JWG2rZePOz9pe-f-ObA-yDr0VoOX2kSb0qIix2mTUo8/edit?usp=sharing"",""ตาก!I379"")"),270)</f>
        <v>270</v>
      </c>
      <c r="AX17" s="86">
        <f ca="1">IFERROR(__xludf.DUMMYFUNCTION("IMPORTRANGE(""https://docs.google.com/spreadsheets/d/1JWG2rZePOz9pe-f-ObA-yDr0VoOX2kSb0qIix2mTUo8/edit?usp=sharing"",""ตาก!J379"")"),159)</f>
        <v>159</v>
      </c>
      <c r="AY17" s="86">
        <f ca="1">IFERROR(__xludf.DUMMYFUNCTION("IMPORTRANGE(""https://docs.google.com/spreadsheets/d/1JWG2rZePOz9pe-f-ObA-yDr0VoOX2kSb0qIix2mTUo8/edit?usp=sharing"",""ตาก!J380"")"),2339.68)</f>
        <v>2339.6799999999998</v>
      </c>
      <c r="AZ17" s="87">
        <f t="shared" ca="1" si="50"/>
        <v>58.888888888888886</v>
      </c>
      <c r="BA17" s="86">
        <f ca="1">IFERROR(__xludf.DUMMYFUNCTION("IMPORTRANGE(""https://docs.google.com/spreadsheets/d/1JWG2rZePOz9pe-f-ObA-yDr0VoOX2kSb0qIix2mTUo8/edit?usp=sharing"",""ตาก!I381"")"),270)</f>
        <v>270</v>
      </c>
      <c r="BB17" s="86">
        <f ca="1">IFERROR(__xludf.DUMMYFUNCTION("IMPORTRANGE(""https://docs.google.com/spreadsheets/d/1JWG2rZePOz9pe-f-ObA-yDr0VoOX2kSb0qIix2mTUo8/edit?usp=sharing"",""ตาก!J381"")"),159)</f>
        <v>159</v>
      </c>
      <c r="BC17" s="86">
        <f ca="1">IFERROR(__xludf.DUMMYFUNCTION("IMPORTRANGE(""https://docs.google.com/spreadsheets/d/1JWG2rZePOz9pe-f-ObA-yDr0VoOX2kSb0qIix2mTUo8/edit?usp=sharing"",""ตาก!J382"")"),2339.68)</f>
        <v>2339.6799999999998</v>
      </c>
      <c r="BD17" s="87">
        <f t="shared" ca="1" si="51"/>
        <v>58.888888888888886</v>
      </c>
    </row>
    <row r="18" spans="1:56" ht="24" customHeight="1" x14ac:dyDescent="0.2">
      <c r="A18" s="78">
        <v>5</v>
      </c>
      <c r="B18" s="79" t="s">
        <v>40</v>
      </c>
      <c r="C18" s="80">
        <f t="shared" ca="1" si="0"/>
        <v>809950</v>
      </c>
      <c r="D18" s="81">
        <f t="shared" ca="1" si="64"/>
        <v>638950</v>
      </c>
      <c r="E18" s="82">
        <f ca="1">IFERROR(__xludf.DUMMYFUNCTION("IMPORTRANGE(""https://docs.google.com/spreadsheets/d/1MeEWN-I1oV_STSDYn1IFDPWt_1FKiwhDph83XaGc0o0/edit?usp=sharing"",""งบพรบ!EX18"")"),0)</f>
        <v>0</v>
      </c>
      <c r="F18" s="82">
        <f ca="1">IFERROR(__xludf.DUMMYFUNCTION("IMPORTRANGE(""https://docs.google.com/spreadsheets/d/1MeEWN-I1oV_STSDYn1IFDPWt_1FKiwhDph83XaGc0o0/edit?usp=sharing"",""งบพรบ!EY18"")"),638950)</f>
        <v>638950</v>
      </c>
      <c r="G18" s="82">
        <f ca="1">IFERROR(__xludf.DUMMYFUNCTION("IMPORTRANGE(""https://docs.google.com/spreadsheets/d/1MeEWN-I1oV_STSDYn1IFDPWt_1FKiwhDph83XaGc0o0/edit?usp=sharing"",""งบพรบ!EZ18"")"),171000)</f>
        <v>171000</v>
      </c>
      <c r="H18" s="82">
        <f ca="1">IFERROR(__xludf.DUMMYFUNCTION("IMPORTRANGE(""https://docs.google.com/spreadsheets/d/1MeEWN-I1oV_STSDYn1IFDPWt_1FKiwhDph83XaGc0o0/edit?usp=sharing"",""งบพรบ!FB18"")"),373470)</f>
        <v>373470</v>
      </c>
      <c r="I18" s="82">
        <f ca="1">IFERROR(__xludf.DUMMYFUNCTION("IMPORTRANGE(""https://docs.google.com/spreadsheets/d/1MeEWN-I1oV_STSDYn1IFDPWt_1FKiwhDph83XaGc0o0/edit?usp=sharing"",""งบพรบ!FC18"")"),157200)</f>
        <v>157200</v>
      </c>
      <c r="J18" s="82">
        <f t="shared" ca="1" si="3"/>
        <v>347690</v>
      </c>
      <c r="K18" s="83">
        <f t="shared" ca="1" si="4"/>
        <v>42.927341193900858</v>
      </c>
      <c r="L18" s="82">
        <f ca="1">IFERROR(__xludf.DUMMYFUNCTION("IMPORTRANGE(""https://docs.google.com/spreadsheets/d/1MeEWN-I1oV_STSDYn1IFDPWt_1FKiwhDph83XaGc0o0/edit?usp=sharing"",""งบพรบ!FD18"")"),190490)</f>
        <v>190490</v>
      </c>
      <c r="M18" s="84">
        <f t="shared" ca="1" si="5"/>
        <v>29.812974411143284</v>
      </c>
      <c r="N18" s="84">
        <f t="shared" ca="1" si="6"/>
        <v>51.005435510215008</v>
      </c>
      <c r="O18" s="85">
        <f ca="1">IFERROR(__xludf.DUMMYFUNCTION("IMPORTRANGE(""https://docs.google.com/spreadsheets/d/1MeEWN-I1oV_STSDYn1IFDPWt_1FKiwhDph83XaGc0o0/edit?usp=sharing"",""งบพรบ!FE18"")"),157200)</f>
        <v>157200</v>
      </c>
      <c r="P18" s="84">
        <f t="shared" ca="1" si="53"/>
        <v>91.929824561403507</v>
      </c>
      <c r="Q18" s="84">
        <f t="shared" ca="1" si="8"/>
        <v>100</v>
      </c>
      <c r="R18" s="86">
        <f ca="1">IFERROR(__xludf.DUMMYFUNCTION("IMPORTRANGE(""https://docs.google.com/spreadsheets/d/10nSRjK08hx8Y6HgSOQKNw81lyY46Zc7U_Cj72hBMp9U/edit?usp=sharing"",""นครสวรรค์!I359"")"),3500)</f>
        <v>3500</v>
      </c>
      <c r="S18" s="86">
        <f ca="1">IFERROR(__xludf.DUMMYFUNCTION("IMPORTRANGE(""https://docs.google.com/spreadsheets/d/10nSRjK08hx8Y6HgSOQKNw81lyY46Zc7U_Cj72hBMp9U/edit?usp=sharing"",""นครสวรรค์!J358"")"),128)</f>
        <v>128</v>
      </c>
      <c r="T18" s="86">
        <f ca="1">IFERROR(__xludf.DUMMYFUNCTION("IMPORTRANGE(""https://docs.google.com/spreadsheets/d/10nSRjK08hx8Y6HgSOQKNw81lyY46Zc7U_Cj72hBMp9U/edit?usp=sharing"",""นครสวรรค์!J359"")"),1286.87)</f>
        <v>1286.8699999999999</v>
      </c>
      <c r="U18" s="87">
        <f t="shared" ca="1" si="43"/>
        <v>36.767714285714284</v>
      </c>
      <c r="V18" s="86">
        <f ca="1">IFERROR(__xludf.DUMMYFUNCTION("IMPORTRANGE(""https://docs.google.com/spreadsheets/d/10nSRjK08hx8Y6HgSOQKNw81lyY46Zc7U_Cj72hBMp9U/edit?usp=sharing"",""นครสวรรค์!I360"")"),380)</f>
        <v>380</v>
      </c>
      <c r="W18" s="86">
        <f ca="1">IFERROR(__xludf.DUMMYFUNCTION("IMPORTRANGE(""https://docs.google.com/spreadsheets/d/10nSRjK08hx8Y6HgSOQKNw81lyY46Zc7U_Cj72hBMp9U/edit?usp=sharing"",""นครสวรรค์!J360"")"),0)</f>
        <v>0</v>
      </c>
      <c r="X18" s="86">
        <f ca="1">IFERROR(__xludf.DUMMYFUNCTION("IMPORTRANGE(""https://docs.google.com/spreadsheets/d/10nSRjK08hx8Y6HgSOQKNw81lyY46Zc7U_Cj72hBMp9U/edit?usp=sharing"",""นครสวรรค์!J361"")"),0)</f>
        <v>0</v>
      </c>
      <c r="Y18" s="87">
        <f t="shared" ca="1" si="44"/>
        <v>0</v>
      </c>
      <c r="Z18" s="86">
        <f ca="1">IFERROR(__xludf.DUMMYFUNCTION("IMPORTRANGE(""https://docs.google.com/spreadsheets/d/10nSRjK08hx8Y6HgSOQKNw81lyY46Zc7U_Cj72hBMp9U/edit?usp=sharing"",""นครสวรรค์!I362"")"),380)</f>
        <v>380</v>
      </c>
      <c r="AA18" s="86">
        <f ca="1">IFERROR(__xludf.DUMMYFUNCTION("IMPORTRANGE(""https://docs.google.com/spreadsheets/d/10nSRjK08hx8Y6HgSOQKNw81lyY46Zc7U_Cj72hBMp9U/edit?usp=sharing"",""นครสวรรค์!J362"")"),0)</f>
        <v>0</v>
      </c>
      <c r="AB18" s="86">
        <f ca="1">IFERROR(__xludf.DUMMYFUNCTION("IMPORTRANGE(""https://docs.google.com/spreadsheets/d/10nSRjK08hx8Y6HgSOQKNw81lyY46Zc7U_Cj72hBMp9U/edit?usp=sharing"",""นครสวรรค์!J363"")"),0)</f>
        <v>0</v>
      </c>
      <c r="AC18" s="87">
        <f t="shared" ca="1" si="45"/>
        <v>0</v>
      </c>
      <c r="AD18" s="86">
        <f ca="1">IFERROR(__xludf.DUMMYFUNCTION("IMPORTRANGE(""https://docs.google.com/spreadsheets/d/10nSRjK08hx8Y6HgSOQKNw81lyY46Zc7U_Cj72hBMp9U/edit?usp=sharing"",""นครสวรรค์!I364"")"),780)</f>
        <v>780</v>
      </c>
      <c r="AE18" s="86">
        <f ca="1">IFERROR(__xludf.DUMMYFUNCTION("IMPORTRANGE(""https://docs.google.com/spreadsheets/d/10nSRjK08hx8Y6HgSOQKNw81lyY46Zc7U_Cj72hBMp9U/edit?usp=sharing"",""นครสวรรค์!J364"")"),2)</f>
        <v>2</v>
      </c>
      <c r="AF18" s="87">
        <f t="shared" ca="1" si="16"/>
        <v>0.25641025641025639</v>
      </c>
      <c r="AG18" s="86">
        <f ca="1">IFERROR(__xludf.DUMMYFUNCTION("IMPORTRANGE(""https://docs.google.com/spreadsheets/d/10nSRjK08hx8Y6HgSOQKNw81lyY46Zc7U_Cj72hBMp9U/edit?usp=sharing"",""นครสวรรค์!I369"")"),2000)</f>
        <v>2000</v>
      </c>
      <c r="AH18" s="86">
        <f ca="1">IFERROR(__xludf.DUMMYFUNCTION("IMPORTRANGE(""https://docs.google.com/spreadsheets/d/10nSRjK08hx8Y6HgSOQKNw81lyY46Zc7U_Cj72hBMp9U/edit?usp=sharing"",""นครสวรรค์!J368"")"),36)</f>
        <v>36</v>
      </c>
      <c r="AI18" s="86">
        <f ca="1">IFERROR(__xludf.DUMMYFUNCTION("IMPORTRANGE(""https://docs.google.com/spreadsheets/d/10nSRjK08hx8Y6HgSOQKNw81lyY46Zc7U_Cj72hBMp9U/edit?usp=sharing"",""นครสวรรค์!J369"")"),330.97)</f>
        <v>330.97</v>
      </c>
      <c r="AJ18" s="87">
        <f t="shared" ca="1" si="46"/>
        <v>16.548500000000001</v>
      </c>
      <c r="AK18" s="86">
        <f ca="1">IFERROR(__xludf.DUMMYFUNCTION("IMPORTRANGE(""https://docs.google.com/spreadsheets/d/10nSRjK08hx8Y6HgSOQKNw81lyY46Zc7U_Cj72hBMp9U/edit?usp=sharing"",""นครสวรรค์!I370"")"),200)</f>
        <v>200</v>
      </c>
      <c r="AL18" s="86">
        <f ca="1">IFERROR(__xludf.DUMMYFUNCTION("IMPORTRANGE(""https://docs.google.com/spreadsheets/d/10nSRjK08hx8Y6HgSOQKNw81lyY46Zc7U_Cj72hBMp9U/edit?usp=sharing"",""นครสวรรค์!J370"")"),0)</f>
        <v>0</v>
      </c>
      <c r="AM18" s="86">
        <f ca="1">IFERROR(__xludf.DUMMYFUNCTION("IMPORTRANGE(""https://docs.google.com/spreadsheets/d/10nSRjK08hx8Y6HgSOQKNw81lyY46Zc7U_Cj72hBMp9U/edit?usp=sharing"",""นครสวรรค์!J371"")"),0)</f>
        <v>0</v>
      </c>
      <c r="AN18" s="87">
        <f t="shared" ca="1" si="47"/>
        <v>0</v>
      </c>
      <c r="AO18" s="86">
        <f ca="1">IFERROR(__xludf.DUMMYFUNCTION("IMPORTRANGE(""https://docs.google.com/spreadsheets/d/10nSRjK08hx8Y6HgSOQKNw81lyY46Zc7U_Cj72hBMp9U/edit?usp=sharing"",""นครสวรรค์!I372"")"),200)</f>
        <v>200</v>
      </c>
      <c r="AP18" s="86">
        <f ca="1">IFERROR(__xludf.DUMMYFUNCTION("IMPORTRANGE(""https://docs.google.com/spreadsheets/d/10nSRjK08hx8Y6HgSOQKNw81lyY46Zc7U_Cj72hBMp9U/edit?usp=sharing"",""นครสวรรค์!J372"")"),0)</f>
        <v>0</v>
      </c>
      <c r="AQ18" s="86">
        <f ca="1">IFERROR(__xludf.DUMMYFUNCTION("IMPORTRANGE(""https://docs.google.com/spreadsheets/d/10nSRjK08hx8Y6HgSOQKNw81lyY46Zc7U_Cj72hBMp9U/edit?usp=sharing"",""นครสวรรค์!J373"")"),0)</f>
        <v>0</v>
      </c>
      <c r="AR18" s="87">
        <f t="shared" ca="1" si="48"/>
        <v>0</v>
      </c>
      <c r="AS18" s="86">
        <f ca="1">IFERROR(__xludf.DUMMYFUNCTION("IMPORTRANGE(""https://docs.google.com/spreadsheets/d/10nSRjK08hx8Y6HgSOQKNw81lyY46Zc7U_Cj72hBMp9U/edit?usp=sharing"",""นครสวรรค์!I378"")"),1500)</f>
        <v>1500</v>
      </c>
      <c r="AT18" s="86">
        <f ca="1">IFERROR(__xludf.DUMMYFUNCTION("IMPORTRANGE(""https://docs.google.com/spreadsheets/d/10nSRjK08hx8Y6HgSOQKNw81lyY46Zc7U_Cj72hBMp9U/edit?usp=sharing"",""นครสวรรค์!J377"")"),92)</f>
        <v>92</v>
      </c>
      <c r="AU18" s="86">
        <f ca="1">IFERROR(__xludf.DUMMYFUNCTION("IMPORTRANGE(""https://docs.google.com/spreadsheets/d/10nSRjK08hx8Y6HgSOQKNw81lyY46Zc7U_Cj72hBMp9U/edit?usp=sharing"",""นครสวรรค์!J378"")"),955.9)</f>
        <v>955.9</v>
      </c>
      <c r="AV18" s="87">
        <f t="shared" ca="1" si="49"/>
        <v>63.726666666666667</v>
      </c>
      <c r="AW18" s="86">
        <f ca="1">IFERROR(__xludf.DUMMYFUNCTION("IMPORTRANGE(""https://docs.google.com/spreadsheets/d/10nSRjK08hx8Y6HgSOQKNw81lyY46Zc7U_Cj72hBMp9U/edit?usp=sharing"",""นครสวรรค์!I379"")"),580)</f>
        <v>580</v>
      </c>
      <c r="AX18" s="86">
        <f ca="1">IFERROR(__xludf.DUMMYFUNCTION("IMPORTRANGE(""https://docs.google.com/spreadsheets/d/10nSRjK08hx8Y6HgSOQKNw81lyY46Zc7U_Cj72hBMp9U/edit?usp=sharing"",""นครสวรรค์!J379"")"),2)</f>
        <v>2</v>
      </c>
      <c r="AY18" s="86">
        <f ca="1">IFERROR(__xludf.DUMMYFUNCTION("IMPORTRANGE(""https://docs.google.com/spreadsheets/d/10nSRjK08hx8Y6HgSOQKNw81lyY46Zc7U_Cj72hBMp9U/edit?usp=sharing"",""นครสวรรค์!J380"")"),47.77)</f>
        <v>47.77</v>
      </c>
      <c r="AZ18" s="87">
        <f t="shared" ca="1" si="50"/>
        <v>0.34482758620689657</v>
      </c>
      <c r="BA18" s="86">
        <f ca="1">IFERROR(__xludf.DUMMYFUNCTION("IMPORTRANGE(""https://docs.google.com/spreadsheets/d/10nSRjK08hx8Y6HgSOQKNw81lyY46Zc7U_Cj72hBMp9U/edit?usp=sharing"",""นครสวรรค์!I381"")"),580)</f>
        <v>580</v>
      </c>
      <c r="BB18" s="86">
        <f ca="1">IFERROR(__xludf.DUMMYFUNCTION("IMPORTRANGE(""https://docs.google.com/spreadsheets/d/10nSRjK08hx8Y6HgSOQKNw81lyY46Zc7U_Cj72hBMp9U/edit?usp=sharing"",""นครสวรรค์!J381"")"),2)</f>
        <v>2</v>
      </c>
      <c r="BC18" s="86">
        <f ca="1">IFERROR(__xludf.DUMMYFUNCTION("IMPORTRANGE(""https://docs.google.com/spreadsheets/d/10nSRjK08hx8Y6HgSOQKNw81lyY46Zc7U_Cj72hBMp9U/edit?usp=sharing"",""นครสวรรค์!J382"")"),47.77)</f>
        <v>47.77</v>
      </c>
      <c r="BD18" s="87">
        <f t="shared" ca="1" si="51"/>
        <v>0.34482758620689657</v>
      </c>
    </row>
    <row r="19" spans="1:56" ht="24" customHeight="1" x14ac:dyDescent="0.2">
      <c r="A19" s="78">
        <v>6</v>
      </c>
      <c r="B19" s="79" t="s">
        <v>41</v>
      </c>
      <c r="C19" s="80">
        <f t="shared" ca="1" si="0"/>
        <v>637150</v>
      </c>
      <c r="D19" s="81">
        <f t="shared" ca="1" si="64"/>
        <v>515550</v>
      </c>
      <c r="E19" s="82">
        <f ca="1">IFERROR(__xludf.DUMMYFUNCTION("IMPORTRANGE(""https://docs.google.com/spreadsheets/d/1MeEWN-I1oV_STSDYn1IFDPWt_1FKiwhDph83XaGc0o0/edit?usp=sharing"",""งบพรบ!EX19"")"),87600)</f>
        <v>87600</v>
      </c>
      <c r="F19" s="82">
        <f ca="1">IFERROR(__xludf.DUMMYFUNCTION("IMPORTRANGE(""https://docs.google.com/spreadsheets/d/1MeEWN-I1oV_STSDYn1IFDPWt_1FKiwhDph83XaGc0o0/edit?usp=sharing"",""งบพรบ!EY19"")"),427950)</f>
        <v>427950</v>
      </c>
      <c r="G19" s="82">
        <f ca="1">IFERROR(__xludf.DUMMYFUNCTION("IMPORTRANGE(""https://docs.google.com/spreadsheets/d/1MeEWN-I1oV_STSDYn1IFDPWt_1FKiwhDph83XaGc0o0/edit?usp=sharing"",""งบพรบ!EZ19"")"),121600)</f>
        <v>121600</v>
      </c>
      <c r="H19" s="82">
        <f ca="1">IFERROR(__xludf.DUMMYFUNCTION("IMPORTRANGE(""https://docs.google.com/spreadsheets/d/1MeEWN-I1oV_STSDYn1IFDPWt_1FKiwhDph83XaGc0o0/edit?usp=sharing"",""งบพรบ!FB19"")"),333670)</f>
        <v>333670</v>
      </c>
      <c r="I19" s="82">
        <f ca="1">IFERROR(__xludf.DUMMYFUNCTION("IMPORTRANGE(""https://docs.google.com/spreadsheets/d/1MeEWN-I1oV_STSDYn1IFDPWt_1FKiwhDph83XaGc0o0/edit?usp=sharing"",""งบพรบ!FC19"")"),121600)</f>
        <v>121600</v>
      </c>
      <c r="J19" s="82">
        <f t="shared" ca="1" si="3"/>
        <v>250950</v>
      </c>
      <c r="K19" s="83">
        <f t="shared" ca="1" si="4"/>
        <v>39.386329749666487</v>
      </c>
      <c r="L19" s="82">
        <f ca="1">IFERROR(__xludf.DUMMYFUNCTION("IMPORTRANGE(""https://docs.google.com/spreadsheets/d/1MeEWN-I1oV_STSDYn1IFDPWt_1FKiwhDph83XaGc0o0/edit?usp=sharing"",""งบพรบ!FD19"")"),129350)</f>
        <v>129350</v>
      </c>
      <c r="M19" s="84">
        <f t="shared" ca="1" si="5"/>
        <v>25.089710018426924</v>
      </c>
      <c r="N19" s="84">
        <f t="shared" ca="1" si="6"/>
        <v>38.765846495040009</v>
      </c>
      <c r="O19" s="85">
        <f ca="1">IFERROR(__xludf.DUMMYFUNCTION("IMPORTRANGE(""https://docs.google.com/spreadsheets/d/1MeEWN-I1oV_STSDYn1IFDPWt_1FKiwhDph83XaGc0o0/edit?usp=sharing"",""งบพรบ!FE19"")"),121600)</f>
        <v>121600</v>
      </c>
      <c r="P19" s="84">
        <f t="shared" ca="1" si="53"/>
        <v>100</v>
      </c>
      <c r="Q19" s="84">
        <f t="shared" ca="1" si="8"/>
        <v>100</v>
      </c>
      <c r="R19" s="86">
        <f ca="1">IFERROR(__xludf.DUMMYFUNCTION("IMPORTRANGE(""https://docs.google.com/spreadsheets/d/1gFVb7qd7amutrIxAAoM7lcy35hllxznovot8lyOfvDo/edit?usp=sharing"",""น่าน!I359"")"),1600)</f>
        <v>1600</v>
      </c>
      <c r="S19" s="86">
        <f ca="1">IFERROR(__xludf.DUMMYFUNCTION("IMPORTRANGE(""https://docs.google.com/spreadsheets/d/1gFVb7qd7amutrIxAAoM7lcy35hllxznovot8lyOfvDo/edit?usp=sharing"",""น่าน!J358"")"),110)</f>
        <v>110</v>
      </c>
      <c r="T19" s="86">
        <f ca="1">IFERROR(__xludf.DUMMYFUNCTION("IMPORTRANGE(""https://docs.google.com/spreadsheets/d/1gFVb7qd7amutrIxAAoM7lcy35hllxznovot8lyOfvDo/edit?usp=sharing"",""น่าน!J359"")"),504.97)</f>
        <v>504.97</v>
      </c>
      <c r="U19" s="87">
        <f t="shared" ca="1" si="43"/>
        <v>31.560625000000002</v>
      </c>
      <c r="V19" s="86">
        <f ca="1">IFERROR(__xludf.DUMMYFUNCTION("IMPORTRANGE(""https://docs.google.com/spreadsheets/d/1gFVb7qd7amutrIxAAoM7lcy35hllxznovot8lyOfvDo/edit?usp=sharing"",""น่าน!I360"")"),200)</f>
        <v>200</v>
      </c>
      <c r="W19" s="86">
        <f ca="1">IFERROR(__xludf.DUMMYFUNCTION("IMPORTRANGE(""https://docs.google.com/spreadsheets/d/1gFVb7qd7amutrIxAAoM7lcy35hllxznovot8lyOfvDo/edit?usp=sharing"",""น่าน!J360"")"),97)</f>
        <v>97</v>
      </c>
      <c r="X19" s="86">
        <f ca="1">IFERROR(__xludf.DUMMYFUNCTION("IMPORTRANGE(""https://docs.google.com/spreadsheets/d/1gFVb7qd7amutrIxAAoM7lcy35hllxznovot8lyOfvDo/edit?usp=sharing"",""น่าน!J361"")"),450.73)</f>
        <v>450.73</v>
      </c>
      <c r="Y19" s="87">
        <f t="shared" ca="1" si="44"/>
        <v>48.5</v>
      </c>
      <c r="Z19" s="86">
        <f ca="1">IFERROR(__xludf.DUMMYFUNCTION("IMPORTRANGE(""https://docs.google.com/spreadsheets/d/1gFVb7qd7amutrIxAAoM7lcy35hllxznovot8lyOfvDo/edit?usp=sharing"",""น่าน!I362"")"),200)</f>
        <v>200</v>
      </c>
      <c r="AA19" s="86">
        <f ca="1">IFERROR(__xludf.DUMMYFUNCTION("IMPORTRANGE(""https://docs.google.com/spreadsheets/d/1gFVb7qd7amutrIxAAoM7lcy35hllxznovot8lyOfvDo/edit?usp=sharing"",""น่าน!J362"")"),85)</f>
        <v>85</v>
      </c>
      <c r="AB19" s="86">
        <f ca="1">IFERROR(__xludf.DUMMYFUNCTION("IMPORTRANGE(""https://docs.google.com/spreadsheets/d/1gFVb7qd7amutrIxAAoM7lcy35hllxznovot8lyOfvDo/edit?usp=sharing"",""น่าน!J363"")"),381.13)</f>
        <v>381.13</v>
      </c>
      <c r="AC19" s="87">
        <f t="shared" ca="1" si="45"/>
        <v>42.5</v>
      </c>
      <c r="AD19" s="86">
        <f ca="1">IFERROR(__xludf.DUMMYFUNCTION("IMPORTRANGE(""https://docs.google.com/spreadsheets/d/1gFVb7qd7amutrIxAAoM7lcy35hllxznovot8lyOfvDo/edit?usp=sharing"",""น่าน!I364"")"),500)</f>
        <v>500</v>
      </c>
      <c r="AE19" s="86">
        <f ca="1">IFERROR(__xludf.DUMMYFUNCTION("IMPORTRANGE(""https://docs.google.com/spreadsheets/d/1gFVb7qd7amutrIxAAoM7lcy35hllxznovot8lyOfvDo/edit?usp=sharing"",""น่าน!J364"")"),92)</f>
        <v>92</v>
      </c>
      <c r="AF19" s="87">
        <f t="shared" ca="1" si="16"/>
        <v>18.399999999999999</v>
      </c>
      <c r="AG19" s="86">
        <f ca="1">IFERROR(__xludf.DUMMYFUNCTION("IMPORTRANGE(""https://docs.google.com/spreadsheets/d/1gFVb7qd7amutrIxAAoM7lcy35hllxznovot8lyOfvDo/edit?usp=sharing"",""น่าน!I369"")"),600)</f>
        <v>600</v>
      </c>
      <c r="AH19" s="86">
        <f ca="1">IFERROR(__xludf.DUMMYFUNCTION("IMPORTRANGE(""https://docs.google.com/spreadsheets/d/1gFVb7qd7amutrIxAAoM7lcy35hllxznovot8lyOfvDo/edit?usp=sharing"",""น่าน!J368"")"),25)</f>
        <v>25</v>
      </c>
      <c r="AI19" s="86">
        <f ca="1">IFERROR(__xludf.DUMMYFUNCTION("IMPORTRANGE(""https://docs.google.com/spreadsheets/d/1gFVb7qd7amutrIxAAoM7lcy35hllxznovot8lyOfvDo/edit?usp=sharing"",""น่าน!J369"")"),123.84)</f>
        <v>123.84</v>
      </c>
      <c r="AJ19" s="87">
        <f t="shared" ca="1" si="46"/>
        <v>20.64</v>
      </c>
      <c r="AK19" s="86">
        <f ca="1">IFERROR(__xludf.DUMMYFUNCTION("IMPORTRANGE(""https://docs.google.com/spreadsheets/d/1gFVb7qd7amutrIxAAoM7lcy35hllxznovot8lyOfvDo/edit?usp=sharing"",""น่าน!I370"")"),60)</f>
        <v>60</v>
      </c>
      <c r="AL19" s="86">
        <f ca="1">IFERROR(__xludf.DUMMYFUNCTION("IMPORTRANGE(""https://docs.google.com/spreadsheets/d/1gFVb7qd7amutrIxAAoM7lcy35hllxznovot8lyOfvDo/edit?usp=sharing"",""น่าน!J370"")"),12)</f>
        <v>12</v>
      </c>
      <c r="AM19" s="86">
        <f ca="1">IFERROR(__xludf.DUMMYFUNCTION("IMPORTRANGE(""https://docs.google.com/spreadsheets/d/1gFVb7qd7amutrIxAAoM7lcy35hllxznovot8lyOfvDo/edit?usp=sharing"",""น่าน!J371"")"),69.6)</f>
        <v>69.599999999999994</v>
      </c>
      <c r="AN19" s="87">
        <f t="shared" ca="1" si="47"/>
        <v>20</v>
      </c>
      <c r="AO19" s="86">
        <f ca="1">IFERROR(__xludf.DUMMYFUNCTION("IMPORTRANGE(""https://docs.google.com/spreadsheets/d/1gFVb7qd7amutrIxAAoM7lcy35hllxznovot8lyOfvDo/edit?usp=sharing"",""น่าน!I372"")"),60)</f>
        <v>60</v>
      </c>
      <c r="AP19" s="86">
        <f ca="1">IFERROR(__xludf.DUMMYFUNCTION("IMPORTRANGE(""https://docs.google.com/spreadsheets/d/1gFVb7qd7amutrIxAAoM7lcy35hllxznovot8lyOfvDo/edit?usp=sharing"",""น่าน!J372"")"),0)</f>
        <v>0</v>
      </c>
      <c r="AQ19" s="86">
        <f ca="1">IFERROR(__xludf.DUMMYFUNCTION("IMPORTRANGE(""https://docs.google.com/spreadsheets/d/1gFVb7qd7amutrIxAAoM7lcy35hllxznovot8lyOfvDo/edit?usp=sharing"",""น่าน!J373"")"),0)</f>
        <v>0</v>
      </c>
      <c r="AR19" s="87">
        <f t="shared" ca="1" si="48"/>
        <v>0</v>
      </c>
      <c r="AS19" s="86">
        <f ca="1">IFERROR(__xludf.DUMMYFUNCTION("IMPORTRANGE(""https://docs.google.com/spreadsheets/d/1gFVb7qd7amutrIxAAoM7lcy35hllxznovot8lyOfvDo/edit?usp=sharing"",""น่าน!I378"")"),1000)</f>
        <v>1000</v>
      </c>
      <c r="AT19" s="86">
        <f ca="1">IFERROR(__xludf.DUMMYFUNCTION("IMPORTRANGE(""https://docs.google.com/spreadsheets/d/1gFVb7qd7amutrIxAAoM7lcy35hllxznovot8lyOfvDo/edit?usp=sharing"",""น่าน!J377"")"),85)</f>
        <v>85</v>
      </c>
      <c r="AU19" s="86">
        <f ca="1">IFERROR(__xludf.DUMMYFUNCTION("IMPORTRANGE(""https://docs.google.com/spreadsheets/d/1gFVb7qd7amutrIxAAoM7lcy35hllxznovot8lyOfvDo/edit?usp=sharing"",""น่าน!J378"")"),381.13)</f>
        <v>381.13</v>
      </c>
      <c r="AV19" s="87">
        <f t="shared" ca="1" si="49"/>
        <v>38.113</v>
      </c>
      <c r="AW19" s="86">
        <f ca="1">IFERROR(__xludf.DUMMYFUNCTION("IMPORTRANGE(""https://docs.google.com/spreadsheets/d/1gFVb7qd7amutrIxAAoM7lcy35hllxznovot8lyOfvDo/edit?usp=sharing"",""น่าน!I379"")"),440)</f>
        <v>440</v>
      </c>
      <c r="AX19" s="86">
        <f ca="1">IFERROR(__xludf.DUMMYFUNCTION("IMPORTRANGE(""https://docs.google.com/spreadsheets/d/1gFVb7qd7amutrIxAAoM7lcy35hllxznovot8lyOfvDo/edit?usp=sharing"",""น่าน!J379"")"),92)</f>
        <v>92</v>
      </c>
      <c r="AY19" s="86">
        <f ca="1">IFERROR(__xludf.DUMMYFUNCTION("IMPORTRANGE(""https://docs.google.com/spreadsheets/d/1gFVb7qd7amutrIxAAoM7lcy35hllxznovot8lyOfvDo/edit?usp=sharing"",""น่าน!J380"")"),398.99)</f>
        <v>398.99</v>
      </c>
      <c r="AZ19" s="87">
        <f t="shared" ca="1" si="50"/>
        <v>20.90909090909091</v>
      </c>
      <c r="BA19" s="86">
        <f ca="1">IFERROR(__xludf.DUMMYFUNCTION("IMPORTRANGE(""https://docs.google.com/spreadsheets/d/1gFVb7qd7amutrIxAAoM7lcy35hllxznovot8lyOfvDo/edit?usp=sharing"",""น่าน!I381"")"),440)</f>
        <v>440</v>
      </c>
      <c r="BB19" s="86">
        <f ca="1">IFERROR(__xludf.DUMMYFUNCTION("IMPORTRANGE(""https://docs.google.com/spreadsheets/d/1gFVb7qd7amutrIxAAoM7lcy35hllxznovot8lyOfvDo/edit?usp=sharing"",""น่าน!J381"")"),92)</f>
        <v>92</v>
      </c>
      <c r="BC19" s="86">
        <f ca="1">IFERROR(__xludf.DUMMYFUNCTION("IMPORTRANGE(""https://docs.google.com/spreadsheets/d/1gFVb7qd7amutrIxAAoM7lcy35hllxznovot8lyOfvDo/edit?usp=sharing"",""น่าน!J382"")"),398.99)</f>
        <v>398.99</v>
      </c>
      <c r="BD19" s="87">
        <f t="shared" ca="1" si="51"/>
        <v>20.90909090909091</v>
      </c>
    </row>
    <row r="20" spans="1:56" ht="24" customHeight="1" x14ac:dyDescent="0.2">
      <c r="A20" s="78">
        <v>7</v>
      </c>
      <c r="B20" s="79" t="s">
        <v>42</v>
      </c>
      <c r="C20" s="80">
        <f t="shared" ca="1" si="0"/>
        <v>590000</v>
      </c>
      <c r="D20" s="81">
        <f t="shared" ca="1" si="64"/>
        <v>492200</v>
      </c>
      <c r="E20" s="82">
        <f ca="1">IFERROR(__xludf.DUMMYFUNCTION("IMPORTRANGE(""https://docs.google.com/spreadsheets/d/1MeEWN-I1oV_STSDYn1IFDPWt_1FKiwhDph83XaGc0o0/edit?usp=sharing"",""งบพรบ!EX20"")"),87600)</f>
        <v>87600</v>
      </c>
      <c r="F20" s="82">
        <f ca="1">IFERROR(__xludf.DUMMYFUNCTION("IMPORTRANGE(""https://docs.google.com/spreadsheets/d/1MeEWN-I1oV_STSDYn1IFDPWt_1FKiwhDph83XaGc0o0/edit?usp=sharing"",""งบพรบ!EY20"")"),404600)</f>
        <v>404600</v>
      </c>
      <c r="G20" s="82">
        <f ca="1">IFERROR(__xludf.DUMMYFUNCTION("IMPORTRANGE(""https://docs.google.com/spreadsheets/d/1MeEWN-I1oV_STSDYn1IFDPWt_1FKiwhDph83XaGc0o0/edit?usp=sharing"",""งบพรบ!EZ20"")"),97800)</f>
        <v>97800</v>
      </c>
      <c r="H20" s="82">
        <f ca="1">IFERROR(__xludf.DUMMYFUNCTION("IMPORTRANGE(""https://docs.google.com/spreadsheets/d/1MeEWN-I1oV_STSDYn1IFDPWt_1FKiwhDph83XaGc0o0/edit?usp=sharing"",""งบพรบ!FB20"")"),319400)</f>
        <v>319400</v>
      </c>
      <c r="I20" s="82">
        <f ca="1">IFERROR(__xludf.DUMMYFUNCTION("IMPORTRANGE(""https://docs.google.com/spreadsheets/d/1MeEWN-I1oV_STSDYn1IFDPWt_1FKiwhDph83XaGc0o0/edit?usp=sharing"",""งบพรบ!FC20"")"),97800)</f>
        <v>97800</v>
      </c>
      <c r="J20" s="82">
        <f t="shared" ca="1" si="3"/>
        <v>256054.07</v>
      </c>
      <c r="K20" s="83">
        <f t="shared" ca="1" si="4"/>
        <v>43.398994915254235</v>
      </c>
      <c r="L20" s="82">
        <f ca="1">IFERROR(__xludf.DUMMYFUNCTION("IMPORTRANGE(""https://docs.google.com/spreadsheets/d/1MeEWN-I1oV_STSDYn1IFDPWt_1FKiwhDph83XaGc0o0/edit?usp=sharing"",""งบพรบ!FD20"")"),158254.07)</f>
        <v>158254.07</v>
      </c>
      <c r="M20" s="84">
        <f t="shared" ca="1" si="5"/>
        <v>32.152391304347823</v>
      </c>
      <c r="N20" s="84">
        <f t="shared" ca="1" si="6"/>
        <v>49.547298058860363</v>
      </c>
      <c r="O20" s="85">
        <f ca="1">IFERROR(__xludf.DUMMYFUNCTION("IMPORTRANGE(""https://docs.google.com/spreadsheets/d/1MeEWN-I1oV_STSDYn1IFDPWt_1FKiwhDph83XaGc0o0/edit?usp=sharing"",""งบพรบ!FE20"")"),97800)</f>
        <v>97800</v>
      </c>
      <c r="P20" s="84">
        <f t="shared" ca="1" si="53"/>
        <v>100</v>
      </c>
      <c r="Q20" s="84">
        <f t="shared" ca="1" si="8"/>
        <v>100</v>
      </c>
      <c r="R20" s="86">
        <f ca="1">IFERROR(__xludf.DUMMYFUNCTION("IMPORTRANGE(""https://docs.google.com/spreadsheets/d/1K0Aa9s-6EuHE5M0FG1F9aHLXRCOV917xvycTdLdct0w/edit?usp=sharing"",""พะเยา!I359"")"),2000)</f>
        <v>2000</v>
      </c>
      <c r="S20" s="86">
        <f ca="1">IFERROR(__xludf.DUMMYFUNCTION("IMPORTRANGE(""https://docs.google.com/spreadsheets/d/1K0Aa9s-6EuHE5M0FG1F9aHLXRCOV917xvycTdLdct0w/edit?usp=sharing"",""พะเยา!J358"")"),38)</f>
        <v>38</v>
      </c>
      <c r="T20" s="86">
        <f ca="1">IFERROR(__xludf.DUMMYFUNCTION("IMPORTRANGE(""https://docs.google.com/spreadsheets/d/1K0Aa9s-6EuHE5M0FG1F9aHLXRCOV917xvycTdLdct0w/edit?usp=sharing"",""พะเยา!J359"")"),208.82)</f>
        <v>208.82</v>
      </c>
      <c r="U20" s="87">
        <f t="shared" ca="1" si="43"/>
        <v>10.441000000000001</v>
      </c>
      <c r="V20" s="86">
        <f ca="1">IFERROR(__xludf.DUMMYFUNCTION("IMPORTRANGE(""https://docs.google.com/spreadsheets/d/1K0Aa9s-6EuHE5M0FG1F9aHLXRCOV917xvycTdLdct0w/edit?usp=sharing"",""พะเยา!I360"")"),240)</f>
        <v>240</v>
      </c>
      <c r="W20" s="86">
        <f ca="1">IFERROR(__xludf.DUMMYFUNCTION("IMPORTRANGE(""https://docs.google.com/spreadsheets/d/1K0Aa9s-6EuHE5M0FG1F9aHLXRCOV917xvycTdLdct0w/edit?usp=sharing"",""พะเยา!J360"")"),23)</f>
        <v>23</v>
      </c>
      <c r="X20" s="86">
        <f ca="1">IFERROR(__xludf.DUMMYFUNCTION("IMPORTRANGE(""https://docs.google.com/spreadsheets/d/1K0Aa9s-6EuHE5M0FG1F9aHLXRCOV917xvycTdLdct0w/edit?usp=sharing"",""พะเยา!J361"")"),104.759999999999)</f>
        <v>104.759999999999</v>
      </c>
      <c r="Y20" s="87">
        <f t="shared" ca="1" si="44"/>
        <v>9.5833333333333339</v>
      </c>
      <c r="Z20" s="86">
        <f ca="1">IFERROR(__xludf.DUMMYFUNCTION("IMPORTRANGE(""https://docs.google.com/spreadsheets/d/1K0Aa9s-6EuHE5M0FG1F9aHLXRCOV917xvycTdLdct0w/edit?usp=sharing"",""พะเยา!I362"")"),240)</f>
        <v>240</v>
      </c>
      <c r="AA20" s="86">
        <f ca="1">IFERROR(__xludf.DUMMYFUNCTION("IMPORTRANGE(""https://docs.google.com/spreadsheets/d/1K0Aa9s-6EuHE5M0FG1F9aHLXRCOV917xvycTdLdct0w/edit?usp=sharing"",""พะเยา!J362"")"),30)</f>
        <v>30</v>
      </c>
      <c r="AB20" s="86">
        <f ca="1">IFERROR(__xludf.DUMMYFUNCTION("IMPORTRANGE(""https://docs.google.com/spreadsheets/d/1K0Aa9s-6EuHE5M0FG1F9aHLXRCOV917xvycTdLdct0w/edit?usp=sharing"",""พะเยา!J363"")"),152.34)</f>
        <v>152.34</v>
      </c>
      <c r="AC20" s="87">
        <f t="shared" ca="1" si="45"/>
        <v>12.5</v>
      </c>
      <c r="AD20" s="86">
        <f ca="1">IFERROR(__xludf.DUMMYFUNCTION("IMPORTRANGE(""https://docs.google.com/spreadsheets/d/1K0Aa9s-6EuHE5M0FG1F9aHLXRCOV917xvycTdLdct0w/edit?usp=sharing"",""พะเยา!I364"")"),440)</f>
        <v>440</v>
      </c>
      <c r="AE20" s="86">
        <f ca="1">IFERROR(__xludf.DUMMYFUNCTION("IMPORTRANGE(""https://docs.google.com/spreadsheets/d/1K0Aa9s-6EuHE5M0FG1F9aHLXRCOV917xvycTdLdct0w/edit?usp=sharing"",""พะเยา!J364"")"),97)</f>
        <v>97</v>
      </c>
      <c r="AF20" s="87">
        <f t="shared" ca="1" si="16"/>
        <v>22.045454545454547</v>
      </c>
      <c r="AG20" s="86">
        <f ca="1">IFERROR(__xludf.DUMMYFUNCTION("IMPORTRANGE(""https://docs.google.com/spreadsheets/d/1K0Aa9s-6EuHE5M0FG1F9aHLXRCOV917xvycTdLdct0w/edit?usp=sharing"",""พะเยา!I369"")"),1000)</f>
        <v>1000</v>
      </c>
      <c r="AH20" s="86">
        <f ca="1">IFERROR(__xludf.DUMMYFUNCTION("IMPORTRANGE(""https://docs.google.com/spreadsheets/d/1K0Aa9s-6EuHE5M0FG1F9aHLXRCOV917xvycTdLdct0w/edit?usp=sharing"",""พะเยา!J368"")"),7)</f>
        <v>7</v>
      </c>
      <c r="AI20" s="86">
        <f ca="1">IFERROR(__xludf.DUMMYFUNCTION("IMPORTRANGE(""https://docs.google.com/spreadsheets/d/1K0Aa9s-6EuHE5M0FG1F9aHLXRCOV917xvycTdLdct0w/edit?usp=sharing"",""พะเยา!J369"")"),56.23)</f>
        <v>56.23</v>
      </c>
      <c r="AJ20" s="87">
        <f t="shared" ca="1" si="46"/>
        <v>5.6230000000000002</v>
      </c>
      <c r="AK20" s="86">
        <f ca="1">IFERROR(__xludf.DUMMYFUNCTION("IMPORTRANGE(""https://docs.google.com/spreadsheets/d/1K0Aa9s-6EuHE5M0FG1F9aHLXRCOV917xvycTdLdct0w/edit?usp=sharing"",""พะเยา!I370"")"),100)</f>
        <v>100</v>
      </c>
      <c r="AL20" s="86">
        <f ca="1">IFERROR(__xludf.DUMMYFUNCTION("IMPORTRANGE(""https://docs.google.com/spreadsheets/d/1K0Aa9s-6EuHE5M0FG1F9aHLXRCOV917xvycTdLdct0w/edit?usp=sharing"",""พะเยา!J370"")"),2)</f>
        <v>2</v>
      </c>
      <c r="AM20" s="86">
        <f ca="1">IFERROR(__xludf.DUMMYFUNCTION("IMPORTRANGE(""https://docs.google.com/spreadsheets/d/1K0Aa9s-6EuHE5M0FG1F9aHLXRCOV917xvycTdLdct0w/edit?usp=sharing"",""พะเยา!J371"")"),22.52)</f>
        <v>22.52</v>
      </c>
      <c r="AN20" s="87">
        <f t="shared" ca="1" si="47"/>
        <v>2</v>
      </c>
      <c r="AO20" s="86">
        <f ca="1">IFERROR(__xludf.DUMMYFUNCTION("IMPORTRANGE(""https://docs.google.com/spreadsheets/d/1K0Aa9s-6EuHE5M0FG1F9aHLXRCOV917xvycTdLdct0w/edit?usp=sharing"",""พะเยา!I372"")"),100)</f>
        <v>100</v>
      </c>
      <c r="AP20" s="86">
        <f ca="1">IFERROR(__xludf.DUMMYFUNCTION("IMPORTRANGE(""https://docs.google.com/spreadsheets/d/1K0Aa9s-6EuHE5M0FG1F9aHLXRCOV917xvycTdLdct0w/edit?usp=sharing"",""พะเยา!J372"")"),0)</f>
        <v>0</v>
      </c>
      <c r="AQ20" s="86">
        <f ca="1">IFERROR(__xludf.DUMMYFUNCTION("IMPORTRANGE(""https://docs.google.com/spreadsheets/d/1K0Aa9s-6EuHE5M0FG1F9aHLXRCOV917xvycTdLdct0w/edit?usp=sharing"",""พะเยา!J373"")"),0)</f>
        <v>0</v>
      </c>
      <c r="AR20" s="87">
        <f t="shared" ca="1" si="48"/>
        <v>0</v>
      </c>
      <c r="AS20" s="86">
        <f ca="1">IFERROR(__xludf.DUMMYFUNCTION("IMPORTRANGE(""https://docs.google.com/spreadsheets/d/1K0Aa9s-6EuHE5M0FG1F9aHLXRCOV917xvycTdLdct0w/edit?usp=sharing"",""พะเยา!I378"")"),1000)</f>
        <v>1000</v>
      </c>
      <c r="AT20" s="86">
        <f ca="1">IFERROR(__xludf.DUMMYFUNCTION("IMPORTRANGE(""https://docs.google.com/spreadsheets/d/1K0Aa9s-6EuHE5M0FG1F9aHLXRCOV917xvycTdLdct0w/edit?usp=sharing"",""พะเยา!J377"")"),31)</f>
        <v>31</v>
      </c>
      <c r="AU20" s="86">
        <f ca="1">IFERROR(__xludf.DUMMYFUNCTION("IMPORTRANGE(""https://docs.google.com/spreadsheets/d/1K0Aa9s-6EuHE5M0FG1F9aHLXRCOV917xvycTdLdct0w/edit?usp=sharing"",""พะเยา!J378"")"),152.59)</f>
        <v>152.59</v>
      </c>
      <c r="AV20" s="87">
        <f t="shared" ca="1" si="49"/>
        <v>15.259</v>
      </c>
      <c r="AW20" s="86">
        <f ca="1">IFERROR(__xludf.DUMMYFUNCTION("IMPORTRANGE(""https://docs.google.com/spreadsheets/d/1K0Aa9s-6EuHE5M0FG1F9aHLXRCOV917xvycTdLdct0w/edit?usp=sharing"",""พะเยา!I379"")"),340)</f>
        <v>340</v>
      </c>
      <c r="AX20" s="86">
        <f ca="1">IFERROR(__xludf.DUMMYFUNCTION("IMPORTRANGE(""https://docs.google.com/spreadsheets/d/1K0Aa9s-6EuHE5M0FG1F9aHLXRCOV917xvycTdLdct0w/edit?usp=sharing"",""พะเยา!J379"")"),88)</f>
        <v>88</v>
      </c>
      <c r="AY20" s="86">
        <f ca="1">IFERROR(__xludf.DUMMYFUNCTION("IMPORTRANGE(""https://docs.google.com/spreadsheets/d/1K0Aa9s-6EuHE5M0FG1F9aHLXRCOV917xvycTdLdct0w/edit?usp=sharing"",""พะเยา!J380"")"),533.82)</f>
        <v>533.82000000000005</v>
      </c>
      <c r="AZ20" s="87">
        <f t="shared" ca="1" si="50"/>
        <v>25.882352941176471</v>
      </c>
      <c r="BA20" s="86">
        <f ca="1">IFERROR(__xludf.DUMMYFUNCTION("IMPORTRANGE(""https://docs.google.com/spreadsheets/d/1K0Aa9s-6EuHE5M0FG1F9aHLXRCOV917xvycTdLdct0w/edit?usp=sharing"",""พะเยา!I381"")"),340)</f>
        <v>340</v>
      </c>
      <c r="BB20" s="86">
        <f ca="1">IFERROR(__xludf.DUMMYFUNCTION("IMPORTRANGE(""https://docs.google.com/spreadsheets/d/1K0Aa9s-6EuHE5M0FG1F9aHLXRCOV917xvycTdLdct0w/edit?usp=sharing"",""พะเยา!J381"")"),97)</f>
        <v>97</v>
      </c>
      <c r="BC20" s="86">
        <f ca="1">IFERROR(__xludf.DUMMYFUNCTION("IMPORTRANGE(""https://docs.google.com/spreadsheets/d/1K0Aa9s-6EuHE5M0FG1F9aHLXRCOV917xvycTdLdct0w/edit?usp=sharing"",""พะเยา!J382"")"),603.91)</f>
        <v>603.91</v>
      </c>
      <c r="BD20" s="87">
        <f t="shared" ca="1" si="51"/>
        <v>28.529411764705884</v>
      </c>
    </row>
    <row r="21" spans="1:56" ht="24" customHeight="1" x14ac:dyDescent="0.2">
      <c r="A21" s="78">
        <v>8</v>
      </c>
      <c r="B21" s="79" t="s">
        <v>43</v>
      </c>
      <c r="C21" s="80">
        <f t="shared" ca="1" si="0"/>
        <v>894590</v>
      </c>
      <c r="D21" s="81">
        <f t="shared" ca="1" si="64"/>
        <v>788990</v>
      </c>
      <c r="E21" s="82">
        <f ca="1">IFERROR(__xludf.DUMMYFUNCTION("IMPORTRANGE(""https://docs.google.com/spreadsheets/d/1MeEWN-I1oV_STSDYn1IFDPWt_1FKiwhDph83XaGc0o0/edit?usp=sharing"",""งบพรบ!EX21"")"),429600)</f>
        <v>429600</v>
      </c>
      <c r="F21" s="82">
        <f ca="1">IFERROR(__xludf.DUMMYFUNCTION("IMPORTRANGE(""https://docs.google.com/spreadsheets/d/1MeEWN-I1oV_STSDYn1IFDPWt_1FKiwhDph83XaGc0o0/edit?usp=sharing"",""งบพรบ!EY21"")"),359390)</f>
        <v>359390</v>
      </c>
      <c r="G21" s="82">
        <f ca="1">IFERROR(__xludf.DUMMYFUNCTION("IMPORTRANGE(""https://docs.google.com/spreadsheets/d/1MeEWN-I1oV_STSDYn1IFDPWt_1FKiwhDph83XaGc0o0/edit?usp=sharing"",""งบพรบ!EZ21"")"),105600)</f>
        <v>105600</v>
      </c>
      <c r="H21" s="82">
        <f ca="1">IFERROR(__xludf.DUMMYFUNCTION("IMPORTRANGE(""https://docs.google.com/spreadsheets/d/1MeEWN-I1oV_STSDYn1IFDPWt_1FKiwhDph83XaGc0o0/edit?usp=sharing"",""งบพรบ!FB21"")"),551750)</f>
        <v>551750</v>
      </c>
      <c r="I21" s="82">
        <f ca="1">IFERROR(__xludf.DUMMYFUNCTION("IMPORTRANGE(""https://docs.google.com/spreadsheets/d/1MeEWN-I1oV_STSDYn1IFDPWt_1FKiwhDph83XaGc0o0/edit?usp=sharing"",""งบพรบ!FC21"")"),105600)</f>
        <v>105600</v>
      </c>
      <c r="J21" s="82">
        <f t="shared" ca="1" si="3"/>
        <v>282690.17000000004</v>
      </c>
      <c r="K21" s="83">
        <f t="shared" ca="1" si="4"/>
        <v>31.599969818576113</v>
      </c>
      <c r="L21" s="82">
        <f ca="1">IFERROR(__xludf.DUMMYFUNCTION("IMPORTRANGE(""https://docs.google.com/spreadsheets/d/1MeEWN-I1oV_STSDYn1IFDPWt_1FKiwhDph83XaGc0o0/edit?usp=sharing"",""งบพรบ!FD21"")"),177090.17)</f>
        <v>177090.17</v>
      </c>
      <c r="M21" s="84">
        <f t="shared" ca="1" si="5"/>
        <v>22.445172942622847</v>
      </c>
      <c r="N21" s="84">
        <f t="shared" ca="1" si="6"/>
        <v>32.096088808337107</v>
      </c>
      <c r="O21" s="85">
        <f ca="1">IFERROR(__xludf.DUMMYFUNCTION("IMPORTRANGE(""https://docs.google.com/spreadsheets/d/1MeEWN-I1oV_STSDYn1IFDPWt_1FKiwhDph83XaGc0o0/edit?usp=sharing"",""งบพรบ!FE21"")"),105600)</f>
        <v>105600</v>
      </c>
      <c r="P21" s="84">
        <f t="shared" ca="1" si="53"/>
        <v>100</v>
      </c>
      <c r="Q21" s="84">
        <f t="shared" ca="1" si="8"/>
        <v>100</v>
      </c>
      <c r="R21" s="86">
        <f ca="1">IFERROR(__xludf.DUMMYFUNCTION("IMPORTRANGE(""https://docs.google.com/spreadsheets/d/1Y9LPKx95PyL5OKy09d-KbKJSuuEZCFdkhYjwC0XQjBA/edit?usp=sharing"",""พิจิตร!I359"")"),1250)</f>
        <v>1250</v>
      </c>
      <c r="S21" s="86">
        <f ca="1">IFERROR(__xludf.DUMMYFUNCTION("IMPORTRANGE(""https://docs.google.com/spreadsheets/d/1Y9LPKx95PyL5OKy09d-KbKJSuuEZCFdkhYjwC0XQjBA/edit?usp=sharing"",""พิจิตร!J358"")"),44)</f>
        <v>44</v>
      </c>
      <c r="T21" s="86">
        <f ca="1">IFERROR(__xludf.DUMMYFUNCTION("IMPORTRANGE(""https://docs.google.com/spreadsheets/d/1Y9LPKx95PyL5OKy09d-KbKJSuuEZCFdkhYjwC0XQjBA/edit?usp=sharing"",""พิจิตร!J359"")"),253.78)</f>
        <v>253.78</v>
      </c>
      <c r="U21" s="87">
        <f t="shared" ca="1" si="43"/>
        <v>20.302399999999999</v>
      </c>
      <c r="V21" s="86">
        <f ca="1">IFERROR(__xludf.DUMMYFUNCTION("IMPORTRANGE(""https://docs.google.com/spreadsheets/d/1Y9LPKx95PyL5OKy09d-KbKJSuuEZCFdkhYjwC0XQjBA/edit?usp=sharing"",""พิจิตร!I360"")"),125)</f>
        <v>125</v>
      </c>
      <c r="W21" s="86">
        <f ca="1">IFERROR(__xludf.DUMMYFUNCTION("IMPORTRANGE(""https://docs.google.com/spreadsheets/d/1Y9LPKx95PyL5OKy09d-KbKJSuuEZCFdkhYjwC0XQjBA/edit?usp=sharing"",""พิจิตร!J360"")"),38)</f>
        <v>38</v>
      </c>
      <c r="X21" s="86">
        <f ca="1">IFERROR(__xludf.DUMMYFUNCTION("IMPORTRANGE(""https://docs.google.com/spreadsheets/d/1Y9LPKx95PyL5OKy09d-KbKJSuuEZCFdkhYjwC0XQjBA/edit?usp=sharing"",""พิจิตร!J361"")"),246.48)</f>
        <v>246.48</v>
      </c>
      <c r="Y21" s="87">
        <f t="shared" ca="1" si="44"/>
        <v>30.4</v>
      </c>
      <c r="Z21" s="86">
        <f ca="1">IFERROR(__xludf.DUMMYFUNCTION("IMPORTRANGE(""https://docs.google.com/spreadsheets/d/1Y9LPKx95PyL5OKy09d-KbKJSuuEZCFdkhYjwC0XQjBA/edit?usp=sharing"",""พิจิตร!I362"")"),125)</f>
        <v>125</v>
      </c>
      <c r="AA21" s="86">
        <f ca="1">IFERROR(__xludf.DUMMYFUNCTION("IMPORTRANGE(""https://docs.google.com/spreadsheets/d/1Y9LPKx95PyL5OKy09d-KbKJSuuEZCFdkhYjwC0XQjBA/edit?usp=sharing"",""พิจิตร!J362"")"),0)</f>
        <v>0</v>
      </c>
      <c r="AB21" s="86">
        <f ca="1">IFERROR(__xludf.DUMMYFUNCTION("IMPORTRANGE(""https://docs.google.com/spreadsheets/d/1Y9LPKx95PyL5OKy09d-KbKJSuuEZCFdkhYjwC0XQjBA/edit?usp=sharing"",""พิจิตร!J363"")"),0)</f>
        <v>0</v>
      </c>
      <c r="AC21" s="87">
        <f t="shared" ca="1" si="45"/>
        <v>0</v>
      </c>
      <c r="AD21" s="86">
        <f ca="1">IFERROR(__xludf.DUMMYFUNCTION("IMPORTRANGE(""https://docs.google.com/spreadsheets/d/1Y9LPKx95PyL5OKy09d-KbKJSuuEZCFdkhYjwC0XQjBA/edit?usp=sharing"",""พิจิตร!I364"")"),425)</f>
        <v>425</v>
      </c>
      <c r="AE21" s="86">
        <f ca="1">IFERROR(__xludf.DUMMYFUNCTION("IMPORTRANGE(""https://docs.google.com/spreadsheets/d/1Y9LPKx95PyL5OKy09d-KbKJSuuEZCFdkhYjwC0XQjBA/edit?usp=sharing"",""พิจิตร!J364"")"),82)</f>
        <v>82</v>
      </c>
      <c r="AF21" s="87">
        <f t="shared" ca="1" si="16"/>
        <v>19.294117647058822</v>
      </c>
      <c r="AG21" s="86">
        <f ca="1">IFERROR(__xludf.DUMMYFUNCTION("IMPORTRANGE(""https://docs.google.com/spreadsheets/d/1Y9LPKx95PyL5OKy09d-KbKJSuuEZCFdkhYjwC0XQjBA/edit?usp=sharing"",""พิจิตร!I369"")"),50)</f>
        <v>50</v>
      </c>
      <c r="AH21" s="86">
        <f ca="1">IFERROR(__xludf.DUMMYFUNCTION("IMPORTRANGE(""https://docs.google.com/spreadsheets/d/1Y9LPKx95PyL5OKy09d-KbKJSuuEZCFdkhYjwC0XQjBA/edit?usp=sharing"",""พิจิตร!J368"")"),6)</f>
        <v>6</v>
      </c>
      <c r="AI21" s="86">
        <f ca="1">IFERROR(__xludf.DUMMYFUNCTION("IMPORTRANGE(""https://docs.google.com/spreadsheets/d/1Y9LPKx95PyL5OKy09d-KbKJSuuEZCFdkhYjwC0XQjBA/edit?usp=sharing"",""พิจิตร!J369"")"),7.3)</f>
        <v>7.3</v>
      </c>
      <c r="AJ21" s="87">
        <f t="shared" ca="1" si="46"/>
        <v>14.6</v>
      </c>
      <c r="AK21" s="86">
        <f ca="1">IFERROR(__xludf.DUMMYFUNCTION("IMPORTRANGE(""https://docs.google.com/spreadsheets/d/1Y9LPKx95PyL5OKy09d-KbKJSuuEZCFdkhYjwC0XQjBA/edit?usp=sharing"",""พิจิตร!I370"")"),5)</f>
        <v>5</v>
      </c>
      <c r="AL21" s="86">
        <f ca="1">IFERROR(__xludf.DUMMYFUNCTION("IMPORTRANGE(""https://docs.google.com/spreadsheets/d/1Y9LPKx95PyL5OKy09d-KbKJSuuEZCFdkhYjwC0XQjBA/edit?usp=sharing"",""พิจิตร!J370"")"),0)</f>
        <v>0</v>
      </c>
      <c r="AM21" s="86">
        <f ca="1">IFERROR(__xludf.DUMMYFUNCTION("IMPORTRANGE(""https://docs.google.com/spreadsheets/d/1Y9LPKx95PyL5OKy09d-KbKJSuuEZCFdkhYjwC0XQjBA/edit?usp=sharing"",""พิจิตร!J371"")"),0)</f>
        <v>0</v>
      </c>
      <c r="AN21" s="87">
        <f t="shared" ca="1" si="47"/>
        <v>0</v>
      </c>
      <c r="AO21" s="86">
        <f ca="1">IFERROR(__xludf.DUMMYFUNCTION("IMPORTRANGE(""https://docs.google.com/spreadsheets/d/1Y9LPKx95PyL5OKy09d-KbKJSuuEZCFdkhYjwC0XQjBA/edit?usp=sharing"",""พิจิตร!I372"")"),5)</f>
        <v>5</v>
      </c>
      <c r="AP21" s="86">
        <f ca="1">IFERROR(__xludf.DUMMYFUNCTION("IMPORTRANGE(""https://docs.google.com/spreadsheets/d/1Y9LPKx95PyL5OKy09d-KbKJSuuEZCFdkhYjwC0XQjBA/edit?usp=sharing"",""พิจิตร!J372"")"),0)</f>
        <v>0</v>
      </c>
      <c r="AQ21" s="86">
        <f ca="1">IFERROR(__xludf.DUMMYFUNCTION("IMPORTRANGE(""https://docs.google.com/spreadsheets/d/1Y9LPKx95PyL5OKy09d-KbKJSuuEZCFdkhYjwC0XQjBA/edit?usp=sharing"",""พิจิตร!J373"")"),0)</f>
        <v>0</v>
      </c>
      <c r="AR21" s="87">
        <f t="shared" ca="1" si="48"/>
        <v>0</v>
      </c>
      <c r="AS21" s="86">
        <f ca="1">IFERROR(__xludf.DUMMYFUNCTION("IMPORTRANGE(""https://docs.google.com/spreadsheets/d/1Y9LPKx95PyL5OKy09d-KbKJSuuEZCFdkhYjwC0XQjBA/edit?usp=sharing"",""พิจิตร!I378"")"),1200)</f>
        <v>1200</v>
      </c>
      <c r="AT21" s="86">
        <f ca="1">IFERROR(__xludf.DUMMYFUNCTION("IMPORTRANGE(""https://docs.google.com/spreadsheets/d/1Y9LPKx95PyL5OKy09d-KbKJSuuEZCFdkhYjwC0XQjBA/edit?usp=sharing"",""พิจิตร!J377"")"),38)</f>
        <v>38</v>
      </c>
      <c r="AU21" s="86">
        <f ca="1">IFERROR(__xludf.DUMMYFUNCTION("IMPORTRANGE(""https://docs.google.com/spreadsheets/d/1Y9LPKx95PyL5OKy09d-KbKJSuuEZCFdkhYjwC0XQjBA/edit?usp=sharing"",""พิจิตร!J378"")"),246.48)</f>
        <v>246.48</v>
      </c>
      <c r="AV21" s="87">
        <f t="shared" ca="1" si="49"/>
        <v>20.54</v>
      </c>
      <c r="AW21" s="86">
        <f ca="1">IFERROR(__xludf.DUMMYFUNCTION("IMPORTRANGE(""https://docs.google.com/spreadsheets/d/1Y9LPKx95PyL5OKy09d-KbKJSuuEZCFdkhYjwC0XQjBA/edit?usp=sharing"",""พิจิตร!I379"")"),420)</f>
        <v>420</v>
      </c>
      <c r="AX21" s="86">
        <f ca="1">IFERROR(__xludf.DUMMYFUNCTION("IMPORTRANGE(""https://docs.google.com/spreadsheets/d/1Y9LPKx95PyL5OKy09d-KbKJSuuEZCFdkhYjwC0XQjBA/edit?usp=sharing"",""พิจิตร!J379"")"),118)</f>
        <v>118</v>
      </c>
      <c r="AY21" s="86">
        <f ca="1">IFERROR(__xludf.DUMMYFUNCTION("IMPORTRANGE(""https://docs.google.com/spreadsheets/d/1Y9LPKx95PyL5OKy09d-KbKJSuuEZCFdkhYjwC0XQjBA/edit?usp=sharing"",""พิจิตร!J380"")"),1589.04)</f>
        <v>1589.04</v>
      </c>
      <c r="AZ21" s="87">
        <f t="shared" ca="1" si="50"/>
        <v>28.095238095238095</v>
      </c>
      <c r="BA21" s="86">
        <f ca="1">IFERROR(__xludf.DUMMYFUNCTION("IMPORTRANGE(""https://docs.google.com/spreadsheets/d/1Y9LPKx95PyL5OKy09d-KbKJSuuEZCFdkhYjwC0XQjBA/edit?usp=sharing"",""พิจิตร!I381"")"),420)</f>
        <v>420</v>
      </c>
      <c r="BB21" s="86">
        <f ca="1">IFERROR(__xludf.DUMMYFUNCTION("IMPORTRANGE(""https://docs.google.com/spreadsheets/d/1Y9LPKx95PyL5OKy09d-KbKJSuuEZCFdkhYjwC0XQjBA/edit?usp=sharing"",""พิจิตร!J381"")"),82)</f>
        <v>82</v>
      </c>
      <c r="BC21" s="86">
        <f ca="1">IFERROR(__xludf.DUMMYFUNCTION("IMPORTRANGE(""https://docs.google.com/spreadsheets/d/1Y9LPKx95PyL5OKy09d-KbKJSuuEZCFdkhYjwC0XQjBA/edit?usp=sharing"",""พิจิตร!J382"")"),1342.56)</f>
        <v>1342.56</v>
      </c>
      <c r="BD21" s="87">
        <f t="shared" ca="1" si="51"/>
        <v>19.523809523809526</v>
      </c>
    </row>
    <row r="22" spans="1:56" ht="24" customHeight="1" x14ac:dyDescent="0.2">
      <c r="A22" s="78">
        <v>9</v>
      </c>
      <c r="B22" s="79" t="s">
        <v>44</v>
      </c>
      <c r="C22" s="80">
        <f t="shared" ca="1" si="0"/>
        <v>702430</v>
      </c>
      <c r="D22" s="81">
        <f t="shared" ca="1" si="64"/>
        <v>493630</v>
      </c>
      <c r="E22" s="82">
        <f ca="1">IFERROR(__xludf.DUMMYFUNCTION("IMPORTRANGE(""https://docs.google.com/spreadsheets/d/1MeEWN-I1oV_STSDYn1IFDPWt_1FKiwhDph83XaGc0o0/edit?usp=sharing"",""งบพรบ!EX22"")"),87600)</f>
        <v>87600</v>
      </c>
      <c r="F22" s="82">
        <f ca="1">IFERROR(__xludf.DUMMYFUNCTION("IMPORTRANGE(""https://docs.google.com/spreadsheets/d/1MeEWN-I1oV_STSDYn1IFDPWt_1FKiwhDph83XaGc0o0/edit?usp=sharing"",""งบพรบ!EY22"")"),406030)</f>
        <v>406030</v>
      </c>
      <c r="G22" s="82">
        <f ca="1">IFERROR(__xludf.DUMMYFUNCTION("IMPORTRANGE(""https://docs.google.com/spreadsheets/d/1MeEWN-I1oV_STSDYn1IFDPWt_1FKiwhDph83XaGc0o0/edit?usp=sharing"",""งบพรบ!EZ22"")"),208800)</f>
        <v>208800</v>
      </c>
      <c r="H22" s="82">
        <f ca="1">IFERROR(__xludf.DUMMYFUNCTION("IMPORTRANGE(""https://docs.google.com/spreadsheets/d/1MeEWN-I1oV_STSDYn1IFDPWt_1FKiwhDph83XaGc0o0/edit?usp=sharing"",""งบพรบ!FB22"")"),319610)</f>
        <v>319610</v>
      </c>
      <c r="I22" s="82">
        <f ca="1">IFERROR(__xludf.DUMMYFUNCTION("IMPORTRANGE(""https://docs.google.com/spreadsheets/d/1MeEWN-I1oV_STSDYn1IFDPWt_1FKiwhDph83XaGc0o0/edit?usp=sharing"",""งบพรบ!FC22"")"),208800)</f>
        <v>208800</v>
      </c>
      <c r="J22" s="82">
        <f t="shared" ca="1" si="3"/>
        <v>405821.70999999996</v>
      </c>
      <c r="K22" s="83">
        <f t="shared" ca="1" si="4"/>
        <v>57.773971783665274</v>
      </c>
      <c r="L22" s="82">
        <f ca="1">IFERROR(__xludf.DUMMYFUNCTION("IMPORTRANGE(""https://docs.google.com/spreadsheets/d/1MeEWN-I1oV_STSDYn1IFDPWt_1FKiwhDph83XaGc0o0/edit?usp=sharing"",""งบพรบ!FD22"")"),197021.71)</f>
        <v>197021.71</v>
      </c>
      <c r="M22" s="84">
        <f t="shared" ca="1" si="5"/>
        <v>39.912831472965578</v>
      </c>
      <c r="N22" s="84">
        <f t="shared" ca="1" si="6"/>
        <v>61.644413503957949</v>
      </c>
      <c r="O22" s="85">
        <f ca="1">IFERROR(__xludf.DUMMYFUNCTION("IMPORTRANGE(""https://docs.google.com/spreadsheets/d/1MeEWN-I1oV_STSDYn1IFDPWt_1FKiwhDph83XaGc0o0/edit?usp=sharing"",""งบพรบ!FE22"")"),208800)</f>
        <v>208800</v>
      </c>
      <c r="P22" s="84">
        <f t="shared" ca="1" si="53"/>
        <v>100</v>
      </c>
      <c r="Q22" s="84">
        <f t="shared" ca="1" si="8"/>
        <v>100</v>
      </c>
      <c r="R22" s="86">
        <f ca="1">IFERROR(__xludf.DUMMYFUNCTION("IMPORTRANGE(""https://docs.google.com/spreadsheets/d/16OMuOwy2eVqZcYWOouQtTpa8X1L23h4660uVHc0C8os/edit?usp=sharing"",""พิษณุโลก!I359"")"),1850)</f>
        <v>1850</v>
      </c>
      <c r="S22" s="86">
        <f ca="1">IFERROR(__xludf.DUMMYFUNCTION("IMPORTRANGE(""https://docs.google.com/spreadsheets/d/16OMuOwy2eVqZcYWOouQtTpa8X1L23h4660uVHc0C8os/edit?usp=sharing"",""พิษณุโลก!J358"")"),51)</f>
        <v>51</v>
      </c>
      <c r="T22" s="86">
        <f ca="1">IFERROR(__xludf.DUMMYFUNCTION("IMPORTRANGE(""https://docs.google.com/spreadsheets/d/16OMuOwy2eVqZcYWOouQtTpa8X1L23h4660uVHc0C8os/edit?usp=sharing"",""พิษณุโลก!J359"")"),521.89)</f>
        <v>521.89</v>
      </c>
      <c r="U22" s="87">
        <f t="shared" ca="1" si="43"/>
        <v>28.210270270270271</v>
      </c>
      <c r="V22" s="86">
        <f ca="1">IFERROR(__xludf.DUMMYFUNCTION("IMPORTRANGE(""https://docs.google.com/spreadsheets/d/16OMuOwy2eVqZcYWOouQtTpa8X1L23h4660uVHc0C8os/edit?usp=sharing"",""พิษณุโลก!I360"")"),190)</f>
        <v>190</v>
      </c>
      <c r="W22" s="86">
        <f ca="1">IFERROR(__xludf.DUMMYFUNCTION("IMPORTRANGE(""https://docs.google.com/spreadsheets/d/16OMuOwy2eVqZcYWOouQtTpa8X1L23h4660uVHc0C8os/edit?usp=sharing"",""พิษณุโลก!J360"")"),54)</f>
        <v>54</v>
      </c>
      <c r="X22" s="86">
        <f ca="1">IFERROR(__xludf.DUMMYFUNCTION("IMPORTRANGE(""https://docs.google.com/spreadsheets/d/16OMuOwy2eVqZcYWOouQtTpa8X1L23h4660uVHc0C8os/edit?usp=sharing"",""พิษณุโลก!J361"")"),607.83)</f>
        <v>607.83000000000004</v>
      </c>
      <c r="Y22" s="87">
        <f t="shared" ca="1" si="44"/>
        <v>28.421052631578949</v>
      </c>
      <c r="Z22" s="86">
        <f ca="1">IFERROR(__xludf.DUMMYFUNCTION("IMPORTRANGE(""https://docs.google.com/spreadsheets/d/16OMuOwy2eVqZcYWOouQtTpa8X1L23h4660uVHc0C8os/edit?usp=sharing"",""พิษณุโลก!I362"")"),190)</f>
        <v>190</v>
      </c>
      <c r="AA22" s="86">
        <f ca="1">IFERROR(__xludf.DUMMYFUNCTION("IMPORTRANGE(""https://docs.google.com/spreadsheets/d/16OMuOwy2eVqZcYWOouQtTpa8X1L23h4660uVHc0C8os/edit?usp=sharing"",""พิษณุโลก!J362"")"),19)</f>
        <v>19</v>
      </c>
      <c r="AB22" s="86">
        <f ca="1">IFERROR(__xludf.DUMMYFUNCTION("IMPORTRANGE(""https://docs.google.com/spreadsheets/d/16OMuOwy2eVqZcYWOouQtTpa8X1L23h4660uVHc0C8os/edit?usp=sharing"",""พิษณุโลก!J363"")"),138.23)</f>
        <v>138.22999999999999</v>
      </c>
      <c r="AC22" s="87">
        <f t="shared" ca="1" si="45"/>
        <v>10</v>
      </c>
      <c r="AD22" s="86">
        <f ca="1">IFERROR(__xludf.DUMMYFUNCTION("IMPORTRANGE(""https://docs.google.com/spreadsheets/d/16OMuOwy2eVqZcYWOouQtTpa8X1L23h4660uVHc0C8os/edit?usp=sharing"",""พิษณุโลก!I364"")"),530)</f>
        <v>530</v>
      </c>
      <c r="AE22" s="86">
        <f ca="1">IFERROR(__xludf.DUMMYFUNCTION("IMPORTRANGE(""https://docs.google.com/spreadsheets/d/16OMuOwy2eVqZcYWOouQtTpa8X1L23h4660uVHc0C8os/edit?usp=sharing"",""พิษณุโลก!J364"")"),67)</f>
        <v>67</v>
      </c>
      <c r="AF22" s="87">
        <f t="shared" ca="1" si="16"/>
        <v>12.641509433962264</v>
      </c>
      <c r="AG22" s="86">
        <f ca="1">IFERROR(__xludf.DUMMYFUNCTION("IMPORTRANGE(""https://docs.google.com/spreadsheets/d/16OMuOwy2eVqZcYWOouQtTpa8X1L23h4660uVHc0C8os/edit?usp=sharing"",""พิษณุโลก!I369"")"),1500)</f>
        <v>1500</v>
      </c>
      <c r="AH22" s="86">
        <f ca="1">IFERROR(__xludf.DUMMYFUNCTION("IMPORTRANGE(""https://docs.google.com/spreadsheets/d/16OMuOwy2eVqZcYWOouQtTpa8X1L23h4660uVHc0C8os/edit?usp=sharing"",""พิษณุโลก!J368"")"),31)</f>
        <v>31</v>
      </c>
      <c r="AI22" s="86">
        <f ca="1">IFERROR(__xludf.DUMMYFUNCTION("IMPORTRANGE(""https://docs.google.com/spreadsheets/d/16OMuOwy2eVqZcYWOouQtTpa8X1L23h4660uVHc0C8os/edit?usp=sharing"",""พิษณุโลก!J369"")"),383.55)</f>
        <v>383.55</v>
      </c>
      <c r="AJ22" s="87">
        <f t="shared" ca="1" si="46"/>
        <v>25.57</v>
      </c>
      <c r="AK22" s="86">
        <f ca="1">IFERROR(__xludf.DUMMYFUNCTION("IMPORTRANGE(""https://docs.google.com/spreadsheets/d/16OMuOwy2eVqZcYWOouQtTpa8X1L23h4660uVHc0C8os/edit?usp=sharing"",""พิษณุโลก!I370"")"),150)</f>
        <v>150</v>
      </c>
      <c r="AL22" s="86">
        <f ca="1">IFERROR(__xludf.DUMMYFUNCTION("IMPORTRANGE(""https://docs.google.com/spreadsheets/d/16OMuOwy2eVqZcYWOouQtTpa8X1L23h4660uVHc0C8os/edit?usp=sharing"",""พิษณุโลก!J370"")"),34)</f>
        <v>34</v>
      </c>
      <c r="AM22" s="86">
        <f ca="1">IFERROR(__xludf.DUMMYFUNCTION("IMPORTRANGE(""https://docs.google.com/spreadsheets/d/16OMuOwy2eVqZcYWOouQtTpa8X1L23h4660uVHc0C8os/edit?usp=sharing"",""พิษณุโลก!J371"")"),469.49)</f>
        <v>469.49</v>
      </c>
      <c r="AN22" s="87">
        <f t="shared" ca="1" si="47"/>
        <v>22.666666666666668</v>
      </c>
      <c r="AO22" s="86">
        <f ca="1">IFERROR(__xludf.DUMMYFUNCTION("IMPORTRANGE(""https://docs.google.com/spreadsheets/d/16OMuOwy2eVqZcYWOouQtTpa8X1L23h4660uVHc0C8os/edit?usp=sharing"",""พิษณุโลก!I372"")"),150)</f>
        <v>150</v>
      </c>
      <c r="AP22" s="86">
        <f ca="1">IFERROR(__xludf.DUMMYFUNCTION("IMPORTRANGE(""https://docs.google.com/spreadsheets/d/16OMuOwy2eVqZcYWOouQtTpa8X1L23h4660uVHc0C8os/edit?usp=sharing"",""พิษณุโลก!J372"")"),0)</f>
        <v>0</v>
      </c>
      <c r="AQ22" s="86">
        <f ca="1">IFERROR(__xludf.DUMMYFUNCTION("IMPORTRANGE(""https://docs.google.com/spreadsheets/d/16OMuOwy2eVqZcYWOouQtTpa8X1L23h4660uVHc0C8os/edit?usp=sharing"",""พิษณุโลก!J373"")"),0)</f>
        <v>0</v>
      </c>
      <c r="AR22" s="87">
        <f t="shared" ca="1" si="48"/>
        <v>0</v>
      </c>
      <c r="AS22" s="86">
        <f ca="1">IFERROR(__xludf.DUMMYFUNCTION("IMPORTRANGE(""https://docs.google.com/spreadsheets/d/16OMuOwy2eVqZcYWOouQtTpa8X1L23h4660uVHc0C8os/edit?usp=sharing"",""พิษณุโลก!I378"")"),350)</f>
        <v>350</v>
      </c>
      <c r="AT22" s="86">
        <f ca="1">IFERROR(__xludf.DUMMYFUNCTION("IMPORTRANGE(""https://docs.google.com/spreadsheets/d/16OMuOwy2eVqZcYWOouQtTpa8X1L23h4660uVHc0C8os/edit?usp=sharing"",""พิษณุโลก!J377"")"),20)</f>
        <v>20</v>
      </c>
      <c r="AU22" s="86">
        <f ca="1">IFERROR(__xludf.DUMMYFUNCTION("IMPORTRANGE(""https://docs.google.com/spreadsheets/d/16OMuOwy2eVqZcYWOouQtTpa8X1L23h4660uVHc0C8os/edit?usp=sharing"",""พิษณุโลก!J378"")"),138.34)</f>
        <v>138.34</v>
      </c>
      <c r="AV22" s="87">
        <f t="shared" ca="1" si="49"/>
        <v>39.525714285714287</v>
      </c>
      <c r="AW22" s="86">
        <f ca="1">IFERROR(__xludf.DUMMYFUNCTION("IMPORTRANGE(""https://docs.google.com/spreadsheets/d/16OMuOwy2eVqZcYWOouQtTpa8X1L23h4660uVHc0C8os/edit?usp=sharing"",""พิษณุโลก!I379"")"),380)</f>
        <v>380</v>
      </c>
      <c r="AX22" s="86">
        <f ca="1">IFERROR(__xludf.DUMMYFUNCTION("IMPORTRANGE(""https://docs.google.com/spreadsheets/d/16OMuOwy2eVqZcYWOouQtTpa8X1L23h4660uVHc0C8os/edit?usp=sharing"",""พิษณุโลก!J379"")"),68)</f>
        <v>68</v>
      </c>
      <c r="AY22" s="86">
        <f ca="1">IFERROR(__xludf.DUMMYFUNCTION("IMPORTRANGE(""https://docs.google.com/spreadsheets/d/16OMuOwy2eVqZcYWOouQtTpa8X1L23h4660uVHc0C8os/edit?usp=sharing"",""พิษณุโลก!J380"")"),705.39)</f>
        <v>705.39</v>
      </c>
      <c r="AZ22" s="87">
        <f t="shared" ca="1" si="50"/>
        <v>17.894736842105264</v>
      </c>
      <c r="BA22" s="86">
        <f ca="1">IFERROR(__xludf.DUMMYFUNCTION("IMPORTRANGE(""https://docs.google.com/spreadsheets/d/16OMuOwy2eVqZcYWOouQtTpa8X1L23h4660uVHc0C8os/edit?usp=sharing"",""พิษณุโลก!I381"")"),380)</f>
        <v>380</v>
      </c>
      <c r="BB22" s="86">
        <f ca="1">IFERROR(__xludf.DUMMYFUNCTION("IMPORTRANGE(""https://docs.google.com/spreadsheets/d/16OMuOwy2eVqZcYWOouQtTpa8X1L23h4660uVHc0C8os/edit?usp=sharing"",""พิษณุโลก!J381"")"),67)</f>
        <v>67</v>
      </c>
      <c r="BC22" s="86">
        <f ca="1">IFERROR(__xludf.DUMMYFUNCTION("IMPORTRANGE(""https://docs.google.com/spreadsheets/d/16OMuOwy2eVqZcYWOouQtTpa8X1L23h4660uVHc0C8os/edit?usp=sharing"",""พิษณุโลก!J382"")"),705.29)</f>
        <v>705.29</v>
      </c>
      <c r="BD22" s="87">
        <f t="shared" ca="1" si="51"/>
        <v>17.631578947368421</v>
      </c>
    </row>
    <row r="23" spans="1:56" ht="24" customHeight="1" x14ac:dyDescent="0.2">
      <c r="A23" s="78">
        <v>10</v>
      </c>
      <c r="B23" s="79" t="s">
        <v>45</v>
      </c>
      <c r="C23" s="80">
        <f t="shared" ca="1" si="0"/>
        <v>987190</v>
      </c>
      <c r="D23" s="81">
        <f t="shared" ca="1" si="64"/>
        <v>851590</v>
      </c>
      <c r="E23" s="82">
        <f ca="1">IFERROR(__xludf.DUMMYFUNCTION("IMPORTRANGE(""https://docs.google.com/spreadsheets/d/1MeEWN-I1oV_STSDYn1IFDPWt_1FKiwhDph83XaGc0o0/edit?usp=sharing"",""งบพรบ!EX23"")"),0)</f>
        <v>0</v>
      </c>
      <c r="F23" s="82">
        <f ca="1">IFERROR(__xludf.DUMMYFUNCTION("IMPORTRANGE(""https://docs.google.com/spreadsheets/d/1MeEWN-I1oV_STSDYn1IFDPWt_1FKiwhDph83XaGc0o0/edit?usp=sharing"",""งบพรบ!EY23"")"),851590)</f>
        <v>851590</v>
      </c>
      <c r="G23" s="82">
        <f ca="1">IFERROR(__xludf.DUMMYFUNCTION("IMPORTRANGE(""https://docs.google.com/spreadsheets/d/1MeEWN-I1oV_STSDYn1IFDPWt_1FKiwhDph83XaGc0o0/edit?usp=sharing"",""งบพรบ!EZ23"")"),135600)</f>
        <v>135600</v>
      </c>
      <c r="H23" s="82">
        <f ca="1">IFERROR(__xludf.DUMMYFUNCTION("IMPORTRANGE(""https://docs.google.com/spreadsheets/d/1MeEWN-I1oV_STSDYn1IFDPWt_1FKiwhDph83XaGc0o0/edit?usp=sharing"",""งบพรบ!FB23"")"),516580)</f>
        <v>516580</v>
      </c>
      <c r="I23" s="82">
        <f ca="1">IFERROR(__xludf.DUMMYFUNCTION("IMPORTRANGE(""https://docs.google.com/spreadsheets/d/1MeEWN-I1oV_STSDYn1IFDPWt_1FKiwhDph83XaGc0o0/edit?usp=sharing"",""งบพรบ!FC23"")"),135600)</f>
        <v>135600</v>
      </c>
      <c r="J23" s="82">
        <f t="shared" ca="1" si="3"/>
        <v>349512.04000000004</v>
      </c>
      <c r="K23" s="83">
        <f t="shared" ca="1" si="4"/>
        <v>35.404738702782645</v>
      </c>
      <c r="L23" s="82">
        <f ca="1">IFERROR(__xludf.DUMMYFUNCTION("IMPORTRANGE(""https://docs.google.com/spreadsheets/d/1MeEWN-I1oV_STSDYn1IFDPWt_1FKiwhDph83XaGc0o0/edit?usp=sharing"",""งบพรบ!FD23"")"),213912.04)</f>
        <v>213912.04</v>
      </c>
      <c r="M23" s="84">
        <f t="shared" ca="1" si="5"/>
        <v>25.119134794913045</v>
      </c>
      <c r="N23" s="84">
        <f t="shared" ca="1" si="6"/>
        <v>41.409276394750087</v>
      </c>
      <c r="O23" s="85">
        <f ca="1">IFERROR(__xludf.DUMMYFUNCTION("IMPORTRANGE(""https://docs.google.com/spreadsheets/d/1MeEWN-I1oV_STSDYn1IFDPWt_1FKiwhDph83XaGc0o0/edit?usp=sharing"",""งบพรบ!FE23"")"),135600)</f>
        <v>135600</v>
      </c>
      <c r="P23" s="84">
        <f t="shared" ca="1" si="53"/>
        <v>100</v>
      </c>
      <c r="Q23" s="84">
        <f t="shared" ca="1" si="8"/>
        <v>100</v>
      </c>
      <c r="R23" s="86">
        <f ca="1">IFERROR(__xludf.DUMMYFUNCTION("IMPORTRANGE(""https://docs.google.com/spreadsheets/d/1GfgTldLG6k77HXaMQzaafODklYuucJZQNs_GAPEfZyY/edit?usp=sharing"",""เพชรบูรณ์!I359"")"),5000)</f>
        <v>5000</v>
      </c>
      <c r="S23" s="86">
        <f ca="1">IFERROR(__xludf.DUMMYFUNCTION("IMPORTRANGE(""https://docs.google.com/spreadsheets/d/1GfgTldLG6k77HXaMQzaafODklYuucJZQNs_GAPEfZyY/edit?usp=sharing"",""เพชรบูรณ์!J358"")"),15)</f>
        <v>15</v>
      </c>
      <c r="T23" s="86">
        <f ca="1">IFERROR(__xludf.DUMMYFUNCTION("IMPORTRANGE(""https://docs.google.com/spreadsheets/d/1GfgTldLG6k77HXaMQzaafODklYuucJZQNs_GAPEfZyY/edit?usp=sharing"",""เพชรบูรณ์!J359"")"),412.65)</f>
        <v>412.65</v>
      </c>
      <c r="U23" s="87">
        <f t="shared" ca="1" si="43"/>
        <v>8.2530000000000001</v>
      </c>
      <c r="V23" s="86">
        <f ca="1">IFERROR(__xludf.DUMMYFUNCTION("IMPORTRANGE(""https://docs.google.com/spreadsheets/d/1GfgTldLG6k77HXaMQzaafODklYuucJZQNs_GAPEfZyY/edit?usp=sharing"",""เพชรบูรณ์!I360"")"),685)</f>
        <v>685</v>
      </c>
      <c r="W23" s="86">
        <f ca="1">IFERROR(__xludf.DUMMYFUNCTION("IMPORTRANGE(""https://docs.google.com/spreadsheets/d/1GfgTldLG6k77HXaMQzaafODklYuucJZQNs_GAPEfZyY/edit?usp=sharing"",""เพชรบูรณ์!J360"")"),66)</f>
        <v>66</v>
      </c>
      <c r="X23" s="86">
        <f ca="1">IFERROR(__xludf.DUMMYFUNCTION("IMPORTRANGE(""https://docs.google.com/spreadsheets/d/1GfgTldLG6k77HXaMQzaafODklYuucJZQNs_GAPEfZyY/edit?usp=sharing"",""เพชรบูรณ์!J361"")"),1097.14999999999)</f>
        <v>1097.1499999999901</v>
      </c>
      <c r="Y23" s="87">
        <f t="shared" ca="1" si="44"/>
        <v>9.6350364963503647</v>
      </c>
      <c r="Z23" s="86">
        <f ca="1">IFERROR(__xludf.DUMMYFUNCTION("IMPORTRANGE(""https://docs.google.com/spreadsheets/d/1GfgTldLG6k77HXaMQzaafODklYuucJZQNs_GAPEfZyY/edit?usp=sharing"",""เพชรบูรณ์!I362"")"),685)</f>
        <v>685</v>
      </c>
      <c r="AA23" s="86">
        <f ca="1">IFERROR(__xludf.DUMMYFUNCTION("IMPORTRANGE(""https://docs.google.com/spreadsheets/d/1GfgTldLG6k77HXaMQzaafODklYuucJZQNs_GAPEfZyY/edit?usp=sharing"",""เพชรบูรณ์!J362"")"),29)</f>
        <v>29</v>
      </c>
      <c r="AB23" s="86">
        <f ca="1">IFERROR(__xludf.DUMMYFUNCTION("IMPORTRANGE(""https://docs.google.com/spreadsheets/d/1GfgTldLG6k77HXaMQzaafODklYuucJZQNs_GAPEfZyY/edit?usp=sharing"",""เพชรบูรณ์!J363"")"),544.77)</f>
        <v>544.77</v>
      </c>
      <c r="AC23" s="87">
        <f t="shared" ca="1" si="45"/>
        <v>4.2335766423357661</v>
      </c>
      <c r="AD23" s="86">
        <f ca="1">IFERROR(__xludf.DUMMYFUNCTION("IMPORTRANGE(""https://docs.google.com/spreadsheets/d/1GfgTldLG6k77HXaMQzaafODklYuucJZQNs_GAPEfZyY/edit?usp=sharing"",""เพชรบูรณ์!I364"")"),1285)</f>
        <v>1285</v>
      </c>
      <c r="AE23" s="86">
        <f ca="1">IFERROR(__xludf.DUMMYFUNCTION("IMPORTRANGE(""https://docs.google.com/spreadsheets/d/1GfgTldLG6k77HXaMQzaafODklYuucJZQNs_GAPEfZyY/edit?usp=sharing"",""เพชรบูรณ์!J364"")"),322)</f>
        <v>322</v>
      </c>
      <c r="AF23" s="87">
        <f t="shared" ca="1" si="16"/>
        <v>25.058365758754864</v>
      </c>
      <c r="AG23" s="86">
        <f ca="1">IFERROR(__xludf.DUMMYFUNCTION("IMPORTRANGE(""https://docs.google.com/spreadsheets/d/1GfgTldLG6k77HXaMQzaafODklYuucJZQNs_GAPEfZyY/edit?usp=sharing"",""เพชรบูรณ์!I369"")"),1000)</f>
        <v>1000</v>
      </c>
      <c r="AH23" s="86">
        <f ca="1">IFERROR(__xludf.DUMMYFUNCTION("IMPORTRANGE(""https://docs.google.com/spreadsheets/d/1GfgTldLG6k77HXaMQzaafODklYuucJZQNs_GAPEfZyY/edit?usp=sharing"",""เพชรบูรณ์!J368"")"),9)</f>
        <v>9</v>
      </c>
      <c r="AI23" s="86">
        <f ca="1">IFERROR(__xludf.DUMMYFUNCTION("IMPORTRANGE(""https://docs.google.com/spreadsheets/d/1GfgTldLG6k77HXaMQzaafODklYuucJZQNs_GAPEfZyY/edit?usp=sharing"",""เพชรบูรณ์!J369"")"),310.04)</f>
        <v>310.04000000000002</v>
      </c>
      <c r="AJ23" s="87">
        <f t="shared" ca="1" si="46"/>
        <v>31.004000000000005</v>
      </c>
      <c r="AK23" s="86">
        <f ca="1">IFERROR(__xludf.DUMMYFUNCTION("IMPORTRANGE(""https://docs.google.com/spreadsheets/d/1GfgTldLG6k77HXaMQzaafODklYuucJZQNs_GAPEfZyY/edit?usp=sharing"",""เพชรบูรณ์!I370"")"),100)</f>
        <v>100</v>
      </c>
      <c r="AL23" s="86">
        <f ca="1">IFERROR(__xludf.DUMMYFUNCTION("IMPORTRANGE(""https://docs.google.com/spreadsheets/d/1GfgTldLG6k77HXaMQzaafODklYuucJZQNs_GAPEfZyY/edit?usp=sharing"",""เพชรบูรณ์!J370"")"),60)</f>
        <v>60</v>
      </c>
      <c r="AM23" s="86">
        <f ca="1">IFERROR(__xludf.DUMMYFUNCTION("IMPORTRANGE(""https://docs.google.com/spreadsheets/d/1GfgTldLG6k77HXaMQzaafODklYuucJZQNs_GAPEfZyY/edit?usp=sharing"",""เพชรบูรณ์!J371"")"),994.54)</f>
        <v>994.54</v>
      </c>
      <c r="AN23" s="87">
        <f t="shared" ca="1" si="47"/>
        <v>60</v>
      </c>
      <c r="AO23" s="86">
        <f ca="1">IFERROR(__xludf.DUMMYFUNCTION("IMPORTRANGE(""https://docs.google.com/spreadsheets/d/1GfgTldLG6k77HXaMQzaafODklYuucJZQNs_GAPEfZyY/edit?usp=sharing"",""เพชรบูรณ์!I372"")"),100)</f>
        <v>100</v>
      </c>
      <c r="AP23" s="86">
        <f ca="1">IFERROR(__xludf.DUMMYFUNCTION("IMPORTRANGE(""https://docs.google.com/spreadsheets/d/1GfgTldLG6k77HXaMQzaafODklYuucJZQNs_GAPEfZyY/edit?usp=sharing"",""เพชรบูรณ์!J372"")"),29)</f>
        <v>29</v>
      </c>
      <c r="AQ23" s="86">
        <f ca="1">IFERROR(__xludf.DUMMYFUNCTION("IMPORTRANGE(""https://docs.google.com/spreadsheets/d/1GfgTldLG6k77HXaMQzaafODklYuucJZQNs_GAPEfZyY/edit?usp=sharing"",""เพชรบูรณ์!J373"")"),544.77)</f>
        <v>544.77</v>
      </c>
      <c r="AR23" s="87">
        <f t="shared" ca="1" si="48"/>
        <v>29</v>
      </c>
      <c r="AS23" s="86">
        <f ca="1">IFERROR(__xludf.DUMMYFUNCTION("IMPORTRANGE(""https://docs.google.com/spreadsheets/d/1GfgTldLG6k77HXaMQzaafODklYuucJZQNs_GAPEfZyY/edit?usp=sharing"",""เพชรบูรณ์!I378"")"),4000)</f>
        <v>4000</v>
      </c>
      <c r="AT23" s="86">
        <f ca="1">IFERROR(__xludf.DUMMYFUNCTION("IMPORTRANGE(""https://docs.google.com/spreadsheets/d/1GfgTldLG6k77HXaMQzaafODklYuucJZQNs_GAPEfZyY/edit?usp=sharing"",""เพชรบูรณ์!J377"")"),6)</f>
        <v>6</v>
      </c>
      <c r="AU23" s="86">
        <f ca="1">IFERROR(__xludf.DUMMYFUNCTION("IMPORTRANGE(""https://docs.google.com/spreadsheets/d/1GfgTldLG6k77HXaMQzaafODklYuucJZQNs_GAPEfZyY/edit?usp=sharing"",""เพชรบูรณ์!J378"")"),102.61)</f>
        <v>102.61</v>
      </c>
      <c r="AV23" s="87">
        <f t="shared" ca="1" si="49"/>
        <v>2.5652499999999998</v>
      </c>
      <c r="AW23" s="86">
        <f ca="1">IFERROR(__xludf.DUMMYFUNCTION("IMPORTRANGE(""https://docs.google.com/spreadsheets/d/1GfgTldLG6k77HXaMQzaafODklYuucJZQNs_GAPEfZyY/edit?usp=sharing"",""เพชรบูรณ์!I379"")"),1185)</f>
        <v>1185</v>
      </c>
      <c r="AX23" s="86">
        <f ca="1">IFERROR(__xludf.DUMMYFUNCTION("IMPORTRANGE(""https://docs.google.com/spreadsheets/d/1GfgTldLG6k77HXaMQzaafODklYuucJZQNs_GAPEfZyY/edit?usp=sharing"",""เพชรบูรณ์!J379"")"),299)</f>
        <v>299</v>
      </c>
      <c r="AY23" s="86">
        <f ca="1">IFERROR(__xludf.DUMMYFUNCTION("IMPORTRANGE(""https://docs.google.com/spreadsheets/d/1GfgTldLG6k77HXaMQzaafODklYuucJZQNs_GAPEfZyY/edit?usp=sharing"",""เพชรบูรณ์!J380"")"),5305.18)</f>
        <v>5305.18</v>
      </c>
      <c r="AZ23" s="87">
        <f t="shared" ca="1" si="50"/>
        <v>25.232067510548521</v>
      </c>
      <c r="BA23" s="86">
        <f ca="1">IFERROR(__xludf.DUMMYFUNCTION("IMPORTRANGE(""https://docs.google.com/spreadsheets/d/1GfgTldLG6k77HXaMQzaafODklYuucJZQNs_GAPEfZyY/edit?usp=sharing"",""เพชรบูรณ์!I381"")"),1185)</f>
        <v>1185</v>
      </c>
      <c r="BB23" s="86">
        <f ca="1">IFERROR(__xludf.DUMMYFUNCTION("IMPORTRANGE(""https://docs.google.com/spreadsheets/d/1GfgTldLG6k77HXaMQzaafODklYuucJZQNs_GAPEfZyY/edit?usp=sharing"",""เพชรบูรณ์!J381"")"),293)</f>
        <v>293</v>
      </c>
      <c r="BC23" s="86">
        <f ca="1">IFERROR(__xludf.DUMMYFUNCTION("IMPORTRANGE(""https://docs.google.com/spreadsheets/d/1GfgTldLG6k77HXaMQzaafODklYuucJZQNs_GAPEfZyY/edit?usp=sharing"",""เพชรบูรณ์!J382"")"),5202.56)</f>
        <v>5202.5600000000004</v>
      </c>
      <c r="BD23" s="87">
        <f t="shared" ca="1" si="51"/>
        <v>24.725738396624472</v>
      </c>
    </row>
    <row r="24" spans="1:56" ht="24" customHeight="1" x14ac:dyDescent="0.2">
      <c r="A24" s="78">
        <v>11</v>
      </c>
      <c r="B24" s="79" t="s">
        <v>46</v>
      </c>
      <c r="C24" s="80">
        <f t="shared" ca="1" si="0"/>
        <v>614330</v>
      </c>
      <c r="D24" s="81">
        <f t="shared" ca="1" si="64"/>
        <v>545530</v>
      </c>
      <c r="E24" s="82">
        <f ca="1">IFERROR(__xludf.DUMMYFUNCTION("IMPORTRANGE(""https://docs.google.com/spreadsheets/d/1MeEWN-I1oV_STSDYn1IFDPWt_1FKiwhDph83XaGc0o0/edit?usp=sharing"",""งบพรบ!EX24"")"),228000)</f>
        <v>228000</v>
      </c>
      <c r="F24" s="82">
        <f ca="1">IFERROR(__xludf.DUMMYFUNCTION("IMPORTRANGE(""https://docs.google.com/spreadsheets/d/1MeEWN-I1oV_STSDYn1IFDPWt_1FKiwhDph83XaGc0o0/edit?usp=sharing"",""งบพรบ!EY24"")"),317530)</f>
        <v>317530</v>
      </c>
      <c r="G24" s="82">
        <f ca="1">IFERROR(__xludf.DUMMYFUNCTION("IMPORTRANGE(""https://docs.google.com/spreadsheets/d/1MeEWN-I1oV_STSDYn1IFDPWt_1FKiwhDph83XaGc0o0/edit?usp=sharing"",""งบพรบ!EZ24"")"),68800)</f>
        <v>68800</v>
      </c>
      <c r="H24" s="82">
        <f ca="1">IFERROR(__xludf.DUMMYFUNCTION("IMPORTRANGE(""https://docs.google.com/spreadsheets/d/1MeEWN-I1oV_STSDYn1IFDPWt_1FKiwhDph83XaGc0o0/edit?usp=sharing"",""งบพรบ!FB24"")"),380660)</f>
        <v>380660</v>
      </c>
      <c r="I24" s="82">
        <f ca="1">IFERROR(__xludf.DUMMYFUNCTION("IMPORTRANGE(""https://docs.google.com/spreadsheets/d/1MeEWN-I1oV_STSDYn1IFDPWt_1FKiwhDph83XaGc0o0/edit?usp=sharing"",""งบพรบ!FC24"")"),68500)</f>
        <v>68500</v>
      </c>
      <c r="J24" s="82">
        <f t="shared" ca="1" si="3"/>
        <v>214179.84</v>
      </c>
      <c r="K24" s="83">
        <f t="shared" ca="1" si="4"/>
        <v>34.863972132241628</v>
      </c>
      <c r="L24" s="82">
        <f ca="1">IFERROR(__xludf.DUMMYFUNCTION("IMPORTRANGE(""https://docs.google.com/spreadsheets/d/1MeEWN-I1oV_STSDYn1IFDPWt_1FKiwhDph83XaGc0o0/edit?usp=sharing"",""งบพรบ!FD24"")"),145679.84)</f>
        <v>145679.84</v>
      </c>
      <c r="M24" s="84">
        <f t="shared" ca="1" si="5"/>
        <v>26.704276575073781</v>
      </c>
      <c r="N24" s="84">
        <f t="shared" ca="1" si="6"/>
        <v>38.270330478642357</v>
      </c>
      <c r="O24" s="85">
        <f ca="1">IFERROR(__xludf.DUMMYFUNCTION("IMPORTRANGE(""https://docs.google.com/spreadsheets/d/1MeEWN-I1oV_STSDYn1IFDPWt_1FKiwhDph83XaGc0o0/edit?usp=sharing"",""งบพรบ!FE24"")"),68500)</f>
        <v>68500</v>
      </c>
      <c r="P24" s="84">
        <f t="shared" ca="1" si="53"/>
        <v>99.563953488372093</v>
      </c>
      <c r="Q24" s="84">
        <f t="shared" ca="1" si="8"/>
        <v>100</v>
      </c>
      <c r="R24" s="86">
        <f ca="1">IFERROR(__xludf.DUMMYFUNCTION("IMPORTRANGE(""https://docs.google.com/spreadsheets/d/1gvTMYAnm7v1yG1BKWFtr0DnaTsq59oW9dwWvFgq6hs0/edit?usp=sharing"",""แพร่!I359"")"),800)</f>
        <v>800</v>
      </c>
      <c r="S24" s="86">
        <f ca="1">IFERROR(__xludf.DUMMYFUNCTION("IMPORTRANGE(""https://docs.google.com/spreadsheets/d/1gvTMYAnm7v1yG1BKWFtr0DnaTsq59oW9dwWvFgq6hs0/edit?usp=sharing"",""แพร่!J358"")"),57)</f>
        <v>57</v>
      </c>
      <c r="T24" s="86">
        <f ca="1">IFERROR(__xludf.DUMMYFUNCTION("IMPORTRANGE(""https://docs.google.com/spreadsheets/d/1gvTMYAnm7v1yG1BKWFtr0DnaTsq59oW9dwWvFgq6hs0/edit?usp=sharing"",""แพร่!J359"")"),413.299999999999)</f>
        <v>413.29999999999899</v>
      </c>
      <c r="U24" s="87">
        <f t="shared" ca="1" si="43"/>
        <v>51.662499999999874</v>
      </c>
      <c r="V24" s="86">
        <f ca="1">IFERROR(__xludf.DUMMYFUNCTION("IMPORTRANGE(""https://docs.google.com/spreadsheets/d/1gvTMYAnm7v1yG1BKWFtr0DnaTsq59oW9dwWvFgq6hs0/edit?usp=sharing"",""แพร่!I360"")"),80)</f>
        <v>80</v>
      </c>
      <c r="W24" s="86">
        <f ca="1">IFERROR(__xludf.DUMMYFUNCTION("IMPORTRANGE(""https://docs.google.com/spreadsheets/d/1gvTMYAnm7v1yG1BKWFtr0DnaTsq59oW9dwWvFgq6hs0/edit?usp=sharing"",""แพร่!J360"")"),42)</f>
        <v>42</v>
      </c>
      <c r="X24" s="86">
        <f ca="1">IFERROR(__xludf.DUMMYFUNCTION("IMPORTRANGE(""https://docs.google.com/spreadsheets/d/1gvTMYAnm7v1yG1BKWFtr0DnaTsq59oW9dwWvFgq6hs0/edit?usp=sharing"",""แพร่!J361"")"),292.97)</f>
        <v>292.97000000000003</v>
      </c>
      <c r="Y24" s="87">
        <f t="shared" ca="1" si="44"/>
        <v>52.5</v>
      </c>
      <c r="Z24" s="86">
        <f ca="1">IFERROR(__xludf.DUMMYFUNCTION("IMPORTRANGE(""https://docs.google.com/spreadsheets/d/1gvTMYAnm7v1yG1BKWFtr0DnaTsq59oW9dwWvFgq6hs0/edit?usp=sharing"",""แพร่!I362"")"),80)</f>
        <v>80</v>
      </c>
      <c r="AA24" s="86">
        <f ca="1">IFERROR(__xludf.DUMMYFUNCTION("IMPORTRANGE(""https://docs.google.com/spreadsheets/d/1gvTMYAnm7v1yG1BKWFtr0DnaTsq59oW9dwWvFgq6hs0/edit?usp=sharing"",""แพร่!J362"")"),7)</f>
        <v>7</v>
      </c>
      <c r="AB24" s="86">
        <f ca="1">IFERROR(__xludf.DUMMYFUNCTION("IMPORTRANGE(""https://docs.google.com/spreadsheets/d/1gvTMYAnm7v1yG1BKWFtr0DnaTsq59oW9dwWvFgq6hs0/edit?usp=sharing"",""แพร่!J363"")"),57.8499999999999)</f>
        <v>57.849999999999902</v>
      </c>
      <c r="AC24" s="87">
        <f t="shared" ca="1" si="45"/>
        <v>8.75</v>
      </c>
      <c r="AD24" s="86">
        <f ca="1">IFERROR(__xludf.DUMMYFUNCTION("IMPORTRANGE(""https://docs.google.com/spreadsheets/d/1gvTMYAnm7v1yG1BKWFtr0DnaTsq59oW9dwWvFgq6hs0/edit?usp=sharing"",""แพร่!I364"")"),380)</f>
        <v>380</v>
      </c>
      <c r="AE24" s="86">
        <f ca="1">IFERROR(__xludf.DUMMYFUNCTION("IMPORTRANGE(""https://docs.google.com/spreadsheets/d/1gvTMYAnm7v1yG1BKWFtr0DnaTsq59oW9dwWvFgq6hs0/edit?usp=sharing"",""แพร่!J364"")"),156)</f>
        <v>156</v>
      </c>
      <c r="AF24" s="87">
        <f t="shared" ca="1" si="16"/>
        <v>41.05263157894737</v>
      </c>
      <c r="AG24" s="86">
        <f ca="1">IFERROR(__xludf.DUMMYFUNCTION("IMPORTRANGE(""https://docs.google.com/spreadsheets/d/1gvTMYAnm7v1yG1BKWFtr0DnaTsq59oW9dwWvFgq6hs0/edit?usp=sharing"",""แพร่!I369"")"),500)</f>
        <v>500</v>
      </c>
      <c r="AH24" s="86">
        <f ca="1">IFERROR(__xludf.DUMMYFUNCTION("IMPORTRANGE(""https://docs.google.com/spreadsheets/d/1gvTMYAnm7v1yG1BKWFtr0DnaTsq59oW9dwWvFgq6hs0/edit?usp=sharing"",""แพร่!J368"")"),37)</f>
        <v>37</v>
      </c>
      <c r="AI24" s="86">
        <f ca="1">IFERROR(__xludf.DUMMYFUNCTION("IMPORTRANGE(""https://docs.google.com/spreadsheets/d/1gvTMYAnm7v1yG1BKWFtr0DnaTsq59oW9dwWvFgq6hs0/edit?usp=sharing"",""แพร่!J369"")"),294.08)</f>
        <v>294.08</v>
      </c>
      <c r="AJ24" s="87">
        <f t="shared" ca="1" si="46"/>
        <v>58.816000000000003</v>
      </c>
      <c r="AK24" s="86">
        <f ca="1">IFERROR(__xludf.DUMMYFUNCTION("IMPORTRANGE(""https://docs.google.com/spreadsheets/d/1gvTMYAnm7v1yG1BKWFtr0DnaTsq59oW9dwWvFgq6hs0/edit?usp=sharing"",""แพร่!I370"")"),50)</f>
        <v>50</v>
      </c>
      <c r="AL24" s="86">
        <f ca="1">IFERROR(__xludf.DUMMYFUNCTION("IMPORTRANGE(""https://docs.google.com/spreadsheets/d/1gvTMYAnm7v1yG1BKWFtr0DnaTsq59oW9dwWvFgq6hs0/edit?usp=sharing"",""แพร่!J370"")"),23)</f>
        <v>23</v>
      </c>
      <c r="AM24" s="86">
        <f ca="1">IFERROR(__xludf.DUMMYFUNCTION("IMPORTRANGE(""https://docs.google.com/spreadsheets/d/1gvTMYAnm7v1yG1BKWFtr0DnaTsq59oW9dwWvFgq6hs0/edit?usp=sharing"",""แพร่!J371"")"),180.31)</f>
        <v>180.31</v>
      </c>
      <c r="AN24" s="87">
        <f t="shared" ca="1" si="47"/>
        <v>46</v>
      </c>
      <c r="AO24" s="86">
        <f ca="1">IFERROR(__xludf.DUMMYFUNCTION("IMPORTRANGE(""https://docs.google.com/spreadsheets/d/1gvTMYAnm7v1yG1BKWFtr0DnaTsq59oW9dwWvFgq6hs0/edit?usp=sharing"",""แพร่!I372"")"),50)</f>
        <v>50</v>
      </c>
      <c r="AP24" s="86">
        <f ca="1">IFERROR(__xludf.DUMMYFUNCTION("IMPORTRANGE(""https://docs.google.com/spreadsheets/d/1gvTMYAnm7v1yG1BKWFtr0DnaTsq59oW9dwWvFgq6hs0/edit?usp=sharing"",""แพร่!J372"")"),3)</f>
        <v>3</v>
      </c>
      <c r="AQ24" s="86">
        <f ca="1">IFERROR(__xludf.DUMMYFUNCTION("IMPORTRANGE(""https://docs.google.com/spreadsheets/d/1gvTMYAnm7v1yG1BKWFtr0DnaTsq59oW9dwWvFgq6hs0/edit?usp=sharing"",""แพร่!J373"")"),35.11)</f>
        <v>35.11</v>
      </c>
      <c r="AR24" s="87">
        <f t="shared" ca="1" si="48"/>
        <v>6</v>
      </c>
      <c r="AS24" s="86">
        <f ca="1">IFERROR(__xludf.DUMMYFUNCTION("IMPORTRANGE(""https://docs.google.com/spreadsheets/d/1gvTMYAnm7v1yG1BKWFtr0DnaTsq59oW9dwWvFgq6hs0/edit?usp=sharing"",""แพร่!I378"")"),300)</f>
        <v>300</v>
      </c>
      <c r="AT24" s="86">
        <f ca="1">IFERROR(__xludf.DUMMYFUNCTION("IMPORTRANGE(""https://docs.google.com/spreadsheets/d/1gvTMYAnm7v1yG1BKWFtr0DnaTsq59oW9dwWvFgq6hs0/edit?usp=sharing"",""แพร่!J377"")"),20)</f>
        <v>20</v>
      </c>
      <c r="AU24" s="86">
        <f ca="1">IFERROR(__xludf.DUMMYFUNCTION("IMPORTRANGE(""https://docs.google.com/spreadsheets/d/1gvTMYAnm7v1yG1BKWFtr0DnaTsq59oW9dwWvFgq6hs0/edit?usp=sharing"",""แพร่!J378"")"),119.22)</f>
        <v>119.22</v>
      </c>
      <c r="AV24" s="87">
        <f t="shared" ca="1" si="49"/>
        <v>39.74</v>
      </c>
      <c r="AW24" s="86">
        <f ca="1">IFERROR(__xludf.DUMMYFUNCTION("IMPORTRANGE(""https://docs.google.com/spreadsheets/d/1gvTMYAnm7v1yG1BKWFtr0DnaTsq59oW9dwWvFgq6hs0/edit?usp=sharing"",""แพร่!I379"")"),330)</f>
        <v>330</v>
      </c>
      <c r="AX24" s="86">
        <f ca="1">IFERROR(__xludf.DUMMYFUNCTION("IMPORTRANGE(""https://docs.google.com/spreadsheets/d/1gvTMYAnm7v1yG1BKWFtr0DnaTsq59oW9dwWvFgq6hs0/edit?usp=sharing"",""แพร่!J379"")"),167)</f>
        <v>167</v>
      </c>
      <c r="AY24" s="86">
        <f ca="1">IFERROR(__xludf.DUMMYFUNCTION("IMPORTRANGE(""https://docs.google.com/spreadsheets/d/1gvTMYAnm7v1yG1BKWFtr0DnaTsq59oW9dwWvFgq6hs0/edit?usp=sharing"",""แพร่!J380"")"),1551.63)</f>
        <v>1551.63</v>
      </c>
      <c r="AZ24" s="87">
        <f t="shared" ca="1" si="50"/>
        <v>50.606060606060609</v>
      </c>
      <c r="BA24" s="86">
        <f ca="1">IFERROR(__xludf.DUMMYFUNCTION("IMPORTRANGE(""https://docs.google.com/spreadsheets/d/1gvTMYAnm7v1yG1BKWFtr0DnaTsq59oW9dwWvFgq6hs0/edit?usp=sharing"",""แพร่!I381"")"),330)</f>
        <v>330</v>
      </c>
      <c r="BB24" s="86">
        <f ca="1">IFERROR(__xludf.DUMMYFUNCTION("IMPORTRANGE(""https://docs.google.com/spreadsheets/d/1gvTMYAnm7v1yG1BKWFtr0DnaTsq59oW9dwWvFgq6hs0/edit?usp=sharing"",""แพร่!J381"")"),153)</f>
        <v>153</v>
      </c>
      <c r="BC24" s="86">
        <f ca="1">IFERROR(__xludf.DUMMYFUNCTION("IMPORTRANGE(""https://docs.google.com/spreadsheets/d/1gvTMYAnm7v1yG1BKWFtr0DnaTsq59oW9dwWvFgq6hs0/edit?usp=sharing"",""แพร่!J382"")"),1461.71)</f>
        <v>1461.71</v>
      </c>
      <c r="BD24" s="87">
        <f t="shared" ca="1" si="51"/>
        <v>46.363636363636367</v>
      </c>
    </row>
    <row r="25" spans="1:56" ht="24" customHeight="1" x14ac:dyDescent="0.2">
      <c r="A25" s="78">
        <v>12</v>
      </c>
      <c r="B25" s="79" t="s">
        <v>47</v>
      </c>
      <c r="C25" s="80">
        <f t="shared" ca="1" si="0"/>
        <v>835790</v>
      </c>
      <c r="D25" s="81">
        <f t="shared" ca="1" si="64"/>
        <v>775790</v>
      </c>
      <c r="E25" s="82">
        <f ca="1">IFERROR(__xludf.DUMMYFUNCTION("IMPORTRANGE(""https://docs.google.com/spreadsheets/d/1MeEWN-I1oV_STSDYn1IFDPWt_1FKiwhDph83XaGc0o0/edit?usp=sharing"",""งบพรบ!EX25"")"),517200)</f>
        <v>517200</v>
      </c>
      <c r="F25" s="82">
        <f ca="1">IFERROR(__xludf.DUMMYFUNCTION("IMPORTRANGE(""https://docs.google.com/spreadsheets/d/1MeEWN-I1oV_STSDYn1IFDPWt_1FKiwhDph83XaGc0o0/edit?usp=sharing"",""งบพรบ!EY25"")"),258590)</f>
        <v>258590</v>
      </c>
      <c r="G25" s="82">
        <f ca="1">IFERROR(__xludf.DUMMYFUNCTION("IMPORTRANGE(""https://docs.google.com/spreadsheets/d/1MeEWN-I1oV_STSDYn1IFDPWt_1FKiwhDph83XaGc0o0/edit?usp=sharing"",""งบพรบ!EZ25"")"),60000)</f>
        <v>60000</v>
      </c>
      <c r="H25" s="82">
        <f ca="1">IFERROR(__xludf.DUMMYFUNCTION("IMPORTRANGE(""https://docs.google.com/spreadsheets/d/1MeEWN-I1oV_STSDYn1IFDPWt_1FKiwhDph83XaGc0o0/edit?usp=sharing"",""งบพรบ!FB25"")"),567050)</f>
        <v>567050</v>
      </c>
      <c r="I25" s="82">
        <f ca="1">IFERROR(__xludf.DUMMYFUNCTION("IMPORTRANGE(""https://docs.google.com/spreadsheets/d/1MeEWN-I1oV_STSDYn1IFDPWt_1FKiwhDph83XaGc0o0/edit?usp=sharing"",""งบพรบ!FC25"")"),60000)</f>
        <v>60000</v>
      </c>
      <c r="J25" s="82">
        <f t="shared" ca="1" si="3"/>
        <v>334971</v>
      </c>
      <c r="K25" s="83">
        <f t="shared" ca="1" si="4"/>
        <v>40.078368968281509</v>
      </c>
      <c r="L25" s="82">
        <f ca="1">IFERROR(__xludf.DUMMYFUNCTION("IMPORTRANGE(""https://docs.google.com/spreadsheets/d/1MeEWN-I1oV_STSDYn1IFDPWt_1FKiwhDph83XaGc0o0/edit?usp=sharing"",""งบพรบ!FD25"")"),274971)</f>
        <v>274971</v>
      </c>
      <c r="M25" s="84">
        <f t="shared" ca="1" si="5"/>
        <v>35.443999020353445</v>
      </c>
      <c r="N25" s="84">
        <f t="shared" ca="1" si="6"/>
        <v>48.491491050171945</v>
      </c>
      <c r="O25" s="85">
        <f ca="1">IFERROR(__xludf.DUMMYFUNCTION("IMPORTRANGE(""https://docs.google.com/spreadsheets/d/1MeEWN-I1oV_STSDYn1IFDPWt_1FKiwhDph83XaGc0o0/edit?usp=sharing"",""งบพรบ!FE25"")"),60000)</f>
        <v>60000</v>
      </c>
      <c r="P25" s="84">
        <f t="shared" ca="1" si="53"/>
        <v>100</v>
      </c>
      <c r="Q25" s="84">
        <f t="shared" ca="1" si="8"/>
        <v>100</v>
      </c>
      <c r="R25" s="86">
        <f ca="1">IFERROR(__xludf.DUMMYFUNCTION("IMPORTRANGE(""https://docs.google.com/spreadsheets/d/1Wbcosgy-Xa1xXUArJSOenub6EfZHUSzc_bpJFWwQUf0/edit?usp=sharing"",""แม่ฮ่องสอน!I359"")"),390)</f>
        <v>390</v>
      </c>
      <c r="S25" s="86">
        <f ca="1">IFERROR(__xludf.DUMMYFUNCTION("IMPORTRANGE(""https://docs.google.com/spreadsheets/d/1Wbcosgy-Xa1xXUArJSOenub6EfZHUSzc_bpJFWwQUf0/edit?usp=sharing"",""แม่ฮ่องสอน!J358"")"),7)</f>
        <v>7</v>
      </c>
      <c r="T25" s="86">
        <f ca="1">IFERROR(__xludf.DUMMYFUNCTION("IMPORTRANGE(""https://docs.google.com/spreadsheets/d/1Wbcosgy-Xa1xXUArJSOenub6EfZHUSzc_bpJFWwQUf0/edit?usp=sharing"",""แม่ฮ่องสอน!J359"")"),8.78)</f>
        <v>8.7799999999999994</v>
      </c>
      <c r="U25" s="87">
        <f t="shared" ca="1" si="43"/>
        <v>2.2512820512820508</v>
      </c>
      <c r="V25" s="86">
        <f ca="1">IFERROR(__xludf.DUMMYFUNCTION("IMPORTRANGE(""https://docs.google.com/spreadsheets/d/1Wbcosgy-Xa1xXUArJSOenub6EfZHUSzc_bpJFWwQUf0/edit?usp=sharing"",""แม่ฮ่องสอน!I360"")"),59)</f>
        <v>59</v>
      </c>
      <c r="W25" s="86">
        <f ca="1">IFERROR(__xludf.DUMMYFUNCTION("IMPORTRANGE(""https://docs.google.com/spreadsheets/d/1Wbcosgy-Xa1xXUArJSOenub6EfZHUSzc_bpJFWwQUf0/edit?usp=sharing"",""แม่ฮ่องสอน!J360"")"),7)</f>
        <v>7</v>
      </c>
      <c r="X25" s="86">
        <f ca="1">IFERROR(__xludf.DUMMYFUNCTION("IMPORTRANGE(""https://docs.google.com/spreadsheets/d/1Wbcosgy-Xa1xXUArJSOenub6EfZHUSzc_bpJFWwQUf0/edit?usp=sharing"",""แม่ฮ่องสอน!J361"")"),8.78)</f>
        <v>8.7799999999999994</v>
      </c>
      <c r="Y25" s="87">
        <f t="shared" ca="1" si="44"/>
        <v>11.864406779661017</v>
      </c>
      <c r="Z25" s="86">
        <f ca="1">IFERROR(__xludf.DUMMYFUNCTION("IMPORTRANGE(""https://docs.google.com/spreadsheets/d/1Wbcosgy-Xa1xXUArJSOenub6EfZHUSzc_bpJFWwQUf0/edit?usp=sharing"",""แม่ฮ่องสอน!I362"")"),59)</f>
        <v>59</v>
      </c>
      <c r="AA25" s="86">
        <f ca="1">IFERROR(__xludf.DUMMYFUNCTION("IMPORTRANGE(""https://docs.google.com/spreadsheets/d/1Wbcosgy-Xa1xXUArJSOenub6EfZHUSzc_bpJFWwQUf0/edit?usp=sharing"",""แม่ฮ่องสอน!J362"")"),6)</f>
        <v>6</v>
      </c>
      <c r="AB25" s="86">
        <f ca="1">IFERROR(__xludf.DUMMYFUNCTION("IMPORTRANGE(""https://docs.google.com/spreadsheets/d/1Wbcosgy-Xa1xXUArJSOenub6EfZHUSzc_bpJFWwQUf0/edit?usp=sharing"",""แม่ฮ่องสอน!J363"")"),8.08)</f>
        <v>8.08</v>
      </c>
      <c r="AC25" s="87">
        <f t="shared" ca="1" si="45"/>
        <v>10.169491525423728</v>
      </c>
      <c r="AD25" s="86">
        <f ca="1">IFERROR(__xludf.DUMMYFUNCTION("IMPORTRANGE(""https://docs.google.com/spreadsheets/d/1Wbcosgy-Xa1xXUArJSOenub6EfZHUSzc_bpJFWwQUf0/edit?usp=sharing"",""แม่ฮ่องสอน!I364"")"),119)</f>
        <v>119</v>
      </c>
      <c r="AE25" s="86">
        <f ca="1">IFERROR(__xludf.DUMMYFUNCTION("IMPORTRANGE(""https://docs.google.com/spreadsheets/d/1Wbcosgy-Xa1xXUArJSOenub6EfZHUSzc_bpJFWwQUf0/edit?usp=sharing"",""แม่ฮ่องสอน!J364"")"),17)</f>
        <v>17</v>
      </c>
      <c r="AF25" s="87">
        <f t="shared" ca="1" si="16"/>
        <v>14.285714285714286</v>
      </c>
      <c r="AG25" s="86">
        <f ca="1">IFERROR(__xludf.DUMMYFUNCTION("IMPORTRANGE(""https://docs.google.com/spreadsheets/d/1Wbcosgy-Xa1xXUArJSOenub6EfZHUSzc_bpJFWwQUf0/edit?usp=sharing"",""แม่ฮ่องสอน!I369"")"),90)</f>
        <v>90</v>
      </c>
      <c r="AH25" s="86">
        <f ca="1">IFERROR(__xludf.DUMMYFUNCTION("IMPORTRANGE(""https://docs.google.com/spreadsheets/d/1Wbcosgy-Xa1xXUArJSOenub6EfZHUSzc_bpJFWwQUf0/edit?usp=sharing"",""แม่ฮ่องสอน!J368"")"),7)</f>
        <v>7</v>
      </c>
      <c r="AI25" s="86">
        <f ca="1">IFERROR(__xludf.DUMMYFUNCTION("IMPORTRANGE(""https://docs.google.com/spreadsheets/d/1Wbcosgy-Xa1xXUArJSOenub6EfZHUSzc_bpJFWwQUf0/edit?usp=sharing"",""แม่ฮ่องสอน!J369"")"),8.78)</f>
        <v>8.7799999999999994</v>
      </c>
      <c r="AJ25" s="87">
        <f t="shared" ca="1" si="46"/>
        <v>9.7555555555555546</v>
      </c>
      <c r="AK25" s="86">
        <f ca="1">IFERROR(__xludf.DUMMYFUNCTION("IMPORTRANGE(""https://docs.google.com/spreadsheets/d/1Wbcosgy-Xa1xXUArJSOenub6EfZHUSzc_bpJFWwQUf0/edit?usp=sharing"",""แม่ฮ่องสอน!I370"")"),18)</f>
        <v>18</v>
      </c>
      <c r="AL25" s="86">
        <f ca="1">IFERROR(__xludf.DUMMYFUNCTION("IMPORTRANGE(""https://docs.google.com/spreadsheets/d/1Wbcosgy-Xa1xXUArJSOenub6EfZHUSzc_bpJFWwQUf0/edit?usp=sharing"",""แม่ฮ่องสอน!J370"")"),7)</f>
        <v>7</v>
      </c>
      <c r="AM25" s="86">
        <f ca="1">IFERROR(__xludf.DUMMYFUNCTION("IMPORTRANGE(""https://docs.google.com/spreadsheets/d/1Wbcosgy-Xa1xXUArJSOenub6EfZHUSzc_bpJFWwQUf0/edit?usp=sharing"",""แม่ฮ่องสอน!J371"")"),8.78)</f>
        <v>8.7799999999999994</v>
      </c>
      <c r="AN25" s="87">
        <f t="shared" ca="1" si="47"/>
        <v>38.888888888888886</v>
      </c>
      <c r="AO25" s="86">
        <f ca="1">IFERROR(__xludf.DUMMYFUNCTION("IMPORTRANGE(""https://docs.google.com/spreadsheets/d/1Wbcosgy-Xa1xXUArJSOenub6EfZHUSzc_bpJFWwQUf0/edit?usp=sharing"",""แม่ฮ่องสอน!I372"")"),18)</f>
        <v>18</v>
      </c>
      <c r="AP25" s="86">
        <f ca="1">IFERROR(__xludf.DUMMYFUNCTION("IMPORTRANGE(""https://docs.google.com/spreadsheets/d/1Wbcosgy-Xa1xXUArJSOenub6EfZHUSzc_bpJFWwQUf0/edit?usp=sharing"",""แม่ฮ่องสอน!J372"")"),6)</f>
        <v>6</v>
      </c>
      <c r="AQ25" s="86">
        <f ca="1">IFERROR(__xludf.DUMMYFUNCTION("IMPORTRANGE(""https://docs.google.com/spreadsheets/d/1Wbcosgy-Xa1xXUArJSOenub6EfZHUSzc_bpJFWwQUf0/edit?usp=sharing"",""แม่ฮ่องสอน!J373"")"),8.08)</f>
        <v>8.08</v>
      </c>
      <c r="AR25" s="87">
        <f t="shared" ca="1" si="48"/>
        <v>33.333333333333336</v>
      </c>
      <c r="AS25" s="86">
        <f ca="1">IFERROR(__xludf.DUMMYFUNCTION("IMPORTRANGE(""https://docs.google.com/spreadsheets/d/1Wbcosgy-Xa1xXUArJSOenub6EfZHUSzc_bpJFWwQUf0/edit?usp=sharing"",""แม่ฮ่องสอน!I378"")"),300)</f>
        <v>300</v>
      </c>
      <c r="AT25" s="86">
        <f ca="1">IFERROR(__xludf.DUMMYFUNCTION("IMPORTRANGE(""https://docs.google.com/spreadsheets/d/1Wbcosgy-Xa1xXUArJSOenub6EfZHUSzc_bpJFWwQUf0/edit?usp=sharing"",""แม่ฮ่องสอน!J377"")"),0)</f>
        <v>0</v>
      </c>
      <c r="AU25" s="86">
        <f ca="1">IFERROR(__xludf.DUMMYFUNCTION("IMPORTRANGE(""https://docs.google.com/spreadsheets/d/1Wbcosgy-Xa1xXUArJSOenub6EfZHUSzc_bpJFWwQUf0/edit?usp=sharing"",""แม่ฮ่องสอน!J378"")"),0)</f>
        <v>0</v>
      </c>
      <c r="AV25" s="87">
        <f t="shared" ca="1" si="49"/>
        <v>0</v>
      </c>
      <c r="AW25" s="86">
        <f ca="1">IFERROR(__xludf.DUMMYFUNCTION("IMPORTRANGE(""https://docs.google.com/spreadsheets/d/1Wbcosgy-Xa1xXUArJSOenub6EfZHUSzc_bpJFWwQUf0/edit?usp=sharing"",""แม่ฮ่องสอน!I379"")"),101)</f>
        <v>101</v>
      </c>
      <c r="AX25" s="86">
        <f ca="1">IFERROR(__xludf.DUMMYFUNCTION("IMPORTRANGE(""https://docs.google.com/spreadsheets/d/1Wbcosgy-Xa1xXUArJSOenub6EfZHUSzc_bpJFWwQUf0/edit?usp=sharing"",""แม่ฮ่องสอน!J379"")"),11)</f>
        <v>11</v>
      </c>
      <c r="AY25" s="86">
        <f ca="1">IFERROR(__xludf.DUMMYFUNCTION("IMPORTRANGE(""https://docs.google.com/spreadsheets/d/1Wbcosgy-Xa1xXUArJSOenub6EfZHUSzc_bpJFWwQUf0/edit?usp=sharing"",""แม่ฮ่องสอน!J380"")"),45.59)</f>
        <v>45.59</v>
      </c>
      <c r="AZ25" s="87">
        <f t="shared" ca="1" si="50"/>
        <v>10.891089108910892</v>
      </c>
      <c r="BA25" s="86">
        <f ca="1">IFERROR(__xludf.DUMMYFUNCTION("IMPORTRANGE(""https://docs.google.com/spreadsheets/d/1Wbcosgy-Xa1xXUArJSOenub6EfZHUSzc_bpJFWwQUf0/edit?usp=sharing"",""แม่ฮ่องสอน!I381"")"),101)</f>
        <v>101</v>
      </c>
      <c r="BB25" s="86">
        <f ca="1">IFERROR(__xludf.DUMMYFUNCTION("IMPORTRANGE(""https://docs.google.com/spreadsheets/d/1Wbcosgy-Xa1xXUArJSOenub6EfZHUSzc_bpJFWwQUf0/edit?usp=sharing"",""แม่ฮ่องสอน!J381"")"),11)</f>
        <v>11</v>
      </c>
      <c r="BC25" s="86">
        <f ca="1">IFERROR(__xludf.DUMMYFUNCTION("IMPORTRANGE(""https://docs.google.com/spreadsheets/d/1Wbcosgy-Xa1xXUArJSOenub6EfZHUSzc_bpJFWwQUf0/edit?usp=sharing"",""แม่ฮ่องสอน!J382"")"),45.59)</f>
        <v>45.59</v>
      </c>
      <c r="BD25" s="87">
        <f t="shared" ca="1" si="51"/>
        <v>10.891089108910892</v>
      </c>
    </row>
    <row r="26" spans="1:56" ht="24" customHeight="1" x14ac:dyDescent="0.2">
      <c r="A26" s="78">
        <v>13</v>
      </c>
      <c r="B26" s="79" t="s">
        <v>48</v>
      </c>
      <c r="C26" s="80">
        <f t="shared" ca="1" si="0"/>
        <v>604950</v>
      </c>
      <c r="D26" s="81">
        <f t="shared" ca="1" si="64"/>
        <v>589950</v>
      </c>
      <c r="E26" s="82">
        <f ca="1">IFERROR(__xludf.DUMMYFUNCTION("IMPORTRANGE(""https://docs.google.com/spreadsheets/d/1MeEWN-I1oV_STSDYn1IFDPWt_1FKiwhDph83XaGc0o0/edit?usp=sharing"",""งบพรบ!EX26"")"),315600)</f>
        <v>315600</v>
      </c>
      <c r="F26" s="82">
        <f ca="1">IFERROR(__xludf.DUMMYFUNCTION("IMPORTRANGE(""https://docs.google.com/spreadsheets/d/1MeEWN-I1oV_STSDYn1IFDPWt_1FKiwhDph83XaGc0o0/edit?usp=sharing"",""งบพรบ!EY26"")"),274350)</f>
        <v>274350</v>
      </c>
      <c r="G26" s="82">
        <f ca="1">IFERROR(__xludf.DUMMYFUNCTION("IMPORTRANGE(""https://docs.google.com/spreadsheets/d/1MeEWN-I1oV_STSDYn1IFDPWt_1FKiwhDph83XaGc0o0/edit?usp=sharing"",""งบพรบ!EZ26"")"),15000)</f>
        <v>15000</v>
      </c>
      <c r="H26" s="82">
        <f ca="1">IFERROR(__xludf.DUMMYFUNCTION("IMPORTRANGE(""https://docs.google.com/spreadsheets/d/1MeEWN-I1oV_STSDYn1IFDPWt_1FKiwhDph83XaGc0o0/edit?usp=sharing"",""งบพรบ!FB26"")"),427870)</f>
        <v>427870</v>
      </c>
      <c r="I26" s="82">
        <f ca="1">IFERROR(__xludf.DUMMYFUNCTION("IMPORTRANGE(""https://docs.google.com/spreadsheets/d/1MeEWN-I1oV_STSDYn1IFDPWt_1FKiwhDph83XaGc0o0/edit?usp=sharing"",""งบพรบ!FC26"")"),15000)</f>
        <v>15000</v>
      </c>
      <c r="J26" s="82">
        <f t="shared" ca="1" si="3"/>
        <v>175715.02</v>
      </c>
      <c r="K26" s="83">
        <f t="shared" ca="1" si="4"/>
        <v>29.046205471526573</v>
      </c>
      <c r="L26" s="82">
        <f ca="1">IFERROR(__xludf.DUMMYFUNCTION("IMPORTRANGE(""https://docs.google.com/spreadsheets/d/1MeEWN-I1oV_STSDYn1IFDPWt_1FKiwhDph83XaGc0o0/edit?usp=sharing"",""งบพรบ!FD26"")"),160715.02)</f>
        <v>160715.01999999999</v>
      </c>
      <c r="M26" s="84">
        <f t="shared" ca="1" si="5"/>
        <v>27.242142554453764</v>
      </c>
      <c r="N26" s="84">
        <f t="shared" ca="1" si="6"/>
        <v>37.561647229298615</v>
      </c>
      <c r="O26" s="85">
        <f ca="1">IFERROR(__xludf.DUMMYFUNCTION("IMPORTRANGE(""https://docs.google.com/spreadsheets/d/1MeEWN-I1oV_STSDYn1IFDPWt_1FKiwhDph83XaGc0o0/edit?usp=sharing"",""งบพรบ!FE26"")"),15000)</f>
        <v>15000</v>
      </c>
      <c r="P26" s="84">
        <f t="shared" ca="1" si="53"/>
        <v>100</v>
      </c>
      <c r="Q26" s="84">
        <f t="shared" ca="1" si="8"/>
        <v>100</v>
      </c>
      <c r="R26" s="86">
        <f ca="1">IFERROR(__xludf.DUMMYFUNCTION("IMPORTRANGE(""https://docs.google.com/spreadsheets/d/1p7ERhsr0qZeSn-KSOdeHS9r0heI-lHtkcn2OH7hP0jQ/edit?usp=sharing"",""ลำปาง!I359"")"),620)</f>
        <v>620</v>
      </c>
      <c r="S26" s="86">
        <f ca="1">IFERROR(__xludf.DUMMYFUNCTION("IMPORTRANGE(""https://docs.google.com/spreadsheets/d/1p7ERhsr0qZeSn-KSOdeHS9r0heI-lHtkcn2OH7hP0jQ/edit?usp=sharing"",""ลำปาง!J358"")"),123)</f>
        <v>123</v>
      </c>
      <c r="T26" s="86">
        <f ca="1">IFERROR(__xludf.DUMMYFUNCTION("IMPORTRANGE(""https://docs.google.com/spreadsheets/d/1p7ERhsr0qZeSn-KSOdeHS9r0heI-lHtkcn2OH7hP0jQ/edit?usp=sharing"",""ลำปาง!J359"")"),455)</f>
        <v>455</v>
      </c>
      <c r="U26" s="87">
        <f t="shared" ca="1" si="43"/>
        <v>73.387096774193552</v>
      </c>
      <c r="V26" s="86">
        <f ca="1">IFERROR(__xludf.DUMMYFUNCTION("IMPORTRANGE(""https://docs.google.com/spreadsheets/d/1p7ERhsr0qZeSn-KSOdeHS9r0heI-lHtkcn2OH7hP0jQ/edit?usp=sharing"",""ลำปาง!I360"")"),70)</f>
        <v>70</v>
      </c>
      <c r="W26" s="86">
        <f ca="1">IFERROR(__xludf.DUMMYFUNCTION("IMPORTRANGE(""https://docs.google.com/spreadsheets/d/1p7ERhsr0qZeSn-KSOdeHS9r0heI-lHtkcn2OH7hP0jQ/edit?usp=sharing"",""ลำปาง!J360"")"),55)</f>
        <v>55</v>
      </c>
      <c r="X26" s="86">
        <f ca="1">IFERROR(__xludf.DUMMYFUNCTION("IMPORTRANGE(""https://docs.google.com/spreadsheets/d/1p7ERhsr0qZeSn-KSOdeHS9r0heI-lHtkcn2OH7hP0jQ/edit?usp=sharing"",""ลำปาง!J361"")"),274.45)</f>
        <v>274.45</v>
      </c>
      <c r="Y26" s="87">
        <f t="shared" ca="1" si="44"/>
        <v>78.571428571428569</v>
      </c>
      <c r="Z26" s="86">
        <f ca="1">IFERROR(__xludf.DUMMYFUNCTION("IMPORTRANGE(""https://docs.google.com/spreadsheets/d/1p7ERhsr0qZeSn-KSOdeHS9r0heI-lHtkcn2OH7hP0jQ/edit?usp=sharing"",""ลำปาง!I362"")"),70)</f>
        <v>70</v>
      </c>
      <c r="AA26" s="86">
        <f ca="1">IFERROR(__xludf.DUMMYFUNCTION("IMPORTRANGE(""https://docs.google.com/spreadsheets/d/1p7ERhsr0qZeSn-KSOdeHS9r0heI-lHtkcn2OH7hP0jQ/edit?usp=sharing"",""ลำปาง!J362"")"),0)</f>
        <v>0</v>
      </c>
      <c r="AB26" s="86">
        <f ca="1">IFERROR(__xludf.DUMMYFUNCTION("IMPORTRANGE(""https://docs.google.com/spreadsheets/d/1p7ERhsr0qZeSn-KSOdeHS9r0heI-lHtkcn2OH7hP0jQ/edit?usp=sharing"",""ลำปาง!J363"")"),0)</f>
        <v>0</v>
      </c>
      <c r="AC26" s="87">
        <f t="shared" ca="1" si="45"/>
        <v>0</v>
      </c>
      <c r="AD26" s="86">
        <f ca="1">IFERROR(__xludf.DUMMYFUNCTION("IMPORTRANGE(""https://docs.google.com/spreadsheets/d/1p7ERhsr0qZeSn-KSOdeHS9r0heI-lHtkcn2OH7hP0jQ/edit?usp=sharing"",""ลำปาง!I364"")"),150)</f>
        <v>150</v>
      </c>
      <c r="AE26" s="86">
        <f ca="1">IFERROR(__xludf.DUMMYFUNCTION("IMPORTRANGE(""https://docs.google.com/spreadsheets/d/1p7ERhsr0qZeSn-KSOdeHS9r0heI-lHtkcn2OH7hP0jQ/edit?usp=sharing"",""ลำปาง!J364"")"),44)</f>
        <v>44</v>
      </c>
      <c r="AF26" s="87">
        <f t="shared" ca="1" si="16"/>
        <v>29.333333333333332</v>
      </c>
      <c r="AG26" s="86">
        <f ca="1">IFERROR(__xludf.DUMMYFUNCTION("IMPORTRANGE(""https://docs.google.com/spreadsheets/d/1p7ERhsr0qZeSn-KSOdeHS9r0heI-lHtkcn2OH7hP0jQ/edit?usp=sharing"",""ลำปาง!I369"")"),400)</f>
        <v>400</v>
      </c>
      <c r="AH26" s="86">
        <f ca="1">IFERROR(__xludf.DUMMYFUNCTION("IMPORTRANGE(""https://docs.google.com/spreadsheets/d/1p7ERhsr0qZeSn-KSOdeHS9r0heI-lHtkcn2OH7hP0jQ/edit?usp=sharing"",""ลำปาง!J368"")"),123)</f>
        <v>123</v>
      </c>
      <c r="AI26" s="86">
        <f ca="1">IFERROR(__xludf.DUMMYFUNCTION("IMPORTRANGE(""https://docs.google.com/spreadsheets/d/1p7ERhsr0qZeSn-KSOdeHS9r0heI-lHtkcn2OH7hP0jQ/edit?usp=sharing"",""ลำปาง!J369"")"),455)</f>
        <v>455</v>
      </c>
      <c r="AJ26" s="87">
        <f t="shared" ca="1" si="46"/>
        <v>113.75</v>
      </c>
      <c r="AK26" s="86">
        <f ca="1">IFERROR(__xludf.DUMMYFUNCTION("IMPORTRANGE(""https://docs.google.com/spreadsheets/d/1p7ERhsr0qZeSn-KSOdeHS9r0heI-lHtkcn2OH7hP0jQ/edit?usp=sharing"",""ลำปาง!I370"")"),40)</f>
        <v>40</v>
      </c>
      <c r="AL26" s="86">
        <f ca="1">IFERROR(__xludf.DUMMYFUNCTION("IMPORTRANGE(""https://docs.google.com/spreadsheets/d/1p7ERhsr0qZeSn-KSOdeHS9r0heI-lHtkcn2OH7hP0jQ/edit?usp=sharing"",""ลำปาง!J370"")"),55)</f>
        <v>55</v>
      </c>
      <c r="AM26" s="86">
        <f ca="1">IFERROR(__xludf.DUMMYFUNCTION("IMPORTRANGE(""https://docs.google.com/spreadsheets/d/1p7ERhsr0qZeSn-KSOdeHS9r0heI-lHtkcn2OH7hP0jQ/edit?usp=sharing"",""ลำปาง!J371"")"),274.45)</f>
        <v>274.45</v>
      </c>
      <c r="AN26" s="87">
        <f t="shared" ca="1" si="47"/>
        <v>137.5</v>
      </c>
      <c r="AO26" s="86">
        <f ca="1">IFERROR(__xludf.DUMMYFUNCTION("IMPORTRANGE(""https://docs.google.com/spreadsheets/d/1p7ERhsr0qZeSn-KSOdeHS9r0heI-lHtkcn2OH7hP0jQ/edit?usp=sharing"",""ลำปาง!I372"")"),40)</f>
        <v>40</v>
      </c>
      <c r="AP26" s="86">
        <f ca="1">IFERROR(__xludf.DUMMYFUNCTION("IMPORTRANGE(""https://docs.google.com/spreadsheets/d/1p7ERhsr0qZeSn-KSOdeHS9r0heI-lHtkcn2OH7hP0jQ/edit?usp=sharing"",""ลำปาง!J372"")"),0)</f>
        <v>0</v>
      </c>
      <c r="AQ26" s="86">
        <f ca="1">IFERROR(__xludf.DUMMYFUNCTION("IMPORTRANGE(""https://docs.google.com/spreadsheets/d/1p7ERhsr0qZeSn-KSOdeHS9r0heI-lHtkcn2OH7hP0jQ/edit?usp=sharing"",""ลำปาง!J373"")"),0)</f>
        <v>0</v>
      </c>
      <c r="AR26" s="87">
        <f t="shared" ca="1" si="48"/>
        <v>0</v>
      </c>
      <c r="AS26" s="86">
        <f ca="1">IFERROR(__xludf.DUMMYFUNCTION("IMPORTRANGE(""https://docs.google.com/spreadsheets/d/1p7ERhsr0qZeSn-KSOdeHS9r0heI-lHtkcn2OH7hP0jQ/edit?usp=sharing"",""ลำปาง!I378"")"),220)</f>
        <v>220</v>
      </c>
      <c r="AT26" s="86">
        <f ca="1">IFERROR(__xludf.DUMMYFUNCTION("IMPORTRANGE(""https://docs.google.com/spreadsheets/d/1p7ERhsr0qZeSn-KSOdeHS9r0heI-lHtkcn2OH7hP0jQ/edit?usp=sharing"",""ลำปาง!J377"")"),0)</f>
        <v>0</v>
      </c>
      <c r="AU26" s="86">
        <f ca="1">IFERROR(__xludf.DUMMYFUNCTION("IMPORTRANGE(""https://docs.google.com/spreadsheets/d/1p7ERhsr0qZeSn-KSOdeHS9r0heI-lHtkcn2OH7hP0jQ/edit?usp=sharing"",""ลำปาง!J378"")"),0)</f>
        <v>0</v>
      </c>
      <c r="AV26" s="87">
        <f t="shared" ca="1" si="49"/>
        <v>0</v>
      </c>
      <c r="AW26" s="86">
        <f ca="1">IFERROR(__xludf.DUMMYFUNCTION("IMPORTRANGE(""https://docs.google.com/spreadsheets/d/1p7ERhsr0qZeSn-KSOdeHS9r0heI-lHtkcn2OH7hP0jQ/edit?usp=sharing"",""ลำปาง!I379"")"),110)</f>
        <v>110</v>
      </c>
      <c r="AX26" s="86">
        <f ca="1">IFERROR(__xludf.DUMMYFUNCTION("IMPORTRANGE(""https://docs.google.com/spreadsheets/d/1p7ERhsr0qZeSn-KSOdeHS9r0heI-lHtkcn2OH7hP0jQ/edit?usp=sharing"",""ลำปาง!J379"")"),44)</f>
        <v>44</v>
      </c>
      <c r="AY26" s="86">
        <f ca="1">IFERROR(__xludf.DUMMYFUNCTION("IMPORTRANGE(""https://docs.google.com/spreadsheets/d/1p7ERhsr0qZeSn-KSOdeHS9r0heI-lHtkcn2OH7hP0jQ/edit?usp=sharing"",""ลำปาง!J380"")"),299.31)</f>
        <v>299.31</v>
      </c>
      <c r="AZ26" s="87">
        <f t="shared" ca="1" si="50"/>
        <v>40</v>
      </c>
      <c r="BA26" s="86">
        <f ca="1">IFERROR(__xludf.DUMMYFUNCTION("IMPORTRANGE(""https://docs.google.com/spreadsheets/d/1p7ERhsr0qZeSn-KSOdeHS9r0heI-lHtkcn2OH7hP0jQ/edit?usp=sharing"",""ลำปาง!I381"")"),110)</f>
        <v>110</v>
      </c>
      <c r="BB26" s="86">
        <f ca="1">IFERROR(__xludf.DUMMYFUNCTION("IMPORTRANGE(""https://docs.google.com/spreadsheets/d/1p7ERhsr0qZeSn-KSOdeHS9r0heI-lHtkcn2OH7hP0jQ/edit?usp=sharing"",""ลำปาง!J381"")"),44)</f>
        <v>44</v>
      </c>
      <c r="BC26" s="86">
        <f ca="1">IFERROR(__xludf.DUMMYFUNCTION("IMPORTRANGE(""https://docs.google.com/spreadsheets/d/1p7ERhsr0qZeSn-KSOdeHS9r0heI-lHtkcn2OH7hP0jQ/edit?usp=sharing"",""ลำปาง!J382"")"),299.31)</f>
        <v>299.31</v>
      </c>
      <c r="BD26" s="87">
        <f t="shared" ca="1" si="51"/>
        <v>40</v>
      </c>
    </row>
    <row r="27" spans="1:56" ht="24" customHeight="1" x14ac:dyDescent="0.2">
      <c r="A27" s="78">
        <v>14</v>
      </c>
      <c r="B27" s="79" t="s">
        <v>49</v>
      </c>
      <c r="C27" s="80" t="e">
        <f t="shared" ca="1" si="0"/>
        <v>#VALUE!</v>
      </c>
      <c r="D27" s="81">
        <f t="shared" ca="1" si="64"/>
        <v>364830</v>
      </c>
      <c r="E27" s="82">
        <f ca="1">IFERROR(__xludf.DUMMYFUNCTION("IMPORTRANGE(""https://docs.google.com/spreadsheets/d/1MeEWN-I1oV_STSDYn1IFDPWt_1FKiwhDph83XaGc0o0/edit?usp=sharing"",""งบพรบ!EX27"")"),87600)</f>
        <v>87600</v>
      </c>
      <c r="F27" s="82">
        <f ca="1">IFERROR(__xludf.DUMMYFUNCTION("IMPORTRANGE(""https://docs.google.com/spreadsheets/d/1MeEWN-I1oV_STSDYn1IFDPWt_1FKiwhDph83XaGc0o0/edit?usp=sharing"",""งบพรบ!EY27"")"),277230)</f>
        <v>277230</v>
      </c>
      <c r="G27" s="82" t="str">
        <f ca="1">IFERROR(__xludf.DUMMYFUNCTION("IMPORTRANGE(""https://docs.google.com/spreadsheets/d/1MeEWN-I1oV_STSDYn1IFDPWt_1FKiwhDph83XaGc0o0/edit?usp=sharing"",""งบพรบ!EZ27"")"),"")</f>
        <v/>
      </c>
      <c r="H27" s="82">
        <f ca="1">IFERROR(__xludf.DUMMYFUNCTION("IMPORTRANGE(""https://docs.google.com/spreadsheets/d/1MeEWN-I1oV_STSDYn1IFDPWt_1FKiwhDph83XaGc0o0/edit?usp=sharing"",""งบพรบ!FB27"")"),255210)</f>
        <v>255210</v>
      </c>
      <c r="I27" s="82">
        <f ca="1">IFERROR(__xludf.DUMMYFUNCTION("IMPORTRANGE(""https://docs.google.com/spreadsheets/d/1MeEWN-I1oV_STSDYn1IFDPWt_1FKiwhDph83XaGc0o0/edit?usp=sharing"",""งบพรบ!FC27"")"),0)</f>
        <v>0</v>
      </c>
      <c r="J27" s="82">
        <f t="shared" ca="1" si="3"/>
        <v>123958.38</v>
      </c>
      <c r="K27" s="83" t="e">
        <f t="shared" ca="1" si="4"/>
        <v>#VALUE!</v>
      </c>
      <c r="L27" s="82">
        <f ca="1">IFERROR(__xludf.DUMMYFUNCTION("IMPORTRANGE(""https://docs.google.com/spreadsheets/d/1MeEWN-I1oV_STSDYn1IFDPWt_1FKiwhDph83XaGc0o0/edit?usp=sharing"",""งบพรบ!FD27"")"),123958.38)</f>
        <v>123958.38</v>
      </c>
      <c r="M27" s="84">
        <f t="shared" ca="1" si="5"/>
        <v>33.977024915714168</v>
      </c>
      <c r="N27" s="84">
        <f t="shared" ca="1" si="6"/>
        <v>48.571129657928765</v>
      </c>
      <c r="O27" s="85">
        <f ca="1">IFERROR(__xludf.DUMMYFUNCTION("IMPORTRANGE(""https://docs.google.com/spreadsheets/d/1MeEWN-I1oV_STSDYn1IFDPWt_1FKiwhDph83XaGc0o0/edit?usp=sharing"",""งบพรบ!FE27"")"),0)</f>
        <v>0</v>
      </c>
      <c r="P27" s="84" t="e">
        <f t="shared" ca="1" si="53"/>
        <v>#VALUE!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IFERROR(__xludf.DUMMYFUNCTION("IMPORTRANGE(""https://docs.google.com/spreadsheets/d/1-uUXvimVhiU2U0bMN-xi2te0tS4X7DI2GLPnMjzl8cA/edit?usp=sharing"",""ลำพูน!I359"")"),540)</f>
        <v>540</v>
      </c>
      <c r="S27" s="86">
        <f ca="1">IFERROR(__xludf.DUMMYFUNCTION("IMPORTRANGE(""https://docs.google.com/spreadsheets/d/1-uUXvimVhiU2U0bMN-xi2te0tS4X7DI2GLPnMjzl8cA/edit?usp=sharing"",""ลำพูน!J358"")"),61)</f>
        <v>61</v>
      </c>
      <c r="T27" s="86">
        <f ca="1">IFERROR(__xludf.DUMMYFUNCTION("IMPORTRANGE(""https://docs.google.com/spreadsheets/d/1-uUXvimVhiU2U0bMN-xi2te0tS4X7DI2GLPnMjzl8cA/edit?usp=sharing"",""ลำพูน!J359"")"),288.469999999999)</f>
        <v>288.469999999999</v>
      </c>
      <c r="U27" s="87">
        <f t="shared" ca="1" si="43"/>
        <v>53.420370370370186</v>
      </c>
      <c r="V27" s="86">
        <f ca="1">IFERROR(__xludf.DUMMYFUNCTION("IMPORTRANGE(""https://docs.google.com/spreadsheets/d/1-uUXvimVhiU2U0bMN-xi2te0tS4X7DI2GLPnMjzl8cA/edit?usp=sharing"",""ลำพูน!I360"")"),59)</f>
        <v>59</v>
      </c>
      <c r="W27" s="86">
        <f ca="1">IFERROR(__xludf.DUMMYFUNCTION("IMPORTRANGE(""https://docs.google.com/spreadsheets/d/1-uUXvimVhiU2U0bMN-xi2te0tS4X7DI2GLPnMjzl8cA/edit?usp=sharing"",""ลำพูน!J360"")"),11)</f>
        <v>11</v>
      </c>
      <c r="X27" s="86">
        <f ca="1">IFERROR(__xludf.DUMMYFUNCTION("IMPORTRANGE(""https://docs.google.com/spreadsheets/d/1-uUXvimVhiU2U0bMN-xi2te0tS4X7DI2GLPnMjzl8cA/edit?usp=sharing"",""ลำพูน!J361"")"),41.12)</f>
        <v>41.12</v>
      </c>
      <c r="Y27" s="87">
        <f t="shared" ca="1" si="44"/>
        <v>18.64406779661017</v>
      </c>
      <c r="Z27" s="86">
        <f ca="1">IFERROR(__xludf.DUMMYFUNCTION("IMPORTRANGE(""https://docs.google.com/spreadsheets/d/1-uUXvimVhiU2U0bMN-xi2te0tS4X7DI2GLPnMjzl8cA/edit?usp=sharing"",""ลำพูน!I362"")"),59)</f>
        <v>59</v>
      </c>
      <c r="AA27" s="86">
        <f ca="1">IFERROR(__xludf.DUMMYFUNCTION("IMPORTRANGE(""https://docs.google.com/spreadsheets/d/1-uUXvimVhiU2U0bMN-xi2te0tS4X7DI2GLPnMjzl8cA/edit?usp=sharing"",""ลำพูน!J362"")"),11)</f>
        <v>11</v>
      </c>
      <c r="AB27" s="86">
        <f ca="1">IFERROR(__xludf.DUMMYFUNCTION("IMPORTRANGE(""https://docs.google.com/spreadsheets/d/1-uUXvimVhiU2U0bMN-xi2te0tS4X7DI2GLPnMjzl8cA/edit?usp=sharing"",""ลำพูน!J363"")"),41.12)</f>
        <v>41.12</v>
      </c>
      <c r="AC27" s="87">
        <f t="shared" ca="1" si="45"/>
        <v>18.64406779661017</v>
      </c>
      <c r="AD27" s="86">
        <f ca="1">IFERROR(__xludf.DUMMYFUNCTION("IMPORTRANGE(""https://docs.google.com/spreadsheets/d/1-uUXvimVhiU2U0bMN-xi2te0tS4X7DI2GLPnMjzl8cA/edit?usp=sharing"",""ลำพูน!I364"")"),159)</f>
        <v>159</v>
      </c>
      <c r="AE27" s="86">
        <f ca="1">IFERROR(__xludf.DUMMYFUNCTION("IMPORTRANGE(""https://docs.google.com/spreadsheets/d/1-uUXvimVhiU2U0bMN-xi2te0tS4X7DI2GLPnMjzl8cA/edit?usp=sharing"",""ลำพูน!J364"")"),28)</f>
        <v>28</v>
      </c>
      <c r="AF27" s="87">
        <f t="shared" ca="1" si="16"/>
        <v>17.610062893081761</v>
      </c>
      <c r="AG27" s="86">
        <f ca="1">IFERROR(__xludf.DUMMYFUNCTION("IMPORTRANGE(""https://docs.google.com/spreadsheets/d/1-uUXvimVhiU2U0bMN-xi2te0tS4X7DI2GLPnMjzl8cA/edit?usp=sharing"",""ลำพูน!I369"")"),400)</f>
        <v>400</v>
      </c>
      <c r="AH27" s="86">
        <f ca="1">IFERROR(__xludf.DUMMYFUNCTION("IMPORTRANGE(""https://docs.google.com/spreadsheets/d/1-uUXvimVhiU2U0bMN-xi2te0tS4X7DI2GLPnMjzl8cA/edit?usp=sharing"",""ลำพูน!J368"")"),58)</f>
        <v>58</v>
      </c>
      <c r="AI27" s="86">
        <f ca="1">IFERROR(__xludf.DUMMYFUNCTION("IMPORTRANGE(""https://docs.google.com/spreadsheets/d/1-uUXvimVhiU2U0bMN-xi2te0tS4X7DI2GLPnMjzl8cA/edit?usp=sharing"",""ลำพูน!J369"")"),241.76)</f>
        <v>241.76</v>
      </c>
      <c r="AJ27" s="87">
        <f t="shared" ca="1" si="46"/>
        <v>60.44</v>
      </c>
      <c r="AK27" s="86">
        <f ca="1">IFERROR(__xludf.DUMMYFUNCTION("IMPORTRANGE(""https://docs.google.com/spreadsheets/d/1-uUXvimVhiU2U0bMN-xi2te0tS4X7DI2GLPnMjzl8cA/edit?usp=sharing"",""ลำพูน!I370"")"),40)</f>
        <v>40</v>
      </c>
      <c r="AL27" s="86">
        <f ca="1">IFERROR(__xludf.DUMMYFUNCTION("IMPORTRANGE(""https://docs.google.com/spreadsheets/d/1-uUXvimVhiU2U0bMN-xi2te0tS4X7DI2GLPnMjzl8cA/edit?usp=sharing"",""ลำพูน!J370"")"),11)</f>
        <v>11</v>
      </c>
      <c r="AM27" s="86">
        <f ca="1">IFERROR(__xludf.DUMMYFUNCTION("IMPORTRANGE(""https://docs.google.com/spreadsheets/d/1-uUXvimVhiU2U0bMN-xi2te0tS4X7DI2GLPnMjzl8cA/edit?usp=sharing"",""ลำพูน!J371"")"),41.12)</f>
        <v>41.12</v>
      </c>
      <c r="AN27" s="87">
        <f t="shared" ca="1" si="47"/>
        <v>27.5</v>
      </c>
      <c r="AO27" s="86">
        <f ca="1">IFERROR(__xludf.DUMMYFUNCTION("IMPORTRANGE(""https://docs.google.com/spreadsheets/d/1-uUXvimVhiU2U0bMN-xi2te0tS4X7DI2GLPnMjzl8cA/edit?usp=sharing"",""ลำพูน!I372"")"),40)</f>
        <v>40</v>
      </c>
      <c r="AP27" s="86">
        <f ca="1">IFERROR(__xludf.DUMMYFUNCTION("IMPORTRANGE(""https://docs.google.com/spreadsheets/d/1-uUXvimVhiU2U0bMN-xi2te0tS4X7DI2GLPnMjzl8cA/edit?usp=sharing"",""ลำพูน!J372"")"),11)</f>
        <v>11</v>
      </c>
      <c r="AQ27" s="86">
        <f ca="1">IFERROR(__xludf.DUMMYFUNCTION("IMPORTRANGE(""https://docs.google.com/spreadsheets/d/1-uUXvimVhiU2U0bMN-xi2te0tS4X7DI2GLPnMjzl8cA/edit?usp=sharing"",""ลำพูน!J373"")"),41.12)</f>
        <v>41.12</v>
      </c>
      <c r="AR27" s="87">
        <f t="shared" ca="1" si="48"/>
        <v>27.5</v>
      </c>
      <c r="AS27" s="86">
        <f ca="1">IFERROR(__xludf.DUMMYFUNCTION("IMPORTRANGE(""https://docs.google.com/spreadsheets/d/1-uUXvimVhiU2U0bMN-xi2te0tS4X7DI2GLPnMjzl8cA/edit?usp=sharing"",""ลำพูน!I378"")"),140)</f>
        <v>140</v>
      </c>
      <c r="AT27" s="86">
        <f ca="1">IFERROR(__xludf.DUMMYFUNCTION("IMPORTRANGE(""https://docs.google.com/spreadsheets/d/1-uUXvimVhiU2U0bMN-xi2te0tS4X7DI2GLPnMjzl8cA/edit?usp=sharing"",""ลำพูน!J377"")"),4)</f>
        <v>4</v>
      </c>
      <c r="AU27" s="86">
        <f ca="1">IFERROR(__xludf.DUMMYFUNCTION("IMPORTRANGE(""https://docs.google.com/spreadsheets/d/1-uUXvimVhiU2U0bMN-xi2te0tS4X7DI2GLPnMjzl8cA/edit?usp=sharing"",""ลำพูน!J378"")"),62.43)</f>
        <v>62.43</v>
      </c>
      <c r="AV27" s="87">
        <f t="shared" ca="1" si="49"/>
        <v>44.592857142857142</v>
      </c>
      <c r="AW27" s="86">
        <f ca="1">IFERROR(__xludf.DUMMYFUNCTION("IMPORTRANGE(""https://docs.google.com/spreadsheets/d/1-uUXvimVhiU2U0bMN-xi2te0tS4X7DI2GLPnMjzl8cA/edit?usp=sharing"",""ลำพูน!I379"")"),119)</f>
        <v>119</v>
      </c>
      <c r="AX27" s="86">
        <f ca="1">IFERROR(__xludf.DUMMYFUNCTION("IMPORTRANGE(""https://docs.google.com/spreadsheets/d/1-uUXvimVhiU2U0bMN-xi2te0tS4X7DI2GLPnMjzl8cA/edit?usp=sharing"",""ลำพูน!J379"")"),17)</f>
        <v>17</v>
      </c>
      <c r="AY27" s="86">
        <f ca="1">IFERROR(__xludf.DUMMYFUNCTION("IMPORTRANGE(""https://docs.google.com/spreadsheets/d/1-uUXvimVhiU2U0bMN-xi2te0tS4X7DI2GLPnMjzl8cA/edit?usp=sharing"",""ลำพูน!J380"")"),99.62)</f>
        <v>99.62</v>
      </c>
      <c r="AZ27" s="87">
        <f t="shared" ca="1" si="50"/>
        <v>14.285714285714286</v>
      </c>
      <c r="BA27" s="86">
        <f ca="1">IFERROR(__xludf.DUMMYFUNCTION("IMPORTRANGE(""https://docs.google.com/spreadsheets/d/1-uUXvimVhiU2U0bMN-xi2te0tS4X7DI2GLPnMjzl8cA/edit?usp=sharing"",""ลำพูน!I381"")"),119)</f>
        <v>119</v>
      </c>
      <c r="BB27" s="86">
        <f ca="1">IFERROR(__xludf.DUMMYFUNCTION("IMPORTRANGE(""https://docs.google.com/spreadsheets/d/1-uUXvimVhiU2U0bMN-xi2te0tS4X7DI2GLPnMjzl8cA/edit?usp=sharing"",""ลำพูน!J381"")"),17)</f>
        <v>17</v>
      </c>
      <c r="BC27" s="86">
        <f ca="1">IFERROR(__xludf.DUMMYFUNCTION("IMPORTRANGE(""https://docs.google.com/spreadsheets/d/1-uUXvimVhiU2U0bMN-xi2te0tS4X7DI2GLPnMjzl8cA/edit?usp=sharing"",""ลำพูน!J382"")"),99.62)</f>
        <v>99.62</v>
      </c>
      <c r="BD27" s="87">
        <f t="shared" ca="1" si="51"/>
        <v>14.285714285714286</v>
      </c>
    </row>
    <row r="28" spans="1:56" ht="24" customHeight="1" x14ac:dyDescent="0.2">
      <c r="A28" s="78">
        <v>15</v>
      </c>
      <c r="B28" s="79" t="s">
        <v>50</v>
      </c>
      <c r="C28" s="80">
        <f t="shared" ca="1" si="0"/>
        <v>593930</v>
      </c>
      <c r="D28" s="81">
        <f t="shared" ca="1" si="64"/>
        <v>496130</v>
      </c>
      <c r="E28" s="82">
        <f ca="1">IFERROR(__xludf.DUMMYFUNCTION("IMPORTRANGE(""https://docs.google.com/spreadsheets/d/1MeEWN-I1oV_STSDYn1IFDPWt_1FKiwhDph83XaGc0o0/edit?usp=sharing"",""งบพรบ!EX28"")"),87600)</f>
        <v>87600</v>
      </c>
      <c r="F28" s="82">
        <f ca="1">IFERROR(__xludf.DUMMYFUNCTION("IMPORTRANGE(""https://docs.google.com/spreadsheets/d/1MeEWN-I1oV_STSDYn1IFDPWt_1FKiwhDph83XaGc0o0/edit?usp=sharing"",""งบพรบ!EY28"")"),408530)</f>
        <v>408530</v>
      </c>
      <c r="G28" s="82">
        <f ca="1">IFERROR(__xludf.DUMMYFUNCTION("IMPORTRANGE(""https://docs.google.com/spreadsheets/d/1MeEWN-I1oV_STSDYn1IFDPWt_1FKiwhDph83XaGc0o0/edit?usp=sharing"",""งบพรบ!EZ28"")"),97800)</f>
        <v>97800</v>
      </c>
      <c r="H28" s="82">
        <f ca="1">IFERROR(__xludf.DUMMYFUNCTION("IMPORTRANGE(""https://docs.google.com/spreadsheets/d/1MeEWN-I1oV_STSDYn1IFDPWt_1FKiwhDph83XaGc0o0/edit?usp=sharing"",""งบพรบ!FB28"")"),385860)</f>
        <v>385860</v>
      </c>
      <c r="I28" s="82">
        <f ca="1">IFERROR(__xludf.DUMMYFUNCTION("IMPORTRANGE(""https://docs.google.com/spreadsheets/d/1MeEWN-I1oV_STSDYn1IFDPWt_1FKiwhDph83XaGc0o0/edit?usp=sharing"",""งบพรบ!FC28"")"),97800)</f>
        <v>97800</v>
      </c>
      <c r="J28" s="82">
        <f t="shared" ca="1" si="3"/>
        <v>166720</v>
      </c>
      <c r="K28" s="83">
        <f t="shared" ca="1" si="4"/>
        <v>28.070648056168235</v>
      </c>
      <c r="L28" s="82">
        <f ca="1">IFERROR(__xludf.DUMMYFUNCTION("IMPORTRANGE(""https://docs.google.com/spreadsheets/d/1MeEWN-I1oV_STSDYn1IFDPWt_1FKiwhDph83XaGc0o0/edit?usp=sharing"",""งบพรบ!FD28"")"),68920)</f>
        <v>68920</v>
      </c>
      <c r="M28" s="84">
        <f t="shared" ca="1" si="5"/>
        <v>13.891520367645576</v>
      </c>
      <c r="N28" s="84">
        <f t="shared" ca="1" si="6"/>
        <v>17.861400507956255</v>
      </c>
      <c r="O28" s="85">
        <f ca="1">IFERROR(__xludf.DUMMYFUNCTION("IMPORTRANGE(""https://docs.google.com/spreadsheets/d/1MeEWN-I1oV_STSDYn1IFDPWt_1FKiwhDph83XaGc0o0/edit?usp=sharing"",""งบพรบ!FE28"")"),97800)</f>
        <v>97800</v>
      </c>
      <c r="P28" s="84">
        <f t="shared" ca="1" si="53"/>
        <v>100</v>
      </c>
      <c r="Q28" s="84">
        <f t="shared" ca="1" si="8"/>
        <v>100</v>
      </c>
      <c r="R28" s="86">
        <f ca="1">IFERROR(__xludf.DUMMYFUNCTION("IMPORTRANGE(""https://docs.google.com/spreadsheets/d/17HrOaa5pBUI1onckFfumXB8xlg35qb2uBAFfF1D-Myo/edit?usp=sharing"",""สุโขทัย!I359"")"),1800)</f>
        <v>1800</v>
      </c>
      <c r="S28" s="86">
        <f ca="1">IFERROR(__xludf.DUMMYFUNCTION("IMPORTRANGE(""https://docs.google.com/spreadsheets/d/17HrOaa5pBUI1onckFfumXB8xlg35qb2uBAFfF1D-Myo/edit?usp=sharing"",""สุโขทัย!J358"")"),114)</f>
        <v>114</v>
      </c>
      <c r="T28" s="86">
        <f ca="1">IFERROR(__xludf.DUMMYFUNCTION("IMPORTRANGE(""https://docs.google.com/spreadsheets/d/17HrOaa5pBUI1onckFfumXB8xlg35qb2uBAFfF1D-Myo/edit?usp=sharing"",""สุโขทัย!J359"")"),948.15)</f>
        <v>948.15</v>
      </c>
      <c r="U28" s="87">
        <f t="shared" ca="1" si="43"/>
        <v>52.674999999999997</v>
      </c>
      <c r="V28" s="86">
        <f ca="1">IFERROR(__xludf.DUMMYFUNCTION("IMPORTRANGE(""https://docs.google.com/spreadsheets/d/17HrOaa5pBUI1onckFfumXB8xlg35qb2uBAFfF1D-Myo/edit?usp=sharing"",""สุโขทัย!I360"")"),190)</f>
        <v>190</v>
      </c>
      <c r="W28" s="86">
        <f ca="1">IFERROR(__xludf.DUMMYFUNCTION("IMPORTRANGE(""https://docs.google.com/spreadsheets/d/17HrOaa5pBUI1onckFfumXB8xlg35qb2uBAFfF1D-Myo/edit?usp=sharing"",""สุโขทัย!J360"")"),94)</f>
        <v>94</v>
      </c>
      <c r="X28" s="86">
        <f ca="1">IFERROR(__xludf.DUMMYFUNCTION("IMPORTRANGE(""https://docs.google.com/spreadsheets/d/17HrOaa5pBUI1onckFfumXB8xlg35qb2uBAFfF1D-Myo/edit?usp=sharing"",""สุโขทัย!J361"")"),738.59)</f>
        <v>738.59</v>
      </c>
      <c r="Y28" s="87">
        <f t="shared" ca="1" si="44"/>
        <v>49.473684210526315</v>
      </c>
      <c r="Z28" s="86">
        <f ca="1">IFERROR(__xludf.DUMMYFUNCTION("IMPORTRANGE(""https://docs.google.com/spreadsheets/d/17HrOaa5pBUI1onckFfumXB8xlg35qb2uBAFfF1D-Myo/edit?usp=sharing"",""สุโขทัย!I362"")"),190)</f>
        <v>190</v>
      </c>
      <c r="AA28" s="86">
        <f ca="1">IFERROR(__xludf.DUMMYFUNCTION("IMPORTRANGE(""https://docs.google.com/spreadsheets/d/17HrOaa5pBUI1onckFfumXB8xlg35qb2uBAFfF1D-Myo/edit?usp=sharing"",""สุโขทัย!J362"")"),0)</f>
        <v>0</v>
      </c>
      <c r="AB28" s="86">
        <f ca="1">IFERROR(__xludf.DUMMYFUNCTION("IMPORTRANGE(""https://docs.google.com/spreadsheets/d/17HrOaa5pBUI1onckFfumXB8xlg35qb2uBAFfF1D-Myo/edit?usp=sharing"",""สุโขทัย!J363"")"),0)</f>
        <v>0</v>
      </c>
      <c r="AC28" s="87">
        <f t="shared" ca="1" si="45"/>
        <v>0</v>
      </c>
      <c r="AD28" s="86">
        <f ca="1">IFERROR(__xludf.DUMMYFUNCTION("IMPORTRANGE(""https://docs.google.com/spreadsheets/d/17HrOaa5pBUI1onckFfumXB8xlg35qb2uBAFfF1D-Myo/edit?usp=sharing"",""สุโขทัย!I364"")"),690)</f>
        <v>690</v>
      </c>
      <c r="AE28" s="86">
        <f ca="1">IFERROR(__xludf.DUMMYFUNCTION("IMPORTRANGE(""https://docs.google.com/spreadsheets/d/17HrOaa5pBUI1onckFfumXB8xlg35qb2uBAFfF1D-Myo/edit?usp=sharing"",""สุโขทัย!J364"")"),204)</f>
        <v>204</v>
      </c>
      <c r="AF28" s="87">
        <f t="shared" ca="1" si="16"/>
        <v>29.565217391304348</v>
      </c>
      <c r="AG28" s="86">
        <f ca="1">IFERROR(__xludf.DUMMYFUNCTION("IMPORTRANGE(""https://docs.google.com/spreadsheets/d/17HrOaa5pBUI1onckFfumXB8xlg35qb2uBAFfF1D-Myo/edit?usp=sharing"",""สุโขทัย!I369"")"),600)</f>
        <v>600</v>
      </c>
      <c r="AH28" s="86">
        <f ca="1">IFERROR(__xludf.DUMMYFUNCTION("IMPORTRANGE(""https://docs.google.com/spreadsheets/d/17HrOaa5pBUI1onckFfumXB8xlg35qb2uBAFfF1D-Myo/edit?usp=sharing"",""สุโขทัย!J368"")"),20)</f>
        <v>20</v>
      </c>
      <c r="AI28" s="86">
        <f ca="1">IFERROR(__xludf.DUMMYFUNCTION("IMPORTRANGE(""https://docs.google.com/spreadsheets/d/17HrOaa5pBUI1onckFfumXB8xlg35qb2uBAFfF1D-Myo/edit?usp=sharing"",""สุโขทัย!J369"")"),209.56)</f>
        <v>209.56</v>
      </c>
      <c r="AJ28" s="87">
        <f t="shared" ca="1" si="46"/>
        <v>34.926666666666669</v>
      </c>
      <c r="AK28" s="86">
        <f ca="1">IFERROR(__xludf.DUMMYFUNCTION("IMPORTRANGE(""https://docs.google.com/spreadsheets/d/17HrOaa5pBUI1onckFfumXB8xlg35qb2uBAFfF1D-Myo/edit?usp=sharing"",""สุโขทัย!I370"")"),40)</f>
        <v>40</v>
      </c>
      <c r="AL28" s="86">
        <f ca="1">IFERROR(__xludf.DUMMYFUNCTION("IMPORTRANGE(""https://docs.google.com/spreadsheets/d/17HrOaa5pBUI1onckFfumXB8xlg35qb2uBAFfF1D-Myo/edit?usp=sharing"",""สุโขทัย!J370"")"),0)</f>
        <v>0</v>
      </c>
      <c r="AM28" s="86">
        <f ca="1">IFERROR(__xludf.DUMMYFUNCTION("IMPORTRANGE(""https://docs.google.com/spreadsheets/d/17HrOaa5pBUI1onckFfumXB8xlg35qb2uBAFfF1D-Myo/edit?usp=sharing"",""สุโขทัย!J371"")"),0)</f>
        <v>0</v>
      </c>
      <c r="AN28" s="87">
        <f t="shared" ca="1" si="47"/>
        <v>0</v>
      </c>
      <c r="AO28" s="86">
        <f ca="1">IFERROR(__xludf.DUMMYFUNCTION("IMPORTRANGE(""https://docs.google.com/spreadsheets/d/17HrOaa5pBUI1onckFfumXB8xlg35qb2uBAFfF1D-Myo/edit?usp=sharing"",""สุโขทัย!I372"")"),40)</f>
        <v>40</v>
      </c>
      <c r="AP28" s="86">
        <f ca="1">IFERROR(__xludf.DUMMYFUNCTION("IMPORTRANGE(""https://docs.google.com/spreadsheets/d/17HrOaa5pBUI1onckFfumXB8xlg35qb2uBAFfF1D-Myo/edit?usp=sharing"",""สุโขทัย!J372"")"),0)</f>
        <v>0</v>
      </c>
      <c r="AQ28" s="86">
        <f ca="1">IFERROR(__xludf.DUMMYFUNCTION("IMPORTRANGE(""https://docs.google.com/spreadsheets/d/17HrOaa5pBUI1onckFfumXB8xlg35qb2uBAFfF1D-Myo/edit?usp=sharing"",""สุโขทัย!J373"")"),0)</f>
        <v>0</v>
      </c>
      <c r="AR28" s="87">
        <f t="shared" ca="1" si="48"/>
        <v>0</v>
      </c>
      <c r="AS28" s="86">
        <f ca="1">IFERROR(__xludf.DUMMYFUNCTION("IMPORTRANGE(""https://docs.google.com/spreadsheets/d/17HrOaa5pBUI1onckFfumXB8xlg35qb2uBAFfF1D-Myo/edit?usp=sharing"",""สุโขทัย!I378"")"),1200)</f>
        <v>1200</v>
      </c>
      <c r="AT28" s="86">
        <f ca="1">IFERROR(__xludf.DUMMYFUNCTION("IMPORTRANGE(""https://docs.google.com/spreadsheets/d/17HrOaa5pBUI1onckFfumXB8xlg35qb2uBAFfF1D-Myo/edit?usp=sharing"",""สุโขทัย!J377"")"),94)</f>
        <v>94</v>
      </c>
      <c r="AU28" s="86">
        <f ca="1">IFERROR(__xludf.DUMMYFUNCTION("IMPORTRANGE(""https://docs.google.com/spreadsheets/d/17HrOaa5pBUI1onckFfumXB8xlg35qb2uBAFfF1D-Myo/edit?usp=sharing"",""สุโขทัย!J378"")"),738.59)</f>
        <v>738.59</v>
      </c>
      <c r="AV28" s="87">
        <f t="shared" ca="1" si="49"/>
        <v>61.549166666666665</v>
      </c>
      <c r="AW28" s="86">
        <f ca="1">IFERROR(__xludf.DUMMYFUNCTION("IMPORTRANGE(""https://docs.google.com/spreadsheets/d/17HrOaa5pBUI1onckFfumXB8xlg35qb2uBAFfF1D-Myo/edit?usp=sharing"",""สุโขทัย!I379"")"),650)</f>
        <v>650</v>
      </c>
      <c r="AX28" s="86">
        <f ca="1">IFERROR(__xludf.DUMMYFUNCTION("IMPORTRANGE(""https://docs.google.com/spreadsheets/d/17HrOaa5pBUI1onckFfumXB8xlg35qb2uBAFfF1D-Myo/edit?usp=sharing"",""สุโขทัย!J379"")"),295)</f>
        <v>295</v>
      </c>
      <c r="AY28" s="86">
        <f ca="1">IFERROR(__xludf.DUMMYFUNCTION("IMPORTRANGE(""https://docs.google.com/spreadsheets/d/17HrOaa5pBUI1onckFfumXB8xlg35qb2uBAFfF1D-Myo/edit?usp=sharing"",""สุโขทัย!J380"")"),3305.2)</f>
        <v>3305.2</v>
      </c>
      <c r="AZ28" s="87">
        <f t="shared" ca="1" si="50"/>
        <v>45.384615384615387</v>
      </c>
      <c r="BA28" s="86">
        <f ca="1">IFERROR(__xludf.DUMMYFUNCTION("IMPORTRANGE(""https://docs.google.com/spreadsheets/d/17HrOaa5pBUI1onckFfumXB8xlg35qb2uBAFfF1D-Myo/edit?usp=sharing"",""สุโขทัย!I381"")"),650)</f>
        <v>650</v>
      </c>
      <c r="BB28" s="86">
        <f ca="1">IFERROR(__xludf.DUMMYFUNCTION("IMPORTRANGE(""https://docs.google.com/spreadsheets/d/17HrOaa5pBUI1onckFfumXB8xlg35qb2uBAFfF1D-Myo/edit?usp=sharing"",""สุโขทัย!J381"")"),204)</f>
        <v>204</v>
      </c>
      <c r="BC28" s="86">
        <f ca="1">IFERROR(__xludf.DUMMYFUNCTION("IMPORTRANGE(""https://docs.google.com/spreadsheets/d/17HrOaa5pBUI1onckFfumXB8xlg35qb2uBAFfF1D-Myo/edit?usp=sharing"",""สุโขทัย!J382"")"),2641.32)</f>
        <v>2641.32</v>
      </c>
      <c r="BD28" s="87">
        <f t="shared" ca="1" si="51"/>
        <v>31.384615384615383</v>
      </c>
    </row>
    <row r="29" spans="1:56" ht="24" customHeight="1" x14ac:dyDescent="0.2">
      <c r="A29" s="78">
        <v>16</v>
      </c>
      <c r="B29" s="79" t="s">
        <v>51</v>
      </c>
      <c r="C29" s="80">
        <f t="shared" ca="1" si="0"/>
        <v>959100</v>
      </c>
      <c r="D29" s="81">
        <f t="shared" ca="1" si="64"/>
        <v>890300</v>
      </c>
      <c r="E29" s="82">
        <f ca="1">IFERROR(__xludf.DUMMYFUNCTION("IMPORTRANGE(""https://docs.google.com/spreadsheets/d/1MeEWN-I1oV_STSDYn1IFDPWt_1FKiwhDph83XaGc0o0/edit?usp=sharing"",""งบพรบ!EX29"")"),517200)</f>
        <v>517200</v>
      </c>
      <c r="F29" s="82">
        <f ca="1">IFERROR(__xludf.DUMMYFUNCTION("IMPORTRANGE(""https://docs.google.com/spreadsheets/d/1MeEWN-I1oV_STSDYn1IFDPWt_1FKiwhDph83XaGc0o0/edit?usp=sharing"",""งบพรบ!EY29"")"),373100)</f>
        <v>373100</v>
      </c>
      <c r="G29" s="82">
        <f ca="1">IFERROR(__xludf.DUMMYFUNCTION("IMPORTRANGE(""https://docs.google.com/spreadsheets/d/1MeEWN-I1oV_STSDYn1IFDPWt_1FKiwhDph83XaGc0o0/edit?usp=sharing"",""งบพรบ!EZ29"")"),68800)</f>
        <v>68800</v>
      </c>
      <c r="H29" s="82">
        <f ca="1">IFERROR(__xludf.DUMMYFUNCTION("IMPORTRANGE(""https://docs.google.com/spreadsheets/d/1MeEWN-I1oV_STSDYn1IFDPWt_1FKiwhDph83XaGc0o0/edit?usp=sharing"",""งบพรบ!FB29"")"),633350)</f>
        <v>633350</v>
      </c>
      <c r="I29" s="82">
        <f ca="1">IFERROR(__xludf.DUMMYFUNCTION("IMPORTRANGE(""https://docs.google.com/spreadsheets/d/1MeEWN-I1oV_STSDYn1IFDPWt_1FKiwhDph83XaGc0o0/edit?usp=sharing"",""งบพรบ!FC29"")"),68300)</f>
        <v>68300</v>
      </c>
      <c r="J29" s="82">
        <f t="shared" ca="1" si="3"/>
        <v>396645.5</v>
      </c>
      <c r="K29" s="83">
        <f t="shared" ca="1" si="4"/>
        <v>41.356010843499114</v>
      </c>
      <c r="L29" s="82">
        <f ca="1">IFERROR(__xludf.DUMMYFUNCTION("IMPORTRANGE(""https://docs.google.com/spreadsheets/d/1MeEWN-I1oV_STSDYn1IFDPWt_1FKiwhDph83XaGc0o0/edit?usp=sharing"",""งบพรบ!FD29"")"),328345.5)</f>
        <v>328345.5</v>
      </c>
      <c r="M29" s="84">
        <f t="shared" ca="1" si="5"/>
        <v>36.880321240031449</v>
      </c>
      <c r="N29" s="84">
        <f t="shared" ca="1" si="6"/>
        <v>51.842662035209599</v>
      </c>
      <c r="O29" s="85">
        <f ca="1">IFERROR(__xludf.DUMMYFUNCTION("IMPORTRANGE(""https://docs.google.com/spreadsheets/d/1MeEWN-I1oV_STSDYn1IFDPWt_1FKiwhDph83XaGc0o0/edit?usp=sharing"",""งบพรบ!FE29"")"),68300)</f>
        <v>68300</v>
      </c>
      <c r="P29" s="84">
        <f t="shared" ca="1" si="53"/>
        <v>99.273255813953483</v>
      </c>
      <c r="Q29" s="84">
        <f t="shared" ca="1" si="8"/>
        <v>100</v>
      </c>
      <c r="R29" s="86">
        <f ca="1">IFERROR(__xludf.DUMMYFUNCTION("IMPORTRANGE(""https://docs.google.com/spreadsheets/d/1ubs5cl16eYL9gHbdHTJtmtYb9MGzHBs7CAphn8kNCgM/edit?usp=sharing"",""อุตรดิตถ์!I359"")"),1650)</f>
        <v>1650</v>
      </c>
      <c r="S29" s="86">
        <f ca="1">IFERROR(__xludf.DUMMYFUNCTION("IMPORTRANGE(""https://docs.google.com/spreadsheets/d/1ubs5cl16eYL9gHbdHTJtmtYb9MGzHBs7CAphn8kNCgM/edit?usp=sharing"",""อุตรดิตถ์!J358"")"),61)</f>
        <v>61</v>
      </c>
      <c r="T29" s="86">
        <f ca="1">IFERROR(__xludf.DUMMYFUNCTION("IMPORTRANGE(""https://docs.google.com/spreadsheets/d/1ubs5cl16eYL9gHbdHTJtmtYb9MGzHBs7CAphn8kNCgM/edit?usp=sharing"",""อุตรดิตถ์!J359"")"),457.41)</f>
        <v>457.41</v>
      </c>
      <c r="U29" s="87">
        <f t="shared" ca="1" si="43"/>
        <v>27.721818181818183</v>
      </c>
      <c r="V29" s="86">
        <f ca="1">IFERROR(__xludf.DUMMYFUNCTION("IMPORTRANGE(""https://docs.google.com/spreadsheets/d/1ubs5cl16eYL9gHbdHTJtmtYb9MGzHBs7CAphn8kNCgM/edit?usp=sharing"",""อุตรดิตถ์!I360"")"),170)</f>
        <v>170</v>
      </c>
      <c r="W29" s="86">
        <f ca="1">IFERROR(__xludf.DUMMYFUNCTION("IMPORTRANGE(""https://docs.google.com/spreadsheets/d/1ubs5cl16eYL9gHbdHTJtmtYb9MGzHBs7CAphn8kNCgM/edit?usp=sharing"",""อุตรดิตถ์!J360"")"),60)</f>
        <v>60</v>
      </c>
      <c r="X29" s="86">
        <f ca="1">IFERROR(__xludf.DUMMYFUNCTION("IMPORTRANGE(""https://docs.google.com/spreadsheets/d/1ubs5cl16eYL9gHbdHTJtmtYb9MGzHBs7CAphn8kNCgM/edit?usp=sharing"",""อุตรดิตถ์!J361"")"),454.75)</f>
        <v>454.75</v>
      </c>
      <c r="Y29" s="87">
        <f t="shared" ca="1" si="44"/>
        <v>35.294117647058826</v>
      </c>
      <c r="Z29" s="86">
        <f ca="1">IFERROR(__xludf.DUMMYFUNCTION("IMPORTRANGE(""https://docs.google.com/spreadsheets/d/1ubs5cl16eYL9gHbdHTJtmtYb9MGzHBs7CAphn8kNCgM/edit?usp=sharing"",""อุตรดิตถ์!I362"")"),170)</f>
        <v>170</v>
      </c>
      <c r="AA29" s="86">
        <f ca="1">IFERROR(__xludf.DUMMYFUNCTION("IMPORTRANGE(""https://docs.google.com/spreadsheets/d/1ubs5cl16eYL9gHbdHTJtmtYb9MGzHBs7CAphn8kNCgM/edit?usp=sharing"",""อุตรดิตถ์!J362"")"),59)</f>
        <v>59</v>
      </c>
      <c r="AB29" s="86">
        <f ca="1">IFERROR(__xludf.DUMMYFUNCTION("IMPORTRANGE(""https://docs.google.com/spreadsheets/d/1ubs5cl16eYL9gHbdHTJtmtYb9MGzHBs7CAphn8kNCgM/edit?usp=sharing"",""อุตรดิตถ์!J363"")"),451.03)</f>
        <v>451.03</v>
      </c>
      <c r="AC29" s="87">
        <f t="shared" ca="1" si="45"/>
        <v>34.705882352941174</v>
      </c>
      <c r="AD29" s="86">
        <f ca="1">IFERROR(__xludf.DUMMYFUNCTION("IMPORTRANGE(""https://docs.google.com/spreadsheets/d/1ubs5cl16eYL9gHbdHTJtmtYb9MGzHBs7CAphn8kNCgM/edit?usp=sharing"",""อุตรดิตถ์!I364"")"),420)</f>
        <v>420</v>
      </c>
      <c r="AE29" s="86">
        <f ca="1">IFERROR(__xludf.DUMMYFUNCTION("IMPORTRANGE(""https://docs.google.com/spreadsheets/d/1ubs5cl16eYL9gHbdHTJtmtYb9MGzHBs7CAphn8kNCgM/edit?usp=sharing"",""อุตรดิตถ์!J364"")"),331)</f>
        <v>331</v>
      </c>
      <c r="AF29" s="87">
        <f t="shared" ca="1" si="16"/>
        <v>78.80952380952381</v>
      </c>
      <c r="AG29" s="86">
        <f ca="1">IFERROR(__xludf.DUMMYFUNCTION("IMPORTRANGE(""https://docs.google.com/spreadsheets/d/1ubs5cl16eYL9gHbdHTJtmtYb9MGzHBs7CAphn8kNCgM/edit?usp=sharing"",""อุตรดิตถ์!I369"")"),400)</f>
        <v>400</v>
      </c>
      <c r="AH29" s="86">
        <f ca="1">IFERROR(__xludf.DUMMYFUNCTION("IMPORTRANGE(""https://docs.google.com/spreadsheets/d/1ubs5cl16eYL9gHbdHTJtmtYb9MGzHBs7CAphn8kNCgM/edit?usp=sharing"",""อุตรดิตถ์!J368"")"),7)</f>
        <v>7</v>
      </c>
      <c r="AI29" s="86">
        <f ca="1">IFERROR(__xludf.DUMMYFUNCTION("IMPORTRANGE(""https://docs.google.com/spreadsheets/d/1ubs5cl16eYL9gHbdHTJtmtYb9MGzHBs7CAphn8kNCgM/edit?usp=sharing"",""อุตรดิตถ์!J369"")"),28)</f>
        <v>28</v>
      </c>
      <c r="AJ29" s="87">
        <f t="shared" ca="1" si="46"/>
        <v>7</v>
      </c>
      <c r="AK29" s="86">
        <f ca="1">IFERROR(__xludf.DUMMYFUNCTION("IMPORTRANGE(""https://docs.google.com/spreadsheets/d/1ubs5cl16eYL9gHbdHTJtmtYb9MGzHBs7CAphn8kNCgM/edit?usp=sharing"",""อุตรดิตถ์!I370"")"),40)</f>
        <v>40</v>
      </c>
      <c r="AL29" s="86">
        <f ca="1">IFERROR(__xludf.DUMMYFUNCTION("IMPORTRANGE(""https://docs.google.com/spreadsheets/d/1ubs5cl16eYL9gHbdHTJtmtYb9MGzHBs7CAphn8kNCgM/edit?usp=sharing"",""อุตรดิตถ์!J370"")"),6)</f>
        <v>6</v>
      </c>
      <c r="AM29" s="86">
        <f ca="1">IFERROR(__xludf.DUMMYFUNCTION("IMPORTRANGE(""https://docs.google.com/spreadsheets/d/1ubs5cl16eYL9gHbdHTJtmtYb9MGzHBs7CAphn8kNCgM/edit?usp=sharing"",""อุตรดิตถ์!J371"")"),25.34)</f>
        <v>25.34</v>
      </c>
      <c r="AN29" s="87">
        <f t="shared" ca="1" si="47"/>
        <v>15</v>
      </c>
      <c r="AO29" s="86">
        <f ca="1">IFERROR(__xludf.DUMMYFUNCTION("IMPORTRANGE(""https://docs.google.com/spreadsheets/d/1ubs5cl16eYL9gHbdHTJtmtYb9MGzHBs7CAphn8kNCgM/edit?usp=sharing"",""อุตรดิตถ์!I372"")"),40)</f>
        <v>40</v>
      </c>
      <c r="AP29" s="86">
        <f ca="1">IFERROR(__xludf.DUMMYFUNCTION("IMPORTRANGE(""https://docs.google.com/spreadsheets/d/1ubs5cl16eYL9gHbdHTJtmtYb9MGzHBs7CAphn8kNCgM/edit?usp=sharing"",""อุตรดิตถ์!J372"")"),6)</f>
        <v>6</v>
      </c>
      <c r="AQ29" s="86">
        <f ca="1">IFERROR(__xludf.DUMMYFUNCTION("IMPORTRANGE(""https://docs.google.com/spreadsheets/d/1ubs5cl16eYL9gHbdHTJtmtYb9MGzHBs7CAphn8kNCgM/edit?usp=sharing"",""อุตรดิตถ์!J373"")"),26.27)</f>
        <v>26.27</v>
      </c>
      <c r="AR29" s="87">
        <f t="shared" ca="1" si="48"/>
        <v>15</v>
      </c>
      <c r="AS29" s="86">
        <f ca="1">IFERROR(__xludf.DUMMYFUNCTION("IMPORTRANGE(""https://docs.google.com/spreadsheets/d/1ubs5cl16eYL9gHbdHTJtmtYb9MGzHBs7CAphn8kNCgM/edit?usp=sharing"",""อุตรดิตถ์!I378"")"),1250)</f>
        <v>1250</v>
      </c>
      <c r="AT29" s="86">
        <f ca="1">IFERROR(__xludf.DUMMYFUNCTION("IMPORTRANGE(""https://docs.google.com/spreadsheets/d/1ubs5cl16eYL9gHbdHTJtmtYb9MGzHBs7CAphn8kNCgM/edit?usp=sharing"",""อุตรดิตถ์!J377"")"),54)</f>
        <v>54</v>
      </c>
      <c r="AU29" s="86">
        <f ca="1">IFERROR(__xludf.DUMMYFUNCTION("IMPORTRANGE(""https://docs.google.com/spreadsheets/d/1ubs5cl16eYL9gHbdHTJtmtYb9MGzHBs7CAphn8kNCgM/edit?usp=sharing"",""อุตรดิตถ์!J378"")"),429.41)</f>
        <v>429.41</v>
      </c>
      <c r="AV29" s="87">
        <f t="shared" ca="1" si="49"/>
        <v>34.352800000000002</v>
      </c>
      <c r="AW29" s="86">
        <f ca="1">IFERROR(__xludf.DUMMYFUNCTION("IMPORTRANGE(""https://docs.google.com/spreadsheets/d/1ubs5cl16eYL9gHbdHTJtmtYb9MGzHBs7CAphn8kNCgM/edit?usp=sharing"",""อุตรดิตถ์!I379"")"),380)</f>
        <v>380</v>
      </c>
      <c r="AX29" s="86">
        <f ca="1">IFERROR(__xludf.DUMMYFUNCTION("IMPORTRANGE(""https://docs.google.com/spreadsheets/d/1ubs5cl16eYL9gHbdHTJtmtYb9MGzHBs7CAphn8kNCgM/edit?usp=sharing"",""อุตรดิตถ์!J379"")"),330)</f>
        <v>330</v>
      </c>
      <c r="AY29" s="86">
        <f ca="1">IFERROR(__xludf.DUMMYFUNCTION("IMPORTRANGE(""https://docs.google.com/spreadsheets/d/1ubs5cl16eYL9gHbdHTJtmtYb9MGzHBs7CAphn8kNCgM/edit?usp=sharing"",""อุตรดิตถ์!J380"")"),3785.06)</f>
        <v>3785.06</v>
      </c>
      <c r="AZ29" s="87">
        <f t="shared" ca="1" si="50"/>
        <v>86.84210526315789</v>
      </c>
      <c r="BA29" s="86">
        <f ca="1">IFERROR(__xludf.DUMMYFUNCTION("IMPORTRANGE(""https://docs.google.com/spreadsheets/d/1ubs5cl16eYL9gHbdHTJtmtYb9MGzHBs7CAphn8kNCgM/edit?usp=sharing"",""อุตรดิตถ์!I381"")"),380)</f>
        <v>380</v>
      </c>
      <c r="BB29" s="86">
        <f ca="1">IFERROR(__xludf.DUMMYFUNCTION("IMPORTRANGE(""https://docs.google.com/spreadsheets/d/1ubs5cl16eYL9gHbdHTJtmtYb9MGzHBs7CAphn8kNCgM/edit?usp=sharing"",""อุตรดิตถ์!J381"")"),325)</f>
        <v>325</v>
      </c>
      <c r="BC29" s="86">
        <f ca="1">IFERROR(__xludf.DUMMYFUNCTION("IMPORTRANGE(""https://docs.google.com/spreadsheets/d/1ubs5cl16eYL9gHbdHTJtmtYb9MGzHBs7CAphn8kNCgM/edit?usp=sharing"",""อุตรดิตถ์!J382"")"),3761.68)</f>
        <v>3761.68</v>
      </c>
      <c r="BD29" s="87">
        <f t="shared" ca="1" si="51"/>
        <v>85.526315789473685</v>
      </c>
    </row>
    <row r="30" spans="1:56" ht="24" customHeight="1" x14ac:dyDescent="0.2">
      <c r="A30" s="89">
        <v>17</v>
      </c>
      <c r="B30" s="90" t="s">
        <v>52</v>
      </c>
      <c r="C30" s="91">
        <f t="shared" ca="1" si="0"/>
        <v>668820</v>
      </c>
      <c r="D30" s="92">
        <f t="shared" ca="1" si="64"/>
        <v>617520</v>
      </c>
      <c r="E30" s="93">
        <f ca="1">IFERROR(__xludf.DUMMYFUNCTION("IMPORTRANGE(""https://docs.google.com/spreadsheets/d/1MeEWN-I1oV_STSDYn1IFDPWt_1FKiwhDph83XaGc0o0/edit?usp=sharing"",""งบพรบ!EX30"")"),175200)</f>
        <v>175200</v>
      </c>
      <c r="F30" s="93">
        <f ca="1">IFERROR(__xludf.DUMMYFUNCTION("IMPORTRANGE(""https://docs.google.com/spreadsheets/d/1MeEWN-I1oV_STSDYn1IFDPWt_1FKiwhDph83XaGc0o0/edit?usp=sharing"",""งบพรบ!EY30"")"),442320)</f>
        <v>442320</v>
      </c>
      <c r="G30" s="93">
        <f ca="1">IFERROR(__xludf.DUMMYFUNCTION("IMPORTRANGE(""https://docs.google.com/spreadsheets/d/1MeEWN-I1oV_STSDYn1IFDPWt_1FKiwhDph83XaGc0o0/edit?usp=sharing"",""งบพรบ!EZ30"")"),51300)</f>
        <v>51300</v>
      </c>
      <c r="H30" s="93">
        <f ca="1">IFERROR(__xludf.DUMMYFUNCTION("IMPORTRANGE(""https://docs.google.com/spreadsheets/d/1MeEWN-I1oV_STSDYn1IFDPWt_1FKiwhDph83XaGc0o0/edit?usp=sharing"",""งบพรบ!FB30"")"),481890)</f>
        <v>481890</v>
      </c>
      <c r="I30" s="93">
        <f ca="1">IFERROR(__xludf.DUMMYFUNCTION("IMPORTRANGE(""https://docs.google.com/spreadsheets/d/1MeEWN-I1oV_STSDYn1IFDPWt_1FKiwhDph83XaGc0o0/edit?usp=sharing"",""งบพรบ!FC30"")"),51300)</f>
        <v>51300</v>
      </c>
      <c r="J30" s="93">
        <f t="shared" ca="1" si="3"/>
        <v>274174</v>
      </c>
      <c r="K30" s="94">
        <f t="shared" ca="1" si="4"/>
        <v>40.993690380072366</v>
      </c>
      <c r="L30" s="93">
        <f ca="1">IFERROR(__xludf.DUMMYFUNCTION("IMPORTRANGE(""https://docs.google.com/spreadsheets/d/1MeEWN-I1oV_STSDYn1IFDPWt_1FKiwhDph83XaGc0o0/edit?usp=sharing"",""งบพรบ!FD30"")"),222874)</f>
        <v>222874</v>
      </c>
      <c r="M30" s="95">
        <f t="shared" ca="1" si="5"/>
        <v>36.091786500842076</v>
      </c>
      <c r="N30" s="95">
        <f t="shared" ca="1" si="6"/>
        <v>46.24997406047023</v>
      </c>
      <c r="O30" s="96">
        <f ca="1">IFERROR(__xludf.DUMMYFUNCTION("IMPORTRANGE(""https://docs.google.com/spreadsheets/d/1MeEWN-I1oV_STSDYn1IFDPWt_1FKiwhDph83XaGc0o0/edit?usp=sharing"",""งบพรบ!FE30"")"),51300)</f>
        <v>51300</v>
      </c>
      <c r="P30" s="95">
        <f t="shared" ca="1" si="53"/>
        <v>100</v>
      </c>
      <c r="Q30" s="95">
        <f t="shared" ca="1" si="8"/>
        <v>100</v>
      </c>
      <c r="R30" s="97">
        <f ca="1">IFERROR(__xludf.DUMMYFUNCTION("IMPORTRANGE(""https://docs.google.com/spreadsheets/d/1kII0BjS6CtVrBvI8IrytgPdxDrlyQDyigzMsohRtDMs/edit?usp=sharing"",""อุทัยธานี!I359"")"),2000)</f>
        <v>2000</v>
      </c>
      <c r="S30" s="97">
        <f ca="1">IFERROR(__xludf.DUMMYFUNCTION("IMPORTRANGE(""https://docs.google.com/spreadsheets/d/1kII0BjS6CtVrBvI8IrytgPdxDrlyQDyigzMsohRtDMs/edit?usp=sharing"",""อุทัยธานี!J358"")"),57)</f>
        <v>57</v>
      </c>
      <c r="T30" s="97">
        <f ca="1">IFERROR(__xludf.DUMMYFUNCTION("IMPORTRANGE(""https://docs.google.com/spreadsheets/d/1kII0BjS6CtVrBvI8IrytgPdxDrlyQDyigzMsohRtDMs/edit?usp=sharing"",""อุทัยธานี!J359"")"),595.42)</f>
        <v>595.41999999999996</v>
      </c>
      <c r="U30" s="98">
        <f t="shared" ca="1" si="43"/>
        <v>29.770999999999997</v>
      </c>
      <c r="V30" s="97">
        <f ca="1">IFERROR(__xludf.DUMMYFUNCTION("IMPORTRANGE(""https://docs.google.com/spreadsheets/d/1kII0BjS6CtVrBvI8IrytgPdxDrlyQDyigzMsohRtDMs/edit?usp=sharing"",""อุทัยธานี!I360"")"),200)</f>
        <v>200</v>
      </c>
      <c r="W30" s="97">
        <f ca="1">IFERROR(__xludf.DUMMYFUNCTION("IMPORTRANGE(""https://docs.google.com/spreadsheets/d/1kII0BjS6CtVrBvI8IrytgPdxDrlyQDyigzMsohRtDMs/edit?usp=sharing"",""อุทัยธานี!J360"")"),8)</f>
        <v>8</v>
      </c>
      <c r="X30" s="97">
        <f ca="1">IFERROR(__xludf.DUMMYFUNCTION("IMPORTRANGE(""https://docs.google.com/spreadsheets/d/1kII0BjS6CtVrBvI8IrytgPdxDrlyQDyigzMsohRtDMs/edit?usp=sharing"",""อุทัยธานี!J361"")"),22.29)</f>
        <v>22.29</v>
      </c>
      <c r="Y30" s="98">
        <f t="shared" ca="1" si="44"/>
        <v>4</v>
      </c>
      <c r="Z30" s="97">
        <f ca="1">IFERROR(__xludf.DUMMYFUNCTION("IMPORTRANGE(""https://docs.google.com/spreadsheets/d/1kII0BjS6CtVrBvI8IrytgPdxDrlyQDyigzMsohRtDMs/edit?usp=sharing"",""อุทัยธานี!I362"")"),200)</f>
        <v>200</v>
      </c>
      <c r="AA30" s="97">
        <f ca="1">IFERROR(__xludf.DUMMYFUNCTION("IMPORTRANGE(""https://docs.google.com/spreadsheets/d/1kII0BjS6CtVrBvI8IrytgPdxDrlyQDyigzMsohRtDMs/edit?usp=sharing"",""อุทัยธานี!J362"")"),0)</f>
        <v>0</v>
      </c>
      <c r="AB30" s="97">
        <f ca="1">IFERROR(__xludf.DUMMYFUNCTION("IMPORTRANGE(""https://docs.google.com/spreadsheets/d/1kII0BjS6CtVrBvI8IrytgPdxDrlyQDyigzMsohRtDMs/edit?usp=sharing"",""อุทัยธานี!J363"")"),0)</f>
        <v>0</v>
      </c>
      <c r="AC30" s="98">
        <f t="shared" ca="1" si="45"/>
        <v>0</v>
      </c>
      <c r="AD30" s="97">
        <f ca="1">IFERROR(__xludf.DUMMYFUNCTION("IMPORTRANGE(""https://docs.google.com/spreadsheets/d/1kII0BjS6CtVrBvI8IrytgPdxDrlyQDyigzMsohRtDMs/edit?usp=sharing"",""อุทัยธานี!I364"")"),450)</f>
        <v>450</v>
      </c>
      <c r="AE30" s="97">
        <f ca="1">IFERROR(__xludf.DUMMYFUNCTION("IMPORTRANGE(""https://docs.google.com/spreadsheets/d/1kII0BjS6CtVrBvI8IrytgPdxDrlyQDyigzMsohRtDMs/edit?usp=sharing"",""อุทัยธานี!J364"")"),45)</f>
        <v>45</v>
      </c>
      <c r="AF30" s="98">
        <f t="shared" ca="1" si="16"/>
        <v>10</v>
      </c>
      <c r="AG30" s="97">
        <f ca="1">IFERROR(__xludf.DUMMYFUNCTION("IMPORTRANGE(""https://docs.google.com/spreadsheets/d/1kII0BjS6CtVrBvI8IrytgPdxDrlyQDyigzMsohRtDMs/edit?usp=sharing"",""อุทัยธานี!I369"")"),500)</f>
        <v>500</v>
      </c>
      <c r="AH30" s="97">
        <f ca="1">IFERROR(__xludf.DUMMYFUNCTION("IMPORTRANGE(""https://docs.google.com/spreadsheets/d/1kII0BjS6CtVrBvI8IrytgPdxDrlyQDyigzMsohRtDMs/edit?usp=sharing"",""อุทัยธานี!J368"")"),13)</f>
        <v>13</v>
      </c>
      <c r="AI30" s="97">
        <f ca="1">IFERROR(__xludf.DUMMYFUNCTION("IMPORTRANGE(""https://docs.google.com/spreadsheets/d/1kII0BjS6CtVrBvI8IrytgPdxDrlyQDyigzMsohRtDMs/edit?usp=sharing"",""อุทัยธานี!J369"")"),58.44)</f>
        <v>58.44</v>
      </c>
      <c r="AJ30" s="98">
        <f t="shared" ca="1" si="46"/>
        <v>11.688000000000001</v>
      </c>
      <c r="AK30" s="97">
        <f ca="1">IFERROR(__xludf.DUMMYFUNCTION("IMPORTRANGE(""https://docs.google.com/spreadsheets/d/1kII0BjS6CtVrBvI8IrytgPdxDrlyQDyigzMsohRtDMs/edit?usp=sharing"",""อุทัยธานี!I370"")"),50)</f>
        <v>50</v>
      </c>
      <c r="AL30" s="97">
        <f ca="1">IFERROR(__xludf.DUMMYFUNCTION("IMPORTRANGE(""https://docs.google.com/spreadsheets/d/1kII0BjS6CtVrBvI8IrytgPdxDrlyQDyigzMsohRtDMs/edit?usp=sharing"",""อุทัยธานี!J370"")"),8)</f>
        <v>8</v>
      </c>
      <c r="AM30" s="97">
        <f ca="1">IFERROR(__xludf.DUMMYFUNCTION("IMPORTRANGE(""https://docs.google.com/spreadsheets/d/1kII0BjS6CtVrBvI8IrytgPdxDrlyQDyigzMsohRtDMs/edit?usp=sharing"",""อุทัยธานี!J371"")"),22.29)</f>
        <v>22.29</v>
      </c>
      <c r="AN30" s="98">
        <f t="shared" ca="1" si="47"/>
        <v>16</v>
      </c>
      <c r="AO30" s="97">
        <f ca="1">IFERROR(__xludf.DUMMYFUNCTION("IMPORTRANGE(""https://docs.google.com/spreadsheets/d/1kII0BjS6CtVrBvI8IrytgPdxDrlyQDyigzMsohRtDMs/edit?usp=sharing"",""อุทัยธานี!I372"")"),50)</f>
        <v>50</v>
      </c>
      <c r="AP30" s="97">
        <f ca="1">IFERROR(__xludf.DUMMYFUNCTION("IMPORTRANGE(""https://docs.google.com/spreadsheets/d/1kII0BjS6CtVrBvI8IrytgPdxDrlyQDyigzMsohRtDMs/edit?usp=sharing"",""อุทัยธานี!J372"")"),0)</f>
        <v>0</v>
      </c>
      <c r="AQ30" s="97">
        <f ca="1">IFERROR(__xludf.DUMMYFUNCTION("IMPORTRANGE(""https://docs.google.com/spreadsheets/d/1kII0BjS6CtVrBvI8IrytgPdxDrlyQDyigzMsohRtDMs/edit?usp=sharing"",""อุทัยธานี!J373"")"),0)</f>
        <v>0</v>
      </c>
      <c r="AR30" s="98">
        <f t="shared" ca="1" si="48"/>
        <v>0</v>
      </c>
      <c r="AS30" s="97">
        <f ca="1">IFERROR(__xludf.DUMMYFUNCTION("IMPORTRANGE(""https://docs.google.com/spreadsheets/d/1kII0BjS6CtVrBvI8IrytgPdxDrlyQDyigzMsohRtDMs/edit?usp=sharing"",""อุทัยธานี!I378"")"),1500)</f>
        <v>1500</v>
      </c>
      <c r="AT30" s="97">
        <f ca="1">IFERROR(__xludf.DUMMYFUNCTION("IMPORTRANGE(""https://docs.google.com/spreadsheets/d/1kII0BjS6CtVrBvI8IrytgPdxDrlyQDyigzMsohRtDMs/edit?usp=sharing"",""อุทัยธานี!J377"")"),44)</f>
        <v>44</v>
      </c>
      <c r="AU30" s="97">
        <f ca="1">IFERROR(__xludf.DUMMYFUNCTION("IMPORTRANGE(""https://docs.google.com/spreadsheets/d/1kII0BjS6CtVrBvI8IrytgPdxDrlyQDyigzMsohRtDMs/edit?usp=sharing"",""อุทัยธานี!J378"")"),536.98)</f>
        <v>536.98</v>
      </c>
      <c r="AV30" s="98">
        <f t="shared" ca="1" si="49"/>
        <v>35.798666666666669</v>
      </c>
      <c r="AW30" s="97">
        <f ca="1">IFERROR(__xludf.DUMMYFUNCTION("IMPORTRANGE(""https://docs.google.com/spreadsheets/d/1kII0BjS6CtVrBvI8IrytgPdxDrlyQDyigzMsohRtDMs/edit?usp=sharing"",""อุทัยธานี!I379"")"),400)</f>
        <v>400</v>
      </c>
      <c r="AX30" s="97">
        <f ca="1">IFERROR(__xludf.DUMMYFUNCTION("IMPORTRANGE(""https://docs.google.com/spreadsheets/d/1kII0BjS6CtVrBvI8IrytgPdxDrlyQDyigzMsohRtDMs/edit?usp=sharing"",""อุทัยธานี!J379"")"),46)</f>
        <v>46</v>
      </c>
      <c r="AY30" s="97">
        <f ca="1">IFERROR(__xludf.DUMMYFUNCTION("IMPORTRANGE(""https://docs.google.com/spreadsheets/d/1kII0BjS6CtVrBvI8IrytgPdxDrlyQDyigzMsohRtDMs/edit?usp=sharing"",""อุทัยธานี!J380"")"),1117.93)</f>
        <v>1117.93</v>
      </c>
      <c r="AZ30" s="98">
        <f t="shared" ca="1" si="50"/>
        <v>11.5</v>
      </c>
      <c r="BA30" s="97">
        <f ca="1">IFERROR(__xludf.DUMMYFUNCTION("IMPORTRANGE(""https://docs.google.com/spreadsheets/d/1kII0BjS6CtVrBvI8IrytgPdxDrlyQDyigzMsohRtDMs/edit?usp=sharing"",""อุทัยธานี!I381"")"),400)</f>
        <v>400</v>
      </c>
      <c r="BB30" s="97">
        <f ca="1">IFERROR(__xludf.DUMMYFUNCTION("IMPORTRANGE(""https://docs.google.com/spreadsheets/d/1kII0BjS6CtVrBvI8IrytgPdxDrlyQDyigzMsohRtDMs/edit?usp=sharing"",""อุทัยธานี!J381"")"),45)</f>
        <v>45</v>
      </c>
      <c r="BC30" s="97">
        <f ca="1">IFERROR(__xludf.DUMMYFUNCTION("IMPORTRANGE(""https://docs.google.com/spreadsheets/d/1kII0BjS6CtVrBvI8IrytgPdxDrlyQDyigzMsohRtDMs/edit?usp=sharing"",""อุทัยธานี!J382"")"),1037.19)</f>
        <v>1037.19</v>
      </c>
      <c r="BD30" s="98">
        <f t="shared" ca="1" si="51"/>
        <v>11.25</v>
      </c>
    </row>
    <row r="31" spans="1:56" ht="21" customHeight="1" x14ac:dyDescent="0.2">
      <c r="A31" s="378" t="s">
        <v>53</v>
      </c>
      <c r="B31" s="379"/>
      <c r="C31" s="99">
        <f t="shared" ca="1" si="0"/>
        <v>29266000</v>
      </c>
      <c r="D31" s="62">
        <f t="shared" ref="D31:I31" ca="1" si="65">SUM(D32:D51)</f>
        <v>26914600</v>
      </c>
      <c r="E31" s="62">
        <f t="shared" ca="1" si="65"/>
        <v>5583600</v>
      </c>
      <c r="F31" s="62">
        <f t="shared" ca="1" si="65"/>
        <v>21331000</v>
      </c>
      <c r="G31" s="62">
        <f t="shared" ca="1" si="65"/>
        <v>2351400</v>
      </c>
      <c r="H31" s="62">
        <f t="shared" ca="1" si="65"/>
        <v>16890492</v>
      </c>
      <c r="I31" s="62">
        <f t="shared" ca="1" si="65"/>
        <v>2343720</v>
      </c>
      <c r="J31" s="62">
        <f t="shared" ca="1" si="3"/>
        <v>11375345.67</v>
      </c>
      <c r="K31" s="100">
        <f t="shared" ca="1" si="4"/>
        <v>38.868809095879179</v>
      </c>
      <c r="L31" s="62">
        <f ca="1">SUM(L32:L51)</f>
        <v>9031625.6699999999</v>
      </c>
      <c r="M31" s="101">
        <f t="shared" ca="1" si="5"/>
        <v>33.556603739234468</v>
      </c>
      <c r="N31" s="101">
        <f t="shared" ca="1" si="6"/>
        <v>53.471655354977223</v>
      </c>
      <c r="O31" s="102">
        <f ca="1">SUM(O32:O51)</f>
        <v>2343720</v>
      </c>
      <c r="P31" s="101">
        <f t="shared" ca="1" si="53"/>
        <v>99.673386067874461</v>
      </c>
      <c r="Q31" s="101">
        <f t="shared" ca="1" si="8"/>
        <v>100</v>
      </c>
      <c r="R31" s="62">
        <f t="shared" ref="R31:T31" ca="1" si="66">SUM(R32:R51)</f>
        <v>148020</v>
      </c>
      <c r="S31" s="62">
        <f t="shared" ca="1" si="66"/>
        <v>4911</v>
      </c>
      <c r="T31" s="62">
        <f t="shared" ca="1" si="66"/>
        <v>40267.26999999999</v>
      </c>
      <c r="U31" s="101">
        <f t="shared" ca="1" si="43"/>
        <v>27.203938656938245</v>
      </c>
      <c r="V31" s="62">
        <f t="shared" ref="V31:X31" ca="1" si="67">SUM(V32:V51)</f>
        <v>14673</v>
      </c>
      <c r="W31" s="62">
        <f t="shared" ca="1" si="67"/>
        <v>3871</v>
      </c>
      <c r="X31" s="62">
        <f t="shared" ca="1" si="67"/>
        <v>34755.37999999999</v>
      </c>
      <c r="Y31" s="101">
        <f t="shared" ca="1" si="44"/>
        <v>26.381789681728346</v>
      </c>
      <c r="Z31" s="62">
        <f t="shared" ref="Z31:AB31" ca="1" si="68">SUM(Z32:Z51)</f>
        <v>14673</v>
      </c>
      <c r="AA31" s="62">
        <f t="shared" ca="1" si="68"/>
        <v>1094</v>
      </c>
      <c r="AB31" s="62">
        <f t="shared" ca="1" si="68"/>
        <v>9109.44</v>
      </c>
      <c r="AC31" s="101">
        <f t="shared" ca="1" si="45"/>
        <v>7.4558713282900566</v>
      </c>
      <c r="AD31" s="62">
        <f t="shared" ref="AD31:AE31" ca="1" si="69">SUM(AD32:AD51)</f>
        <v>25308</v>
      </c>
      <c r="AE31" s="62">
        <f t="shared" ca="1" si="69"/>
        <v>4900</v>
      </c>
      <c r="AF31" s="101">
        <f t="shared" ca="1" si="16"/>
        <v>19.361466729887784</v>
      </c>
      <c r="AG31" s="62">
        <f t="shared" ref="AG31:AI31" ca="1" si="70">SUM(AG32:AG51)</f>
        <v>49520</v>
      </c>
      <c r="AH31" s="62">
        <f t="shared" ca="1" si="70"/>
        <v>1553</v>
      </c>
      <c r="AI31" s="62">
        <f t="shared" ca="1" si="70"/>
        <v>12236.130000000001</v>
      </c>
      <c r="AJ31" s="101">
        <f t="shared" ca="1" si="46"/>
        <v>24.709470920840065</v>
      </c>
      <c r="AK31" s="62">
        <f t="shared" ref="AK31:AM31" ca="1" si="71">SUM(AK32:AK51)</f>
        <v>4742</v>
      </c>
      <c r="AL31" s="62">
        <f t="shared" ca="1" si="71"/>
        <v>918</v>
      </c>
      <c r="AM31" s="62">
        <f t="shared" ca="1" si="71"/>
        <v>8826.59</v>
      </c>
      <c r="AN31" s="101">
        <f t="shared" ca="1" si="47"/>
        <v>19.358920286798821</v>
      </c>
      <c r="AO31" s="62">
        <f t="shared" ref="AO31:AQ31" ca="1" si="72">SUM(AO32:AO51)</f>
        <v>4742</v>
      </c>
      <c r="AP31" s="62">
        <f t="shared" ca="1" si="72"/>
        <v>212</v>
      </c>
      <c r="AQ31" s="62">
        <f t="shared" ca="1" si="72"/>
        <v>1821.7500000000002</v>
      </c>
      <c r="AR31" s="101">
        <f t="shared" ca="1" si="48"/>
        <v>4.4706874736398143</v>
      </c>
      <c r="AS31" s="62">
        <f t="shared" ref="AS31:AU31" ca="1" si="73">SUM(AS32:AS51)</f>
        <v>98500</v>
      </c>
      <c r="AT31" s="62">
        <f t="shared" ca="1" si="73"/>
        <v>3373</v>
      </c>
      <c r="AU31" s="62">
        <f t="shared" ca="1" si="73"/>
        <v>28268.83</v>
      </c>
      <c r="AV31" s="101">
        <f t="shared" ca="1" si="49"/>
        <v>28.699319796954313</v>
      </c>
      <c r="AW31" s="62">
        <f t="shared" ref="AW31:AY31" ca="1" si="74">SUM(AW32:AW51)</f>
        <v>20566</v>
      </c>
      <c r="AX31" s="62">
        <f t="shared" ca="1" si="74"/>
        <v>7848</v>
      </c>
      <c r="AY31" s="62">
        <f t="shared" ca="1" si="74"/>
        <v>88130.340000000026</v>
      </c>
      <c r="AZ31" s="101">
        <f t="shared" ca="1" si="50"/>
        <v>38.1600700184771</v>
      </c>
      <c r="BA31" s="62">
        <f t="shared" ref="BA31:BC31" ca="1" si="75">SUM(BA32:BA51)</f>
        <v>20566</v>
      </c>
      <c r="BB31" s="62">
        <f t="shared" ca="1" si="75"/>
        <v>4688</v>
      </c>
      <c r="BC31" s="62">
        <f t="shared" ca="1" si="75"/>
        <v>55236.539999999994</v>
      </c>
      <c r="BD31" s="101">
        <f t="shared" ca="1" si="51"/>
        <v>22.794904210833415</v>
      </c>
    </row>
    <row r="32" spans="1:56" ht="21" customHeight="1" x14ac:dyDescent="0.2">
      <c r="A32" s="68">
        <v>1</v>
      </c>
      <c r="B32" s="69" t="s">
        <v>54</v>
      </c>
      <c r="C32" s="103">
        <f t="shared" ca="1" si="0"/>
        <v>1058490</v>
      </c>
      <c r="D32" s="71">
        <f t="shared" ref="D32:D51" ca="1" si="76">+E32+F32</f>
        <v>974690</v>
      </c>
      <c r="E32" s="72">
        <f ca="1">IFERROR(__xludf.DUMMYFUNCTION("IMPORTRANGE(""https://docs.google.com/spreadsheets/d/1MeEWN-I1oV_STSDYn1IFDPWt_1FKiwhDph83XaGc0o0/edit?usp=sharing"",""งบพรบ!EX32"")"),429600)</f>
        <v>429600</v>
      </c>
      <c r="F32" s="72">
        <f ca="1">IFERROR(__xludf.DUMMYFUNCTION("IMPORTRANGE(""https://docs.google.com/spreadsheets/d/1MeEWN-I1oV_STSDYn1IFDPWt_1FKiwhDph83XaGc0o0/edit?usp=sharing"",""งบพรบ!EY32"")"),545090)</f>
        <v>545090</v>
      </c>
      <c r="G32" s="73">
        <f ca="1">IFERROR(__xludf.DUMMYFUNCTION("IMPORTRANGE(""https://docs.google.com/spreadsheets/d/1MeEWN-I1oV_STSDYn1IFDPWt_1FKiwhDph83XaGc0o0/edit?usp=sharing"",""งบพรบ!EZ32"")"),83800)</f>
        <v>83800</v>
      </c>
      <c r="H32" s="73">
        <f ca="1">IFERROR(__xludf.DUMMYFUNCTION("IMPORTRANGE(""https://docs.google.com/spreadsheets/d/1MeEWN-I1oV_STSDYn1IFDPWt_1FKiwhDph83XaGc0o0/edit?usp=sharing"",""งบพรบ!FB32"")"),649780)</f>
        <v>649780</v>
      </c>
      <c r="I32" s="73">
        <f ca="1">IFERROR(__xludf.DUMMYFUNCTION("IMPORTRANGE(""https://docs.google.com/spreadsheets/d/1MeEWN-I1oV_STSDYn1IFDPWt_1FKiwhDph83XaGc0o0/edit?usp=sharing"",""งบพรบ!FC32"")"),83800)</f>
        <v>83800</v>
      </c>
      <c r="J32" s="73">
        <f t="shared" ca="1" si="3"/>
        <v>368499.20000000001</v>
      </c>
      <c r="K32" s="74">
        <f t="shared" ca="1" si="4"/>
        <v>34.813668527808481</v>
      </c>
      <c r="L32" s="73">
        <f ca="1">IFERROR(__xludf.DUMMYFUNCTION("IMPORTRANGE(""https://docs.google.com/spreadsheets/d/1MeEWN-I1oV_STSDYn1IFDPWt_1FKiwhDph83XaGc0o0/edit?usp=sharing"",""งบพรบ!FD32"")"),284699.2)</f>
        <v>284699.2</v>
      </c>
      <c r="M32" s="75">
        <f t="shared" ca="1" si="5"/>
        <v>29.209204977993004</v>
      </c>
      <c r="N32" s="75">
        <f t="shared" ca="1" si="6"/>
        <v>43.814706516051587</v>
      </c>
      <c r="O32" s="76">
        <f ca="1">IFERROR(__xludf.DUMMYFUNCTION("IMPORTRANGE(""https://docs.google.com/spreadsheets/d/1MeEWN-I1oV_STSDYn1IFDPWt_1FKiwhDph83XaGc0o0/edit?usp=sharing"",""งบพรบ!FE32"")"),83800)</f>
        <v>83800</v>
      </c>
      <c r="P32" s="75">
        <f t="shared" ca="1" si="53"/>
        <v>100</v>
      </c>
      <c r="Q32" s="75">
        <f t="shared" ca="1" si="8"/>
        <v>100</v>
      </c>
      <c r="R32" s="73">
        <f ca="1">IFERROR(__xludf.DUMMYFUNCTION("IMPORTRANGE(""https://docs.google.com/spreadsheets/d/1fb2B9NLcpJgjIieIJvenUTNPn0TimZDUi0OtYeiSQ_s/edit?usp=sharing"",""กาฬสินธุ์!I359"")"),2500)</f>
        <v>2500</v>
      </c>
      <c r="S32" s="73">
        <f ca="1">IFERROR(__xludf.DUMMYFUNCTION("IMPORTRANGE(""https://docs.google.com/spreadsheets/d/1fb2B9NLcpJgjIieIJvenUTNPn0TimZDUi0OtYeiSQ_s/edit?usp=sharing"",""กาฬสินธุ์!J358"")"),161)</f>
        <v>161</v>
      </c>
      <c r="T32" s="73">
        <f ca="1">IFERROR(__xludf.DUMMYFUNCTION("IMPORTRANGE(""https://docs.google.com/spreadsheets/d/1fb2B9NLcpJgjIieIJvenUTNPn0TimZDUi0OtYeiSQ_s/edit?usp=sharing"",""กาฬสินธุ์!J359"")"),1382.18)</f>
        <v>1382.18</v>
      </c>
      <c r="U32" s="77">
        <f t="shared" ca="1" si="43"/>
        <v>55.287199999999999</v>
      </c>
      <c r="V32" s="73">
        <f ca="1">IFERROR(__xludf.DUMMYFUNCTION("IMPORTRANGE(""https://docs.google.com/spreadsheets/d/1fb2B9NLcpJgjIieIJvenUTNPn0TimZDUi0OtYeiSQ_s/edit?usp=sharing"",""กาฬสินธุ์!I360"")"),250)</f>
        <v>250</v>
      </c>
      <c r="W32" s="73">
        <f ca="1">IFERROR(__xludf.DUMMYFUNCTION("IMPORTRANGE(""https://docs.google.com/spreadsheets/d/1fb2B9NLcpJgjIieIJvenUTNPn0TimZDUi0OtYeiSQ_s/edit?usp=sharing"",""กาฬสินธุ์!J360"")"),179)</f>
        <v>179</v>
      </c>
      <c r="X32" s="73">
        <f ca="1">IFERROR(__xludf.DUMMYFUNCTION("IMPORTRANGE(""https://docs.google.com/spreadsheets/d/1fb2B9NLcpJgjIieIJvenUTNPn0TimZDUi0OtYeiSQ_s/edit?usp=sharing"",""กาฬสินธุ์!J361"")"),1487.32)</f>
        <v>1487.32</v>
      </c>
      <c r="Y32" s="77">
        <f t="shared" ca="1" si="44"/>
        <v>71.599999999999994</v>
      </c>
      <c r="Z32" s="73">
        <f ca="1">IFERROR(__xludf.DUMMYFUNCTION("IMPORTRANGE(""https://docs.google.com/spreadsheets/d/1fb2B9NLcpJgjIieIJvenUTNPn0TimZDUi0OtYeiSQ_s/edit?usp=sharing"",""กาฬสินธุ์!I362"")"),250)</f>
        <v>250</v>
      </c>
      <c r="AA32" s="73">
        <f ca="1">IFERROR(__xludf.DUMMYFUNCTION("IMPORTRANGE(""https://docs.google.com/spreadsheets/d/1fb2B9NLcpJgjIieIJvenUTNPn0TimZDUi0OtYeiSQ_s/edit?usp=sharing"",""กาฬสินธุ์!J362"")"),0)</f>
        <v>0</v>
      </c>
      <c r="AB32" s="73">
        <f ca="1">IFERROR(__xludf.DUMMYFUNCTION("IMPORTRANGE(""https://docs.google.com/spreadsheets/d/1fb2B9NLcpJgjIieIJvenUTNPn0TimZDUi0OtYeiSQ_s/edit?usp=sharing"",""กาฬสินธุ์!J363"")"),0)</f>
        <v>0</v>
      </c>
      <c r="AC32" s="77">
        <f t="shared" ca="1" si="45"/>
        <v>0</v>
      </c>
      <c r="AD32" s="73">
        <f ca="1">IFERROR(__xludf.DUMMYFUNCTION("IMPORTRANGE(""https://docs.google.com/spreadsheets/d/1fb2B9NLcpJgjIieIJvenUTNPn0TimZDUi0OtYeiSQ_s/edit?usp=sharing"",""กาฬสินธุ์!I364"")"),1000)</f>
        <v>1000</v>
      </c>
      <c r="AE32" s="73">
        <f ca="1">IFERROR(__xludf.DUMMYFUNCTION("IMPORTRANGE(""https://docs.google.com/spreadsheets/d/1fb2B9NLcpJgjIieIJvenUTNPn0TimZDUi0OtYeiSQ_s/edit?usp=sharing"",""กาฬสินธุ์!J364"")"),28)</f>
        <v>28</v>
      </c>
      <c r="AF32" s="77">
        <f t="shared" ca="1" si="16"/>
        <v>2.8</v>
      </c>
      <c r="AG32" s="73">
        <f ca="1">IFERROR(__xludf.DUMMYFUNCTION("IMPORTRANGE(""https://docs.google.com/spreadsheets/d/1fb2B9NLcpJgjIieIJvenUTNPn0TimZDUi0OtYeiSQ_s/edit?usp=sharing"",""กาฬสินธุ์!I369"")"),500)</f>
        <v>500</v>
      </c>
      <c r="AH32" s="73">
        <f ca="1">IFERROR(__xludf.DUMMYFUNCTION("IMPORTRANGE(""https://docs.google.com/spreadsheets/d/1fb2B9NLcpJgjIieIJvenUTNPn0TimZDUi0OtYeiSQ_s/edit?usp=sharing"",""กาฬสินธุ์!J368"")"),15)</f>
        <v>15</v>
      </c>
      <c r="AI32" s="73">
        <f ca="1">IFERROR(__xludf.DUMMYFUNCTION("IMPORTRANGE(""https://docs.google.com/spreadsheets/d/1fb2B9NLcpJgjIieIJvenUTNPn0TimZDUi0OtYeiSQ_s/edit?usp=sharing"",""กาฬสินธุ์!J369"")"),92.67)</f>
        <v>92.67</v>
      </c>
      <c r="AJ32" s="77">
        <f t="shared" ca="1" si="46"/>
        <v>18.533999999999999</v>
      </c>
      <c r="AK32" s="73">
        <f ca="1">IFERROR(__xludf.DUMMYFUNCTION("IMPORTRANGE(""https://docs.google.com/spreadsheets/d/1fb2B9NLcpJgjIieIJvenUTNPn0TimZDUi0OtYeiSQ_s/edit?usp=sharing"",""กาฬสินธุ์!I370"")"),50)</f>
        <v>50</v>
      </c>
      <c r="AL32" s="73">
        <f ca="1">IFERROR(__xludf.DUMMYFUNCTION("IMPORTRANGE(""https://docs.google.com/spreadsheets/d/1fb2B9NLcpJgjIieIJvenUTNPn0TimZDUi0OtYeiSQ_s/edit?usp=sharing"",""กาฬสินธุ์!J370"")"),33)</f>
        <v>33</v>
      </c>
      <c r="AM32" s="73">
        <f ca="1">IFERROR(__xludf.DUMMYFUNCTION("IMPORTRANGE(""https://docs.google.com/spreadsheets/d/1fb2B9NLcpJgjIieIJvenUTNPn0TimZDUi0OtYeiSQ_s/edit?usp=sharing"",""กาฬสินธุ์!J371"")"),197.81)</f>
        <v>197.81</v>
      </c>
      <c r="AN32" s="77">
        <f t="shared" ca="1" si="47"/>
        <v>66</v>
      </c>
      <c r="AO32" s="73">
        <f ca="1">IFERROR(__xludf.DUMMYFUNCTION("IMPORTRANGE(""https://docs.google.com/spreadsheets/d/1fb2B9NLcpJgjIieIJvenUTNPn0TimZDUi0OtYeiSQ_s/edit?usp=sharing"",""กาฬสินธุ์!I372"")"),50)</f>
        <v>50</v>
      </c>
      <c r="AP32" s="73">
        <f ca="1">IFERROR(__xludf.DUMMYFUNCTION("IMPORTRANGE(""https://docs.google.com/spreadsheets/d/1fb2B9NLcpJgjIieIJvenUTNPn0TimZDUi0OtYeiSQ_s/edit?usp=sharing"",""กาฬสินธุ์!J372"")"),0)</f>
        <v>0</v>
      </c>
      <c r="AQ32" s="73">
        <f ca="1">IFERROR(__xludf.DUMMYFUNCTION("IMPORTRANGE(""https://docs.google.com/spreadsheets/d/1fb2B9NLcpJgjIieIJvenUTNPn0TimZDUi0OtYeiSQ_s/edit?usp=sharing"",""กาฬสินธุ์!J373"")"),0)</f>
        <v>0</v>
      </c>
      <c r="AR32" s="77">
        <f t="shared" ca="1" si="48"/>
        <v>0</v>
      </c>
      <c r="AS32" s="73">
        <f ca="1">IFERROR(__xludf.DUMMYFUNCTION("IMPORTRANGE(""https://docs.google.com/spreadsheets/d/1fb2B9NLcpJgjIieIJvenUTNPn0TimZDUi0OtYeiSQ_s/edit?usp=sharing"",""กาฬสินธุ์!I378"")"),2000)</f>
        <v>2000</v>
      </c>
      <c r="AT32" s="73">
        <f ca="1">IFERROR(__xludf.DUMMYFUNCTION("IMPORTRANGE(""https://docs.google.com/spreadsheets/d/1fb2B9NLcpJgjIieIJvenUTNPn0TimZDUi0OtYeiSQ_s/edit?usp=sharing"",""กาฬสินธุ์!J377"")"),146)</f>
        <v>146</v>
      </c>
      <c r="AU32" s="73">
        <f ca="1">IFERROR(__xludf.DUMMYFUNCTION("IMPORTRANGE(""https://docs.google.com/spreadsheets/d/1fb2B9NLcpJgjIieIJvenUTNPn0TimZDUi0OtYeiSQ_s/edit?usp=sharing"",""กาฬสินธุ์!J378"")"),1289.51)</f>
        <v>1289.51</v>
      </c>
      <c r="AV32" s="77">
        <f t="shared" ca="1" si="49"/>
        <v>64.475499999999997</v>
      </c>
      <c r="AW32" s="73">
        <f ca="1">IFERROR(__xludf.DUMMYFUNCTION("IMPORTRANGE(""https://docs.google.com/spreadsheets/d/1fb2B9NLcpJgjIieIJvenUTNPn0TimZDUi0OtYeiSQ_s/edit?usp=sharing"",""กาฬสินธุ์!I379"")"),950)</f>
        <v>950</v>
      </c>
      <c r="AX32" s="73">
        <f ca="1">IFERROR(__xludf.DUMMYFUNCTION("IMPORTRANGE(""https://docs.google.com/spreadsheets/d/1fb2B9NLcpJgjIieIJvenUTNPn0TimZDUi0OtYeiSQ_s/edit?usp=sharing"",""กาฬสินธุ์!J379"")"),486)</f>
        <v>486</v>
      </c>
      <c r="AY32" s="73">
        <f ca="1">IFERROR(__xludf.DUMMYFUNCTION("IMPORTRANGE(""https://docs.google.com/spreadsheets/d/1fb2B9NLcpJgjIieIJvenUTNPn0TimZDUi0OtYeiSQ_s/edit?usp=sharing"",""กาฬสินธุ์!J380"")"),5279.53)</f>
        <v>5279.53</v>
      </c>
      <c r="AZ32" s="77">
        <f t="shared" ca="1" si="50"/>
        <v>51.157894736842103</v>
      </c>
      <c r="BA32" s="73">
        <f ca="1">IFERROR(__xludf.DUMMYFUNCTION("IMPORTRANGE(""https://docs.google.com/spreadsheets/d/1fb2B9NLcpJgjIieIJvenUTNPn0TimZDUi0OtYeiSQ_s/edit?usp=sharing"",""กาฬสินธุ์!I381"")"),950)</f>
        <v>950</v>
      </c>
      <c r="BB32" s="73">
        <f ca="1">IFERROR(__xludf.DUMMYFUNCTION("IMPORTRANGE(""https://docs.google.com/spreadsheets/d/1fb2B9NLcpJgjIieIJvenUTNPn0TimZDUi0OtYeiSQ_s/edit?usp=sharing"",""กาฬสินธุ์!J381"")"),28)</f>
        <v>28</v>
      </c>
      <c r="BC32" s="73">
        <f ca="1">IFERROR(__xludf.DUMMYFUNCTION("IMPORTRANGE(""https://docs.google.com/spreadsheets/d/1fb2B9NLcpJgjIieIJvenUTNPn0TimZDUi0OtYeiSQ_s/edit?usp=sharing"",""กาฬสินธุ์!J382"")"),306.48)</f>
        <v>306.48</v>
      </c>
      <c r="BD32" s="77">
        <f t="shared" ca="1" si="51"/>
        <v>2.9473684210526314</v>
      </c>
    </row>
    <row r="33" spans="1:56" ht="21" customHeight="1" x14ac:dyDescent="0.2">
      <c r="A33" s="78">
        <v>2</v>
      </c>
      <c r="B33" s="79" t="s">
        <v>55</v>
      </c>
      <c r="C33" s="80">
        <f t="shared" ca="1" si="0"/>
        <v>1082650</v>
      </c>
      <c r="D33" s="81">
        <f t="shared" ca="1" si="76"/>
        <v>984850</v>
      </c>
      <c r="E33" s="82">
        <f ca="1">IFERROR(__xludf.DUMMYFUNCTION("IMPORTRANGE(""https://docs.google.com/spreadsheets/d/1MeEWN-I1oV_STSDYn1IFDPWt_1FKiwhDph83XaGc0o0/edit?usp=sharing"",""งบพรบ!EX33"")"),175200)</f>
        <v>175200</v>
      </c>
      <c r="F33" s="82">
        <f ca="1">IFERROR(__xludf.DUMMYFUNCTION("IMPORTRANGE(""https://docs.google.com/spreadsheets/d/1MeEWN-I1oV_STSDYn1IFDPWt_1FKiwhDph83XaGc0o0/edit?usp=sharing"",""งบพรบ!EY33"")"),809650)</f>
        <v>809650</v>
      </c>
      <c r="G33" s="82">
        <f ca="1">IFERROR(__xludf.DUMMYFUNCTION("IMPORTRANGE(""https://docs.google.com/spreadsheets/d/1MeEWN-I1oV_STSDYn1IFDPWt_1FKiwhDph83XaGc0o0/edit?usp=sharing"",""งบพรบ!EZ33"")"),97800)</f>
        <v>97800</v>
      </c>
      <c r="H33" s="82">
        <f ca="1">IFERROR(__xludf.DUMMYFUNCTION("IMPORTRANGE(""https://docs.google.com/spreadsheets/d/1MeEWN-I1oV_STSDYn1IFDPWt_1FKiwhDph83XaGc0o0/edit?usp=sharing"",""งบพรบ!FB33"")"),631150)</f>
        <v>631150</v>
      </c>
      <c r="I33" s="82">
        <f ca="1">IFERROR(__xludf.DUMMYFUNCTION("IMPORTRANGE(""https://docs.google.com/spreadsheets/d/1MeEWN-I1oV_STSDYn1IFDPWt_1FKiwhDph83XaGc0o0/edit?usp=sharing"",""งบพรบ!FC33"")"),97200)</f>
        <v>97200</v>
      </c>
      <c r="J33" s="82">
        <f t="shared" ca="1" si="3"/>
        <v>492258.07</v>
      </c>
      <c r="K33" s="83">
        <f t="shared" ca="1" si="4"/>
        <v>45.467886205144787</v>
      </c>
      <c r="L33" s="82">
        <f ca="1">IFERROR(__xludf.DUMMYFUNCTION("IMPORTRANGE(""https://docs.google.com/spreadsheets/d/1MeEWN-I1oV_STSDYn1IFDPWt_1FKiwhDph83XaGc0o0/edit?usp=sharing"",""งบพรบ!FD33"")"),395058.07)</f>
        <v>395058.07</v>
      </c>
      <c r="M33" s="84">
        <f t="shared" ca="1" si="5"/>
        <v>40.113526933035487</v>
      </c>
      <c r="N33" s="84">
        <f t="shared" ca="1" si="6"/>
        <v>62.59337241543215</v>
      </c>
      <c r="O33" s="85">
        <f ca="1">IFERROR(__xludf.DUMMYFUNCTION("IMPORTRANGE(""https://docs.google.com/spreadsheets/d/1MeEWN-I1oV_STSDYn1IFDPWt_1FKiwhDph83XaGc0o0/edit?usp=sharing"",""งบพรบ!FE33"")"),97200)</f>
        <v>97200</v>
      </c>
      <c r="P33" s="84">
        <f t="shared" ca="1" si="53"/>
        <v>99.386503067484668</v>
      </c>
      <c r="Q33" s="84">
        <f t="shared" ca="1" si="8"/>
        <v>100</v>
      </c>
      <c r="R33" s="86">
        <f ca="1">IFERROR(__xludf.DUMMYFUNCTION("IMPORTRANGE(""https://docs.google.com/spreadsheets/d/1SaMnqrwRGmFYNR0MhpWmHuL5niYUd5E7vDq8X7whAlI/edit?usp=sharing"",""ขอนแก่น!I359"")"),4500)</f>
        <v>4500</v>
      </c>
      <c r="S33" s="86">
        <f ca="1">IFERROR(__xludf.DUMMYFUNCTION("IMPORTRANGE(""https://docs.google.com/spreadsheets/d/1SaMnqrwRGmFYNR0MhpWmHuL5niYUd5E7vDq8X7whAlI/edit?usp=sharing"",""ขอนแก่น!J358"")"),119)</f>
        <v>119</v>
      </c>
      <c r="T33" s="86">
        <f ca="1">IFERROR(__xludf.DUMMYFUNCTION("IMPORTRANGE(""https://docs.google.com/spreadsheets/d/1SaMnqrwRGmFYNR0MhpWmHuL5niYUd5E7vDq8X7whAlI/edit?usp=sharing"",""ขอนแก่น!J359"")"),1024.8)</f>
        <v>1024.8</v>
      </c>
      <c r="U33" s="87">
        <f t="shared" ca="1" si="43"/>
        <v>22.773333333333333</v>
      </c>
      <c r="V33" s="86">
        <f ca="1">IFERROR(__xludf.DUMMYFUNCTION("IMPORTRANGE(""https://docs.google.com/spreadsheets/d/1SaMnqrwRGmFYNR0MhpWmHuL5niYUd5E7vDq8X7whAlI/edit?usp=sharing"",""ขอนแก่น!I360"")"),450)</f>
        <v>450</v>
      </c>
      <c r="W33" s="86">
        <f ca="1">IFERROR(__xludf.DUMMYFUNCTION("IMPORTRANGE(""https://docs.google.com/spreadsheets/d/1SaMnqrwRGmFYNR0MhpWmHuL5niYUd5E7vDq8X7whAlI/edit?usp=sharing"",""ขอนแก่น!J360"")"),88)</f>
        <v>88</v>
      </c>
      <c r="X33" s="86">
        <f ca="1">IFERROR(__xludf.DUMMYFUNCTION("IMPORTRANGE(""https://docs.google.com/spreadsheets/d/1SaMnqrwRGmFYNR0MhpWmHuL5niYUd5E7vDq8X7whAlI/edit?usp=sharing"",""ขอนแก่น!J361"")"),733.12)</f>
        <v>733.12</v>
      </c>
      <c r="Y33" s="87">
        <f t="shared" ca="1" si="44"/>
        <v>19.555555555555557</v>
      </c>
      <c r="Z33" s="86">
        <f ca="1">IFERROR(__xludf.DUMMYFUNCTION("IMPORTRANGE(""https://docs.google.com/spreadsheets/d/1SaMnqrwRGmFYNR0MhpWmHuL5niYUd5E7vDq8X7whAlI/edit?usp=sharing"",""ขอนแก่น!I362"")"),450)</f>
        <v>450</v>
      </c>
      <c r="AA33" s="86">
        <f ca="1">IFERROR(__xludf.DUMMYFUNCTION("IMPORTRANGE(""https://docs.google.com/spreadsheets/d/1SaMnqrwRGmFYNR0MhpWmHuL5niYUd5E7vDq8X7whAlI/edit?usp=sharing"",""ขอนแก่น!J362"")"),80)</f>
        <v>80</v>
      </c>
      <c r="AB33" s="86">
        <f ca="1">IFERROR(__xludf.DUMMYFUNCTION("IMPORTRANGE(""https://docs.google.com/spreadsheets/d/1SaMnqrwRGmFYNR0MhpWmHuL5niYUd5E7vDq8X7whAlI/edit?usp=sharing"",""ขอนแก่น!J363"")"),698.17)</f>
        <v>698.17</v>
      </c>
      <c r="AC33" s="87">
        <f t="shared" ca="1" si="45"/>
        <v>17.777777777777779</v>
      </c>
      <c r="AD33" s="86">
        <f ca="1">IFERROR(__xludf.DUMMYFUNCTION("IMPORTRANGE(""https://docs.google.com/spreadsheets/d/1SaMnqrwRGmFYNR0MhpWmHuL5niYUd5E7vDq8X7whAlI/edit?usp=sharing"",""ขอนแก่น!I364"")"),950)</f>
        <v>950</v>
      </c>
      <c r="AE33" s="86">
        <f ca="1">IFERROR(__xludf.DUMMYFUNCTION("IMPORTRANGE(""https://docs.google.com/spreadsheets/d/1SaMnqrwRGmFYNR0MhpWmHuL5niYUd5E7vDq8X7whAlI/edit?usp=sharing"",""ขอนแก่น!J364"")"),414)</f>
        <v>414</v>
      </c>
      <c r="AF33" s="87">
        <f t="shared" ca="1" si="16"/>
        <v>43.578947368421055</v>
      </c>
      <c r="AG33" s="86">
        <f ca="1">IFERROR(__xludf.DUMMYFUNCTION("IMPORTRANGE(""https://docs.google.com/spreadsheets/d/1SaMnqrwRGmFYNR0MhpWmHuL5niYUd5E7vDq8X7whAlI/edit?usp=sharing"",""ขอนแก่น!I369"")"),1000)</f>
        <v>1000</v>
      </c>
      <c r="AH33" s="86">
        <f ca="1">IFERROR(__xludf.DUMMYFUNCTION("IMPORTRANGE(""https://docs.google.com/spreadsheets/d/1SaMnqrwRGmFYNR0MhpWmHuL5niYUd5E7vDq8X7whAlI/edit?usp=sharing"",""ขอนแก่น!J368"")"),39)</f>
        <v>39</v>
      </c>
      <c r="AI33" s="86">
        <f ca="1">IFERROR(__xludf.DUMMYFUNCTION("IMPORTRANGE(""https://docs.google.com/spreadsheets/d/1SaMnqrwRGmFYNR0MhpWmHuL5niYUd5E7vDq8X7whAlI/edit?usp=sharing"",""ขอนแก่น!J369"")"),326.63)</f>
        <v>326.63</v>
      </c>
      <c r="AJ33" s="87">
        <f t="shared" ca="1" si="46"/>
        <v>32.662999999999997</v>
      </c>
      <c r="AK33" s="86">
        <f ca="1">IFERROR(__xludf.DUMMYFUNCTION("IMPORTRANGE(""https://docs.google.com/spreadsheets/d/1SaMnqrwRGmFYNR0MhpWmHuL5niYUd5E7vDq8X7whAlI/edit?usp=sharing"",""ขอนแก่น!I370"")"),100)</f>
        <v>100</v>
      </c>
      <c r="AL33" s="86">
        <f ca="1">IFERROR(__xludf.DUMMYFUNCTION("IMPORTRANGE(""https://docs.google.com/spreadsheets/d/1SaMnqrwRGmFYNR0MhpWmHuL5niYUd5E7vDq8X7whAlI/edit?usp=sharing"",""ขอนแก่น!J370"")"),8)</f>
        <v>8</v>
      </c>
      <c r="AM33" s="86">
        <f ca="1">IFERROR(__xludf.DUMMYFUNCTION("IMPORTRANGE(""https://docs.google.com/spreadsheets/d/1SaMnqrwRGmFYNR0MhpWmHuL5niYUd5E7vDq8X7whAlI/edit?usp=sharing"",""ขอนแก่น!J371"")"),34.95)</f>
        <v>34.950000000000003</v>
      </c>
      <c r="AN33" s="87">
        <f t="shared" ca="1" si="47"/>
        <v>8</v>
      </c>
      <c r="AO33" s="86">
        <f ca="1">IFERROR(__xludf.DUMMYFUNCTION("IMPORTRANGE(""https://docs.google.com/spreadsheets/d/1SaMnqrwRGmFYNR0MhpWmHuL5niYUd5E7vDq8X7whAlI/edit?usp=sharing"",""ขอนแก่น!I372"")"),100)</f>
        <v>100</v>
      </c>
      <c r="AP33" s="86">
        <f ca="1">IFERROR(__xludf.DUMMYFUNCTION("IMPORTRANGE(""https://docs.google.com/spreadsheets/d/1SaMnqrwRGmFYNR0MhpWmHuL5niYUd5E7vDq8X7whAlI/edit?usp=sharing"",""ขอนแก่น!J372"")"),0)</f>
        <v>0</v>
      </c>
      <c r="AQ33" s="86">
        <f ca="1">IFERROR(__xludf.DUMMYFUNCTION("IMPORTRANGE(""https://docs.google.com/spreadsheets/d/1SaMnqrwRGmFYNR0MhpWmHuL5niYUd5E7vDq8X7whAlI/edit?usp=sharing"",""ขอนแก่น!J373"")"),0)</f>
        <v>0</v>
      </c>
      <c r="AR33" s="87">
        <f t="shared" ca="1" si="48"/>
        <v>0</v>
      </c>
      <c r="AS33" s="86">
        <f ca="1">IFERROR(__xludf.DUMMYFUNCTION("IMPORTRANGE(""https://docs.google.com/spreadsheets/d/1SaMnqrwRGmFYNR0MhpWmHuL5niYUd5E7vDq8X7whAlI/edit?usp=sharing"",""ขอนแก่น!I378"")"),3500)</f>
        <v>3500</v>
      </c>
      <c r="AT33" s="86">
        <f ca="1">IFERROR(__xludf.DUMMYFUNCTION("IMPORTRANGE(""https://docs.google.com/spreadsheets/d/1SaMnqrwRGmFYNR0MhpWmHuL5niYUd5E7vDq8X7whAlI/edit?usp=sharing"",""ขอนแก่น!J377"")"),80)</f>
        <v>80</v>
      </c>
      <c r="AU33" s="86">
        <f ca="1">IFERROR(__xludf.DUMMYFUNCTION("IMPORTRANGE(""https://docs.google.com/spreadsheets/d/1SaMnqrwRGmFYNR0MhpWmHuL5niYUd5E7vDq8X7whAlI/edit?usp=sharing"",""ขอนแก่น!J378"")"),698.17)</f>
        <v>698.17</v>
      </c>
      <c r="AV33" s="87">
        <f t="shared" ca="1" si="49"/>
        <v>19.947714285714287</v>
      </c>
      <c r="AW33" s="86">
        <f ca="1">IFERROR(__xludf.DUMMYFUNCTION("IMPORTRANGE(""https://docs.google.com/spreadsheets/d/1SaMnqrwRGmFYNR0MhpWmHuL5niYUd5E7vDq8X7whAlI/edit?usp=sharing"",""ขอนแก่น!I379"")"),850)</f>
        <v>850</v>
      </c>
      <c r="AX33" s="86">
        <f ca="1">IFERROR(__xludf.DUMMYFUNCTION("IMPORTRANGE(""https://docs.google.com/spreadsheets/d/1SaMnqrwRGmFYNR0MhpWmHuL5niYUd5E7vDq8X7whAlI/edit?usp=sharing"",""ขอนแก่น!J379"")"),502)</f>
        <v>502</v>
      </c>
      <c r="AY33" s="86">
        <f ca="1">IFERROR(__xludf.DUMMYFUNCTION("IMPORTRANGE(""https://docs.google.com/spreadsheets/d/1SaMnqrwRGmFYNR0MhpWmHuL5niYUd5E7vDq8X7whAlI/edit?usp=sharing"",""ขอนแก่น!J380"")"),5966.86)</f>
        <v>5966.86</v>
      </c>
      <c r="AZ33" s="87">
        <f t="shared" ca="1" si="50"/>
        <v>59.058823529411768</v>
      </c>
      <c r="BA33" s="86">
        <f ca="1">IFERROR(__xludf.DUMMYFUNCTION("IMPORTRANGE(""https://docs.google.com/spreadsheets/d/1SaMnqrwRGmFYNR0MhpWmHuL5niYUd5E7vDq8X7whAlI/edit?usp=sharing"",""ขอนแก่น!I381"")"),850)</f>
        <v>850</v>
      </c>
      <c r="BB33" s="86">
        <f ca="1">IFERROR(__xludf.DUMMYFUNCTION("IMPORTRANGE(""https://docs.google.com/spreadsheets/d/1SaMnqrwRGmFYNR0MhpWmHuL5niYUd5E7vDq8X7whAlI/edit?usp=sharing"",""ขอนแก่น!J381"")"),414)</f>
        <v>414</v>
      </c>
      <c r="BC33" s="86">
        <f ca="1">IFERROR(__xludf.DUMMYFUNCTION("IMPORTRANGE(""https://docs.google.com/spreadsheets/d/1SaMnqrwRGmFYNR0MhpWmHuL5niYUd5E7vDq8X7whAlI/edit?usp=sharing"",""ขอนแก่น!J382"")"),4729.1)</f>
        <v>4729.1000000000004</v>
      </c>
      <c r="BD33" s="87">
        <f t="shared" ca="1" si="51"/>
        <v>48.705882352941174</v>
      </c>
    </row>
    <row r="34" spans="1:56" ht="21" customHeight="1" x14ac:dyDescent="0.2">
      <c r="A34" s="78">
        <v>3</v>
      </c>
      <c r="B34" s="79" t="s">
        <v>56</v>
      </c>
      <c r="C34" s="80">
        <f t="shared" ca="1" si="0"/>
        <v>1905220</v>
      </c>
      <c r="D34" s="81">
        <f t="shared" ca="1" si="76"/>
        <v>1753620</v>
      </c>
      <c r="E34" s="82">
        <f ca="1">IFERROR(__xludf.DUMMYFUNCTION("IMPORTRANGE(""https://docs.google.com/spreadsheets/d/1MeEWN-I1oV_STSDYn1IFDPWt_1FKiwhDph83XaGc0o0/edit?usp=sharing"",""งบพรบ!EX34"")"),657600)</f>
        <v>657600</v>
      </c>
      <c r="F34" s="82">
        <f ca="1">IFERROR(__xludf.DUMMYFUNCTION("IMPORTRANGE(""https://docs.google.com/spreadsheets/d/1MeEWN-I1oV_STSDYn1IFDPWt_1FKiwhDph83XaGc0o0/edit?usp=sharing"",""งบพรบ!EY34"")"),1096020)</f>
        <v>1096020</v>
      </c>
      <c r="G34" s="82">
        <f ca="1">IFERROR(__xludf.DUMMYFUNCTION("IMPORTRANGE(""https://docs.google.com/spreadsheets/d/1MeEWN-I1oV_STSDYn1IFDPWt_1FKiwhDph83XaGc0o0/edit?usp=sharing"",""งบพรบ!EZ34"")"),151600)</f>
        <v>151600</v>
      </c>
      <c r="H34" s="82">
        <f ca="1">IFERROR(__xludf.DUMMYFUNCTION("IMPORTRANGE(""https://docs.google.com/spreadsheets/d/1MeEWN-I1oV_STSDYn1IFDPWt_1FKiwhDph83XaGc0o0/edit?usp=sharing"",""งบพรบ!FB34"")"),1131470)</f>
        <v>1131470</v>
      </c>
      <c r="I34" s="82">
        <f ca="1">IFERROR(__xludf.DUMMYFUNCTION("IMPORTRANGE(""https://docs.google.com/spreadsheets/d/1MeEWN-I1oV_STSDYn1IFDPWt_1FKiwhDph83XaGc0o0/edit?usp=sharing"",""งบพรบ!FC34"")"),151600)</f>
        <v>151600</v>
      </c>
      <c r="J34" s="82">
        <f t="shared" ca="1" si="3"/>
        <v>855825.2</v>
      </c>
      <c r="K34" s="83">
        <f t="shared" ca="1" si="4"/>
        <v>44.920019735253675</v>
      </c>
      <c r="L34" s="82">
        <f ca="1">IFERROR(__xludf.DUMMYFUNCTION("IMPORTRANGE(""https://docs.google.com/spreadsheets/d/1MeEWN-I1oV_STSDYn1IFDPWt_1FKiwhDph83XaGc0o0/edit?usp=sharing"",""งบพรบ!FD34"")"),704225.2)</f>
        <v>704225.2</v>
      </c>
      <c r="M34" s="84">
        <f t="shared" ca="1" si="5"/>
        <v>40.158369544142971</v>
      </c>
      <c r="N34" s="84">
        <f t="shared" ca="1" si="6"/>
        <v>62.239847278319353</v>
      </c>
      <c r="O34" s="85">
        <f ca="1">IFERROR(__xludf.DUMMYFUNCTION("IMPORTRANGE(""https://docs.google.com/spreadsheets/d/1MeEWN-I1oV_STSDYn1IFDPWt_1FKiwhDph83XaGc0o0/edit?usp=sharing"",""งบพรบ!FE34"")"),151600)</f>
        <v>151600</v>
      </c>
      <c r="P34" s="84">
        <f t="shared" ca="1" si="53"/>
        <v>100</v>
      </c>
      <c r="Q34" s="84">
        <f t="shared" ca="1" si="8"/>
        <v>100</v>
      </c>
      <c r="R34" s="86">
        <f ca="1">IFERROR(__xludf.DUMMYFUNCTION("IMPORTRANGE(""https://docs.google.com/spreadsheets/d/1xQzEtGHhTTgxHh6YUkKY1P4dRyjVhS74dGswLfAASA4/edit?usp=sharing"",""ชัยภูมิ!I359"")"),7000)</f>
        <v>7000</v>
      </c>
      <c r="S34" s="86">
        <f ca="1">IFERROR(__xludf.DUMMYFUNCTION("IMPORTRANGE(""https://docs.google.com/spreadsheets/d/1xQzEtGHhTTgxHh6YUkKY1P4dRyjVhS74dGswLfAASA4/edit?usp=sharing"",""ชัยภูมิ!J358"")"),182)</f>
        <v>182</v>
      </c>
      <c r="T34" s="86">
        <f ca="1">IFERROR(__xludf.DUMMYFUNCTION("IMPORTRANGE(""https://docs.google.com/spreadsheets/d/1xQzEtGHhTTgxHh6YUkKY1P4dRyjVhS74dGswLfAASA4/edit?usp=sharing"",""ชัยภูมิ!J359"")"),1420.56)</f>
        <v>1420.56</v>
      </c>
      <c r="U34" s="87">
        <f t="shared" ca="1" si="43"/>
        <v>20.293714285714287</v>
      </c>
      <c r="V34" s="86">
        <f ca="1">IFERROR(__xludf.DUMMYFUNCTION("IMPORTRANGE(""https://docs.google.com/spreadsheets/d/1xQzEtGHhTTgxHh6YUkKY1P4dRyjVhS74dGswLfAASA4/edit?usp=sharing"",""ชัยภูมิ!I360"")"),700)</f>
        <v>700</v>
      </c>
      <c r="W34" s="86">
        <f ca="1">IFERROR(__xludf.DUMMYFUNCTION("IMPORTRANGE(""https://docs.google.com/spreadsheets/d/1xQzEtGHhTTgxHh6YUkKY1P4dRyjVhS74dGswLfAASA4/edit?usp=sharing"",""ชัยภูมิ!J360"")"),74)</f>
        <v>74</v>
      </c>
      <c r="X34" s="86">
        <f ca="1">IFERROR(__xludf.DUMMYFUNCTION("IMPORTRANGE(""https://docs.google.com/spreadsheets/d/1xQzEtGHhTTgxHh6YUkKY1P4dRyjVhS74dGswLfAASA4/edit?usp=sharing"",""ชัยภูมิ!J361"")"),689.98)</f>
        <v>689.98</v>
      </c>
      <c r="Y34" s="87">
        <f t="shared" ca="1" si="44"/>
        <v>10.571428571428571</v>
      </c>
      <c r="Z34" s="86">
        <f ca="1">IFERROR(__xludf.DUMMYFUNCTION("IMPORTRANGE(""https://docs.google.com/spreadsheets/d/1xQzEtGHhTTgxHh6YUkKY1P4dRyjVhS74dGswLfAASA4/edit?usp=sharing"",""ชัยภูมิ!I362"")"),700)</f>
        <v>700</v>
      </c>
      <c r="AA34" s="86">
        <f ca="1">IFERROR(__xludf.DUMMYFUNCTION("IMPORTRANGE(""https://docs.google.com/spreadsheets/d/1xQzEtGHhTTgxHh6YUkKY1P4dRyjVhS74dGswLfAASA4/edit?usp=sharing"",""ชัยภูมิ!J362"")"),1)</f>
        <v>1</v>
      </c>
      <c r="AB34" s="86">
        <f ca="1">IFERROR(__xludf.DUMMYFUNCTION("IMPORTRANGE(""https://docs.google.com/spreadsheets/d/1xQzEtGHhTTgxHh6YUkKY1P4dRyjVhS74dGswLfAASA4/edit?usp=sharing"",""ชัยภูมิ!J363"")"),5.92)</f>
        <v>5.92</v>
      </c>
      <c r="AC34" s="87">
        <f t="shared" ca="1" si="45"/>
        <v>0.14285714285714285</v>
      </c>
      <c r="AD34" s="86">
        <f ca="1">IFERROR(__xludf.DUMMYFUNCTION("IMPORTRANGE(""https://docs.google.com/spreadsheets/d/1xQzEtGHhTTgxHh6YUkKY1P4dRyjVhS74dGswLfAASA4/edit?usp=sharing"",""ชัยภูมิ!I364"")"),1450)</f>
        <v>1450</v>
      </c>
      <c r="AE34" s="86">
        <f ca="1">IFERROR(__xludf.DUMMYFUNCTION("IMPORTRANGE(""https://docs.google.com/spreadsheets/d/1xQzEtGHhTTgxHh6YUkKY1P4dRyjVhS74dGswLfAASA4/edit?usp=sharing"",""ชัยภูมิ!J364"")"),125)</f>
        <v>125</v>
      </c>
      <c r="AF34" s="87">
        <f t="shared" ca="1" si="16"/>
        <v>8.6206896551724146</v>
      </c>
      <c r="AG34" s="86">
        <f ca="1">IFERROR(__xludf.DUMMYFUNCTION("IMPORTRANGE(""https://docs.google.com/spreadsheets/d/1xQzEtGHhTTgxHh6YUkKY1P4dRyjVhS74dGswLfAASA4/edit?usp=sharing"",""ชัยภูมิ!I369"")"),1000)</f>
        <v>1000</v>
      </c>
      <c r="AH34" s="86">
        <f ca="1">IFERROR(__xludf.DUMMYFUNCTION("IMPORTRANGE(""https://docs.google.com/spreadsheets/d/1xQzEtGHhTTgxHh6YUkKY1P4dRyjVhS74dGswLfAASA4/edit?usp=sharing"",""ชัยภูมิ!J368"")"),57)</f>
        <v>57</v>
      </c>
      <c r="AI34" s="86">
        <f ca="1">IFERROR(__xludf.DUMMYFUNCTION("IMPORTRANGE(""https://docs.google.com/spreadsheets/d/1xQzEtGHhTTgxHh6YUkKY1P4dRyjVhS74dGswLfAASA4/edit?usp=sharing"",""ชัยภูมิ!J369"")"),280.71)</f>
        <v>280.70999999999998</v>
      </c>
      <c r="AJ34" s="87">
        <f t="shared" ca="1" si="46"/>
        <v>28.070999999999998</v>
      </c>
      <c r="AK34" s="86">
        <f ca="1">IFERROR(__xludf.DUMMYFUNCTION("IMPORTRANGE(""https://docs.google.com/spreadsheets/d/1xQzEtGHhTTgxHh6YUkKY1P4dRyjVhS74dGswLfAASA4/edit?usp=sharing"",""ชัยภูมิ!I370"")"),100)</f>
        <v>100</v>
      </c>
      <c r="AL34" s="86">
        <f ca="1">IFERROR(__xludf.DUMMYFUNCTION("IMPORTRANGE(""https://docs.google.com/spreadsheets/d/1xQzEtGHhTTgxHh6YUkKY1P4dRyjVhS74dGswLfAASA4/edit?usp=sharing"",""ชัยภูมิ!J370"")"),14)</f>
        <v>14</v>
      </c>
      <c r="AM34" s="86">
        <f ca="1">IFERROR(__xludf.DUMMYFUNCTION("IMPORTRANGE(""https://docs.google.com/spreadsheets/d/1xQzEtGHhTTgxHh6YUkKY1P4dRyjVhS74dGswLfAASA4/edit?usp=sharing"",""ชัยภูมิ!J371"")"),148.16)</f>
        <v>148.16</v>
      </c>
      <c r="AN34" s="87">
        <f t="shared" ca="1" si="47"/>
        <v>14</v>
      </c>
      <c r="AO34" s="86">
        <f ca="1">IFERROR(__xludf.DUMMYFUNCTION("IMPORTRANGE(""https://docs.google.com/spreadsheets/d/1xQzEtGHhTTgxHh6YUkKY1P4dRyjVhS74dGswLfAASA4/edit?usp=sharing"",""ชัยภูมิ!I372"")"),100)</f>
        <v>100</v>
      </c>
      <c r="AP34" s="86">
        <f ca="1">IFERROR(__xludf.DUMMYFUNCTION("IMPORTRANGE(""https://docs.google.com/spreadsheets/d/1xQzEtGHhTTgxHh6YUkKY1P4dRyjVhS74dGswLfAASA4/edit?usp=sharing"",""ชัยภูมิ!J372"")"),1)</f>
        <v>1</v>
      </c>
      <c r="AQ34" s="86">
        <f ca="1">IFERROR(__xludf.DUMMYFUNCTION("IMPORTRANGE(""https://docs.google.com/spreadsheets/d/1xQzEtGHhTTgxHh6YUkKY1P4dRyjVhS74dGswLfAASA4/edit?usp=sharing"",""ชัยภูมิ!J373"")"),5.92)</f>
        <v>5.92</v>
      </c>
      <c r="AR34" s="87">
        <f t="shared" ca="1" si="48"/>
        <v>1</v>
      </c>
      <c r="AS34" s="86">
        <f ca="1">IFERROR(__xludf.DUMMYFUNCTION("IMPORTRANGE(""https://docs.google.com/spreadsheets/d/1xQzEtGHhTTgxHh6YUkKY1P4dRyjVhS74dGswLfAASA4/edit?usp=sharing"",""ชัยภูมิ!I378"")"),6000)</f>
        <v>6000</v>
      </c>
      <c r="AT34" s="86">
        <f ca="1">IFERROR(__xludf.DUMMYFUNCTION("IMPORTRANGE(""https://docs.google.com/spreadsheets/d/1xQzEtGHhTTgxHh6YUkKY1P4dRyjVhS74dGswLfAASA4/edit?usp=sharing"",""ชัยภูมิ!J377"")"),125)</f>
        <v>125</v>
      </c>
      <c r="AU34" s="86">
        <f ca="1">IFERROR(__xludf.DUMMYFUNCTION("IMPORTRANGE(""https://docs.google.com/spreadsheets/d/1xQzEtGHhTTgxHh6YUkKY1P4dRyjVhS74dGswLfAASA4/edit?usp=sharing"",""ชัยภูมิ!J378"")"),1139.85)</f>
        <v>1139.8499999999999</v>
      </c>
      <c r="AV34" s="87">
        <f t="shared" ca="1" si="49"/>
        <v>18.997499999999999</v>
      </c>
      <c r="AW34" s="86">
        <f ca="1">IFERROR(__xludf.DUMMYFUNCTION("IMPORTRANGE(""https://docs.google.com/spreadsheets/d/1xQzEtGHhTTgxHh6YUkKY1P4dRyjVhS74dGswLfAASA4/edit?usp=sharing"",""ชัยภูมิ!I379"")"),1350)</f>
        <v>1350</v>
      </c>
      <c r="AX34" s="86">
        <f ca="1">IFERROR(__xludf.DUMMYFUNCTION("IMPORTRANGE(""https://docs.google.com/spreadsheets/d/1xQzEtGHhTTgxHh6YUkKY1P4dRyjVhS74dGswLfAASA4/edit?usp=sharing"",""ชัยภูมิ!J379"")"),236)</f>
        <v>236</v>
      </c>
      <c r="AY34" s="86">
        <f ca="1">IFERROR(__xludf.DUMMYFUNCTION("IMPORTRANGE(""https://docs.google.com/spreadsheets/d/1xQzEtGHhTTgxHh6YUkKY1P4dRyjVhS74dGswLfAASA4/edit?usp=sharing"",""ชัยภูมิ!J380"")"),3077.58)</f>
        <v>3077.58</v>
      </c>
      <c r="AZ34" s="87">
        <f t="shared" ca="1" si="50"/>
        <v>17.481481481481481</v>
      </c>
      <c r="BA34" s="86">
        <f ca="1">IFERROR(__xludf.DUMMYFUNCTION("IMPORTRANGE(""https://docs.google.com/spreadsheets/d/1xQzEtGHhTTgxHh6YUkKY1P4dRyjVhS74dGswLfAASA4/edit?usp=sharing"",""ชัยภูมิ!I381"")"),1350)</f>
        <v>1350</v>
      </c>
      <c r="BB34" s="86">
        <f ca="1">IFERROR(__xludf.DUMMYFUNCTION("IMPORTRANGE(""https://docs.google.com/spreadsheets/d/1xQzEtGHhTTgxHh6YUkKY1P4dRyjVhS74dGswLfAASA4/edit?usp=sharing"",""ชัยภูมิ!J381"")"),124)</f>
        <v>124</v>
      </c>
      <c r="BC34" s="86">
        <f ca="1">IFERROR(__xludf.DUMMYFUNCTION("IMPORTRANGE(""https://docs.google.com/spreadsheets/d/1xQzEtGHhTTgxHh6YUkKY1P4dRyjVhS74dGswLfAASA4/edit?usp=sharing"",""ชัยภูมิ!J382"")"),1753.77)</f>
        <v>1753.77</v>
      </c>
      <c r="BD34" s="87">
        <f t="shared" ca="1" si="51"/>
        <v>9.1851851851851851</v>
      </c>
    </row>
    <row r="35" spans="1:56" ht="21" customHeight="1" x14ac:dyDescent="0.2">
      <c r="A35" s="78">
        <v>4</v>
      </c>
      <c r="B35" s="79" t="s">
        <v>57</v>
      </c>
      <c r="C35" s="80">
        <f t="shared" ca="1" si="0"/>
        <v>752470</v>
      </c>
      <c r="D35" s="81">
        <f t="shared" ca="1" si="76"/>
        <v>616870</v>
      </c>
      <c r="E35" s="82">
        <f ca="1">IFERROR(__xludf.DUMMYFUNCTION("IMPORTRANGE(""https://docs.google.com/spreadsheets/d/1MeEWN-I1oV_STSDYn1IFDPWt_1FKiwhDph83XaGc0o0/edit?usp=sharing"",""งบพรบ!EX35"")"),175200)</f>
        <v>175200</v>
      </c>
      <c r="F35" s="82">
        <f ca="1">IFERROR(__xludf.DUMMYFUNCTION("IMPORTRANGE(""https://docs.google.com/spreadsheets/d/1MeEWN-I1oV_STSDYn1IFDPWt_1FKiwhDph83XaGc0o0/edit?usp=sharing"",""งบพรบ!EY35"")"),441670)</f>
        <v>441670</v>
      </c>
      <c r="G35" s="82">
        <f ca="1">IFERROR(__xludf.DUMMYFUNCTION("IMPORTRANGE(""https://docs.google.com/spreadsheets/d/1MeEWN-I1oV_STSDYn1IFDPWt_1FKiwhDph83XaGc0o0/edit?usp=sharing"",""งบพรบ!EZ35"")"),135600)</f>
        <v>135600</v>
      </c>
      <c r="H35" s="82">
        <f ca="1">IFERROR(__xludf.DUMMYFUNCTION("IMPORTRANGE(""https://docs.google.com/spreadsheets/d/1MeEWN-I1oV_STSDYn1IFDPWt_1FKiwhDph83XaGc0o0/edit?usp=sharing"",""งบพรบ!FB35"")"),404160)</f>
        <v>404160</v>
      </c>
      <c r="I35" s="82">
        <f ca="1">IFERROR(__xludf.DUMMYFUNCTION("IMPORTRANGE(""https://docs.google.com/spreadsheets/d/1MeEWN-I1oV_STSDYn1IFDPWt_1FKiwhDph83XaGc0o0/edit?usp=sharing"",""งบพรบ!FC35"")"),131400)</f>
        <v>131400</v>
      </c>
      <c r="J35" s="82">
        <f t="shared" ca="1" si="3"/>
        <v>312686.8</v>
      </c>
      <c r="K35" s="83">
        <f t="shared" ca="1" si="4"/>
        <v>41.554719789493269</v>
      </c>
      <c r="L35" s="82">
        <f ca="1">IFERROR(__xludf.DUMMYFUNCTION("IMPORTRANGE(""https://docs.google.com/spreadsheets/d/1MeEWN-I1oV_STSDYn1IFDPWt_1FKiwhDph83XaGc0o0/edit?usp=sharing"",""งบพรบ!FD35"")"),181286.8)</f>
        <v>181286.8</v>
      </c>
      <c r="M35" s="84">
        <f t="shared" ca="1" si="5"/>
        <v>29.388169306336831</v>
      </c>
      <c r="N35" s="84">
        <f t="shared" ca="1" si="6"/>
        <v>44.85520585906572</v>
      </c>
      <c r="O35" s="85">
        <f ca="1">IFERROR(__xludf.DUMMYFUNCTION("IMPORTRANGE(""https://docs.google.com/spreadsheets/d/1MeEWN-I1oV_STSDYn1IFDPWt_1FKiwhDph83XaGc0o0/edit?usp=sharing"",""งบพรบ!FE35"")"),131400)</f>
        <v>131400</v>
      </c>
      <c r="P35" s="84">
        <f t="shared" ca="1" si="53"/>
        <v>96.902654867256643</v>
      </c>
      <c r="Q35" s="84">
        <f t="shared" ca="1" si="8"/>
        <v>100</v>
      </c>
      <c r="R35" s="86">
        <f ca="1">IFERROR(__xludf.DUMMYFUNCTION("IMPORTRANGE(""https://docs.google.com/spreadsheets/d/1EXMBoBxU3OFbjT2TRpneM33qFjqDzrKmn9ydcflfI0o/edit?usp=sharing"",""นครพนม!I359"")"),2300)</f>
        <v>2300</v>
      </c>
      <c r="S35" s="86">
        <f ca="1">IFERROR(__xludf.DUMMYFUNCTION("IMPORTRANGE(""https://docs.google.com/spreadsheets/d/1EXMBoBxU3OFbjT2TRpneM33qFjqDzrKmn9ydcflfI0o/edit?usp=sharing"",""นครพนม!J358"")"),137)</f>
        <v>137</v>
      </c>
      <c r="T35" s="86">
        <f ca="1">IFERROR(__xludf.DUMMYFUNCTION("IMPORTRANGE(""https://docs.google.com/spreadsheets/d/1EXMBoBxU3OFbjT2TRpneM33qFjqDzrKmn9ydcflfI0o/edit?usp=sharing"",""นครพนม!J359"")"),1398.23)</f>
        <v>1398.23</v>
      </c>
      <c r="U35" s="87">
        <f t="shared" ca="1" si="43"/>
        <v>60.792608695652177</v>
      </c>
      <c r="V35" s="86">
        <f ca="1">IFERROR(__xludf.DUMMYFUNCTION("IMPORTRANGE(""https://docs.google.com/spreadsheets/d/1EXMBoBxU3OFbjT2TRpneM33qFjqDzrKmn9ydcflfI0o/edit?usp=sharing"",""นครพนม!I360"")"),230)</f>
        <v>230</v>
      </c>
      <c r="W35" s="86">
        <f ca="1">IFERROR(__xludf.DUMMYFUNCTION("IMPORTRANGE(""https://docs.google.com/spreadsheets/d/1EXMBoBxU3OFbjT2TRpneM33qFjqDzrKmn9ydcflfI0o/edit?usp=sharing"",""นครพนม!J360"")"),141)</f>
        <v>141</v>
      </c>
      <c r="X35" s="86">
        <f ca="1">IFERROR(__xludf.DUMMYFUNCTION("IMPORTRANGE(""https://docs.google.com/spreadsheets/d/1EXMBoBxU3OFbjT2TRpneM33qFjqDzrKmn9ydcflfI0o/edit?usp=sharing"",""นครพนม!J361"")"),1427.93)</f>
        <v>1427.93</v>
      </c>
      <c r="Y35" s="87">
        <f t="shared" ca="1" si="44"/>
        <v>61.304347826086953</v>
      </c>
      <c r="Z35" s="86">
        <f ca="1">IFERROR(__xludf.DUMMYFUNCTION("IMPORTRANGE(""https://docs.google.com/spreadsheets/d/1EXMBoBxU3OFbjT2TRpneM33qFjqDzrKmn9ydcflfI0o/edit?usp=sharing"",""นครพนม!I362"")"),230)</f>
        <v>230</v>
      </c>
      <c r="AA35" s="86">
        <f ca="1">IFERROR(__xludf.DUMMYFUNCTION("IMPORTRANGE(""https://docs.google.com/spreadsheets/d/1EXMBoBxU3OFbjT2TRpneM33qFjqDzrKmn9ydcflfI0o/edit?usp=sharing"",""นครพนม!J362"")"),141)</f>
        <v>141</v>
      </c>
      <c r="AB35" s="86">
        <f ca="1">IFERROR(__xludf.DUMMYFUNCTION("IMPORTRANGE(""https://docs.google.com/spreadsheets/d/1EXMBoBxU3OFbjT2TRpneM33qFjqDzrKmn9ydcflfI0o/edit?usp=sharing"",""นครพนม!J363"")"),1427.93)</f>
        <v>1427.93</v>
      </c>
      <c r="AC35" s="87">
        <f t="shared" ca="1" si="45"/>
        <v>61.304347826086953</v>
      </c>
      <c r="AD35" s="86">
        <f ca="1">IFERROR(__xludf.DUMMYFUNCTION("IMPORTRANGE(""https://docs.google.com/spreadsheets/d/1EXMBoBxU3OFbjT2TRpneM33qFjqDzrKmn9ydcflfI0o/edit?usp=sharing"",""นครพนม!I364"")"),430)</f>
        <v>430</v>
      </c>
      <c r="AE35" s="86">
        <f ca="1">IFERROR(__xludf.DUMMYFUNCTION("IMPORTRANGE(""https://docs.google.com/spreadsheets/d/1EXMBoBxU3OFbjT2TRpneM33qFjqDzrKmn9ydcflfI0o/edit?usp=sharing"",""นครพนม!J364"")"),332)</f>
        <v>332</v>
      </c>
      <c r="AF35" s="87">
        <f t="shared" ca="1" si="16"/>
        <v>77.20930232558139</v>
      </c>
      <c r="AG35" s="86">
        <f ca="1">IFERROR(__xludf.DUMMYFUNCTION("IMPORTRANGE(""https://docs.google.com/spreadsheets/d/1EXMBoBxU3OFbjT2TRpneM33qFjqDzrKmn9ydcflfI0o/edit?usp=sharing"",""นครพนม!I369"")"),300)</f>
        <v>300</v>
      </c>
      <c r="AH35" s="86">
        <f ca="1">IFERROR(__xludf.DUMMYFUNCTION("IMPORTRANGE(""https://docs.google.com/spreadsheets/d/1EXMBoBxU3OFbjT2TRpneM33qFjqDzrKmn9ydcflfI0o/edit?usp=sharing"",""นครพนม!J368"")"),33)</f>
        <v>33</v>
      </c>
      <c r="AI35" s="86">
        <f ca="1">IFERROR(__xludf.DUMMYFUNCTION("IMPORTRANGE(""https://docs.google.com/spreadsheets/d/1EXMBoBxU3OFbjT2TRpneM33qFjqDzrKmn9ydcflfI0o/edit?usp=sharing"",""นครพนม!J369"")"),306.01)</f>
        <v>306.01</v>
      </c>
      <c r="AJ35" s="87">
        <f t="shared" ca="1" si="46"/>
        <v>102.00333333333333</v>
      </c>
      <c r="AK35" s="86">
        <f ca="1">IFERROR(__xludf.DUMMYFUNCTION("IMPORTRANGE(""https://docs.google.com/spreadsheets/d/1EXMBoBxU3OFbjT2TRpneM33qFjqDzrKmn9ydcflfI0o/edit?usp=sharing"",""นครพนม!I370"")"),30)</f>
        <v>30</v>
      </c>
      <c r="AL35" s="86">
        <f ca="1">IFERROR(__xludf.DUMMYFUNCTION("IMPORTRANGE(""https://docs.google.com/spreadsheets/d/1EXMBoBxU3OFbjT2TRpneM33qFjqDzrKmn9ydcflfI0o/edit?usp=sharing"",""นครพนม!J370"")"),37)</f>
        <v>37</v>
      </c>
      <c r="AM35" s="86">
        <f ca="1">IFERROR(__xludf.DUMMYFUNCTION("IMPORTRANGE(""https://docs.google.com/spreadsheets/d/1EXMBoBxU3OFbjT2TRpneM33qFjqDzrKmn9ydcflfI0o/edit?usp=sharing"",""นครพนม!J371"")"),335.71)</f>
        <v>335.71</v>
      </c>
      <c r="AN35" s="87">
        <f t="shared" ca="1" si="47"/>
        <v>123.33333333333333</v>
      </c>
      <c r="AO35" s="86">
        <f ca="1">IFERROR(__xludf.DUMMYFUNCTION("IMPORTRANGE(""https://docs.google.com/spreadsheets/d/1EXMBoBxU3OFbjT2TRpneM33qFjqDzrKmn9ydcflfI0o/edit?usp=sharing"",""นครพนม!I372"")"),30)</f>
        <v>30</v>
      </c>
      <c r="AP35" s="86">
        <f ca="1">IFERROR(__xludf.DUMMYFUNCTION("IMPORTRANGE(""https://docs.google.com/spreadsheets/d/1EXMBoBxU3OFbjT2TRpneM33qFjqDzrKmn9ydcflfI0o/edit?usp=sharing"",""นครพนม!J372"")"),37)</f>
        <v>37</v>
      </c>
      <c r="AQ35" s="86">
        <f ca="1">IFERROR(__xludf.DUMMYFUNCTION("IMPORTRANGE(""https://docs.google.com/spreadsheets/d/1EXMBoBxU3OFbjT2TRpneM33qFjqDzrKmn9ydcflfI0o/edit?usp=sharing"",""นครพนม!J373"")"),335.71)</f>
        <v>335.71</v>
      </c>
      <c r="AR35" s="87">
        <f t="shared" ca="1" si="48"/>
        <v>123.33333333333333</v>
      </c>
      <c r="AS35" s="86">
        <f ca="1">IFERROR(__xludf.DUMMYFUNCTION("IMPORTRANGE(""https://docs.google.com/spreadsheets/d/1EXMBoBxU3OFbjT2TRpneM33qFjqDzrKmn9ydcflfI0o/edit?usp=sharing"",""นครพนม!I378"")"),2000)</f>
        <v>2000</v>
      </c>
      <c r="AT35" s="86">
        <f ca="1">IFERROR(__xludf.DUMMYFUNCTION("IMPORTRANGE(""https://docs.google.com/spreadsheets/d/1EXMBoBxU3OFbjT2TRpneM33qFjqDzrKmn9ydcflfI0o/edit?usp=sharing"",""นครพนม!J377"")"),104)</f>
        <v>104</v>
      </c>
      <c r="AU35" s="86">
        <f ca="1">IFERROR(__xludf.DUMMYFUNCTION("IMPORTRANGE(""https://docs.google.com/spreadsheets/d/1EXMBoBxU3OFbjT2TRpneM33qFjqDzrKmn9ydcflfI0o/edit?usp=sharing"",""นครพนม!J378"")"),1092.22)</f>
        <v>1092.22</v>
      </c>
      <c r="AV35" s="87">
        <f t="shared" ca="1" si="49"/>
        <v>54.610999999999997</v>
      </c>
      <c r="AW35" s="86">
        <f ca="1">IFERROR(__xludf.DUMMYFUNCTION("IMPORTRANGE(""https://docs.google.com/spreadsheets/d/1EXMBoBxU3OFbjT2TRpneM33qFjqDzrKmn9ydcflfI0o/edit?usp=sharing"",""นครพนม!I379"")"),400)</f>
        <v>400</v>
      </c>
      <c r="AX35" s="86">
        <f ca="1">IFERROR(__xludf.DUMMYFUNCTION("IMPORTRANGE(""https://docs.google.com/spreadsheets/d/1EXMBoBxU3OFbjT2TRpneM33qFjqDzrKmn9ydcflfI0o/edit?usp=sharing"",""นครพนม!J379"")"),295)</f>
        <v>295</v>
      </c>
      <c r="AY35" s="86">
        <f ca="1">IFERROR(__xludf.DUMMYFUNCTION("IMPORTRANGE(""https://docs.google.com/spreadsheets/d/1EXMBoBxU3OFbjT2TRpneM33qFjqDzrKmn9ydcflfI0o/edit?usp=sharing"",""นครพนม!J380"")"),3547.55)</f>
        <v>3547.55</v>
      </c>
      <c r="AZ35" s="87">
        <f t="shared" ca="1" si="50"/>
        <v>73.75</v>
      </c>
      <c r="BA35" s="86">
        <f ca="1">IFERROR(__xludf.DUMMYFUNCTION("IMPORTRANGE(""https://docs.google.com/spreadsheets/d/1EXMBoBxU3OFbjT2TRpneM33qFjqDzrKmn9ydcflfI0o/edit?usp=sharing"",""นครพนม!I381"")"),400)</f>
        <v>400</v>
      </c>
      <c r="BB35" s="86">
        <f ca="1">IFERROR(__xludf.DUMMYFUNCTION("IMPORTRANGE(""https://docs.google.com/spreadsheets/d/1EXMBoBxU3OFbjT2TRpneM33qFjqDzrKmn9ydcflfI0o/edit?usp=sharing"",""นครพนม!J381"")"),295)</f>
        <v>295</v>
      </c>
      <c r="BC35" s="86">
        <f ca="1">IFERROR(__xludf.DUMMYFUNCTION("IMPORTRANGE(""https://docs.google.com/spreadsheets/d/1EXMBoBxU3OFbjT2TRpneM33qFjqDzrKmn9ydcflfI0o/edit?usp=sharing"",""นครพนม!J382"")"),3518.15)</f>
        <v>3518.15</v>
      </c>
      <c r="BD35" s="87">
        <f t="shared" ca="1" si="51"/>
        <v>73.75</v>
      </c>
    </row>
    <row r="36" spans="1:56" ht="21" customHeight="1" x14ac:dyDescent="0.2">
      <c r="A36" s="78">
        <v>5</v>
      </c>
      <c r="B36" s="79" t="s">
        <v>58</v>
      </c>
      <c r="C36" s="80">
        <f t="shared" ca="1" si="0"/>
        <v>2798010</v>
      </c>
      <c r="D36" s="81">
        <f t="shared" ca="1" si="76"/>
        <v>2639610</v>
      </c>
      <c r="E36" s="82">
        <f ca="1">IFERROR(__xludf.DUMMYFUNCTION("IMPORTRANGE(""https://docs.google.com/spreadsheets/d/1MeEWN-I1oV_STSDYn1IFDPWt_1FKiwhDph83XaGc0o0/edit?usp=sharing"",""งบพรบ!EX36"")"),350400)</f>
        <v>350400</v>
      </c>
      <c r="F36" s="82">
        <f ca="1">IFERROR(__xludf.DUMMYFUNCTION("IMPORTRANGE(""https://docs.google.com/spreadsheets/d/1MeEWN-I1oV_STSDYn1IFDPWt_1FKiwhDph83XaGc0o0/edit?usp=sharing"",""งบพรบ!EY36"")"),2289210)</f>
        <v>2289210</v>
      </c>
      <c r="G36" s="82">
        <f ca="1">IFERROR(__xludf.DUMMYFUNCTION("IMPORTRANGE(""https://docs.google.com/spreadsheets/d/1MeEWN-I1oV_STSDYn1IFDPWt_1FKiwhDph83XaGc0o0/edit?usp=sharing"",""งบพรบ!EZ36"")"),158400)</f>
        <v>158400</v>
      </c>
      <c r="H36" s="82">
        <f ca="1">IFERROR(__xludf.DUMMYFUNCTION("IMPORTRANGE(""https://docs.google.com/spreadsheets/d/1MeEWN-I1oV_STSDYn1IFDPWt_1FKiwhDph83XaGc0o0/edit?usp=sharing"",""งบพรบ!FB36"")"),1542220)</f>
        <v>1542220</v>
      </c>
      <c r="I36" s="82">
        <f ca="1">IFERROR(__xludf.DUMMYFUNCTION("IMPORTRANGE(""https://docs.google.com/spreadsheets/d/1MeEWN-I1oV_STSDYn1IFDPWt_1FKiwhDph83XaGc0o0/edit?usp=sharing"",""งบพรบ!FC36"")"),158400)</f>
        <v>158400</v>
      </c>
      <c r="J36" s="82">
        <f t="shared" ca="1" si="3"/>
        <v>837948.48</v>
      </c>
      <c r="K36" s="83">
        <f t="shared" ca="1" si="4"/>
        <v>29.948015911308396</v>
      </c>
      <c r="L36" s="82">
        <f ca="1">IFERROR(__xludf.DUMMYFUNCTION("IMPORTRANGE(""https://docs.google.com/spreadsheets/d/1MeEWN-I1oV_STSDYn1IFDPWt_1FKiwhDph83XaGc0o0/edit?usp=sharing"",""งบพรบ!FD36"")"),679548.48)</f>
        <v>679548.48</v>
      </c>
      <c r="M36" s="84">
        <f t="shared" ca="1" si="5"/>
        <v>25.744275858933705</v>
      </c>
      <c r="N36" s="84">
        <f t="shared" ca="1" si="6"/>
        <v>44.063005278105585</v>
      </c>
      <c r="O36" s="85">
        <f ca="1">IFERROR(__xludf.DUMMYFUNCTION("IMPORTRANGE(""https://docs.google.com/spreadsheets/d/1MeEWN-I1oV_STSDYn1IFDPWt_1FKiwhDph83XaGc0o0/edit?usp=sharing"",""งบพรบ!FE36"")"),158400)</f>
        <v>158400</v>
      </c>
      <c r="P36" s="84">
        <f t="shared" ca="1" si="53"/>
        <v>100</v>
      </c>
      <c r="Q36" s="84">
        <f t="shared" ca="1" si="8"/>
        <v>100</v>
      </c>
      <c r="R36" s="86">
        <f ca="1">IFERROR(__xludf.DUMMYFUNCTION("IMPORTRANGE(""https://docs.google.com/spreadsheets/d/1bDQrolntRWtHumK8W-x-HXKntwxB9S3sF5aDeRS66Ko/edit?usp=sharing"",""นครราชสีมา!I359"")"),20000)</f>
        <v>20000</v>
      </c>
      <c r="S36" s="86">
        <f ca="1">IFERROR(__xludf.DUMMYFUNCTION("IMPORTRANGE(""https://docs.google.com/spreadsheets/d/1bDQrolntRWtHumK8W-x-HXKntwxB9S3sF5aDeRS66Ko/edit?usp=sharing"",""นครราชสีมา!J358"")"),316)</f>
        <v>316</v>
      </c>
      <c r="T36" s="86">
        <f ca="1">IFERROR(__xludf.DUMMYFUNCTION("IMPORTRANGE(""https://docs.google.com/spreadsheets/d/1bDQrolntRWtHumK8W-x-HXKntwxB9S3sF5aDeRS66Ko/edit?usp=sharing"",""นครราชสีมา!J359"")"),3485.02)</f>
        <v>3485.02</v>
      </c>
      <c r="U36" s="87">
        <f t="shared" ca="1" si="43"/>
        <v>17.4251</v>
      </c>
      <c r="V36" s="86">
        <f ca="1">IFERROR(__xludf.DUMMYFUNCTION("IMPORTRANGE(""https://docs.google.com/spreadsheets/d/1bDQrolntRWtHumK8W-x-HXKntwxB9S3sF5aDeRS66Ko/edit?usp=sharing"",""นครราชสีมา!I360"")"),2000)</f>
        <v>2000</v>
      </c>
      <c r="W36" s="86">
        <f ca="1">IFERROR(__xludf.DUMMYFUNCTION("IMPORTRANGE(""https://docs.google.com/spreadsheets/d/1bDQrolntRWtHumK8W-x-HXKntwxB9S3sF5aDeRS66Ko/edit?usp=sharing"",""นครราชสีมา!J360"")"),397)</f>
        <v>397</v>
      </c>
      <c r="X36" s="86">
        <f ca="1">IFERROR(__xludf.DUMMYFUNCTION("IMPORTRANGE(""https://docs.google.com/spreadsheets/d/1bDQrolntRWtHumK8W-x-HXKntwxB9S3sF5aDeRS66Ko/edit?usp=sharing"",""นครราชสีมา!J361"")"),4462.92)</f>
        <v>4462.92</v>
      </c>
      <c r="Y36" s="87">
        <f t="shared" ca="1" si="44"/>
        <v>19.850000000000001</v>
      </c>
      <c r="Z36" s="86">
        <f ca="1">IFERROR(__xludf.DUMMYFUNCTION("IMPORTRANGE(""https://docs.google.com/spreadsheets/d/1bDQrolntRWtHumK8W-x-HXKntwxB9S3sF5aDeRS66Ko/edit?usp=sharing"",""นครราชสีมา!I362"")"),2000)</f>
        <v>2000</v>
      </c>
      <c r="AA36" s="86">
        <f ca="1">IFERROR(__xludf.DUMMYFUNCTION("IMPORTRANGE(""https://docs.google.com/spreadsheets/d/1bDQrolntRWtHumK8W-x-HXKntwxB9S3sF5aDeRS66Ko/edit?usp=sharing"",""นครราชสีมา!J362"")"),34)</f>
        <v>34</v>
      </c>
      <c r="AB36" s="86">
        <f ca="1">IFERROR(__xludf.DUMMYFUNCTION("IMPORTRANGE(""https://docs.google.com/spreadsheets/d/1bDQrolntRWtHumK8W-x-HXKntwxB9S3sF5aDeRS66Ko/edit?usp=sharing"",""นครราชสีมา!J363"")"),324.51)</f>
        <v>324.51</v>
      </c>
      <c r="AC36" s="87">
        <f t="shared" ca="1" si="45"/>
        <v>1.7</v>
      </c>
      <c r="AD36" s="86">
        <f ca="1">IFERROR(__xludf.DUMMYFUNCTION("IMPORTRANGE(""https://docs.google.com/spreadsheets/d/1bDQrolntRWtHumK8W-x-HXKntwxB9S3sF5aDeRS66Ko/edit?usp=sharing"",""นครราชสีมา!I364"")"),3000)</f>
        <v>3000</v>
      </c>
      <c r="AE36" s="86">
        <f ca="1">IFERROR(__xludf.DUMMYFUNCTION("IMPORTRANGE(""https://docs.google.com/spreadsheets/d/1bDQrolntRWtHumK8W-x-HXKntwxB9S3sF5aDeRS66Ko/edit?usp=sharing"",""นครราชสีมา!J364"")"),823)</f>
        <v>823</v>
      </c>
      <c r="AF36" s="87">
        <f t="shared" ca="1" si="16"/>
        <v>27.433333333333334</v>
      </c>
      <c r="AG36" s="86">
        <f ca="1">IFERROR(__xludf.DUMMYFUNCTION("IMPORTRANGE(""https://docs.google.com/spreadsheets/d/1bDQrolntRWtHumK8W-x-HXKntwxB9S3sF5aDeRS66Ko/edit?usp=sharing"",""นครราชสีมา!I369"")"),15000)</f>
        <v>15000</v>
      </c>
      <c r="AH36" s="86">
        <f ca="1">IFERROR(__xludf.DUMMYFUNCTION("IMPORTRANGE(""https://docs.google.com/spreadsheets/d/1bDQrolntRWtHumK8W-x-HXKntwxB9S3sF5aDeRS66Ko/edit?usp=sharing"",""นครราชสีมา!J368"")"),134)</f>
        <v>134</v>
      </c>
      <c r="AI36" s="86">
        <f ca="1">IFERROR(__xludf.DUMMYFUNCTION("IMPORTRANGE(""https://docs.google.com/spreadsheets/d/1bDQrolntRWtHumK8W-x-HXKntwxB9S3sF5aDeRS66Ko/edit?usp=sharing"",""นครราชสีมา!J369"")"),1702.62)</f>
        <v>1702.62</v>
      </c>
      <c r="AJ36" s="87">
        <f t="shared" ca="1" si="46"/>
        <v>11.3508</v>
      </c>
      <c r="AK36" s="86">
        <f ca="1">IFERROR(__xludf.DUMMYFUNCTION("IMPORTRANGE(""https://docs.google.com/spreadsheets/d/1bDQrolntRWtHumK8W-x-HXKntwxB9S3sF5aDeRS66Ko/edit?usp=sharing"",""นครราชสีมา!I370"")"),1500)</f>
        <v>1500</v>
      </c>
      <c r="AL36" s="86">
        <f ca="1">IFERROR(__xludf.DUMMYFUNCTION("IMPORTRANGE(""https://docs.google.com/spreadsheets/d/1bDQrolntRWtHumK8W-x-HXKntwxB9S3sF5aDeRS66Ko/edit?usp=sharing"",""นครราชสีมา!J370"")"),207)</f>
        <v>207</v>
      </c>
      <c r="AM36" s="86">
        <f ca="1">IFERROR(__xludf.DUMMYFUNCTION("IMPORTRANGE(""https://docs.google.com/spreadsheets/d/1bDQrolntRWtHumK8W-x-HXKntwxB9S3sF5aDeRS66Ko/edit?usp=sharing"",""นครราชสีมา!J371"")"),2612.5)</f>
        <v>2612.5</v>
      </c>
      <c r="AN36" s="87">
        <f t="shared" ca="1" si="47"/>
        <v>13.8</v>
      </c>
      <c r="AO36" s="86">
        <f ca="1">IFERROR(__xludf.DUMMYFUNCTION("IMPORTRANGE(""https://docs.google.com/spreadsheets/d/1bDQrolntRWtHumK8W-x-HXKntwxB9S3sF5aDeRS66Ko/edit?usp=sharing"",""นครราชสีมา!I372"")"),1500)</f>
        <v>1500</v>
      </c>
      <c r="AP36" s="86">
        <f ca="1">IFERROR(__xludf.DUMMYFUNCTION("IMPORTRANGE(""https://docs.google.com/spreadsheets/d/1bDQrolntRWtHumK8W-x-HXKntwxB9S3sF5aDeRS66Ko/edit?usp=sharing"",""นครราชสีมา!J372"")"),9)</f>
        <v>9</v>
      </c>
      <c r="AQ36" s="86">
        <f ca="1">IFERROR(__xludf.DUMMYFUNCTION("IMPORTRANGE(""https://docs.google.com/spreadsheets/d/1bDQrolntRWtHumK8W-x-HXKntwxB9S3sF5aDeRS66Ko/edit?usp=sharing"",""นครราชสีมา!J373"")"),68.72)</f>
        <v>68.72</v>
      </c>
      <c r="AR36" s="87">
        <f t="shared" ca="1" si="48"/>
        <v>0.6</v>
      </c>
      <c r="AS36" s="86">
        <f ca="1">IFERROR(__xludf.DUMMYFUNCTION("IMPORTRANGE(""https://docs.google.com/spreadsheets/d/1bDQrolntRWtHumK8W-x-HXKntwxB9S3sF5aDeRS66Ko/edit?usp=sharing"",""นครราชสีมา!I378"")"),5000)</f>
        <v>5000</v>
      </c>
      <c r="AT36" s="86">
        <f ca="1">IFERROR(__xludf.DUMMYFUNCTION("IMPORTRANGE(""https://docs.google.com/spreadsheets/d/1bDQrolntRWtHumK8W-x-HXKntwxB9S3sF5aDeRS66Ko/edit?usp=sharing"",""นครราชสีมา!J377"")"),182)</f>
        <v>182</v>
      </c>
      <c r="AU36" s="86">
        <f ca="1">IFERROR(__xludf.DUMMYFUNCTION("IMPORTRANGE(""https://docs.google.com/spreadsheets/d/1bDQrolntRWtHumK8W-x-HXKntwxB9S3sF5aDeRS66Ko/edit?usp=sharing"",""นครราชสีมา!J378"")"),1782.4)</f>
        <v>1782.4</v>
      </c>
      <c r="AV36" s="87">
        <f t="shared" ca="1" si="49"/>
        <v>35.648000000000003</v>
      </c>
      <c r="AW36" s="86">
        <f ca="1">IFERROR(__xludf.DUMMYFUNCTION("IMPORTRANGE(""https://docs.google.com/spreadsheets/d/1bDQrolntRWtHumK8W-x-HXKntwxB9S3sF5aDeRS66Ko/edit?usp=sharing"",""นครราชสีมา!I379"")"),1500)</f>
        <v>1500</v>
      </c>
      <c r="AX36" s="86">
        <f ca="1">IFERROR(__xludf.DUMMYFUNCTION("IMPORTRANGE(""https://docs.google.com/spreadsheets/d/1bDQrolntRWtHumK8W-x-HXKntwxB9S3sF5aDeRS66Ko/edit?usp=sharing"",""นครราชสีมา!J379"")"),979)</f>
        <v>979</v>
      </c>
      <c r="AY36" s="86">
        <f ca="1">IFERROR(__xludf.DUMMYFUNCTION("IMPORTRANGE(""https://docs.google.com/spreadsheets/d/1bDQrolntRWtHumK8W-x-HXKntwxB9S3sF5aDeRS66Ko/edit?usp=sharing"",""นครราชสีมา!J380"")"),13741.32)</f>
        <v>13741.32</v>
      </c>
      <c r="AZ36" s="87">
        <f t="shared" ca="1" si="50"/>
        <v>65.266666666666666</v>
      </c>
      <c r="BA36" s="86">
        <f ca="1">IFERROR(__xludf.DUMMYFUNCTION("IMPORTRANGE(""https://docs.google.com/spreadsheets/d/1bDQrolntRWtHumK8W-x-HXKntwxB9S3sF5aDeRS66Ko/edit?usp=sharing"",""นครราชสีมา!I381"")"),1500)</f>
        <v>1500</v>
      </c>
      <c r="BB36" s="86">
        <f ca="1">IFERROR(__xludf.DUMMYFUNCTION("IMPORTRANGE(""https://docs.google.com/spreadsheets/d/1bDQrolntRWtHumK8W-x-HXKntwxB9S3sF5aDeRS66Ko/edit?usp=sharing"",""นครราชสีมา!J381"")"),814)</f>
        <v>814</v>
      </c>
      <c r="BC36" s="86">
        <f ca="1">IFERROR(__xludf.DUMMYFUNCTION("IMPORTRANGE(""https://docs.google.com/spreadsheets/d/1bDQrolntRWtHumK8W-x-HXKntwxB9S3sF5aDeRS66Ko/edit?usp=sharing"",""นครราชสีมา!J382"")"),12140.98)</f>
        <v>12140.98</v>
      </c>
      <c r="BD36" s="87">
        <f t="shared" ca="1" si="51"/>
        <v>54.266666666666666</v>
      </c>
    </row>
    <row r="37" spans="1:56" ht="21" customHeight="1" x14ac:dyDescent="0.2">
      <c r="A37" s="78">
        <v>6</v>
      </c>
      <c r="B37" s="79" t="s">
        <v>59</v>
      </c>
      <c r="C37" s="80">
        <f t="shared" ca="1" si="0"/>
        <v>1464800</v>
      </c>
      <c r="D37" s="81">
        <f t="shared" ca="1" si="76"/>
        <v>1329200</v>
      </c>
      <c r="E37" s="82">
        <f ca="1">IFERROR(__xludf.DUMMYFUNCTION("IMPORTRANGE(""https://docs.google.com/spreadsheets/d/1MeEWN-I1oV_STSDYn1IFDPWt_1FKiwhDph83XaGc0o0/edit?usp=sharing"",""งบพรบ!EX37"")"),201600)</f>
        <v>201600</v>
      </c>
      <c r="F37" s="82">
        <f ca="1">IFERROR(__xludf.DUMMYFUNCTION("IMPORTRANGE(""https://docs.google.com/spreadsheets/d/1MeEWN-I1oV_STSDYn1IFDPWt_1FKiwhDph83XaGc0o0/edit?usp=sharing"",""งบพรบ!EY37"")"),1127600)</f>
        <v>1127600</v>
      </c>
      <c r="G37" s="82">
        <f ca="1">IFERROR(__xludf.DUMMYFUNCTION("IMPORTRANGE(""https://docs.google.com/spreadsheets/d/1MeEWN-I1oV_STSDYn1IFDPWt_1FKiwhDph83XaGc0o0/edit?usp=sharing"",""งบพรบ!EZ37"")"),135600)</f>
        <v>135600</v>
      </c>
      <c r="H37" s="82">
        <f ca="1">IFERROR(__xludf.DUMMYFUNCTION("IMPORTRANGE(""https://docs.google.com/spreadsheets/d/1MeEWN-I1oV_STSDYn1IFDPWt_1FKiwhDph83XaGc0o0/edit?usp=sharing"",""งบพรบ!FB37"")"),829294)</f>
        <v>829294</v>
      </c>
      <c r="I37" s="82">
        <f ca="1">IFERROR(__xludf.DUMMYFUNCTION("IMPORTRANGE(""https://docs.google.com/spreadsheets/d/1MeEWN-I1oV_STSDYn1IFDPWt_1FKiwhDph83XaGc0o0/edit?usp=sharing"",""งบพรบ!FC37"")"),135600)</f>
        <v>135600</v>
      </c>
      <c r="J37" s="82">
        <f t="shared" ca="1" si="3"/>
        <v>526275</v>
      </c>
      <c r="K37" s="83">
        <f t="shared" ca="1" si="4"/>
        <v>35.928113052976514</v>
      </c>
      <c r="L37" s="82">
        <f ca="1">IFERROR(__xludf.DUMMYFUNCTION("IMPORTRANGE(""https://docs.google.com/spreadsheets/d/1MeEWN-I1oV_STSDYn1IFDPWt_1FKiwhDph83XaGc0o0/edit?usp=sharing"",""งบพรบ!FD37"")"),390675)</f>
        <v>390675</v>
      </c>
      <c r="M37" s="84">
        <f t="shared" ca="1" si="5"/>
        <v>29.391739392115557</v>
      </c>
      <c r="N37" s="84">
        <f t="shared" ca="1" si="6"/>
        <v>47.109348433727966</v>
      </c>
      <c r="O37" s="85">
        <f ca="1">IFERROR(__xludf.DUMMYFUNCTION("IMPORTRANGE(""https://docs.google.com/spreadsheets/d/1MeEWN-I1oV_STSDYn1IFDPWt_1FKiwhDph83XaGc0o0/edit?usp=sharing"",""งบพรบ!FE37"")"),135600)</f>
        <v>135600</v>
      </c>
      <c r="P37" s="84">
        <f t="shared" ca="1" si="53"/>
        <v>100</v>
      </c>
      <c r="Q37" s="84">
        <f t="shared" ca="1" si="8"/>
        <v>100</v>
      </c>
      <c r="R37" s="86">
        <f ca="1">IFERROR(__xludf.DUMMYFUNCTION("IMPORTRANGE(""https://docs.google.com/spreadsheets/d/1_MzZ-2gVPiCW-d2VcafoCmFJQTSrZ6SQyFcMqRRQQ2w/edit?usp=sharing"",""บึงกาฬ!I359"")"),6300)</f>
        <v>6300</v>
      </c>
      <c r="S37" s="86">
        <f ca="1">IFERROR(__xludf.DUMMYFUNCTION("IMPORTRANGE(""https://docs.google.com/spreadsheets/d/1_MzZ-2gVPiCW-d2VcafoCmFJQTSrZ6SQyFcMqRRQQ2w/edit?usp=sharing"",""บึงกาฬ!J358"")"),176)</f>
        <v>176</v>
      </c>
      <c r="T37" s="86">
        <f ca="1">IFERROR(__xludf.DUMMYFUNCTION("IMPORTRANGE(""https://docs.google.com/spreadsheets/d/1_MzZ-2gVPiCW-d2VcafoCmFJQTSrZ6SQyFcMqRRQQ2w/edit?usp=sharing"",""บึงกาฬ!J359"")"),2040.05)</f>
        <v>2040.05</v>
      </c>
      <c r="U37" s="87">
        <f t="shared" ca="1" si="43"/>
        <v>32.381746031746033</v>
      </c>
      <c r="V37" s="86">
        <f ca="1">IFERROR(__xludf.DUMMYFUNCTION("IMPORTRANGE(""https://docs.google.com/spreadsheets/d/1_MzZ-2gVPiCW-d2VcafoCmFJQTSrZ6SQyFcMqRRQQ2w/edit?usp=sharing"",""บึงกาฬ!I360"")"),620)</f>
        <v>620</v>
      </c>
      <c r="W37" s="86">
        <f ca="1">IFERROR(__xludf.DUMMYFUNCTION("IMPORTRANGE(""https://docs.google.com/spreadsheets/d/1_MzZ-2gVPiCW-d2VcafoCmFJQTSrZ6SQyFcMqRRQQ2w/edit?usp=sharing"",""บึงกาฬ!J360"")"),0)</f>
        <v>0</v>
      </c>
      <c r="X37" s="86">
        <f ca="1">IFERROR(__xludf.DUMMYFUNCTION("IMPORTRANGE(""https://docs.google.com/spreadsheets/d/1_MzZ-2gVPiCW-d2VcafoCmFJQTSrZ6SQyFcMqRRQQ2w/edit?usp=sharing"",""บึงกาฬ!J361"")"),0)</f>
        <v>0</v>
      </c>
      <c r="Y37" s="87">
        <f t="shared" ca="1" si="44"/>
        <v>0</v>
      </c>
      <c r="Z37" s="86">
        <f ca="1">IFERROR(__xludf.DUMMYFUNCTION("IMPORTRANGE(""https://docs.google.com/spreadsheets/d/1_MzZ-2gVPiCW-d2VcafoCmFJQTSrZ6SQyFcMqRRQQ2w/edit?usp=sharing"",""บึงกาฬ!I362"")"),620)</f>
        <v>620</v>
      </c>
      <c r="AA37" s="86">
        <f ca="1">IFERROR(__xludf.DUMMYFUNCTION("IMPORTRANGE(""https://docs.google.com/spreadsheets/d/1_MzZ-2gVPiCW-d2VcafoCmFJQTSrZ6SQyFcMqRRQQ2w/edit?usp=sharing"",""บึงกาฬ!J362"")"),0)</f>
        <v>0</v>
      </c>
      <c r="AB37" s="86">
        <f ca="1">IFERROR(__xludf.DUMMYFUNCTION("IMPORTRANGE(""https://docs.google.com/spreadsheets/d/1_MzZ-2gVPiCW-d2VcafoCmFJQTSrZ6SQyFcMqRRQQ2w/edit?usp=sharing"",""บึงกาฬ!J363"")"),0)</f>
        <v>0</v>
      </c>
      <c r="AC37" s="87">
        <f t="shared" ca="1" si="45"/>
        <v>0</v>
      </c>
      <c r="AD37" s="86">
        <f ca="1">IFERROR(__xludf.DUMMYFUNCTION("IMPORTRANGE(""https://docs.google.com/spreadsheets/d/1_MzZ-2gVPiCW-d2VcafoCmFJQTSrZ6SQyFcMqRRQQ2w/edit?usp=sharing"",""บึงกาฬ!I364"")"),1520)</f>
        <v>1520</v>
      </c>
      <c r="AE37" s="86">
        <f ca="1">IFERROR(__xludf.DUMMYFUNCTION("IMPORTRANGE(""https://docs.google.com/spreadsheets/d/1_MzZ-2gVPiCW-d2VcafoCmFJQTSrZ6SQyFcMqRRQQ2w/edit?usp=sharing"",""บึงกาฬ!J364"")"),12)</f>
        <v>12</v>
      </c>
      <c r="AF37" s="87">
        <f t="shared" ca="1" si="16"/>
        <v>0.78947368421052633</v>
      </c>
      <c r="AG37" s="86">
        <f ca="1">IFERROR(__xludf.DUMMYFUNCTION("IMPORTRANGE(""https://docs.google.com/spreadsheets/d/1_MzZ-2gVPiCW-d2VcafoCmFJQTSrZ6SQyFcMqRRQQ2w/edit?usp=sharing"",""บึงกาฬ!I369"")"),300)</f>
        <v>300</v>
      </c>
      <c r="AH37" s="86">
        <f ca="1">IFERROR(__xludf.DUMMYFUNCTION("IMPORTRANGE(""https://docs.google.com/spreadsheets/d/1_MzZ-2gVPiCW-d2VcafoCmFJQTSrZ6SQyFcMqRRQQ2w/edit?usp=sharing"",""บึงกาฬ!J368"")"),9)</f>
        <v>9</v>
      </c>
      <c r="AI37" s="86">
        <f ca="1">IFERROR(__xludf.DUMMYFUNCTION("IMPORTRANGE(""https://docs.google.com/spreadsheets/d/1_MzZ-2gVPiCW-d2VcafoCmFJQTSrZ6SQyFcMqRRQQ2w/edit?usp=sharing"",""บึงกาฬ!J369"")"),94.88)</f>
        <v>94.88</v>
      </c>
      <c r="AJ37" s="87">
        <f t="shared" ca="1" si="46"/>
        <v>31.626666666666665</v>
      </c>
      <c r="AK37" s="86">
        <f ca="1">IFERROR(__xludf.DUMMYFUNCTION("IMPORTRANGE(""https://docs.google.com/spreadsheets/d/1_MzZ-2gVPiCW-d2VcafoCmFJQTSrZ6SQyFcMqRRQQ2w/edit?usp=sharing"",""บึงกาฬ!I370"")"),20)</f>
        <v>20</v>
      </c>
      <c r="AL37" s="86">
        <f ca="1">IFERROR(__xludf.DUMMYFUNCTION("IMPORTRANGE(""https://docs.google.com/spreadsheets/d/1_MzZ-2gVPiCW-d2VcafoCmFJQTSrZ6SQyFcMqRRQQ2w/edit?usp=sharing"",""บึงกาฬ!J370"")"),0)</f>
        <v>0</v>
      </c>
      <c r="AM37" s="86">
        <f ca="1">IFERROR(__xludf.DUMMYFUNCTION("IMPORTRANGE(""https://docs.google.com/spreadsheets/d/1_MzZ-2gVPiCW-d2VcafoCmFJQTSrZ6SQyFcMqRRQQ2w/edit?usp=sharing"",""บึงกาฬ!J371"")"),0)</f>
        <v>0</v>
      </c>
      <c r="AN37" s="87">
        <f t="shared" ca="1" si="47"/>
        <v>0</v>
      </c>
      <c r="AO37" s="86">
        <f ca="1">IFERROR(__xludf.DUMMYFUNCTION("IMPORTRANGE(""https://docs.google.com/spreadsheets/d/1_MzZ-2gVPiCW-d2VcafoCmFJQTSrZ6SQyFcMqRRQQ2w/edit?usp=sharing"",""บึงกาฬ!I372"")"),20)</f>
        <v>20</v>
      </c>
      <c r="AP37" s="86">
        <f ca="1">IFERROR(__xludf.DUMMYFUNCTION("IMPORTRANGE(""https://docs.google.com/spreadsheets/d/1_MzZ-2gVPiCW-d2VcafoCmFJQTSrZ6SQyFcMqRRQQ2w/edit?usp=sharing"",""บึงกาฬ!J372"")"),0)</f>
        <v>0</v>
      </c>
      <c r="AQ37" s="86">
        <f ca="1">IFERROR(__xludf.DUMMYFUNCTION("IMPORTRANGE(""https://docs.google.com/spreadsheets/d/1_MzZ-2gVPiCW-d2VcafoCmFJQTSrZ6SQyFcMqRRQQ2w/edit?usp=sharing"",""บึงกาฬ!J373"")"),0)</f>
        <v>0</v>
      </c>
      <c r="AR37" s="87">
        <f t="shared" ca="1" si="48"/>
        <v>0</v>
      </c>
      <c r="AS37" s="86">
        <f ca="1">IFERROR(__xludf.DUMMYFUNCTION("IMPORTRANGE(""https://docs.google.com/spreadsheets/d/1_MzZ-2gVPiCW-d2VcafoCmFJQTSrZ6SQyFcMqRRQQ2w/edit?usp=sharing"",""บึงกาฬ!I378"")"),6000)</f>
        <v>6000</v>
      </c>
      <c r="AT37" s="86">
        <f ca="1">IFERROR(__xludf.DUMMYFUNCTION("IMPORTRANGE(""https://docs.google.com/spreadsheets/d/1_MzZ-2gVPiCW-d2VcafoCmFJQTSrZ6SQyFcMqRRQQ2w/edit?usp=sharing"",""บึงกาฬ!J377"")"),167)</f>
        <v>167</v>
      </c>
      <c r="AU37" s="86">
        <f ca="1">IFERROR(__xludf.DUMMYFUNCTION("IMPORTRANGE(""https://docs.google.com/spreadsheets/d/1_MzZ-2gVPiCW-d2VcafoCmFJQTSrZ6SQyFcMqRRQQ2w/edit?usp=sharing"",""บึงกาฬ!J378"")"),1945.17)</f>
        <v>1945.17</v>
      </c>
      <c r="AV37" s="87">
        <f t="shared" ca="1" si="49"/>
        <v>32.419499999999999</v>
      </c>
      <c r="AW37" s="86">
        <f ca="1">IFERROR(__xludf.DUMMYFUNCTION("IMPORTRANGE(""https://docs.google.com/spreadsheets/d/1_MzZ-2gVPiCW-d2VcafoCmFJQTSrZ6SQyFcMqRRQQ2w/edit?usp=sharing"",""บึงกาฬ!I379"")"),1500)</f>
        <v>1500</v>
      </c>
      <c r="AX37" s="86">
        <f ca="1">IFERROR(__xludf.DUMMYFUNCTION("IMPORTRANGE(""https://docs.google.com/spreadsheets/d/1_MzZ-2gVPiCW-d2VcafoCmFJQTSrZ6SQyFcMqRRQQ2w/edit?usp=sharing"",""บึงกาฬ!J379"")"),305)</f>
        <v>305</v>
      </c>
      <c r="AY37" s="86">
        <f ca="1">IFERROR(__xludf.DUMMYFUNCTION("IMPORTRANGE(""https://docs.google.com/spreadsheets/d/1_MzZ-2gVPiCW-d2VcafoCmFJQTSrZ6SQyFcMqRRQQ2w/edit?usp=sharing"",""บึงกาฬ!J380"")"),4997.67)</f>
        <v>4997.67</v>
      </c>
      <c r="AZ37" s="87">
        <f t="shared" ca="1" si="50"/>
        <v>20.333333333333332</v>
      </c>
      <c r="BA37" s="86">
        <f ca="1">IFERROR(__xludf.DUMMYFUNCTION("IMPORTRANGE(""https://docs.google.com/spreadsheets/d/1_MzZ-2gVPiCW-d2VcafoCmFJQTSrZ6SQyFcMqRRQQ2w/edit?usp=sharing"",""บึงกาฬ!I381"")"),1500)</f>
        <v>1500</v>
      </c>
      <c r="BB37" s="86">
        <f ca="1">IFERROR(__xludf.DUMMYFUNCTION("IMPORTRANGE(""https://docs.google.com/spreadsheets/d/1_MzZ-2gVPiCW-d2VcafoCmFJQTSrZ6SQyFcMqRRQQ2w/edit?usp=sharing"",""บึงกาฬ!J381"")"),12)</f>
        <v>12</v>
      </c>
      <c r="BC37" s="86">
        <f ca="1">IFERROR(__xludf.DUMMYFUNCTION("IMPORTRANGE(""https://docs.google.com/spreadsheets/d/1_MzZ-2gVPiCW-d2VcafoCmFJQTSrZ6SQyFcMqRRQQ2w/edit?usp=sharing"",""บึงกาฬ!J382"")"),265.86)</f>
        <v>265.86</v>
      </c>
      <c r="BD37" s="87">
        <f t="shared" ca="1" si="51"/>
        <v>0.8</v>
      </c>
    </row>
    <row r="38" spans="1:56" ht="21" customHeight="1" x14ac:dyDescent="0.2">
      <c r="A38" s="78">
        <v>7</v>
      </c>
      <c r="B38" s="79" t="s">
        <v>60</v>
      </c>
      <c r="C38" s="80">
        <f t="shared" ca="1" si="0"/>
        <v>1329450</v>
      </c>
      <c r="D38" s="81">
        <f t="shared" ca="1" si="76"/>
        <v>1215650</v>
      </c>
      <c r="E38" s="82">
        <f ca="1">IFERROR(__xludf.DUMMYFUNCTION("IMPORTRANGE(""https://docs.google.com/spreadsheets/d/1MeEWN-I1oV_STSDYn1IFDPWt_1FKiwhDph83XaGc0o0/edit?usp=sharing"",""งบพรบ!EX38"")"),175200)</f>
        <v>175200</v>
      </c>
      <c r="F38" s="82">
        <f ca="1">IFERROR(__xludf.DUMMYFUNCTION("IMPORTRANGE(""https://docs.google.com/spreadsheets/d/1MeEWN-I1oV_STSDYn1IFDPWt_1FKiwhDph83XaGc0o0/edit?usp=sharing"",""งบพรบ!EY38"")"),1040450)</f>
        <v>1040450</v>
      </c>
      <c r="G38" s="82">
        <f ca="1">IFERROR(__xludf.DUMMYFUNCTION("IMPORTRANGE(""https://docs.google.com/spreadsheets/d/1MeEWN-I1oV_STSDYn1IFDPWt_1FKiwhDph83XaGc0o0/edit?usp=sharing"",""งบพรบ!EZ38"")"),113800)</f>
        <v>113800</v>
      </c>
      <c r="H38" s="82">
        <f ca="1">IFERROR(__xludf.DUMMYFUNCTION("IMPORTRANGE(""https://docs.google.com/spreadsheets/d/1MeEWN-I1oV_STSDYn1IFDPWt_1FKiwhDph83XaGc0o0/edit?usp=sharing"",""งบพรบ!FB38"")"),746550)</f>
        <v>746550</v>
      </c>
      <c r="I38" s="82">
        <f ca="1">IFERROR(__xludf.DUMMYFUNCTION("IMPORTRANGE(""https://docs.google.com/spreadsheets/d/1MeEWN-I1oV_STSDYn1IFDPWt_1FKiwhDph83XaGc0o0/edit?usp=sharing"",""งบพรบ!FC38"")"),113800)</f>
        <v>113800</v>
      </c>
      <c r="J38" s="82">
        <f t="shared" ca="1" si="3"/>
        <v>584456.89</v>
      </c>
      <c r="K38" s="83">
        <f t="shared" ca="1" si="4"/>
        <v>43.962306969047347</v>
      </c>
      <c r="L38" s="82">
        <f ca="1">IFERROR(__xludf.DUMMYFUNCTION("IMPORTRANGE(""https://docs.google.com/spreadsheets/d/1MeEWN-I1oV_STSDYn1IFDPWt_1FKiwhDph83XaGc0o0/edit?usp=sharing"",""งบพรบ!FD38"")"),470656.89)</f>
        <v>470656.89</v>
      </c>
      <c r="M38" s="84">
        <f t="shared" ca="1" si="5"/>
        <v>38.71648007238926</v>
      </c>
      <c r="N38" s="84">
        <f t="shared" ca="1" si="6"/>
        <v>63.044255575647981</v>
      </c>
      <c r="O38" s="85">
        <f ca="1">IFERROR(__xludf.DUMMYFUNCTION("IMPORTRANGE(""https://docs.google.com/spreadsheets/d/1MeEWN-I1oV_STSDYn1IFDPWt_1FKiwhDph83XaGc0o0/edit?usp=sharing"",""งบพรบ!FE38"")"),113800)</f>
        <v>113800</v>
      </c>
      <c r="P38" s="84">
        <f t="shared" ca="1" si="53"/>
        <v>100</v>
      </c>
      <c r="Q38" s="84">
        <f t="shared" ca="1" si="8"/>
        <v>100</v>
      </c>
      <c r="R38" s="86">
        <f ca="1">IFERROR(__xludf.DUMMYFUNCTION("IMPORTRANGE(""https://docs.google.com/spreadsheets/d/1B3lPpzOuaNwVItLwLEZYl_qEblfcx7dRnbRkAw0l-pE/edit?usp=sharing"",""บุรีรัมย์!I359"")"),6960)</f>
        <v>6960</v>
      </c>
      <c r="S38" s="86">
        <f ca="1">IFERROR(__xludf.DUMMYFUNCTION("IMPORTRANGE(""https://docs.google.com/spreadsheets/d/1B3lPpzOuaNwVItLwLEZYl_qEblfcx7dRnbRkAw0l-pE/edit?usp=sharing"",""บุรีรัมย์!J358"")"),345)</f>
        <v>345</v>
      </c>
      <c r="T38" s="86">
        <f ca="1">IFERROR(__xludf.DUMMYFUNCTION("IMPORTRANGE(""https://docs.google.com/spreadsheets/d/1B3lPpzOuaNwVItLwLEZYl_qEblfcx7dRnbRkAw0l-pE/edit?usp=sharing"",""บุรีรัมย์!J359"")"),2215.74)</f>
        <v>2215.7399999999998</v>
      </c>
      <c r="U38" s="87">
        <f t="shared" ca="1" si="43"/>
        <v>31.835344827586201</v>
      </c>
      <c r="V38" s="86">
        <f ca="1">IFERROR(__xludf.DUMMYFUNCTION("IMPORTRANGE(""https://docs.google.com/spreadsheets/d/1B3lPpzOuaNwVItLwLEZYl_qEblfcx7dRnbRkAw0l-pE/edit?usp=sharing"",""บุรีรัมย์!I360"")"),696)</f>
        <v>696</v>
      </c>
      <c r="W38" s="86">
        <f ca="1">IFERROR(__xludf.DUMMYFUNCTION("IMPORTRANGE(""https://docs.google.com/spreadsheets/d/1B3lPpzOuaNwVItLwLEZYl_qEblfcx7dRnbRkAw0l-pE/edit?usp=sharing"",""บุรีรัมย์!J360"")"),154)</f>
        <v>154</v>
      </c>
      <c r="X38" s="86">
        <f ca="1">IFERROR(__xludf.DUMMYFUNCTION("IMPORTRANGE(""https://docs.google.com/spreadsheets/d/1B3lPpzOuaNwVItLwLEZYl_qEblfcx7dRnbRkAw0l-pE/edit?usp=sharing"",""บุรีรัมย์!J361"")"),1193.76)</f>
        <v>1193.76</v>
      </c>
      <c r="Y38" s="87">
        <f t="shared" ca="1" si="44"/>
        <v>22.126436781609197</v>
      </c>
      <c r="Z38" s="86">
        <f ca="1">IFERROR(__xludf.DUMMYFUNCTION("IMPORTRANGE(""https://docs.google.com/spreadsheets/d/1B3lPpzOuaNwVItLwLEZYl_qEblfcx7dRnbRkAw0l-pE/edit?usp=sharing"",""บุรีรัมย์!I362"")"),696)</f>
        <v>696</v>
      </c>
      <c r="AA38" s="86">
        <f ca="1">IFERROR(__xludf.DUMMYFUNCTION("IMPORTRANGE(""https://docs.google.com/spreadsheets/d/1B3lPpzOuaNwVItLwLEZYl_qEblfcx7dRnbRkAw0l-pE/edit?usp=sharing"",""บุรีรัมย์!J362"")"),68)</f>
        <v>68</v>
      </c>
      <c r="AB38" s="86">
        <f ca="1">IFERROR(__xludf.DUMMYFUNCTION("IMPORTRANGE(""https://docs.google.com/spreadsheets/d/1B3lPpzOuaNwVItLwLEZYl_qEblfcx7dRnbRkAw0l-pE/edit?usp=sharing"",""บุรีรัมย์!J363"")"),621.51)</f>
        <v>621.51</v>
      </c>
      <c r="AC38" s="87">
        <f t="shared" ca="1" si="45"/>
        <v>9.7701149425287355</v>
      </c>
      <c r="AD38" s="86">
        <f ca="1">IFERROR(__xludf.DUMMYFUNCTION("IMPORTRANGE(""https://docs.google.com/spreadsheets/d/1B3lPpzOuaNwVItLwLEZYl_qEblfcx7dRnbRkAw0l-pE/edit?usp=sharing"",""บุรีรัมย์!I364"")"),1236)</f>
        <v>1236</v>
      </c>
      <c r="AE38" s="86">
        <f ca="1">IFERROR(__xludf.DUMMYFUNCTION("IMPORTRANGE(""https://docs.google.com/spreadsheets/d/1B3lPpzOuaNwVItLwLEZYl_qEblfcx7dRnbRkAw0l-pE/edit?usp=sharing"",""บุรีรัมย์!J364"")"),84)</f>
        <v>84</v>
      </c>
      <c r="AF38" s="87">
        <f t="shared" ca="1" si="16"/>
        <v>6.7961165048543686</v>
      </c>
      <c r="AG38" s="86">
        <f ca="1">IFERROR(__xludf.DUMMYFUNCTION("IMPORTRANGE(""https://docs.google.com/spreadsheets/d/1B3lPpzOuaNwVItLwLEZYl_qEblfcx7dRnbRkAw0l-pE/edit?usp=sharing"",""บุรีรัมย์!I369"")"),4960)</f>
        <v>4960</v>
      </c>
      <c r="AH38" s="86">
        <f ca="1">IFERROR(__xludf.DUMMYFUNCTION("IMPORTRANGE(""https://docs.google.com/spreadsheets/d/1B3lPpzOuaNwVItLwLEZYl_qEblfcx7dRnbRkAw0l-pE/edit?usp=sharing"",""บุรีรัมย์!J368"")"),262)</f>
        <v>262</v>
      </c>
      <c r="AI38" s="86">
        <f ca="1">IFERROR(__xludf.DUMMYFUNCTION("IMPORTRANGE(""https://docs.google.com/spreadsheets/d/1B3lPpzOuaNwVItLwLEZYl_qEblfcx7dRnbRkAw0l-pE/edit?usp=sharing"",""บุรีรัมย์!J369"")"),1573.16)</f>
        <v>1573.16</v>
      </c>
      <c r="AJ38" s="87">
        <f t="shared" ca="1" si="46"/>
        <v>31.716935483870969</v>
      </c>
      <c r="AK38" s="86">
        <f ca="1">IFERROR(__xludf.DUMMYFUNCTION("IMPORTRANGE(""https://docs.google.com/spreadsheets/d/1B3lPpzOuaNwVItLwLEZYl_qEblfcx7dRnbRkAw0l-pE/edit?usp=sharing"",""บุรีรัมย์!I370"")"),496)</f>
        <v>496</v>
      </c>
      <c r="AL38" s="86">
        <f ca="1">IFERROR(__xludf.DUMMYFUNCTION("IMPORTRANGE(""https://docs.google.com/spreadsheets/d/1B3lPpzOuaNwVItLwLEZYl_qEblfcx7dRnbRkAw0l-pE/edit?usp=sharing"",""บุรีรัมย์!J370"")"),154)</f>
        <v>154</v>
      </c>
      <c r="AM38" s="86">
        <f ca="1">IFERROR(__xludf.DUMMYFUNCTION("IMPORTRANGE(""https://docs.google.com/spreadsheets/d/1B3lPpzOuaNwVItLwLEZYl_qEblfcx7dRnbRkAw0l-pE/edit?usp=sharing"",""บุรีรัมย์!J371"")"),1193.76)</f>
        <v>1193.76</v>
      </c>
      <c r="AN38" s="87">
        <f t="shared" ca="1" si="47"/>
        <v>31.048387096774192</v>
      </c>
      <c r="AO38" s="86">
        <f ca="1">IFERROR(__xludf.DUMMYFUNCTION("IMPORTRANGE(""https://docs.google.com/spreadsheets/d/1B3lPpzOuaNwVItLwLEZYl_qEblfcx7dRnbRkAw0l-pE/edit?usp=sharing"",""บุรีรัมย์!I372"")"),496)</f>
        <v>496</v>
      </c>
      <c r="AP38" s="86">
        <f ca="1">IFERROR(__xludf.DUMMYFUNCTION("IMPORTRANGE(""https://docs.google.com/spreadsheets/d/1B3lPpzOuaNwVItLwLEZYl_qEblfcx7dRnbRkAw0l-pE/edit?usp=sharing"",""บุรีรัมย์!J372"")"),68)</f>
        <v>68</v>
      </c>
      <c r="AQ38" s="86">
        <f ca="1">IFERROR(__xludf.DUMMYFUNCTION("IMPORTRANGE(""https://docs.google.com/spreadsheets/d/1B3lPpzOuaNwVItLwLEZYl_qEblfcx7dRnbRkAw0l-pE/edit?usp=sharing"",""บุรีรัมย์!J373"")"),621.51)</f>
        <v>621.51</v>
      </c>
      <c r="AR38" s="87">
        <f t="shared" ca="1" si="48"/>
        <v>13.709677419354838</v>
      </c>
      <c r="AS38" s="86">
        <f ca="1">IFERROR(__xludf.DUMMYFUNCTION("IMPORTRANGE(""https://docs.google.com/spreadsheets/d/1B3lPpzOuaNwVItLwLEZYl_qEblfcx7dRnbRkAw0l-pE/edit?usp=sharing"",""บุรีรัมย์!I378"")"),2000)</f>
        <v>2000</v>
      </c>
      <c r="AT38" s="86">
        <f ca="1">IFERROR(__xludf.DUMMYFUNCTION("IMPORTRANGE(""https://docs.google.com/spreadsheets/d/1B3lPpzOuaNwVItLwLEZYl_qEblfcx7dRnbRkAw0l-pE/edit?usp=sharing"",""บุรีรัมย์!J377"")"),83)</f>
        <v>83</v>
      </c>
      <c r="AU38" s="86">
        <f ca="1">IFERROR(__xludf.DUMMYFUNCTION("IMPORTRANGE(""https://docs.google.com/spreadsheets/d/1B3lPpzOuaNwVItLwLEZYl_qEblfcx7dRnbRkAw0l-pE/edit?usp=sharing"",""บุรีรัมย์!J378"")"),642.58)</f>
        <v>642.58000000000004</v>
      </c>
      <c r="AV38" s="87">
        <f t="shared" ca="1" si="49"/>
        <v>32.129000000000005</v>
      </c>
      <c r="AW38" s="86">
        <f ca="1">IFERROR(__xludf.DUMMYFUNCTION("IMPORTRANGE(""https://docs.google.com/spreadsheets/d/1B3lPpzOuaNwVItLwLEZYl_qEblfcx7dRnbRkAw0l-pE/edit?usp=sharing"",""บุรีรัมย์!I379"")"),740)</f>
        <v>740</v>
      </c>
      <c r="AX38" s="86">
        <f ca="1">IFERROR(__xludf.DUMMYFUNCTION("IMPORTRANGE(""https://docs.google.com/spreadsheets/d/1B3lPpzOuaNwVItLwLEZYl_qEblfcx7dRnbRkAw0l-pE/edit?usp=sharing"",""บุรีรัมย์!J379"")"),16)</f>
        <v>16</v>
      </c>
      <c r="AY38" s="86">
        <f ca="1">IFERROR(__xludf.DUMMYFUNCTION("IMPORTRANGE(""https://docs.google.com/spreadsheets/d/1B3lPpzOuaNwVItLwLEZYl_qEblfcx7dRnbRkAw0l-pE/edit?usp=sharing"",""บุรีรัมย์!J380"")"),218.93)</f>
        <v>218.93</v>
      </c>
      <c r="AZ38" s="87">
        <f t="shared" ca="1" si="50"/>
        <v>2.1621621621621623</v>
      </c>
      <c r="BA38" s="86">
        <f ca="1">IFERROR(__xludf.DUMMYFUNCTION("IMPORTRANGE(""https://docs.google.com/spreadsheets/d/1B3lPpzOuaNwVItLwLEZYl_qEblfcx7dRnbRkAw0l-pE/edit?usp=sharing"",""บุรีรัมย์!I381"")"),740)</f>
        <v>740</v>
      </c>
      <c r="BB38" s="86">
        <f ca="1">IFERROR(__xludf.DUMMYFUNCTION("IMPORTRANGE(""https://docs.google.com/spreadsheets/d/1B3lPpzOuaNwVItLwLEZYl_qEblfcx7dRnbRkAw0l-pE/edit?usp=sharing"",""บุรีรัมย์!J381"")"),16)</f>
        <v>16</v>
      </c>
      <c r="BC38" s="86">
        <f ca="1">IFERROR(__xludf.DUMMYFUNCTION("IMPORTRANGE(""https://docs.google.com/spreadsheets/d/1B3lPpzOuaNwVItLwLEZYl_qEblfcx7dRnbRkAw0l-pE/edit?usp=sharing"",""บุรีรัมย์!J382"")"),218.93)</f>
        <v>218.93</v>
      </c>
      <c r="BD38" s="87">
        <f t="shared" ca="1" si="51"/>
        <v>2.1621621621621623</v>
      </c>
    </row>
    <row r="39" spans="1:56" ht="21" customHeight="1" x14ac:dyDescent="0.2">
      <c r="A39" s="78">
        <v>8</v>
      </c>
      <c r="B39" s="79" t="s">
        <v>61</v>
      </c>
      <c r="C39" s="80">
        <f t="shared" ca="1" si="0"/>
        <v>491410</v>
      </c>
      <c r="D39" s="81">
        <f t="shared" ca="1" si="76"/>
        <v>431410</v>
      </c>
      <c r="E39" s="82">
        <f ca="1">IFERROR(__xludf.DUMMYFUNCTION("IMPORTRANGE(""https://docs.google.com/spreadsheets/d/1MeEWN-I1oV_STSDYn1IFDPWt_1FKiwhDph83XaGc0o0/edit?usp=sharing"",""งบพรบ!EX39"")"),87600)</f>
        <v>87600</v>
      </c>
      <c r="F39" s="82">
        <f ca="1">IFERROR(__xludf.DUMMYFUNCTION("IMPORTRANGE(""https://docs.google.com/spreadsheets/d/1MeEWN-I1oV_STSDYn1IFDPWt_1FKiwhDph83XaGc0o0/edit?usp=sharing"",""งบพรบ!EY39"")"),343810)</f>
        <v>343810</v>
      </c>
      <c r="G39" s="82">
        <f ca="1">IFERROR(__xludf.DUMMYFUNCTION("IMPORTRANGE(""https://docs.google.com/spreadsheets/d/1MeEWN-I1oV_STSDYn1IFDPWt_1FKiwhDph83XaGc0o0/edit?usp=sharing"",""งบพรบ!EZ39"")"),60000)</f>
        <v>60000</v>
      </c>
      <c r="H39" s="82">
        <f ca="1">IFERROR(__xludf.DUMMYFUNCTION("IMPORTRANGE(""https://docs.google.com/spreadsheets/d/1MeEWN-I1oV_STSDYn1IFDPWt_1FKiwhDph83XaGc0o0/edit?usp=sharing"",""งบพรบ!FB39"")"),290570)</f>
        <v>290570</v>
      </c>
      <c r="I39" s="82">
        <f ca="1">IFERROR(__xludf.DUMMYFUNCTION("IMPORTRANGE(""https://docs.google.com/spreadsheets/d/1MeEWN-I1oV_STSDYn1IFDPWt_1FKiwhDph83XaGc0o0/edit?usp=sharing"",""งบพรบ!FC39"")"),60000)</f>
        <v>60000</v>
      </c>
      <c r="J39" s="82">
        <f t="shared" ca="1" si="3"/>
        <v>189046.3</v>
      </c>
      <c r="K39" s="83">
        <f t="shared" ca="1" si="4"/>
        <v>38.470177652062432</v>
      </c>
      <c r="L39" s="82">
        <f ca="1">IFERROR(__xludf.DUMMYFUNCTION("IMPORTRANGE(""https://docs.google.com/spreadsheets/d/1MeEWN-I1oV_STSDYn1IFDPWt_1FKiwhDph83XaGc0o0/edit?usp=sharing"",""งบพรบ!FD39"")"),129046.3)</f>
        <v>129046.3</v>
      </c>
      <c r="M39" s="84">
        <f t="shared" ca="1" si="5"/>
        <v>29.91268167172759</v>
      </c>
      <c r="N39" s="84">
        <f t="shared" ca="1" si="6"/>
        <v>44.411432701242383</v>
      </c>
      <c r="O39" s="85">
        <f ca="1">IFERROR(__xludf.DUMMYFUNCTION("IMPORTRANGE(""https://docs.google.com/spreadsheets/d/1MeEWN-I1oV_STSDYn1IFDPWt_1FKiwhDph83XaGc0o0/edit?usp=sharing"",""งบพรบ!FE39"")"),60000)</f>
        <v>60000</v>
      </c>
      <c r="P39" s="84">
        <f t="shared" ca="1" si="53"/>
        <v>100</v>
      </c>
      <c r="Q39" s="84">
        <f t="shared" ca="1" si="8"/>
        <v>100</v>
      </c>
      <c r="R39" s="86">
        <f ca="1">IFERROR(__xludf.DUMMYFUNCTION("IMPORTRANGE(""https://docs.google.com/spreadsheets/d/19GOkiOqnzYbevLYWrMk4qFOXe3rX14BkSA8X-mq-a40/edit?usp=sharing"",""มหาสารคาม!I359"")"),1150)</f>
        <v>1150</v>
      </c>
      <c r="S39" s="86">
        <f ca="1">IFERROR(__xludf.DUMMYFUNCTION("IMPORTRANGE(""https://docs.google.com/spreadsheets/d/19GOkiOqnzYbevLYWrMk4qFOXe3rX14BkSA8X-mq-a40/edit?usp=sharing"",""มหาสารคาม!J358"")"),27)</f>
        <v>27</v>
      </c>
      <c r="T39" s="86">
        <f ca="1">IFERROR(__xludf.DUMMYFUNCTION("IMPORTRANGE(""https://docs.google.com/spreadsheets/d/19GOkiOqnzYbevLYWrMk4qFOXe3rX14BkSA8X-mq-a40/edit?usp=sharing"",""มหาสารคาม!J359"")"),345.32)</f>
        <v>345.32</v>
      </c>
      <c r="U39" s="87">
        <f t="shared" ca="1" si="43"/>
        <v>30.027826086956523</v>
      </c>
      <c r="V39" s="86">
        <f ca="1">IFERROR(__xludf.DUMMYFUNCTION("IMPORTRANGE(""https://docs.google.com/spreadsheets/d/19GOkiOqnzYbevLYWrMk4qFOXe3rX14BkSA8X-mq-a40/edit?usp=sharing"",""มหาสารคาม!I360"")"),115)</f>
        <v>115</v>
      </c>
      <c r="W39" s="86">
        <f ca="1">IFERROR(__xludf.DUMMYFUNCTION("IMPORTRANGE(""https://docs.google.com/spreadsheets/d/19GOkiOqnzYbevLYWrMk4qFOXe3rX14BkSA8X-mq-a40/edit?usp=sharing"",""มหาสารคาม!J360"")"),27)</f>
        <v>27</v>
      </c>
      <c r="X39" s="86">
        <f ca="1">IFERROR(__xludf.DUMMYFUNCTION("IMPORTRANGE(""https://docs.google.com/spreadsheets/d/19GOkiOqnzYbevLYWrMk4qFOXe3rX14BkSA8X-mq-a40/edit?usp=sharing"",""มหาสารคาม!J361"")"),345.32)</f>
        <v>345.32</v>
      </c>
      <c r="Y39" s="87">
        <f t="shared" ca="1" si="44"/>
        <v>23.478260869565219</v>
      </c>
      <c r="Z39" s="86">
        <f ca="1">IFERROR(__xludf.DUMMYFUNCTION("IMPORTRANGE(""https://docs.google.com/spreadsheets/d/19GOkiOqnzYbevLYWrMk4qFOXe3rX14BkSA8X-mq-a40/edit?usp=sharing"",""มหาสารคาม!I362"")"),115)</f>
        <v>115</v>
      </c>
      <c r="AA39" s="86">
        <f ca="1">IFERROR(__xludf.DUMMYFUNCTION("IMPORTRANGE(""https://docs.google.com/spreadsheets/d/19GOkiOqnzYbevLYWrMk4qFOXe3rX14BkSA8X-mq-a40/edit?usp=sharing"",""มหาสารคาม!J362"")"),0)</f>
        <v>0</v>
      </c>
      <c r="AB39" s="86">
        <f ca="1">IFERROR(__xludf.DUMMYFUNCTION("IMPORTRANGE(""https://docs.google.com/spreadsheets/d/19GOkiOqnzYbevLYWrMk4qFOXe3rX14BkSA8X-mq-a40/edit?usp=sharing"",""มหาสารคาม!J363"")"),0)</f>
        <v>0</v>
      </c>
      <c r="AC39" s="87">
        <f t="shared" ca="1" si="45"/>
        <v>0</v>
      </c>
      <c r="AD39" s="86">
        <f ca="1">IFERROR(__xludf.DUMMYFUNCTION("IMPORTRANGE(""https://docs.google.com/spreadsheets/d/19GOkiOqnzYbevLYWrMk4qFOXe3rX14BkSA8X-mq-a40/edit?usp=sharing"",""มหาสารคาม!I364"")"),315)</f>
        <v>315</v>
      </c>
      <c r="AE39" s="86">
        <f ca="1">IFERROR(__xludf.DUMMYFUNCTION("IMPORTRANGE(""https://docs.google.com/spreadsheets/d/19GOkiOqnzYbevLYWrMk4qFOXe3rX14BkSA8X-mq-a40/edit?usp=sharing"",""มหาสารคาม!J364"")"),0)</f>
        <v>0</v>
      </c>
      <c r="AF39" s="87">
        <f t="shared" ca="1" si="16"/>
        <v>0</v>
      </c>
      <c r="AG39" s="86">
        <f ca="1">IFERROR(__xludf.DUMMYFUNCTION("IMPORTRANGE(""https://docs.google.com/spreadsheets/d/19GOkiOqnzYbevLYWrMk4qFOXe3rX14BkSA8X-mq-a40/edit?usp=sharing"",""มหาสารคาม!I369"")"),150)</f>
        <v>150</v>
      </c>
      <c r="AH39" s="86">
        <f ca="1">IFERROR(__xludf.DUMMYFUNCTION("IMPORTRANGE(""https://docs.google.com/spreadsheets/d/19GOkiOqnzYbevLYWrMk4qFOXe3rX14BkSA8X-mq-a40/edit?usp=sharing"",""มหาสารคาม!J368"")"),3)</f>
        <v>3</v>
      </c>
      <c r="AI39" s="86">
        <f ca="1">IFERROR(__xludf.DUMMYFUNCTION("IMPORTRANGE(""https://docs.google.com/spreadsheets/d/19GOkiOqnzYbevLYWrMk4qFOXe3rX14BkSA8X-mq-a40/edit?usp=sharing"",""มหาสารคาม!J369"")"),4.71)</f>
        <v>4.71</v>
      </c>
      <c r="AJ39" s="87">
        <f t="shared" ca="1" si="46"/>
        <v>3.14</v>
      </c>
      <c r="AK39" s="86">
        <f ca="1">IFERROR(__xludf.DUMMYFUNCTION("IMPORTRANGE(""https://docs.google.com/spreadsheets/d/19GOkiOqnzYbevLYWrMk4qFOXe3rX14BkSA8X-mq-a40/edit?usp=sharing"",""มหาสารคาม!I370"")"),15)</f>
        <v>15</v>
      </c>
      <c r="AL39" s="86">
        <f ca="1">IFERROR(__xludf.DUMMYFUNCTION("IMPORTRANGE(""https://docs.google.com/spreadsheets/d/19GOkiOqnzYbevLYWrMk4qFOXe3rX14BkSA8X-mq-a40/edit?usp=sharing"",""มหาสารคาม!J370"")"),3)</f>
        <v>3</v>
      </c>
      <c r="AM39" s="86">
        <f ca="1">IFERROR(__xludf.DUMMYFUNCTION("IMPORTRANGE(""https://docs.google.com/spreadsheets/d/19GOkiOqnzYbevLYWrMk4qFOXe3rX14BkSA8X-mq-a40/edit?usp=sharing"",""มหาสารคาม!J371"")"),4.71)</f>
        <v>4.71</v>
      </c>
      <c r="AN39" s="87">
        <f t="shared" ca="1" si="47"/>
        <v>20</v>
      </c>
      <c r="AO39" s="86">
        <f ca="1">IFERROR(__xludf.DUMMYFUNCTION("IMPORTRANGE(""https://docs.google.com/spreadsheets/d/19GOkiOqnzYbevLYWrMk4qFOXe3rX14BkSA8X-mq-a40/edit?usp=sharing"",""มหาสารคาม!I372"")"),15)</f>
        <v>15</v>
      </c>
      <c r="AP39" s="86">
        <f ca="1">IFERROR(__xludf.DUMMYFUNCTION("IMPORTRANGE(""https://docs.google.com/spreadsheets/d/19GOkiOqnzYbevLYWrMk4qFOXe3rX14BkSA8X-mq-a40/edit?usp=sharing"",""มหาสารคาม!J372"")"),0)</f>
        <v>0</v>
      </c>
      <c r="AQ39" s="86">
        <f ca="1">IFERROR(__xludf.DUMMYFUNCTION("IMPORTRANGE(""https://docs.google.com/spreadsheets/d/19GOkiOqnzYbevLYWrMk4qFOXe3rX14BkSA8X-mq-a40/edit?usp=sharing"",""มหาสารคาม!J373"")"),0)</f>
        <v>0</v>
      </c>
      <c r="AR39" s="87">
        <f t="shared" ca="1" si="48"/>
        <v>0</v>
      </c>
      <c r="AS39" s="86">
        <f ca="1">IFERROR(__xludf.DUMMYFUNCTION("IMPORTRANGE(""https://docs.google.com/spreadsheets/d/19GOkiOqnzYbevLYWrMk4qFOXe3rX14BkSA8X-mq-a40/edit?usp=sharing"",""มหาสารคาม!I378"")"),1000)</f>
        <v>1000</v>
      </c>
      <c r="AT39" s="86">
        <f ca="1">IFERROR(__xludf.DUMMYFUNCTION("IMPORTRANGE(""https://docs.google.com/spreadsheets/d/19GOkiOqnzYbevLYWrMk4qFOXe3rX14BkSA8X-mq-a40/edit?usp=sharing"",""มหาสารคาม!J377"")"),30)</f>
        <v>30</v>
      </c>
      <c r="AU39" s="86">
        <f ca="1">IFERROR(__xludf.DUMMYFUNCTION("IMPORTRANGE(""https://docs.google.com/spreadsheets/d/19GOkiOqnzYbevLYWrMk4qFOXe3rX14BkSA8X-mq-a40/edit?usp=sharing"",""มหาสารคาม!J378"")"),483.11)</f>
        <v>483.11</v>
      </c>
      <c r="AV39" s="87">
        <f t="shared" ca="1" si="49"/>
        <v>48.311</v>
      </c>
      <c r="AW39" s="86">
        <f ca="1">IFERROR(__xludf.DUMMYFUNCTION("IMPORTRANGE(""https://docs.google.com/spreadsheets/d/19GOkiOqnzYbevLYWrMk4qFOXe3rX14BkSA8X-mq-a40/edit?usp=sharing"",""มหาสารคาม!I379"")"),300)</f>
        <v>300</v>
      </c>
      <c r="AX39" s="86">
        <f ca="1">IFERROR(__xludf.DUMMYFUNCTION("IMPORTRANGE(""https://docs.google.com/spreadsheets/d/19GOkiOqnzYbevLYWrMk4qFOXe3rX14BkSA8X-mq-a40/edit?usp=sharing"",""มหาสารคาม!J379"")"),163)</f>
        <v>163</v>
      </c>
      <c r="AY39" s="86">
        <f ca="1">IFERROR(__xludf.DUMMYFUNCTION("IMPORTRANGE(""https://docs.google.com/spreadsheets/d/19GOkiOqnzYbevLYWrMk4qFOXe3rX14BkSA8X-mq-a40/edit?usp=sharing"",""มหาสารคาม!J380"")"),1885.87)</f>
        <v>1885.87</v>
      </c>
      <c r="AZ39" s="87">
        <f t="shared" ca="1" si="50"/>
        <v>54.333333333333336</v>
      </c>
      <c r="BA39" s="86">
        <f ca="1">IFERROR(__xludf.DUMMYFUNCTION("IMPORTRANGE(""https://docs.google.com/spreadsheets/d/19GOkiOqnzYbevLYWrMk4qFOXe3rX14BkSA8X-mq-a40/edit?usp=sharing"",""มหาสารคาม!I381"")"),300)</f>
        <v>300</v>
      </c>
      <c r="BB39" s="86">
        <f ca="1">IFERROR(__xludf.DUMMYFUNCTION("IMPORTRANGE(""https://docs.google.com/spreadsheets/d/19GOkiOqnzYbevLYWrMk4qFOXe3rX14BkSA8X-mq-a40/edit?usp=sharing"",""มหาสารคาม!J381"")"),0)</f>
        <v>0</v>
      </c>
      <c r="BC39" s="86">
        <f ca="1">IFERROR(__xludf.DUMMYFUNCTION("IMPORTRANGE(""https://docs.google.com/spreadsheets/d/19GOkiOqnzYbevLYWrMk4qFOXe3rX14BkSA8X-mq-a40/edit?usp=sharing"",""มหาสารคาม!J382"")"),0)</f>
        <v>0</v>
      </c>
      <c r="BD39" s="87">
        <f t="shared" ca="1" si="51"/>
        <v>0</v>
      </c>
    </row>
    <row r="40" spans="1:56" ht="21" customHeight="1" x14ac:dyDescent="0.2">
      <c r="A40" s="78">
        <v>9</v>
      </c>
      <c r="B40" s="79" t="s">
        <v>62</v>
      </c>
      <c r="C40" s="80">
        <f t="shared" ca="1" si="0"/>
        <v>714860</v>
      </c>
      <c r="D40" s="81">
        <f t="shared" ca="1" si="76"/>
        <v>563260</v>
      </c>
      <c r="E40" s="82">
        <f ca="1">IFERROR(__xludf.DUMMYFUNCTION("IMPORTRANGE(""https://docs.google.com/spreadsheets/d/1MeEWN-I1oV_STSDYn1IFDPWt_1FKiwhDph83XaGc0o0/edit?usp=sharing"",""งบพรบ!EX40"")"),87600)</f>
        <v>87600</v>
      </c>
      <c r="F40" s="82">
        <f ca="1">IFERROR(__xludf.DUMMYFUNCTION("IMPORTRANGE(""https://docs.google.com/spreadsheets/d/1MeEWN-I1oV_STSDYn1IFDPWt_1FKiwhDph83XaGc0o0/edit?usp=sharing"",""งบพรบ!EY40"")"),475660)</f>
        <v>475660</v>
      </c>
      <c r="G40" s="82">
        <f ca="1">IFERROR(__xludf.DUMMYFUNCTION("IMPORTRANGE(""https://docs.google.com/spreadsheets/d/1MeEWN-I1oV_STSDYn1IFDPWt_1FKiwhDph83XaGc0o0/edit?usp=sharing"",""งบพรบ!EZ40"")"),151600)</f>
        <v>151600</v>
      </c>
      <c r="H40" s="82">
        <f ca="1">IFERROR(__xludf.DUMMYFUNCTION("IMPORTRANGE(""https://docs.google.com/spreadsheets/d/1MeEWN-I1oV_STSDYn1IFDPWt_1FKiwhDph83XaGc0o0/edit?usp=sharing"",""งบพรบ!FB40"")"),353900)</f>
        <v>353900</v>
      </c>
      <c r="I40" s="82">
        <f ca="1">IFERROR(__xludf.DUMMYFUNCTION("IMPORTRANGE(""https://docs.google.com/spreadsheets/d/1MeEWN-I1oV_STSDYn1IFDPWt_1FKiwhDph83XaGc0o0/edit?usp=sharing"",""งบพรบ!FC40"")"),151600)</f>
        <v>151600</v>
      </c>
      <c r="J40" s="82">
        <f t="shared" ca="1" si="3"/>
        <v>326049</v>
      </c>
      <c r="K40" s="83">
        <f t="shared" ca="1" si="4"/>
        <v>45.610189407716199</v>
      </c>
      <c r="L40" s="82">
        <f ca="1">IFERROR(__xludf.DUMMYFUNCTION("IMPORTRANGE(""https://docs.google.com/spreadsheets/d/1MeEWN-I1oV_STSDYn1IFDPWt_1FKiwhDph83XaGc0o0/edit?usp=sharing"",""งบพรบ!FD40"")"),174449)</f>
        <v>174449</v>
      </c>
      <c r="M40" s="84">
        <f t="shared" ca="1" si="5"/>
        <v>30.971309874658239</v>
      </c>
      <c r="N40" s="84">
        <f t="shared" ca="1" si="6"/>
        <v>49.293303192992369</v>
      </c>
      <c r="O40" s="85">
        <f ca="1">IFERROR(__xludf.DUMMYFUNCTION("IMPORTRANGE(""https://docs.google.com/spreadsheets/d/1MeEWN-I1oV_STSDYn1IFDPWt_1FKiwhDph83XaGc0o0/edit?usp=sharing"",""งบพรบ!FE40"")"),151600)</f>
        <v>151600</v>
      </c>
      <c r="P40" s="84">
        <f t="shared" ca="1" si="53"/>
        <v>100</v>
      </c>
      <c r="Q40" s="84">
        <f t="shared" ca="1" si="8"/>
        <v>100</v>
      </c>
      <c r="R40" s="86">
        <f ca="1">IFERROR(__xludf.DUMMYFUNCTION("IMPORTRANGE(""https://docs.google.com/spreadsheets/d/1uMKqWwuNQ-TCKboGA3Bb1qXb5uj2-faACNUINCz8PN4/edit?usp=sharing"",""มุกดาหาร!I359"")"),2240)</f>
        <v>2240</v>
      </c>
      <c r="S40" s="86">
        <f ca="1">IFERROR(__xludf.DUMMYFUNCTION("IMPORTRANGE(""https://docs.google.com/spreadsheets/d/1uMKqWwuNQ-TCKboGA3Bb1qXb5uj2-faACNUINCz8PN4/edit?usp=sharing"",""มุกดาหาร!J358"")"),177)</f>
        <v>177</v>
      </c>
      <c r="T40" s="86">
        <f ca="1">IFERROR(__xludf.DUMMYFUNCTION("IMPORTRANGE(""https://docs.google.com/spreadsheets/d/1uMKqWwuNQ-TCKboGA3Bb1qXb5uj2-faACNUINCz8PN4/edit?usp=sharing"",""มุกดาหาร!J359"")"),1085.21)</f>
        <v>1085.21</v>
      </c>
      <c r="U40" s="87">
        <f t="shared" ca="1" si="43"/>
        <v>48.446874999999999</v>
      </c>
      <c r="V40" s="86">
        <f ca="1">IFERROR(__xludf.DUMMYFUNCTION("IMPORTRANGE(""https://docs.google.com/spreadsheets/d/1uMKqWwuNQ-TCKboGA3Bb1qXb5uj2-faACNUINCz8PN4/edit?usp=sharing"",""มุกดาหาร!I360"")"),224)</f>
        <v>224</v>
      </c>
      <c r="W40" s="86">
        <f ca="1">IFERROR(__xludf.DUMMYFUNCTION("IMPORTRANGE(""https://docs.google.com/spreadsheets/d/1uMKqWwuNQ-TCKboGA3Bb1qXb5uj2-faACNUINCz8PN4/edit?usp=sharing"",""มุกดาหาร!J360"")"),154)</f>
        <v>154</v>
      </c>
      <c r="X40" s="86">
        <f ca="1">IFERROR(__xludf.DUMMYFUNCTION("IMPORTRANGE(""https://docs.google.com/spreadsheets/d/1uMKqWwuNQ-TCKboGA3Bb1qXb5uj2-faACNUINCz8PN4/edit?usp=sharing"",""มุกดาหาร!J361"")"),937.78)</f>
        <v>937.78</v>
      </c>
      <c r="Y40" s="87">
        <f t="shared" ca="1" si="44"/>
        <v>68.75</v>
      </c>
      <c r="Z40" s="86">
        <f ca="1">IFERROR(__xludf.DUMMYFUNCTION("IMPORTRANGE(""https://docs.google.com/spreadsheets/d/1uMKqWwuNQ-TCKboGA3Bb1qXb5uj2-faACNUINCz8PN4/edit?usp=sharing"",""มุกดาหาร!I362"")"),224)</f>
        <v>224</v>
      </c>
      <c r="AA40" s="86">
        <f ca="1">IFERROR(__xludf.DUMMYFUNCTION("IMPORTRANGE(""https://docs.google.com/spreadsheets/d/1uMKqWwuNQ-TCKboGA3Bb1qXb5uj2-faACNUINCz8PN4/edit?usp=sharing"",""มุกดาหาร!J362"")"),92)</f>
        <v>92</v>
      </c>
      <c r="AB40" s="86">
        <f ca="1">IFERROR(__xludf.DUMMYFUNCTION("IMPORTRANGE(""https://docs.google.com/spreadsheets/d/1uMKqWwuNQ-TCKboGA3Bb1qXb5uj2-faACNUINCz8PN4/edit?usp=sharing"",""มุกดาหาร!J363"")"),449.43)</f>
        <v>449.43</v>
      </c>
      <c r="AC40" s="87">
        <f t="shared" ca="1" si="45"/>
        <v>41.071428571428569</v>
      </c>
      <c r="AD40" s="86">
        <f ca="1">IFERROR(__xludf.DUMMYFUNCTION("IMPORTRANGE(""https://docs.google.com/spreadsheets/d/1uMKqWwuNQ-TCKboGA3Bb1qXb5uj2-faACNUINCz8PN4/edit?usp=sharing"",""มุกดาหาร!I364"")"),374)</f>
        <v>374</v>
      </c>
      <c r="AE40" s="86">
        <f ca="1">IFERROR(__xludf.DUMMYFUNCTION("IMPORTRANGE(""https://docs.google.com/spreadsheets/d/1uMKqWwuNQ-TCKboGA3Bb1qXb5uj2-faACNUINCz8PN4/edit?usp=sharing"",""มุกดาหาร!J364"")"),186)</f>
        <v>186</v>
      </c>
      <c r="AF40" s="87">
        <f t="shared" ca="1" si="16"/>
        <v>49.732620320855617</v>
      </c>
      <c r="AG40" s="86">
        <f ca="1">IFERROR(__xludf.DUMMYFUNCTION("IMPORTRANGE(""https://docs.google.com/spreadsheets/d/1uMKqWwuNQ-TCKboGA3Bb1qXb5uj2-faACNUINCz8PN4/edit?usp=sharing"",""มุกดาหาร!I369"")"),240)</f>
        <v>240</v>
      </c>
      <c r="AH40" s="86">
        <f ca="1">IFERROR(__xludf.DUMMYFUNCTION("IMPORTRANGE(""https://docs.google.com/spreadsheets/d/1uMKqWwuNQ-TCKboGA3Bb1qXb5uj2-faACNUINCz8PN4/edit?usp=sharing"",""มุกดาหาร!J368"")"),26)</f>
        <v>26</v>
      </c>
      <c r="AI40" s="86">
        <f ca="1">IFERROR(__xludf.DUMMYFUNCTION("IMPORTRANGE(""https://docs.google.com/spreadsheets/d/1uMKqWwuNQ-TCKboGA3Bb1qXb5uj2-faACNUINCz8PN4/edit?usp=sharing"",""มุกดาหาร!J369"")"),71.3)</f>
        <v>71.3</v>
      </c>
      <c r="AJ40" s="87">
        <f t="shared" ca="1" si="46"/>
        <v>29.708333333333332</v>
      </c>
      <c r="AK40" s="86">
        <f ca="1">IFERROR(__xludf.DUMMYFUNCTION("IMPORTRANGE(""https://docs.google.com/spreadsheets/d/1uMKqWwuNQ-TCKboGA3Bb1qXb5uj2-faACNUINCz8PN4/edit?usp=sharing"",""มุกดาหาร!I370"")"),24)</f>
        <v>24</v>
      </c>
      <c r="AL40" s="86">
        <f ca="1">IFERROR(__xludf.DUMMYFUNCTION("IMPORTRANGE(""https://docs.google.com/spreadsheets/d/1uMKqWwuNQ-TCKboGA3Bb1qXb5uj2-faACNUINCz8PN4/edit?usp=sharing"",""มุกดาหาร!J370"")"),16)</f>
        <v>16</v>
      </c>
      <c r="AM40" s="86">
        <f ca="1">IFERROR(__xludf.DUMMYFUNCTION("IMPORTRANGE(""https://docs.google.com/spreadsheets/d/1uMKqWwuNQ-TCKboGA3Bb1qXb5uj2-faACNUINCz8PN4/edit?usp=sharing"",""มุกดาหาร!J371"")"),33.13)</f>
        <v>33.130000000000003</v>
      </c>
      <c r="AN40" s="87">
        <f t="shared" ca="1" si="47"/>
        <v>66.666666666666671</v>
      </c>
      <c r="AO40" s="86">
        <f ca="1">IFERROR(__xludf.DUMMYFUNCTION("IMPORTRANGE(""https://docs.google.com/spreadsheets/d/1uMKqWwuNQ-TCKboGA3Bb1qXb5uj2-faACNUINCz8PN4/edit?usp=sharing"",""มุกดาหาร!I372"")"),24)</f>
        <v>24</v>
      </c>
      <c r="AP40" s="86">
        <f ca="1">IFERROR(__xludf.DUMMYFUNCTION("IMPORTRANGE(""https://docs.google.com/spreadsheets/d/1uMKqWwuNQ-TCKboGA3Bb1qXb5uj2-faACNUINCz8PN4/edit?usp=sharing"",""มุกดาหาร!J372"")"),16)</f>
        <v>16</v>
      </c>
      <c r="AQ40" s="86">
        <f ca="1">IFERROR(__xludf.DUMMYFUNCTION("IMPORTRANGE(""https://docs.google.com/spreadsheets/d/1uMKqWwuNQ-TCKboGA3Bb1qXb5uj2-faACNUINCz8PN4/edit?usp=sharing"",""มุกดาหาร!J373"")"),33.13)</f>
        <v>33.130000000000003</v>
      </c>
      <c r="AR40" s="87">
        <f t="shared" ca="1" si="48"/>
        <v>66.666666666666671</v>
      </c>
      <c r="AS40" s="86">
        <f ca="1">IFERROR(__xludf.DUMMYFUNCTION("IMPORTRANGE(""https://docs.google.com/spreadsheets/d/1uMKqWwuNQ-TCKboGA3Bb1qXb5uj2-faACNUINCz8PN4/edit?usp=sharing"",""มุกดาหาร!I378"")"),2000)</f>
        <v>2000</v>
      </c>
      <c r="AT40" s="86">
        <f ca="1">IFERROR(__xludf.DUMMYFUNCTION("IMPORTRANGE(""https://docs.google.com/spreadsheets/d/1uMKqWwuNQ-TCKboGA3Bb1qXb5uj2-faACNUINCz8PN4/edit?usp=sharing"",""มุกดาหาร!J377"")"),151)</f>
        <v>151</v>
      </c>
      <c r="AU40" s="86">
        <f ca="1">IFERROR(__xludf.DUMMYFUNCTION("IMPORTRANGE(""https://docs.google.com/spreadsheets/d/1uMKqWwuNQ-TCKboGA3Bb1qXb5uj2-faACNUINCz8PN4/edit?usp=sharing"",""มุกดาหาร!J378"")"),1013.91)</f>
        <v>1013.91</v>
      </c>
      <c r="AV40" s="87">
        <f t="shared" ca="1" si="49"/>
        <v>50.695500000000003</v>
      </c>
      <c r="AW40" s="86">
        <f ca="1">IFERROR(__xludf.DUMMYFUNCTION("IMPORTRANGE(""https://docs.google.com/spreadsheets/d/1uMKqWwuNQ-TCKboGA3Bb1qXb5uj2-faACNUINCz8PN4/edit?usp=sharing"",""มุกดาหาร!I379"")"),350)</f>
        <v>350</v>
      </c>
      <c r="AX40" s="86">
        <f ca="1">IFERROR(__xludf.DUMMYFUNCTION("IMPORTRANGE(""https://docs.google.com/spreadsheets/d/1uMKqWwuNQ-TCKboGA3Bb1qXb5uj2-faACNUINCz8PN4/edit?usp=sharing"",""มุกดาหาร!J379"")"),231)</f>
        <v>231</v>
      </c>
      <c r="AY40" s="86">
        <f ca="1">IFERROR(__xludf.DUMMYFUNCTION("IMPORTRANGE(""https://docs.google.com/spreadsheets/d/1uMKqWwuNQ-TCKboGA3Bb1qXb5uj2-faACNUINCz8PN4/edit?usp=sharing"",""มุกดาหาร!J380"")"),1890.12)</f>
        <v>1890.12</v>
      </c>
      <c r="AZ40" s="87">
        <f t="shared" ca="1" si="50"/>
        <v>66</v>
      </c>
      <c r="BA40" s="86">
        <f ca="1">IFERROR(__xludf.DUMMYFUNCTION("IMPORTRANGE(""https://docs.google.com/spreadsheets/d/1uMKqWwuNQ-TCKboGA3Bb1qXb5uj2-faACNUINCz8PN4/edit?usp=sharing"",""มุกดาหาร!I381"")"),350)</f>
        <v>350</v>
      </c>
      <c r="BB40" s="86">
        <f ca="1">IFERROR(__xludf.DUMMYFUNCTION("IMPORTRANGE(""https://docs.google.com/spreadsheets/d/1uMKqWwuNQ-TCKboGA3Bb1qXb5uj2-faACNUINCz8PN4/edit?usp=sharing"",""มุกดาหาร!J381"")"),170)</f>
        <v>170</v>
      </c>
      <c r="BC40" s="86">
        <f ca="1">IFERROR(__xludf.DUMMYFUNCTION("IMPORTRANGE(""https://docs.google.com/spreadsheets/d/1uMKqWwuNQ-TCKboGA3Bb1qXb5uj2-faACNUINCz8PN4/edit?usp=sharing"",""มุกดาหาร!J382"")"),1387.8)</f>
        <v>1387.8</v>
      </c>
      <c r="BD40" s="87">
        <f t="shared" ca="1" si="51"/>
        <v>48.571428571428569</v>
      </c>
    </row>
    <row r="41" spans="1:56" ht="21" customHeight="1" x14ac:dyDescent="0.2">
      <c r="A41" s="78">
        <v>10</v>
      </c>
      <c r="B41" s="79" t="s">
        <v>63</v>
      </c>
      <c r="C41" s="80">
        <f t="shared" ca="1" si="0"/>
        <v>791770</v>
      </c>
      <c r="D41" s="81">
        <f t="shared" ca="1" si="76"/>
        <v>700170</v>
      </c>
      <c r="E41" s="82">
        <f ca="1">IFERROR(__xludf.DUMMYFUNCTION("IMPORTRANGE(""https://docs.google.com/spreadsheets/d/1MeEWN-I1oV_STSDYn1IFDPWt_1FKiwhDph83XaGc0o0/edit?usp=sharing"",""งบพรบ!EX41"")"),0)</f>
        <v>0</v>
      </c>
      <c r="F41" s="82">
        <f ca="1">IFERROR(__xludf.DUMMYFUNCTION("IMPORTRANGE(""https://docs.google.com/spreadsheets/d/1MeEWN-I1oV_STSDYn1IFDPWt_1FKiwhDph83XaGc0o0/edit?usp=sharing"",""งบพรบ!EY41"")"),700170)</f>
        <v>700170</v>
      </c>
      <c r="G41" s="82">
        <f ca="1">IFERROR(__xludf.DUMMYFUNCTION("IMPORTRANGE(""https://docs.google.com/spreadsheets/d/1MeEWN-I1oV_STSDYn1IFDPWt_1FKiwhDph83XaGc0o0/edit?usp=sharing"",""งบพรบ!EZ41"")"),91600)</f>
        <v>91600</v>
      </c>
      <c r="H41" s="82">
        <f ca="1">IFERROR(__xludf.DUMMYFUNCTION("IMPORTRANGE(""https://docs.google.com/spreadsheets/d/1MeEWN-I1oV_STSDYn1IFDPWt_1FKiwhDph83XaGc0o0/edit?usp=sharing"",""งบพรบ!FB41"")"),402010)</f>
        <v>402010</v>
      </c>
      <c r="I41" s="82">
        <f ca="1">IFERROR(__xludf.DUMMYFUNCTION("IMPORTRANGE(""https://docs.google.com/spreadsheets/d/1MeEWN-I1oV_STSDYn1IFDPWt_1FKiwhDph83XaGc0o0/edit?usp=sharing"",""งบพรบ!FC41"")"),91600)</f>
        <v>91600</v>
      </c>
      <c r="J41" s="82">
        <f t="shared" ca="1" si="3"/>
        <v>275605</v>
      </c>
      <c r="K41" s="83">
        <f t="shared" ca="1" si="4"/>
        <v>34.808719703954431</v>
      </c>
      <c r="L41" s="82">
        <f ca="1">IFERROR(__xludf.DUMMYFUNCTION("IMPORTRANGE(""https://docs.google.com/spreadsheets/d/1MeEWN-I1oV_STSDYn1IFDPWt_1FKiwhDph83XaGc0o0/edit?usp=sharing"",""งบพรบ!FD41"")"),184005)</f>
        <v>184005</v>
      </c>
      <c r="M41" s="84">
        <f t="shared" ca="1" si="5"/>
        <v>26.280046274476199</v>
      </c>
      <c r="N41" s="84">
        <f t="shared" ca="1" si="6"/>
        <v>45.771249471406186</v>
      </c>
      <c r="O41" s="85">
        <f ca="1">IFERROR(__xludf.DUMMYFUNCTION("IMPORTRANGE(""https://docs.google.com/spreadsheets/d/1MeEWN-I1oV_STSDYn1IFDPWt_1FKiwhDph83XaGc0o0/edit?usp=sharing"",""งบพรบ!FE41"")"),91600)</f>
        <v>91600</v>
      </c>
      <c r="P41" s="84">
        <f t="shared" ca="1" si="53"/>
        <v>100</v>
      </c>
      <c r="Q41" s="84">
        <f t="shared" ca="1" si="8"/>
        <v>100</v>
      </c>
      <c r="R41" s="86">
        <f ca="1">IFERROR(__xludf.DUMMYFUNCTION("IMPORTRANGE(""https://docs.google.com/spreadsheets/d/1oKaccgDdQABndOzGr688Dbfxb_V3YcF67VqEPBtdzsc/edit?usp=sharing"",""ยโสธร!I359"")"),4700)</f>
        <v>4700</v>
      </c>
      <c r="S41" s="86">
        <f ca="1">IFERROR(__xludf.DUMMYFUNCTION("IMPORTRANGE(""https://docs.google.com/spreadsheets/d/1oKaccgDdQABndOzGr688Dbfxb_V3YcF67VqEPBtdzsc/edit?usp=sharing"",""ยโสธร!J358"")"),76)</f>
        <v>76</v>
      </c>
      <c r="T41" s="86">
        <f ca="1">IFERROR(__xludf.DUMMYFUNCTION("IMPORTRANGE(""https://docs.google.com/spreadsheets/d/1oKaccgDdQABndOzGr688Dbfxb_V3YcF67VqEPBtdzsc/edit?usp=sharing"",""ยโสธร!J359"")"),503.97)</f>
        <v>503.97</v>
      </c>
      <c r="U41" s="87">
        <f t="shared" ca="1" si="43"/>
        <v>10.722765957446809</v>
      </c>
      <c r="V41" s="86">
        <f ca="1">IFERROR(__xludf.DUMMYFUNCTION("IMPORTRANGE(""https://docs.google.com/spreadsheets/d/1oKaccgDdQABndOzGr688Dbfxb_V3YcF67VqEPBtdzsc/edit?usp=sharing"",""ยโสธร!I360"")"),530)</f>
        <v>530</v>
      </c>
      <c r="W41" s="86">
        <f ca="1">IFERROR(__xludf.DUMMYFUNCTION("IMPORTRANGE(""https://docs.google.com/spreadsheets/d/1oKaccgDdQABndOzGr688Dbfxb_V3YcF67VqEPBtdzsc/edit?usp=sharing"",""ยโสธร!J360"")"),77)</f>
        <v>77</v>
      </c>
      <c r="X41" s="86">
        <f ca="1">IFERROR(__xludf.DUMMYFUNCTION("IMPORTRANGE(""https://docs.google.com/spreadsheets/d/1oKaccgDdQABndOzGr688Dbfxb_V3YcF67VqEPBtdzsc/edit?usp=sharing"",""ยโสธร!J361"")"),519.32)</f>
        <v>519.32000000000005</v>
      </c>
      <c r="Y41" s="87">
        <f t="shared" ca="1" si="44"/>
        <v>14.528301886792454</v>
      </c>
      <c r="Z41" s="86">
        <f ca="1">IFERROR(__xludf.DUMMYFUNCTION("IMPORTRANGE(""https://docs.google.com/spreadsheets/d/1oKaccgDdQABndOzGr688Dbfxb_V3YcF67VqEPBtdzsc/edit?usp=sharing"",""ยโสธร!I362"")"),530)</f>
        <v>530</v>
      </c>
      <c r="AA41" s="86">
        <f ca="1">IFERROR(__xludf.DUMMYFUNCTION("IMPORTRANGE(""https://docs.google.com/spreadsheets/d/1oKaccgDdQABndOzGr688Dbfxb_V3YcF67VqEPBtdzsc/edit?usp=sharing"",""ยโสธร!J362"")"),62)</f>
        <v>62</v>
      </c>
      <c r="AB41" s="86">
        <f ca="1">IFERROR(__xludf.DUMMYFUNCTION("IMPORTRANGE(""https://docs.google.com/spreadsheets/d/1oKaccgDdQABndOzGr688Dbfxb_V3YcF67VqEPBtdzsc/edit?usp=sharing"",""ยโสธร!J363"")"),445.02)</f>
        <v>445.02</v>
      </c>
      <c r="AC41" s="87">
        <f t="shared" ca="1" si="45"/>
        <v>11.69811320754717</v>
      </c>
      <c r="AD41" s="86">
        <f ca="1">IFERROR(__xludf.DUMMYFUNCTION("IMPORTRANGE(""https://docs.google.com/spreadsheets/d/1oKaccgDdQABndOzGr688Dbfxb_V3YcF67VqEPBtdzsc/edit?usp=sharing"",""ยโสธร!I364"")"),1135)</f>
        <v>1135</v>
      </c>
      <c r="AE41" s="86">
        <f ca="1">IFERROR(__xludf.DUMMYFUNCTION("IMPORTRANGE(""https://docs.google.com/spreadsheets/d/1oKaccgDdQABndOzGr688Dbfxb_V3YcF67VqEPBtdzsc/edit?usp=sharing"",""ยโสธร!J364"")"),179)</f>
        <v>179</v>
      </c>
      <c r="AF41" s="87">
        <f t="shared" ca="1" si="16"/>
        <v>15.770925110132159</v>
      </c>
      <c r="AG41" s="86">
        <f ca="1">IFERROR(__xludf.DUMMYFUNCTION("IMPORTRANGE(""https://docs.google.com/spreadsheets/d/1oKaccgDdQABndOzGr688Dbfxb_V3YcF67VqEPBtdzsc/edit?usp=sharing"",""ยโสธร!I369"")"),1400)</f>
        <v>1400</v>
      </c>
      <c r="AH41" s="86">
        <f ca="1">IFERROR(__xludf.DUMMYFUNCTION("IMPORTRANGE(""https://docs.google.com/spreadsheets/d/1oKaccgDdQABndOzGr688Dbfxb_V3YcF67VqEPBtdzsc/edit?usp=sharing"",""ยโสธร!J368"")"),34)</f>
        <v>34</v>
      </c>
      <c r="AI41" s="86">
        <f ca="1">IFERROR(__xludf.DUMMYFUNCTION("IMPORTRANGE(""https://docs.google.com/spreadsheets/d/1oKaccgDdQABndOzGr688Dbfxb_V3YcF67VqEPBtdzsc/edit?usp=sharing"",""ยโสธร!J369"")"),193.66)</f>
        <v>193.66</v>
      </c>
      <c r="AJ41" s="87">
        <f t="shared" ca="1" si="46"/>
        <v>13.832857142857144</v>
      </c>
      <c r="AK41" s="86">
        <f ca="1">IFERROR(__xludf.DUMMYFUNCTION("IMPORTRANGE(""https://docs.google.com/spreadsheets/d/1oKaccgDdQABndOzGr688Dbfxb_V3YcF67VqEPBtdzsc/edit?usp=sharing"",""ยโสธร!I370"")"),140)</f>
        <v>140</v>
      </c>
      <c r="AL41" s="86">
        <f ca="1">IFERROR(__xludf.DUMMYFUNCTION("IMPORTRANGE(""https://docs.google.com/spreadsheets/d/1oKaccgDdQABndOzGr688Dbfxb_V3YcF67VqEPBtdzsc/edit?usp=sharing"",""ยโสธร!J370"")"),34)</f>
        <v>34</v>
      </c>
      <c r="AM41" s="86">
        <f ca="1">IFERROR(__xludf.DUMMYFUNCTION("IMPORTRANGE(""https://docs.google.com/spreadsheets/d/1oKaccgDdQABndOzGr688Dbfxb_V3YcF67VqEPBtdzsc/edit?usp=sharing"",""ยโสธร!J371"")"),193.66)</f>
        <v>193.66</v>
      </c>
      <c r="AN41" s="87">
        <f t="shared" ca="1" si="47"/>
        <v>24.285714285714285</v>
      </c>
      <c r="AO41" s="86">
        <f ca="1">IFERROR(__xludf.DUMMYFUNCTION("IMPORTRANGE(""https://docs.google.com/spreadsheets/d/1oKaccgDdQABndOzGr688Dbfxb_V3YcF67VqEPBtdzsc/edit?usp=sharing"",""ยโสธร!I372"")"),140)</f>
        <v>140</v>
      </c>
      <c r="AP41" s="86">
        <f ca="1">IFERROR(__xludf.DUMMYFUNCTION("IMPORTRANGE(""https://docs.google.com/spreadsheets/d/1oKaccgDdQABndOzGr688Dbfxb_V3YcF67VqEPBtdzsc/edit?usp=sharing"",""ยโสธร!J372"")"),20)</f>
        <v>20</v>
      </c>
      <c r="AQ41" s="86">
        <f ca="1">IFERROR(__xludf.DUMMYFUNCTION("IMPORTRANGE(""https://docs.google.com/spreadsheets/d/1oKaccgDdQABndOzGr688Dbfxb_V3YcF67VqEPBtdzsc/edit?usp=sharing"",""ยโสธร!J373"")"),120.39)</f>
        <v>120.39</v>
      </c>
      <c r="AR41" s="87">
        <f t="shared" ca="1" si="48"/>
        <v>14.285714285714286</v>
      </c>
      <c r="AS41" s="86">
        <f ca="1">IFERROR(__xludf.DUMMYFUNCTION("IMPORTRANGE(""https://docs.google.com/spreadsheets/d/1oKaccgDdQABndOzGr688Dbfxb_V3YcF67VqEPBtdzsc/edit?usp=sharing"",""ยโสธร!I378"")"),3300)</f>
        <v>3300</v>
      </c>
      <c r="AT41" s="86">
        <f ca="1">IFERROR(__xludf.DUMMYFUNCTION("IMPORTRANGE(""https://docs.google.com/spreadsheets/d/1oKaccgDdQABndOzGr688Dbfxb_V3YcF67VqEPBtdzsc/edit?usp=sharing"",""ยโสธร!J377"")"),43)</f>
        <v>43</v>
      </c>
      <c r="AU41" s="86">
        <f ca="1">IFERROR(__xludf.DUMMYFUNCTION("IMPORTRANGE(""https://docs.google.com/spreadsheets/d/1oKaccgDdQABndOzGr688Dbfxb_V3YcF67VqEPBtdzsc/edit?usp=sharing"",""ยโสธร!J378"")"),317.02)</f>
        <v>317.02</v>
      </c>
      <c r="AV41" s="87">
        <f t="shared" ca="1" si="49"/>
        <v>9.6066666666666674</v>
      </c>
      <c r="AW41" s="86">
        <f ca="1">IFERROR(__xludf.DUMMYFUNCTION("IMPORTRANGE(""https://docs.google.com/spreadsheets/d/1oKaccgDdQABndOzGr688Dbfxb_V3YcF67VqEPBtdzsc/edit?usp=sharing"",""ยโสธร!I379"")"),995)</f>
        <v>995</v>
      </c>
      <c r="AX41" s="86">
        <f ca="1">IFERROR(__xludf.DUMMYFUNCTION("IMPORTRANGE(""https://docs.google.com/spreadsheets/d/1oKaccgDdQABndOzGr688Dbfxb_V3YcF67VqEPBtdzsc/edit?usp=sharing"",""ยโสธร!J379"")"),161)</f>
        <v>161</v>
      </c>
      <c r="AY41" s="86">
        <f ca="1">IFERROR(__xludf.DUMMYFUNCTION("IMPORTRANGE(""https://docs.google.com/spreadsheets/d/1oKaccgDdQABndOzGr688Dbfxb_V3YcF67VqEPBtdzsc/edit?usp=sharing"",""ยโสธร!J380"")"),1717.54)</f>
        <v>1717.54</v>
      </c>
      <c r="AZ41" s="87">
        <f t="shared" ca="1" si="50"/>
        <v>16.180904522613066</v>
      </c>
      <c r="BA41" s="86">
        <f ca="1">IFERROR(__xludf.DUMMYFUNCTION("IMPORTRANGE(""https://docs.google.com/spreadsheets/d/1oKaccgDdQABndOzGr688Dbfxb_V3YcF67VqEPBtdzsc/edit?usp=sharing"",""ยโสธร!I381"")"),995)</f>
        <v>995</v>
      </c>
      <c r="BB41" s="86">
        <f ca="1">IFERROR(__xludf.DUMMYFUNCTION("IMPORTRANGE(""https://docs.google.com/spreadsheets/d/1oKaccgDdQABndOzGr688Dbfxb_V3YcF67VqEPBtdzsc/edit?usp=sharing"",""ยโสธร!J381"")"),159)</f>
        <v>159</v>
      </c>
      <c r="BC41" s="86">
        <f ca="1">IFERROR(__xludf.DUMMYFUNCTION("IMPORTRANGE(""https://docs.google.com/spreadsheets/d/1oKaccgDdQABndOzGr688Dbfxb_V3YcF67VqEPBtdzsc/edit?usp=sharing"",""ยโสธร!J382"")"),1709.8)</f>
        <v>1709.8</v>
      </c>
      <c r="BD41" s="87">
        <f t="shared" ca="1" si="51"/>
        <v>15.979899497487438</v>
      </c>
    </row>
    <row r="42" spans="1:56" ht="21" customHeight="1" x14ac:dyDescent="0.2">
      <c r="A42" s="78">
        <v>11</v>
      </c>
      <c r="B42" s="79" t="s">
        <v>64</v>
      </c>
      <c r="C42" s="80">
        <f t="shared" ca="1" si="0"/>
        <v>1261590</v>
      </c>
      <c r="D42" s="81">
        <f t="shared" ca="1" si="76"/>
        <v>1044090</v>
      </c>
      <c r="E42" s="82">
        <f ca="1">IFERROR(__xludf.DUMMYFUNCTION("IMPORTRANGE(""https://docs.google.com/spreadsheets/d/1MeEWN-I1oV_STSDYn1IFDPWt_1FKiwhDph83XaGc0o0/edit?usp=sharing"",""งบพรบ!EX42"")"),0)</f>
        <v>0</v>
      </c>
      <c r="F42" s="82">
        <f ca="1">IFERROR(__xludf.DUMMYFUNCTION("IMPORTRANGE(""https://docs.google.com/spreadsheets/d/1MeEWN-I1oV_STSDYn1IFDPWt_1FKiwhDph83XaGc0o0/edit?usp=sharing"",""งบพรบ!EY42"")"),1044090)</f>
        <v>1044090</v>
      </c>
      <c r="G42" s="82">
        <f ca="1">IFERROR(__xludf.DUMMYFUNCTION("IMPORTRANGE(""https://docs.google.com/spreadsheets/d/1MeEWN-I1oV_STSDYn1IFDPWt_1FKiwhDph83XaGc0o0/edit?usp=sharing"",""งบพรบ!EZ42"")"),217500)</f>
        <v>217500</v>
      </c>
      <c r="H42" s="82">
        <f ca="1">IFERROR(__xludf.DUMMYFUNCTION("IMPORTRANGE(""https://docs.google.com/spreadsheets/d/1MeEWN-I1oV_STSDYn1IFDPWt_1FKiwhDph83XaGc0o0/edit?usp=sharing"",""งบพรบ!FB42"")"),612830)</f>
        <v>612830</v>
      </c>
      <c r="I42" s="82">
        <f ca="1">IFERROR(__xludf.DUMMYFUNCTION("IMPORTRANGE(""https://docs.google.com/spreadsheets/d/1MeEWN-I1oV_STSDYn1IFDPWt_1FKiwhDph83XaGc0o0/edit?usp=sharing"",""งบพรบ!FC42"")"),217500)</f>
        <v>217500</v>
      </c>
      <c r="J42" s="82">
        <f t="shared" ca="1" si="3"/>
        <v>605711.28</v>
      </c>
      <c r="K42" s="83">
        <f t="shared" ca="1" si="4"/>
        <v>48.011737569257839</v>
      </c>
      <c r="L42" s="82">
        <f ca="1">IFERROR(__xludf.DUMMYFUNCTION("IMPORTRANGE(""https://docs.google.com/spreadsheets/d/1MeEWN-I1oV_STSDYn1IFDPWt_1FKiwhDph83XaGc0o0/edit?usp=sharing"",""งบพรบ!FD42"")"),388211.28)</f>
        <v>388211.28</v>
      </c>
      <c r="M42" s="84">
        <f t="shared" ca="1" si="5"/>
        <v>37.181783179610953</v>
      </c>
      <c r="N42" s="84">
        <f t="shared" ca="1" si="6"/>
        <v>63.347303493627926</v>
      </c>
      <c r="O42" s="85">
        <f ca="1">IFERROR(__xludf.DUMMYFUNCTION("IMPORTRANGE(""https://docs.google.com/spreadsheets/d/1MeEWN-I1oV_STSDYn1IFDPWt_1FKiwhDph83XaGc0o0/edit?usp=sharing"",""งบพรบ!FE42"")"),217500)</f>
        <v>217500</v>
      </c>
      <c r="P42" s="84">
        <f t="shared" ca="1" si="53"/>
        <v>100</v>
      </c>
      <c r="Q42" s="84">
        <f t="shared" ca="1" si="8"/>
        <v>100</v>
      </c>
      <c r="R42" s="86">
        <f ca="1">IFERROR(__xludf.DUMMYFUNCTION("IMPORTRANGE(""https://docs.google.com/spreadsheets/d/1BRgc8xKpxZ0PX-gauieMVkV_IOxKSotf0yW8MabGprQ/edit?usp=sharing"",""ร้อยเอ็ด!I359"")"),6700)</f>
        <v>6700</v>
      </c>
      <c r="S42" s="86">
        <f ca="1">IFERROR(__xludf.DUMMYFUNCTION("IMPORTRANGE(""https://docs.google.com/spreadsheets/d/1BRgc8xKpxZ0PX-gauieMVkV_IOxKSotf0yW8MabGprQ/edit?usp=sharing"",""ร้อยเอ็ด!J358"")"),189)</f>
        <v>189</v>
      </c>
      <c r="T42" s="86">
        <f ca="1">IFERROR(__xludf.DUMMYFUNCTION("IMPORTRANGE(""https://docs.google.com/spreadsheets/d/1BRgc8xKpxZ0PX-gauieMVkV_IOxKSotf0yW8MabGprQ/edit?usp=sharing"",""ร้อยเอ็ด!J359"")"),1362.42)</f>
        <v>1362.42</v>
      </c>
      <c r="U42" s="87">
        <f t="shared" ca="1" si="43"/>
        <v>20.334626865671641</v>
      </c>
      <c r="V42" s="86">
        <f ca="1">IFERROR(__xludf.DUMMYFUNCTION("IMPORTRANGE(""https://docs.google.com/spreadsheets/d/1BRgc8xKpxZ0PX-gauieMVkV_IOxKSotf0yW8MabGprQ/edit?usp=sharing"",""ร้อยเอ็ด!I360"")"),670)</f>
        <v>670</v>
      </c>
      <c r="W42" s="86">
        <f ca="1">IFERROR(__xludf.DUMMYFUNCTION("IMPORTRANGE(""https://docs.google.com/spreadsheets/d/1BRgc8xKpxZ0PX-gauieMVkV_IOxKSotf0yW8MabGprQ/edit?usp=sharing"",""ร้อยเอ็ด!J360"")"),197)</f>
        <v>197</v>
      </c>
      <c r="X42" s="86">
        <f ca="1">IFERROR(__xludf.DUMMYFUNCTION("IMPORTRANGE(""https://docs.google.com/spreadsheets/d/1BRgc8xKpxZ0PX-gauieMVkV_IOxKSotf0yW8MabGprQ/edit?usp=sharing"",""ร้อยเอ็ด!J361"")"),1428.15)</f>
        <v>1428.15</v>
      </c>
      <c r="Y42" s="87">
        <f t="shared" ca="1" si="44"/>
        <v>29.402985074626866</v>
      </c>
      <c r="Z42" s="86">
        <f ca="1">IFERROR(__xludf.DUMMYFUNCTION("IMPORTRANGE(""https://docs.google.com/spreadsheets/d/1BRgc8xKpxZ0PX-gauieMVkV_IOxKSotf0yW8MabGprQ/edit?usp=sharing"",""ร้อยเอ็ด!I362"")"),670)</f>
        <v>670</v>
      </c>
      <c r="AA42" s="86">
        <f ca="1">IFERROR(__xludf.DUMMYFUNCTION("IMPORTRANGE(""https://docs.google.com/spreadsheets/d/1BRgc8xKpxZ0PX-gauieMVkV_IOxKSotf0yW8MabGprQ/edit?usp=sharing"",""ร้อยเอ็ด!J362"")"),91)</f>
        <v>91</v>
      </c>
      <c r="AB42" s="86">
        <f ca="1">IFERROR(__xludf.DUMMYFUNCTION("IMPORTRANGE(""https://docs.google.com/spreadsheets/d/1BRgc8xKpxZ0PX-gauieMVkV_IOxKSotf0yW8MabGprQ/edit?usp=sharing"",""ร้อยเอ็ด!J363"")"),661.03)</f>
        <v>661.03</v>
      </c>
      <c r="AC42" s="87">
        <f t="shared" ca="1" si="45"/>
        <v>13.582089552238806</v>
      </c>
      <c r="AD42" s="86">
        <f ca="1">IFERROR(__xludf.DUMMYFUNCTION("IMPORTRANGE(""https://docs.google.com/spreadsheets/d/1BRgc8xKpxZ0PX-gauieMVkV_IOxKSotf0yW8MabGprQ/edit?usp=sharing"",""ร้อยเอ็ด!I364"")"),1120)</f>
        <v>1120</v>
      </c>
      <c r="AE42" s="86">
        <f ca="1">IFERROR(__xludf.DUMMYFUNCTION("IMPORTRANGE(""https://docs.google.com/spreadsheets/d/1BRgc8xKpxZ0PX-gauieMVkV_IOxKSotf0yW8MabGprQ/edit?usp=sharing"",""ร้อยเอ็ด!J364"")"),380)</f>
        <v>380</v>
      </c>
      <c r="AF42" s="87">
        <f t="shared" ca="1" si="16"/>
        <v>33.928571428571431</v>
      </c>
      <c r="AG42" s="86">
        <f ca="1">IFERROR(__xludf.DUMMYFUNCTION("IMPORTRANGE(""https://docs.google.com/spreadsheets/d/1BRgc8xKpxZ0PX-gauieMVkV_IOxKSotf0yW8MabGprQ/edit?usp=sharing"",""ร้อยเอ็ด!I369"")"),1200)</f>
        <v>1200</v>
      </c>
      <c r="AH42" s="86">
        <f ca="1">IFERROR(__xludf.DUMMYFUNCTION("IMPORTRANGE(""https://docs.google.com/spreadsheets/d/1BRgc8xKpxZ0PX-gauieMVkV_IOxKSotf0yW8MabGprQ/edit?usp=sharing"",""ร้อยเอ็ด!J368"")"),51)</f>
        <v>51</v>
      </c>
      <c r="AI42" s="86">
        <f ca="1">IFERROR(__xludf.DUMMYFUNCTION("IMPORTRANGE(""https://docs.google.com/spreadsheets/d/1BRgc8xKpxZ0PX-gauieMVkV_IOxKSotf0yW8MabGprQ/edit?usp=sharing"",""ร้อยเอ็ด!J369"")"),338.24)</f>
        <v>338.24</v>
      </c>
      <c r="AJ42" s="87">
        <f t="shared" ca="1" si="46"/>
        <v>28.186666666666667</v>
      </c>
      <c r="AK42" s="86">
        <f ca="1">IFERROR(__xludf.DUMMYFUNCTION("IMPORTRANGE(""https://docs.google.com/spreadsheets/d/1BRgc8xKpxZ0PX-gauieMVkV_IOxKSotf0yW8MabGprQ/edit?usp=sharing"",""ร้อยเอ็ด!I370"")"),120)</f>
        <v>120</v>
      </c>
      <c r="AL42" s="86">
        <f ca="1">IFERROR(__xludf.DUMMYFUNCTION("IMPORTRANGE(""https://docs.google.com/spreadsheets/d/1BRgc8xKpxZ0PX-gauieMVkV_IOxKSotf0yW8MabGprQ/edit?usp=sharing"",""ร้อยเอ็ด!J370"")"),59)</f>
        <v>59</v>
      </c>
      <c r="AM42" s="86">
        <f ca="1">IFERROR(__xludf.DUMMYFUNCTION("IMPORTRANGE(""https://docs.google.com/spreadsheets/d/1BRgc8xKpxZ0PX-gauieMVkV_IOxKSotf0yW8MabGprQ/edit?usp=sharing"",""ร้อยเอ็ด!J371"")"),403.97)</f>
        <v>403.97</v>
      </c>
      <c r="AN42" s="87">
        <f t="shared" ca="1" si="47"/>
        <v>49.166666666666664</v>
      </c>
      <c r="AO42" s="86">
        <f ca="1">IFERROR(__xludf.DUMMYFUNCTION("IMPORTRANGE(""https://docs.google.com/spreadsheets/d/1BRgc8xKpxZ0PX-gauieMVkV_IOxKSotf0yW8MabGprQ/edit?usp=sharing"",""ร้อยเอ็ด!I372"")"),120)</f>
        <v>120</v>
      </c>
      <c r="AP42" s="86">
        <f ca="1">IFERROR(__xludf.DUMMYFUNCTION("IMPORTRANGE(""https://docs.google.com/spreadsheets/d/1BRgc8xKpxZ0PX-gauieMVkV_IOxKSotf0yW8MabGprQ/edit?usp=sharing"",""ร้อยเอ็ด!J372"")"),0)</f>
        <v>0</v>
      </c>
      <c r="AQ42" s="86">
        <f ca="1">IFERROR(__xludf.DUMMYFUNCTION("IMPORTRANGE(""https://docs.google.com/spreadsheets/d/1BRgc8xKpxZ0PX-gauieMVkV_IOxKSotf0yW8MabGprQ/edit?usp=sharing"",""ร้อยเอ็ด!J373"")"),0)</f>
        <v>0</v>
      </c>
      <c r="AR42" s="87">
        <f t="shared" ca="1" si="48"/>
        <v>0</v>
      </c>
      <c r="AS42" s="86">
        <f ca="1">IFERROR(__xludf.DUMMYFUNCTION("IMPORTRANGE(""https://docs.google.com/spreadsheets/d/1BRgc8xKpxZ0PX-gauieMVkV_IOxKSotf0yW8MabGprQ/edit?usp=sharing"",""ร้อยเอ็ด!I378"")"),5500)</f>
        <v>5500</v>
      </c>
      <c r="AT42" s="86">
        <f ca="1">IFERROR(__xludf.DUMMYFUNCTION("IMPORTRANGE(""https://docs.google.com/spreadsheets/d/1BRgc8xKpxZ0PX-gauieMVkV_IOxKSotf0yW8MabGprQ/edit?usp=sharing"",""ร้อยเอ็ด!J377"")"),138)</f>
        <v>138</v>
      </c>
      <c r="AU42" s="86">
        <f ca="1">IFERROR(__xludf.DUMMYFUNCTION("IMPORTRANGE(""https://docs.google.com/spreadsheets/d/1BRgc8xKpxZ0PX-gauieMVkV_IOxKSotf0yW8MabGprQ/edit?usp=sharing"",""ร้อยเอ็ด!J378"")"),1024.18)</f>
        <v>1024.18</v>
      </c>
      <c r="AV42" s="87">
        <f t="shared" ca="1" si="49"/>
        <v>18.621454545454544</v>
      </c>
      <c r="AW42" s="86">
        <f ca="1">IFERROR(__xludf.DUMMYFUNCTION("IMPORTRANGE(""https://docs.google.com/spreadsheets/d/1BRgc8xKpxZ0PX-gauieMVkV_IOxKSotf0yW8MabGprQ/edit?usp=sharing"",""ร้อยเอ็ด!I379"")"),1000)</f>
        <v>1000</v>
      </c>
      <c r="AX42" s="86">
        <f ca="1">IFERROR(__xludf.DUMMYFUNCTION("IMPORTRANGE(""https://docs.google.com/spreadsheets/d/1BRgc8xKpxZ0PX-gauieMVkV_IOxKSotf0yW8MabGprQ/edit?usp=sharing"",""ร้อยเอ็ด!J379"")"),545)</f>
        <v>545</v>
      </c>
      <c r="AY42" s="86">
        <f ca="1">IFERROR(__xludf.DUMMYFUNCTION("IMPORTRANGE(""https://docs.google.com/spreadsheets/d/1BRgc8xKpxZ0PX-gauieMVkV_IOxKSotf0yW8MabGprQ/edit?usp=sharing"",""ร้อยเอ็ด!J380"")"),5482.71)</f>
        <v>5482.71</v>
      </c>
      <c r="AZ42" s="87">
        <f t="shared" ca="1" si="50"/>
        <v>54.5</v>
      </c>
      <c r="BA42" s="86">
        <f ca="1">IFERROR(__xludf.DUMMYFUNCTION("IMPORTRANGE(""https://docs.google.com/spreadsheets/d/1BRgc8xKpxZ0PX-gauieMVkV_IOxKSotf0yW8MabGprQ/edit?usp=sharing"",""ร้อยเอ็ด!I381"")"),1000)</f>
        <v>1000</v>
      </c>
      <c r="BB42" s="86">
        <f ca="1">IFERROR(__xludf.DUMMYFUNCTION("IMPORTRANGE(""https://docs.google.com/spreadsheets/d/1BRgc8xKpxZ0PX-gauieMVkV_IOxKSotf0yW8MabGprQ/edit?usp=sharing"",""ร้อยเอ็ด!J381"")"),380)</f>
        <v>380</v>
      </c>
      <c r="BC42" s="86">
        <f ca="1">IFERROR(__xludf.DUMMYFUNCTION("IMPORTRANGE(""https://docs.google.com/spreadsheets/d/1BRgc8xKpxZ0PX-gauieMVkV_IOxKSotf0yW8MabGprQ/edit?usp=sharing"",""ร้อยเอ็ด!J382"")"),3865.35)</f>
        <v>3865.35</v>
      </c>
      <c r="BD42" s="87">
        <f t="shared" ca="1" si="51"/>
        <v>38</v>
      </c>
    </row>
    <row r="43" spans="1:56" ht="21" customHeight="1" x14ac:dyDescent="0.2">
      <c r="A43" s="78">
        <v>12</v>
      </c>
      <c r="B43" s="79" t="s">
        <v>65</v>
      </c>
      <c r="C43" s="80">
        <f t="shared" ca="1" si="0"/>
        <v>1476480</v>
      </c>
      <c r="D43" s="81">
        <f t="shared" ca="1" si="76"/>
        <v>1416480</v>
      </c>
      <c r="E43" s="82">
        <f ca="1">IFERROR(__xludf.DUMMYFUNCTION("IMPORTRANGE(""https://docs.google.com/spreadsheets/d/1MeEWN-I1oV_STSDYn1IFDPWt_1FKiwhDph83XaGc0o0/edit?usp=sharing"",""งบพรบ!EX43"")"),315600)</f>
        <v>315600</v>
      </c>
      <c r="F43" s="82">
        <f ca="1">IFERROR(__xludf.DUMMYFUNCTION("IMPORTRANGE(""https://docs.google.com/spreadsheets/d/1MeEWN-I1oV_STSDYn1IFDPWt_1FKiwhDph83XaGc0o0/edit?usp=sharing"",""งบพรบ!EY43"")"),1100880)</f>
        <v>1100880</v>
      </c>
      <c r="G43" s="82">
        <f ca="1">IFERROR(__xludf.DUMMYFUNCTION("IMPORTRANGE(""https://docs.google.com/spreadsheets/d/1MeEWN-I1oV_STSDYn1IFDPWt_1FKiwhDph83XaGc0o0/edit?usp=sharing"",""งบพรบ!EZ43"")"),60000)</f>
        <v>60000</v>
      </c>
      <c r="H43" s="82">
        <f ca="1">IFERROR(__xludf.DUMMYFUNCTION("IMPORTRANGE(""https://docs.google.com/spreadsheets/d/1MeEWN-I1oV_STSDYn1IFDPWt_1FKiwhDph83XaGc0o0/edit?usp=sharing"",""งบพรบ!FB43"")"),876360)</f>
        <v>876360</v>
      </c>
      <c r="I43" s="82">
        <f ca="1">IFERROR(__xludf.DUMMYFUNCTION("IMPORTRANGE(""https://docs.google.com/spreadsheets/d/1MeEWN-I1oV_STSDYn1IFDPWt_1FKiwhDph83XaGc0o0/edit?usp=sharing"",""งบพรบ!FC43"")"),60000)</f>
        <v>60000</v>
      </c>
      <c r="J43" s="82">
        <f t="shared" ca="1" si="3"/>
        <v>498716</v>
      </c>
      <c r="K43" s="83">
        <f t="shared" ca="1" si="4"/>
        <v>33.777362375379283</v>
      </c>
      <c r="L43" s="82">
        <f ca="1">IFERROR(__xludf.DUMMYFUNCTION("IMPORTRANGE(""https://docs.google.com/spreadsheets/d/1MeEWN-I1oV_STSDYn1IFDPWt_1FKiwhDph83XaGc0o0/edit?usp=sharing"",""งบพรบ!FD43"")"),438716)</f>
        <v>438716</v>
      </c>
      <c r="M43" s="84">
        <f t="shared" ca="1" si="5"/>
        <v>30.972269287247261</v>
      </c>
      <c r="N43" s="84">
        <f t="shared" ca="1" si="6"/>
        <v>50.061162079510702</v>
      </c>
      <c r="O43" s="85">
        <f ca="1">IFERROR(__xludf.DUMMYFUNCTION("IMPORTRANGE(""https://docs.google.com/spreadsheets/d/1MeEWN-I1oV_STSDYn1IFDPWt_1FKiwhDph83XaGc0o0/edit?usp=sharing"",""งบพรบ!FE43"")"),60000)</f>
        <v>60000</v>
      </c>
      <c r="P43" s="84">
        <f t="shared" ca="1" si="53"/>
        <v>100</v>
      </c>
      <c r="Q43" s="84">
        <f t="shared" ca="1" si="8"/>
        <v>100</v>
      </c>
      <c r="R43" s="86">
        <f ca="1">IFERROR(__xludf.DUMMYFUNCTION("IMPORTRANGE(""https://docs.google.com/spreadsheets/d/1IdolZc-dfdgMwAm_KZxYJl1sUOcIgnbGQzbWOlddedo/edit?usp=sharing"",""เลย!I359"")"),7550)</f>
        <v>7550</v>
      </c>
      <c r="S43" s="86">
        <f ca="1">IFERROR(__xludf.DUMMYFUNCTION("IMPORTRANGE(""https://docs.google.com/spreadsheets/d/1IdolZc-dfdgMwAm_KZxYJl1sUOcIgnbGQzbWOlddedo/edit?usp=sharing"",""เลย!J358"")"),165)</f>
        <v>165</v>
      </c>
      <c r="T43" s="86">
        <f ca="1">IFERROR(__xludf.DUMMYFUNCTION("IMPORTRANGE(""https://docs.google.com/spreadsheets/d/1IdolZc-dfdgMwAm_KZxYJl1sUOcIgnbGQzbWOlddedo/edit?usp=sharing"",""เลย!J359"")"),1330.94)</f>
        <v>1330.94</v>
      </c>
      <c r="U43" s="87">
        <f t="shared" ca="1" si="43"/>
        <v>17.628344370860926</v>
      </c>
      <c r="V43" s="86">
        <f ca="1">IFERROR(__xludf.DUMMYFUNCTION("IMPORTRANGE(""https://docs.google.com/spreadsheets/d/1IdolZc-dfdgMwAm_KZxYJl1sUOcIgnbGQzbWOlddedo/edit?usp=sharing"",""เลย!I360"")"),755)</f>
        <v>755</v>
      </c>
      <c r="W43" s="86">
        <f ca="1">IFERROR(__xludf.DUMMYFUNCTION("IMPORTRANGE(""https://docs.google.com/spreadsheets/d/1IdolZc-dfdgMwAm_KZxYJl1sUOcIgnbGQzbWOlddedo/edit?usp=sharing"",""เลย!J360"")"),159)</f>
        <v>159</v>
      </c>
      <c r="X43" s="86">
        <f ca="1">IFERROR(__xludf.DUMMYFUNCTION("IMPORTRANGE(""https://docs.google.com/spreadsheets/d/1IdolZc-dfdgMwAm_KZxYJl1sUOcIgnbGQzbWOlddedo/edit?usp=sharing"",""เลย!J361"")"),1422.41)</f>
        <v>1422.41</v>
      </c>
      <c r="Y43" s="87">
        <f t="shared" ca="1" si="44"/>
        <v>21.059602649006621</v>
      </c>
      <c r="Z43" s="86">
        <f ca="1">IFERROR(__xludf.DUMMYFUNCTION("IMPORTRANGE(""https://docs.google.com/spreadsheets/d/1IdolZc-dfdgMwAm_KZxYJl1sUOcIgnbGQzbWOlddedo/edit?usp=sharing"",""เลย!I362"")"),755)</f>
        <v>755</v>
      </c>
      <c r="AA43" s="86">
        <f ca="1">IFERROR(__xludf.DUMMYFUNCTION("IMPORTRANGE(""https://docs.google.com/spreadsheets/d/1IdolZc-dfdgMwAm_KZxYJl1sUOcIgnbGQzbWOlddedo/edit?usp=sharing"",""เลย!J362"")"),161)</f>
        <v>161</v>
      </c>
      <c r="AB43" s="86">
        <f ca="1">IFERROR(__xludf.DUMMYFUNCTION("IMPORTRANGE(""https://docs.google.com/spreadsheets/d/1IdolZc-dfdgMwAm_KZxYJl1sUOcIgnbGQzbWOlddedo/edit?usp=sharing"",""เลย!J363"")"),1431.93)</f>
        <v>1431.93</v>
      </c>
      <c r="AC43" s="87">
        <f t="shared" ca="1" si="45"/>
        <v>21.32450331125828</v>
      </c>
      <c r="AD43" s="86">
        <f ca="1">IFERROR(__xludf.DUMMYFUNCTION("IMPORTRANGE(""https://docs.google.com/spreadsheets/d/1IdolZc-dfdgMwAm_KZxYJl1sUOcIgnbGQzbWOlddedo/edit?usp=sharing"",""เลย!I364"")"),1155)</f>
        <v>1155</v>
      </c>
      <c r="AE43" s="86">
        <f ca="1">IFERROR(__xludf.DUMMYFUNCTION("IMPORTRANGE(""https://docs.google.com/spreadsheets/d/1IdolZc-dfdgMwAm_KZxYJl1sUOcIgnbGQzbWOlddedo/edit?usp=sharing"",""เลย!J364"")"),443)</f>
        <v>443</v>
      </c>
      <c r="AF43" s="87">
        <f t="shared" ca="1" si="16"/>
        <v>38.354978354978357</v>
      </c>
      <c r="AG43" s="86">
        <f ca="1">IFERROR(__xludf.DUMMYFUNCTION("IMPORTRANGE(""https://docs.google.com/spreadsheets/d/1IdolZc-dfdgMwAm_KZxYJl1sUOcIgnbGQzbWOlddedo/edit?usp=sharing"",""เลย!I369"")"),3550)</f>
        <v>3550</v>
      </c>
      <c r="AH43" s="86">
        <f ca="1">IFERROR(__xludf.DUMMYFUNCTION("IMPORTRANGE(""https://docs.google.com/spreadsheets/d/1IdolZc-dfdgMwAm_KZxYJl1sUOcIgnbGQzbWOlddedo/edit?usp=sharing"",""เลย!J368"")"),45)</f>
        <v>45</v>
      </c>
      <c r="AI43" s="86">
        <f ca="1">IFERROR(__xludf.DUMMYFUNCTION("IMPORTRANGE(""https://docs.google.com/spreadsheets/d/1IdolZc-dfdgMwAm_KZxYJl1sUOcIgnbGQzbWOlddedo/edit?usp=sharing"",""เลย!J369"")"),267.22)</f>
        <v>267.22000000000003</v>
      </c>
      <c r="AJ43" s="87">
        <f t="shared" ca="1" si="46"/>
        <v>7.5273239436619725</v>
      </c>
      <c r="AK43" s="86">
        <f ca="1">IFERROR(__xludf.DUMMYFUNCTION("IMPORTRANGE(""https://docs.google.com/spreadsheets/d/1IdolZc-dfdgMwAm_KZxYJl1sUOcIgnbGQzbWOlddedo/edit?usp=sharing"",""เลย!I370"")"),355)</f>
        <v>355</v>
      </c>
      <c r="AL43" s="86">
        <f ca="1">IFERROR(__xludf.DUMMYFUNCTION("IMPORTRANGE(""https://docs.google.com/spreadsheets/d/1IdolZc-dfdgMwAm_KZxYJl1sUOcIgnbGQzbWOlddedo/edit?usp=sharing"",""เลย!J370"")"),39)</f>
        <v>39</v>
      </c>
      <c r="AM43" s="86">
        <f ca="1">IFERROR(__xludf.DUMMYFUNCTION("IMPORTRANGE(""https://docs.google.com/spreadsheets/d/1IdolZc-dfdgMwAm_KZxYJl1sUOcIgnbGQzbWOlddedo/edit?usp=sharing"",""เลย!J371"")"),351.24)</f>
        <v>351.24</v>
      </c>
      <c r="AN43" s="87">
        <f t="shared" ca="1" si="47"/>
        <v>10.985915492957746</v>
      </c>
      <c r="AO43" s="86">
        <f ca="1">IFERROR(__xludf.DUMMYFUNCTION("IMPORTRANGE(""https://docs.google.com/spreadsheets/d/1IdolZc-dfdgMwAm_KZxYJl1sUOcIgnbGQzbWOlddedo/edit?usp=sharing"",""เลย!I372"")"),355)</f>
        <v>355</v>
      </c>
      <c r="AP43" s="86">
        <f ca="1">IFERROR(__xludf.DUMMYFUNCTION("IMPORTRANGE(""https://docs.google.com/spreadsheets/d/1IdolZc-dfdgMwAm_KZxYJl1sUOcIgnbGQzbWOlddedo/edit?usp=sharing"",""เลย!J372"")"),39)</f>
        <v>39</v>
      </c>
      <c r="AQ43" s="86">
        <f ca="1">IFERROR(__xludf.DUMMYFUNCTION("IMPORTRANGE(""https://docs.google.com/spreadsheets/d/1IdolZc-dfdgMwAm_KZxYJl1sUOcIgnbGQzbWOlddedo/edit?usp=sharing"",""เลย!J373"")"),351.24)</f>
        <v>351.24</v>
      </c>
      <c r="AR43" s="87">
        <f t="shared" ca="1" si="48"/>
        <v>10.985915492957746</v>
      </c>
      <c r="AS43" s="86">
        <f ca="1">IFERROR(__xludf.DUMMYFUNCTION("IMPORTRANGE(""https://docs.google.com/spreadsheets/d/1IdolZc-dfdgMwAm_KZxYJl1sUOcIgnbGQzbWOlddedo/edit?usp=sharing"",""เลย!I378"")"),4000)</f>
        <v>4000</v>
      </c>
      <c r="AT43" s="86">
        <f ca="1">IFERROR(__xludf.DUMMYFUNCTION("IMPORTRANGE(""https://docs.google.com/spreadsheets/d/1IdolZc-dfdgMwAm_KZxYJl1sUOcIgnbGQzbWOlddedo/edit?usp=sharing"",""เลย!J377"")"),120)</f>
        <v>120</v>
      </c>
      <c r="AU43" s="86">
        <f ca="1">IFERROR(__xludf.DUMMYFUNCTION("IMPORTRANGE(""https://docs.google.com/spreadsheets/d/1IdolZc-dfdgMwAm_KZxYJl1sUOcIgnbGQzbWOlddedo/edit?usp=sharing"",""เลย!J378"")"),1063.72)</f>
        <v>1063.72</v>
      </c>
      <c r="AV43" s="87">
        <f t="shared" ca="1" si="49"/>
        <v>26.593</v>
      </c>
      <c r="AW43" s="86">
        <f ca="1">IFERROR(__xludf.DUMMYFUNCTION("IMPORTRANGE(""https://docs.google.com/spreadsheets/d/1IdolZc-dfdgMwAm_KZxYJl1sUOcIgnbGQzbWOlddedo/edit?usp=sharing"",""เลย!I379"")"),800)</f>
        <v>800</v>
      </c>
      <c r="AX43" s="86">
        <f ca="1">IFERROR(__xludf.DUMMYFUNCTION("IMPORTRANGE(""https://docs.google.com/spreadsheets/d/1IdolZc-dfdgMwAm_KZxYJl1sUOcIgnbGQzbWOlddedo/edit?usp=sharing"",""เลย!J379"")"),402)</f>
        <v>402</v>
      </c>
      <c r="AY43" s="86">
        <f ca="1">IFERROR(__xludf.DUMMYFUNCTION("IMPORTRANGE(""https://docs.google.com/spreadsheets/d/1IdolZc-dfdgMwAm_KZxYJl1sUOcIgnbGQzbWOlddedo/edit?usp=sharing"",""เลย!J380"")"),5539.26)</f>
        <v>5539.26</v>
      </c>
      <c r="AZ43" s="87">
        <f t="shared" ca="1" si="50"/>
        <v>50.25</v>
      </c>
      <c r="BA43" s="86">
        <f ca="1">IFERROR(__xludf.DUMMYFUNCTION("IMPORTRANGE(""https://docs.google.com/spreadsheets/d/1IdolZc-dfdgMwAm_KZxYJl1sUOcIgnbGQzbWOlddedo/edit?usp=sharing"",""เลย!I381"")"),800)</f>
        <v>800</v>
      </c>
      <c r="BB43" s="86">
        <f ca="1">IFERROR(__xludf.DUMMYFUNCTION("IMPORTRANGE(""https://docs.google.com/spreadsheets/d/1IdolZc-dfdgMwAm_KZxYJl1sUOcIgnbGQzbWOlddedo/edit?usp=sharing"",""เลย!J381"")"),404)</f>
        <v>404</v>
      </c>
      <c r="BC43" s="86">
        <f ca="1">IFERROR(__xludf.DUMMYFUNCTION("IMPORTRANGE(""https://docs.google.com/spreadsheets/d/1IdolZc-dfdgMwAm_KZxYJl1sUOcIgnbGQzbWOlddedo/edit?usp=sharing"",""เลย!J382"")"),5548.78)</f>
        <v>5548.78</v>
      </c>
      <c r="BD43" s="87">
        <f t="shared" ca="1" si="51"/>
        <v>50.5</v>
      </c>
    </row>
    <row r="44" spans="1:56" ht="21" customHeight="1" x14ac:dyDescent="0.2">
      <c r="A44" s="78">
        <v>13</v>
      </c>
      <c r="B44" s="79" t="s">
        <v>66</v>
      </c>
      <c r="C44" s="80">
        <f t="shared" ca="1" si="0"/>
        <v>2297570</v>
      </c>
      <c r="D44" s="81">
        <f t="shared" ca="1" si="76"/>
        <v>2171170</v>
      </c>
      <c r="E44" s="82">
        <f ca="1">IFERROR(__xludf.DUMMYFUNCTION("IMPORTRANGE(""https://docs.google.com/spreadsheets/d/1MeEWN-I1oV_STSDYn1IFDPWt_1FKiwhDph83XaGc0o0/edit?usp=sharing"",""งบพรบ!EX44"")"),517200)</f>
        <v>517200</v>
      </c>
      <c r="F44" s="82">
        <f ca="1">IFERROR(__xludf.DUMMYFUNCTION("IMPORTRANGE(""https://docs.google.com/spreadsheets/d/1MeEWN-I1oV_STSDYn1IFDPWt_1FKiwhDph83XaGc0o0/edit?usp=sharing"",""งบพรบ!EY44"")"),1653970)</f>
        <v>1653970</v>
      </c>
      <c r="G44" s="82">
        <f ca="1">IFERROR(__xludf.DUMMYFUNCTION("IMPORTRANGE(""https://docs.google.com/spreadsheets/d/1MeEWN-I1oV_STSDYn1IFDPWt_1FKiwhDph83XaGc0o0/edit?usp=sharing"",""งบพรบ!EZ44"")"),126400)</f>
        <v>126400</v>
      </c>
      <c r="H44" s="82">
        <f ca="1">IFERROR(__xludf.DUMMYFUNCTION("IMPORTRANGE(""https://docs.google.com/spreadsheets/d/1MeEWN-I1oV_STSDYn1IFDPWt_1FKiwhDph83XaGc0o0/edit?usp=sharing"",""งบพรบ!FB44"")"),1343490)</f>
        <v>1343490</v>
      </c>
      <c r="I44" s="82">
        <f ca="1">IFERROR(__xludf.DUMMYFUNCTION("IMPORTRANGE(""https://docs.google.com/spreadsheets/d/1MeEWN-I1oV_STSDYn1IFDPWt_1FKiwhDph83XaGc0o0/edit?usp=sharing"",""งบพรบ!FC44"")"),125700)</f>
        <v>125700</v>
      </c>
      <c r="J44" s="82">
        <f t="shared" ca="1" si="3"/>
        <v>680481.24</v>
      </c>
      <c r="K44" s="83">
        <f t="shared" ca="1" si="4"/>
        <v>29.617432330679804</v>
      </c>
      <c r="L44" s="82">
        <f ca="1">IFERROR(__xludf.DUMMYFUNCTION("IMPORTRANGE(""https://docs.google.com/spreadsheets/d/1MeEWN-I1oV_STSDYn1IFDPWt_1FKiwhDph83XaGc0o0/edit?usp=sharing"",""งบพรบ!FD44"")"),554781.24)</f>
        <v>554781.24</v>
      </c>
      <c r="M44" s="84">
        <f t="shared" ca="1" si="5"/>
        <v>25.552178779183574</v>
      </c>
      <c r="N44" s="84">
        <f t="shared" ca="1" si="6"/>
        <v>41.294035683183353</v>
      </c>
      <c r="O44" s="85">
        <f ca="1">IFERROR(__xludf.DUMMYFUNCTION("IMPORTRANGE(""https://docs.google.com/spreadsheets/d/1MeEWN-I1oV_STSDYn1IFDPWt_1FKiwhDph83XaGc0o0/edit?usp=sharing"",""งบพรบ!FE44"")"),125700)</f>
        <v>125700</v>
      </c>
      <c r="P44" s="84">
        <f t="shared" ca="1" si="53"/>
        <v>99.446202531645568</v>
      </c>
      <c r="Q44" s="84">
        <f t="shared" ca="1" si="8"/>
        <v>100</v>
      </c>
      <c r="R44" s="86">
        <f ca="1">IFERROR(__xludf.DUMMYFUNCTION("IMPORTRANGE(""https://docs.google.com/spreadsheets/d/1tZ0nmtGuIRCaGAMXHlQU8EpR9LOAJvyKfc4f7EFmE34/edit?usp=sharing"",""ศรีสะเกษ!I359"")"),11120)</f>
        <v>11120</v>
      </c>
      <c r="S44" s="86">
        <f ca="1">IFERROR(__xludf.DUMMYFUNCTION("IMPORTRANGE(""https://docs.google.com/spreadsheets/d/1tZ0nmtGuIRCaGAMXHlQU8EpR9LOAJvyKfc4f7EFmE34/edit?usp=sharing"",""ศรีสะเกษ!J358"")"),342)</f>
        <v>342</v>
      </c>
      <c r="T44" s="86">
        <f ca="1">IFERROR(__xludf.DUMMYFUNCTION("IMPORTRANGE(""https://docs.google.com/spreadsheets/d/1tZ0nmtGuIRCaGAMXHlQU8EpR9LOAJvyKfc4f7EFmE34/edit?usp=sharing"",""ศรีสะเกษ!J359"")"),1819.81)</f>
        <v>1819.81</v>
      </c>
      <c r="U44" s="87">
        <f t="shared" ca="1" si="43"/>
        <v>16.365197841726619</v>
      </c>
      <c r="V44" s="86">
        <f ca="1">IFERROR(__xludf.DUMMYFUNCTION("IMPORTRANGE(""https://docs.google.com/spreadsheets/d/1tZ0nmtGuIRCaGAMXHlQU8EpR9LOAJvyKfc4f7EFmE34/edit?usp=sharing"",""ศรีสะเกษ!I360"")"),1112)</f>
        <v>1112</v>
      </c>
      <c r="W44" s="86">
        <f ca="1">IFERROR(__xludf.DUMMYFUNCTION("IMPORTRANGE(""https://docs.google.com/spreadsheets/d/1tZ0nmtGuIRCaGAMXHlQU8EpR9LOAJvyKfc4f7EFmE34/edit?usp=sharing"",""ศรีสะเกษ!J360"")"),299)</f>
        <v>299</v>
      </c>
      <c r="X44" s="86">
        <f ca="1">IFERROR(__xludf.DUMMYFUNCTION("IMPORTRANGE(""https://docs.google.com/spreadsheets/d/1tZ0nmtGuIRCaGAMXHlQU8EpR9LOAJvyKfc4f7EFmE34/edit?usp=sharing"",""ศรีสะเกษ!J361"")"),1604.2)</f>
        <v>1604.2</v>
      </c>
      <c r="Y44" s="87">
        <f t="shared" ca="1" si="44"/>
        <v>26.888489208633093</v>
      </c>
      <c r="Z44" s="86">
        <f ca="1">IFERROR(__xludf.DUMMYFUNCTION("IMPORTRANGE(""https://docs.google.com/spreadsheets/d/1tZ0nmtGuIRCaGAMXHlQU8EpR9LOAJvyKfc4f7EFmE34/edit?usp=sharing"",""ศรีสะเกษ!I362"")"),1112)</f>
        <v>1112</v>
      </c>
      <c r="AA44" s="86">
        <f ca="1">IFERROR(__xludf.DUMMYFUNCTION("IMPORTRANGE(""https://docs.google.com/spreadsheets/d/1tZ0nmtGuIRCaGAMXHlQU8EpR9LOAJvyKfc4f7EFmE34/edit?usp=sharing"",""ศรีสะเกษ!J362"")"),36)</f>
        <v>36</v>
      </c>
      <c r="AB44" s="86">
        <f ca="1">IFERROR(__xludf.DUMMYFUNCTION("IMPORTRANGE(""https://docs.google.com/spreadsheets/d/1tZ0nmtGuIRCaGAMXHlQU8EpR9LOAJvyKfc4f7EFmE34/edit?usp=sharing"",""ศรีสะเกษ!J363"")"),193.52)</f>
        <v>193.52</v>
      </c>
      <c r="AC44" s="87">
        <f t="shared" ca="1" si="45"/>
        <v>3.2374100719424459</v>
      </c>
      <c r="AD44" s="86">
        <f ca="1">IFERROR(__xludf.DUMMYFUNCTION("IMPORTRANGE(""https://docs.google.com/spreadsheets/d/1tZ0nmtGuIRCaGAMXHlQU8EpR9LOAJvyKfc4f7EFmE34/edit?usp=sharing"",""ศรีสะเกษ!I364"")"),2112)</f>
        <v>2112</v>
      </c>
      <c r="AE44" s="86">
        <f ca="1">IFERROR(__xludf.DUMMYFUNCTION("IMPORTRANGE(""https://docs.google.com/spreadsheets/d/1tZ0nmtGuIRCaGAMXHlQU8EpR9LOAJvyKfc4f7EFmE34/edit?usp=sharing"",""ศรีสะเกษ!J364"")"),503)</f>
        <v>503</v>
      </c>
      <c r="AF44" s="87">
        <f t="shared" ca="1" si="16"/>
        <v>23.816287878787879</v>
      </c>
      <c r="AG44" s="86">
        <f ca="1">IFERROR(__xludf.DUMMYFUNCTION("IMPORTRANGE(""https://docs.google.com/spreadsheets/d/1tZ0nmtGuIRCaGAMXHlQU8EpR9LOAJvyKfc4f7EFmE34/edit?usp=sharing"",""ศรีสะเกษ!I369"")"),3120)</f>
        <v>3120</v>
      </c>
      <c r="AH44" s="86">
        <f ca="1">IFERROR(__xludf.DUMMYFUNCTION("IMPORTRANGE(""https://docs.google.com/spreadsheets/d/1tZ0nmtGuIRCaGAMXHlQU8EpR9LOAJvyKfc4f7EFmE34/edit?usp=sharing"",""ศรีสะเกษ!J368"")"),42)</f>
        <v>42</v>
      </c>
      <c r="AI44" s="86">
        <f ca="1">IFERROR(__xludf.DUMMYFUNCTION("IMPORTRANGE(""https://docs.google.com/spreadsheets/d/1tZ0nmtGuIRCaGAMXHlQU8EpR9LOAJvyKfc4f7EFmE34/edit?usp=sharing"",""ศรีสะเกษ!J369"")"),204.77)</f>
        <v>204.77</v>
      </c>
      <c r="AJ44" s="87">
        <f t="shared" ca="1" si="46"/>
        <v>6.5631410256410261</v>
      </c>
      <c r="AK44" s="86">
        <f ca="1">IFERROR(__xludf.DUMMYFUNCTION("IMPORTRANGE(""https://docs.google.com/spreadsheets/d/1tZ0nmtGuIRCaGAMXHlQU8EpR9LOAJvyKfc4f7EFmE34/edit?usp=sharing"",""ศรีสะเกษ!I370"")"),312)</f>
        <v>312</v>
      </c>
      <c r="AL44" s="86">
        <f ca="1">IFERROR(__xludf.DUMMYFUNCTION("IMPORTRANGE(""https://docs.google.com/spreadsheets/d/1tZ0nmtGuIRCaGAMXHlQU8EpR9LOAJvyKfc4f7EFmE34/edit?usp=sharing"",""ศรีสะเกษ!J370"")"),2)</f>
        <v>2</v>
      </c>
      <c r="AM44" s="86">
        <f ca="1">IFERROR(__xludf.DUMMYFUNCTION("IMPORTRANGE(""https://docs.google.com/spreadsheets/d/1tZ0nmtGuIRCaGAMXHlQU8EpR9LOAJvyKfc4f7EFmE34/edit?usp=sharing"",""ศรีสะเกษ!J371"")"),17.53)</f>
        <v>17.53</v>
      </c>
      <c r="AN44" s="87">
        <f t="shared" ca="1" si="47"/>
        <v>0.64102564102564108</v>
      </c>
      <c r="AO44" s="86">
        <f ca="1">IFERROR(__xludf.DUMMYFUNCTION("IMPORTRANGE(""https://docs.google.com/spreadsheets/d/1tZ0nmtGuIRCaGAMXHlQU8EpR9LOAJvyKfc4f7EFmE34/edit?usp=sharing"",""ศรีสะเกษ!I372"")"),312)</f>
        <v>312</v>
      </c>
      <c r="AP44" s="86">
        <f ca="1">IFERROR(__xludf.DUMMYFUNCTION("IMPORTRANGE(""https://docs.google.com/spreadsheets/d/1tZ0nmtGuIRCaGAMXHlQU8EpR9LOAJvyKfc4f7EFmE34/edit?usp=sharing"",""ศรีสะเกษ!J372"")"),2)</f>
        <v>2</v>
      </c>
      <c r="AQ44" s="86">
        <f ca="1">IFERROR(__xludf.DUMMYFUNCTION("IMPORTRANGE(""https://docs.google.com/spreadsheets/d/1tZ0nmtGuIRCaGAMXHlQU8EpR9LOAJvyKfc4f7EFmE34/edit?usp=sharing"",""ศรีสะเกษ!J373"")"),17.53)</f>
        <v>17.53</v>
      </c>
      <c r="AR44" s="87">
        <f t="shared" ca="1" si="48"/>
        <v>0.64102564102564108</v>
      </c>
      <c r="AS44" s="86">
        <f ca="1">IFERROR(__xludf.DUMMYFUNCTION("IMPORTRANGE(""https://docs.google.com/spreadsheets/d/1tZ0nmtGuIRCaGAMXHlQU8EpR9LOAJvyKfc4f7EFmE34/edit?usp=sharing"",""ศรีสะเกษ!I378"")"),8000)</f>
        <v>8000</v>
      </c>
      <c r="AT44" s="86">
        <f ca="1">IFERROR(__xludf.DUMMYFUNCTION("IMPORTRANGE(""https://docs.google.com/spreadsheets/d/1tZ0nmtGuIRCaGAMXHlQU8EpR9LOAJvyKfc4f7EFmE34/edit?usp=sharing"",""ศรีสะเกษ!J377"")"),300)</f>
        <v>300</v>
      </c>
      <c r="AU44" s="86">
        <f ca="1">IFERROR(__xludf.DUMMYFUNCTION("IMPORTRANGE(""https://docs.google.com/spreadsheets/d/1tZ0nmtGuIRCaGAMXHlQU8EpR9LOAJvyKfc4f7EFmE34/edit?usp=sharing"",""ศรีสะเกษ!J378"")"),1615.04)</f>
        <v>1615.04</v>
      </c>
      <c r="AV44" s="87">
        <f t="shared" ca="1" si="49"/>
        <v>20.187999999999999</v>
      </c>
      <c r="AW44" s="86">
        <f ca="1">IFERROR(__xludf.DUMMYFUNCTION("IMPORTRANGE(""https://docs.google.com/spreadsheets/d/1tZ0nmtGuIRCaGAMXHlQU8EpR9LOAJvyKfc4f7EFmE34/edit?usp=sharing"",""ศรีสะเกษ!I379"")"),1800)</f>
        <v>1800</v>
      </c>
      <c r="AX44" s="86">
        <f ca="1">IFERROR(__xludf.DUMMYFUNCTION("IMPORTRANGE(""https://docs.google.com/spreadsheets/d/1tZ0nmtGuIRCaGAMXHlQU8EpR9LOAJvyKfc4f7EFmE34/edit?usp=sharing"",""ศรีสะเกษ!J379"")"),765)</f>
        <v>765</v>
      </c>
      <c r="AY44" s="86">
        <f ca="1">IFERROR(__xludf.DUMMYFUNCTION("IMPORTRANGE(""https://docs.google.com/spreadsheets/d/1tZ0nmtGuIRCaGAMXHlQU8EpR9LOAJvyKfc4f7EFmE34/edit?usp=sharing"",""ศรีสะเกษ!J380"")"),5579.12)</f>
        <v>5579.12</v>
      </c>
      <c r="AZ44" s="87">
        <f t="shared" ca="1" si="50"/>
        <v>42.5</v>
      </c>
      <c r="BA44" s="86">
        <f ca="1">IFERROR(__xludf.DUMMYFUNCTION("IMPORTRANGE(""https://docs.google.com/spreadsheets/d/1tZ0nmtGuIRCaGAMXHlQU8EpR9LOAJvyKfc4f7EFmE34/edit?usp=sharing"",""ศรีสะเกษ!I381"")"),1800)</f>
        <v>1800</v>
      </c>
      <c r="BB44" s="86">
        <f ca="1">IFERROR(__xludf.DUMMYFUNCTION("IMPORTRANGE(""https://docs.google.com/spreadsheets/d/1tZ0nmtGuIRCaGAMXHlQU8EpR9LOAJvyKfc4f7EFmE34/edit?usp=sharing"",""ศรีสะเกษ!J381"")"),501)</f>
        <v>501</v>
      </c>
      <c r="BC44" s="86">
        <f ca="1">IFERROR(__xludf.DUMMYFUNCTION("IMPORTRANGE(""https://docs.google.com/spreadsheets/d/1tZ0nmtGuIRCaGAMXHlQU8EpR9LOAJvyKfc4f7EFmE34/edit?usp=sharing"",""ศรีสะเกษ!J382"")"),4098.65)</f>
        <v>4098.6499999999996</v>
      </c>
      <c r="BD44" s="87">
        <f t="shared" ca="1" si="51"/>
        <v>27.833333333333332</v>
      </c>
    </row>
    <row r="45" spans="1:56" ht="21" customHeight="1" x14ac:dyDescent="0.2">
      <c r="A45" s="78">
        <v>14</v>
      </c>
      <c r="B45" s="79" t="s">
        <v>67</v>
      </c>
      <c r="C45" s="80">
        <f t="shared" ca="1" si="0"/>
        <v>1645500</v>
      </c>
      <c r="D45" s="81">
        <f t="shared" ca="1" si="76"/>
        <v>1523900</v>
      </c>
      <c r="E45" s="82">
        <f ca="1">IFERROR(__xludf.DUMMYFUNCTION("IMPORTRANGE(""https://docs.google.com/spreadsheets/d/1MeEWN-I1oV_STSDYn1IFDPWt_1FKiwhDph83XaGc0o0/edit?usp=sharing"",""งบพรบ!EX45"")"),87600)</f>
        <v>87600</v>
      </c>
      <c r="F45" s="82">
        <f ca="1">IFERROR(__xludf.DUMMYFUNCTION("IMPORTRANGE(""https://docs.google.com/spreadsheets/d/1MeEWN-I1oV_STSDYn1IFDPWt_1FKiwhDph83XaGc0o0/edit?usp=sharing"",""งบพรบ!EY45"")"),1436300)</f>
        <v>1436300</v>
      </c>
      <c r="G45" s="82">
        <f ca="1">IFERROR(__xludf.DUMMYFUNCTION("IMPORTRANGE(""https://docs.google.com/spreadsheets/d/1MeEWN-I1oV_STSDYn1IFDPWt_1FKiwhDph83XaGc0o0/edit?usp=sharing"",""งบพรบ!EZ45"")"),121600)</f>
        <v>121600</v>
      </c>
      <c r="H45" s="82">
        <f ca="1">IFERROR(__xludf.DUMMYFUNCTION("IMPORTRANGE(""https://docs.google.com/spreadsheets/d/1MeEWN-I1oV_STSDYn1IFDPWt_1FKiwhDph83XaGc0o0/edit?usp=sharing"",""งบพรบ!FB45"")"),876180)</f>
        <v>876180</v>
      </c>
      <c r="I45" s="82">
        <f ca="1">IFERROR(__xludf.DUMMYFUNCTION("IMPORTRANGE(""https://docs.google.com/spreadsheets/d/1MeEWN-I1oV_STSDYn1IFDPWt_1FKiwhDph83XaGc0o0/edit?usp=sharing"",""งบพรบ!FC45"")"),121600)</f>
        <v>121600</v>
      </c>
      <c r="J45" s="82">
        <f t="shared" ca="1" si="3"/>
        <v>571541</v>
      </c>
      <c r="K45" s="83">
        <f t="shared" ca="1" si="4"/>
        <v>34.733576420540871</v>
      </c>
      <c r="L45" s="82">
        <f ca="1">IFERROR(__xludf.DUMMYFUNCTION("IMPORTRANGE(""https://docs.google.com/spreadsheets/d/1MeEWN-I1oV_STSDYn1IFDPWt_1FKiwhDph83XaGc0o0/edit?usp=sharing"",""งบพรบ!FD45"")"),449941)</f>
        <v>449941</v>
      </c>
      <c r="M45" s="84">
        <f t="shared" ca="1" si="5"/>
        <v>29.525625041013189</v>
      </c>
      <c r="N45" s="84">
        <f t="shared" ca="1" si="6"/>
        <v>51.352575954712499</v>
      </c>
      <c r="O45" s="85">
        <f ca="1">IFERROR(__xludf.DUMMYFUNCTION("IMPORTRANGE(""https://docs.google.com/spreadsheets/d/1MeEWN-I1oV_STSDYn1IFDPWt_1FKiwhDph83XaGc0o0/edit?usp=sharing"",""งบพรบ!FE45"")"),121600)</f>
        <v>121600</v>
      </c>
      <c r="P45" s="84">
        <f t="shared" ca="1" si="53"/>
        <v>100</v>
      </c>
      <c r="Q45" s="84">
        <f t="shared" ca="1" si="8"/>
        <v>100</v>
      </c>
      <c r="R45" s="86">
        <f ca="1">IFERROR(__xludf.DUMMYFUNCTION("IMPORTRANGE(""https://docs.google.com/spreadsheets/d/1QC8psz9w0f9IVE9Xuc2FT_btkaOzZbbUSgYObpBuetM/edit?usp=sharing"",""สกลนคร!I359"")"),10400)</f>
        <v>10400</v>
      </c>
      <c r="S45" s="86">
        <f ca="1">IFERROR(__xludf.DUMMYFUNCTION("IMPORTRANGE(""https://docs.google.com/spreadsheets/d/1QC8psz9w0f9IVE9Xuc2FT_btkaOzZbbUSgYObpBuetM/edit?usp=sharing"",""สกลนคร!J358"")"),494)</f>
        <v>494</v>
      </c>
      <c r="T45" s="86">
        <f ca="1">IFERROR(__xludf.DUMMYFUNCTION("IMPORTRANGE(""https://docs.google.com/spreadsheets/d/1QC8psz9w0f9IVE9Xuc2FT_btkaOzZbbUSgYObpBuetM/edit?usp=sharing"",""สกลนคร!J359"")"),3426.46)</f>
        <v>3426.46</v>
      </c>
      <c r="U45" s="87">
        <f t="shared" ca="1" si="43"/>
        <v>32.946730769230768</v>
      </c>
      <c r="V45" s="86">
        <f ca="1">IFERROR(__xludf.DUMMYFUNCTION("IMPORTRANGE(""https://docs.google.com/spreadsheets/d/1QC8psz9w0f9IVE9Xuc2FT_btkaOzZbbUSgYObpBuetM/edit?usp=sharing"",""สกลนคร!I360"")"),840)</f>
        <v>840</v>
      </c>
      <c r="W45" s="86">
        <f ca="1">IFERROR(__xludf.DUMMYFUNCTION("IMPORTRANGE(""https://docs.google.com/spreadsheets/d/1QC8psz9w0f9IVE9Xuc2FT_btkaOzZbbUSgYObpBuetM/edit?usp=sharing"",""สกลนคร!J360"")"),374)</f>
        <v>374</v>
      </c>
      <c r="X45" s="86">
        <f ca="1">IFERROR(__xludf.DUMMYFUNCTION("IMPORTRANGE(""https://docs.google.com/spreadsheets/d/1QC8psz9w0f9IVE9Xuc2FT_btkaOzZbbUSgYObpBuetM/edit?usp=sharing"",""สกลนคร!J361"")"),2634.79)</f>
        <v>2634.79</v>
      </c>
      <c r="Y45" s="87">
        <f t="shared" ca="1" si="44"/>
        <v>44.523809523809526</v>
      </c>
      <c r="Z45" s="86">
        <f ca="1">IFERROR(__xludf.DUMMYFUNCTION("IMPORTRANGE(""https://docs.google.com/spreadsheets/d/1QC8psz9w0f9IVE9Xuc2FT_btkaOzZbbUSgYObpBuetM/edit?usp=sharing"",""สกลนคร!I362"")"),840)</f>
        <v>840</v>
      </c>
      <c r="AA45" s="86">
        <f ca="1">IFERROR(__xludf.DUMMYFUNCTION("IMPORTRANGE(""https://docs.google.com/spreadsheets/d/1QC8psz9w0f9IVE9Xuc2FT_btkaOzZbbUSgYObpBuetM/edit?usp=sharing"",""สกลนคร!J362"")"),1)</f>
        <v>1</v>
      </c>
      <c r="AB45" s="86">
        <f ca="1">IFERROR(__xludf.DUMMYFUNCTION("IMPORTRANGE(""https://docs.google.com/spreadsheets/d/1QC8psz9w0f9IVE9Xuc2FT_btkaOzZbbUSgYObpBuetM/edit?usp=sharing"",""สกลนคร!J363"")"),8.16)</f>
        <v>8.16</v>
      </c>
      <c r="AC45" s="87">
        <f t="shared" ca="1" si="45"/>
        <v>0.11904761904761904</v>
      </c>
      <c r="AD45" s="86">
        <f ca="1">IFERROR(__xludf.DUMMYFUNCTION("IMPORTRANGE(""https://docs.google.com/spreadsheets/d/1QC8psz9w0f9IVE9Xuc2FT_btkaOzZbbUSgYObpBuetM/edit?usp=sharing"",""สกลนคร!I364"")"),1890)</f>
        <v>1890</v>
      </c>
      <c r="AE45" s="86">
        <f ca="1">IFERROR(__xludf.DUMMYFUNCTION("IMPORTRANGE(""https://docs.google.com/spreadsheets/d/1QC8psz9w0f9IVE9Xuc2FT_btkaOzZbbUSgYObpBuetM/edit?usp=sharing"",""สกลนคร!J364"")"),45)</f>
        <v>45</v>
      </c>
      <c r="AF45" s="87">
        <f t="shared" ca="1" si="16"/>
        <v>2.3809523809523809</v>
      </c>
      <c r="AG45" s="86">
        <f ca="1">IFERROR(__xludf.DUMMYFUNCTION("IMPORTRANGE(""https://docs.google.com/spreadsheets/d/1QC8psz9w0f9IVE9Xuc2FT_btkaOzZbbUSgYObpBuetM/edit?usp=sharing"",""สกลนคร!I369"")"),3700)</f>
        <v>3700</v>
      </c>
      <c r="AH45" s="86">
        <f ca="1">IFERROR(__xludf.DUMMYFUNCTION("IMPORTRANGE(""https://docs.google.com/spreadsheets/d/1QC8psz9w0f9IVE9Xuc2FT_btkaOzZbbUSgYObpBuetM/edit?usp=sharing"",""สกลนคร!J368"")"),62)</f>
        <v>62</v>
      </c>
      <c r="AI45" s="86">
        <f ca="1">IFERROR(__xludf.DUMMYFUNCTION("IMPORTRANGE(""https://docs.google.com/spreadsheets/d/1QC8psz9w0f9IVE9Xuc2FT_btkaOzZbbUSgYObpBuetM/edit?usp=sharing"",""สกลนคร!J369"")"),717.53)</f>
        <v>717.53</v>
      </c>
      <c r="AJ45" s="87">
        <f t="shared" ca="1" si="46"/>
        <v>19.392702702702703</v>
      </c>
      <c r="AK45" s="86">
        <f ca="1">IFERROR(__xludf.DUMMYFUNCTION("IMPORTRANGE(""https://docs.google.com/spreadsheets/d/1QC8psz9w0f9IVE9Xuc2FT_btkaOzZbbUSgYObpBuetM/edit?usp=sharing"",""สกลนคร!I370"")"),370)</f>
        <v>370</v>
      </c>
      <c r="AL45" s="86">
        <f ca="1">IFERROR(__xludf.DUMMYFUNCTION("IMPORTRANGE(""https://docs.google.com/spreadsheets/d/1QC8psz9w0f9IVE9Xuc2FT_btkaOzZbbUSgYObpBuetM/edit?usp=sharing"",""สกลนคร!J370"")"),36)</f>
        <v>36</v>
      </c>
      <c r="AM45" s="86">
        <f ca="1">IFERROR(__xludf.DUMMYFUNCTION("IMPORTRANGE(""https://docs.google.com/spreadsheets/d/1QC8psz9w0f9IVE9Xuc2FT_btkaOzZbbUSgYObpBuetM/edit?usp=sharing"",""สกลนคร!J371"")"),215.5)</f>
        <v>215.5</v>
      </c>
      <c r="AN45" s="87">
        <f t="shared" ca="1" si="47"/>
        <v>9.7297297297297298</v>
      </c>
      <c r="AO45" s="86">
        <f ca="1">IFERROR(__xludf.DUMMYFUNCTION("IMPORTRANGE(""https://docs.google.com/spreadsheets/d/1QC8psz9w0f9IVE9Xuc2FT_btkaOzZbbUSgYObpBuetM/edit?usp=sharing"",""สกลนคร!I372"")"),370)</f>
        <v>370</v>
      </c>
      <c r="AP45" s="86">
        <f ca="1">IFERROR(__xludf.DUMMYFUNCTION("IMPORTRANGE(""https://docs.google.com/spreadsheets/d/1QC8psz9w0f9IVE9Xuc2FT_btkaOzZbbUSgYObpBuetM/edit?usp=sharing"",""สกลนคร!J372"")"),1)</f>
        <v>1</v>
      </c>
      <c r="AQ45" s="86">
        <f ca="1">IFERROR(__xludf.DUMMYFUNCTION("IMPORTRANGE(""https://docs.google.com/spreadsheets/d/1QC8psz9w0f9IVE9Xuc2FT_btkaOzZbbUSgYObpBuetM/edit?usp=sharing"",""สกลนคร!J373"")"),8.16)</f>
        <v>8.16</v>
      </c>
      <c r="AR45" s="87">
        <f t="shared" ca="1" si="48"/>
        <v>0.27027027027027029</v>
      </c>
      <c r="AS45" s="86">
        <f ca="1">IFERROR(__xludf.DUMMYFUNCTION("IMPORTRANGE(""https://docs.google.com/spreadsheets/d/1QC8psz9w0f9IVE9Xuc2FT_btkaOzZbbUSgYObpBuetM/edit?usp=sharing"",""สกลนคร!I378"")"),6700)</f>
        <v>6700</v>
      </c>
      <c r="AT45" s="86">
        <f ca="1">IFERROR(__xludf.DUMMYFUNCTION("IMPORTRANGE(""https://docs.google.com/spreadsheets/d/1QC8psz9w0f9IVE9Xuc2FT_btkaOzZbbUSgYObpBuetM/edit?usp=sharing"",""สกลนคร!J377"")"),433)</f>
        <v>433</v>
      </c>
      <c r="AU45" s="86">
        <f ca="1">IFERROR(__xludf.DUMMYFUNCTION("IMPORTRANGE(""https://docs.google.com/spreadsheets/d/1QC8psz9w0f9IVE9Xuc2FT_btkaOzZbbUSgYObpBuetM/edit?usp=sharing"",""สกลนคร!J378"")"),2725.18)</f>
        <v>2725.18</v>
      </c>
      <c r="AV45" s="87">
        <f t="shared" ca="1" si="49"/>
        <v>40.674328358208953</v>
      </c>
      <c r="AW45" s="86">
        <f ca="1">IFERROR(__xludf.DUMMYFUNCTION("IMPORTRANGE(""https://docs.google.com/spreadsheets/d/1QC8psz9w0f9IVE9Xuc2FT_btkaOzZbbUSgYObpBuetM/edit?usp=sharing"",""สกลนคร!I379"")"),1520)</f>
        <v>1520</v>
      </c>
      <c r="AX45" s="86">
        <f ca="1">IFERROR(__xludf.DUMMYFUNCTION("IMPORTRANGE(""https://docs.google.com/spreadsheets/d/1QC8psz9w0f9IVE9Xuc2FT_btkaOzZbbUSgYObpBuetM/edit?usp=sharing"",""สกลนคร!J379"")"),421)</f>
        <v>421</v>
      </c>
      <c r="AY45" s="86">
        <f ca="1">IFERROR(__xludf.DUMMYFUNCTION("IMPORTRANGE(""https://docs.google.com/spreadsheets/d/1QC8psz9w0f9IVE9Xuc2FT_btkaOzZbbUSgYObpBuetM/edit?usp=sharing"",""สกลนคร!J380"")"),3302.64)</f>
        <v>3302.64</v>
      </c>
      <c r="AZ45" s="87">
        <f t="shared" ca="1" si="50"/>
        <v>27.69736842105263</v>
      </c>
      <c r="BA45" s="86">
        <f ca="1">IFERROR(__xludf.DUMMYFUNCTION("IMPORTRANGE(""https://docs.google.com/spreadsheets/d/1QC8psz9w0f9IVE9Xuc2FT_btkaOzZbbUSgYObpBuetM/edit?usp=sharing"",""สกลนคร!I381"")"),1520)</f>
        <v>1520</v>
      </c>
      <c r="BB45" s="86">
        <f ca="1">IFERROR(__xludf.DUMMYFUNCTION("IMPORTRANGE(""https://docs.google.com/spreadsheets/d/1QC8psz9w0f9IVE9Xuc2FT_btkaOzZbbUSgYObpBuetM/edit?usp=sharing"",""สกลนคร!J381"")"),44)</f>
        <v>44</v>
      </c>
      <c r="BC45" s="86">
        <f ca="1">IFERROR(__xludf.DUMMYFUNCTION("IMPORTRANGE(""https://docs.google.com/spreadsheets/d/1QC8psz9w0f9IVE9Xuc2FT_btkaOzZbbUSgYObpBuetM/edit?usp=sharing"",""สกลนคร!J382"")"),453.15)</f>
        <v>453.15</v>
      </c>
      <c r="BD45" s="87">
        <f t="shared" ca="1" si="51"/>
        <v>2.8947368421052633</v>
      </c>
    </row>
    <row r="46" spans="1:56" ht="21" customHeight="1" x14ac:dyDescent="0.2">
      <c r="A46" s="78">
        <v>15</v>
      </c>
      <c r="B46" s="79" t="s">
        <v>68</v>
      </c>
      <c r="C46" s="80">
        <f t="shared" ca="1" si="0"/>
        <v>2144960</v>
      </c>
      <c r="D46" s="81">
        <f t="shared" ca="1" si="76"/>
        <v>1977760</v>
      </c>
      <c r="E46" s="82">
        <f ca="1">IFERROR(__xludf.DUMMYFUNCTION("IMPORTRANGE(""https://docs.google.com/spreadsheets/d/1MeEWN-I1oV_STSDYn1IFDPWt_1FKiwhDph83XaGc0o0/edit?usp=sharing"",""งบพรบ!EX46"")"),429600)</f>
        <v>429600</v>
      </c>
      <c r="F46" s="82">
        <f ca="1">IFERROR(__xludf.DUMMYFUNCTION("IMPORTRANGE(""https://docs.google.com/spreadsheets/d/1MeEWN-I1oV_STSDYn1IFDPWt_1FKiwhDph83XaGc0o0/edit?usp=sharing"",""งบพรบ!EY46"")"),1548160)</f>
        <v>1548160</v>
      </c>
      <c r="G46" s="82">
        <f ca="1">IFERROR(__xludf.DUMMYFUNCTION("IMPORTRANGE(""https://docs.google.com/spreadsheets/d/1MeEWN-I1oV_STSDYn1IFDPWt_1FKiwhDph83XaGc0o0/edit?usp=sharing"",""งบพรบ!EZ46"")"),167200)</f>
        <v>167200</v>
      </c>
      <c r="H46" s="82">
        <f ca="1">IFERROR(__xludf.DUMMYFUNCTION("IMPORTRANGE(""https://docs.google.com/spreadsheets/d/1MeEWN-I1oV_STSDYn1IFDPWt_1FKiwhDph83XaGc0o0/edit?usp=sharing"",""งบพรบ!FB46"")"),1378996)</f>
        <v>1378996</v>
      </c>
      <c r="I46" s="82">
        <f ca="1">IFERROR(__xludf.DUMMYFUNCTION("IMPORTRANGE(""https://docs.google.com/spreadsheets/d/1MeEWN-I1oV_STSDYn1IFDPWt_1FKiwhDph83XaGc0o0/edit?usp=sharing"",""งบพรบ!FC46"")"),165020)</f>
        <v>165020</v>
      </c>
      <c r="J46" s="82">
        <f t="shared" ca="1" si="3"/>
        <v>801255.6</v>
      </c>
      <c r="K46" s="83">
        <f t="shared" ca="1" si="4"/>
        <v>37.355270028345515</v>
      </c>
      <c r="L46" s="82">
        <f ca="1">IFERROR(__xludf.DUMMYFUNCTION("IMPORTRANGE(""https://docs.google.com/spreadsheets/d/1MeEWN-I1oV_STSDYn1IFDPWt_1FKiwhDph83XaGc0o0/edit?usp=sharing"",""งบพรบ!FD46"")"),636235.6)</f>
        <v>636235.6</v>
      </c>
      <c r="M46" s="84">
        <f t="shared" ca="1" si="5"/>
        <v>32.169504894426019</v>
      </c>
      <c r="N46" s="84">
        <f t="shared" ca="1" si="6"/>
        <v>46.137595758073267</v>
      </c>
      <c r="O46" s="85">
        <f ca="1">IFERROR(__xludf.DUMMYFUNCTION("IMPORTRANGE(""https://docs.google.com/spreadsheets/d/1MeEWN-I1oV_STSDYn1IFDPWt_1FKiwhDph83XaGc0o0/edit?usp=sharing"",""งบพรบ!FE46"")"),165020)</f>
        <v>165020</v>
      </c>
      <c r="P46" s="84">
        <f t="shared" ca="1" si="53"/>
        <v>98.696172248803833</v>
      </c>
      <c r="Q46" s="84">
        <f t="shared" ca="1" si="8"/>
        <v>100</v>
      </c>
      <c r="R46" s="86">
        <f ca="1">IFERROR(__xludf.DUMMYFUNCTION("IMPORTRANGE(""https://docs.google.com/spreadsheets/d/1wPdvRbu02d33MYVlbsCnyTiZpefEBs9NNktAnT1HZvw/edit?usp=sharing"",""สุรินทร์!I359"")"),10000)</f>
        <v>10000</v>
      </c>
      <c r="S46" s="86">
        <f ca="1">IFERROR(__xludf.DUMMYFUNCTION("IMPORTRANGE(""https://docs.google.com/spreadsheets/d/1wPdvRbu02d33MYVlbsCnyTiZpefEBs9NNktAnT1HZvw/edit?usp=sharing"",""สุรินทร์!J358"")"),486)</f>
        <v>486</v>
      </c>
      <c r="T46" s="86">
        <f ca="1">IFERROR(__xludf.DUMMYFUNCTION("IMPORTRANGE(""https://docs.google.com/spreadsheets/d/1wPdvRbu02d33MYVlbsCnyTiZpefEBs9NNktAnT1HZvw/edit?usp=sharing"",""สุรินทร์!J359"")"),3350.17)</f>
        <v>3350.17</v>
      </c>
      <c r="U46" s="87">
        <f t="shared" ca="1" si="43"/>
        <v>33.5017</v>
      </c>
      <c r="V46" s="86">
        <f ca="1">IFERROR(__xludf.DUMMYFUNCTION("IMPORTRANGE(""https://docs.google.com/spreadsheets/d/1wPdvRbu02d33MYVlbsCnyTiZpefEBs9NNktAnT1HZvw/edit?usp=sharing"",""สุรินทร์!I360"")"),1000)</f>
        <v>1000</v>
      </c>
      <c r="W46" s="86">
        <f ca="1">IFERROR(__xludf.DUMMYFUNCTION("IMPORTRANGE(""https://docs.google.com/spreadsheets/d/1wPdvRbu02d33MYVlbsCnyTiZpefEBs9NNktAnT1HZvw/edit?usp=sharing"",""สุรินทร์!J360"")"),308)</f>
        <v>308</v>
      </c>
      <c r="X46" s="86">
        <f ca="1">IFERROR(__xludf.DUMMYFUNCTION("IMPORTRANGE(""https://docs.google.com/spreadsheets/d/1wPdvRbu02d33MYVlbsCnyTiZpefEBs9NNktAnT1HZvw/edit?usp=sharing"",""สุรินทร์!J361"")"),2101.91999999999)</f>
        <v>2101.9199999999901</v>
      </c>
      <c r="Y46" s="87">
        <f t="shared" ca="1" si="44"/>
        <v>30.8</v>
      </c>
      <c r="Z46" s="86">
        <f ca="1">IFERROR(__xludf.DUMMYFUNCTION("IMPORTRANGE(""https://docs.google.com/spreadsheets/d/1wPdvRbu02d33MYVlbsCnyTiZpefEBs9NNktAnT1HZvw/edit?usp=sharing"",""สุรินทร์!I362"")"),1000)</f>
        <v>1000</v>
      </c>
      <c r="AA46" s="86">
        <f ca="1">IFERROR(__xludf.DUMMYFUNCTION("IMPORTRANGE(""https://docs.google.com/spreadsheets/d/1wPdvRbu02d33MYVlbsCnyTiZpefEBs9NNktAnT1HZvw/edit?usp=sharing"",""สุรินทร์!J362"")"),113)</f>
        <v>113</v>
      </c>
      <c r="AB46" s="86">
        <f ca="1">IFERROR(__xludf.DUMMYFUNCTION("IMPORTRANGE(""https://docs.google.com/spreadsheets/d/1wPdvRbu02d33MYVlbsCnyTiZpefEBs9NNktAnT1HZvw/edit?usp=sharing"",""สุรินทร์!J363"")"),733.6)</f>
        <v>733.6</v>
      </c>
      <c r="AC46" s="87">
        <f t="shared" ca="1" si="45"/>
        <v>11.3</v>
      </c>
      <c r="AD46" s="86">
        <f ca="1">IFERROR(__xludf.DUMMYFUNCTION("IMPORTRANGE(""https://docs.google.com/spreadsheets/d/1wPdvRbu02d33MYVlbsCnyTiZpefEBs9NNktAnT1HZvw/edit?usp=sharing"",""สุรินทร์!I364"")"),2200)</f>
        <v>2200</v>
      </c>
      <c r="AE46" s="86">
        <f ca="1">IFERROR(__xludf.DUMMYFUNCTION("IMPORTRANGE(""https://docs.google.com/spreadsheets/d/1wPdvRbu02d33MYVlbsCnyTiZpefEBs9NNktAnT1HZvw/edit?usp=sharing"",""สุรินทร์!J364"")"),314)</f>
        <v>314</v>
      </c>
      <c r="AF46" s="87">
        <f t="shared" ca="1" si="16"/>
        <v>14.272727272727273</v>
      </c>
      <c r="AG46" s="86">
        <f ca="1">IFERROR(__xludf.DUMMYFUNCTION("IMPORTRANGE(""https://docs.google.com/spreadsheets/d/1wPdvRbu02d33MYVlbsCnyTiZpefEBs9NNktAnT1HZvw/edit?usp=sharing"",""สุรินทร์!I369"")"),3000)</f>
        <v>3000</v>
      </c>
      <c r="AH46" s="86">
        <f ca="1">IFERROR(__xludf.DUMMYFUNCTION("IMPORTRANGE(""https://docs.google.com/spreadsheets/d/1wPdvRbu02d33MYVlbsCnyTiZpefEBs9NNktAnT1HZvw/edit?usp=sharing"",""สุรินทร์!J368"")"),109)</f>
        <v>109</v>
      </c>
      <c r="AI46" s="86">
        <f ca="1">IFERROR(__xludf.DUMMYFUNCTION("IMPORTRANGE(""https://docs.google.com/spreadsheets/d/1wPdvRbu02d33MYVlbsCnyTiZpefEBs9NNktAnT1HZvw/edit?usp=sharing"",""สุรินทร์!J369"")"),597.64)</f>
        <v>597.64</v>
      </c>
      <c r="AJ46" s="87">
        <f t="shared" ca="1" si="46"/>
        <v>19.921333333333333</v>
      </c>
      <c r="AK46" s="86">
        <f ca="1">IFERROR(__xludf.DUMMYFUNCTION("IMPORTRANGE(""https://docs.google.com/spreadsheets/d/1wPdvRbu02d33MYVlbsCnyTiZpefEBs9NNktAnT1HZvw/edit?usp=sharing"",""สุรินทร์!I370"")"),300)</f>
        <v>300</v>
      </c>
      <c r="AL46" s="86">
        <f ca="1">IFERROR(__xludf.DUMMYFUNCTION("IMPORTRANGE(""https://docs.google.com/spreadsheets/d/1wPdvRbu02d33MYVlbsCnyTiZpefEBs9NNktAnT1HZvw/edit?usp=sharing"",""สุรินทร์!J370"")"),4)</f>
        <v>4</v>
      </c>
      <c r="AM46" s="86">
        <f ca="1">IFERROR(__xludf.DUMMYFUNCTION("IMPORTRANGE(""https://docs.google.com/spreadsheets/d/1wPdvRbu02d33MYVlbsCnyTiZpefEBs9NNktAnT1HZvw/edit?usp=sharing"",""สุรินทร์!J371"")"),25.45)</f>
        <v>25.45</v>
      </c>
      <c r="AN46" s="87">
        <f t="shared" ca="1" si="47"/>
        <v>1.3333333333333333</v>
      </c>
      <c r="AO46" s="86">
        <f ca="1">IFERROR(__xludf.DUMMYFUNCTION("IMPORTRANGE(""https://docs.google.com/spreadsheets/d/1wPdvRbu02d33MYVlbsCnyTiZpefEBs9NNktAnT1HZvw/edit?usp=sharing"",""สุรินทร์!I372"")"),300)</f>
        <v>300</v>
      </c>
      <c r="AP46" s="86">
        <f ca="1">IFERROR(__xludf.DUMMYFUNCTION("IMPORTRANGE(""https://docs.google.com/spreadsheets/d/1wPdvRbu02d33MYVlbsCnyTiZpefEBs9NNktAnT1HZvw/edit?usp=sharing"",""สุรินทร์!J372"")"),4)</f>
        <v>4</v>
      </c>
      <c r="AQ46" s="86">
        <f ca="1">IFERROR(__xludf.DUMMYFUNCTION("IMPORTRANGE(""https://docs.google.com/spreadsheets/d/1wPdvRbu02d33MYVlbsCnyTiZpefEBs9NNktAnT1HZvw/edit?usp=sharing"",""สุรินทร์!J373"")"),25.45)</f>
        <v>25.45</v>
      </c>
      <c r="AR46" s="87">
        <f t="shared" ca="1" si="48"/>
        <v>1.3333333333333333</v>
      </c>
      <c r="AS46" s="86">
        <f ca="1">IFERROR(__xludf.DUMMYFUNCTION("IMPORTRANGE(""https://docs.google.com/spreadsheets/d/1wPdvRbu02d33MYVlbsCnyTiZpefEBs9NNktAnT1HZvw/edit?usp=sharing"",""สุรินทร์!I378"")"),7000)</f>
        <v>7000</v>
      </c>
      <c r="AT46" s="86">
        <f ca="1">IFERROR(__xludf.DUMMYFUNCTION("IMPORTRANGE(""https://docs.google.com/spreadsheets/d/1wPdvRbu02d33MYVlbsCnyTiZpefEBs9NNktAnT1HZvw/edit?usp=sharing"",""สุรินทร์!J377"")"),384)</f>
        <v>384</v>
      </c>
      <c r="AU46" s="86">
        <f ca="1">IFERROR(__xludf.DUMMYFUNCTION("IMPORTRANGE(""https://docs.google.com/spreadsheets/d/1wPdvRbu02d33MYVlbsCnyTiZpefEBs9NNktAnT1HZvw/edit?usp=sharing"",""สุรินทร์!J378"")"),2824.76)</f>
        <v>2824.76</v>
      </c>
      <c r="AV46" s="87">
        <f t="shared" ca="1" si="49"/>
        <v>40.353714285714283</v>
      </c>
      <c r="AW46" s="86">
        <f ca="1">IFERROR(__xludf.DUMMYFUNCTION("IMPORTRANGE(""https://docs.google.com/spreadsheets/d/1wPdvRbu02d33MYVlbsCnyTiZpefEBs9NNktAnT1HZvw/edit?usp=sharing"",""สุรินทร์!I379"")"),1900)</f>
        <v>1900</v>
      </c>
      <c r="AX46" s="86">
        <f ca="1">IFERROR(__xludf.DUMMYFUNCTION("IMPORTRANGE(""https://docs.google.com/spreadsheets/d/1wPdvRbu02d33MYVlbsCnyTiZpefEBs9NNktAnT1HZvw/edit?usp=sharing"",""สุรินทร์!J379"")"),550)</f>
        <v>550</v>
      </c>
      <c r="AY46" s="86">
        <f ca="1">IFERROR(__xludf.DUMMYFUNCTION("IMPORTRANGE(""https://docs.google.com/spreadsheets/d/1wPdvRbu02d33MYVlbsCnyTiZpefEBs9NNktAnT1HZvw/edit?usp=sharing"",""สุรินทร์!J380"")"),4615.1)</f>
        <v>4615.1000000000004</v>
      </c>
      <c r="AZ46" s="87">
        <f t="shared" ca="1" si="50"/>
        <v>28.94736842105263</v>
      </c>
      <c r="BA46" s="86">
        <f ca="1">IFERROR(__xludf.DUMMYFUNCTION("IMPORTRANGE(""https://docs.google.com/spreadsheets/d/1wPdvRbu02d33MYVlbsCnyTiZpefEBs9NNktAnT1HZvw/edit?usp=sharing"",""สุรินทร์!I381"")"),1900)</f>
        <v>1900</v>
      </c>
      <c r="BB46" s="86">
        <f ca="1">IFERROR(__xludf.DUMMYFUNCTION("IMPORTRANGE(""https://docs.google.com/spreadsheets/d/1wPdvRbu02d33MYVlbsCnyTiZpefEBs9NNktAnT1HZvw/edit?usp=sharing"",""สุรินทร์!J381"")"),310)</f>
        <v>310</v>
      </c>
      <c r="BC46" s="86">
        <f ca="1">IFERROR(__xludf.DUMMYFUNCTION("IMPORTRANGE(""https://docs.google.com/spreadsheets/d/1wPdvRbu02d33MYVlbsCnyTiZpefEBs9NNktAnT1HZvw/edit?usp=sharing"",""สุรินทร์!J382"")"),2859.78)</f>
        <v>2859.78</v>
      </c>
      <c r="BD46" s="87">
        <f t="shared" ca="1" si="51"/>
        <v>16.315789473684209</v>
      </c>
    </row>
    <row r="47" spans="1:56" ht="21" customHeight="1" x14ac:dyDescent="0.2">
      <c r="A47" s="78">
        <v>16</v>
      </c>
      <c r="B47" s="79" t="s">
        <v>69</v>
      </c>
      <c r="C47" s="80">
        <f t="shared" ca="1" si="0"/>
        <v>1192260</v>
      </c>
      <c r="D47" s="81">
        <f t="shared" ca="1" si="76"/>
        <v>1118160</v>
      </c>
      <c r="E47" s="82">
        <f ca="1">IFERROR(__xludf.DUMMYFUNCTION("IMPORTRANGE(""https://docs.google.com/spreadsheets/d/1MeEWN-I1oV_STSDYn1IFDPWt_1FKiwhDph83XaGc0o0/edit?usp=sharing"",""งบพรบ!EX47"")"),429600)</f>
        <v>429600</v>
      </c>
      <c r="F47" s="82">
        <f ca="1">IFERROR(__xludf.DUMMYFUNCTION("IMPORTRANGE(""https://docs.google.com/spreadsheets/d/1MeEWN-I1oV_STSDYn1IFDPWt_1FKiwhDph83XaGc0o0/edit?usp=sharing"",""งบพรบ!EY47"")"),688560)</f>
        <v>688560</v>
      </c>
      <c r="G47" s="82">
        <f ca="1">IFERROR(__xludf.DUMMYFUNCTION("IMPORTRANGE(""https://docs.google.com/spreadsheets/d/1MeEWN-I1oV_STSDYn1IFDPWt_1FKiwhDph83XaGc0o0/edit?usp=sharing"",""งบพรบ!EZ47"")"),74100)</f>
        <v>74100</v>
      </c>
      <c r="H47" s="82">
        <f ca="1">IFERROR(__xludf.DUMMYFUNCTION("IMPORTRANGE(""https://docs.google.com/spreadsheets/d/1MeEWN-I1oV_STSDYn1IFDPWt_1FKiwhDph83XaGc0o0/edit?usp=sharing"",""งบพรบ!FB47"")"),716850)</f>
        <v>716850</v>
      </c>
      <c r="I47" s="82">
        <f ca="1">IFERROR(__xludf.DUMMYFUNCTION("IMPORTRANGE(""https://docs.google.com/spreadsheets/d/1MeEWN-I1oV_STSDYn1IFDPWt_1FKiwhDph83XaGc0o0/edit?usp=sharing"",""งบพรบ!FC47"")"),74100)</f>
        <v>74100</v>
      </c>
      <c r="J47" s="82">
        <f t="shared" ca="1" si="3"/>
        <v>517410.82</v>
      </c>
      <c r="K47" s="83">
        <f t="shared" ca="1" si="4"/>
        <v>43.397482092832099</v>
      </c>
      <c r="L47" s="82">
        <f ca="1">IFERROR(__xludf.DUMMYFUNCTION("IMPORTRANGE(""https://docs.google.com/spreadsheets/d/1MeEWN-I1oV_STSDYn1IFDPWt_1FKiwhDph83XaGc0o0/edit?usp=sharing"",""งบพรบ!FD47"")"),443310.82)</f>
        <v>443310.82</v>
      </c>
      <c r="M47" s="84">
        <f t="shared" ca="1" si="5"/>
        <v>39.646456678829509</v>
      </c>
      <c r="N47" s="84">
        <f t="shared" ca="1" si="6"/>
        <v>61.841503801353142</v>
      </c>
      <c r="O47" s="85">
        <f ca="1">IFERROR(__xludf.DUMMYFUNCTION("IMPORTRANGE(""https://docs.google.com/spreadsheets/d/1MeEWN-I1oV_STSDYn1IFDPWt_1FKiwhDph83XaGc0o0/edit?usp=sharing"",""งบพรบ!FE47"")"),74100)</f>
        <v>74100</v>
      </c>
      <c r="P47" s="84">
        <f t="shared" ca="1" si="53"/>
        <v>100</v>
      </c>
      <c r="Q47" s="84">
        <f t="shared" ca="1" si="8"/>
        <v>100</v>
      </c>
      <c r="R47" s="86">
        <f ca="1">IFERROR(__xludf.DUMMYFUNCTION("IMPORTRANGE(""https://docs.google.com/spreadsheets/d/1GVExpf-Exi_2gmuqTYH28fseTB9MoKPXWcXCbSt_YrM/edit?usp=sharing"",""หนองคาย!I359"")"),4100)</f>
        <v>4100</v>
      </c>
      <c r="S47" s="86">
        <f ca="1">IFERROR(__xludf.DUMMYFUNCTION("IMPORTRANGE(""https://docs.google.com/spreadsheets/d/1GVExpf-Exi_2gmuqTYH28fseTB9MoKPXWcXCbSt_YrM/edit?usp=sharing"",""หนองคาย!J358"")"),192)</f>
        <v>192</v>
      </c>
      <c r="T47" s="86">
        <f ca="1">IFERROR(__xludf.DUMMYFUNCTION("IMPORTRANGE(""https://docs.google.com/spreadsheets/d/1GVExpf-Exi_2gmuqTYH28fseTB9MoKPXWcXCbSt_YrM/edit?usp=sharing"",""หนองคาย!J359"")"),2133.9)</f>
        <v>2133.9</v>
      </c>
      <c r="U47" s="87">
        <f t="shared" ca="1" si="43"/>
        <v>52.046341463414635</v>
      </c>
      <c r="V47" s="86">
        <f ca="1">IFERROR(__xludf.DUMMYFUNCTION("IMPORTRANGE(""https://docs.google.com/spreadsheets/d/1GVExpf-Exi_2gmuqTYH28fseTB9MoKPXWcXCbSt_YrM/edit?usp=sharing"",""หนองคาย!I360"")"),381)</f>
        <v>381</v>
      </c>
      <c r="W47" s="86">
        <f ca="1">IFERROR(__xludf.DUMMYFUNCTION("IMPORTRANGE(""https://docs.google.com/spreadsheets/d/1GVExpf-Exi_2gmuqTYH28fseTB9MoKPXWcXCbSt_YrM/edit?usp=sharing"",""หนองคาย!J360"")"),198)</f>
        <v>198</v>
      </c>
      <c r="X47" s="86">
        <f ca="1">IFERROR(__xludf.DUMMYFUNCTION("IMPORTRANGE(""https://docs.google.com/spreadsheets/d/1GVExpf-Exi_2gmuqTYH28fseTB9MoKPXWcXCbSt_YrM/edit?usp=sharing"",""หนองคาย!J361"")"),2227.64)</f>
        <v>2227.64</v>
      </c>
      <c r="Y47" s="87">
        <f t="shared" ca="1" si="44"/>
        <v>51.968503937007874</v>
      </c>
      <c r="Z47" s="86">
        <f ca="1">IFERROR(__xludf.DUMMYFUNCTION("IMPORTRANGE(""https://docs.google.com/spreadsheets/d/1GVExpf-Exi_2gmuqTYH28fseTB9MoKPXWcXCbSt_YrM/edit?usp=sharing"",""หนองคาย!I362"")"),381)</f>
        <v>381</v>
      </c>
      <c r="AA47" s="86">
        <f ca="1">IFERROR(__xludf.DUMMYFUNCTION("IMPORTRANGE(""https://docs.google.com/spreadsheets/d/1GVExpf-Exi_2gmuqTYH28fseTB9MoKPXWcXCbSt_YrM/edit?usp=sharing"",""หนองคาย!J362"")"),9)</f>
        <v>9</v>
      </c>
      <c r="AB47" s="86">
        <f ca="1">IFERROR(__xludf.DUMMYFUNCTION("IMPORTRANGE(""https://docs.google.com/spreadsheets/d/1GVExpf-Exi_2gmuqTYH28fseTB9MoKPXWcXCbSt_YrM/edit?usp=sharing"",""หนองคาย!J363"")"),121.63)</f>
        <v>121.63</v>
      </c>
      <c r="AC47" s="87">
        <f t="shared" ca="1" si="45"/>
        <v>2.3622047244094486</v>
      </c>
      <c r="AD47" s="86">
        <f ca="1">IFERROR(__xludf.DUMMYFUNCTION("IMPORTRANGE(""https://docs.google.com/spreadsheets/d/1GVExpf-Exi_2gmuqTYH28fseTB9MoKPXWcXCbSt_YrM/edit?usp=sharing"",""หนองคาย!I364"")"),801)</f>
        <v>801</v>
      </c>
      <c r="AE47" s="86">
        <f ca="1">IFERROR(__xludf.DUMMYFUNCTION("IMPORTRANGE(""https://docs.google.com/spreadsheets/d/1GVExpf-Exi_2gmuqTYH28fseTB9MoKPXWcXCbSt_YrM/edit?usp=sharing"",""หนองคาย!J364"")"),174)</f>
        <v>174</v>
      </c>
      <c r="AF47" s="87">
        <f t="shared" ca="1" si="16"/>
        <v>21.722846441947567</v>
      </c>
      <c r="AG47" s="86">
        <f ca="1">IFERROR(__xludf.DUMMYFUNCTION("IMPORTRANGE(""https://docs.google.com/spreadsheets/d/1GVExpf-Exi_2gmuqTYH28fseTB9MoKPXWcXCbSt_YrM/edit?usp=sharing"",""หนองคาย!I369"")"),100)</f>
        <v>100</v>
      </c>
      <c r="AH47" s="86">
        <f ca="1">IFERROR(__xludf.DUMMYFUNCTION("IMPORTRANGE(""https://docs.google.com/spreadsheets/d/1GVExpf-Exi_2gmuqTYH28fseTB9MoKPXWcXCbSt_YrM/edit?usp=sharing"",""หนองคาย!J368"")"),3)</f>
        <v>3</v>
      </c>
      <c r="AI47" s="86">
        <f ca="1">IFERROR(__xludf.DUMMYFUNCTION("IMPORTRANGE(""https://docs.google.com/spreadsheets/d/1GVExpf-Exi_2gmuqTYH28fseTB9MoKPXWcXCbSt_YrM/edit?usp=sharing"",""หนองคาย!J369"")"),27.89)</f>
        <v>27.89</v>
      </c>
      <c r="AJ47" s="87">
        <f t="shared" ca="1" si="46"/>
        <v>27.89</v>
      </c>
      <c r="AK47" s="86">
        <f ca="1">IFERROR(__xludf.DUMMYFUNCTION("IMPORTRANGE(""https://docs.google.com/spreadsheets/d/1GVExpf-Exi_2gmuqTYH28fseTB9MoKPXWcXCbSt_YrM/edit?usp=sharing"",""หนองคาย!I370"")"),10)</f>
        <v>10</v>
      </c>
      <c r="AL47" s="86">
        <f ca="1">IFERROR(__xludf.DUMMYFUNCTION("IMPORTRANGE(""https://docs.google.com/spreadsheets/d/1GVExpf-Exi_2gmuqTYH28fseTB9MoKPXWcXCbSt_YrM/edit?usp=sharing"",""หนองคาย!J370"")"),9)</f>
        <v>9</v>
      </c>
      <c r="AM47" s="86">
        <f ca="1">IFERROR(__xludf.DUMMYFUNCTION("IMPORTRANGE(""https://docs.google.com/spreadsheets/d/1GVExpf-Exi_2gmuqTYH28fseTB9MoKPXWcXCbSt_YrM/edit?usp=sharing"",""หนองคาย!J371"")"),121.63)</f>
        <v>121.63</v>
      </c>
      <c r="AN47" s="87">
        <f t="shared" ca="1" si="47"/>
        <v>90</v>
      </c>
      <c r="AO47" s="86">
        <f ca="1">IFERROR(__xludf.DUMMYFUNCTION("IMPORTRANGE(""https://docs.google.com/spreadsheets/d/1GVExpf-Exi_2gmuqTYH28fseTB9MoKPXWcXCbSt_YrM/edit?usp=sharing"",""หนองคาย!I372"")"),10)</f>
        <v>10</v>
      </c>
      <c r="AP47" s="86">
        <f ca="1">IFERROR(__xludf.DUMMYFUNCTION("IMPORTRANGE(""https://docs.google.com/spreadsheets/d/1GVExpf-Exi_2gmuqTYH28fseTB9MoKPXWcXCbSt_YrM/edit?usp=sharing"",""หนองคาย!J372"")"),9)</f>
        <v>9</v>
      </c>
      <c r="AQ47" s="86">
        <f ca="1">IFERROR(__xludf.DUMMYFUNCTION("IMPORTRANGE(""https://docs.google.com/spreadsheets/d/1GVExpf-Exi_2gmuqTYH28fseTB9MoKPXWcXCbSt_YrM/edit?usp=sharing"",""หนองคาย!J373"")"),121.63)</f>
        <v>121.63</v>
      </c>
      <c r="AR47" s="87">
        <f t="shared" ca="1" si="48"/>
        <v>90</v>
      </c>
      <c r="AS47" s="86">
        <f ca="1">IFERROR(__xludf.DUMMYFUNCTION("IMPORTRANGE(""https://docs.google.com/spreadsheets/d/1GVExpf-Exi_2gmuqTYH28fseTB9MoKPXWcXCbSt_YrM/edit?usp=sharing"",""หนองคาย!I378"")"),4000)</f>
        <v>4000</v>
      </c>
      <c r="AT47" s="86">
        <f ca="1">IFERROR(__xludf.DUMMYFUNCTION("IMPORTRANGE(""https://docs.google.com/spreadsheets/d/1GVExpf-Exi_2gmuqTYH28fseTB9MoKPXWcXCbSt_YrM/edit?usp=sharing"",""หนองคาย!J377"")"),189)</f>
        <v>189</v>
      </c>
      <c r="AU47" s="86">
        <f ca="1">IFERROR(__xludf.DUMMYFUNCTION("IMPORTRANGE(""https://docs.google.com/spreadsheets/d/1GVExpf-Exi_2gmuqTYH28fseTB9MoKPXWcXCbSt_YrM/edit?usp=sharing"",""หนองคาย!J378"")"),2106.01)</f>
        <v>2106.0100000000002</v>
      </c>
      <c r="AV47" s="87">
        <f t="shared" ca="1" si="49"/>
        <v>52.650250000000007</v>
      </c>
      <c r="AW47" s="86">
        <f ca="1">IFERROR(__xludf.DUMMYFUNCTION("IMPORTRANGE(""https://docs.google.com/spreadsheets/d/1GVExpf-Exi_2gmuqTYH28fseTB9MoKPXWcXCbSt_YrM/edit?usp=sharing"",""หนองคาย!I379"")"),791)</f>
        <v>791</v>
      </c>
      <c r="AX47" s="86">
        <f ca="1">IFERROR(__xludf.DUMMYFUNCTION("IMPORTRANGE(""https://docs.google.com/spreadsheets/d/1GVExpf-Exi_2gmuqTYH28fseTB9MoKPXWcXCbSt_YrM/edit?usp=sharing"",""หนองคาย!J379"")"),354)</f>
        <v>354</v>
      </c>
      <c r="AY47" s="86">
        <f ca="1">IFERROR(__xludf.DUMMYFUNCTION("IMPORTRANGE(""https://docs.google.com/spreadsheets/d/1GVExpf-Exi_2gmuqTYH28fseTB9MoKPXWcXCbSt_YrM/edit?usp=sharing"",""หนองคาย!J380"")"),4573.97)</f>
        <v>4573.97</v>
      </c>
      <c r="AZ47" s="87">
        <f t="shared" ca="1" si="50"/>
        <v>44.753476611883691</v>
      </c>
      <c r="BA47" s="86">
        <f ca="1">IFERROR(__xludf.DUMMYFUNCTION("IMPORTRANGE(""https://docs.google.com/spreadsheets/d/1GVExpf-Exi_2gmuqTYH28fseTB9MoKPXWcXCbSt_YrM/edit?usp=sharing"",""หนองคาย!I381"")"),791)</f>
        <v>791</v>
      </c>
      <c r="BB47" s="86">
        <f ca="1">IFERROR(__xludf.DUMMYFUNCTION("IMPORTRANGE(""https://docs.google.com/spreadsheets/d/1GVExpf-Exi_2gmuqTYH28fseTB9MoKPXWcXCbSt_YrM/edit?usp=sharing"",""หนองคาย!J381"")"),165)</f>
        <v>165</v>
      </c>
      <c r="BC47" s="86">
        <f ca="1">IFERROR(__xludf.DUMMYFUNCTION("IMPORTRANGE(""https://docs.google.com/spreadsheets/d/1GVExpf-Exi_2gmuqTYH28fseTB9MoKPXWcXCbSt_YrM/edit?usp=sharing"",""หนองคาย!J382"")"),2467.95)</f>
        <v>2467.9499999999998</v>
      </c>
      <c r="BD47" s="87">
        <f t="shared" ca="1" si="51"/>
        <v>20.859671302149177</v>
      </c>
    </row>
    <row r="48" spans="1:56" ht="21" customHeight="1" x14ac:dyDescent="0.2">
      <c r="A48" s="78">
        <v>17</v>
      </c>
      <c r="B48" s="79" t="s">
        <v>70</v>
      </c>
      <c r="C48" s="80">
        <f t="shared" ca="1" si="0"/>
        <v>1121060</v>
      </c>
      <c r="D48" s="81">
        <f t="shared" ca="1" si="76"/>
        <v>1061060</v>
      </c>
      <c r="E48" s="82">
        <f ca="1">IFERROR(__xludf.DUMMYFUNCTION("IMPORTRANGE(""https://docs.google.com/spreadsheets/d/1MeEWN-I1oV_STSDYn1IFDPWt_1FKiwhDph83XaGc0o0/edit?usp=sharing"",""งบพรบ!EX48"")"),315600)</f>
        <v>315600</v>
      </c>
      <c r="F48" s="82">
        <f ca="1">IFERROR(__xludf.DUMMYFUNCTION("IMPORTRANGE(""https://docs.google.com/spreadsheets/d/1MeEWN-I1oV_STSDYn1IFDPWt_1FKiwhDph83XaGc0o0/edit?usp=sharing"",""งบพรบ!EY48"")"),745460)</f>
        <v>745460</v>
      </c>
      <c r="G48" s="82">
        <f ca="1">IFERROR(__xludf.DUMMYFUNCTION("IMPORTRANGE(""https://docs.google.com/spreadsheets/d/1MeEWN-I1oV_STSDYn1IFDPWt_1FKiwhDph83XaGc0o0/edit?usp=sharing"",""งบพรบ!EZ48"")"),60000)</f>
        <v>60000</v>
      </c>
      <c r="H48" s="82">
        <f ca="1">IFERROR(__xludf.DUMMYFUNCTION("IMPORTRANGE(""https://docs.google.com/spreadsheets/d/1MeEWN-I1oV_STSDYn1IFDPWt_1FKiwhDph83XaGc0o0/edit?usp=sharing"",""งบพรบ!FB48"")"),695550)</f>
        <v>695550</v>
      </c>
      <c r="I48" s="82">
        <f ca="1">IFERROR(__xludf.DUMMYFUNCTION("IMPORTRANGE(""https://docs.google.com/spreadsheets/d/1MeEWN-I1oV_STSDYn1IFDPWt_1FKiwhDph83XaGc0o0/edit?usp=sharing"",""งบพรบ!FC48"")"),60000)</f>
        <v>60000</v>
      </c>
      <c r="J48" s="82">
        <f t="shared" ca="1" si="3"/>
        <v>446246.98</v>
      </c>
      <c r="K48" s="83">
        <f t="shared" ca="1" si="4"/>
        <v>39.805807004085416</v>
      </c>
      <c r="L48" s="82">
        <f ca="1">IFERROR(__xludf.DUMMYFUNCTION("IMPORTRANGE(""https://docs.google.com/spreadsheets/d/1MeEWN-I1oV_STSDYn1IFDPWt_1FKiwhDph83XaGc0o0/edit?usp=sharing"",""งบพรบ!FD48"")"),386246.98)</f>
        <v>386246.98</v>
      </c>
      <c r="M48" s="84">
        <f t="shared" ca="1" si="5"/>
        <v>36.401992347275367</v>
      </c>
      <c r="N48" s="84">
        <f t="shared" ca="1" si="6"/>
        <v>55.531159514053627</v>
      </c>
      <c r="O48" s="85">
        <f ca="1">IFERROR(__xludf.DUMMYFUNCTION("IMPORTRANGE(""https://docs.google.com/spreadsheets/d/1MeEWN-I1oV_STSDYn1IFDPWt_1FKiwhDph83XaGc0o0/edit?usp=sharing"",""งบพรบ!FE48"")"),60000)</f>
        <v>60000</v>
      </c>
      <c r="P48" s="84">
        <f t="shared" ca="1" si="53"/>
        <v>100</v>
      </c>
      <c r="Q48" s="84">
        <f t="shared" ca="1" si="8"/>
        <v>100</v>
      </c>
      <c r="R48" s="86">
        <f ca="1">IFERROR(__xludf.DUMMYFUNCTION("IMPORTRANGE(""https://docs.google.com/spreadsheets/d/16UeMz0UgOB5BZcoxP75eYGcLFtGYRn9GoesD4OX9m5U/edit?usp=sharing"",""หนองบัวลำภู!I359"")"),4500)</f>
        <v>4500</v>
      </c>
      <c r="S48" s="86">
        <f ca="1">IFERROR(__xludf.DUMMYFUNCTION("IMPORTRANGE(""https://docs.google.com/spreadsheets/d/16UeMz0UgOB5BZcoxP75eYGcLFtGYRn9GoesD4OX9m5U/edit?usp=sharing"",""หนองบัวลำภู!J358"")"),88)</f>
        <v>88</v>
      </c>
      <c r="T48" s="86">
        <f ca="1">IFERROR(__xludf.DUMMYFUNCTION("IMPORTRANGE(""https://docs.google.com/spreadsheets/d/16UeMz0UgOB5BZcoxP75eYGcLFtGYRn9GoesD4OX9m5U/edit?usp=sharing"",""หนองบัวลำภู!J359"")"),748.959999999999)</f>
        <v>748.95999999999901</v>
      </c>
      <c r="U48" s="87">
        <f t="shared" ca="1" si="43"/>
        <v>16.643555555555533</v>
      </c>
      <c r="V48" s="86">
        <f ca="1">IFERROR(__xludf.DUMMYFUNCTION("IMPORTRANGE(""https://docs.google.com/spreadsheets/d/16UeMz0UgOB5BZcoxP75eYGcLFtGYRn9GoesD4OX9m5U/edit?usp=sharing"",""หนองบัวลำภู!I360"")"),440)</f>
        <v>440</v>
      </c>
      <c r="W48" s="86">
        <f ca="1">IFERROR(__xludf.DUMMYFUNCTION("IMPORTRANGE(""https://docs.google.com/spreadsheets/d/16UeMz0UgOB5BZcoxP75eYGcLFtGYRn9GoesD4OX9m5U/edit?usp=sharing"",""หนองบัวลำภู!J360"")"),24)</f>
        <v>24</v>
      </c>
      <c r="X48" s="86">
        <f ca="1">IFERROR(__xludf.DUMMYFUNCTION("IMPORTRANGE(""https://docs.google.com/spreadsheets/d/16UeMz0UgOB5BZcoxP75eYGcLFtGYRn9GoesD4OX9m5U/edit?usp=sharing"",""หนองบัวลำภู!J361"")"),337.9)</f>
        <v>337.9</v>
      </c>
      <c r="Y48" s="87">
        <f t="shared" ca="1" si="44"/>
        <v>5.4545454545454541</v>
      </c>
      <c r="Z48" s="86">
        <f ca="1">IFERROR(__xludf.DUMMYFUNCTION("IMPORTRANGE(""https://docs.google.com/spreadsheets/d/16UeMz0UgOB5BZcoxP75eYGcLFtGYRn9GoesD4OX9m5U/edit?usp=sharing"",""หนองบัวลำภู!I362"")"),440)</f>
        <v>440</v>
      </c>
      <c r="AA48" s="86">
        <f ca="1">IFERROR(__xludf.DUMMYFUNCTION("IMPORTRANGE(""https://docs.google.com/spreadsheets/d/16UeMz0UgOB5BZcoxP75eYGcLFtGYRn9GoesD4OX9m5U/edit?usp=sharing"",""หนองบัวลำภู!J362"")"),24)</f>
        <v>24</v>
      </c>
      <c r="AB48" s="86">
        <f ca="1">IFERROR(__xludf.DUMMYFUNCTION("IMPORTRANGE(""https://docs.google.com/spreadsheets/d/16UeMz0UgOB5BZcoxP75eYGcLFtGYRn9GoesD4OX9m5U/edit?usp=sharing"",""หนองบัวลำภู!J363"")"),337.9)</f>
        <v>337.9</v>
      </c>
      <c r="AC48" s="87">
        <f t="shared" ca="1" si="45"/>
        <v>5.4545454545454541</v>
      </c>
      <c r="AD48" s="86">
        <f ca="1">IFERROR(__xludf.DUMMYFUNCTION("IMPORTRANGE(""https://docs.google.com/spreadsheets/d/16UeMz0UgOB5BZcoxP75eYGcLFtGYRn9GoesD4OX9m5U/edit?usp=sharing"",""หนองบัวลำภู!I364"")"),560)</f>
        <v>560</v>
      </c>
      <c r="AE48" s="86">
        <f ca="1">IFERROR(__xludf.DUMMYFUNCTION("IMPORTRANGE(""https://docs.google.com/spreadsheets/d/16UeMz0UgOB5BZcoxP75eYGcLFtGYRn9GoesD4OX9m5U/edit?usp=sharing"",""หนองบัวลำภู!J364"")"),33)</f>
        <v>33</v>
      </c>
      <c r="AF48" s="87">
        <f t="shared" ca="1" si="16"/>
        <v>5.8928571428571432</v>
      </c>
      <c r="AG48" s="86">
        <f ca="1">IFERROR(__xludf.DUMMYFUNCTION("IMPORTRANGE(""https://docs.google.com/spreadsheets/d/16UeMz0UgOB5BZcoxP75eYGcLFtGYRn9GoesD4OX9m5U/edit?usp=sharing"",""หนองบัวลำภู!I369"")"),500)</f>
        <v>500</v>
      </c>
      <c r="AH48" s="86">
        <f ca="1">IFERROR(__xludf.DUMMYFUNCTION("IMPORTRANGE(""https://docs.google.com/spreadsheets/d/16UeMz0UgOB5BZcoxP75eYGcLFtGYRn9GoesD4OX9m5U/edit?usp=sharing"",""หนองบัวลำภู!J368"")"),70)</f>
        <v>70</v>
      </c>
      <c r="AI48" s="86">
        <f ca="1">IFERROR(__xludf.DUMMYFUNCTION("IMPORTRANGE(""https://docs.google.com/spreadsheets/d/16UeMz0UgOB5BZcoxP75eYGcLFtGYRn9GoesD4OX9m5U/edit?usp=sharing"",""หนองบัวลำภู!J369"")"),523.42)</f>
        <v>523.41999999999996</v>
      </c>
      <c r="AJ48" s="87">
        <f t="shared" ca="1" si="46"/>
        <v>104.68399999999998</v>
      </c>
      <c r="AK48" s="86">
        <f ca="1">IFERROR(__xludf.DUMMYFUNCTION("IMPORTRANGE(""https://docs.google.com/spreadsheets/d/16UeMz0UgOB5BZcoxP75eYGcLFtGYRn9GoesD4OX9m5U/edit?usp=sharing"",""หนองบัวลำภู!I370"")"),40)</f>
        <v>40</v>
      </c>
      <c r="AL48" s="86">
        <f ca="1">IFERROR(__xludf.DUMMYFUNCTION("IMPORTRANGE(""https://docs.google.com/spreadsheets/d/16UeMz0UgOB5BZcoxP75eYGcLFtGYRn9GoesD4OX9m5U/edit?usp=sharing"",""หนองบัวลำภู!J370"")"),6)</f>
        <v>6</v>
      </c>
      <c r="AM48" s="86">
        <f ca="1">IFERROR(__xludf.DUMMYFUNCTION("IMPORTRANGE(""https://docs.google.com/spreadsheets/d/16UeMz0UgOB5BZcoxP75eYGcLFtGYRn9GoesD4OX9m5U/edit?usp=sharing"",""หนองบัวลำภู!J371"")"),112.36)</f>
        <v>112.36</v>
      </c>
      <c r="AN48" s="87">
        <f t="shared" ca="1" si="47"/>
        <v>15</v>
      </c>
      <c r="AO48" s="86">
        <f ca="1">IFERROR(__xludf.DUMMYFUNCTION("IMPORTRANGE(""https://docs.google.com/spreadsheets/d/16UeMz0UgOB5BZcoxP75eYGcLFtGYRn9GoesD4OX9m5U/edit?usp=sharing"",""หนองบัวลำภู!I372"")"),40)</f>
        <v>40</v>
      </c>
      <c r="AP48" s="86">
        <f ca="1">IFERROR(__xludf.DUMMYFUNCTION("IMPORTRANGE(""https://docs.google.com/spreadsheets/d/16UeMz0UgOB5BZcoxP75eYGcLFtGYRn9GoesD4OX9m5U/edit?usp=sharing"",""หนองบัวลำภู!J372"")"),6)</f>
        <v>6</v>
      </c>
      <c r="AQ48" s="86">
        <f ca="1">IFERROR(__xludf.DUMMYFUNCTION("IMPORTRANGE(""https://docs.google.com/spreadsheets/d/16UeMz0UgOB5BZcoxP75eYGcLFtGYRn9GoesD4OX9m5U/edit?usp=sharing"",""หนองบัวลำภู!J373"")"),112.36)</f>
        <v>112.36</v>
      </c>
      <c r="AR48" s="87">
        <f t="shared" ca="1" si="48"/>
        <v>15</v>
      </c>
      <c r="AS48" s="86">
        <f ca="1">IFERROR(__xludf.DUMMYFUNCTION("IMPORTRANGE(""https://docs.google.com/spreadsheets/d/16UeMz0UgOB5BZcoxP75eYGcLFtGYRn9GoesD4OX9m5U/edit?usp=sharing"",""หนองบัวลำภู!I378"")"),4000)</f>
        <v>4000</v>
      </c>
      <c r="AT48" s="86">
        <f ca="1">IFERROR(__xludf.DUMMYFUNCTION("IMPORTRANGE(""https://docs.google.com/spreadsheets/d/16UeMz0UgOB5BZcoxP75eYGcLFtGYRn9GoesD4OX9m5U/edit?usp=sharing"",""หนองบัวลำภู!J377"")"),18)</f>
        <v>18</v>
      </c>
      <c r="AU48" s="86">
        <f ca="1">IFERROR(__xludf.DUMMYFUNCTION("IMPORTRANGE(""https://docs.google.com/spreadsheets/d/16UeMz0UgOB5BZcoxP75eYGcLFtGYRn9GoesD4OX9m5U/edit?usp=sharing"",""หนองบัวลำภู!J378"")"),225.54)</f>
        <v>225.54</v>
      </c>
      <c r="AV48" s="87">
        <f t="shared" ca="1" si="49"/>
        <v>5.6384999999999996</v>
      </c>
      <c r="AW48" s="86">
        <f ca="1">IFERROR(__xludf.DUMMYFUNCTION("IMPORTRANGE(""https://docs.google.com/spreadsheets/d/16UeMz0UgOB5BZcoxP75eYGcLFtGYRn9GoesD4OX9m5U/edit?usp=sharing"",""หนองบัวลำภู!I379"")"),520)</f>
        <v>520</v>
      </c>
      <c r="AX48" s="86">
        <f ca="1">IFERROR(__xludf.DUMMYFUNCTION("IMPORTRANGE(""https://docs.google.com/spreadsheets/d/16UeMz0UgOB5BZcoxP75eYGcLFtGYRn9GoesD4OX9m5U/edit?usp=sharing"",""หนองบัวลำภู!J379"")"),27)</f>
        <v>27</v>
      </c>
      <c r="AY48" s="86">
        <f ca="1">IFERROR(__xludf.DUMMYFUNCTION("IMPORTRANGE(""https://docs.google.com/spreadsheets/d/16UeMz0UgOB5BZcoxP75eYGcLFtGYRn9GoesD4OX9m5U/edit?usp=sharing"",""หนองบัวลำภู!J380"")"),361.6)</f>
        <v>361.6</v>
      </c>
      <c r="AZ48" s="87">
        <f t="shared" ca="1" si="50"/>
        <v>5.1923076923076925</v>
      </c>
      <c r="BA48" s="86">
        <f ca="1">IFERROR(__xludf.DUMMYFUNCTION("IMPORTRANGE(""https://docs.google.com/spreadsheets/d/16UeMz0UgOB5BZcoxP75eYGcLFtGYRn9GoesD4OX9m5U/edit?usp=sharing"",""หนองบัวลำภู!I381"")"),520)</f>
        <v>520</v>
      </c>
      <c r="BB48" s="86">
        <f ca="1">IFERROR(__xludf.DUMMYFUNCTION("IMPORTRANGE(""https://docs.google.com/spreadsheets/d/16UeMz0UgOB5BZcoxP75eYGcLFtGYRn9GoesD4OX9m5U/edit?usp=sharing"",""หนองบัวลำภู!J381"")"),27)</f>
        <v>27</v>
      </c>
      <c r="BC48" s="86">
        <f ca="1">IFERROR(__xludf.DUMMYFUNCTION("IMPORTRANGE(""https://docs.google.com/spreadsheets/d/16UeMz0UgOB5BZcoxP75eYGcLFtGYRn9GoesD4OX9m5U/edit?usp=sharing"",""หนองบัวลำภู!J382"")"),361.6)</f>
        <v>361.6</v>
      </c>
      <c r="BD48" s="87">
        <f t="shared" ca="1" si="51"/>
        <v>5.1923076923076925</v>
      </c>
    </row>
    <row r="49" spans="1:56" ht="21" customHeight="1" x14ac:dyDescent="0.2">
      <c r="A49" s="78">
        <v>18</v>
      </c>
      <c r="B49" s="79" t="s">
        <v>71</v>
      </c>
      <c r="C49" s="80">
        <f t="shared" ca="1" si="0"/>
        <v>825530</v>
      </c>
      <c r="D49" s="81">
        <f t="shared" ca="1" si="76"/>
        <v>730130</v>
      </c>
      <c r="E49" s="82">
        <f ca="1">IFERROR(__xludf.DUMMYFUNCTION("IMPORTRANGE(""https://docs.google.com/spreadsheets/d/1MeEWN-I1oV_STSDYn1IFDPWt_1FKiwhDph83XaGc0o0/edit?usp=sharing"",""งบพรบ!EX49"")"),315600)</f>
        <v>315600</v>
      </c>
      <c r="F49" s="82">
        <f ca="1">IFERROR(__xludf.DUMMYFUNCTION("IMPORTRANGE(""https://docs.google.com/spreadsheets/d/1MeEWN-I1oV_STSDYn1IFDPWt_1FKiwhDph83XaGc0o0/edit?usp=sharing"",""งบพรบ!EY49"")"),414530)</f>
        <v>414530</v>
      </c>
      <c r="G49" s="82">
        <f ca="1">IFERROR(__xludf.DUMMYFUNCTION("IMPORTRANGE(""https://docs.google.com/spreadsheets/d/1MeEWN-I1oV_STSDYn1IFDPWt_1FKiwhDph83XaGc0o0/edit?usp=sharing"",""งบพรบ!EZ49"")"),95400)</f>
        <v>95400</v>
      </c>
      <c r="H49" s="82">
        <f ca="1">IFERROR(__xludf.DUMMYFUNCTION("IMPORTRANGE(""https://docs.google.com/spreadsheets/d/1MeEWN-I1oV_STSDYn1IFDPWt_1FKiwhDph83XaGc0o0/edit?usp=sharing"",""งบพรบ!FB49"")"),494860)</f>
        <v>494860</v>
      </c>
      <c r="I49" s="82">
        <f ca="1">IFERROR(__xludf.DUMMYFUNCTION("IMPORTRANGE(""https://docs.google.com/spreadsheets/d/1MeEWN-I1oV_STSDYn1IFDPWt_1FKiwhDph83XaGc0o0/edit?usp=sharing"",""งบพรบ!FC49"")"),95400)</f>
        <v>95400</v>
      </c>
      <c r="J49" s="82">
        <f t="shared" ca="1" si="3"/>
        <v>346665</v>
      </c>
      <c r="K49" s="83">
        <f t="shared" ca="1" si="4"/>
        <v>41.99302266422783</v>
      </c>
      <c r="L49" s="82">
        <f ca="1">IFERROR(__xludf.DUMMYFUNCTION("IMPORTRANGE(""https://docs.google.com/spreadsheets/d/1MeEWN-I1oV_STSDYn1IFDPWt_1FKiwhDph83XaGc0o0/edit?usp=sharing"",""งบพรบ!FD49"")"),251265)</f>
        <v>251265</v>
      </c>
      <c r="M49" s="84">
        <f t="shared" ca="1" si="5"/>
        <v>34.413734540424308</v>
      </c>
      <c r="N49" s="84">
        <f t="shared" ca="1" si="6"/>
        <v>50.774966657236391</v>
      </c>
      <c r="O49" s="85">
        <f ca="1">IFERROR(__xludf.DUMMYFUNCTION("IMPORTRANGE(""https://docs.google.com/spreadsheets/d/1MeEWN-I1oV_STSDYn1IFDPWt_1FKiwhDph83XaGc0o0/edit?usp=sharing"",""งบพรบ!FE49"")"),95400)</f>
        <v>95400</v>
      </c>
      <c r="P49" s="84">
        <f t="shared" ca="1" si="53"/>
        <v>100</v>
      </c>
      <c r="Q49" s="84">
        <f t="shared" ca="1" si="8"/>
        <v>100</v>
      </c>
      <c r="R49" s="86">
        <f ca="1">IFERROR(__xludf.DUMMYFUNCTION("IMPORTRANGE(""https://docs.google.com/spreadsheets/d/1uUP8Zo1-qaJLuIkRU0qlwLSE3DHkbdrrj2JGJiWBQZE/edit?usp=sharing"",""อำนาจเจริญ!I359"")"),2000)</f>
        <v>2000</v>
      </c>
      <c r="S49" s="86">
        <f ca="1">IFERROR(__xludf.DUMMYFUNCTION("IMPORTRANGE(""https://docs.google.com/spreadsheets/d/1uUP8Zo1-qaJLuIkRU0qlwLSE3DHkbdrrj2JGJiWBQZE/edit?usp=sharing"",""อำนาจเจริญ!J358"")"),116)</f>
        <v>116</v>
      </c>
      <c r="T49" s="86">
        <f ca="1">IFERROR(__xludf.DUMMYFUNCTION("IMPORTRANGE(""https://docs.google.com/spreadsheets/d/1uUP8Zo1-qaJLuIkRU0qlwLSE3DHkbdrrj2JGJiWBQZE/edit?usp=sharing"",""อำนาจเจริญ!J359"")"),643.41)</f>
        <v>643.41</v>
      </c>
      <c r="U49" s="87">
        <f t="shared" ca="1" si="43"/>
        <v>32.170499999999997</v>
      </c>
      <c r="V49" s="86">
        <f ca="1">IFERROR(__xludf.DUMMYFUNCTION("IMPORTRANGE(""https://docs.google.com/spreadsheets/d/1uUP8Zo1-qaJLuIkRU0qlwLSE3DHkbdrrj2JGJiWBQZE/edit?usp=sharing"",""อำนาจเจริญ!I360"")"),210)</f>
        <v>210</v>
      </c>
      <c r="W49" s="86">
        <f ca="1">IFERROR(__xludf.DUMMYFUNCTION("IMPORTRANGE(""https://docs.google.com/spreadsheets/d/1uUP8Zo1-qaJLuIkRU0qlwLSE3DHkbdrrj2JGJiWBQZE/edit?usp=sharing"",""อำนาจเจริญ!J360"")"),48)</f>
        <v>48</v>
      </c>
      <c r="X49" s="86">
        <f ca="1">IFERROR(__xludf.DUMMYFUNCTION("IMPORTRANGE(""https://docs.google.com/spreadsheets/d/1uUP8Zo1-qaJLuIkRU0qlwLSE3DHkbdrrj2JGJiWBQZE/edit?usp=sharing"",""อำนาจเจริญ!J361"")"),317.25)</f>
        <v>317.25</v>
      </c>
      <c r="Y49" s="87">
        <f t="shared" ca="1" si="44"/>
        <v>22.857142857142858</v>
      </c>
      <c r="Z49" s="86">
        <f ca="1">IFERROR(__xludf.DUMMYFUNCTION("IMPORTRANGE(""https://docs.google.com/spreadsheets/d/1uUP8Zo1-qaJLuIkRU0qlwLSE3DHkbdrrj2JGJiWBQZE/edit?usp=sharing"",""อำนาจเจริญ!I362"")"),210)</f>
        <v>210</v>
      </c>
      <c r="AA49" s="86">
        <f ca="1">IFERROR(__xludf.DUMMYFUNCTION("IMPORTRANGE(""https://docs.google.com/spreadsheets/d/1uUP8Zo1-qaJLuIkRU0qlwLSE3DHkbdrrj2JGJiWBQZE/edit?usp=sharing"",""อำนาจเจริญ!J362"")"),0)</f>
        <v>0</v>
      </c>
      <c r="AB49" s="86">
        <f ca="1">IFERROR(__xludf.DUMMYFUNCTION("IMPORTRANGE(""https://docs.google.com/spreadsheets/d/1uUP8Zo1-qaJLuIkRU0qlwLSE3DHkbdrrj2JGJiWBQZE/edit?usp=sharing"",""อำนาจเจริญ!J363"")"),0)</f>
        <v>0</v>
      </c>
      <c r="AC49" s="87">
        <f t="shared" ca="1" si="45"/>
        <v>0</v>
      </c>
      <c r="AD49" s="86">
        <f ca="1">IFERROR(__xludf.DUMMYFUNCTION("IMPORTRANGE(""https://docs.google.com/spreadsheets/d/1uUP8Zo1-qaJLuIkRU0qlwLSE3DHkbdrrj2JGJiWBQZE/edit?usp=sharing"",""อำนาจเจริญ!I364"")"),410)</f>
        <v>410</v>
      </c>
      <c r="AE49" s="86">
        <f ca="1">IFERROR(__xludf.DUMMYFUNCTION("IMPORTRANGE(""https://docs.google.com/spreadsheets/d/1uUP8Zo1-qaJLuIkRU0qlwLSE3DHkbdrrj2JGJiWBQZE/edit?usp=sharing"",""อำนาจเจริญ!J364"")"),245)</f>
        <v>245</v>
      </c>
      <c r="AF49" s="87">
        <f t="shared" ca="1" si="16"/>
        <v>59.756097560975611</v>
      </c>
      <c r="AG49" s="86">
        <f ca="1">IFERROR(__xludf.DUMMYFUNCTION("IMPORTRANGE(""https://docs.google.com/spreadsheets/d/1uUP8Zo1-qaJLuIkRU0qlwLSE3DHkbdrrj2JGJiWBQZE/edit?usp=sharing"",""อำนาจเจริญ!I369"")"),500)</f>
        <v>500</v>
      </c>
      <c r="AH49" s="86">
        <f ca="1">IFERROR(__xludf.DUMMYFUNCTION("IMPORTRANGE(""https://docs.google.com/spreadsheets/d/1uUP8Zo1-qaJLuIkRU0qlwLSE3DHkbdrrj2JGJiWBQZE/edit?usp=sharing"",""อำนาจเจริญ!J368"")"),68)</f>
        <v>68</v>
      </c>
      <c r="AI49" s="86">
        <f ca="1">IFERROR(__xludf.DUMMYFUNCTION("IMPORTRANGE(""https://docs.google.com/spreadsheets/d/1uUP8Zo1-qaJLuIkRU0qlwLSE3DHkbdrrj2JGJiWBQZE/edit?usp=sharing"",""อำนาจเจริญ!J369"")"),326.16)</f>
        <v>326.16000000000003</v>
      </c>
      <c r="AJ49" s="87">
        <f t="shared" ca="1" si="46"/>
        <v>65.232000000000014</v>
      </c>
      <c r="AK49" s="86">
        <f ca="1">IFERROR(__xludf.DUMMYFUNCTION("IMPORTRANGE(""https://docs.google.com/spreadsheets/d/1uUP8Zo1-qaJLuIkRU0qlwLSE3DHkbdrrj2JGJiWBQZE/edit?usp=sharing"",""อำนาจเจริญ!I370"")"),60)</f>
        <v>60</v>
      </c>
      <c r="AL49" s="86">
        <f ca="1">IFERROR(__xludf.DUMMYFUNCTION("IMPORTRANGE(""https://docs.google.com/spreadsheets/d/1uUP8Zo1-qaJLuIkRU0qlwLSE3DHkbdrrj2JGJiWBQZE/edit?usp=sharing"",""อำนาจเจริญ!J370"")"),0)</f>
        <v>0</v>
      </c>
      <c r="AM49" s="86">
        <f ca="1">IFERROR(__xludf.DUMMYFUNCTION("IMPORTRANGE(""https://docs.google.com/spreadsheets/d/1uUP8Zo1-qaJLuIkRU0qlwLSE3DHkbdrrj2JGJiWBQZE/edit?usp=sharing"",""อำนาจเจริญ!J371"")"),0)</f>
        <v>0</v>
      </c>
      <c r="AN49" s="87">
        <f t="shared" ca="1" si="47"/>
        <v>0</v>
      </c>
      <c r="AO49" s="86">
        <f ca="1">IFERROR(__xludf.DUMMYFUNCTION("IMPORTRANGE(""https://docs.google.com/spreadsheets/d/1uUP8Zo1-qaJLuIkRU0qlwLSE3DHkbdrrj2JGJiWBQZE/edit?usp=sharing"",""อำนาจเจริญ!I372"")"),60)</f>
        <v>60</v>
      </c>
      <c r="AP49" s="86">
        <f ca="1">IFERROR(__xludf.DUMMYFUNCTION("IMPORTRANGE(""https://docs.google.com/spreadsheets/d/1uUP8Zo1-qaJLuIkRU0qlwLSE3DHkbdrrj2JGJiWBQZE/edit?usp=sharing"",""อำนาจเจริญ!J372"")"),0)</f>
        <v>0</v>
      </c>
      <c r="AQ49" s="86">
        <f ca="1">IFERROR(__xludf.DUMMYFUNCTION("IMPORTRANGE(""https://docs.google.com/spreadsheets/d/1uUP8Zo1-qaJLuIkRU0qlwLSE3DHkbdrrj2JGJiWBQZE/edit?usp=sharing"",""อำนาจเจริญ!J373"")"),0)</f>
        <v>0</v>
      </c>
      <c r="AR49" s="87">
        <f t="shared" ca="1" si="48"/>
        <v>0</v>
      </c>
      <c r="AS49" s="86">
        <f ca="1">IFERROR(__xludf.DUMMYFUNCTION("IMPORTRANGE(""https://docs.google.com/spreadsheets/d/1uUP8Zo1-qaJLuIkRU0qlwLSE3DHkbdrrj2JGJiWBQZE/edit?usp=sharing"",""อำนาจเจริญ!I378"")"),1500)</f>
        <v>1500</v>
      </c>
      <c r="AT49" s="86">
        <f ca="1">IFERROR(__xludf.DUMMYFUNCTION("IMPORTRANGE(""https://docs.google.com/spreadsheets/d/1uUP8Zo1-qaJLuIkRU0qlwLSE3DHkbdrrj2JGJiWBQZE/edit?usp=sharing"",""อำนาจเจริญ!J377"")"),48)</f>
        <v>48</v>
      </c>
      <c r="AU49" s="86">
        <f ca="1">IFERROR(__xludf.DUMMYFUNCTION("IMPORTRANGE(""https://docs.google.com/spreadsheets/d/1uUP8Zo1-qaJLuIkRU0qlwLSE3DHkbdrrj2JGJiWBQZE/edit?usp=sharing"",""อำนาจเจริญ!J378"")"),317.25)</f>
        <v>317.25</v>
      </c>
      <c r="AV49" s="87">
        <f t="shared" ca="1" si="49"/>
        <v>21.15</v>
      </c>
      <c r="AW49" s="86">
        <f ca="1">IFERROR(__xludf.DUMMYFUNCTION("IMPORTRANGE(""https://docs.google.com/spreadsheets/d/1uUP8Zo1-qaJLuIkRU0qlwLSE3DHkbdrrj2JGJiWBQZE/edit?usp=sharing"",""อำนาจเจริญ!I379"")"),350)</f>
        <v>350</v>
      </c>
      <c r="AX49" s="86">
        <f ca="1">IFERROR(__xludf.DUMMYFUNCTION("IMPORTRANGE(""https://docs.google.com/spreadsheets/d/1uUP8Zo1-qaJLuIkRU0qlwLSE3DHkbdrrj2JGJiWBQZE/edit?usp=sharing"",""อำนาจเจริญ!J379"")"),293)</f>
        <v>293</v>
      </c>
      <c r="AY49" s="86">
        <f ca="1">IFERROR(__xludf.DUMMYFUNCTION("IMPORTRANGE(""https://docs.google.com/spreadsheets/d/1uUP8Zo1-qaJLuIkRU0qlwLSE3DHkbdrrj2JGJiWBQZE/edit?usp=sharing"",""อำนาจเจริญ!J380"")"),2395.78)</f>
        <v>2395.7800000000002</v>
      </c>
      <c r="AZ49" s="87">
        <f t="shared" ca="1" si="50"/>
        <v>83.714285714285708</v>
      </c>
      <c r="BA49" s="86">
        <f ca="1">IFERROR(__xludf.DUMMYFUNCTION("IMPORTRANGE(""https://docs.google.com/spreadsheets/d/1uUP8Zo1-qaJLuIkRU0qlwLSE3DHkbdrrj2JGJiWBQZE/edit?usp=sharing"",""อำนาจเจริญ!I381"")"),350)</f>
        <v>350</v>
      </c>
      <c r="BB49" s="86">
        <f ca="1">IFERROR(__xludf.DUMMYFUNCTION("IMPORTRANGE(""https://docs.google.com/spreadsheets/d/1uUP8Zo1-qaJLuIkRU0qlwLSE3DHkbdrrj2JGJiWBQZE/edit?usp=sharing"",""อำนาจเจริญ!J381"")"),245)</f>
        <v>245</v>
      </c>
      <c r="BC49" s="86">
        <f ca="1">IFERROR(__xludf.DUMMYFUNCTION("IMPORTRANGE(""https://docs.google.com/spreadsheets/d/1uUP8Zo1-qaJLuIkRU0qlwLSE3DHkbdrrj2JGJiWBQZE/edit?usp=sharing"",""อำนาจเจริญ!J382"")"),2078.53)</f>
        <v>2078.5300000000002</v>
      </c>
      <c r="BD49" s="87">
        <f t="shared" ca="1" si="51"/>
        <v>70</v>
      </c>
    </row>
    <row r="50" spans="1:56" ht="21" customHeight="1" x14ac:dyDescent="0.2">
      <c r="A50" s="78">
        <v>19</v>
      </c>
      <c r="B50" s="79" t="s">
        <v>72</v>
      </c>
      <c r="C50" s="80">
        <f t="shared" ca="1" si="0"/>
        <v>2655720</v>
      </c>
      <c r="D50" s="81">
        <f t="shared" ca="1" si="76"/>
        <v>2482320</v>
      </c>
      <c r="E50" s="82">
        <f ca="1">IFERROR(__xludf.DUMMYFUNCTION("IMPORTRANGE(""https://docs.google.com/spreadsheets/d/1MeEWN-I1oV_STSDYn1IFDPWt_1FKiwhDph83XaGc0o0/edit?usp=sharing"",""งบพรบ!EX50"")"),315600)</f>
        <v>315600</v>
      </c>
      <c r="F50" s="82">
        <f ca="1">IFERROR(__xludf.DUMMYFUNCTION("IMPORTRANGE(""https://docs.google.com/spreadsheets/d/1MeEWN-I1oV_STSDYn1IFDPWt_1FKiwhDph83XaGc0o0/edit?usp=sharing"",""งบพรบ!EY50"")"),2166720)</f>
        <v>2166720</v>
      </c>
      <c r="G50" s="82">
        <f ca="1">IFERROR(__xludf.DUMMYFUNCTION("IMPORTRANGE(""https://docs.google.com/spreadsheets/d/1MeEWN-I1oV_STSDYn1IFDPWt_1FKiwhDph83XaGc0o0/edit?usp=sharing"",""งบพรบ!EZ50"")"),173400)</f>
        <v>173400</v>
      </c>
      <c r="H50" s="82">
        <f ca="1">IFERROR(__xludf.DUMMYFUNCTION("IMPORTRANGE(""https://docs.google.com/spreadsheets/d/1MeEWN-I1oV_STSDYn1IFDPWt_1FKiwhDph83XaGc0o0/edit?usp=sharing"",""งบพรบ!FB50"")"),1526622)</f>
        <v>1526622</v>
      </c>
      <c r="I50" s="82">
        <f ca="1">IFERROR(__xludf.DUMMYFUNCTION("IMPORTRANGE(""https://docs.google.com/spreadsheets/d/1MeEWN-I1oV_STSDYn1IFDPWt_1FKiwhDph83XaGc0o0/edit?usp=sharing"",""งบพรบ!FC50"")"),173400)</f>
        <v>173400</v>
      </c>
      <c r="J50" s="82">
        <f t="shared" ca="1" si="3"/>
        <v>1242268.56</v>
      </c>
      <c r="K50" s="83">
        <f t="shared" ca="1" si="4"/>
        <v>46.777090958384164</v>
      </c>
      <c r="L50" s="82">
        <f ca="1">IFERROR(__xludf.DUMMYFUNCTION("IMPORTRANGE(""https://docs.google.com/spreadsheets/d/1MeEWN-I1oV_STSDYn1IFDPWt_1FKiwhDph83XaGc0o0/edit?usp=sharing"",""งบพรบ!FD50"")"),1068868.56)</f>
        <v>1068868.56</v>
      </c>
      <c r="M50" s="84">
        <f t="shared" ca="1" si="5"/>
        <v>43.059257468819489</v>
      </c>
      <c r="N50" s="84">
        <f t="shared" ca="1" si="6"/>
        <v>70.015272935933055</v>
      </c>
      <c r="O50" s="85">
        <f ca="1">IFERROR(__xludf.DUMMYFUNCTION("IMPORTRANGE(""https://docs.google.com/spreadsheets/d/1MeEWN-I1oV_STSDYn1IFDPWt_1FKiwhDph83XaGc0o0/edit?usp=sharing"",""งบพรบ!FE50"")"),173400)</f>
        <v>173400</v>
      </c>
      <c r="P50" s="84">
        <f t="shared" ca="1" si="53"/>
        <v>100</v>
      </c>
      <c r="Q50" s="84">
        <f t="shared" ca="1" si="8"/>
        <v>100</v>
      </c>
      <c r="R50" s="86">
        <f ca="1">IFERROR(__xludf.DUMMYFUNCTION("IMPORTRANGE(""https://docs.google.com/spreadsheets/d/1hb_taSOHanzRjqfzWPiFo8yiT83VV1L7vvUCLhOiHKc/edit?usp=sharing"",""อุดรธานี!I359"")"),21000)</f>
        <v>21000</v>
      </c>
      <c r="S50" s="86">
        <f ca="1">IFERROR(__xludf.DUMMYFUNCTION("IMPORTRANGE(""https://docs.google.com/spreadsheets/d/1hb_taSOHanzRjqfzWPiFo8yiT83VV1L7vvUCLhOiHKc/edit?usp=sharing"",""อุดรธานี!J358"")"),557)</f>
        <v>557</v>
      </c>
      <c r="T50" s="86">
        <f ca="1">IFERROR(__xludf.DUMMYFUNCTION("IMPORTRANGE(""https://docs.google.com/spreadsheets/d/1hb_taSOHanzRjqfzWPiFo8yiT83VV1L7vvUCLhOiHKc/edit?usp=sharing"",""อุดรธานี!J359"")"),5747.52)</f>
        <v>5747.52</v>
      </c>
      <c r="U50" s="87">
        <f t="shared" ca="1" si="43"/>
        <v>27.369142857142858</v>
      </c>
      <c r="V50" s="86">
        <f ca="1">IFERROR(__xludf.DUMMYFUNCTION("IMPORTRANGE(""https://docs.google.com/spreadsheets/d/1hb_taSOHanzRjqfzWPiFo8yiT83VV1L7vvUCLhOiHKc/edit?usp=sharing"",""อุดรธานี!I360"")"),2150)</f>
        <v>2150</v>
      </c>
      <c r="W50" s="86">
        <f ca="1">IFERROR(__xludf.DUMMYFUNCTION("IMPORTRANGE(""https://docs.google.com/spreadsheets/d/1hb_taSOHanzRjqfzWPiFo8yiT83VV1L7vvUCLhOiHKc/edit?usp=sharing"",""อุดรธานี!J360"")"),521)</f>
        <v>521</v>
      </c>
      <c r="X50" s="86">
        <f ca="1">IFERROR(__xludf.DUMMYFUNCTION("IMPORTRANGE(""https://docs.google.com/spreadsheets/d/1hb_taSOHanzRjqfzWPiFo8yiT83VV1L7vvUCLhOiHKc/edit?usp=sharing"",""อุดรธานี!J361"")"),6735.35)</f>
        <v>6735.35</v>
      </c>
      <c r="Y50" s="87">
        <f t="shared" ca="1" si="44"/>
        <v>24.232558139534884</v>
      </c>
      <c r="Z50" s="86">
        <f ca="1">IFERROR(__xludf.DUMMYFUNCTION("IMPORTRANGE(""https://docs.google.com/spreadsheets/d/1hb_taSOHanzRjqfzWPiFo8yiT83VV1L7vvUCLhOiHKc/edit?usp=sharing"",""อุดรธานี!I362"")"),2150)</f>
        <v>2150</v>
      </c>
      <c r="AA50" s="86">
        <f ca="1">IFERROR(__xludf.DUMMYFUNCTION("IMPORTRANGE(""https://docs.google.com/spreadsheets/d/1hb_taSOHanzRjqfzWPiFo8yiT83VV1L7vvUCLhOiHKc/edit?usp=sharing"",""อุดรธานี!J362"")"),108)</f>
        <v>108</v>
      </c>
      <c r="AB50" s="86">
        <f ca="1">IFERROR(__xludf.DUMMYFUNCTION("IMPORTRANGE(""https://docs.google.com/spreadsheets/d/1hb_taSOHanzRjqfzWPiFo8yiT83VV1L7vvUCLhOiHKc/edit?usp=sharing"",""อุดรธานี!J363"")"),871.57)</f>
        <v>871.57</v>
      </c>
      <c r="AC50" s="87">
        <f t="shared" ca="1" si="45"/>
        <v>5.0232558139534884</v>
      </c>
      <c r="AD50" s="86">
        <f ca="1">IFERROR(__xludf.DUMMYFUNCTION("IMPORTRANGE(""https://docs.google.com/spreadsheets/d/1hb_taSOHanzRjqfzWPiFo8yiT83VV1L7vvUCLhOiHKc/edit?usp=sharing"",""อุดรธานี!I364"")"),2150)</f>
        <v>2150</v>
      </c>
      <c r="AE50" s="86">
        <f ca="1">IFERROR(__xludf.DUMMYFUNCTION("IMPORTRANGE(""https://docs.google.com/spreadsheets/d/1hb_taSOHanzRjqfzWPiFo8yiT83VV1L7vvUCLhOiHKc/edit?usp=sharing"",""อุดรธานี!J364"")"),397)</f>
        <v>397</v>
      </c>
      <c r="AF50" s="87">
        <f t="shared" ca="1" si="16"/>
        <v>18.465116279069768</v>
      </c>
      <c r="AG50" s="86">
        <f ca="1">IFERROR(__xludf.DUMMYFUNCTION("IMPORTRANGE(""https://docs.google.com/spreadsheets/d/1hb_taSOHanzRjqfzWPiFo8yiT83VV1L7vvUCLhOiHKc/edit?usp=sharing"",""อุดรธานี!I369"")"),6000)</f>
        <v>6000</v>
      </c>
      <c r="AH50" s="86">
        <f ca="1">IFERROR(__xludf.DUMMYFUNCTION("IMPORTRANGE(""https://docs.google.com/spreadsheets/d/1hb_taSOHanzRjqfzWPiFo8yiT83VV1L7vvUCLhOiHKc/edit?usp=sharing"",""อุดรธานี!J368"")"),283)</f>
        <v>283</v>
      </c>
      <c r="AI50" s="86">
        <f ca="1">IFERROR(__xludf.DUMMYFUNCTION("IMPORTRANGE(""https://docs.google.com/spreadsheets/d/1hb_taSOHanzRjqfzWPiFo8yiT83VV1L7vvUCLhOiHKc/edit?usp=sharing"",""อุดรธานี!J369"")"),3239.3)</f>
        <v>3239.3</v>
      </c>
      <c r="AJ50" s="87">
        <f t="shared" ca="1" si="46"/>
        <v>53.988333333333337</v>
      </c>
      <c r="AK50" s="86">
        <f ca="1">IFERROR(__xludf.DUMMYFUNCTION("IMPORTRANGE(""https://docs.google.com/spreadsheets/d/1hb_taSOHanzRjqfzWPiFo8yiT83VV1L7vvUCLhOiHKc/edit?usp=sharing"",""อุดรธานี!I370"")"),400)</f>
        <v>400</v>
      </c>
      <c r="AL50" s="86">
        <f ca="1">IFERROR(__xludf.DUMMYFUNCTION("IMPORTRANGE(""https://docs.google.com/spreadsheets/d/1hb_taSOHanzRjqfzWPiFo8yiT83VV1L7vvUCLhOiHKc/edit?usp=sharing"",""อุดรธานี!J370"")"),163)</f>
        <v>163</v>
      </c>
      <c r="AM50" s="86">
        <f ca="1">IFERROR(__xludf.DUMMYFUNCTION("IMPORTRANGE(""https://docs.google.com/spreadsheets/d/1hb_taSOHanzRjqfzWPiFo8yiT83VV1L7vvUCLhOiHKc/edit?usp=sharing"",""อุดรธานี!J371"")"),2105.36)</f>
        <v>2105.36</v>
      </c>
      <c r="AN50" s="87">
        <f t="shared" ca="1" si="47"/>
        <v>40.75</v>
      </c>
      <c r="AO50" s="86">
        <f ca="1">IFERROR(__xludf.DUMMYFUNCTION("IMPORTRANGE(""https://docs.google.com/spreadsheets/d/1hb_taSOHanzRjqfzWPiFo8yiT83VV1L7vvUCLhOiHKc/edit?usp=sharing"",""อุดรธานี!I372"")"),400)</f>
        <v>400</v>
      </c>
      <c r="AP50" s="86">
        <f ca="1">IFERROR(__xludf.DUMMYFUNCTION("IMPORTRANGE(""https://docs.google.com/spreadsheets/d/1hb_taSOHanzRjqfzWPiFo8yiT83VV1L7vvUCLhOiHKc/edit?usp=sharing"",""อุดรธานี!J372"")"),0)</f>
        <v>0</v>
      </c>
      <c r="AQ50" s="86">
        <f ca="1">IFERROR(__xludf.DUMMYFUNCTION("IMPORTRANGE(""https://docs.google.com/spreadsheets/d/1hb_taSOHanzRjqfzWPiFo8yiT83VV1L7vvUCLhOiHKc/edit?usp=sharing"",""อุดรธานี!J373"")"),0)</f>
        <v>0</v>
      </c>
      <c r="AR50" s="87">
        <f t="shared" ca="1" si="48"/>
        <v>0</v>
      </c>
      <c r="AS50" s="86">
        <f ca="1">IFERROR(__xludf.DUMMYFUNCTION("IMPORTRANGE(""https://docs.google.com/spreadsheets/d/1hb_taSOHanzRjqfzWPiFo8yiT83VV1L7vvUCLhOiHKc/edit?usp=sharing"",""อุดรธานี!I378"")"),15000)</f>
        <v>15000</v>
      </c>
      <c r="AT50" s="86">
        <f ca="1">IFERROR(__xludf.DUMMYFUNCTION("IMPORTRANGE(""https://docs.google.com/spreadsheets/d/1hb_taSOHanzRjqfzWPiFo8yiT83VV1L7vvUCLhOiHKc/edit?usp=sharing"",""อุดรธานี!J377"")"),274)</f>
        <v>274</v>
      </c>
      <c r="AU50" s="86">
        <f ca="1">IFERROR(__xludf.DUMMYFUNCTION("IMPORTRANGE(""https://docs.google.com/spreadsheets/d/1hb_taSOHanzRjqfzWPiFo8yiT83VV1L7vvUCLhOiHKc/edit?usp=sharing"",""อุดรธานี!J378"")"),2508.22)</f>
        <v>2508.2199999999998</v>
      </c>
      <c r="AV50" s="87">
        <f t="shared" ca="1" si="49"/>
        <v>16.721466666666664</v>
      </c>
      <c r="AW50" s="86">
        <f ca="1">IFERROR(__xludf.DUMMYFUNCTION("IMPORTRANGE(""https://docs.google.com/spreadsheets/d/1hb_taSOHanzRjqfzWPiFo8yiT83VV1L7vvUCLhOiHKc/edit?usp=sharing"",""อุดรธานี!I379"")"),1750)</f>
        <v>1750</v>
      </c>
      <c r="AX50" s="86">
        <f ca="1">IFERROR(__xludf.DUMMYFUNCTION("IMPORTRANGE(""https://docs.google.com/spreadsheets/d/1hb_taSOHanzRjqfzWPiFo8yiT83VV1L7vvUCLhOiHKc/edit?usp=sharing"",""อุดรธานี!J379"")"),649)</f>
        <v>649</v>
      </c>
      <c r="AY50" s="86">
        <f ca="1">IFERROR(__xludf.DUMMYFUNCTION("IMPORTRANGE(""https://docs.google.com/spreadsheets/d/1hb_taSOHanzRjqfzWPiFo8yiT83VV1L7vvUCLhOiHKc/edit?usp=sharing"",""อุดรธานี!J380"")"),9084.25)</f>
        <v>9084.25</v>
      </c>
      <c r="AZ50" s="87">
        <f t="shared" ca="1" si="50"/>
        <v>37.085714285714289</v>
      </c>
      <c r="BA50" s="86">
        <f ca="1">IFERROR(__xludf.DUMMYFUNCTION("IMPORTRANGE(""https://docs.google.com/spreadsheets/d/1hb_taSOHanzRjqfzWPiFo8yiT83VV1L7vvUCLhOiHKc/edit?usp=sharing"",""อุดรธานี!I381"")"),1750)</f>
        <v>1750</v>
      </c>
      <c r="BB50" s="86">
        <f ca="1">IFERROR(__xludf.DUMMYFUNCTION("IMPORTRANGE(""https://docs.google.com/spreadsheets/d/1hb_taSOHanzRjqfzWPiFo8yiT83VV1L7vvUCLhOiHKc/edit?usp=sharing"",""อุดรธานี!J381"")"),397)</f>
        <v>397</v>
      </c>
      <c r="BC50" s="86">
        <f ca="1">IFERROR(__xludf.DUMMYFUNCTION("IMPORTRANGE(""https://docs.google.com/spreadsheets/d/1hb_taSOHanzRjqfzWPiFo8yiT83VV1L7vvUCLhOiHKc/edit?usp=sharing"",""อุดรธานี!J382"")"),5250.49)</f>
        <v>5250.49</v>
      </c>
      <c r="BD50" s="87">
        <f t="shared" ca="1" si="51"/>
        <v>22.685714285714287</v>
      </c>
    </row>
    <row r="51" spans="1:56" ht="21" customHeight="1" x14ac:dyDescent="0.2">
      <c r="A51" s="89">
        <v>20</v>
      </c>
      <c r="B51" s="90" t="s">
        <v>73</v>
      </c>
      <c r="C51" s="91">
        <f t="shared" ca="1" si="0"/>
        <v>2256200</v>
      </c>
      <c r="D51" s="92">
        <f t="shared" ca="1" si="76"/>
        <v>2180200</v>
      </c>
      <c r="E51" s="93">
        <f ca="1">IFERROR(__xludf.DUMMYFUNCTION("IMPORTRANGE(""https://docs.google.com/spreadsheets/d/1MeEWN-I1oV_STSDYn1IFDPWt_1FKiwhDph83XaGc0o0/edit?usp=sharing"",""งบพรบ!EX51"")"),517200)</f>
        <v>517200</v>
      </c>
      <c r="F51" s="93">
        <f ca="1">IFERROR(__xludf.DUMMYFUNCTION("IMPORTRANGE(""https://docs.google.com/spreadsheets/d/1MeEWN-I1oV_STSDYn1IFDPWt_1FKiwhDph83XaGc0o0/edit?usp=sharing"",""งบพรบ!EY51"")"),1663000)</f>
        <v>1663000</v>
      </c>
      <c r="G51" s="93">
        <f ca="1">IFERROR(__xludf.DUMMYFUNCTION("IMPORTRANGE(""https://docs.google.com/spreadsheets/d/1MeEWN-I1oV_STSDYn1IFDPWt_1FKiwhDph83XaGc0o0/edit?usp=sharing"",""งบพรบ!EZ51"")"),76000)</f>
        <v>76000</v>
      </c>
      <c r="H51" s="93">
        <f ca="1">IFERROR(__xludf.DUMMYFUNCTION("IMPORTRANGE(""https://docs.google.com/spreadsheets/d/1MeEWN-I1oV_STSDYn1IFDPWt_1FKiwhDph83XaGc0o0/edit?usp=sharing"",""งบพรบ!FB51"")"),1387650)</f>
        <v>1387650</v>
      </c>
      <c r="I51" s="93">
        <f ca="1">IFERROR(__xludf.DUMMYFUNCTION("IMPORTRANGE(""https://docs.google.com/spreadsheets/d/1MeEWN-I1oV_STSDYn1IFDPWt_1FKiwhDph83XaGc0o0/edit?usp=sharing"",""งบพรบ!FC51"")"),76000)</f>
        <v>76000</v>
      </c>
      <c r="J51" s="93">
        <f t="shared" ca="1" si="3"/>
        <v>896399.25</v>
      </c>
      <c r="K51" s="94">
        <f t="shared" ca="1" si="4"/>
        <v>39.730487102207249</v>
      </c>
      <c r="L51" s="93">
        <f ca="1">IFERROR(__xludf.DUMMYFUNCTION("IMPORTRANGE(""https://docs.google.com/spreadsheets/d/1MeEWN-I1oV_STSDYn1IFDPWt_1FKiwhDph83XaGc0o0/edit?usp=sharing"",""งบพรบ!FD51"")"),820399.25)</f>
        <v>820399.25</v>
      </c>
      <c r="M51" s="95">
        <f t="shared" ca="1" si="5"/>
        <v>37.629540867810292</v>
      </c>
      <c r="N51" s="95">
        <f t="shared" ca="1" si="6"/>
        <v>59.121482362267145</v>
      </c>
      <c r="O51" s="96">
        <f ca="1">IFERROR(__xludf.DUMMYFUNCTION("IMPORTRANGE(""https://docs.google.com/spreadsheets/d/1MeEWN-I1oV_STSDYn1IFDPWt_1FKiwhDph83XaGc0o0/edit?usp=sharing"",""งบพรบ!FE51"")"),76000)</f>
        <v>76000</v>
      </c>
      <c r="P51" s="95">
        <f t="shared" ca="1" si="53"/>
        <v>100</v>
      </c>
      <c r="Q51" s="95">
        <f t="shared" ca="1" si="8"/>
        <v>100</v>
      </c>
      <c r="R51" s="97">
        <f ca="1">IFERROR(__xludf.DUMMYFUNCTION("IMPORTRANGE(""https://docs.google.com/spreadsheets/d/17IOkEwkUd63EGNfyNDnM5de9YlZ7rwzTiW6-dokVjKI/edit?usp=sharing"",""อุบลราชธานี!I359"")"),13000)</f>
        <v>13000</v>
      </c>
      <c r="S51" s="97">
        <f ca="1">IFERROR(__xludf.DUMMYFUNCTION("IMPORTRANGE(""https://docs.google.com/spreadsheets/d/17IOkEwkUd63EGNfyNDnM5de9YlZ7rwzTiW6-dokVjKI/edit?usp=sharing"",""อุบลราชธานี!J358"")"),566)</f>
        <v>566</v>
      </c>
      <c r="T51" s="97">
        <f ca="1">IFERROR(__xludf.DUMMYFUNCTION("IMPORTRANGE(""https://docs.google.com/spreadsheets/d/17IOkEwkUd63EGNfyNDnM5de9YlZ7rwzTiW6-dokVjKI/edit?usp=sharing"",""อุบลราชธานี!J359"")"),4802.59999999999)</f>
        <v>4802.5999999999904</v>
      </c>
      <c r="U51" s="98">
        <f t="shared" ca="1" si="43"/>
        <v>36.943076923076845</v>
      </c>
      <c r="V51" s="97">
        <f ca="1">IFERROR(__xludf.DUMMYFUNCTION("IMPORTRANGE(""https://docs.google.com/spreadsheets/d/17IOkEwkUd63EGNfyNDnM5de9YlZ7rwzTiW6-dokVjKI/edit?usp=sharing"",""อุบลราชธานี!I360"")"),1300)</f>
        <v>1300</v>
      </c>
      <c r="W51" s="97">
        <f ca="1">IFERROR(__xludf.DUMMYFUNCTION("IMPORTRANGE(""https://docs.google.com/spreadsheets/d/17IOkEwkUd63EGNfyNDnM5de9YlZ7rwzTiW6-dokVjKI/edit?usp=sharing"",""อุบลราชธานี!J360"")"),452)</f>
        <v>452</v>
      </c>
      <c r="X51" s="97">
        <f ca="1">IFERROR(__xludf.DUMMYFUNCTION("IMPORTRANGE(""https://docs.google.com/spreadsheets/d/17IOkEwkUd63EGNfyNDnM5de9YlZ7rwzTiW6-dokVjKI/edit?usp=sharing"",""อุบลราชธานี!J361"")"),4148.32)</f>
        <v>4148.32</v>
      </c>
      <c r="Y51" s="98">
        <f t="shared" ca="1" si="44"/>
        <v>34.769230769230766</v>
      </c>
      <c r="Z51" s="97">
        <f ca="1">IFERROR(__xludf.DUMMYFUNCTION("IMPORTRANGE(""https://docs.google.com/spreadsheets/d/17IOkEwkUd63EGNfyNDnM5de9YlZ7rwzTiW6-dokVjKI/edit?usp=sharing"",""อุบลราชธานี!I362"")"),1300)</f>
        <v>1300</v>
      </c>
      <c r="AA51" s="97">
        <f ca="1">IFERROR(__xludf.DUMMYFUNCTION("IMPORTRANGE(""https://docs.google.com/spreadsheets/d/17IOkEwkUd63EGNfyNDnM5de9YlZ7rwzTiW6-dokVjKI/edit?usp=sharing"",""อุบลราชธานี!J362"")"),73)</f>
        <v>73</v>
      </c>
      <c r="AB51" s="97">
        <f ca="1">IFERROR(__xludf.DUMMYFUNCTION("IMPORTRANGE(""https://docs.google.com/spreadsheets/d/17IOkEwkUd63EGNfyNDnM5de9YlZ7rwzTiW6-dokVjKI/edit?usp=sharing"",""อุบลราชธานี!J363"")"),777.61)</f>
        <v>777.61</v>
      </c>
      <c r="AC51" s="98">
        <f t="shared" ca="1" si="45"/>
        <v>5.615384615384615</v>
      </c>
      <c r="AD51" s="97">
        <f ca="1">IFERROR(__xludf.DUMMYFUNCTION("IMPORTRANGE(""https://docs.google.com/spreadsheets/d/17IOkEwkUd63EGNfyNDnM5de9YlZ7rwzTiW6-dokVjKI/edit?usp=sharing"",""อุบลราชธานี!I364"")"),1500)</f>
        <v>1500</v>
      </c>
      <c r="AE51" s="97">
        <f ca="1">IFERROR(__xludf.DUMMYFUNCTION("IMPORTRANGE(""https://docs.google.com/spreadsheets/d/17IOkEwkUd63EGNfyNDnM5de9YlZ7rwzTiW6-dokVjKI/edit?usp=sharing"",""อุบลราชธานี!J364"")"),183)</f>
        <v>183</v>
      </c>
      <c r="AF51" s="98">
        <f t="shared" ca="1" si="16"/>
        <v>12.2</v>
      </c>
      <c r="AG51" s="97">
        <f ca="1">IFERROR(__xludf.DUMMYFUNCTION("IMPORTRANGE(""https://docs.google.com/spreadsheets/d/17IOkEwkUd63EGNfyNDnM5de9YlZ7rwzTiW6-dokVjKI/edit?usp=sharing"",""อุบลราชธานี!I369"")"),3000)</f>
        <v>3000</v>
      </c>
      <c r="AH51" s="97">
        <f ca="1">IFERROR(__xludf.DUMMYFUNCTION("IMPORTRANGE(""https://docs.google.com/spreadsheets/d/17IOkEwkUd63EGNfyNDnM5de9YlZ7rwzTiW6-dokVjKI/edit?usp=sharing"",""อุบลราชธานี!J368"")"),208)</f>
        <v>208</v>
      </c>
      <c r="AI51" s="97">
        <f ca="1">IFERROR(__xludf.DUMMYFUNCTION("IMPORTRANGE(""https://docs.google.com/spreadsheets/d/17IOkEwkUd63EGNfyNDnM5de9YlZ7rwzTiW6-dokVjKI/edit?usp=sharing"",""อุบลราชธานี!J369"")"),1347.61)</f>
        <v>1347.61</v>
      </c>
      <c r="AJ51" s="98">
        <f t="shared" ca="1" si="46"/>
        <v>44.920333333333332</v>
      </c>
      <c r="AK51" s="97">
        <f ca="1">IFERROR(__xludf.DUMMYFUNCTION("IMPORTRANGE(""https://docs.google.com/spreadsheets/d/17IOkEwkUd63EGNfyNDnM5de9YlZ7rwzTiW6-dokVjKI/edit?usp=sharing"",""อุบลราชธานี!I370"")"),300)</f>
        <v>300</v>
      </c>
      <c r="AL51" s="97">
        <f ca="1">IFERROR(__xludf.DUMMYFUNCTION("IMPORTRANGE(""https://docs.google.com/spreadsheets/d/17IOkEwkUd63EGNfyNDnM5de9YlZ7rwzTiW6-dokVjKI/edit?usp=sharing"",""อุบลราชธานี!J370"")"),94)</f>
        <v>94</v>
      </c>
      <c r="AM51" s="97">
        <f ca="1">IFERROR(__xludf.DUMMYFUNCTION("IMPORTRANGE(""https://docs.google.com/spreadsheets/d/17IOkEwkUd63EGNfyNDnM5de9YlZ7rwzTiW6-dokVjKI/edit?usp=sharing"",""อุบลราชธานี!J371"")"),719.16)</f>
        <v>719.16</v>
      </c>
      <c r="AN51" s="98">
        <f t="shared" ca="1" si="47"/>
        <v>31.333333333333332</v>
      </c>
      <c r="AO51" s="97">
        <f ca="1">IFERROR(__xludf.DUMMYFUNCTION("IMPORTRANGE(""https://docs.google.com/spreadsheets/d/17IOkEwkUd63EGNfyNDnM5de9YlZ7rwzTiW6-dokVjKI/edit?usp=sharing"",""อุบลราชธานี!I372"")"),300)</f>
        <v>300</v>
      </c>
      <c r="AP51" s="97">
        <f ca="1">IFERROR(__xludf.DUMMYFUNCTION("IMPORTRANGE(""https://docs.google.com/spreadsheets/d/17IOkEwkUd63EGNfyNDnM5de9YlZ7rwzTiW6-dokVjKI/edit?usp=sharing"",""อุบลราชธานี!J372"")"),0)</f>
        <v>0</v>
      </c>
      <c r="AQ51" s="97">
        <f ca="1">IFERROR(__xludf.DUMMYFUNCTION("IMPORTRANGE(""https://docs.google.com/spreadsheets/d/17IOkEwkUd63EGNfyNDnM5de9YlZ7rwzTiW6-dokVjKI/edit?usp=sharing"",""อุบลราชธานี!J373"")"),0)</f>
        <v>0</v>
      </c>
      <c r="AR51" s="98">
        <f t="shared" ca="1" si="48"/>
        <v>0</v>
      </c>
      <c r="AS51" s="97">
        <f ca="1">IFERROR(__xludf.DUMMYFUNCTION("IMPORTRANGE(""https://docs.google.com/spreadsheets/d/17IOkEwkUd63EGNfyNDnM5de9YlZ7rwzTiW6-dokVjKI/edit?usp=sharing"",""อุบลราชธานี!I378"")"),10000)</f>
        <v>10000</v>
      </c>
      <c r="AT51" s="97">
        <f ca="1">IFERROR(__xludf.DUMMYFUNCTION("IMPORTRANGE(""https://docs.google.com/spreadsheets/d/17IOkEwkUd63EGNfyNDnM5de9YlZ7rwzTiW6-dokVjKI/edit?usp=sharing"",""อุบลราชธานี!J377"")"),358)</f>
        <v>358</v>
      </c>
      <c r="AU51" s="97">
        <f ca="1">IFERROR(__xludf.DUMMYFUNCTION("IMPORTRANGE(""https://docs.google.com/spreadsheets/d/17IOkEwkUd63EGNfyNDnM5de9YlZ7rwzTiW6-dokVjKI/edit?usp=sharing"",""อุบลราชธานี!J378"")"),3454.99)</f>
        <v>3454.99</v>
      </c>
      <c r="AV51" s="98">
        <f t="shared" ca="1" si="49"/>
        <v>34.549900000000001</v>
      </c>
      <c r="AW51" s="97">
        <f ca="1">IFERROR(__xludf.DUMMYFUNCTION("IMPORTRANGE(""https://docs.google.com/spreadsheets/d/17IOkEwkUd63EGNfyNDnM5de9YlZ7rwzTiW6-dokVjKI/edit?usp=sharing"",""อุบลราชธานี!I379"")"),1200)</f>
        <v>1200</v>
      </c>
      <c r="AX51" s="97">
        <f ca="1">IFERROR(__xludf.DUMMYFUNCTION("IMPORTRANGE(""https://docs.google.com/spreadsheets/d/17IOkEwkUd63EGNfyNDnM5de9YlZ7rwzTiW6-dokVjKI/edit?usp=sharing"",""อุบลราชธานี!J379"")"),468)</f>
        <v>468</v>
      </c>
      <c r="AY51" s="97">
        <f ca="1">IFERROR(__xludf.DUMMYFUNCTION("IMPORTRANGE(""https://docs.google.com/spreadsheets/d/17IOkEwkUd63EGNfyNDnM5de9YlZ7rwzTiW6-dokVjKI/edit?usp=sharing"",""อุบลราชธานี!J380"")"),4872.94)</f>
        <v>4872.9399999999996</v>
      </c>
      <c r="AZ51" s="98">
        <f t="shared" ca="1" si="50"/>
        <v>39</v>
      </c>
      <c r="BA51" s="97">
        <f ca="1">IFERROR(__xludf.DUMMYFUNCTION("IMPORTRANGE(""https://docs.google.com/spreadsheets/d/17IOkEwkUd63EGNfyNDnM5de9YlZ7rwzTiW6-dokVjKI/edit?usp=sharing"",""อุบลราชธานี!I381"")"),1200)</f>
        <v>1200</v>
      </c>
      <c r="BB51" s="97">
        <f ca="1">IFERROR(__xludf.DUMMYFUNCTION("IMPORTRANGE(""https://docs.google.com/spreadsheets/d/17IOkEwkUd63EGNfyNDnM5de9YlZ7rwzTiW6-dokVjKI/edit?usp=sharing"",""อุบลราชธานี!J381"")"),183)</f>
        <v>183</v>
      </c>
      <c r="BC51" s="97">
        <f ca="1">IFERROR(__xludf.DUMMYFUNCTION("IMPORTRANGE(""https://docs.google.com/spreadsheets/d/17IOkEwkUd63EGNfyNDnM5de9YlZ7rwzTiW6-dokVjKI/edit?usp=sharing"",""อุบลราชธานี!J382"")"),2221.39)</f>
        <v>2221.39</v>
      </c>
      <c r="BD51" s="98">
        <f t="shared" ca="1" si="51"/>
        <v>15.25</v>
      </c>
    </row>
    <row r="52" spans="1:56" ht="21" customHeight="1" x14ac:dyDescent="0.2">
      <c r="A52" s="380" t="s">
        <v>74</v>
      </c>
      <c r="B52" s="379"/>
      <c r="C52" s="99">
        <f t="shared" ca="1" si="0"/>
        <v>13975670</v>
      </c>
      <c r="D52" s="62">
        <f t="shared" ref="D52:I52" ca="1" si="77">SUM(D53:D73)</f>
        <v>11809970</v>
      </c>
      <c r="E52" s="62">
        <f t="shared" ca="1" si="77"/>
        <v>4479600</v>
      </c>
      <c r="F52" s="62">
        <f t="shared" ca="1" si="77"/>
        <v>7330370</v>
      </c>
      <c r="G52" s="62">
        <f t="shared" ca="1" si="77"/>
        <v>2165700</v>
      </c>
      <c r="H52" s="62">
        <f t="shared" ca="1" si="77"/>
        <v>8195540</v>
      </c>
      <c r="I52" s="62">
        <f t="shared" ca="1" si="77"/>
        <v>2163440</v>
      </c>
      <c r="J52" s="62">
        <f t="shared" ca="1" si="3"/>
        <v>6002598.25</v>
      </c>
      <c r="K52" s="100">
        <f t="shared" ca="1" si="4"/>
        <v>42.950343346687497</v>
      </c>
      <c r="L52" s="62">
        <f ca="1">SUM(L53:L73)</f>
        <v>3839158.2499999995</v>
      </c>
      <c r="M52" s="101">
        <f t="shared" ca="1" si="5"/>
        <v>32.50777309341175</v>
      </c>
      <c r="N52" s="101">
        <f t="shared" ca="1" si="6"/>
        <v>46.844481876728068</v>
      </c>
      <c r="O52" s="102">
        <f ca="1">SUM(O53:O73)</f>
        <v>2163440</v>
      </c>
      <c r="P52" s="101">
        <f t="shared" ca="1" si="53"/>
        <v>99.895645749642142</v>
      </c>
      <c r="Q52" s="101">
        <f t="shared" ca="1" si="8"/>
        <v>100</v>
      </c>
      <c r="R52" s="62">
        <f t="shared" ref="R52:T52" ca="1" si="78">SUM(R53:R73)</f>
        <v>36018</v>
      </c>
      <c r="S52" s="62">
        <f t="shared" ca="1" si="78"/>
        <v>1368</v>
      </c>
      <c r="T52" s="62">
        <f t="shared" ca="1" si="78"/>
        <v>13953.739999999976</v>
      </c>
      <c r="U52" s="101">
        <f t="shared" ca="1" si="43"/>
        <v>38.741018379698971</v>
      </c>
      <c r="V52" s="62">
        <f t="shared" ref="V52:X52" ca="1" si="79">SUM(V53:V73)</f>
        <v>3064</v>
      </c>
      <c r="W52" s="62">
        <f t="shared" ca="1" si="79"/>
        <v>842</v>
      </c>
      <c r="X52" s="62">
        <f t="shared" ca="1" si="79"/>
        <v>8947.2099999999791</v>
      </c>
      <c r="Y52" s="101">
        <f t="shared" ca="1" si="44"/>
        <v>27.480417754569192</v>
      </c>
      <c r="Z52" s="62">
        <f t="shared" ref="Z52:AB52" ca="1" si="80">SUM(Z53:Z73)</f>
        <v>3064</v>
      </c>
      <c r="AA52" s="62">
        <f t="shared" ca="1" si="80"/>
        <v>358</v>
      </c>
      <c r="AB52" s="62">
        <f t="shared" ca="1" si="80"/>
        <v>3414</v>
      </c>
      <c r="AC52" s="101">
        <f t="shared" ca="1" si="45"/>
        <v>11.684073107049608</v>
      </c>
      <c r="AD52" s="62">
        <f t="shared" ref="AD52:AE52" ca="1" si="81">SUM(AD53:AD73)</f>
        <v>4919</v>
      </c>
      <c r="AE52" s="62">
        <f t="shared" ca="1" si="81"/>
        <v>1165</v>
      </c>
      <c r="AF52" s="101">
        <f t="shared" ca="1" si="16"/>
        <v>23.683675543809716</v>
      </c>
      <c r="AG52" s="62">
        <f t="shared" ref="AG52:AI52" ca="1" si="82">SUM(AG53:AG73)</f>
        <v>14670</v>
      </c>
      <c r="AH52" s="62">
        <f t="shared" ca="1" si="82"/>
        <v>651</v>
      </c>
      <c r="AI52" s="62">
        <f t="shared" ca="1" si="82"/>
        <v>6534.2699999999995</v>
      </c>
      <c r="AJ52" s="101">
        <f t="shared" ca="1" si="46"/>
        <v>44.541717791411045</v>
      </c>
      <c r="AK52" s="62">
        <f t="shared" ref="AK52:AM52" ca="1" si="83">SUM(AK53:AK73)</f>
        <v>1167</v>
      </c>
      <c r="AL52" s="62">
        <f t="shared" ca="1" si="83"/>
        <v>400</v>
      </c>
      <c r="AM52" s="62">
        <f t="shared" ca="1" si="83"/>
        <v>4111.68</v>
      </c>
      <c r="AN52" s="101">
        <f t="shared" ca="1" si="47"/>
        <v>34.27592116538132</v>
      </c>
      <c r="AO52" s="62">
        <f t="shared" ref="AO52:AQ52" ca="1" si="84">SUM(AO53:AO73)</f>
        <v>1167</v>
      </c>
      <c r="AP52" s="62">
        <f t="shared" ca="1" si="84"/>
        <v>178</v>
      </c>
      <c r="AQ52" s="62">
        <f t="shared" ca="1" si="84"/>
        <v>1738.78</v>
      </c>
      <c r="AR52" s="101">
        <f t="shared" ca="1" si="48"/>
        <v>15.252784918594687</v>
      </c>
      <c r="AS52" s="62">
        <f t="shared" ref="AS52:AU52" ca="1" si="85">SUM(AS53:AS73)</f>
        <v>21348</v>
      </c>
      <c r="AT52" s="62">
        <f t="shared" ca="1" si="85"/>
        <v>720</v>
      </c>
      <c r="AU52" s="62">
        <f t="shared" ca="1" si="85"/>
        <v>7452.4000000000005</v>
      </c>
      <c r="AV52" s="101">
        <f t="shared" ca="1" si="49"/>
        <v>34.909124976578603</v>
      </c>
      <c r="AW52" s="62">
        <f t="shared" ref="AW52:AY52" ca="1" si="86">SUM(AW53:AW73)</f>
        <v>3752</v>
      </c>
      <c r="AX52" s="62">
        <f t="shared" ca="1" si="86"/>
        <v>1331</v>
      </c>
      <c r="AY52" s="62">
        <f t="shared" ca="1" si="86"/>
        <v>17477.75</v>
      </c>
      <c r="AZ52" s="101">
        <f t="shared" ca="1" si="50"/>
        <v>35.474413646055439</v>
      </c>
      <c r="BA52" s="62">
        <f t="shared" ref="BA52:BC52" ca="1" si="87">SUM(BA53:BA73)</f>
        <v>3752</v>
      </c>
      <c r="BB52" s="62">
        <f t="shared" ca="1" si="87"/>
        <v>987</v>
      </c>
      <c r="BC52" s="62">
        <f t="shared" ca="1" si="87"/>
        <v>13155.050000000001</v>
      </c>
      <c r="BD52" s="101">
        <f t="shared" ca="1" si="51"/>
        <v>26.305970149253731</v>
      </c>
    </row>
    <row r="53" spans="1:56" ht="21" customHeight="1" x14ac:dyDescent="0.2">
      <c r="A53" s="68">
        <v>1</v>
      </c>
      <c r="B53" s="69" t="s">
        <v>75</v>
      </c>
      <c r="C53" s="103">
        <f t="shared" ca="1" si="0"/>
        <v>1015940</v>
      </c>
      <c r="D53" s="71">
        <f t="shared" ref="D53:D73" ca="1" si="88">+E53+F53</f>
        <v>895340</v>
      </c>
      <c r="E53" s="72">
        <f ca="1">IFERROR(__xludf.DUMMYFUNCTION("IMPORTRANGE(""https://docs.google.com/spreadsheets/d/1MeEWN-I1oV_STSDYn1IFDPWt_1FKiwhDph83XaGc0o0/edit?usp=sharing"",""งบพรบ!EX53"")"),543600)</f>
        <v>543600</v>
      </c>
      <c r="F53" s="72">
        <f ca="1">IFERROR(__xludf.DUMMYFUNCTION("IMPORTRANGE(""https://docs.google.com/spreadsheets/d/1MeEWN-I1oV_STSDYn1IFDPWt_1FKiwhDph83XaGc0o0/edit?usp=sharing"",""งบพรบ!EY53"")"),351740)</f>
        <v>351740</v>
      </c>
      <c r="G53" s="73">
        <f ca="1">IFERROR(__xludf.DUMMYFUNCTION("IMPORTRANGE(""https://docs.google.com/spreadsheets/d/1MeEWN-I1oV_STSDYn1IFDPWt_1FKiwhDph83XaGc0o0/edit?usp=sharing"",""งบพรบ!EZ53"")"),120600)</f>
        <v>120600</v>
      </c>
      <c r="H53" s="73">
        <f ca="1">IFERROR(__xludf.DUMMYFUNCTION("IMPORTRANGE(""https://docs.google.com/spreadsheets/d/1MeEWN-I1oV_STSDYn1IFDPWt_1FKiwhDph83XaGc0o0/edit?usp=sharing"",""งบพรบ!FB53"")"),696010)</f>
        <v>696010</v>
      </c>
      <c r="I53" s="73">
        <f ca="1">IFERROR(__xludf.DUMMYFUNCTION("IMPORTRANGE(""https://docs.google.com/spreadsheets/d/1MeEWN-I1oV_STSDYn1IFDPWt_1FKiwhDph83XaGc0o0/edit?usp=sharing"",""งบพรบ!FC53"")"),120600)</f>
        <v>120600</v>
      </c>
      <c r="J53" s="73">
        <f t="shared" ca="1" si="3"/>
        <v>466788</v>
      </c>
      <c r="K53" s="74">
        <f t="shared" ca="1" si="4"/>
        <v>45.946414158316436</v>
      </c>
      <c r="L53" s="73">
        <f ca="1">IFERROR(__xludf.DUMMYFUNCTION("IMPORTRANGE(""https://docs.google.com/spreadsheets/d/1MeEWN-I1oV_STSDYn1IFDPWt_1FKiwhDph83XaGc0o0/edit?usp=sharing"",""งบพรบ!FD53"")"),346188)</f>
        <v>346188</v>
      </c>
      <c r="M53" s="75">
        <f t="shared" ca="1" si="5"/>
        <v>38.665534880604014</v>
      </c>
      <c r="N53" s="75">
        <f t="shared" ca="1" si="6"/>
        <v>49.738940532463616</v>
      </c>
      <c r="O53" s="76">
        <f ca="1">IFERROR(__xludf.DUMMYFUNCTION("IMPORTRANGE(""https://docs.google.com/spreadsheets/d/1MeEWN-I1oV_STSDYn1IFDPWt_1FKiwhDph83XaGc0o0/edit?usp=sharing"",""งบพรบ!FE53"")"),120600)</f>
        <v>120600</v>
      </c>
      <c r="P53" s="75">
        <f t="shared" ca="1" si="53"/>
        <v>100</v>
      </c>
      <c r="Q53" s="75">
        <f t="shared" ca="1" si="8"/>
        <v>100</v>
      </c>
      <c r="R53" s="73">
        <f ca="1">IFERROR(__xludf.DUMMYFUNCTION("IMPORTRANGE(""https://docs.google.com/spreadsheets/d/1hKO5uv94SSRZWOvrh72HRcpyoEQF9TsE_Cvxl77XNU4/edit?usp=sharing"",""กาญจนบุรี!I359"")"),1600)</f>
        <v>1600</v>
      </c>
      <c r="S53" s="73">
        <f ca="1">IFERROR(__xludf.DUMMYFUNCTION("IMPORTRANGE(""https://docs.google.com/spreadsheets/d/1hKO5uv94SSRZWOvrh72HRcpyoEQF9TsE_Cvxl77XNU4/edit?usp=sharing"",""กาญจนบุรี!J358"")"),73)</f>
        <v>73</v>
      </c>
      <c r="T53" s="73">
        <f ca="1">IFERROR(__xludf.DUMMYFUNCTION("IMPORTRANGE(""https://docs.google.com/spreadsheets/d/1hKO5uv94SSRZWOvrh72HRcpyoEQF9TsE_Cvxl77XNU4/edit?usp=sharing"",""กาญจนบุรี!J359"")"),712.81)</f>
        <v>712.81</v>
      </c>
      <c r="U53" s="77">
        <f t="shared" ca="1" si="43"/>
        <v>44.550624999999997</v>
      </c>
      <c r="V53" s="73">
        <f ca="1">IFERROR(__xludf.DUMMYFUNCTION("IMPORTRANGE(""https://docs.google.com/spreadsheets/d/1hKO5uv94SSRZWOvrh72HRcpyoEQF9TsE_Cvxl77XNU4/edit?usp=sharing"",""กาญจนบุรี!I360"")"),160)</f>
        <v>160</v>
      </c>
      <c r="W53" s="73">
        <f ca="1">IFERROR(__xludf.DUMMYFUNCTION("IMPORTRANGE(""https://docs.google.com/spreadsheets/d/1hKO5uv94SSRZWOvrh72HRcpyoEQF9TsE_Cvxl77XNU4/edit?usp=sharing"",""กาญจนบุรี!J360"")"),6)</f>
        <v>6</v>
      </c>
      <c r="X53" s="73">
        <f ca="1">IFERROR(__xludf.DUMMYFUNCTION("IMPORTRANGE(""https://docs.google.com/spreadsheets/d/1hKO5uv94SSRZWOvrh72HRcpyoEQF9TsE_Cvxl77XNU4/edit?usp=sharing"",""กาญจนบุรี!J361"")"),80.83)</f>
        <v>80.83</v>
      </c>
      <c r="Y53" s="77">
        <f t="shared" ca="1" si="44"/>
        <v>3.75</v>
      </c>
      <c r="Z53" s="73">
        <f ca="1">IFERROR(__xludf.DUMMYFUNCTION("IMPORTRANGE(""https://docs.google.com/spreadsheets/d/1hKO5uv94SSRZWOvrh72HRcpyoEQF9TsE_Cvxl77XNU4/edit?usp=sharing"",""กาญจนบุรี!I362"")"),160)</f>
        <v>160</v>
      </c>
      <c r="AA53" s="73">
        <f ca="1">IFERROR(__xludf.DUMMYFUNCTION("IMPORTRANGE(""https://docs.google.com/spreadsheets/d/1hKO5uv94SSRZWOvrh72HRcpyoEQF9TsE_Cvxl77XNU4/edit?usp=sharing"",""กาญจนบุรี!J362"")"),1)</f>
        <v>1</v>
      </c>
      <c r="AB53" s="73">
        <f ca="1">IFERROR(__xludf.DUMMYFUNCTION("IMPORTRANGE(""https://docs.google.com/spreadsheets/d/1hKO5uv94SSRZWOvrh72HRcpyoEQF9TsE_Cvxl77XNU4/edit?usp=sharing"",""กาญจนบุรี!J363"")"),0.45)</f>
        <v>0.45</v>
      </c>
      <c r="AC53" s="77">
        <f t="shared" ca="1" si="45"/>
        <v>0.625</v>
      </c>
      <c r="AD53" s="73">
        <f ca="1">IFERROR(__xludf.DUMMYFUNCTION("IMPORTRANGE(""https://docs.google.com/spreadsheets/d/1hKO5uv94SSRZWOvrh72HRcpyoEQF9TsE_Cvxl77XNU4/edit?usp=sharing"",""กาญจนบุรี!I364"")"),200)</f>
        <v>200</v>
      </c>
      <c r="AE53" s="73">
        <f ca="1">IFERROR(__xludf.DUMMYFUNCTION("IMPORTRANGE(""https://docs.google.com/spreadsheets/d/1hKO5uv94SSRZWOvrh72HRcpyoEQF9TsE_Cvxl77XNU4/edit?usp=sharing"",""กาญจนบุรี!J364"")"),1)</f>
        <v>1</v>
      </c>
      <c r="AF53" s="77">
        <f t="shared" ca="1" si="16"/>
        <v>0.5</v>
      </c>
      <c r="AG53" s="73">
        <f ca="1">IFERROR(__xludf.DUMMYFUNCTION("IMPORTRANGE(""https://docs.google.com/spreadsheets/d/1hKO5uv94SSRZWOvrh72HRcpyoEQF9TsE_Cvxl77XNU4/edit?usp=sharing"",""กาญจนบุรี!I369"")"),800)</f>
        <v>800</v>
      </c>
      <c r="AH53" s="73">
        <f ca="1">IFERROR(__xludf.DUMMYFUNCTION("IMPORTRANGE(""https://docs.google.com/spreadsheets/d/1hKO5uv94SSRZWOvrh72HRcpyoEQF9TsE_Cvxl77XNU4/edit?usp=sharing"",""กาญจนบุรี!J368"")"),24)</f>
        <v>24</v>
      </c>
      <c r="AI53" s="73">
        <f ca="1">IFERROR(__xludf.DUMMYFUNCTION("IMPORTRANGE(""https://docs.google.com/spreadsheets/d/1hKO5uv94SSRZWOvrh72HRcpyoEQF9TsE_Cvxl77XNU4/edit?usp=sharing"",""กาญจนบุรี!J369"")"),320.63)</f>
        <v>320.63</v>
      </c>
      <c r="AJ53" s="77">
        <f t="shared" ca="1" si="46"/>
        <v>40.078749999999999</v>
      </c>
      <c r="AK53" s="73">
        <f ca="1">IFERROR(__xludf.DUMMYFUNCTION("IMPORTRANGE(""https://docs.google.com/spreadsheets/d/1hKO5uv94SSRZWOvrh72HRcpyoEQF9TsE_Cvxl77XNU4/edit?usp=sharing"",""กาญจนบุรี!I370"")"),80)</f>
        <v>80</v>
      </c>
      <c r="AL53" s="73">
        <f ca="1">IFERROR(__xludf.DUMMYFUNCTION("IMPORTRANGE(""https://docs.google.com/spreadsheets/d/1hKO5uv94SSRZWOvrh72HRcpyoEQF9TsE_Cvxl77XNU4/edit?usp=sharing"",""กาญจนบุรี!J370"")"),6)</f>
        <v>6</v>
      </c>
      <c r="AM53" s="73">
        <f ca="1">IFERROR(__xludf.DUMMYFUNCTION("IMPORTRANGE(""https://docs.google.com/spreadsheets/d/1hKO5uv94SSRZWOvrh72HRcpyoEQF9TsE_Cvxl77XNU4/edit?usp=sharing"",""กาญจนบุรี!J371"")"),80.83)</f>
        <v>80.83</v>
      </c>
      <c r="AN53" s="77">
        <f t="shared" ca="1" si="47"/>
        <v>7.5</v>
      </c>
      <c r="AO53" s="73">
        <f ca="1">IFERROR(__xludf.DUMMYFUNCTION("IMPORTRANGE(""https://docs.google.com/spreadsheets/d/1hKO5uv94SSRZWOvrh72HRcpyoEQF9TsE_Cvxl77XNU4/edit?usp=sharing"",""กาญจนบุรี!I372"")"),80)</f>
        <v>80</v>
      </c>
      <c r="AP53" s="73">
        <f ca="1">IFERROR(__xludf.DUMMYFUNCTION("IMPORTRANGE(""https://docs.google.com/spreadsheets/d/1hKO5uv94SSRZWOvrh72HRcpyoEQF9TsE_Cvxl77XNU4/edit?usp=sharing"",""กาญจนบุรี!J372"")"),1)</f>
        <v>1</v>
      </c>
      <c r="AQ53" s="73">
        <f ca="1">IFERROR(__xludf.DUMMYFUNCTION("IMPORTRANGE(""https://docs.google.com/spreadsheets/d/1hKO5uv94SSRZWOvrh72HRcpyoEQF9TsE_Cvxl77XNU4/edit?usp=sharing"",""กาญจนบุรี!J373"")"),0.45)</f>
        <v>0.45</v>
      </c>
      <c r="AR53" s="77">
        <f t="shared" ca="1" si="48"/>
        <v>1.25</v>
      </c>
      <c r="AS53" s="73">
        <f ca="1">IFERROR(__xludf.DUMMYFUNCTION("IMPORTRANGE(""https://docs.google.com/spreadsheets/d/1hKO5uv94SSRZWOvrh72HRcpyoEQF9TsE_Cvxl77XNU4/edit?usp=sharing"",""กาญจนบุรี!I378"")"),800)</f>
        <v>800</v>
      </c>
      <c r="AT53" s="73">
        <f ca="1">IFERROR(__xludf.DUMMYFUNCTION("IMPORTRANGE(""https://docs.google.com/spreadsheets/d/1hKO5uv94SSRZWOvrh72HRcpyoEQF9TsE_Cvxl77XNU4/edit?usp=sharing"",""กาญจนบุรี!J377"")"),49)</f>
        <v>49</v>
      </c>
      <c r="AU53" s="73">
        <f ca="1">IFERROR(__xludf.DUMMYFUNCTION("IMPORTRANGE(""https://docs.google.com/spreadsheets/d/1hKO5uv94SSRZWOvrh72HRcpyoEQF9TsE_Cvxl77XNU4/edit?usp=sharing"",""กาญจนบุรี!J378"")"),392.18)</f>
        <v>392.18</v>
      </c>
      <c r="AV53" s="77">
        <f t="shared" ca="1" si="49"/>
        <v>49.022500000000001</v>
      </c>
      <c r="AW53" s="73">
        <f ca="1">IFERROR(__xludf.DUMMYFUNCTION("IMPORTRANGE(""https://docs.google.com/spreadsheets/d/1hKO5uv94SSRZWOvrh72HRcpyoEQF9TsE_Cvxl77XNU4/edit?usp=sharing"",""กาญจนบุรี!I379"")"),120)</f>
        <v>120</v>
      </c>
      <c r="AX53" s="73">
        <f ca="1">IFERROR(__xludf.DUMMYFUNCTION("IMPORTRANGE(""https://docs.google.com/spreadsheets/d/1hKO5uv94SSRZWOvrh72HRcpyoEQF9TsE_Cvxl77XNU4/edit?usp=sharing"",""กาญจนบุรี!J379"")"),0)</f>
        <v>0</v>
      </c>
      <c r="AY53" s="73">
        <f ca="1">IFERROR(__xludf.DUMMYFUNCTION("IMPORTRANGE(""https://docs.google.com/spreadsheets/d/1hKO5uv94SSRZWOvrh72HRcpyoEQF9TsE_Cvxl77XNU4/edit?usp=sharing"",""กาญจนบุรี!J380"")"),0)</f>
        <v>0</v>
      </c>
      <c r="AZ53" s="77">
        <f t="shared" ca="1" si="50"/>
        <v>0</v>
      </c>
      <c r="BA53" s="73">
        <f ca="1">IFERROR(__xludf.DUMMYFUNCTION("IMPORTRANGE(""https://docs.google.com/spreadsheets/d/1hKO5uv94SSRZWOvrh72HRcpyoEQF9TsE_Cvxl77XNU4/edit?usp=sharing"",""กาญจนบุรี!I381"")"),120)</f>
        <v>120</v>
      </c>
      <c r="BB53" s="73">
        <f ca="1">IFERROR(__xludf.DUMMYFUNCTION("IMPORTRANGE(""https://docs.google.com/spreadsheets/d/1hKO5uv94SSRZWOvrh72HRcpyoEQF9TsE_Cvxl77XNU4/edit?usp=sharing"",""กาญจนบุรี!J381"")"),0)</f>
        <v>0</v>
      </c>
      <c r="BC53" s="73">
        <f ca="1">IFERROR(__xludf.DUMMYFUNCTION("IMPORTRANGE(""https://docs.google.com/spreadsheets/d/1hKO5uv94SSRZWOvrh72HRcpyoEQF9TsE_Cvxl77XNU4/edit?usp=sharing"",""กาญจนบุรี!J382"")"),0)</f>
        <v>0</v>
      </c>
      <c r="BD53" s="77">
        <f t="shared" ca="1" si="51"/>
        <v>0</v>
      </c>
    </row>
    <row r="54" spans="1:56" ht="21" customHeight="1" x14ac:dyDescent="0.2">
      <c r="A54" s="78">
        <v>2</v>
      </c>
      <c r="B54" s="79" t="s">
        <v>76</v>
      </c>
      <c r="C54" s="80">
        <f t="shared" ca="1" si="0"/>
        <v>979550</v>
      </c>
      <c r="D54" s="81">
        <f t="shared" ca="1" si="88"/>
        <v>815350</v>
      </c>
      <c r="E54" s="82">
        <f ca="1">IFERROR(__xludf.DUMMYFUNCTION("IMPORTRANGE(""https://docs.google.com/spreadsheets/d/1MeEWN-I1oV_STSDYn1IFDPWt_1FKiwhDph83XaGc0o0/edit?usp=sharing"",""งบพรบ!EX54"")"),315600)</f>
        <v>315600</v>
      </c>
      <c r="F54" s="82">
        <f ca="1">IFERROR(__xludf.DUMMYFUNCTION("IMPORTRANGE(""https://docs.google.com/spreadsheets/d/1MeEWN-I1oV_STSDYn1IFDPWt_1FKiwhDph83XaGc0o0/edit?usp=sharing"",""งบพรบ!EY54"")"),499750)</f>
        <v>499750</v>
      </c>
      <c r="G54" s="82">
        <f ca="1">IFERROR(__xludf.DUMMYFUNCTION("IMPORTRANGE(""https://docs.google.com/spreadsheets/d/1MeEWN-I1oV_STSDYn1IFDPWt_1FKiwhDph83XaGc0o0/edit?usp=sharing"",""งบพรบ!EZ54"")"),164200)</f>
        <v>164200</v>
      </c>
      <c r="H54" s="82">
        <f ca="1">IFERROR(__xludf.DUMMYFUNCTION("IMPORTRANGE(""https://docs.google.com/spreadsheets/d/1MeEWN-I1oV_STSDYn1IFDPWt_1FKiwhDph83XaGc0o0/edit?usp=sharing"",""งบพรบ!FB54"")"),535400)</f>
        <v>535400</v>
      </c>
      <c r="I54" s="82">
        <f ca="1">IFERROR(__xludf.DUMMYFUNCTION("IMPORTRANGE(""https://docs.google.com/spreadsheets/d/1MeEWN-I1oV_STSDYn1IFDPWt_1FKiwhDph83XaGc0o0/edit?usp=sharing"",""งบพรบ!FC54"")"),164200)</f>
        <v>164200</v>
      </c>
      <c r="J54" s="82">
        <f t="shared" ca="1" si="3"/>
        <v>431903</v>
      </c>
      <c r="K54" s="83">
        <f t="shared" ca="1" si="4"/>
        <v>44.091981011689043</v>
      </c>
      <c r="L54" s="82">
        <f ca="1">IFERROR(__xludf.DUMMYFUNCTION("IMPORTRANGE(""https://docs.google.com/spreadsheets/d/1MeEWN-I1oV_STSDYn1IFDPWt_1FKiwhDph83XaGc0o0/edit?usp=sharing"",""งบพรบ!FD54"")"),267703)</f>
        <v>267703</v>
      </c>
      <c r="M54" s="84">
        <f t="shared" ca="1" si="5"/>
        <v>32.832893849267187</v>
      </c>
      <c r="N54" s="84">
        <f t="shared" ca="1" si="6"/>
        <v>50.000560328726188</v>
      </c>
      <c r="O54" s="85">
        <f ca="1">IFERROR(__xludf.DUMMYFUNCTION("IMPORTRANGE(""https://docs.google.com/spreadsheets/d/1MeEWN-I1oV_STSDYn1IFDPWt_1FKiwhDph83XaGc0o0/edit?usp=sharing"",""งบพรบ!FE54"")"),164200)</f>
        <v>164200</v>
      </c>
      <c r="P54" s="84">
        <f t="shared" ca="1" si="53"/>
        <v>100</v>
      </c>
      <c r="Q54" s="84">
        <f t="shared" ca="1" si="8"/>
        <v>100</v>
      </c>
      <c r="R54" s="86">
        <f ca="1">IFERROR(__xludf.DUMMYFUNCTION("IMPORTRANGE(""https://docs.google.com/spreadsheets/d/1njBaP_xXd-Uotvo2D9zb01TTCFkLJLDK97Tk1l9Qux0/edit?usp=sharing"",""จันทบุรี!I359"")"),3700)</f>
        <v>3700</v>
      </c>
      <c r="S54" s="86">
        <f ca="1">IFERROR(__xludf.DUMMYFUNCTION("IMPORTRANGE(""https://docs.google.com/spreadsheets/d/1njBaP_xXd-Uotvo2D9zb01TTCFkLJLDK97Tk1l9Qux0/edit?usp=sharing"",""จันทบุรี!J358"")"),79)</f>
        <v>79</v>
      </c>
      <c r="T54" s="86">
        <f ca="1">IFERROR(__xludf.DUMMYFUNCTION("IMPORTRANGE(""https://docs.google.com/spreadsheets/d/1njBaP_xXd-Uotvo2D9zb01TTCFkLJLDK97Tk1l9Qux0/edit?usp=sharing"",""จันทบุรี!J359"")"),659.03)</f>
        <v>659.03</v>
      </c>
      <c r="U54" s="87">
        <f t="shared" ca="1" si="43"/>
        <v>17.811621621621622</v>
      </c>
      <c r="V54" s="86">
        <f ca="1">IFERROR(__xludf.DUMMYFUNCTION("IMPORTRANGE(""https://docs.google.com/spreadsheets/d/1njBaP_xXd-Uotvo2D9zb01TTCFkLJLDK97Tk1l9Qux0/edit?usp=sharing"",""จันทบุรี!I360"")"),255)</f>
        <v>255</v>
      </c>
      <c r="W54" s="86">
        <f ca="1">IFERROR(__xludf.DUMMYFUNCTION("IMPORTRANGE(""https://docs.google.com/spreadsheets/d/1njBaP_xXd-Uotvo2D9zb01TTCFkLJLDK97Tk1l9Qux0/edit?usp=sharing"",""จันทบุรี!J360"")"),11)</f>
        <v>11</v>
      </c>
      <c r="X54" s="86">
        <f ca="1">IFERROR(__xludf.DUMMYFUNCTION("IMPORTRANGE(""https://docs.google.com/spreadsheets/d/1njBaP_xXd-Uotvo2D9zb01TTCFkLJLDK97Tk1l9Qux0/edit?usp=sharing"",""จันทบุรี!J361"")"),105.02)</f>
        <v>105.02</v>
      </c>
      <c r="Y54" s="87">
        <f t="shared" ca="1" si="44"/>
        <v>4.3137254901960782</v>
      </c>
      <c r="Z54" s="86">
        <f ca="1">IFERROR(__xludf.DUMMYFUNCTION("IMPORTRANGE(""https://docs.google.com/spreadsheets/d/1njBaP_xXd-Uotvo2D9zb01TTCFkLJLDK97Tk1l9Qux0/edit?usp=sharing"",""จันทบุรี!I362"")"),255)</f>
        <v>255</v>
      </c>
      <c r="AA54" s="86">
        <f ca="1">IFERROR(__xludf.DUMMYFUNCTION("IMPORTRANGE(""https://docs.google.com/spreadsheets/d/1njBaP_xXd-Uotvo2D9zb01TTCFkLJLDK97Tk1l9Qux0/edit?usp=sharing"",""จันทบุรี!J362"")"),7)</f>
        <v>7</v>
      </c>
      <c r="AB54" s="86">
        <f ca="1">IFERROR(__xludf.DUMMYFUNCTION("IMPORTRANGE(""https://docs.google.com/spreadsheets/d/1njBaP_xXd-Uotvo2D9zb01TTCFkLJLDK97Tk1l9Qux0/edit?usp=sharing"",""จันทบุรี!J363"")"),75.39)</f>
        <v>75.39</v>
      </c>
      <c r="AC54" s="87">
        <f t="shared" ca="1" si="45"/>
        <v>2.7450980392156863</v>
      </c>
      <c r="AD54" s="86">
        <f ca="1">IFERROR(__xludf.DUMMYFUNCTION("IMPORTRANGE(""https://docs.google.com/spreadsheets/d/1njBaP_xXd-Uotvo2D9zb01TTCFkLJLDK97Tk1l9Qux0/edit?usp=sharing"",""จันทบุรี!I364"")"),355)</f>
        <v>355</v>
      </c>
      <c r="AE54" s="86">
        <f ca="1">IFERROR(__xludf.DUMMYFUNCTION("IMPORTRANGE(""https://docs.google.com/spreadsheets/d/1njBaP_xXd-Uotvo2D9zb01TTCFkLJLDK97Tk1l9Qux0/edit?usp=sharing"",""จันทบุรี!J364"")"),32)</f>
        <v>32</v>
      </c>
      <c r="AF54" s="87">
        <f t="shared" ca="1" si="16"/>
        <v>9.0140845070422539</v>
      </c>
      <c r="AG54" s="86">
        <f ca="1">IFERROR(__xludf.DUMMYFUNCTION("IMPORTRANGE(""https://docs.google.com/spreadsheets/d/1njBaP_xXd-Uotvo2D9zb01TTCFkLJLDK97Tk1l9Qux0/edit?usp=sharing"",""จันทบุรี!I369"")"),2700)</f>
        <v>2700</v>
      </c>
      <c r="AH54" s="86">
        <f ca="1">IFERROR(__xludf.DUMMYFUNCTION("IMPORTRANGE(""https://docs.google.com/spreadsheets/d/1njBaP_xXd-Uotvo2D9zb01TTCFkLJLDK97Tk1l9Qux0/edit?usp=sharing"",""จันทบุรี!J368"")"),46)</f>
        <v>46</v>
      </c>
      <c r="AI54" s="86">
        <f ca="1">IFERROR(__xludf.DUMMYFUNCTION("IMPORTRANGE(""https://docs.google.com/spreadsheets/d/1njBaP_xXd-Uotvo2D9zb01TTCFkLJLDK97Tk1l9Qux0/edit?usp=sharing"",""จันทบุรี!J369"")"),403.58)</f>
        <v>403.58</v>
      </c>
      <c r="AJ54" s="87">
        <f t="shared" ca="1" si="46"/>
        <v>14.947407407407407</v>
      </c>
      <c r="AK54" s="86">
        <f ca="1">IFERROR(__xludf.DUMMYFUNCTION("IMPORTRANGE(""https://docs.google.com/spreadsheets/d/1njBaP_xXd-Uotvo2D9zb01TTCFkLJLDK97Tk1l9Qux0/edit?usp=sharing"",""จันทบุรี!I370"")"),205)</f>
        <v>205</v>
      </c>
      <c r="AL54" s="86">
        <f ca="1">IFERROR(__xludf.DUMMYFUNCTION("IMPORTRANGE(""https://docs.google.com/spreadsheets/d/1njBaP_xXd-Uotvo2D9zb01TTCFkLJLDK97Tk1l9Qux0/edit?usp=sharing"",""จันทบุรี!J370"")"),11)</f>
        <v>11</v>
      </c>
      <c r="AM54" s="86">
        <f ca="1">IFERROR(__xludf.DUMMYFUNCTION("IMPORTRANGE(""https://docs.google.com/spreadsheets/d/1njBaP_xXd-Uotvo2D9zb01TTCFkLJLDK97Tk1l9Qux0/edit?usp=sharing"",""จันทบุรี!J371"")"),105.02)</f>
        <v>105.02</v>
      </c>
      <c r="AN54" s="87">
        <f t="shared" ca="1" si="47"/>
        <v>5.3658536585365857</v>
      </c>
      <c r="AO54" s="86">
        <f ca="1">IFERROR(__xludf.DUMMYFUNCTION("IMPORTRANGE(""https://docs.google.com/spreadsheets/d/1njBaP_xXd-Uotvo2D9zb01TTCFkLJLDK97Tk1l9Qux0/edit?usp=sharing"",""จันทบุรี!I372"")"),205)</f>
        <v>205</v>
      </c>
      <c r="AP54" s="86">
        <f ca="1">IFERROR(__xludf.DUMMYFUNCTION("IMPORTRANGE(""https://docs.google.com/spreadsheets/d/1njBaP_xXd-Uotvo2D9zb01TTCFkLJLDK97Tk1l9Qux0/edit?usp=sharing"",""จันทบุรี!J372"")"),7)</f>
        <v>7</v>
      </c>
      <c r="AQ54" s="86">
        <f ca="1">IFERROR(__xludf.DUMMYFUNCTION("IMPORTRANGE(""https://docs.google.com/spreadsheets/d/1njBaP_xXd-Uotvo2D9zb01TTCFkLJLDK97Tk1l9Qux0/edit?usp=sharing"",""จันทบุรี!J373"")"),75.39)</f>
        <v>75.39</v>
      </c>
      <c r="AR54" s="87">
        <f t="shared" ca="1" si="48"/>
        <v>3.4146341463414633</v>
      </c>
      <c r="AS54" s="86">
        <f ca="1">IFERROR(__xludf.DUMMYFUNCTION("IMPORTRANGE(""https://docs.google.com/spreadsheets/d/1njBaP_xXd-Uotvo2D9zb01TTCFkLJLDK97Tk1l9Qux0/edit?usp=sharing"",""จันทบุรี!I378"")"),1000)</f>
        <v>1000</v>
      </c>
      <c r="AT54" s="86">
        <f ca="1">IFERROR(__xludf.DUMMYFUNCTION("IMPORTRANGE(""https://docs.google.com/spreadsheets/d/1njBaP_xXd-Uotvo2D9zb01TTCFkLJLDK97Tk1l9Qux0/edit?usp=sharing"",""จันทบุรี!J377"")"),33)</f>
        <v>33</v>
      </c>
      <c r="AU54" s="86">
        <f ca="1">IFERROR(__xludf.DUMMYFUNCTION("IMPORTRANGE(""https://docs.google.com/spreadsheets/d/1njBaP_xXd-Uotvo2D9zb01TTCFkLJLDK97Tk1l9Qux0/edit?usp=sharing"",""จันทบุรี!J378"")"),255.45)</f>
        <v>255.45</v>
      </c>
      <c r="AV54" s="87">
        <f t="shared" ca="1" si="49"/>
        <v>25.545000000000002</v>
      </c>
      <c r="AW54" s="86">
        <f ca="1">IFERROR(__xludf.DUMMYFUNCTION("IMPORTRANGE(""https://docs.google.com/spreadsheets/d/1njBaP_xXd-Uotvo2D9zb01TTCFkLJLDK97Tk1l9Qux0/edit?usp=sharing"",""จันทบุรี!I379"")"),150)</f>
        <v>150</v>
      </c>
      <c r="AX54" s="86">
        <f ca="1">IFERROR(__xludf.DUMMYFUNCTION("IMPORTRANGE(""https://docs.google.com/spreadsheets/d/1njBaP_xXd-Uotvo2D9zb01TTCFkLJLDK97Tk1l9Qux0/edit?usp=sharing"",""จันทบุรี!J379"")"),25)</f>
        <v>25</v>
      </c>
      <c r="AY54" s="86">
        <f ca="1">IFERROR(__xludf.DUMMYFUNCTION("IMPORTRANGE(""https://docs.google.com/spreadsheets/d/1njBaP_xXd-Uotvo2D9zb01TTCFkLJLDK97Tk1l9Qux0/edit?usp=sharing"",""จันทบุรี!J380"")"),344.62)</f>
        <v>344.62</v>
      </c>
      <c r="AZ54" s="87">
        <f t="shared" ca="1" si="50"/>
        <v>16.666666666666668</v>
      </c>
      <c r="BA54" s="86">
        <f ca="1">IFERROR(__xludf.DUMMYFUNCTION("IMPORTRANGE(""https://docs.google.com/spreadsheets/d/1njBaP_xXd-Uotvo2D9zb01TTCFkLJLDK97Tk1l9Qux0/edit?usp=sharing"",""จันทบุรี!I381"")"),150)</f>
        <v>150</v>
      </c>
      <c r="BB54" s="86">
        <f ca="1">IFERROR(__xludf.DUMMYFUNCTION("IMPORTRANGE(""https://docs.google.com/spreadsheets/d/1njBaP_xXd-Uotvo2D9zb01TTCFkLJLDK97Tk1l9Qux0/edit?usp=sharing"",""จันทบุรี!J381"")"),25)</f>
        <v>25</v>
      </c>
      <c r="BC54" s="86">
        <f ca="1">IFERROR(__xludf.DUMMYFUNCTION("IMPORTRANGE(""https://docs.google.com/spreadsheets/d/1njBaP_xXd-Uotvo2D9zb01TTCFkLJLDK97Tk1l9Qux0/edit?usp=sharing"",""จันทบุรี!J382"")"),344.62)</f>
        <v>344.62</v>
      </c>
      <c r="BD54" s="87">
        <f t="shared" ca="1" si="51"/>
        <v>16.666666666666668</v>
      </c>
    </row>
    <row r="55" spans="1:56" ht="21" customHeight="1" x14ac:dyDescent="0.2">
      <c r="A55" s="78">
        <v>3</v>
      </c>
      <c r="B55" s="79" t="s">
        <v>77</v>
      </c>
      <c r="C55" s="80">
        <f t="shared" ca="1" si="0"/>
        <v>1441070</v>
      </c>
      <c r="D55" s="81">
        <f t="shared" ca="1" si="88"/>
        <v>1201270</v>
      </c>
      <c r="E55" s="82">
        <f ca="1">IFERROR(__xludf.DUMMYFUNCTION("IMPORTRANGE(""https://docs.google.com/spreadsheets/d/1MeEWN-I1oV_STSDYn1IFDPWt_1FKiwhDph83XaGc0o0/edit?usp=sharing"",""งบพรบ!EX55"")"),543600)</f>
        <v>543600</v>
      </c>
      <c r="F55" s="82">
        <f ca="1">IFERROR(__xludf.DUMMYFUNCTION("IMPORTRANGE(""https://docs.google.com/spreadsheets/d/1MeEWN-I1oV_STSDYn1IFDPWt_1FKiwhDph83XaGc0o0/edit?usp=sharing"",""งบพรบ!EY55"")"),657670)</f>
        <v>657670</v>
      </c>
      <c r="G55" s="82">
        <f ca="1">IFERROR(__xludf.DUMMYFUNCTION("IMPORTRANGE(""https://docs.google.com/spreadsheets/d/1MeEWN-I1oV_STSDYn1IFDPWt_1FKiwhDph83XaGc0o0/edit?usp=sharing"",""งบพรบ!EZ55"")"),239800)</f>
        <v>239800</v>
      </c>
      <c r="H55" s="82">
        <f ca="1">IFERROR(__xludf.DUMMYFUNCTION("IMPORTRANGE(""https://docs.google.com/spreadsheets/d/1MeEWN-I1oV_STSDYn1IFDPWt_1FKiwhDph83XaGc0o0/edit?usp=sharing"",""งบพรบ!FB55"")"),788460)</f>
        <v>788460</v>
      </c>
      <c r="I55" s="82">
        <f ca="1">IFERROR(__xludf.DUMMYFUNCTION("IMPORTRANGE(""https://docs.google.com/spreadsheets/d/1MeEWN-I1oV_STSDYn1IFDPWt_1FKiwhDph83XaGc0o0/edit?usp=sharing"",""งบพรบ!FC55"")"),239800)</f>
        <v>239800</v>
      </c>
      <c r="J55" s="82">
        <f t="shared" ca="1" si="3"/>
        <v>671398.15</v>
      </c>
      <c r="K55" s="83">
        <f t="shared" ca="1" si="4"/>
        <v>46.590252381910666</v>
      </c>
      <c r="L55" s="82">
        <f ca="1">IFERROR(__xludf.DUMMYFUNCTION("IMPORTRANGE(""https://docs.google.com/spreadsheets/d/1MeEWN-I1oV_STSDYn1IFDPWt_1FKiwhDph83XaGc0o0/edit?usp=sharing"",""งบพรบ!FD55"")"),431598.15)</f>
        <v>431598.15</v>
      </c>
      <c r="M55" s="84">
        <f t="shared" ca="1" si="5"/>
        <v>35.928488183339297</v>
      </c>
      <c r="N55" s="84">
        <f t="shared" ca="1" si="6"/>
        <v>54.739384369530477</v>
      </c>
      <c r="O55" s="85">
        <f ca="1">IFERROR(__xludf.DUMMYFUNCTION("IMPORTRANGE(""https://docs.google.com/spreadsheets/d/1MeEWN-I1oV_STSDYn1IFDPWt_1FKiwhDph83XaGc0o0/edit?usp=sharing"",""งบพรบ!FE55"")"),239800)</f>
        <v>239800</v>
      </c>
      <c r="P55" s="84">
        <f t="shared" ca="1" si="53"/>
        <v>100</v>
      </c>
      <c r="Q55" s="84">
        <f t="shared" ca="1" si="8"/>
        <v>100</v>
      </c>
      <c r="R55" s="86">
        <f ca="1">IFERROR(__xludf.DUMMYFUNCTION("IMPORTRANGE(""https://docs.google.com/spreadsheets/d/14xp6qUzrGFnUk_qnc1eEmfiaNRd4_grkhpfQH_46fa8/edit?usp=sharing"",""ฉะเชิงเทรา!I359"")"),4500)</f>
        <v>4500</v>
      </c>
      <c r="S55" s="86">
        <f ca="1">IFERROR(__xludf.DUMMYFUNCTION("IMPORTRANGE(""https://docs.google.com/spreadsheets/d/14xp6qUzrGFnUk_qnc1eEmfiaNRd4_grkhpfQH_46fa8/edit?usp=sharing"",""ฉะเชิงเทรา!J358"")"),202)</f>
        <v>202</v>
      </c>
      <c r="T55" s="86">
        <f ca="1">IFERROR(__xludf.DUMMYFUNCTION("IMPORTRANGE(""https://docs.google.com/spreadsheets/d/14xp6qUzrGFnUk_qnc1eEmfiaNRd4_grkhpfQH_46fa8/edit?usp=sharing"",""ฉะเชิงเทรา!J359"")"),2720.10999999999)</f>
        <v>2720.1099999999901</v>
      </c>
      <c r="U55" s="87">
        <f t="shared" ca="1" si="43"/>
        <v>60.446888888888672</v>
      </c>
      <c r="V55" s="86">
        <f ca="1">IFERROR(__xludf.DUMMYFUNCTION("IMPORTRANGE(""https://docs.google.com/spreadsheets/d/14xp6qUzrGFnUk_qnc1eEmfiaNRd4_grkhpfQH_46fa8/edit?usp=sharing"",""ฉะเชิงเทรา!I360"")"),450)</f>
        <v>450</v>
      </c>
      <c r="W55" s="86">
        <f ca="1">IFERROR(__xludf.DUMMYFUNCTION("IMPORTRANGE(""https://docs.google.com/spreadsheets/d/14xp6qUzrGFnUk_qnc1eEmfiaNRd4_grkhpfQH_46fa8/edit?usp=sharing"",""ฉะเชิงเทรา!J360"")"),140)</f>
        <v>140</v>
      </c>
      <c r="X55" s="86">
        <f ca="1">IFERROR(__xludf.DUMMYFUNCTION("IMPORTRANGE(""https://docs.google.com/spreadsheets/d/14xp6qUzrGFnUk_qnc1eEmfiaNRd4_grkhpfQH_46fa8/edit?usp=sharing"",""ฉะเชิงเทรา!J361"")"),1972.19999999999)</f>
        <v>1972.19999999999</v>
      </c>
      <c r="Y55" s="87">
        <f t="shared" ca="1" si="44"/>
        <v>31.111111111111111</v>
      </c>
      <c r="Z55" s="86">
        <f ca="1">IFERROR(__xludf.DUMMYFUNCTION("IMPORTRANGE(""https://docs.google.com/spreadsheets/d/14xp6qUzrGFnUk_qnc1eEmfiaNRd4_grkhpfQH_46fa8/edit?usp=sharing"",""ฉะเชิงเทรา!I362"")"),450)</f>
        <v>450</v>
      </c>
      <c r="AA55" s="86">
        <f ca="1">IFERROR(__xludf.DUMMYFUNCTION("IMPORTRANGE(""https://docs.google.com/spreadsheets/d/14xp6qUzrGFnUk_qnc1eEmfiaNRd4_grkhpfQH_46fa8/edit?usp=sharing"",""ฉะเชิงเทรา!J362"")"),90)</f>
        <v>90</v>
      </c>
      <c r="AB55" s="86">
        <f ca="1">IFERROR(__xludf.DUMMYFUNCTION("IMPORTRANGE(""https://docs.google.com/spreadsheets/d/14xp6qUzrGFnUk_qnc1eEmfiaNRd4_grkhpfQH_46fa8/edit?usp=sharing"",""ฉะเชิงเทรา!J363"")"),1239.35)</f>
        <v>1239.3499999999999</v>
      </c>
      <c r="AC55" s="87">
        <f t="shared" ca="1" si="45"/>
        <v>20</v>
      </c>
      <c r="AD55" s="86">
        <f ca="1">IFERROR(__xludf.DUMMYFUNCTION("IMPORTRANGE(""https://docs.google.com/spreadsheets/d/14xp6qUzrGFnUk_qnc1eEmfiaNRd4_grkhpfQH_46fa8/edit?usp=sharing"",""ฉะเชิงเทรา!I364"")"),850)</f>
        <v>850</v>
      </c>
      <c r="AE55" s="86">
        <f ca="1">IFERROR(__xludf.DUMMYFUNCTION("IMPORTRANGE(""https://docs.google.com/spreadsheets/d/14xp6qUzrGFnUk_qnc1eEmfiaNRd4_grkhpfQH_46fa8/edit?usp=sharing"",""ฉะเชิงเทรา!J364"")"),221)</f>
        <v>221</v>
      </c>
      <c r="AF55" s="87">
        <f t="shared" ca="1" si="16"/>
        <v>26</v>
      </c>
      <c r="AG55" s="86">
        <f ca="1">IFERROR(__xludf.DUMMYFUNCTION("IMPORTRANGE(""https://docs.google.com/spreadsheets/d/14xp6qUzrGFnUk_qnc1eEmfiaNRd4_grkhpfQH_46fa8/edit?usp=sharing"",""ฉะเชิงเทรา!I369"")"),1500)</f>
        <v>1500</v>
      </c>
      <c r="AH55" s="86">
        <f ca="1">IFERROR(__xludf.DUMMYFUNCTION("IMPORTRANGE(""https://docs.google.com/spreadsheets/d/14xp6qUzrGFnUk_qnc1eEmfiaNRd4_grkhpfQH_46fa8/edit?usp=sharing"",""ฉะเชิงเทรา!J368"")"),124)</f>
        <v>124</v>
      </c>
      <c r="AI55" s="86">
        <f ca="1">IFERROR(__xludf.DUMMYFUNCTION("IMPORTRANGE(""https://docs.google.com/spreadsheets/d/14xp6qUzrGFnUk_qnc1eEmfiaNRd4_grkhpfQH_46fa8/edit?usp=sharing"",""ฉะเชิงเทรา!J369"")"),1853.11)</f>
        <v>1853.11</v>
      </c>
      <c r="AJ55" s="87">
        <f t="shared" ca="1" si="46"/>
        <v>123.54066666666667</v>
      </c>
      <c r="AK55" s="86">
        <f ca="1">IFERROR(__xludf.DUMMYFUNCTION("IMPORTRANGE(""https://docs.google.com/spreadsheets/d/14xp6qUzrGFnUk_qnc1eEmfiaNRd4_grkhpfQH_46fa8/edit?usp=sharing"",""ฉะเชิงเทรา!I370"")"),150)</f>
        <v>150</v>
      </c>
      <c r="AL55" s="86">
        <f ca="1">IFERROR(__xludf.DUMMYFUNCTION("IMPORTRANGE(""https://docs.google.com/spreadsheets/d/14xp6qUzrGFnUk_qnc1eEmfiaNRd4_grkhpfQH_46fa8/edit?usp=sharing"",""ฉะเชิงเทรา!J370"")"),104)</f>
        <v>104</v>
      </c>
      <c r="AM55" s="86">
        <f ca="1">IFERROR(__xludf.DUMMYFUNCTION("IMPORTRANGE(""https://docs.google.com/spreadsheets/d/14xp6qUzrGFnUk_qnc1eEmfiaNRd4_grkhpfQH_46fa8/edit?usp=sharing"",""ฉะเชิงเทรา!J371"")"),1547.83)</f>
        <v>1547.83</v>
      </c>
      <c r="AN55" s="87">
        <f t="shared" ca="1" si="47"/>
        <v>69.333333333333329</v>
      </c>
      <c r="AO55" s="86">
        <f ca="1">IFERROR(__xludf.DUMMYFUNCTION("IMPORTRANGE(""https://docs.google.com/spreadsheets/d/14xp6qUzrGFnUk_qnc1eEmfiaNRd4_grkhpfQH_46fa8/edit?usp=sharing"",""ฉะเชิงเทรา!I372"")"),150)</f>
        <v>150</v>
      </c>
      <c r="AP55" s="86">
        <f ca="1">IFERROR(__xludf.DUMMYFUNCTION("IMPORTRANGE(""https://docs.google.com/spreadsheets/d/14xp6qUzrGFnUk_qnc1eEmfiaNRd4_grkhpfQH_46fa8/edit?usp=sharing"",""ฉะเชิงเทรา!J372"")"),53)</f>
        <v>53</v>
      </c>
      <c r="AQ55" s="86">
        <f ca="1">IFERROR(__xludf.DUMMYFUNCTION("IMPORTRANGE(""https://docs.google.com/spreadsheets/d/14xp6qUzrGFnUk_qnc1eEmfiaNRd4_grkhpfQH_46fa8/edit?usp=sharing"",""ฉะเชิงเทรา!J373"")"),835.43)</f>
        <v>835.43</v>
      </c>
      <c r="AR55" s="87">
        <f t="shared" ca="1" si="48"/>
        <v>35.333333333333336</v>
      </c>
      <c r="AS55" s="86">
        <f ca="1">IFERROR(__xludf.DUMMYFUNCTION("IMPORTRANGE(""https://docs.google.com/spreadsheets/d/14xp6qUzrGFnUk_qnc1eEmfiaNRd4_grkhpfQH_46fa8/edit?usp=sharing"",""ฉะเชิงเทรา!I378"")"),3000)</f>
        <v>3000</v>
      </c>
      <c r="AT55" s="86">
        <f ca="1">IFERROR(__xludf.DUMMYFUNCTION("IMPORTRANGE(""https://docs.google.com/spreadsheets/d/14xp6qUzrGFnUk_qnc1eEmfiaNRd4_grkhpfQH_46fa8/edit?usp=sharing"",""ฉะเชิงเทรา!J377"")"),78)</f>
        <v>78</v>
      </c>
      <c r="AU55" s="86">
        <f ca="1">IFERROR(__xludf.DUMMYFUNCTION("IMPORTRANGE(""https://docs.google.com/spreadsheets/d/14xp6qUzrGFnUk_qnc1eEmfiaNRd4_grkhpfQH_46fa8/edit?usp=sharing"",""ฉะเชิงเทรา!J378"")"),867)</f>
        <v>867</v>
      </c>
      <c r="AV55" s="87">
        <f t="shared" ca="1" si="49"/>
        <v>28.9</v>
      </c>
      <c r="AW55" s="86">
        <f ca="1">IFERROR(__xludf.DUMMYFUNCTION("IMPORTRANGE(""https://docs.google.com/spreadsheets/d/14xp6qUzrGFnUk_qnc1eEmfiaNRd4_grkhpfQH_46fa8/edit?usp=sharing"",""ฉะเชิงเทรา!I379"")"),700)</f>
        <v>700</v>
      </c>
      <c r="AX55" s="86">
        <f ca="1">IFERROR(__xludf.DUMMYFUNCTION("IMPORTRANGE(""https://docs.google.com/spreadsheets/d/14xp6qUzrGFnUk_qnc1eEmfiaNRd4_grkhpfQH_46fa8/edit?usp=sharing"",""ฉะเชิงเทรา!J379"")"),166)</f>
        <v>166</v>
      </c>
      <c r="AY55" s="86">
        <f ca="1">IFERROR(__xludf.DUMMYFUNCTION("IMPORTRANGE(""https://docs.google.com/spreadsheets/d/14xp6qUzrGFnUk_qnc1eEmfiaNRd4_grkhpfQH_46fa8/edit?usp=sharing"",""ฉะเชิงเทรา!J380"")"),2726.52)</f>
        <v>2726.52</v>
      </c>
      <c r="AZ55" s="87">
        <f t="shared" ca="1" si="50"/>
        <v>23.714285714285715</v>
      </c>
      <c r="BA55" s="86">
        <f ca="1">IFERROR(__xludf.DUMMYFUNCTION("IMPORTRANGE(""https://docs.google.com/spreadsheets/d/14xp6qUzrGFnUk_qnc1eEmfiaNRd4_grkhpfQH_46fa8/edit?usp=sharing"",""ฉะเชิงเทรา!I381"")"),700)</f>
        <v>700</v>
      </c>
      <c r="BB55" s="86">
        <f ca="1">IFERROR(__xludf.DUMMYFUNCTION("IMPORTRANGE(""https://docs.google.com/spreadsheets/d/14xp6qUzrGFnUk_qnc1eEmfiaNRd4_grkhpfQH_46fa8/edit?usp=sharing"",""ฉะเชิงเทรา!J381"")"),168)</f>
        <v>168</v>
      </c>
      <c r="BC55" s="86">
        <f ca="1">IFERROR(__xludf.DUMMYFUNCTION("IMPORTRANGE(""https://docs.google.com/spreadsheets/d/14xp6qUzrGFnUk_qnc1eEmfiaNRd4_grkhpfQH_46fa8/edit?usp=sharing"",""ฉะเชิงเทรา!J382"")"),2706.07)</f>
        <v>2706.07</v>
      </c>
      <c r="BD55" s="87">
        <f t="shared" ca="1" si="51"/>
        <v>24</v>
      </c>
    </row>
    <row r="56" spans="1:56" ht="21" customHeight="1" x14ac:dyDescent="0.2">
      <c r="A56" s="78">
        <v>4</v>
      </c>
      <c r="B56" s="79" t="s">
        <v>78</v>
      </c>
      <c r="C56" s="80">
        <f t="shared" ca="1" si="0"/>
        <v>867850</v>
      </c>
      <c r="D56" s="81">
        <f t="shared" ca="1" si="88"/>
        <v>822850</v>
      </c>
      <c r="E56" s="82">
        <f ca="1">IFERROR(__xludf.DUMMYFUNCTION("IMPORTRANGE(""https://docs.google.com/spreadsheets/d/1MeEWN-I1oV_STSDYn1IFDPWt_1FKiwhDph83XaGc0o0/edit?usp=sharing"",""งบพรบ!EX56"")"),315600)</f>
        <v>315600</v>
      </c>
      <c r="F56" s="82">
        <f ca="1">IFERROR(__xludf.DUMMYFUNCTION("IMPORTRANGE(""https://docs.google.com/spreadsheets/d/1MeEWN-I1oV_STSDYn1IFDPWt_1FKiwhDph83XaGc0o0/edit?usp=sharing"",""งบพรบ!EY56"")"),507250)</f>
        <v>507250</v>
      </c>
      <c r="G56" s="82">
        <f ca="1">IFERROR(__xludf.DUMMYFUNCTION("IMPORTRANGE(""https://docs.google.com/spreadsheets/d/1MeEWN-I1oV_STSDYn1IFDPWt_1FKiwhDph83XaGc0o0/edit?usp=sharing"",""งบพรบ!EZ56"")"),45000)</f>
        <v>45000</v>
      </c>
      <c r="H56" s="82">
        <f ca="1">IFERROR(__xludf.DUMMYFUNCTION("IMPORTRANGE(""https://docs.google.com/spreadsheets/d/1MeEWN-I1oV_STSDYn1IFDPWt_1FKiwhDph83XaGc0o0/edit?usp=sharing"",""งบพรบ!FB56"")"),539150)</f>
        <v>539150</v>
      </c>
      <c r="I56" s="82">
        <f ca="1">IFERROR(__xludf.DUMMYFUNCTION("IMPORTRANGE(""https://docs.google.com/spreadsheets/d/1MeEWN-I1oV_STSDYn1IFDPWt_1FKiwhDph83XaGc0o0/edit?usp=sharing"",""งบพรบ!FC56"")"),45000)</f>
        <v>45000</v>
      </c>
      <c r="J56" s="82">
        <f t="shared" ca="1" si="3"/>
        <v>377075.5</v>
      </c>
      <c r="K56" s="83">
        <f t="shared" ca="1" si="4"/>
        <v>43.449386414703</v>
      </c>
      <c r="L56" s="82">
        <f ca="1">IFERROR(__xludf.DUMMYFUNCTION("IMPORTRANGE(""https://docs.google.com/spreadsheets/d/1MeEWN-I1oV_STSDYn1IFDPWt_1FKiwhDph83XaGc0o0/edit?usp=sharing"",""งบพรบ!FD56"")"),332075.5)</f>
        <v>332075.5</v>
      </c>
      <c r="M56" s="84">
        <f t="shared" ca="1" si="5"/>
        <v>40.35674788843653</v>
      </c>
      <c r="N56" s="84">
        <f t="shared" ca="1" si="6"/>
        <v>61.592413984976353</v>
      </c>
      <c r="O56" s="85">
        <f ca="1">IFERROR(__xludf.DUMMYFUNCTION("IMPORTRANGE(""https://docs.google.com/spreadsheets/d/1MeEWN-I1oV_STSDYn1IFDPWt_1FKiwhDph83XaGc0o0/edit?usp=sharing"",""งบพรบ!FE56"")"),45000)</f>
        <v>45000</v>
      </c>
      <c r="P56" s="84">
        <f t="shared" ca="1" si="53"/>
        <v>100</v>
      </c>
      <c r="Q56" s="84">
        <f t="shared" ca="1" si="8"/>
        <v>100</v>
      </c>
      <c r="R56" s="86">
        <f ca="1">IFERROR(__xludf.DUMMYFUNCTION("IMPORTRANGE(""https://docs.google.com/spreadsheets/d/1_Zwps30dlVa-pZFsorjVf1Pil6WXwzCsJU0U2whO3NI/edit?usp=sharing"",""ชลบุรี!I359"")"),3000)</f>
        <v>3000</v>
      </c>
      <c r="S56" s="86">
        <f ca="1">IFERROR(__xludf.DUMMYFUNCTION("IMPORTRANGE(""https://docs.google.com/spreadsheets/d/1_Zwps30dlVa-pZFsorjVf1Pil6WXwzCsJU0U2whO3NI/edit?usp=sharing"",""ชลบุรี!J358"")"),189)</f>
        <v>189</v>
      </c>
      <c r="T56" s="86">
        <f ca="1">IFERROR(__xludf.DUMMYFUNCTION("IMPORTRANGE(""https://docs.google.com/spreadsheets/d/1_Zwps30dlVa-pZFsorjVf1Pil6WXwzCsJU0U2whO3NI/edit?usp=sharing"",""ชลบุรี!J359"")"),1537.15)</f>
        <v>1537.15</v>
      </c>
      <c r="U56" s="87">
        <f t="shared" ca="1" si="43"/>
        <v>51.238333333333337</v>
      </c>
      <c r="V56" s="86">
        <f ca="1">IFERROR(__xludf.DUMMYFUNCTION("IMPORTRANGE(""https://docs.google.com/spreadsheets/d/1_Zwps30dlVa-pZFsorjVf1Pil6WXwzCsJU0U2whO3NI/edit?usp=sharing"",""ชลบุรี!I360"")"),270)</f>
        <v>270</v>
      </c>
      <c r="W56" s="86">
        <f ca="1">IFERROR(__xludf.DUMMYFUNCTION("IMPORTRANGE(""https://docs.google.com/spreadsheets/d/1_Zwps30dlVa-pZFsorjVf1Pil6WXwzCsJU0U2whO3NI/edit?usp=sharing"",""ชลบุรี!J360"")"),145)</f>
        <v>145</v>
      </c>
      <c r="X56" s="86">
        <f ca="1">IFERROR(__xludf.DUMMYFUNCTION("IMPORTRANGE(""https://docs.google.com/spreadsheets/d/1_Zwps30dlVa-pZFsorjVf1Pil6WXwzCsJU0U2whO3NI/edit?usp=sharing"",""ชลบุรี!J361"")"),982.12)</f>
        <v>982.12</v>
      </c>
      <c r="Y56" s="87">
        <f t="shared" ca="1" si="44"/>
        <v>53.703703703703702</v>
      </c>
      <c r="Z56" s="86">
        <f ca="1">IFERROR(__xludf.DUMMYFUNCTION("IMPORTRANGE(""https://docs.google.com/spreadsheets/d/1_Zwps30dlVa-pZFsorjVf1Pil6WXwzCsJU0U2whO3NI/edit?usp=sharing"",""ชลบุรี!I362"")"),270)</f>
        <v>270</v>
      </c>
      <c r="AA56" s="86">
        <f ca="1">IFERROR(__xludf.DUMMYFUNCTION("IMPORTRANGE(""https://docs.google.com/spreadsheets/d/1_Zwps30dlVa-pZFsorjVf1Pil6WXwzCsJU0U2whO3NI/edit?usp=sharing"",""ชลบุรี!J362"")"),125)</f>
        <v>125</v>
      </c>
      <c r="AB56" s="86">
        <f ca="1">IFERROR(__xludf.DUMMYFUNCTION("IMPORTRANGE(""https://docs.google.com/spreadsheets/d/1_Zwps30dlVa-pZFsorjVf1Pil6WXwzCsJU0U2whO3NI/edit?usp=sharing"",""ชลบุรี!J363"")"),990.97)</f>
        <v>990.97</v>
      </c>
      <c r="AC56" s="87">
        <f t="shared" ca="1" si="45"/>
        <v>46.296296296296298</v>
      </c>
      <c r="AD56" s="86">
        <f ca="1">IFERROR(__xludf.DUMMYFUNCTION("IMPORTRANGE(""https://docs.google.com/spreadsheets/d/1_Zwps30dlVa-pZFsorjVf1Pil6WXwzCsJU0U2whO3NI/edit?usp=sharing"",""ชลบุรี!I364"")"),420)</f>
        <v>420</v>
      </c>
      <c r="AE56" s="86">
        <f ca="1">IFERROR(__xludf.DUMMYFUNCTION("IMPORTRANGE(""https://docs.google.com/spreadsheets/d/1_Zwps30dlVa-pZFsorjVf1Pil6WXwzCsJU0U2whO3NI/edit?usp=sharing"",""ชลบุรี!J364"")"),201)</f>
        <v>201</v>
      </c>
      <c r="AF56" s="87">
        <f t="shared" ca="1" si="16"/>
        <v>47.857142857142854</v>
      </c>
      <c r="AG56" s="86">
        <f ca="1">IFERROR(__xludf.DUMMYFUNCTION("IMPORTRANGE(""https://docs.google.com/spreadsheets/d/1_Zwps30dlVa-pZFsorjVf1Pil6WXwzCsJU0U2whO3NI/edit?usp=sharing"",""ชลบุรี!I369"")"),2000)</f>
        <v>2000</v>
      </c>
      <c r="AH56" s="86">
        <f ca="1">IFERROR(__xludf.DUMMYFUNCTION("IMPORTRANGE(""https://docs.google.com/spreadsheets/d/1_Zwps30dlVa-pZFsorjVf1Pil6WXwzCsJU0U2whO3NI/edit?usp=sharing"",""ชลบุรี!J368"")"),146)</f>
        <v>146</v>
      </c>
      <c r="AI56" s="86">
        <f ca="1">IFERROR(__xludf.DUMMYFUNCTION("IMPORTRANGE(""https://docs.google.com/spreadsheets/d/1_Zwps30dlVa-pZFsorjVf1Pil6WXwzCsJU0U2whO3NI/edit?usp=sharing"",""ชลบุรี!J369"")"),1047.45)</f>
        <v>1047.45</v>
      </c>
      <c r="AJ56" s="87">
        <f t="shared" ca="1" si="46"/>
        <v>52.372500000000002</v>
      </c>
      <c r="AK56" s="86">
        <f ca="1">IFERROR(__xludf.DUMMYFUNCTION("IMPORTRANGE(""https://docs.google.com/spreadsheets/d/1_Zwps30dlVa-pZFsorjVf1Pil6WXwzCsJU0U2whO3NI/edit?usp=sharing"",""ชลบุรี!I370"")"),200)</f>
        <v>200</v>
      </c>
      <c r="AL56" s="86">
        <f ca="1">IFERROR(__xludf.DUMMYFUNCTION("IMPORTRANGE(""https://docs.google.com/spreadsheets/d/1_Zwps30dlVa-pZFsorjVf1Pil6WXwzCsJU0U2whO3NI/edit?usp=sharing"",""ชลบุรี!J370"")"),108)</f>
        <v>108</v>
      </c>
      <c r="AM56" s="86">
        <f ca="1">IFERROR(__xludf.DUMMYFUNCTION("IMPORTRANGE(""https://docs.google.com/spreadsheets/d/1_Zwps30dlVa-pZFsorjVf1Pil6WXwzCsJU0U2whO3NI/edit?usp=sharing"",""ชลบุรี!J371"")"),566.27)</f>
        <v>566.27</v>
      </c>
      <c r="AN56" s="87">
        <f t="shared" ca="1" si="47"/>
        <v>54</v>
      </c>
      <c r="AO56" s="86">
        <f ca="1">IFERROR(__xludf.DUMMYFUNCTION("IMPORTRANGE(""https://docs.google.com/spreadsheets/d/1_Zwps30dlVa-pZFsorjVf1Pil6WXwzCsJU0U2whO3NI/edit?usp=sharing"",""ชลบุรี!I372"")"),200)</f>
        <v>200</v>
      </c>
      <c r="AP56" s="86">
        <f ca="1">IFERROR(__xludf.DUMMYFUNCTION("IMPORTRANGE(""https://docs.google.com/spreadsheets/d/1_Zwps30dlVa-pZFsorjVf1Pil6WXwzCsJU0U2whO3NI/edit?usp=sharing"",""ชลบุรี!J372"")"),83)</f>
        <v>83</v>
      </c>
      <c r="AQ56" s="86">
        <f ca="1">IFERROR(__xludf.DUMMYFUNCTION("IMPORTRANGE(""https://docs.google.com/spreadsheets/d/1_Zwps30dlVa-pZFsorjVf1Pil6WXwzCsJU0U2whO3NI/edit?usp=sharing"",""ชลบุรี!J373"")"),510.66)</f>
        <v>510.66</v>
      </c>
      <c r="AR56" s="87">
        <f t="shared" ca="1" si="48"/>
        <v>41.5</v>
      </c>
      <c r="AS56" s="86">
        <f ca="1">IFERROR(__xludf.DUMMYFUNCTION("IMPORTRANGE(""https://docs.google.com/spreadsheets/d/1_Zwps30dlVa-pZFsorjVf1Pil6WXwzCsJU0U2whO3NI/edit?usp=sharing"",""ชลบุรี!I378"")"),1000)</f>
        <v>1000</v>
      </c>
      <c r="AT56" s="86">
        <f ca="1">IFERROR(__xludf.DUMMYFUNCTION("IMPORTRANGE(""https://docs.google.com/spreadsheets/d/1_Zwps30dlVa-pZFsorjVf1Pil6WXwzCsJU0U2whO3NI/edit?usp=sharing"",""ชลบุรี!J377"")"),43)</f>
        <v>43</v>
      </c>
      <c r="AU56" s="86">
        <f ca="1">IFERROR(__xludf.DUMMYFUNCTION("IMPORTRANGE(""https://docs.google.com/spreadsheets/d/1_Zwps30dlVa-pZFsorjVf1Pil6WXwzCsJU0U2whO3NI/edit?usp=sharing"",""ชลบุรี!J378"")"),489.7)</f>
        <v>489.7</v>
      </c>
      <c r="AV56" s="87">
        <f t="shared" ca="1" si="49"/>
        <v>48.97</v>
      </c>
      <c r="AW56" s="86">
        <f ca="1">IFERROR(__xludf.DUMMYFUNCTION("IMPORTRANGE(""https://docs.google.com/spreadsheets/d/1_Zwps30dlVa-pZFsorjVf1Pil6WXwzCsJU0U2whO3NI/edit?usp=sharing"",""ชลบุรี!I379"")"),220)</f>
        <v>220</v>
      </c>
      <c r="AX56" s="86">
        <f ca="1">IFERROR(__xludf.DUMMYFUNCTION("IMPORTRANGE(""https://docs.google.com/spreadsheets/d/1_Zwps30dlVa-pZFsorjVf1Pil6WXwzCsJU0U2whO3NI/edit?usp=sharing"",""ชลบุรี!J379"")"),113)</f>
        <v>113</v>
      </c>
      <c r="AY56" s="86">
        <f ca="1">IFERROR(__xludf.DUMMYFUNCTION("IMPORTRANGE(""https://docs.google.com/spreadsheets/d/1_Zwps30dlVa-pZFsorjVf1Pil6WXwzCsJU0U2whO3NI/edit?usp=sharing"",""ชลบุรี!J380"")"),1351.64)</f>
        <v>1351.64</v>
      </c>
      <c r="AZ56" s="87">
        <f t="shared" ca="1" si="50"/>
        <v>51.363636363636367</v>
      </c>
      <c r="BA56" s="86">
        <f ca="1">IFERROR(__xludf.DUMMYFUNCTION("IMPORTRANGE(""https://docs.google.com/spreadsheets/d/1_Zwps30dlVa-pZFsorjVf1Pil6WXwzCsJU0U2whO3NI/edit?usp=sharing"",""ชลบุรี!I381"")"),220)</f>
        <v>220</v>
      </c>
      <c r="BB56" s="86">
        <f ca="1">IFERROR(__xludf.DUMMYFUNCTION("IMPORTRANGE(""https://docs.google.com/spreadsheets/d/1_Zwps30dlVa-pZFsorjVf1Pil6WXwzCsJU0U2whO3NI/edit?usp=sharing"",""ชลบุรี!J381"")"),118)</f>
        <v>118</v>
      </c>
      <c r="BC56" s="86">
        <f ca="1">IFERROR(__xludf.DUMMYFUNCTION("IMPORTRANGE(""https://docs.google.com/spreadsheets/d/1_Zwps30dlVa-pZFsorjVf1Pil6WXwzCsJU0U2whO3NI/edit?usp=sharing"",""ชลบุรี!J382"")"),1416.11)</f>
        <v>1416.11</v>
      </c>
      <c r="BD56" s="87">
        <f t="shared" ca="1" si="51"/>
        <v>53.636363636363633</v>
      </c>
    </row>
    <row r="57" spans="1:56" ht="21" customHeight="1" x14ac:dyDescent="0.2">
      <c r="A57" s="78">
        <v>5</v>
      </c>
      <c r="B57" s="79" t="s">
        <v>79</v>
      </c>
      <c r="C57" s="80">
        <f t="shared" ca="1" si="0"/>
        <v>400550</v>
      </c>
      <c r="D57" s="81">
        <f t="shared" ca="1" si="88"/>
        <v>326450</v>
      </c>
      <c r="E57" s="82">
        <f ca="1">IFERROR(__xludf.DUMMYFUNCTION("IMPORTRANGE(""https://docs.google.com/spreadsheets/d/1MeEWN-I1oV_STSDYn1IFDPWt_1FKiwhDph83XaGc0o0/edit?usp=sharing"",""งบพรบ!EX57"")"),87600)</f>
        <v>87600</v>
      </c>
      <c r="F57" s="82">
        <f ca="1">IFERROR(__xludf.DUMMYFUNCTION("IMPORTRANGE(""https://docs.google.com/spreadsheets/d/1MeEWN-I1oV_STSDYn1IFDPWt_1FKiwhDph83XaGc0o0/edit?usp=sharing"",""งบพรบ!EY57"")"),238850)</f>
        <v>238850</v>
      </c>
      <c r="G57" s="82">
        <f ca="1">IFERROR(__xludf.DUMMYFUNCTION("IMPORTRANGE(""https://docs.google.com/spreadsheets/d/1MeEWN-I1oV_STSDYn1IFDPWt_1FKiwhDph83XaGc0o0/edit?usp=sharing"",""งบพรบ!EZ57"")"),74100)</f>
        <v>74100</v>
      </c>
      <c r="H57" s="82">
        <f ca="1">IFERROR(__xludf.DUMMYFUNCTION("IMPORTRANGE(""https://docs.google.com/spreadsheets/d/1MeEWN-I1oV_STSDYn1IFDPWt_1FKiwhDph83XaGc0o0/edit?usp=sharing"",""งบพรบ!FB57"")"),233950)</f>
        <v>233950</v>
      </c>
      <c r="I57" s="82">
        <f ca="1">IFERROR(__xludf.DUMMYFUNCTION("IMPORTRANGE(""https://docs.google.com/spreadsheets/d/1MeEWN-I1oV_STSDYn1IFDPWt_1FKiwhDph83XaGc0o0/edit?usp=sharing"",""งบพรบ!FC57"")"),74100)</f>
        <v>74100</v>
      </c>
      <c r="J57" s="82">
        <f t="shared" ca="1" si="3"/>
        <v>192243</v>
      </c>
      <c r="K57" s="83">
        <f t="shared" ca="1" si="4"/>
        <v>47.994757208837846</v>
      </c>
      <c r="L57" s="82">
        <f ca="1">IFERROR(__xludf.DUMMYFUNCTION("IMPORTRANGE(""https://docs.google.com/spreadsheets/d/1MeEWN-I1oV_STSDYn1IFDPWt_1FKiwhDph83XaGc0o0/edit?usp=sharing"",""งบพรบ!FD57"")"),118143)</f>
        <v>118143</v>
      </c>
      <c r="M57" s="84">
        <f t="shared" ca="1" si="5"/>
        <v>36.190228212589986</v>
      </c>
      <c r="N57" s="84">
        <f t="shared" ca="1" si="6"/>
        <v>50.499251976918146</v>
      </c>
      <c r="O57" s="85">
        <f ca="1">IFERROR(__xludf.DUMMYFUNCTION("IMPORTRANGE(""https://docs.google.com/spreadsheets/d/1MeEWN-I1oV_STSDYn1IFDPWt_1FKiwhDph83XaGc0o0/edit?usp=sharing"",""งบพรบ!FE57"")"),74100)</f>
        <v>74100</v>
      </c>
      <c r="P57" s="84">
        <f t="shared" ca="1" si="53"/>
        <v>100</v>
      </c>
      <c r="Q57" s="84">
        <f t="shared" ca="1" si="8"/>
        <v>100</v>
      </c>
      <c r="R57" s="86">
        <f ca="1">IFERROR(__xludf.DUMMYFUNCTION("IMPORTRANGE(""https://docs.google.com/spreadsheets/d/1xAsT4sUbBlom7l0acStESh_15nvjZcXjZM7fK5uZSq8/edit?usp=sharing"",""ชัยนาท!I359"")"),320)</f>
        <v>320</v>
      </c>
      <c r="S57" s="86">
        <f ca="1">IFERROR(__xludf.DUMMYFUNCTION("IMPORTRANGE(""https://docs.google.com/spreadsheets/d/1xAsT4sUbBlom7l0acStESh_15nvjZcXjZM7fK5uZSq8/edit?usp=sharing"",""ชัยนาท!J358"")"),9)</f>
        <v>9</v>
      </c>
      <c r="T57" s="86">
        <f ca="1">IFERROR(__xludf.DUMMYFUNCTION("IMPORTRANGE(""https://docs.google.com/spreadsheets/d/1xAsT4sUbBlom7l0acStESh_15nvjZcXjZM7fK5uZSq8/edit?usp=sharing"",""ชัยนาท!J359"")"),86.65)</f>
        <v>86.65</v>
      </c>
      <c r="U57" s="87">
        <f t="shared" ca="1" si="43"/>
        <v>27.078125</v>
      </c>
      <c r="V57" s="86">
        <f ca="1">IFERROR(__xludf.DUMMYFUNCTION("IMPORTRANGE(""https://docs.google.com/spreadsheets/d/1xAsT4sUbBlom7l0acStESh_15nvjZcXjZM7fK5uZSq8/edit?usp=sharing"",""ชัยนาท!I360"")"),32)</f>
        <v>32</v>
      </c>
      <c r="W57" s="86">
        <f ca="1">IFERROR(__xludf.DUMMYFUNCTION("IMPORTRANGE(""https://docs.google.com/spreadsheets/d/1xAsT4sUbBlom7l0acStESh_15nvjZcXjZM7fK5uZSq8/edit?usp=sharing"",""ชัยนาท!J360"")"),18)</f>
        <v>18</v>
      </c>
      <c r="X57" s="86">
        <f ca="1">IFERROR(__xludf.DUMMYFUNCTION("IMPORTRANGE(""https://docs.google.com/spreadsheets/d/1xAsT4sUbBlom7l0acStESh_15nvjZcXjZM7fK5uZSq8/edit?usp=sharing"",""ชัยนาท!J361"")"),200.53)</f>
        <v>200.53</v>
      </c>
      <c r="Y57" s="87">
        <f t="shared" ca="1" si="44"/>
        <v>56.25</v>
      </c>
      <c r="Z57" s="86">
        <f ca="1">IFERROR(__xludf.DUMMYFUNCTION("IMPORTRANGE(""https://docs.google.com/spreadsheets/d/1xAsT4sUbBlom7l0acStESh_15nvjZcXjZM7fK5uZSq8/edit?usp=sharing"",""ชัยนาท!I362"")"),32)</f>
        <v>32</v>
      </c>
      <c r="AA57" s="86">
        <f ca="1">IFERROR(__xludf.DUMMYFUNCTION("IMPORTRANGE(""https://docs.google.com/spreadsheets/d/1xAsT4sUbBlom7l0acStESh_15nvjZcXjZM7fK5uZSq8/edit?usp=sharing"",""ชัยนาท!J362"")"),0)</f>
        <v>0</v>
      </c>
      <c r="AB57" s="86">
        <f ca="1">IFERROR(__xludf.DUMMYFUNCTION("IMPORTRANGE(""https://docs.google.com/spreadsheets/d/1xAsT4sUbBlom7l0acStESh_15nvjZcXjZM7fK5uZSq8/edit?usp=sharing"",""ชัยนาท!J363"")"),0)</f>
        <v>0</v>
      </c>
      <c r="AC57" s="87">
        <f t="shared" ca="1" si="45"/>
        <v>0</v>
      </c>
      <c r="AD57" s="86">
        <f ca="1">IFERROR(__xludf.DUMMYFUNCTION("IMPORTRANGE(""https://docs.google.com/spreadsheets/d/1xAsT4sUbBlom7l0acStESh_15nvjZcXjZM7fK5uZSq8/edit?usp=sharing"",""ชัยนาท!I364"")"),142)</f>
        <v>142</v>
      </c>
      <c r="AE57" s="86">
        <f ca="1">IFERROR(__xludf.DUMMYFUNCTION("IMPORTRANGE(""https://docs.google.com/spreadsheets/d/1xAsT4sUbBlom7l0acStESh_15nvjZcXjZM7fK5uZSq8/edit?usp=sharing"",""ชัยนาท!J364"")"),0)</f>
        <v>0</v>
      </c>
      <c r="AF57" s="87">
        <f t="shared" ca="1" si="16"/>
        <v>0</v>
      </c>
      <c r="AG57" s="86">
        <f ca="1">IFERROR(__xludf.DUMMYFUNCTION("IMPORTRANGE(""https://docs.google.com/spreadsheets/d/1xAsT4sUbBlom7l0acStESh_15nvjZcXjZM7fK5uZSq8/edit?usp=sharing"",""ชัยนาท!I369"")"),20)</f>
        <v>20</v>
      </c>
      <c r="AH57" s="86">
        <f ca="1">IFERROR(__xludf.DUMMYFUNCTION("IMPORTRANGE(""https://docs.google.com/spreadsheets/d/1xAsT4sUbBlom7l0acStESh_15nvjZcXjZM7fK5uZSq8/edit?usp=sharing"",""ชัยนาท!J368"")"),0)</f>
        <v>0</v>
      </c>
      <c r="AI57" s="86">
        <f ca="1">IFERROR(__xludf.DUMMYFUNCTION("IMPORTRANGE(""https://docs.google.com/spreadsheets/d/1xAsT4sUbBlom7l0acStESh_15nvjZcXjZM7fK5uZSq8/edit?usp=sharing"",""ชัยนาท!J369"")"),0)</f>
        <v>0</v>
      </c>
      <c r="AJ57" s="87">
        <f t="shared" ca="1" si="46"/>
        <v>0</v>
      </c>
      <c r="AK57" s="86">
        <f ca="1">IFERROR(__xludf.DUMMYFUNCTION("IMPORTRANGE(""https://docs.google.com/spreadsheets/d/1xAsT4sUbBlom7l0acStESh_15nvjZcXjZM7fK5uZSq8/edit?usp=sharing"",""ชัยนาท!I370"")"),2)</f>
        <v>2</v>
      </c>
      <c r="AL57" s="86">
        <f ca="1">IFERROR(__xludf.DUMMYFUNCTION("IMPORTRANGE(""https://docs.google.com/spreadsheets/d/1xAsT4sUbBlom7l0acStESh_15nvjZcXjZM7fK5uZSq8/edit?usp=sharing"",""ชัยนาท!J370"")"),0)</f>
        <v>0</v>
      </c>
      <c r="AM57" s="86">
        <f ca="1">IFERROR(__xludf.DUMMYFUNCTION("IMPORTRANGE(""https://docs.google.com/spreadsheets/d/1xAsT4sUbBlom7l0acStESh_15nvjZcXjZM7fK5uZSq8/edit?usp=sharing"",""ชัยนาท!J371"")"),0)</f>
        <v>0</v>
      </c>
      <c r="AN57" s="87">
        <f t="shared" ca="1" si="47"/>
        <v>0</v>
      </c>
      <c r="AO57" s="86">
        <f ca="1">IFERROR(__xludf.DUMMYFUNCTION("IMPORTRANGE(""https://docs.google.com/spreadsheets/d/1xAsT4sUbBlom7l0acStESh_15nvjZcXjZM7fK5uZSq8/edit?usp=sharing"",""ชัยนาท!I372"")"),2)</f>
        <v>2</v>
      </c>
      <c r="AP57" s="86">
        <f ca="1">IFERROR(__xludf.DUMMYFUNCTION("IMPORTRANGE(""https://docs.google.com/spreadsheets/d/1xAsT4sUbBlom7l0acStESh_15nvjZcXjZM7fK5uZSq8/edit?usp=sharing"",""ชัยนาท!J372"")"),0)</f>
        <v>0</v>
      </c>
      <c r="AQ57" s="86">
        <f ca="1">IFERROR(__xludf.DUMMYFUNCTION("IMPORTRANGE(""https://docs.google.com/spreadsheets/d/1xAsT4sUbBlom7l0acStESh_15nvjZcXjZM7fK5uZSq8/edit?usp=sharing"",""ชัยนาท!J373"")"),0)</f>
        <v>0</v>
      </c>
      <c r="AR57" s="87">
        <f t="shared" ca="1" si="48"/>
        <v>0</v>
      </c>
      <c r="AS57" s="86">
        <f ca="1">IFERROR(__xludf.DUMMYFUNCTION("IMPORTRANGE(""https://docs.google.com/spreadsheets/d/1xAsT4sUbBlom7l0acStESh_15nvjZcXjZM7fK5uZSq8/edit?usp=sharing"",""ชัยนาท!I378"")"),300)</f>
        <v>300</v>
      </c>
      <c r="AT57" s="86">
        <f ca="1">IFERROR(__xludf.DUMMYFUNCTION("IMPORTRANGE(""https://docs.google.com/spreadsheets/d/1xAsT4sUbBlom7l0acStESh_15nvjZcXjZM7fK5uZSq8/edit?usp=sharing"",""ชัยนาท!J377"")"),10)</f>
        <v>10</v>
      </c>
      <c r="AU57" s="86">
        <f ca="1">IFERROR(__xludf.DUMMYFUNCTION("IMPORTRANGE(""https://docs.google.com/spreadsheets/d/1xAsT4sUbBlom7l0acStESh_15nvjZcXjZM7fK5uZSq8/edit?usp=sharing"",""ชัยนาท!J378"")"),111.65)</f>
        <v>111.65</v>
      </c>
      <c r="AV57" s="87">
        <f t="shared" ca="1" si="49"/>
        <v>37.216666666666669</v>
      </c>
      <c r="AW57" s="86">
        <f ca="1">IFERROR(__xludf.DUMMYFUNCTION("IMPORTRANGE(""https://docs.google.com/spreadsheets/d/1xAsT4sUbBlom7l0acStESh_15nvjZcXjZM7fK5uZSq8/edit?usp=sharing"",""ชัยนาท!I379"")"),140)</f>
        <v>140</v>
      </c>
      <c r="AX57" s="86">
        <f ca="1">IFERROR(__xludf.DUMMYFUNCTION("IMPORTRANGE(""https://docs.google.com/spreadsheets/d/1xAsT4sUbBlom7l0acStESh_15nvjZcXjZM7fK5uZSq8/edit?usp=sharing"",""ชัยนาท!J379"")"),65)</f>
        <v>65</v>
      </c>
      <c r="AY57" s="86">
        <f ca="1">IFERROR(__xludf.DUMMYFUNCTION("IMPORTRANGE(""https://docs.google.com/spreadsheets/d/1xAsT4sUbBlom7l0acStESh_15nvjZcXjZM7fK5uZSq8/edit?usp=sharing"",""ชัยนาท!J380"")"),921.92)</f>
        <v>921.92</v>
      </c>
      <c r="AZ57" s="87">
        <f t="shared" ca="1" si="50"/>
        <v>46.428571428571431</v>
      </c>
      <c r="BA57" s="86">
        <f ca="1">IFERROR(__xludf.DUMMYFUNCTION("IMPORTRANGE(""https://docs.google.com/spreadsheets/d/1xAsT4sUbBlom7l0acStESh_15nvjZcXjZM7fK5uZSq8/edit?usp=sharing"",""ชัยนาท!I381"")"),140)</f>
        <v>140</v>
      </c>
      <c r="BB57" s="86">
        <f ca="1">IFERROR(__xludf.DUMMYFUNCTION("IMPORTRANGE(""https://docs.google.com/spreadsheets/d/1xAsT4sUbBlom7l0acStESh_15nvjZcXjZM7fK5uZSq8/edit?usp=sharing"",""ชัยนาท!J381"")"),0)</f>
        <v>0</v>
      </c>
      <c r="BC57" s="86">
        <f ca="1">IFERROR(__xludf.DUMMYFUNCTION("IMPORTRANGE(""https://docs.google.com/spreadsheets/d/1xAsT4sUbBlom7l0acStESh_15nvjZcXjZM7fK5uZSq8/edit?usp=sharing"",""ชัยนาท!J382"")"),0)</f>
        <v>0</v>
      </c>
      <c r="BD57" s="87">
        <f t="shared" ca="1" si="51"/>
        <v>0</v>
      </c>
    </row>
    <row r="58" spans="1:56" ht="21" customHeight="1" x14ac:dyDescent="0.2">
      <c r="A58" s="78">
        <v>6</v>
      </c>
      <c r="B58" s="79" t="s">
        <v>80</v>
      </c>
      <c r="C58" s="80">
        <f t="shared" ca="1" si="0"/>
        <v>578780</v>
      </c>
      <c r="D58" s="81">
        <f t="shared" ca="1" si="88"/>
        <v>562780</v>
      </c>
      <c r="E58" s="82">
        <f ca="1">IFERROR(__xludf.DUMMYFUNCTION("IMPORTRANGE(""https://docs.google.com/spreadsheets/d/1MeEWN-I1oV_STSDYn1IFDPWt_1FKiwhDph83XaGc0o0/edit?usp=sharing"",""งบพรบ!EX58"")"),201600)</f>
        <v>201600</v>
      </c>
      <c r="F58" s="82">
        <f ca="1">IFERROR(__xludf.DUMMYFUNCTION("IMPORTRANGE(""https://docs.google.com/spreadsheets/d/1MeEWN-I1oV_STSDYn1IFDPWt_1FKiwhDph83XaGc0o0/edit?usp=sharing"",""งบพรบ!EY58"")"),361180)</f>
        <v>361180</v>
      </c>
      <c r="G58" s="82">
        <f ca="1">IFERROR(__xludf.DUMMYFUNCTION("IMPORTRANGE(""https://docs.google.com/spreadsheets/d/1MeEWN-I1oV_STSDYn1IFDPWt_1FKiwhDph83XaGc0o0/edit?usp=sharing"",""งบพรบ!EZ58"")"),16000)</f>
        <v>16000</v>
      </c>
      <c r="H58" s="82">
        <f ca="1">IFERROR(__xludf.DUMMYFUNCTION("IMPORTRANGE(""https://docs.google.com/spreadsheets/d/1MeEWN-I1oV_STSDYn1IFDPWt_1FKiwhDph83XaGc0o0/edit?usp=sharing"",""งบพรบ!FB58"")"),486790)</f>
        <v>486790</v>
      </c>
      <c r="I58" s="82">
        <f ca="1">IFERROR(__xludf.DUMMYFUNCTION("IMPORTRANGE(""https://docs.google.com/spreadsheets/d/1MeEWN-I1oV_STSDYn1IFDPWt_1FKiwhDph83XaGc0o0/edit?usp=sharing"",""งบพรบ!FC58"")"),14500)</f>
        <v>14500</v>
      </c>
      <c r="J58" s="82">
        <f t="shared" ca="1" si="3"/>
        <v>247434</v>
      </c>
      <c r="K58" s="83">
        <f t="shared" ca="1" si="4"/>
        <v>42.750958913576831</v>
      </c>
      <c r="L58" s="82">
        <f ca="1">IFERROR(__xludf.DUMMYFUNCTION("IMPORTRANGE(""https://docs.google.com/spreadsheets/d/1MeEWN-I1oV_STSDYn1IFDPWt_1FKiwhDph83XaGc0o0/edit?usp=sharing"",""งบพรบ!FD58"")"),232934)</f>
        <v>232934</v>
      </c>
      <c r="M58" s="84">
        <f t="shared" ca="1" si="5"/>
        <v>41.389885923451438</v>
      </c>
      <c r="N58" s="84">
        <f t="shared" ca="1" si="6"/>
        <v>47.851024055547569</v>
      </c>
      <c r="O58" s="85">
        <f ca="1">IFERROR(__xludf.DUMMYFUNCTION("IMPORTRANGE(""https://docs.google.com/spreadsheets/d/1MeEWN-I1oV_STSDYn1IFDPWt_1FKiwhDph83XaGc0o0/edit?usp=sharing"",""งบพรบ!FE58"")"),14500)</f>
        <v>14500</v>
      </c>
      <c r="P58" s="84">
        <f t="shared" ca="1" si="53"/>
        <v>90.625</v>
      </c>
      <c r="Q58" s="84">
        <f t="shared" ca="1" si="8"/>
        <v>100</v>
      </c>
      <c r="R58" s="86">
        <f ca="1">IFERROR(__xludf.DUMMYFUNCTION("IMPORTRANGE(""https://docs.google.com/spreadsheets/d/1vWPVBOAaZ6mHSI8yf95DNqHwTJ1cpeFsvqt6cxV34QA/edit?usp=sharing"",""ตราด!I359"")"),2000)</f>
        <v>2000</v>
      </c>
      <c r="S58" s="86">
        <f ca="1">IFERROR(__xludf.DUMMYFUNCTION("IMPORTRANGE(""https://docs.google.com/spreadsheets/d/1vWPVBOAaZ6mHSI8yf95DNqHwTJ1cpeFsvqt6cxV34QA/edit?usp=sharing"",""ตราด!J358"")"),78)</f>
        <v>78</v>
      </c>
      <c r="T58" s="86">
        <f ca="1">IFERROR(__xludf.DUMMYFUNCTION("IMPORTRANGE(""https://docs.google.com/spreadsheets/d/1vWPVBOAaZ6mHSI8yf95DNqHwTJ1cpeFsvqt6cxV34QA/edit?usp=sharing"",""ตราด!J359"")"),855.29)</f>
        <v>855.29</v>
      </c>
      <c r="U58" s="87">
        <f t="shared" ca="1" si="43"/>
        <v>42.764499999999998</v>
      </c>
      <c r="V58" s="86">
        <f ca="1">IFERROR(__xludf.DUMMYFUNCTION("IMPORTRANGE(""https://docs.google.com/spreadsheets/d/1vWPVBOAaZ6mHSI8yf95DNqHwTJ1cpeFsvqt6cxV34QA/edit?usp=sharing"",""ตราด!I360"")"),130)</f>
        <v>130</v>
      </c>
      <c r="W58" s="86">
        <f ca="1">IFERROR(__xludf.DUMMYFUNCTION("IMPORTRANGE(""https://docs.google.com/spreadsheets/d/1vWPVBOAaZ6mHSI8yf95DNqHwTJ1cpeFsvqt6cxV34QA/edit?usp=sharing"",""ตราด!J360"")"),74)</f>
        <v>74</v>
      </c>
      <c r="X58" s="86">
        <f ca="1">IFERROR(__xludf.DUMMYFUNCTION("IMPORTRANGE(""https://docs.google.com/spreadsheets/d/1vWPVBOAaZ6mHSI8yf95DNqHwTJ1cpeFsvqt6cxV34QA/edit?usp=sharing"",""ตราด!J361"")"),841.72)</f>
        <v>841.72</v>
      </c>
      <c r="Y58" s="87">
        <f t="shared" ca="1" si="44"/>
        <v>56.92307692307692</v>
      </c>
      <c r="Z58" s="86">
        <f ca="1">IFERROR(__xludf.DUMMYFUNCTION("IMPORTRANGE(""https://docs.google.com/spreadsheets/d/1vWPVBOAaZ6mHSI8yf95DNqHwTJ1cpeFsvqt6cxV34QA/edit?usp=sharing"",""ตราด!I362"")"),130)</f>
        <v>130</v>
      </c>
      <c r="AA58" s="86">
        <f ca="1">IFERROR(__xludf.DUMMYFUNCTION("IMPORTRANGE(""https://docs.google.com/spreadsheets/d/1vWPVBOAaZ6mHSI8yf95DNqHwTJ1cpeFsvqt6cxV34QA/edit?usp=sharing"",""ตราด!J362"")"),49)</f>
        <v>49</v>
      </c>
      <c r="AB58" s="86">
        <f ca="1">IFERROR(__xludf.DUMMYFUNCTION("IMPORTRANGE(""https://docs.google.com/spreadsheets/d/1vWPVBOAaZ6mHSI8yf95DNqHwTJ1cpeFsvqt6cxV34QA/edit?usp=sharing"",""ตราด!J363"")"),454.77)</f>
        <v>454.77</v>
      </c>
      <c r="AC58" s="87">
        <f t="shared" ca="1" si="45"/>
        <v>37.692307692307693</v>
      </c>
      <c r="AD58" s="86">
        <f ca="1">IFERROR(__xludf.DUMMYFUNCTION("IMPORTRANGE(""https://docs.google.com/spreadsheets/d/1vWPVBOAaZ6mHSI8yf95DNqHwTJ1cpeFsvqt6cxV34QA/edit?usp=sharing"",""ตราด!I364"")"),230)</f>
        <v>230</v>
      </c>
      <c r="AE58" s="86">
        <f ca="1">IFERROR(__xludf.DUMMYFUNCTION("IMPORTRANGE(""https://docs.google.com/spreadsheets/d/1vWPVBOAaZ6mHSI8yf95DNqHwTJ1cpeFsvqt6cxV34QA/edit?usp=sharing"",""ตราด!J364"")"),179)</f>
        <v>179</v>
      </c>
      <c r="AF58" s="87">
        <f t="shared" ca="1" si="16"/>
        <v>77.826086956521735</v>
      </c>
      <c r="AG58" s="86">
        <f ca="1">IFERROR(__xludf.DUMMYFUNCTION("IMPORTRANGE(""https://docs.google.com/spreadsheets/d/1vWPVBOAaZ6mHSI8yf95DNqHwTJ1cpeFsvqt6cxV34QA/edit?usp=sharing"",""ตราด!I369"")"),1000)</f>
        <v>1000</v>
      </c>
      <c r="AH58" s="86">
        <f ca="1">IFERROR(__xludf.DUMMYFUNCTION("IMPORTRANGE(""https://docs.google.com/spreadsheets/d/1vWPVBOAaZ6mHSI8yf95DNqHwTJ1cpeFsvqt6cxV34QA/edit?usp=sharing"",""ตราด!J368"")"),29)</f>
        <v>29</v>
      </c>
      <c r="AI58" s="86">
        <f ca="1">IFERROR(__xludf.DUMMYFUNCTION("IMPORTRANGE(""https://docs.google.com/spreadsheets/d/1vWPVBOAaZ6mHSI8yf95DNqHwTJ1cpeFsvqt6cxV34QA/edit?usp=sharing"",""ตราด!J369"")"),433.22)</f>
        <v>433.22</v>
      </c>
      <c r="AJ58" s="87">
        <f t="shared" ca="1" si="46"/>
        <v>43.322000000000003</v>
      </c>
      <c r="AK58" s="86">
        <f ca="1">IFERROR(__xludf.DUMMYFUNCTION("IMPORTRANGE(""https://docs.google.com/spreadsheets/d/1vWPVBOAaZ6mHSI8yf95DNqHwTJ1cpeFsvqt6cxV34QA/edit?usp=sharing"",""ตราด!I370"")"),30)</f>
        <v>30</v>
      </c>
      <c r="AL58" s="86">
        <f ca="1">IFERROR(__xludf.DUMMYFUNCTION("IMPORTRANGE(""https://docs.google.com/spreadsheets/d/1vWPVBOAaZ6mHSI8yf95DNqHwTJ1cpeFsvqt6cxV34QA/edit?usp=sharing"",""ตราด!J370"")"),26)</f>
        <v>26</v>
      </c>
      <c r="AM58" s="86">
        <f ca="1">IFERROR(__xludf.DUMMYFUNCTION("IMPORTRANGE(""https://docs.google.com/spreadsheets/d/1vWPVBOAaZ6mHSI8yf95DNqHwTJ1cpeFsvqt6cxV34QA/edit?usp=sharing"",""ตราด!J371"")"),420.02)</f>
        <v>420.02</v>
      </c>
      <c r="AN58" s="87">
        <f t="shared" ca="1" si="47"/>
        <v>86.666666666666671</v>
      </c>
      <c r="AO58" s="86">
        <f ca="1">IFERROR(__xludf.DUMMYFUNCTION("IMPORTRANGE(""https://docs.google.com/spreadsheets/d/1vWPVBOAaZ6mHSI8yf95DNqHwTJ1cpeFsvqt6cxV34QA/edit?usp=sharing"",""ตราด!I372"")"),30)</f>
        <v>30</v>
      </c>
      <c r="AP58" s="86">
        <f ca="1">IFERROR(__xludf.DUMMYFUNCTION("IMPORTRANGE(""https://docs.google.com/spreadsheets/d/1vWPVBOAaZ6mHSI8yf95DNqHwTJ1cpeFsvqt6cxV34QA/edit?usp=sharing"",""ตราด!J372"")"),1)</f>
        <v>1</v>
      </c>
      <c r="AQ58" s="86">
        <f ca="1">IFERROR(__xludf.DUMMYFUNCTION("IMPORTRANGE(""https://docs.google.com/spreadsheets/d/1vWPVBOAaZ6mHSI8yf95DNqHwTJ1cpeFsvqt6cxV34QA/edit?usp=sharing"",""ตราด!J373"")"),33.07)</f>
        <v>33.07</v>
      </c>
      <c r="AR58" s="87">
        <f t="shared" ca="1" si="48"/>
        <v>3.3333333333333335</v>
      </c>
      <c r="AS58" s="86">
        <f ca="1">IFERROR(__xludf.DUMMYFUNCTION("IMPORTRANGE(""https://docs.google.com/spreadsheets/d/1vWPVBOAaZ6mHSI8yf95DNqHwTJ1cpeFsvqt6cxV34QA/edit?usp=sharing"",""ตราด!I378"")"),1000)</f>
        <v>1000</v>
      </c>
      <c r="AT58" s="86">
        <f ca="1">IFERROR(__xludf.DUMMYFUNCTION("IMPORTRANGE(""https://docs.google.com/spreadsheets/d/1vWPVBOAaZ6mHSI8yf95DNqHwTJ1cpeFsvqt6cxV34QA/edit?usp=sharing"",""ตราด!J377"")"),49)</f>
        <v>49</v>
      </c>
      <c r="AU58" s="86">
        <f ca="1">IFERROR(__xludf.DUMMYFUNCTION("IMPORTRANGE(""https://docs.google.com/spreadsheets/d/1vWPVBOAaZ6mHSI8yf95DNqHwTJ1cpeFsvqt6cxV34QA/edit?usp=sharing"",""ตราด!J378"")"),422.07)</f>
        <v>422.07</v>
      </c>
      <c r="AV58" s="87">
        <f t="shared" ca="1" si="49"/>
        <v>42.207000000000001</v>
      </c>
      <c r="AW58" s="86">
        <f ca="1">IFERROR(__xludf.DUMMYFUNCTION("IMPORTRANGE(""https://docs.google.com/spreadsheets/d/1vWPVBOAaZ6mHSI8yf95DNqHwTJ1cpeFsvqt6cxV34QA/edit?usp=sharing"",""ตราด!I379"")"),200)</f>
        <v>200</v>
      </c>
      <c r="AX58" s="86">
        <f ca="1">IFERROR(__xludf.DUMMYFUNCTION("IMPORTRANGE(""https://docs.google.com/spreadsheets/d/1vWPVBOAaZ6mHSI8yf95DNqHwTJ1cpeFsvqt6cxV34QA/edit?usp=sharing"",""ตราด!J379"")"),178)</f>
        <v>178</v>
      </c>
      <c r="AY58" s="86">
        <f ca="1">IFERROR(__xludf.DUMMYFUNCTION("IMPORTRANGE(""https://docs.google.com/spreadsheets/d/1vWPVBOAaZ6mHSI8yf95DNqHwTJ1cpeFsvqt6cxV34QA/edit?usp=sharing"",""ตราด!J380"")"),2501.9)</f>
        <v>2501.9</v>
      </c>
      <c r="AZ58" s="87">
        <f t="shared" ca="1" si="50"/>
        <v>89</v>
      </c>
      <c r="BA58" s="86">
        <f ca="1">IFERROR(__xludf.DUMMYFUNCTION("IMPORTRANGE(""https://docs.google.com/spreadsheets/d/1vWPVBOAaZ6mHSI8yf95DNqHwTJ1cpeFsvqt6cxV34QA/edit?usp=sharing"",""ตราด!I381"")"),200)</f>
        <v>200</v>
      </c>
      <c r="BB58" s="86">
        <f ca="1">IFERROR(__xludf.DUMMYFUNCTION("IMPORTRANGE(""https://docs.google.com/spreadsheets/d/1vWPVBOAaZ6mHSI8yf95DNqHwTJ1cpeFsvqt6cxV34QA/edit?usp=sharing"",""ตราด!J381"")"),178)</f>
        <v>178</v>
      </c>
      <c r="BC58" s="86">
        <f ca="1">IFERROR(__xludf.DUMMYFUNCTION("IMPORTRANGE(""https://docs.google.com/spreadsheets/d/1vWPVBOAaZ6mHSI8yf95DNqHwTJ1cpeFsvqt6cxV34QA/edit?usp=sharing"",""ตราด!J382"")"),2501.9)</f>
        <v>2501.9</v>
      </c>
      <c r="BD58" s="87">
        <f t="shared" ca="1" si="51"/>
        <v>89</v>
      </c>
    </row>
    <row r="59" spans="1:56" ht="21" customHeight="1" x14ac:dyDescent="0.2">
      <c r="A59" s="78">
        <v>7</v>
      </c>
      <c r="B59" s="79" t="s">
        <v>81</v>
      </c>
      <c r="C59" s="80">
        <f t="shared" ca="1" si="0"/>
        <v>374080</v>
      </c>
      <c r="D59" s="81">
        <f t="shared" ca="1" si="88"/>
        <v>200680</v>
      </c>
      <c r="E59" s="82">
        <f ca="1">IFERROR(__xludf.DUMMYFUNCTION("IMPORTRANGE(""https://docs.google.com/spreadsheets/d/1MeEWN-I1oV_STSDYn1IFDPWt_1FKiwhDph83XaGc0o0/edit?usp=sharing"",""งบพรบ!EX59"")"),0)</f>
        <v>0</v>
      </c>
      <c r="F59" s="82">
        <f ca="1">IFERROR(__xludf.DUMMYFUNCTION("IMPORTRANGE(""https://docs.google.com/spreadsheets/d/1MeEWN-I1oV_STSDYn1IFDPWt_1FKiwhDph83XaGc0o0/edit?usp=sharing"",""งบพรบ!EY59"")"),200680)</f>
        <v>200680</v>
      </c>
      <c r="G59" s="82">
        <f ca="1">IFERROR(__xludf.DUMMYFUNCTION("IMPORTRANGE(""https://docs.google.com/spreadsheets/d/1MeEWN-I1oV_STSDYn1IFDPWt_1FKiwhDph83XaGc0o0/edit?usp=sharing"",""งบพรบ!EZ59"")"),173400)</f>
        <v>173400</v>
      </c>
      <c r="H59" s="82">
        <f ca="1">IFERROR(__xludf.DUMMYFUNCTION("IMPORTRANGE(""https://docs.google.com/spreadsheets/d/1MeEWN-I1oV_STSDYn1IFDPWt_1FKiwhDph83XaGc0o0/edit?usp=sharing"",""งบพรบ!FB59"")"),148640)</f>
        <v>148640</v>
      </c>
      <c r="I59" s="82">
        <f ca="1">IFERROR(__xludf.DUMMYFUNCTION("IMPORTRANGE(""https://docs.google.com/spreadsheets/d/1MeEWN-I1oV_STSDYn1IFDPWt_1FKiwhDph83XaGc0o0/edit?usp=sharing"",""งบพรบ!FC59"")"),173400)</f>
        <v>173400</v>
      </c>
      <c r="J59" s="82">
        <f t="shared" ca="1" si="3"/>
        <v>212400</v>
      </c>
      <c r="K59" s="83">
        <f t="shared" ca="1" si="4"/>
        <v>56.779298545765613</v>
      </c>
      <c r="L59" s="82">
        <f ca="1">IFERROR(__xludf.DUMMYFUNCTION("IMPORTRANGE(""https://docs.google.com/spreadsheets/d/1MeEWN-I1oV_STSDYn1IFDPWt_1FKiwhDph83XaGc0o0/edit?usp=sharing"",""งบพรบ!FD59"")"),39000)</f>
        <v>39000</v>
      </c>
      <c r="M59" s="84">
        <f t="shared" ca="1" si="5"/>
        <v>19.433924656169026</v>
      </c>
      <c r="N59" s="84">
        <f t="shared" ca="1" si="6"/>
        <v>26.237890204520991</v>
      </c>
      <c r="O59" s="85">
        <f ca="1">IFERROR(__xludf.DUMMYFUNCTION("IMPORTRANGE(""https://docs.google.com/spreadsheets/d/1MeEWN-I1oV_STSDYn1IFDPWt_1FKiwhDph83XaGc0o0/edit?usp=sharing"",""งบพรบ!FE59"")"),173400)</f>
        <v>173400</v>
      </c>
      <c r="P59" s="84">
        <f t="shared" ca="1" si="53"/>
        <v>100</v>
      </c>
      <c r="Q59" s="84">
        <f t="shared" ca="1" si="8"/>
        <v>100</v>
      </c>
      <c r="R59" s="86">
        <f ca="1">IFERROR(__xludf.DUMMYFUNCTION("IMPORTRANGE(""https://docs.google.com/spreadsheets/d/1phaeSb9lTGgzDpbvVqI9hfmOQQzUom07-HEvpbARzEg/edit?usp=sharing"",""นครนายก!I359"")"),0)</f>
        <v>0</v>
      </c>
      <c r="S59" s="86">
        <f ca="1">IFERROR(__xludf.DUMMYFUNCTION("IMPORTRANGE(""https://docs.google.com/spreadsheets/d/1phaeSb9lTGgzDpbvVqI9hfmOQQzUom07-HEvpbARzEg/edit?usp=sharing"",""นครนายก!J358"")"),0)</f>
        <v>0</v>
      </c>
      <c r="T59" s="86">
        <f ca="1">IFERROR(__xludf.DUMMYFUNCTION("IMPORTRANGE(""https://docs.google.com/spreadsheets/d/1phaeSb9lTGgzDpbvVqI9hfmOQQzUom07-HEvpbARzEg/edit?usp=sharing"",""นครนายก!J359"")"),0)</f>
        <v>0</v>
      </c>
      <c r="U59" s="87">
        <f t="shared" ca="1" si="43"/>
        <v>0</v>
      </c>
      <c r="V59" s="86">
        <f ca="1">IFERROR(__xludf.DUMMYFUNCTION("IMPORTRANGE(""https://docs.google.com/spreadsheets/d/1phaeSb9lTGgzDpbvVqI9hfmOQQzUom07-HEvpbARzEg/edit?usp=sharing"",""นครนายก!I360"")"),0)</f>
        <v>0</v>
      </c>
      <c r="W59" s="86">
        <f ca="1">IFERROR(__xludf.DUMMYFUNCTION("IMPORTRANGE(""https://docs.google.com/spreadsheets/d/1phaeSb9lTGgzDpbvVqI9hfmOQQzUom07-HEvpbARzEg/edit?usp=sharing"",""นครนายก!J360"")"),0)</f>
        <v>0</v>
      </c>
      <c r="X59" s="86">
        <f ca="1">IFERROR(__xludf.DUMMYFUNCTION("IMPORTRANGE(""https://docs.google.com/spreadsheets/d/1phaeSb9lTGgzDpbvVqI9hfmOQQzUom07-HEvpbARzEg/edit?usp=sharing"",""นครนายก!J361"")"),0)</f>
        <v>0</v>
      </c>
      <c r="Y59" s="87">
        <f t="shared" ca="1" si="44"/>
        <v>0</v>
      </c>
      <c r="Z59" s="86">
        <f ca="1">IFERROR(__xludf.DUMMYFUNCTION("IMPORTRANGE(""https://docs.google.com/spreadsheets/d/1phaeSb9lTGgzDpbvVqI9hfmOQQzUom07-HEvpbARzEg/edit?usp=sharing"",""นครนายก!I362"")"),0)</f>
        <v>0</v>
      </c>
      <c r="AA59" s="86">
        <f ca="1">IFERROR(__xludf.DUMMYFUNCTION("IMPORTRANGE(""https://docs.google.com/spreadsheets/d/1phaeSb9lTGgzDpbvVqI9hfmOQQzUom07-HEvpbARzEg/edit?usp=sharing"",""นครนายก!J362"")"),0)</f>
        <v>0</v>
      </c>
      <c r="AB59" s="86">
        <f ca="1">IFERROR(__xludf.DUMMYFUNCTION("IMPORTRANGE(""https://docs.google.com/spreadsheets/d/1phaeSb9lTGgzDpbvVqI9hfmOQQzUom07-HEvpbARzEg/edit?usp=sharing"",""นครนายก!J363"")"),0)</f>
        <v>0</v>
      </c>
      <c r="AC59" s="87">
        <f t="shared" ca="1" si="45"/>
        <v>0</v>
      </c>
      <c r="AD59" s="86">
        <f ca="1">IFERROR(__xludf.DUMMYFUNCTION("IMPORTRANGE(""https://docs.google.com/spreadsheets/d/1phaeSb9lTGgzDpbvVqI9hfmOQQzUom07-HEvpbARzEg/edit?usp=sharing"",""นครนายก!I364"")"),25)</f>
        <v>25</v>
      </c>
      <c r="AE59" s="86">
        <f ca="1">IFERROR(__xludf.DUMMYFUNCTION("IMPORTRANGE(""https://docs.google.com/spreadsheets/d/1phaeSb9lTGgzDpbvVqI9hfmOQQzUom07-HEvpbARzEg/edit?usp=sharing"",""นครนายก!J364"")"),0)</f>
        <v>0</v>
      </c>
      <c r="AF59" s="87">
        <f t="shared" ca="1" si="16"/>
        <v>0</v>
      </c>
      <c r="AG59" s="86">
        <f ca="1">IFERROR(__xludf.DUMMYFUNCTION("IMPORTRANGE(""https://docs.google.com/spreadsheets/d/1phaeSb9lTGgzDpbvVqI9hfmOQQzUom07-HEvpbARzEg/edit?usp=sharing"",""นครนายก!I369"")"),0)</f>
        <v>0</v>
      </c>
      <c r="AH59" s="86">
        <f ca="1">IFERROR(__xludf.DUMMYFUNCTION("IMPORTRANGE(""https://docs.google.com/spreadsheets/d/1phaeSb9lTGgzDpbvVqI9hfmOQQzUom07-HEvpbARzEg/edit?usp=sharing"",""นครนายก!J368"")"),0)</f>
        <v>0</v>
      </c>
      <c r="AI59" s="86">
        <f ca="1">IFERROR(__xludf.DUMMYFUNCTION("IMPORTRANGE(""https://docs.google.com/spreadsheets/d/1phaeSb9lTGgzDpbvVqI9hfmOQQzUom07-HEvpbARzEg/edit?usp=sharing"",""นครนายก!J369"")"),0)</f>
        <v>0</v>
      </c>
      <c r="AJ59" s="87">
        <f t="shared" ca="1" si="46"/>
        <v>0</v>
      </c>
      <c r="AK59" s="86">
        <f ca="1">IFERROR(__xludf.DUMMYFUNCTION("IMPORTRANGE(""https://docs.google.com/spreadsheets/d/1phaeSb9lTGgzDpbvVqI9hfmOQQzUom07-HEvpbARzEg/edit?usp=sharing"",""นครนายก!I370"")"),0)</f>
        <v>0</v>
      </c>
      <c r="AL59" s="86">
        <f ca="1">IFERROR(__xludf.DUMMYFUNCTION("IMPORTRANGE(""https://docs.google.com/spreadsheets/d/1phaeSb9lTGgzDpbvVqI9hfmOQQzUom07-HEvpbARzEg/edit?usp=sharing"",""นครนายก!J370"")"),0)</f>
        <v>0</v>
      </c>
      <c r="AM59" s="86">
        <f ca="1">IFERROR(__xludf.DUMMYFUNCTION("IMPORTRANGE(""https://docs.google.com/spreadsheets/d/1phaeSb9lTGgzDpbvVqI9hfmOQQzUom07-HEvpbARzEg/edit?usp=sharing"",""นครนายก!J371"")"),0)</f>
        <v>0</v>
      </c>
      <c r="AN59" s="87">
        <f t="shared" ca="1" si="47"/>
        <v>0</v>
      </c>
      <c r="AO59" s="86">
        <f ca="1">IFERROR(__xludf.DUMMYFUNCTION("IMPORTRANGE(""https://docs.google.com/spreadsheets/d/1phaeSb9lTGgzDpbvVqI9hfmOQQzUom07-HEvpbARzEg/edit?usp=sharing"",""นครนายก!I372"")"),0)</f>
        <v>0</v>
      </c>
      <c r="AP59" s="86">
        <f ca="1">IFERROR(__xludf.DUMMYFUNCTION("IMPORTRANGE(""https://docs.google.com/spreadsheets/d/1phaeSb9lTGgzDpbvVqI9hfmOQQzUom07-HEvpbARzEg/edit?usp=sharing"",""นครนายก!J372"")"),0)</f>
        <v>0</v>
      </c>
      <c r="AQ59" s="86">
        <f ca="1">IFERROR(__xludf.DUMMYFUNCTION("IMPORTRANGE(""https://docs.google.com/spreadsheets/d/1phaeSb9lTGgzDpbvVqI9hfmOQQzUom07-HEvpbARzEg/edit?usp=sharing"",""นครนายก!J373"")"),0)</f>
        <v>0</v>
      </c>
      <c r="AR59" s="87">
        <f t="shared" ca="1" si="48"/>
        <v>0</v>
      </c>
      <c r="AS59" s="86">
        <f ca="1">IFERROR(__xludf.DUMMYFUNCTION("IMPORTRANGE(""https://docs.google.com/spreadsheets/d/1phaeSb9lTGgzDpbvVqI9hfmOQQzUom07-HEvpbARzEg/edit?usp=sharing"",""นครนายก!I378"")"),0)</f>
        <v>0</v>
      </c>
      <c r="AT59" s="86">
        <f ca="1">IFERROR(__xludf.DUMMYFUNCTION("IMPORTRANGE(""https://docs.google.com/spreadsheets/d/1phaeSb9lTGgzDpbvVqI9hfmOQQzUom07-HEvpbARzEg/edit?usp=sharing"",""นครนายก!J377"")"),0)</f>
        <v>0</v>
      </c>
      <c r="AU59" s="86">
        <f ca="1">IFERROR(__xludf.DUMMYFUNCTION("IMPORTRANGE(""https://docs.google.com/spreadsheets/d/1phaeSb9lTGgzDpbvVqI9hfmOQQzUom07-HEvpbARzEg/edit?usp=sharing"",""นครนายก!J378"")"),0)</f>
        <v>0</v>
      </c>
      <c r="AV59" s="87">
        <f t="shared" ca="1" si="49"/>
        <v>0</v>
      </c>
      <c r="AW59" s="86">
        <f ca="1">IFERROR(__xludf.DUMMYFUNCTION("IMPORTRANGE(""https://docs.google.com/spreadsheets/d/1phaeSb9lTGgzDpbvVqI9hfmOQQzUom07-HEvpbARzEg/edit?usp=sharing"",""นครนายก!I379"")"),25)</f>
        <v>25</v>
      </c>
      <c r="AX59" s="86">
        <f ca="1">IFERROR(__xludf.DUMMYFUNCTION("IMPORTRANGE(""https://docs.google.com/spreadsheets/d/1phaeSb9lTGgzDpbvVqI9hfmOQQzUom07-HEvpbARzEg/edit?usp=sharing"",""นครนายก!J379"")"),0)</f>
        <v>0</v>
      </c>
      <c r="AY59" s="86">
        <f ca="1">IFERROR(__xludf.DUMMYFUNCTION("IMPORTRANGE(""https://docs.google.com/spreadsheets/d/1phaeSb9lTGgzDpbvVqI9hfmOQQzUom07-HEvpbARzEg/edit?usp=sharing"",""นครนายก!J380"")"),0)</f>
        <v>0</v>
      </c>
      <c r="AZ59" s="87">
        <f t="shared" ca="1" si="50"/>
        <v>0</v>
      </c>
      <c r="BA59" s="86">
        <f ca="1">IFERROR(__xludf.DUMMYFUNCTION("IMPORTRANGE(""https://docs.google.com/spreadsheets/d/1phaeSb9lTGgzDpbvVqI9hfmOQQzUom07-HEvpbARzEg/edit?usp=sharing"",""นครนายก!I381"")"),25)</f>
        <v>25</v>
      </c>
      <c r="BB59" s="86">
        <f ca="1">IFERROR(__xludf.DUMMYFUNCTION("IMPORTRANGE(""https://docs.google.com/spreadsheets/d/1phaeSb9lTGgzDpbvVqI9hfmOQQzUom07-HEvpbARzEg/edit?usp=sharing"",""นครนายก!J381"")"),0)</f>
        <v>0</v>
      </c>
      <c r="BC59" s="86">
        <f ca="1">IFERROR(__xludf.DUMMYFUNCTION("IMPORTRANGE(""https://docs.google.com/spreadsheets/d/1phaeSb9lTGgzDpbvVqI9hfmOQQzUom07-HEvpbARzEg/edit?usp=sharing"",""นครนายก!J382"")"),0)</f>
        <v>0</v>
      </c>
      <c r="BD59" s="87">
        <f t="shared" ca="1" si="51"/>
        <v>0</v>
      </c>
    </row>
    <row r="60" spans="1:56" ht="21" customHeight="1" x14ac:dyDescent="0.2">
      <c r="A60" s="78">
        <v>8</v>
      </c>
      <c r="B60" s="79" t="s">
        <v>82</v>
      </c>
      <c r="C60" s="80">
        <f t="shared" ca="1" si="0"/>
        <v>228910</v>
      </c>
      <c r="D60" s="81">
        <f t="shared" ca="1" si="88"/>
        <v>191110</v>
      </c>
      <c r="E60" s="82">
        <f ca="1">IFERROR(__xludf.DUMMYFUNCTION("IMPORTRANGE(""https://docs.google.com/spreadsheets/d/1MeEWN-I1oV_STSDYn1IFDPWt_1FKiwhDph83XaGc0o0/edit?usp=sharing"",""งบพรบ!EX60"")"),0)</f>
        <v>0</v>
      </c>
      <c r="F60" s="82">
        <f ca="1">IFERROR(__xludf.DUMMYFUNCTION("IMPORTRANGE(""https://docs.google.com/spreadsheets/d/1MeEWN-I1oV_STSDYn1IFDPWt_1FKiwhDph83XaGc0o0/edit?usp=sharing"",""งบพรบ!EY60"")"),191110)</f>
        <v>191110</v>
      </c>
      <c r="G60" s="82">
        <f ca="1">IFERROR(__xludf.DUMMYFUNCTION("IMPORTRANGE(""https://docs.google.com/spreadsheets/d/1MeEWN-I1oV_STSDYn1IFDPWt_1FKiwhDph83XaGc0o0/edit?usp=sharing"",""งบพรบ!EZ60"")"),37800)</f>
        <v>37800</v>
      </c>
      <c r="H60" s="82">
        <f ca="1">IFERROR(__xludf.DUMMYFUNCTION("IMPORTRANGE(""https://docs.google.com/spreadsheets/d/1MeEWN-I1oV_STSDYn1IFDPWt_1FKiwhDph83XaGc0o0/edit?usp=sharing"",""งบพรบ!FB60"")"),143340)</f>
        <v>143340</v>
      </c>
      <c r="I60" s="82">
        <f ca="1">IFERROR(__xludf.DUMMYFUNCTION("IMPORTRANGE(""https://docs.google.com/spreadsheets/d/1MeEWN-I1oV_STSDYn1IFDPWt_1FKiwhDph83XaGc0o0/edit?usp=sharing"",""งบพรบ!FC60"")"),37800)</f>
        <v>37800</v>
      </c>
      <c r="J60" s="82">
        <f t="shared" ca="1" si="3"/>
        <v>69520</v>
      </c>
      <c r="K60" s="83">
        <f t="shared" ca="1" si="4"/>
        <v>30.370014416146084</v>
      </c>
      <c r="L60" s="82">
        <f ca="1">IFERROR(__xludf.DUMMYFUNCTION("IMPORTRANGE(""https://docs.google.com/spreadsheets/d/1MeEWN-I1oV_STSDYn1IFDPWt_1FKiwhDph83XaGc0o0/edit?usp=sharing"",""งบพรบ!FD60"")"),31720)</f>
        <v>31720</v>
      </c>
      <c r="M60" s="84">
        <f t="shared" ca="1" si="5"/>
        <v>16.597770917272776</v>
      </c>
      <c r="N60" s="84">
        <f t="shared" ca="1" si="6"/>
        <v>22.129203292870098</v>
      </c>
      <c r="O60" s="85">
        <f ca="1">IFERROR(__xludf.DUMMYFUNCTION("IMPORTRANGE(""https://docs.google.com/spreadsheets/d/1MeEWN-I1oV_STSDYn1IFDPWt_1FKiwhDph83XaGc0o0/edit?usp=sharing"",""งบพรบ!FE60"")"),37800)</f>
        <v>37800</v>
      </c>
      <c r="P60" s="84">
        <f t="shared" ca="1" si="53"/>
        <v>100</v>
      </c>
      <c r="Q60" s="84">
        <f t="shared" ca="1" si="8"/>
        <v>100</v>
      </c>
      <c r="R60" s="86">
        <f ca="1">IFERROR(__xludf.DUMMYFUNCTION("IMPORTRANGE(""https://docs.google.com/spreadsheets/d/1tpwhWwkqkBeiSWCcfB5f2fbwPRbM9hHOEDSDHpl2MIc/edit?usp=sharing"",""นครปฐม!I359"")"),0)</f>
        <v>0</v>
      </c>
      <c r="S60" s="86">
        <f ca="1">IFERROR(__xludf.DUMMYFUNCTION("IMPORTRANGE(""https://docs.google.com/spreadsheets/d/1tpwhWwkqkBeiSWCcfB5f2fbwPRbM9hHOEDSDHpl2MIc/edit?usp=sharing"",""นครปฐม!J358"")"),0)</f>
        <v>0</v>
      </c>
      <c r="T60" s="86">
        <f ca="1">IFERROR(__xludf.DUMMYFUNCTION("IMPORTRANGE(""https://docs.google.com/spreadsheets/d/1tpwhWwkqkBeiSWCcfB5f2fbwPRbM9hHOEDSDHpl2MIc/edit?usp=sharing"",""นครปฐม!J359"")"),0)</f>
        <v>0</v>
      </c>
      <c r="U60" s="87">
        <f t="shared" ca="1" si="43"/>
        <v>0</v>
      </c>
      <c r="V60" s="86">
        <f ca="1">IFERROR(__xludf.DUMMYFUNCTION("IMPORTRANGE(""https://docs.google.com/spreadsheets/d/1tpwhWwkqkBeiSWCcfB5f2fbwPRbM9hHOEDSDHpl2MIc/edit?usp=sharing"",""นครปฐม!I360"")"),0)</f>
        <v>0</v>
      </c>
      <c r="W60" s="86">
        <f ca="1">IFERROR(__xludf.DUMMYFUNCTION("IMPORTRANGE(""https://docs.google.com/spreadsheets/d/1tpwhWwkqkBeiSWCcfB5f2fbwPRbM9hHOEDSDHpl2MIc/edit?usp=sharing"",""นครปฐม!J360"")"),0)</f>
        <v>0</v>
      </c>
      <c r="X60" s="86">
        <f ca="1">IFERROR(__xludf.DUMMYFUNCTION("IMPORTRANGE(""https://docs.google.com/spreadsheets/d/1tpwhWwkqkBeiSWCcfB5f2fbwPRbM9hHOEDSDHpl2MIc/edit?usp=sharing"",""นครปฐม!J361"")"),0)</f>
        <v>0</v>
      </c>
      <c r="Y60" s="87">
        <f t="shared" ca="1" si="44"/>
        <v>0</v>
      </c>
      <c r="Z60" s="86">
        <f ca="1">IFERROR(__xludf.DUMMYFUNCTION("IMPORTRANGE(""https://docs.google.com/spreadsheets/d/1tpwhWwkqkBeiSWCcfB5f2fbwPRbM9hHOEDSDHpl2MIc/edit?usp=sharing"",""นครปฐม!I362"")"),0)</f>
        <v>0</v>
      </c>
      <c r="AA60" s="86">
        <f ca="1">IFERROR(__xludf.DUMMYFUNCTION("IMPORTRANGE(""https://docs.google.com/spreadsheets/d/1tpwhWwkqkBeiSWCcfB5f2fbwPRbM9hHOEDSDHpl2MIc/edit?usp=sharing"",""นครปฐม!J362"")"),0)</f>
        <v>0</v>
      </c>
      <c r="AB60" s="86">
        <f ca="1">IFERROR(__xludf.DUMMYFUNCTION("IMPORTRANGE(""https://docs.google.com/spreadsheets/d/1tpwhWwkqkBeiSWCcfB5f2fbwPRbM9hHOEDSDHpl2MIc/edit?usp=sharing"",""นครปฐม!J363"")"),0)</f>
        <v>0</v>
      </c>
      <c r="AC60" s="87">
        <f t="shared" ca="1" si="45"/>
        <v>0</v>
      </c>
      <c r="AD60" s="86">
        <f ca="1">IFERROR(__xludf.DUMMYFUNCTION("IMPORTRANGE(""https://docs.google.com/spreadsheets/d/1tpwhWwkqkBeiSWCcfB5f2fbwPRbM9hHOEDSDHpl2MIc/edit?usp=sharing"",""นครปฐม!I364"")"),0)</f>
        <v>0</v>
      </c>
      <c r="AE60" s="86">
        <f ca="1">IFERROR(__xludf.DUMMYFUNCTION("IMPORTRANGE(""https://docs.google.com/spreadsheets/d/1tpwhWwkqkBeiSWCcfB5f2fbwPRbM9hHOEDSDHpl2MIc/edit?usp=sharing"",""นครปฐม!J364"")"),0)</f>
        <v>0</v>
      </c>
      <c r="AF60" s="87">
        <f t="shared" ca="1" si="16"/>
        <v>0</v>
      </c>
      <c r="AG60" s="86">
        <f ca="1">IFERROR(__xludf.DUMMYFUNCTION("IMPORTRANGE(""https://docs.google.com/spreadsheets/d/1tpwhWwkqkBeiSWCcfB5f2fbwPRbM9hHOEDSDHpl2MIc/edit?usp=sharing"",""นครปฐม!I369"")"),0)</f>
        <v>0</v>
      </c>
      <c r="AH60" s="86">
        <f ca="1">IFERROR(__xludf.DUMMYFUNCTION("IMPORTRANGE(""https://docs.google.com/spreadsheets/d/1tpwhWwkqkBeiSWCcfB5f2fbwPRbM9hHOEDSDHpl2MIc/edit?usp=sharing"",""นครปฐม!J368"")"),0)</f>
        <v>0</v>
      </c>
      <c r="AI60" s="86">
        <f ca="1">IFERROR(__xludf.DUMMYFUNCTION("IMPORTRANGE(""https://docs.google.com/spreadsheets/d/1tpwhWwkqkBeiSWCcfB5f2fbwPRbM9hHOEDSDHpl2MIc/edit?usp=sharing"",""นครปฐม!J369"")"),0)</f>
        <v>0</v>
      </c>
      <c r="AJ60" s="87">
        <f t="shared" ca="1" si="46"/>
        <v>0</v>
      </c>
      <c r="AK60" s="86">
        <f ca="1">IFERROR(__xludf.DUMMYFUNCTION("IMPORTRANGE(""https://docs.google.com/spreadsheets/d/1tpwhWwkqkBeiSWCcfB5f2fbwPRbM9hHOEDSDHpl2MIc/edit?usp=sharing"",""นครปฐม!I370"")"),0)</f>
        <v>0</v>
      </c>
      <c r="AL60" s="86">
        <f ca="1">IFERROR(__xludf.DUMMYFUNCTION("IMPORTRANGE(""https://docs.google.com/spreadsheets/d/1tpwhWwkqkBeiSWCcfB5f2fbwPRbM9hHOEDSDHpl2MIc/edit?usp=sharing"",""นครปฐม!J370"")"),0)</f>
        <v>0</v>
      </c>
      <c r="AM60" s="86">
        <f ca="1">IFERROR(__xludf.DUMMYFUNCTION("IMPORTRANGE(""https://docs.google.com/spreadsheets/d/1tpwhWwkqkBeiSWCcfB5f2fbwPRbM9hHOEDSDHpl2MIc/edit?usp=sharing"",""นครปฐม!J371"")"),0)</f>
        <v>0</v>
      </c>
      <c r="AN60" s="87">
        <f t="shared" ca="1" si="47"/>
        <v>0</v>
      </c>
      <c r="AO60" s="86">
        <f ca="1">IFERROR(__xludf.DUMMYFUNCTION("IMPORTRANGE(""https://docs.google.com/spreadsheets/d/1tpwhWwkqkBeiSWCcfB5f2fbwPRbM9hHOEDSDHpl2MIc/edit?usp=sharing"",""นครปฐม!I372"")"),0)</f>
        <v>0</v>
      </c>
      <c r="AP60" s="86">
        <f ca="1">IFERROR(__xludf.DUMMYFUNCTION("IMPORTRANGE(""https://docs.google.com/spreadsheets/d/1tpwhWwkqkBeiSWCcfB5f2fbwPRbM9hHOEDSDHpl2MIc/edit?usp=sharing"",""นครปฐม!J372"")"),0)</f>
        <v>0</v>
      </c>
      <c r="AQ60" s="86">
        <f ca="1">IFERROR(__xludf.DUMMYFUNCTION("IMPORTRANGE(""https://docs.google.com/spreadsheets/d/1tpwhWwkqkBeiSWCcfB5f2fbwPRbM9hHOEDSDHpl2MIc/edit?usp=sharing"",""นครปฐม!J373"")"),0)</f>
        <v>0</v>
      </c>
      <c r="AR60" s="87">
        <f t="shared" ca="1" si="48"/>
        <v>0</v>
      </c>
      <c r="AS60" s="86">
        <f ca="1">IFERROR(__xludf.DUMMYFUNCTION("IMPORTRANGE(""https://docs.google.com/spreadsheets/d/1tpwhWwkqkBeiSWCcfB5f2fbwPRbM9hHOEDSDHpl2MIc/edit?usp=sharing"",""นครปฐม!I378"")"),0)</f>
        <v>0</v>
      </c>
      <c r="AT60" s="86">
        <f ca="1">IFERROR(__xludf.DUMMYFUNCTION("IMPORTRANGE(""https://docs.google.com/spreadsheets/d/1tpwhWwkqkBeiSWCcfB5f2fbwPRbM9hHOEDSDHpl2MIc/edit?usp=sharing"",""นครปฐม!J377"")"),0)</f>
        <v>0</v>
      </c>
      <c r="AU60" s="86">
        <f ca="1">IFERROR(__xludf.DUMMYFUNCTION("IMPORTRANGE(""https://docs.google.com/spreadsheets/d/1tpwhWwkqkBeiSWCcfB5f2fbwPRbM9hHOEDSDHpl2MIc/edit?usp=sharing"",""นครปฐม!J378"")"),0)</f>
        <v>0</v>
      </c>
      <c r="AV60" s="87">
        <f t="shared" ca="1" si="49"/>
        <v>0</v>
      </c>
      <c r="AW60" s="86">
        <f ca="1">IFERROR(__xludf.DUMMYFUNCTION("IMPORTRANGE(""https://docs.google.com/spreadsheets/d/1tpwhWwkqkBeiSWCcfB5f2fbwPRbM9hHOEDSDHpl2MIc/edit?usp=sharing"",""นครปฐม!I379"")"),0)</f>
        <v>0</v>
      </c>
      <c r="AX60" s="86">
        <f ca="1">IFERROR(__xludf.DUMMYFUNCTION("IMPORTRANGE(""https://docs.google.com/spreadsheets/d/1tpwhWwkqkBeiSWCcfB5f2fbwPRbM9hHOEDSDHpl2MIc/edit?usp=sharing"",""นครปฐม!J379"")"),0)</f>
        <v>0</v>
      </c>
      <c r="AY60" s="86">
        <f ca="1">IFERROR(__xludf.DUMMYFUNCTION("IMPORTRANGE(""https://docs.google.com/spreadsheets/d/1tpwhWwkqkBeiSWCcfB5f2fbwPRbM9hHOEDSDHpl2MIc/edit?usp=sharing"",""นครปฐม!J380"")"),0)</f>
        <v>0</v>
      </c>
      <c r="AZ60" s="87">
        <f t="shared" ca="1" si="50"/>
        <v>0</v>
      </c>
      <c r="BA60" s="86">
        <f ca="1">IFERROR(__xludf.DUMMYFUNCTION("IMPORTRANGE(""https://docs.google.com/spreadsheets/d/1tpwhWwkqkBeiSWCcfB5f2fbwPRbM9hHOEDSDHpl2MIc/edit?usp=sharing"",""นครปฐม!I381"")"),0)</f>
        <v>0</v>
      </c>
      <c r="BB60" s="86">
        <f ca="1">IFERROR(__xludf.DUMMYFUNCTION("IMPORTRANGE(""https://docs.google.com/spreadsheets/d/1tpwhWwkqkBeiSWCcfB5f2fbwPRbM9hHOEDSDHpl2MIc/edit?usp=sharing"",""นครปฐม!J381"")"),0)</f>
        <v>0</v>
      </c>
      <c r="BC60" s="86">
        <f ca="1">IFERROR(__xludf.DUMMYFUNCTION("IMPORTRANGE(""https://docs.google.com/spreadsheets/d/1tpwhWwkqkBeiSWCcfB5f2fbwPRbM9hHOEDSDHpl2MIc/edit?usp=sharing"",""นครปฐม!J382"")"),0)</f>
        <v>0</v>
      </c>
      <c r="BD60" s="87">
        <f t="shared" ca="1" si="51"/>
        <v>0</v>
      </c>
    </row>
    <row r="61" spans="1:56" ht="21" customHeight="1" x14ac:dyDescent="0.2">
      <c r="A61" s="78">
        <v>9</v>
      </c>
      <c r="B61" s="79" t="s">
        <v>83</v>
      </c>
      <c r="C61" s="80">
        <f t="shared" ca="1" si="0"/>
        <v>306980</v>
      </c>
      <c r="D61" s="81">
        <f t="shared" ca="1" si="88"/>
        <v>193180</v>
      </c>
      <c r="E61" s="82">
        <f ca="1">IFERROR(__xludf.DUMMYFUNCTION("IMPORTRANGE(""https://docs.google.com/spreadsheets/d/1MeEWN-I1oV_STSDYn1IFDPWt_1FKiwhDph83XaGc0o0/edit?usp=sharing"",""งบพรบ!EX61"")"),0)</f>
        <v>0</v>
      </c>
      <c r="F61" s="82">
        <f ca="1">IFERROR(__xludf.DUMMYFUNCTION("IMPORTRANGE(""https://docs.google.com/spreadsheets/d/1MeEWN-I1oV_STSDYn1IFDPWt_1FKiwhDph83XaGc0o0/edit?usp=sharing"",""งบพรบ!EY61"")"),193180)</f>
        <v>193180</v>
      </c>
      <c r="G61" s="82">
        <f ca="1">IFERROR(__xludf.DUMMYFUNCTION("IMPORTRANGE(""https://docs.google.com/spreadsheets/d/1MeEWN-I1oV_STSDYn1IFDPWt_1FKiwhDph83XaGc0o0/edit?usp=sharing"",""งบพรบ!EZ61"")"),113800)</f>
        <v>113800</v>
      </c>
      <c r="H61" s="82">
        <f ca="1">IFERROR(__xludf.DUMMYFUNCTION("IMPORTRANGE(""https://docs.google.com/spreadsheets/d/1MeEWN-I1oV_STSDYn1IFDPWt_1FKiwhDph83XaGc0o0/edit?usp=sharing"",""งบพรบ!FB61"")"),144890)</f>
        <v>144890</v>
      </c>
      <c r="I61" s="82">
        <f ca="1">IFERROR(__xludf.DUMMYFUNCTION("IMPORTRANGE(""https://docs.google.com/spreadsheets/d/1MeEWN-I1oV_STSDYn1IFDPWt_1FKiwhDph83XaGc0o0/edit?usp=sharing"",""งบพรบ!FC61"")"),113800)</f>
        <v>113800</v>
      </c>
      <c r="J61" s="82">
        <f t="shared" ca="1" si="3"/>
        <v>146733.33000000002</v>
      </c>
      <c r="K61" s="83">
        <f t="shared" ca="1" si="4"/>
        <v>47.798986904684348</v>
      </c>
      <c r="L61" s="82">
        <f ca="1">IFERROR(__xludf.DUMMYFUNCTION("IMPORTRANGE(""https://docs.google.com/spreadsheets/d/1MeEWN-I1oV_STSDYn1IFDPWt_1FKiwhDph83XaGc0o0/edit?usp=sharing"",""งบพรบ!FD61"")"),32933.33)</f>
        <v>32933.33</v>
      </c>
      <c r="M61" s="84">
        <f t="shared" ca="1" si="5"/>
        <v>17.048001863546951</v>
      </c>
      <c r="N61" s="84">
        <f t="shared" ca="1" si="6"/>
        <v>22.7298847401477</v>
      </c>
      <c r="O61" s="85">
        <f ca="1">IFERROR(__xludf.DUMMYFUNCTION("IMPORTRANGE(""https://docs.google.com/spreadsheets/d/1MeEWN-I1oV_STSDYn1IFDPWt_1FKiwhDph83XaGc0o0/edit?usp=sharing"",""งบพรบ!FE61"")"),113800)</f>
        <v>113800</v>
      </c>
      <c r="P61" s="84">
        <f t="shared" ca="1" si="53"/>
        <v>100</v>
      </c>
      <c r="Q61" s="84">
        <f t="shared" ca="1" si="8"/>
        <v>100</v>
      </c>
      <c r="R61" s="86">
        <f ca="1">IFERROR(__xludf.DUMMYFUNCTION("IMPORTRANGE(""https://docs.google.com/spreadsheets/d/1fJJCVBkBnhriyv0Cp5ZFMr0I_yrfdEITNpb4zILJgUQ/edit?usp=sharing"",""ปทุมธานี!I359"")"),0)</f>
        <v>0</v>
      </c>
      <c r="S61" s="86">
        <f ca="1">IFERROR(__xludf.DUMMYFUNCTION("IMPORTRANGE(""https://docs.google.com/spreadsheets/d/1fJJCVBkBnhriyv0Cp5ZFMr0I_yrfdEITNpb4zILJgUQ/edit?usp=sharing"",""ปทุมธานี!J358"")"),0)</f>
        <v>0</v>
      </c>
      <c r="T61" s="86">
        <f ca="1">IFERROR(__xludf.DUMMYFUNCTION("IMPORTRANGE(""https://docs.google.com/spreadsheets/d/1fJJCVBkBnhriyv0Cp5ZFMr0I_yrfdEITNpb4zILJgUQ/edit?usp=sharing"",""ปทุมธานี!J359"")"),0)</f>
        <v>0</v>
      </c>
      <c r="U61" s="87">
        <f t="shared" ca="1" si="43"/>
        <v>0</v>
      </c>
      <c r="V61" s="86">
        <f ca="1">IFERROR(__xludf.DUMMYFUNCTION("IMPORTRANGE(""https://docs.google.com/spreadsheets/d/1fJJCVBkBnhriyv0Cp5ZFMr0I_yrfdEITNpb4zILJgUQ/edit?usp=sharing"",""ปทุมธานี!I360"")"),0)</f>
        <v>0</v>
      </c>
      <c r="W61" s="86">
        <f ca="1">IFERROR(__xludf.DUMMYFUNCTION("IMPORTRANGE(""https://docs.google.com/spreadsheets/d/1fJJCVBkBnhriyv0Cp5ZFMr0I_yrfdEITNpb4zILJgUQ/edit?usp=sharing"",""ปทุมธานี!J360"")"),0)</f>
        <v>0</v>
      </c>
      <c r="X61" s="86">
        <f ca="1">IFERROR(__xludf.DUMMYFUNCTION("IMPORTRANGE(""https://docs.google.com/spreadsheets/d/1fJJCVBkBnhriyv0Cp5ZFMr0I_yrfdEITNpb4zILJgUQ/edit?usp=sharing"",""ปทุมธานี!J361"")"),0)</f>
        <v>0</v>
      </c>
      <c r="Y61" s="87">
        <f t="shared" ca="1" si="44"/>
        <v>0</v>
      </c>
      <c r="Z61" s="86">
        <f ca="1">IFERROR(__xludf.DUMMYFUNCTION("IMPORTRANGE(""https://docs.google.com/spreadsheets/d/1fJJCVBkBnhriyv0Cp5ZFMr0I_yrfdEITNpb4zILJgUQ/edit?usp=sharing"",""ปทุมธานี!I362"")"),0)</f>
        <v>0</v>
      </c>
      <c r="AA61" s="86">
        <f ca="1">IFERROR(__xludf.DUMMYFUNCTION("IMPORTRANGE(""https://docs.google.com/spreadsheets/d/1fJJCVBkBnhriyv0Cp5ZFMr0I_yrfdEITNpb4zILJgUQ/edit?usp=sharing"",""ปทุมธานี!J362"")"),0)</f>
        <v>0</v>
      </c>
      <c r="AB61" s="86">
        <f ca="1">IFERROR(__xludf.DUMMYFUNCTION("IMPORTRANGE(""https://docs.google.com/spreadsheets/d/1fJJCVBkBnhriyv0Cp5ZFMr0I_yrfdEITNpb4zILJgUQ/edit?usp=sharing"",""ปทุมธานี!J363"")"),0)</f>
        <v>0</v>
      </c>
      <c r="AC61" s="87">
        <f t="shared" ca="1" si="45"/>
        <v>0</v>
      </c>
      <c r="AD61" s="86">
        <f ca="1">IFERROR(__xludf.DUMMYFUNCTION("IMPORTRANGE(""https://docs.google.com/spreadsheets/d/1fJJCVBkBnhriyv0Cp5ZFMr0I_yrfdEITNpb4zILJgUQ/edit?usp=sharing"",""ปทุมธานี!I364"")"),0)</f>
        <v>0</v>
      </c>
      <c r="AE61" s="86">
        <f ca="1">IFERROR(__xludf.DUMMYFUNCTION("IMPORTRANGE(""https://docs.google.com/spreadsheets/d/1fJJCVBkBnhriyv0Cp5ZFMr0I_yrfdEITNpb4zILJgUQ/edit?usp=sharing"",""ปทุมธานี!J364"")"),0)</f>
        <v>0</v>
      </c>
      <c r="AF61" s="87">
        <f t="shared" ca="1" si="16"/>
        <v>0</v>
      </c>
      <c r="AG61" s="86">
        <f ca="1">IFERROR(__xludf.DUMMYFUNCTION("IMPORTRANGE(""https://docs.google.com/spreadsheets/d/1fJJCVBkBnhriyv0Cp5ZFMr0I_yrfdEITNpb4zILJgUQ/edit?usp=sharing"",""ปทุมธานี!I369"")"),0)</f>
        <v>0</v>
      </c>
      <c r="AH61" s="86">
        <f ca="1">IFERROR(__xludf.DUMMYFUNCTION("IMPORTRANGE(""https://docs.google.com/spreadsheets/d/1fJJCVBkBnhriyv0Cp5ZFMr0I_yrfdEITNpb4zILJgUQ/edit?usp=sharing"",""ปทุมธานี!J368"")"),0)</f>
        <v>0</v>
      </c>
      <c r="AI61" s="86">
        <f ca="1">IFERROR(__xludf.DUMMYFUNCTION("IMPORTRANGE(""https://docs.google.com/spreadsheets/d/1fJJCVBkBnhriyv0Cp5ZFMr0I_yrfdEITNpb4zILJgUQ/edit?usp=sharing"",""ปทุมธานี!J369"")"),0)</f>
        <v>0</v>
      </c>
      <c r="AJ61" s="87">
        <f t="shared" ca="1" si="46"/>
        <v>0</v>
      </c>
      <c r="AK61" s="86">
        <f ca="1">IFERROR(__xludf.DUMMYFUNCTION("IMPORTRANGE(""https://docs.google.com/spreadsheets/d/1fJJCVBkBnhriyv0Cp5ZFMr0I_yrfdEITNpb4zILJgUQ/edit?usp=sharing"",""ปทุมธานี!I370"")"),0)</f>
        <v>0</v>
      </c>
      <c r="AL61" s="86">
        <f ca="1">IFERROR(__xludf.DUMMYFUNCTION("IMPORTRANGE(""https://docs.google.com/spreadsheets/d/1fJJCVBkBnhriyv0Cp5ZFMr0I_yrfdEITNpb4zILJgUQ/edit?usp=sharing"",""ปทุมธานี!J370"")"),0)</f>
        <v>0</v>
      </c>
      <c r="AM61" s="86">
        <f ca="1">IFERROR(__xludf.DUMMYFUNCTION("IMPORTRANGE(""https://docs.google.com/spreadsheets/d/1fJJCVBkBnhriyv0Cp5ZFMr0I_yrfdEITNpb4zILJgUQ/edit?usp=sharing"",""ปทุมธานี!J371"")"),0)</f>
        <v>0</v>
      </c>
      <c r="AN61" s="87">
        <f t="shared" ca="1" si="47"/>
        <v>0</v>
      </c>
      <c r="AO61" s="86">
        <f ca="1">IFERROR(__xludf.DUMMYFUNCTION("IMPORTRANGE(""https://docs.google.com/spreadsheets/d/1fJJCVBkBnhriyv0Cp5ZFMr0I_yrfdEITNpb4zILJgUQ/edit?usp=sharing"",""ปทุมธานี!I372"")"),0)</f>
        <v>0</v>
      </c>
      <c r="AP61" s="86">
        <f ca="1">IFERROR(__xludf.DUMMYFUNCTION("IMPORTRANGE(""https://docs.google.com/spreadsheets/d/1fJJCVBkBnhriyv0Cp5ZFMr0I_yrfdEITNpb4zILJgUQ/edit?usp=sharing"",""ปทุมธานี!J372"")"),0)</f>
        <v>0</v>
      </c>
      <c r="AQ61" s="86">
        <f ca="1">IFERROR(__xludf.DUMMYFUNCTION("IMPORTRANGE(""https://docs.google.com/spreadsheets/d/1fJJCVBkBnhriyv0Cp5ZFMr0I_yrfdEITNpb4zILJgUQ/edit?usp=sharing"",""ปทุมธานี!J373"")"),0)</f>
        <v>0</v>
      </c>
      <c r="AR61" s="87">
        <f t="shared" ca="1" si="48"/>
        <v>0</v>
      </c>
      <c r="AS61" s="86">
        <f ca="1">IFERROR(__xludf.DUMMYFUNCTION("IMPORTRANGE(""https://docs.google.com/spreadsheets/d/1fJJCVBkBnhriyv0Cp5ZFMr0I_yrfdEITNpb4zILJgUQ/edit?usp=sharing"",""ปทุมธานี!I378"")"),0)</f>
        <v>0</v>
      </c>
      <c r="AT61" s="86">
        <f ca="1">IFERROR(__xludf.DUMMYFUNCTION("IMPORTRANGE(""https://docs.google.com/spreadsheets/d/1fJJCVBkBnhriyv0Cp5ZFMr0I_yrfdEITNpb4zILJgUQ/edit?usp=sharing"",""ปทุมธานี!J377"")"),0)</f>
        <v>0</v>
      </c>
      <c r="AU61" s="86">
        <f ca="1">IFERROR(__xludf.DUMMYFUNCTION("IMPORTRANGE(""https://docs.google.com/spreadsheets/d/1fJJCVBkBnhriyv0Cp5ZFMr0I_yrfdEITNpb4zILJgUQ/edit?usp=sharing"",""ปทุมธานี!J378"")"),0)</f>
        <v>0</v>
      </c>
      <c r="AV61" s="87">
        <f t="shared" ca="1" si="49"/>
        <v>0</v>
      </c>
      <c r="AW61" s="86">
        <f ca="1">IFERROR(__xludf.DUMMYFUNCTION("IMPORTRANGE(""https://docs.google.com/spreadsheets/d/1fJJCVBkBnhriyv0Cp5ZFMr0I_yrfdEITNpb4zILJgUQ/edit?usp=sharing"",""ปทุมธานี!I379"")"),0)</f>
        <v>0</v>
      </c>
      <c r="AX61" s="86">
        <f ca="1">IFERROR(__xludf.DUMMYFUNCTION("IMPORTRANGE(""https://docs.google.com/spreadsheets/d/1fJJCVBkBnhriyv0Cp5ZFMr0I_yrfdEITNpb4zILJgUQ/edit?usp=sharing"",""ปทุมธานี!J379"")"),0)</f>
        <v>0</v>
      </c>
      <c r="AY61" s="86">
        <f ca="1">IFERROR(__xludf.DUMMYFUNCTION("IMPORTRANGE(""https://docs.google.com/spreadsheets/d/1fJJCVBkBnhriyv0Cp5ZFMr0I_yrfdEITNpb4zILJgUQ/edit?usp=sharing"",""ปทุมธานี!J380"")"),0)</f>
        <v>0</v>
      </c>
      <c r="AZ61" s="87">
        <f t="shared" ca="1" si="50"/>
        <v>0</v>
      </c>
      <c r="BA61" s="86">
        <f ca="1">IFERROR(__xludf.DUMMYFUNCTION("IMPORTRANGE(""https://docs.google.com/spreadsheets/d/1fJJCVBkBnhriyv0Cp5ZFMr0I_yrfdEITNpb4zILJgUQ/edit?usp=sharing"",""ปทุมธานี!I381"")"),0)</f>
        <v>0</v>
      </c>
      <c r="BB61" s="86">
        <f ca="1">IFERROR(__xludf.DUMMYFUNCTION("IMPORTRANGE(""https://docs.google.com/spreadsheets/d/1fJJCVBkBnhriyv0Cp5ZFMr0I_yrfdEITNpb4zILJgUQ/edit?usp=sharing"",""ปทุมธานี!J381"")"),0)</f>
        <v>0</v>
      </c>
      <c r="BC61" s="86">
        <f ca="1">IFERROR(__xludf.DUMMYFUNCTION("IMPORTRANGE(""https://docs.google.com/spreadsheets/d/1fJJCVBkBnhriyv0Cp5ZFMr0I_yrfdEITNpb4zILJgUQ/edit?usp=sharing"",""ปทุมธานี!J382"")"),0)</f>
        <v>0</v>
      </c>
      <c r="BD61" s="87">
        <f t="shared" ca="1" si="51"/>
        <v>0</v>
      </c>
    </row>
    <row r="62" spans="1:56" ht="21" customHeight="1" x14ac:dyDescent="0.2">
      <c r="A62" s="78">
        <v>10</v>
      </c>
      <c r="B62" s="79" t="s">
        <v>84</v>
      </c>
      <c r="C62" s="80">
        <f t="shared" ca="1" si="0"/>
        <v>636860</v>
      </c>
      <c r="D62" s="81">
        <f t="shared" ca="1" si="88"/>
        <v>485260</v>
      </c>
      <c r="E62" s="82">
        <f ca="1">IFERROR(__xludf.DUMMYFUNCTION("IMPORTRANGE(""https://docs.google.com/spreadsheets/d/1MeEWN-I1oV_STSDYn1IFDPWt_1FKiwhDph83XaGc0o0/edit?usp=sharing"",""งบพรบ!EX62"")"),201600)</f>
        <v>201600</v>
      </c>
      <c r="F62" s="82">
        <f ca="1">IFERROR(__xludf.DUMMYFUNCTION("IMPORTRANGE(""https://docs.google.com/spreadsheets/d/1MeEWN-I1oV_STSDYn1IFDPWt_1FKiwhDph83XaGc0o0/edit?usp=sharing"",""งบพรบ!EY62"")"),283660)</f>
        <v>283660</v>
      </c>
      <c r="G62" s="82">
        <f ca="1">IFERROR(__xludf.DUMMYFUNCTION("IMPORTRANGE(""https://docs.google.com/spreadsheets/d/1MeEWN-I1oV_STSDYn1IFDPWt_1FKiwhDph83XaGc0o0/edit?usp=sharing"",""งบพรบ!EZ62"")"),151600)</f>
        <v>151600</v>
      </c>
      <c r="H62" s="82">
        <f ca="1">IFERROR(__xludf.DUMMYFUNCTION("IMPORTRANGE(""https://docs.google.com/spreadsheets/d/1MeEWN-I1oV_STSDYn1IFDPWt_1FKiwhDph83XaGc0o0/edit?usp=sharing"",""งบพรบ!FB62"")"),343400)</f>
        <v>343400</v>
      </c>
      <c r="I62" s="82">
        <f ca="1">IFERROR(__xludf.DUMMYFUNCTION("IMPORTRANGE(""https://docs.google.com/spreadsheets/d/1MeEWN-I1oV_STSDYn1IFDPWt_1FKiwhDph83XaGc0o0/edit?usp=sharing"",""งบพรบ!FC62"")"),151600)</f>
        <v>151600</v>
      </c>
      <c r="J62" s="82">
        <f t="shared" ca="1" si="3"/>
        <v>256316.15</v>
      </c>
      <c r="K62" s="83">
        <f t="shared" ca="1" si="4"/>
        <v>40.246859592375088</v>
      </c>
      <c r="L62" s="82">
        <f ca="1">IFERROR(__xludf.DUMMYFUNCTION("IMPORTRANGE(""https://docs.google.com/spreadsheets/d/1MeEWN-I1oV_STSDYn1IFDPWt_1FKiwhDph83XaGc0o0/edit?usp=sharing"",""งบพรบ!FD62"")"),104716.15)</f>
        <v>104716.15</v>
      </c>
      <c r="M62" s="84">
        <f t="shared" ca="1" si="5"/>
        <v>21.579390429872646</v>
      </c>
      <c r="N62" s="84">
        <f t="shared" ca="1" si="6"/>
        <v>30.493928363424576</v>
      </c>
      <c r="O62" s="85">
        <f ca="1">IFERROR(__xludf.DUMMYFUNCTION("IMPORTRANGE(""https://docs.google.com/spreadsheets/d/1MeEWN-I1oV_STSDYn1IFDPWt_1FKiwhDph83XaGc0o0/edit?usp=sharing"",""งบพรบ!FE62"")"),151600)</f>
        <v>151600</v>
      </c>
      <c r="P62" s="84">
        <f t="shared" ca="1" si="53"/>
        <v>100</v>
      </c>
      <c r="Q62" s="84">
        <f t="shared" ca="1" si="8"/>
        <v>100</v>
      </c>
      <c r="R62" s="86">
        <f ca="1">IFERROR(__xludf.DUMMYFUNCTION("IMPORTRANGE(""https://docs.google.com/spreadsheets/d/1W5Jj_S0gYw6wSO7QcMI02YgyOBDKYgmm0NSUk-AQEac/edit?usp=sharing"",""ประจวบคีรีขันธ์!I359"")"),760)</f>
        <v>760</v>
      </c>
      <c r="S62" s="86">
        <f ca="1">IFERROR(__xludf.DUMMYFUNCTION("IMPORTRANGE(""https://docs.google.com/spreadsheets/d/1W5Jj_S0gYw6wSO7QcMI02YgyOBDKYgmm0NSUk-AQEac/edit?usp=sharing"",""ประจวบคีรีขันธ์!J358"")"),46)</f>
        <v>46</v>
      </c>
      <c r="T62" s="86">
        <f ca="1">IFERROR(__xludf.DUMMYFUNCTION("IMPORTRANGE(""https://docs.google.com/spreadsheets/d/1W5Jj_S0gYw6wSO7QcMI02YgyOBDKYgmm0NSUk-AQEac/edit?usp=sharing"",""ประจวบคีรีขันธ์!J359"")"),368.45)</f>
        <v>368.45</v>
      </c>
      <c r="U62" s="87">
        <f t="shared" ca="1" si="43"/>
        <v>48.48026315789474</v>
      </c>
      <c r="V62" s="86">
        <f ca="1">IFERROR(__xludf.DUMMYFUNCTION("IMPORTRANGE(""https://docs.google.com/spreadsheets/d/1W5Jj_S0gYw6wSO7QcMI02YgyOBDKYgmm0NSUk-AQEac/edit?usp=sharing"",""ประจวบคีรีขันธ์!I360"")"),90)</f>
        <v>90</v>
      </c>
      <c r="W62" s="86">
        <f ca="1">IFERROR(__xludf.DUMMYFUNCTION("IMPORTRANGE(""https://docs.google.com/spreadsheets/d/1W5Jj_S0gYw6wSO7QcMI02YgyOBDKYgmm0NSUk-AQEac/edit?usp=sharing"",""ประจวบคีรีขันธ์!J360"")"),7)</f>
        <v>7</v>
      </c>
      <c r="X62" s="86">
        <f ca="1">IFERROR(__xludf.DUMMYFUNCTION("IMPORTRANGE(""https://docs.google.com/spreadsheets/d/1W5Jj_S0gYw6wSO7QcMI02YgyOBDKYgmm0NSUk-AQEac/edit?usp=sharing"",""ประจวบคีรีขันธ์!J361"")"),48.5)</f>
        <v>48.5</v>
      </c>
      <c r="Y62" s="87">
        <f t="shared" ca="1" si="44"/>
        <v>7.7777777777777777</v>
      </c>
      <c r="Z62" s="86">
        <f ca="1">IFERROR(__xludf.DUMMYFUNCTION("IMPORTRANGE(""https://docs.google.com/spreadsheets/d/1W5Jj_S0gYw6wSO7QcMI02YgyOBDKYgmm0NSUk-AQEac/edit?usp=sharing"",""ประจวบคีรีขันธ์!I362"")"),90)</f>
        <v>90</v>
      </c>
      <c r="AA62" s="86">
        <f ca="1">IFERROR(__xludf.DUMMYFUNCTION("IMPORTRANGE(""https://docs.google.com/spreadsheets/d/1W5Jj_S0gYw6wSO7QcMI02YgyOBDKYgmm0NSUk-AQEac/edit?usp=sharing"",""ประจวบคีรีขันธ์!J362"")"),8)</f>
        <v>8</v>
      </c>
      <c r="AB62" s="86">
        <f ca="1">IFERROR(__xludf.DUMMYFUNCTION("IMPORTRANGE(""https://docs.google.com/spreadsheets/d/1W5Jj_S0gYw6wSO7QcMI02YgyOBDKYgmm0NSUk-AQEac/edit?usp=sharing"",""ประจวบคีรีขันธ์!J363"")"),54.37)</f>
        <v>54.37</v>
      </c>
      <c r="AC62" s="87">
        <f t="shared" ca="1" si="45"/>
        <v>8.8888888888888893</v>
      </c>
      <c r="AD62" s="86">
        <f ca="1">IFERROR(__xludf.DUMMYFUNCTION("IMPORTRANGE(""https://docs.google.com/spreadsheets/d/1W5Jj_S0gYw6wSO7QcMI02YgyOBDKYgmm0NSUk-AQEac/edit?usp=sharing"",""ประจวบคีรีขันธ์!I364"")"),140)</f>
        <v>140</v>
      </c>
      <c r="AE62" s="86">
        <f ca="1">IFERROR(__xludf.DUMMYFUNCTION("IMPORTRANGE(""https://docs.google.com/spreadsheets/d/1W5Jj_S0gYw6wSO7QcMI02YgyOBDKYgmm0NSUk-AQEac/edit?usp=sharing"",""ประจวบคีรีขันธ์!J364"")"),70)</f>
        <v>70</v>
      </c>
      <c r="AF62" s="87">
        <f t="shared" ca="1" si="16"/>
        <v>50</v>
      </c>
      <c r="AG62" s="86">
        <f ca="1">IFERROR(__xludf.DUMMYFUNCTION("IMPORTRANGE(""https://docs.google.com/spreadsheets/d/1W5Jj_S0gYw6wSO7QcMI02YgyOBDKYgmm0NSUk-AQEac/edit?usp=sharing"",""ประจวบคีรีขันธ์!I369"")"),500)</f>
        <v>500</v>
      </c>
      <c r="AH62" s="86">
        <f ca="1">IFERROR(__xludf.DUMMYFUNCTION("IMPORTRANGE(""https://docs.google.com/spreadsheets/d/1W5Jj_S0gYw6wSO7QcMI02YgyOBDKYgmm0NSUk-AQEac/edit?usp=sharing"",""ประจวบคีรีขันธ์!J368"")"),39)</f>
        <v>39</v>
      </c>
      <c r="AI62" s="86">
        <f ca="1">IFERROR(__xludf.DUMMYFUNCTION("IMPORTRANGE(""https://docs.google.com/spreadsheets/d/1W5Jj_S0gYw6wSO7QcMI02YgyOBDKYgmm0NSUk-AQEac/edit?usp=sharing"",""ประจวบคีรีขันธ์!J369"")"),319.95)</f>
        <v>319.95</v>
      </c>
      <c r="AJ62" s="87">
        <f t="shared" ca="1" si="46"/>
        <v>63.99</v>
      </c>
      <c r="AK62" s="86">
        <f ca="1">IFERROR(__xludf.DUMMYFUNCTION("IMPORTRANGE(""https://docs.google.com/spreadsheets/d/1W5Jj_S0gYw6wSO7QcMI02YgyOBDKYgmm0NSUk-AQEac/edit?usp=sharing"",""ประจวบคีรีขันธ์!I370"")"),60)</f>
        <v>60</v>
      </c>
      <c r="AL62" s="86">
        <f ca="1">IFERROR(__xludf.DUMMYFUNCTION("IMPORTRANGE(""https://docs.google.com/spreadsheets/d/1W5Jj_S0gYw6wSO7QcMI02YgyOBDKYgmm0NSUk-AQEac/edit?usp=sharing"",""ประจวบคีรีขันธ์!J370"")"),0)</f>
        <v>0</v>
      </c>
      <c r="AM62" s="86">
        <f ca="1">IFERROR(__xludf.DUMMYFUNCTION("IMPORTRANGE(""https://docs.google.com/spreadsheets/d/1W5Jj_S0gYw6wSO7QcMI02YgyOBDKYgmm0NSUk-AQEac/edit?usp=sharing"",""ประจวบคีรีขันธ์!J371"")"),0)</f>
        <v>0</v>
      </c>
      <c r="AN62" s="87">
        <f t="shared" ca="1" si="47"/>
        <v>0</v>
      </c>
      <c r="AO62" s="86">
        <f ca="1">IFERROR(__xludf.DUMMYFUNCTION("IMPORTRANGE(""https://docs.google.com/spreadsheets/d/1W5Jj_S0gYw6wSO7QcMI02YgyOBDKYgmm0NSUk-AQEac/edit?usp=sharing"",""ประจวบคีรีขันธ์!I372"")"),60)</f>
        <v>60</v>
      </c>
      <c r="AP62" s="86">
        <f ca="1">IFERROR(__xludf.DUMMYFUNCTION("IMPORTRANGE(""https://docs.google.com/spreadsheets/d/1W5Jj_S0gYw6wSO7QcMI02YgyOBDKYgmm0NSUk-AQEac/edit?usp=sharing"",""ประจวบคีรีขันธ์!J372"")"),1)</f>
        <v>1</v>
      </c>
      <c r="AQ62" s="86">
        <f ca="1">IFERROR(__xludf.DUMMYFUNCTION("IMPORTRANGE(""https://docs.google.com/spreadsheets/d/1W5Jj_S0gYw6wSO7QcMI02YgyOBDKYgmm0NSUk-AQEac/edit?usp=sharing"",""ประจวบคีรีขันธ์!J373"")"),5.87)</f>
        <v>5.87</v>
      </c>
      <c r="AR62" s="87">
        <f t="shared" ca="1" si="48"/>
        <v>1.6666666666666667</v>
      </c>
      <c r="AS62" s="86">
        <f ca="1">IFERROR(__xludf.DUMMYFUNCTION("IMPORTRANGE(""https://docs.google.com/spreadsheets/d/1W5Jj_S0gYw6wSO7QcMI02YgyOBDKYgmm0NSUk-AQEac/edit?usp=sharing"",""ประจวบคีรีขันธ์!I378"")"),260)</f>
        <v>260</v>
      </c>
      <c r="AT62" s="86">
        <f ca="1">IFERROR(__xludf.DUMMYFUNCTION("IMPORTRANGE(""https://docs.google.com/spreadsheets/d/1W5Jj_S0gYw6wSO7QcMI02YgyOBDKYgmm0NSUk-AQEac/edit?usp=sharing"",""ประจวบคีรีขันธ์!J377"")"),7)</f>
        <v>7</v>
      </c>
      <c r="AU62" s="86">
        <f ca="1">IFERROR(__xludf.DUMMYFUNCTION("IMPORTRANGE(""https://docs.google.com/spreadsheets/d/1W5Jj_S0gYw6wSO7QcMI02YgyOBDKYgmm0NSUk-AQEac/edit?usp=sharing"",""ประจวบคีรีขันธ์!J378"")"),48.5)</f>
        <v>48.5</v>
      </c>
      <c r="AV62" s="87">
        <f t="shared" ca="1" si="49"/>
        <v>18.653846153846153</v>
      </c>
      <c r="AW62" s="86">
        <f ca="1">IFERROR(__xludf.DUMMYFUNCTION("IMPORTRANGE(""https://docs.google.com/spreadsheets/d/1W5Jj_S0gYw6wSO7QcMI02YgyOBDKYgmm0NSUk-AQEac/edit?usp=sharing"",""ประจวบคีรีขันธ์!I379"")"),80)</f>
        <v>80</v>
      </c>
      <c r="AX62" s="86">
        <f ca="1">IFERROR(__xludf.DUMMYFUNCTION("IMPORTRANGE(""https://docs.google.com/spreadsheets/d/1W5Jj_S0gYw6wSO7QcMI02YgyOBDKYgmm0NSUk-AQEac/edit?usp=sharing"",""ประจวบคีรีขันธ์!J379"")"),69)</f>
        <v>69</v>
      </c>
      <c r="AY62" s="86">
        <f ca="1">IFERROR(__xludf.DUMMYFUNCTION("IMPORTRANGE(""https://docs.google.com/spreadsheets/d/1W5Jj_S0gYw6wSO7QcMI02YgyOBDKYgmm0NSUk-AQEac/edit?usp=sharing"",""ประจวบคีรีขันธ์!J380"")"),891.12)</f>
        <v>891.12</v>
      </c>
      <c r="AZ62" s="87">
        <f t="shared" ca="1" si="50"/>
        <v>86.25</v>
      </c>
      <c r="BA62" s="86">
        <f ca="1">IFERROR(__xludf.DUMMYFUNCTION("IMPORTRANGE(""https://docs.google.com/spreadsheets/d/1W5Jj_S0gYw6wSO7QcMI02YgyOBDKYgmm0NSUk-AQEac/edit?usp=sharing"",""ประจวบคีรีขันธ์!I381"")"),80)</f>
        <v>80</v>
      </c>
      <c r="BB62" s="86">
        <f ca="1">IFERROR(__xludf.DUMMYFUNCTION("IMPORTRANGE(""https://docs.google.com/spreadsheets/d/1W5Jj_S0gYw6wSO7QcMI02YgyOBDKYgmm0NSUk-AQEac/edit?usp=sharing"",""ประจวบคีรีขันธ์!J381"")"),69)</f>
        <v>69</v>
      </c>
      <c r="BC62" s="86">
        <f ca="1">IFERROR(__xludf.DUMMYFUNCTION("IMPORTRANGE(""https://docs.google.com/spreadsheets/d/1W5Jj_S0gYw6wSO7QcMI02YgyOBDKYgmm0NSUk-AQEac/edit?usp=sharing"",""ประจวบคีรีขันธ์!J382"")"),899.59)</f>
        <v>899.59</v>
      </c>
      <c r="BD62" s="87">
        <f t="shared" ca="1" si="51"/>
        <v>86.25</v>
      </c>
    </row>
    <row r="63" spans="1:56" ht="21" customHeight="1" x14ac:dyDescent="0.2">
      <c r="A63" s="78">
        <v>11</v>
      </c>
      <c r="B63" s="79" t="s">
        <v>85</v>
      </c>
      <c r="C63" s="80">
        <f t="shared" ca="1" si="0"/>
        <v>774650</v>
      </c>
      <c r="D63" s="81">
        <f t="shared" ca="1" si="88"/>
        <v>585250</v>
      </c>
      <c r="E63" s="82">
        <f ca="1">IFERROR(__xludf.DUMMYFUNCTION("IMPORTRANGE(""https://docs.google.com/spreadsheets/d/1MeEWN-I1oV_STSDYn1IFDPWt_1FKiwhDph83XaGc0o0/edit?usp=sharing"",""งบพรบ!EX63"")"),342000)</f>
        <v>342000</v>
      </c>
      <c r="F63" s="82">
        <f ca="1">IFERROR(__xludf.DUMMYFUNCTION("IMPORTRANGE(""https://docs.google.com/spreadsheets/d/1MeEWN-I1oV_STSDYn1IFDPWt_1FKiwhDph83XaGc0o0/edit?usp=sharing"",""งบพรบ!EY63"")"),243250)</f>
        <v>243250</v>
      </c>
      <c r="G63" s="82">
        <f ca="1">IFERROR(__xludf.DUMMYFUNCTION("IMPORTRANGE(""https://docs.google.com/spreadsheets/d/1MeEWN-I1oV_STSDYn1IFDPWt_1FKiwhDph83XaGc0o0/edit?usp=sharing"",""งบพรบ!EZ63"")"),189400)</f>
        <v>189400</v>
      </c>
      <c r="H63" s="82">
        <f ca="1">IFERROR(__xludf.DUMMYFUNCTION("IMPORTRANGE(""https://docs.google.com/spreadsheets/d/1MeEWN-I1oV_STSDYn1IFDPWt_1FKiwhDph83XaGc0o0/edit?usp=sharing"",""งบพรบ!FB63"")"),426950)</f>
        <v>426950</v>
      </c>
      <c r="I63" s="82">
        <f ca="1">IFERROR(__xludf.DUMMYFUNCTION("IMPORTRANGE(""https://docs.google.com/spreadsheets/d/1MeEWN-I1oV_STSDYn1IFDPWt_1FKiwhDph83XaGc0o0/edit?usp=sharing"",""งบพรบ!FC63"")"),189400)</f>
        <v>189400</v>
      </c>
      <c r="J63" s="82">
        <f t="shared" ca="1" si="3"/>
        <v>366256</v>
      </c>
      <c r="K63" s="83">
        <f t="shared" ca="1" si="4"/>
        <v>47.280191054024399</v>
      </c>
      <c r="L63" s="82">
        <f ca="1">IFERROR(__xludf.DUMMYFUNCTION("IMPORTRANGE(""https://docs.google.com/spreadsheets/d/1MeEWN-I1oV_STSDYn1IFDPWt_1FKiwhDph83XaGc0o0/edit?usp=sharing"",""งบพรบ!FD63"")"),176856)</f>
        <v>176856</v>
      </c>
      <c r="M63" s="84">
        <f t="shared" ca="1" si="5"/>
        <v>30.218880820162322</v>
      </c>
      <c r="N63" s="84">
        <f t="shared" ca="1" si="6"/>
        <v>41.423117461061011</v>
      </c>
      <c r="O63" s="85">
        <f ca="1">IFERROR(__xludf.DUMMYFUNCTION("IMPORTRANGE(""https://docs.google.com/spreadsheets/d/1MeEWN-I1oV_STSDYn1IFDPWt_1FKiwhDph83XaGc0o0/edit?usp=sharing"",""งบพรบ!FE63"")"),189400)</f>
        <v>189400</v>
      </c>
      <c r="P63" s="84">
        <f t="shared" ca="1" si="53"/>
        <v>100</v>
      </c>
      <c r="Q63" s="84">
        <f t="shared" ca="1" si="8"/>
        <v>100</v>
      </c>
      <c r="R63" s="86">
        <f ca="1">IFERROR(__xludf.DUMMYFUNCTION("IMPORTRANGE(""https://docs.google.com/spreadsheets/d/1nYxRXgnCfTXtqUY1otYuTlnrzE0Tn-Y0YRsW5pkRVqo/edit?usp=sharing"",""ปราจีนบุรี!I359"")"),500)</f>
        <v>500</v>
      </c>
      <c r="S63" s="86">
        <f ca="1">IFERROR(__xludf.DUMMYFUNCTION("IMPORTRANGE(""https://docs.google.com/spreadsheets/d/1nYxRXgnCfTXtqUY1otYuTlnrzE0Tn-Y0YRsW5pkRVqo/edit?usp=sharing"",""ปราจีนบุรี!J358"")"),8)</f>
        <v>8</v>
      </c>
      <c r="T63" s="86">
        <f ca="1">IFERROR(__xludf.DUMMYFUNCTION("IMPORTRANGE(""https://docs.google.com/spreadsheets/d/1nYxRXgnCfTXtqUY1otYuTlnrzE0Tn-Y0YRsW5pkRVqo/edit?usp=sharing"",""ปราจีนบุรี!J359"")"),322.14)</f>
        <v>322.14</v>
      </c>
      <c r="U63" s="87">
        <f t="shared" ca="1" si="43"/>
        <v>64.427999999999997</v>
      </c>
      <c r="V63" s="86">
        <f ca="1">IFERROR(__xludf.DUMMYFUNCTION("IMPORTRANGE(""https://docs.google.com/spreadsheets/d/1nYxRXgnCfTXtqUY1otYuTlnrzE0Tn-Y0YRsW5pkRVqo/edit?usp=sharing"",""ปราจีนบุรี!I360"")"),40)</f>
        <v>40</v>
      </c>
      <c r="W63" s="86">
        <f ca="1">IFERROR(__xludf.DUMMYFUNCTION("IMPORTRANGE(""https://docs.google.com/spreadsheets/d/1nYxRXgnCfTXtqUY1otYuTlnrzE0Tn-Y0YRsW5pkRVqo/edit?usp=sharing"",""ปราจีนบุรี!J360"")"),0)</f>
        <v>0</v>
      </c>
      <c r="X63" s="86">
        <f ca="1">IFERROR(__xludf.DUMMYFUNCTION("IMPORTRANGE(""https://docs.google.com/spreadsheets/d/1nYxRXgnCfTXtqUY1otYuTlnrzE0Tn-Y0YRsW5pkRVqo/edit?usp=sharing"",""ปราจีนบุรี!J361"")"),0)</f>
        <v>0</v>
      </c>
      <c r="Y63" s="87">
        <f t="shared" ca="1" si="44"/>
        <v>0</v>
      </c>
      <c r="Z63" s="86">
        <f ca="1">IFERROR(__xludf.DUMMYFUNCTION("IMPORTRANGE(""https://docs.google.com/spreadsheets/d/1nYxRXgnCfTXtqUY1otYuTlnrzE0Tn-Y0YRsW5pkRVqo/edit?usp=sharing"",""ปราจีนบุรี!I362"")"),40)</f>
        <v>40</v>
      </c>
      <c r="AA63" s="86">
        <f ca="1">IFERROR(__xludf.DUMMYFUNCTION("IMPORTRANGE(""https://docs.google.com/spreadsheets/d/1nYxRXgnCfTXtqUY1otYuTlnrzE0Tn-Y0YRsW5pkRVqo/edit?usp=sharing"",""ปราจีนบุรี!J362"")"),0)</f>
        <v>0</v>
      </c>
      <c r="AB63" s="86">
        <f ca="1">IFERROR(__xludf.DUMMYFUNCTION("IMPORTRANGE(""https://docs.google.com/spreadsheets/d/1nYxRXgnCfTXtqUY1otYuTlnrzE0Tn-Y0YRsW5pkRVqo/edit?usp=sharing"",""ปราจีนบุรี!J363"")"),0)</f>
        <v>0</v>
      </c>
      <c r="AC63" s="87">
        <f t="shared" ca="1" si="45"/>
        <v>0</v>
      </c>
      <c r="AD63" s="86">
        <f ca="1">IFERROR(__xludf.DUMMYFUNCTION("IMPORTRANGE(""https://docs.google.com/spreadsheets/d/1nYxRXgnCfTXtqUY1otYuTlnrzE0Tn-Y0YRsW5pkRVqo/edit?usp=sharing"",""ปราจีนบุรี!I364"")"),80)</f>
        <v>80</v>
      </c>
      <c r="AE63" s="86">
        <f ca="1">IFERROR(__xludf.DUMMYFUNCTION("IMPORTRANGE(""https://docs.google.com/spreadsheets/d/1nYxRXgnCfTXtqUY1otYuTlnrzE0Tn-Y0YRsW5pkRVqo/edit?usp=sharing"",""ปราจีนบุรี!J364"")"),0)</f>
        <v>0</v>
      </c>
      <c r="AF63" s="87">
        <f t="shared" ca="1" si="16"/>
        <v>0</v>
      </c>
      <c r="AG63" s="86">
        <f ca="1">IFERROR(__xludf.DUMMYFUNCTION("IMPORTRANGE(""https://docs.google.com/spreadsheets/d/1nYxRXgnCfTXtqUY1otYuTlnrzE0Tn-Y0YRsW5pkRVqo/edit?usp=sharing"",""ปราจีนบุรี!I369"")"),200)</f>
        <v>200</v>
      </c>
      <c r="AH63" s="86">
        <f ca="1">IFERROR(__xludf.DUMMYFUNCTION("IMPORTRANGE(""https://docs.google.com/spreadsheets/d/1nYxRXgnCfTXtqUY1otYuTlnrzE0Tn-Y0YRsW5pkRVqo/edit?usp=sharing"",""ปราจีนบุรี!J368"")"),8)</f>
        <v>8</v>
      </c>
      <c r="AI63" s="86">
        <f ca="1">IFERROR(__xludf.DUMMYFUNCTION("IMPORTRANGE(""https://docs.google.com/spreadsheets/d/1nYxRXgnCfTXtqUY1otYuTlnrzE0Tn-Y0YRsW5pkRVqo/edit?usp=sharing"",""ปราจีนบุรี!J369"")"),322.14)</f>
        <v>322.14</v>
      </c>
      <c r="AJ63" s="87">
        <f t="shared" ca="1" si="46"/>
        <v>161.07</v>
      </c>
      <c r="AK63" s="86">
        <f ca="1">IFERROR(__xludf.DUMMYFUNCTION("IMPORTRANGE(""https://docs.google.com/spreadsheets/d/1nYxRXgnCfTXtqUY1otYuTlnrzE0Tn-Y0YRsW5pkRVqo/edit?usp=sharing"",""ปราจีนบุรี!I370"")"),16)</f>
        <v>16</v>
      </c>
      <c r="AL63" s="86">
        <f ca="1">IFERROR(__xludf.DUMMYFUNCTION("IMPORTRANGE(""https://docs.google.com/spreadsheets/d/1nYxRXgnCfTXtqUY1otYuTlnrzE0Tn-Y0YRsW5pkRVqo/edit?usp=sharing"",""ปราจีนบุรี!J370"")"),0)</f>
        <v>0</v>
      </c>
      <c r="AM63" s="86">
        <f ca="1">IFERROR(__xludf.DUMMYFUNCTION("IMPORTRANGE(""https://docs.google.com/spreadsheets/d/1nYxRXgnCfTXtqUY1otYuTlnrzE0Tn-Y0YRsW5pkRVqo/edit?usp=sharing"",""ปราจีนบุรี!J371"")"),0)</f>
        <v>0</v>
      </c>
      <c r="AN63" s="87">
        <f t="shared" ca="1" si="47"/>
        <v>0</v>
      </c>
      <c r="AO63" s="86">
        <f ca="1">IFERROR(__xludf.DUMMYFUNCTION("IMPORTRANGE(""https://docs.google.com/spreadsheets/d/1nYxRXgnCfTXtqUY1otYuTlnrzE0Tn-Y0YRsW5pkRVqo/edit?usp=sharing"",""ปราจีนบุรี!I372"")"),16)</f>
        <v>16</v>
      </c>
      <c r="AP63" s="86">
        <f ca="1">IFERROR(__xludf.DUMMYFUNCTION("IMPORTRANGE(""https://docs.google.com/spreadsheets/d/1nYxRXgnCfTXtqUY1otYuTlnrzE0Tn-Y0YRsW5pkRVqo/edit?usp=sharing"",""ปราจีนบุรี!J372"")"),0)</f>
        <v>0</v>
      </c>
      <c r="AQ63" s="86">
        <f ca="1">IFERROR(__xludf.DUMMYFUNCTION("IMPORTRANGE(""https://docs.google.com/spreadsheets/d/1nYxRXgnCfTXtqUY1otYuTlnrzE0Tn-Y0YRsW5pkRVqo/edit?usp=sharing"",""ปราจีนบุรี!J373"")"),0)</f>
        <v>0</v>
      </c>
      <c r="AR63" s="87">
        <f t="shared" ca="1" si="48"/>
        <v>0</v>
      </c>
      <c r="AS63" s="86">
        <f ca="1">IFERROR(__xludf.DUMMYFUNCTION("IMPORTRANGE(""https://docs.google.com/spreadsheets/d/1nYxRXgnCfTXtqUY1otYuTlnrzE0Tn-Y0YRsW5pkRVqo/edit?usp=sharing"",""ปราจีนบุรี!I378"")"),300)</f>
        <v>300</v>
      </c>
      <c r="AT63" s="86">
        <f ca="1">IFERROR(__xludf.DUMMYFUNCTION("IMPORTRANGE(""https://docs.google.com/spreadsheets/d/1nYxRXgnCfTXtqUY1otYuTlnrzE0Tn-Y0YRsW5pkRVqo/edit?usp=sharing"",""ปราจีนบุรี!J377"")"),0)</f>
        <v>0</v>
      </c>
      <c r="AU63" s="86">
        <f ca="1">IFERROR(__xludf.DUMMYFUNCTION("IMPORTRANGE(""https://docs.google.com/spreadsheets/d/1nYxRXgnCfTXtqUY1otYuTlnrzE0Tn-Y0YRsW5pkRVqo/edit?usp=sharing"",""ปราจีนบุรี!J378"")"),0)</f>
        <v>0</v>
      </c>
      <c r="AV63" s="87">
        <f t="shared" ca="1" si="49"/>
        <v>0</v>
      </c>
      <c r="AW63" s="86">
        <f ca="1">IFERROR(__xludf.DUMMYFUNCTION("IMPORTRANGE(""https://docs.google.com/spreadsheets/d/1nYxRXgnCfTXtqUY1otYuTlnrzE0Tn-Y0YRsW5pkRVqo/edit?usp=sharing"",""ปราจีนบุรี!I379"")"),64)</f>
        <v>64</v>
      </c>
      <c r="AX63" s="86">
        <f ca="1">IFERROR(__xludf.DUMMYFUNCTION("IMPORTRANGE(""https://docs.google.com/spreadsheets/d/1nYxRXgnCfTXtqUY1otYuTlnrzE0Tn-Y0YRsW5pkRVqo/edit?usp=sharing"",""ปราจีนบุรี!J379"")"),0)</f>
        <v>0</v>
      </c>
      <c r="AY63" s="86">
        <f ca="1">IFERROR(__xludf.DUMMYFUNCTION("IMPORTRANGE(""https://docs.google.com/spreadsheets/d/1nYxRXgnCfTXtqUY1otYuTlnrzE0Tn-Y0YRsW5pkRVqo/edit?usp=sharing"",""ปราจีนบุรี!J380"")"),0)</f>
        <v>0</v>
      </c>
      <c r="AZ63" s="87">
        <f t="shared" ca="1" si="50"/>
        <v>0</v>
      </c>
      <c r="BA63" s="86">
        <f ca="1">IFERROR(__xludf.DUMMYFUNCTION("IMPORTRANGE(""https://docs.google.com/spreadsheets/d/1nYxRXgnCfTXtqUY1otYuTlnrzE0Tn-Y0YRsW5pkRVqo/edit?usp=sharing"",""ปราจีนบุรี!I381"")"),64)</f>
        <v>64</v>
      </c>
      <c r="BB63" s="86">
        <f ca="1">IFERROR(__xludf.DUMMYFUNCTION("IMPORTRANGE(""https://docs.google.com/spreadsheets/d/1nYxRXgnCfTXtqUY1otYuTlnrzE0Tn-Y0YRsW5pkRVqo/edit?usp=sharing"",""ปราจีนบุรี!J381"")"),0)</f>
        <v>0</v>
      </c>
      <c r="BC63" s="86">
        <f ca="1">IFERROR(__xludf.DUMMYFUNCTION("IMPORTRANGE(""https://docs.google.com/spreadsheets/d/1nYxRXgnCfTXtqUY1otYuTlnrzE0Tn-Y0YRsW5pkRVqo/edit?usp=sharing"",""ปราจีนบุรี!J382"")"),0)</f>
        <v>0</v>
      </c>
      <c r="BD63" s="87">
        <f t="shared" ca="1" si="51"/>
        <v>0</v>
      </c>
    </row>
    <row r="64" spans="1:56" ht="21" customHeight="1" x14ac:dyDescent="0.2">
      <c r="A64" s="78">
        <v>12</v>
      </c>
      <c r="B64" s="79" t="s">
        <v>86</v>
      </c>
      <c r="C64" s="80">
        <f t="shared" ca="1" si="0"/>
        <v>292110</v>
      </c>
      <c r="D64" s="81">
        <f t="shared" ca="1" si="88"/>
        <v>216110</v>
      </c>
      <c r="E64" s="82">
        <f ca="1">IFERROR(__xludf.DUMMYFUNCTION("IMPORTRANGE(""https://docs.google.com/spreadsheets/d/1MeEWN-I1oV_STSDYn1IFDPWt_1FKiwhDph83XaGc0o0/edit?usp=sharing"",""งบพรบ!EX64"")"),0)</f>
        <v>0</v>
      </c>
      <c r="F64" s="82">
        <f ca="1">IFERROR(__xludf.DUMMYFUNCTION("IMPORTRANGE(""https://docs.google.com/spreadsheets/d/1MeEWN-I1oV_STSDYn1IFDPWt_1FKiwhDph83XaGc0o0/edit?usp=sharing"",""งบพรบ!EY64"")"),216110)</f>
        <v>216110</v>
      </c>
      <c r="G64" s="82">
        <f ca="1">IFERROR(__xludf.DUMMYFUNCTION("IMPORTRANGE(""https://docs.google.com/spreadsheets/d/1MeEWN-I1oV_STSDYn1IFDPWt_1FKiwhDph83XaGc0o0/edit?usp=sharing"",""งบพรบ!EZ64"")"),76000)</f>
        <v>76000</v>
      </c>
      <c r="H64" s="82">
        <f ca="1">IFERROR(__xludf.DUMMYFUNCTION("IMPORTRANGE(""https://docs.google.com/spreadsheets/d/1MeEWN-I1oV_STSDYn1IFDPWt_1FKiwhDph83XaGc0o0/edit?usp=sharing"",""งบพรบ!FB64"")"),155840)</f>
        <v>155840</v>
      </c>
      <c r="I64" s="82">
        <f ca="1">IFERROR(__xludf.DUMMYFUNCTION("IMPORTRANGE(""https://docs.google.com/spreadsheets/d/1MeEWN-I1oV_STSDYn1IFDPWt_1FKiwhDph83XaGc0o0/edit?usp=sharing"",""งบพรบ!FC64"")"),76000)</f>
        <v>76000</v>
      </c>
      <c r="J64" s="82">
        <f t="shared" ca="1" si="3"/>
        <v>124941.61</v>
      </c>
      <c r="K64" s="83">
        <f t="shared" ca="1" si="4"/>
        <v>42.77210982164253</v>
      </c>
      <c r="L64" s="82">
        <f ca="1">IFERROR(__xludf.DUMMYFUNCTION("IMPORTRANGE(""https://docs.google.com/spreadsheets/d/1MeEWN-I1oV_STSDYn1IFDPWt_1FKiwhDph83XaGc0o0/edit?usp=sharing"",""งบพรบ!FD64"")"),48941.61)</f>
        <v>48941.61</v>
      </c>
      <c r="M64" s="84">
        <f t="shared" ca="1" si="5"/>
        <v>22.646619776965434</v>
      </c>
      <c r="N64" s="84">
        <f t="shared" ca="1" si="6"/>
        <v>31.405037217659139</v>
      </c>
      <c r="O64" s="85">
        <f ca="1">IFERROR(__xludf.DUMMYFUNCTION("IMPORTRANGE(""https://docs.google.com/spreadsheets/d/1MeEWN-I1oV_STSDYn1IFDPWt_1FKiwhDph83XaGc0o0/edit?usp=sharing"",""งบพรบ!FE64"")"),76000)</f>
        <v>76000</v>
      </c>
      <c r="P64" s="84">
        <f t="shared" ca="1" si="53"/>
        <v>100</v>
      </c>
      <c r="Q64" s="84">
        <f t="shared" ca="1" si="8"/>
        <v>100</v>
      </c>
      <c r="R64" s="86">
        <f ca="1">IFERROR(__xludf.DUMMYFUNCTION("IMPORTRANGE(""https://docs.google.com/spreadsheets/d/1nNHCLO8ZAXOMfQvxux7cf_hrzPAh8FAvaHq_ClKbZNo/edit?usp=sharing"",""พระนครศรีอยุธยา!I359"")"),0)</f>
        <v>0</v>
      </c>
      <c r="S64" s="86">
        <f ca="1">IFERROR(__xludf.DUMMYFUNCTION("IMPORTRANGE(""https://docs.google.com/spreadsheets/d/1nNHCLO8ZAXOMfQvxux7cf_hrzPAh8FAvaHq_ClKbZNo/edit?usp=sharing"",""พระนครศรีอยุธยา!J358"")"),0)</f>
        <v>0</v>
      </c>
      <c r="T64" s="86">
        <f ca="1">IFERROR(__xludf.DUMMYFUNCTION("IMPORTRANGE(""https://docs.google.com/spreadsheets/d/1nNHCLO8ZAXOMfQvxux7cf_hrzPAh8FAvaHq_ClKbZNo/edit?usp=sharing"",""พระนครศรีอยุธยา!J359"")"),0)</f>
        <v>0</v>
      </c>
      <c r="U64" s="87">
        <f t="shared" ca="1" si="43"/>
        <v>0</v>
      </c>
      <c r="V64" s="86">
        <f ca="1">IFERROR(__xludf.DUMMYFUNCTION("IMPORTRANGE(""https://docs.google.com/spreadsheets/d/1nNHCLO8ZAXOMfQvxux7cf_hrzPAh8FAvaHq_ClKbZNo/edit?usp=sharing"",""พระนครศรีอยุธยา!I360"")"),0)</f>
        <v>0</v>
      </c>
      <c r="W64" s="86">
        <f ca="1">IFERROR(__xludf.DUMMYFUNCTION("IMPORTRANGE(""https://docs.google.com/spreadsheets/d/1nNHCLO8ZAXOMfQvxux7cf_hrzPAh8FAvaHq_ClKbZNo/edit?usp=sharing"",""พระนครศรีอยุธยา!J360"")"),0)</f>
        <v>0</v>
      </c>
      <c r="X64" s="86">
        <f ca="1">IFERROR(__xludf.DUMMYFUNCTION("IMPORTRANGE(""https://docs.google.com/spreadsheets/d/1nNHCLO8ZAXOMfQvxux7cf_hrzPAh8FAvaHq_ClKbZNo/edit?usp=sharing"",""พระนครศรีอยุธยา!J361"")"),0)</f>
        <v>0</v>
      </c>
      <c r="Y64" s="87">
        <f t="shared" ca="1" si="44"/>
        <v>0</v>
      </c>
      <c r="Z64" s="86">
        <f ca="1">IFERROR(__xludf.DUMMYFUNCTION("IMPORTRANGE(""https://docs.google.com/spreadsheets/d/1nNHCLO8ZAXOMfQvxux7cf_hrzPAh8FAvaHq_ClKbZNo/edit?usp=sharing"",""พระนครศรีอยุธยา!I362"")"),0)</f>
        <v>0</v>
      </c>
      <c r="AA64" s="86">
        <f ca="1">IFERROR(__xludf.DUMMYFUNCTION("IMPORTRANGE(""https://docs.google.com/spreadsheets/d/1nNHCLO8ZAXOMfQvxux7cf_hrzPAh8FAvaHq_ClKbZNo/edit?usp=sharing"",""พระนครศรีอยุธยา!J362"")"),0)</f>
        <v>0</v>
      </c>
      <c r="AB64" s="86">
        <f ca="1">IFERROR(__xludf.DUMMYFUNCTION("IMPORTRANGE(""https://docs.google.com/spreadsheets/d/1nNHCLO8ZAXOMfQvxux7cf_hrzPAh8FAvaHq_ClKbZNo/edit?usp=sharing"",""พระนครศรีอยุธยา!J363"")"),0)</f>
        <v>0</v>
      </c>
      <c r="AC64" s="87">
        <f t="shared" ca="1" si="45"/>
        <v>0</v>
      </c>
      <c r="AD64" s="86">
        <f ca="1">IFERROR(__xludf.DUMMYFUNCTION("IMPORTRANGE(""https://docs.google.com/spreadsheets/d/1nNHCLO8ZAXOMfQvxux7cf_hrzPAh8FAvaHq_ClKbZNo/edit?usp=sharing"",""พระนครศรีอยุธยา!I364"")"),0)</f>
        <v>0</v>
      </c>
      <c r="AE64" s="86">
        <f ca="1">IFERROR(__xludf.DUMMYFUNCTION("IMPORTRANGE(""https://docs.google.com/spreadsheets/d/1nNHCLO8ZAXOMfQvxux7cf_hrzPAh8FAvaHq_ClKbZNo/edit?usp=sharing"",""พระนครศรีอยุธยา!J364"")"),0)</f>
        <v>0</v>
      </c>
      <c r="AF64" s="87">
        <f t="shared" ca="1" si="16"/>
        <v>0</v>
      </c>
      <c r="AG64" s="86">
        <f ca="1">IFERROR(__xludf.DUMMYFUNCTION("IMPORTRANGE(""https://docs.google.com/spreadsheets/d/1nNHCLO8ZAXOMfQvxux7cf_hrzPAh8FAvaHq_ClKbZNo/edit?usp=sharing"",""พระนครศรีอยุธยา!I369"")"),0)</f>
        <v>0</v>
      </c>
      <c r="AH64" s="86">
        <f ca="1">IFERROR(__xludf.DUMMYFUNCTION("IMPORTRANGE(""https://docs.google.com/spreadsheets/d/1nNHCLO8ZAXOMfQvxux7cf_hrzPAh8FAvaHq_ClKbZNo/edit?usp=sharing"",""พระนครศรีอยุธยา!J368"")"),0)</f>
        <v>0</v>
      </c>
      <c r="AI64" s="86">
        <f ca="1">IFERROR(__xludf.DUMMYFUNCTION("IMPORTRANGE(""https://docs.google.com/spreadsheets/d/1nNHCLO8ZAXOMfQvxux7cf_hrzPAh8FAvaHq_ClKbZNo/edit?usp=sharing"",""พระนครศรีอยุธยา!J369"")"),0)</f>
        <v>0</v>
      </c>
      <c r="AJ64" s="87">
        <f t="shared" ca="1" si="46"/>
        <v>0</v>
      </c>
      <c r="AK64" s="86">
        <f ca="1">IFERROR(__xludf.DUMMYFUNCTION("IMPORTRANGE(""https://docs.google.com/spreadsheets/d/1nNHCLO8ZAXOMfQvxux7cf_hrzPAh8FAvaHq_ClKbZNo/edit?usp=sharing"",""พระนครศรีอยุธยา!I370"")"),0)</f>
        <v>0</v>
      </c>
      <c r="AL64" s="86">
        <f ca="1">IFERROR(__xludf.DUMMYFUNCTION("IMPORTRANGE(""https://docs.google.com/spreadsheets/d/1nNHCLO8ZAXOMfQvxux7cf_hrzPAh8FAvaHq_ClKbZNo/edit?usp=sharing"",""พระนครศรีอยุธยา!J370"")"),0)</f>
        <v>0</v>
      </c>
      <c r="AM64" s="86">
        <f ca="1">IFERROR(__xludf.DUMMYFUNCTION("IMPORTRANGE(""https://docs.google.com/spreadsheets/d/1nNHCLO8ZAXOMfQvxux7cf_hrzPAh8FAvaHq_ClKbZNo/edit?usp=sharing"",""พระนครศรีอยุธยา!J371"")"),0)</f>
        <v>0</v>
      </c>
      <c r="AN64" s="87">
        <f t="shared" ca="1" si="47"/>
        <v>0</v>
      </c>
      <c r="AO64" s="86">
        <f ca="1">IFERROR(__xludf.DUMMYFUNCTION("IMPORTRANGE(""https://docs.google.com/spreadsheets/d/1nNHCLO8ZAXOMfQvxux7cf_hrzPAh8FAvaHq_ClKbZNo/edit?usp=sharing"",""พระนครศรีอยุธยา!I372"")"),0)</f>
        <v>0</v>
      </c>
      <c r="AP64" s="86">
        <f ca="1">IFERROR(__xludf.DUMMYFUNCTION("IMPORTRANGE(""https://docs.google.com/spreadsheets/d/1nNHCLO8ZAXOMfQvxux7cf_hrzPAh8FAvaHq_ClKbZNo/edit?usp=sharing"",""พระนครศรีอยุธยา!J372"")"),0)</f>
        <v>0</v>
      </c>
      <c r="AQ64" s="86">
        <f ca="1">IFERROR(__xludf.DUMMYFUNCTION("IMPORTRANGE(""https://docs.google.com/spreadsheets/d/1nNHCLO8ZAXOMfQvxux7cf_hrzPAh8FAvaHq_ClKbZNo/edit?usp=sharing"",""พระนครศรีอยุธยา!J373"")"),0)</f>
        <v>0</v>
      </c>
      <c r="AR64" s="87">
        <f t="shared" ca="1" si="48"/>
        <v>0</v>
      </c>
      <c r="AS64" s="86">
        <f ca="1">IFERROR(__xludf.DUMMYFUNCTION("IMPORTRANGE(""https://docs.google.com/spreadsheets/d/1nNHCLO8ZAXOMfQvxux7cf_hrzPAh8FAvaHq_ClKbZNo/edit?usp=sharing"",""พระนครศรีอยุธยา!I378"")"),0)</f>
        <v>0</v>
      </c>
      <c r="AT64" s="86">
        <f ca="1">IFERROR(__xludf.DUMMYFUNCTION("IMPORTRANGE(""https://docs.google.com/spreadsheets/d/1nNHCLO8ZAXOMfQvxux7cf_hrzPAh8FAvaHq_ClKbZNo/edit?usp=sharing"",""พระนครศรีอยุธยา!J377"")"),0)</f>
        <v>0</v>
      </c>
      <c r="AU64" s="86">
        <f ca="1">IFERROR(__xludf.DUMMYFUNCTION("IMPORTRANGE(""https://docs.google.com/spreadsheets/d/1nNHCLO8ZAXOMfQvxux7cf_hrzPAh8FAvaHq_ClKbZNo/edit?usp=sharing"",""พระนครศรีอยุธยา!J378"")"),0)</f>
        <v>0</v>
      </c>
      <c r="AV64" s="87">
        <f t="shared" ca="1" si="49"/>
        <v>0</v>
      </c>
      <c r="AW64" s="86">
        <f ca="1">IFERROR(__xludf.DUMMYFUNCTION("IMPORTRANGE(""https://docs.google.com/spreadsheets/d/1nNHCLO8ZAXOMfQvxux7cf_hrzPAh8FAvaHq_ClKbZNo/edit?usp=sharing"",""พระนครศรีอยุธยา!I379"")"),0)</f>
        <v>0</v>
      </c>
      <c r="AX64" s="86">
        <f ca="1">IFERROR(__xludf.DUMMYFUNCTION("IMPORTRANGE(""https://docs.google.com/spreadsheets/d/1nNHCLO8ZAXOMfQvxux7cf_hrzPAh8FAvaHq_ClKbZNo/edit?usp=sharing"",""พระนครศรีอยุธยา!J379"")"),0)</f>
        <v>0</v>
      </c>
      <c r="AY64" s="86">
        <f ca="1">IFERROR(__xludf.DUMMYFUNCTION("IMPORTRANGE(""https://docs.google.com/spreadsheets/d/1nNHCLO8ZAXOMfQvxux7cf_hrzPAh8FAvaHq_ClKbZNo/edit?usp=sharing"",""พระนครศรีอยุธยา!J380"")"),0)</f>
        <v>0</v>
      </c>
      <c r="AZ64" s="87">
        <f t="shared" ca="1" si="50"/>
        <v>0</v>
      </c>
      <c r="BA64" s="86">
        <f ca="1">IFERROR(__xludf.DUMMYFUNCTION("IMPORTRANGE(""https://docs.google.com/spreadsheets/d/1nNHCLO8ZAXOMfQvxux7cf_hrzPAh8FAvaHq_ClKbZNo/edit?usp=sharing"",""พระนครศรีอยุธยา!I381"")"),0)</f>
        <v>0</v>
      </c>
      <c r="BB64" s="86">
        <f ca="1">IFERROR(__xludf.DUMMYFUNCTION("IMPORTRANGE(""https://docs.google.com/spreadsheets/d/1nNHCLO8ZAXOMfQvxux7cf_hrzPAh8FAvaHq_ClKbZNo/edit?usp=sharing"",""พระนครศรีอยุธยา!J381"")"),0)</f>
        <v>0</v>
      </c>
      <c r="BC64" s="86">
        <f ca="1">IFERROR(__xludf.DUMMYFUNCTION("IMPORTRANGE(""https://docs.google.com/spreadsheets/d/1nNHCLO8ZAXOMfQvxux7cf_hrzPAh8FAvaHq_ClKbZNo/edit?usp=sharing"",""พระนครศรีอยุธยา!J382"")"),0)</f>
        <v>0</v>
      </c>
      <c r="BD64" s="87">
        <f t="shared" ca="1" si="51"/>
        <v>0</v>
      </c>
    </row>
    <row r="65" spans="1:56" ht="21" customHeight="1" x14ac:dyDescent="0.2">
      <c r="A65" s="78">
        <v>13</v>
      </c>
      <c r="B65" s="79" t="s">
        <v>87</v>
      </c>
      <c r="C65" s="80">
        <f t="shared" ca="1" si="0"/>
        <v>466680</v>
      </c>
      <c r="D65" s="81">
        <f t="shared" ca="1" si="88"/>
        <v>420680</v>
      </c>
      <c r="E65" s="82">
        <f ca="1">IFERROR(__xludf.DUMMYFUNCTION("IMPORTRANGE(""https://docs.google.com/spreadsheets/d/1MeEWN-I1oV_STSDYn1IFDPWt_1FKiwhDph83XaGc0o0/edit?usp=sharing"",""งบพรบ!EX65"")"),201600)</f>
        <v>201600</v>
      </c>
      <c r="F65" s="82">
        <f ca="1">IFERROR(__xludf.DUMMYFUNCTION("IMPORTRANGE(""https://docs.google.com/spreadsheets/d/1MeEWN-I1oV_STSDYn1IFDPWt_1FKiwhDph83XaGc0o0/edit?usp=sharing"",""งบพรบ!EY65"")"),219080)</f>
        <v>219080</v>
      </c>
      <c r="G65" s="82">
        <f ca="1">IFERROR(__xludf.DUMMYFUNCTION("IMPORTRANGE(""https://docs.google.com/spreadsheets/d/1MeEWN-I1oV_STSDYn1IFDPWt_1FKiwhDph83XaGc0o0/edit?usp=sharing"",""งบพรบ!EZ65"")"),46000)</f>
        <v>46000</v>
      </c>
      <c r="H65" s="82">
        <f ca="1">IFERROR(__xludf.DUMMYFUNCTION("IMPORTRANGE(""https://docs.google.com/spreadsheets/d/1MeEWN-I1oV_STSDYn1IFDPWt_1FKiwhDph83XaGc0o0/edit?usp=sharing"",""งบพรบ!FB65"")"),309040)</f>
        <v>309040</v>
      </c>
      <c r="I65" s="82">
        <f ca="1">IFERROR(__xludf.DUMMYFUNCTION("IMPORTRANGE(""https://docs.google.com/spreadsheets/d/1MeEWN-I1oV_STSDYn1IFDPWt_1FKiwhDph83XaGc0o0/edit?usp=sharing"",""งบพรบ!FC65"")"),46000)</f>
        <v>46000</v>
      </c>
      <c r="J65" s="82">
        <f t="shared" ca="1" si="3"/>
        <v>161409</v>
      </c>
      <c r="K65" s="83">
        <f t="shared" ca="1" si="4"/>
        <v>34.586654667009512</v>
      </c>
      <c r="L65" s="82">
        <f ca="1">IFERROR(__xludf.DUMMYFUNCTION("IMPORTRANGE(""https://docs.google.com/spreadsheets/d/1MeEWN-I1oV_STSDYn1IFDPWt_1FKiwhDph83XaGc0o0/edit?usp=sharing"",""งบพรบ!FD65"")"),115409)</f>
        <v>115409</v>
      </c>
      <c r="M65" s="84">
        <f t="shared" ca="1" si="5"/>
        <v>27.433916516116764</v>
      </c>
      <c r="N65" s="84">
        <f t="shared" ca="1" si="6"/>
        <v>37.344356717577014</v>
      </c>
      <c r="O65" s="85">
        <f ca="1">IFERROR(__xludf.DUMMYFUNCTION("IMPORTRANGE(""https://docs.google.com/spreadsheets/d/1MeEWN-I1oV_STSDYn1IFDPWt_1FKiwhDph83XaGc0o0/edit?usp=sharing"",""งบพรบ!FE65"")"),46000)</f>
        <v>46000</v>
      </c>
      <c r="P65" s="84">
        <f t="shared" ca="1" si="53"/>
        <v>100</v>
      </c>
      <c r="Q65" s="84">
        <f t="shared" ca="1" si="8"/>
        <v>100</v>
      </c>
      <c r="R65" s="86">
        <f ca="1">IFERROR(__xludf.DUMMYFUNCTION("IMPORTRANGE(""https://docs.google.com/spreadsheets/d/1CdNicvf3i6yt4tJlCePe3V1Va76wYqW0QzMzTsaGRrA/edit?usp=sharing"",""เพชรบุรี!I359"")"),150)</f>
        <v>150</v>
      </c>
      <c r="S65" s="86">
        <f ca="1">IFERROR(__xludf.DUMMYFUNCTION("IMPORTRANGE(""https://docs.google.com/spreadsheets/d/1CdNicvf3i6yt4tJlCePe3V1Va76wYqW0QzMzTsaGRrA/edit?usp=sharing"",""เพชรบุรี!J358"")"),0)</f>
        <v>0</v>
      </c>
      <c r="T65" s="86">
        <f ca="1">IFERROR(__xludf.DUMMYFUNCTION("IMPORTRANGE(""https://docs.google.com/spreadsheets/d/1CdNicvf3i6yt4tJlCePe3V1Va76wYqW0QzMzTsaGRrA/edit?usp=sharing"",""เพชรบุรี!J359"")"),0)</f>
        <v>0</v>
      </c>
      <c r="U65" s="87">
        <f t="shared" ca="1" si="43"/>
        <v>0</v>
      </c>
      <c r="V65" s="86">
        <f ca="1">IFERROR(__xludf.DUMMYFUNCTION("IMPORTRANGE(""https://docs.google.com/spreadsheets/d/1CdNicvf3i6yt4tJlCePe3V1Va76wYqW0QzMzTsaGRrA/edit?usp=sharing"",""เพชรบุรี!I360"")"),14)</f>
        <v>14</v>
      </c>
      <c r="W65" s="86">
        <f ca="1">IFERROR(__xludf.DUMMYFUNCTION("IMPORTRANGE(""https://docs.google.com/spreadsheets/d/1CdNicvf3i6yt4tJlCePe3V1Va76wYqW0QzMzTsaGRrA/edit?usp=sharing"",""เพชรบุรี!J360"")"),0)</f>
        <v>0</v>
      </c>
      <c r="X65" s="86">
        <f ca="1">IFERROR(__xludf.DUMMYFUNCTION("IMPORTRANGE(""https://docs.google.com/spreadsheets/d/1CdNicvf3i6yt4tJlCePe3V1Va76wYqW0QzMzTsaGRrA/edit?usp=sharing"",""เพชรบุรี!J361"")"),0)</f>
        <v>0</v>
      </c>
      <c r="Y65" s="87">
        <f t="shared" ca="1" si="44"/>
        <v>0</v>
      </c>
      <c r="Z65" s="86">
        <f ca="1">IFERROR(__xludf.DUMMYFUNCTION("IMPORTRANGE(""https://docs.google.com/spreadsheets/d/1CdNicvf3i6yt4tJlCePe3V1Va76wYqW0QzMzTsaGRrA/edit?usp=sharing"",""เพชรบุรี!I362"")"),14)</f>
        <v>14</v>
      </c>
      <c r="AA65" s="86">
        <f ca="1">IFERROR(__xludf.DUMMYFUNCTION("IMPORTRANGE(""https://docs.google.com/spreadsheets/d/1CdNicvf3i6yt4tJlCePe3V1Va76wYqW0QzMzTsaGRrA/edit?usp=sharing"",""เพชรบุรี!J362"")"),0)</f>
        <v>0</v>
      </c>
      <c r="AB65" s="86">
        <f ca="1">IFERROR(__xludf.DUMMYFUNCTION("IMPORTRANGE(""https://docs.google.com/spreadsheets/d/1CdNicvf3i6yt4tJlCePe3V1Va76wYqW0QzMzTsaGRrA/edit?usp=sharing"",""เพชรบุรี!J363"")"),0)</f>
        <v>0</v>
      </c>
      <c r="AC65" s="87">
        <f t="shared" ca="1" si="45"/>
        <v>0</v>
      </c>
      <c r="AD65" s="86">
        <f ca="1">IFERROR(__xludf.DUMMYFUNCTION("IMPORTRANGE(""https://docs.google.com/spreadsheets/d/1CdNicvf3i6yt4tJlCePe3V1Va76wYqW0QzMzTsaGRrA/edit?usp=sharing"",""เพชรบุรี!I364"")"),54)</f>
        <v>54</v>
      </c>
      <c r="AE65" s="86">
        <f ca="1">IFERROR(__xludf.DUMMYFUNCTION("IMPORTRANGE(""https://docs.google.com/spreadsheets/d/1CdNicvf3i6yt4tJlCePe3V1Va76wYqW0QzMzTsaGRrA/edit?usp=sharing"",""เพชรบุรี!J364"")"),9)</f>
        <v>9</v>
      </c>
      <c r="AF65" s="87">
        <f t="shared" ca="1" si="16"/>
        <v>16.666666666666668</v>
      </c>
      <c r="AG65" s="86">
        <f ca="1">IFERROR(__xludf.DUMMYFUNCTION("IMPORTRANGE(""https://docs.google.com/spreadsheets/d/1CdNicvf3i6yt4tJlCePe3V1Va76wYqW0QzMzTsaGRrA/edit?usp=sharing"",""เพชรบุรี!I369"")"),50)</f>
        <v>50</v>
      </c>
      <c r="AH65" s="86">
        <f ca="1">IFERROR(__xludf.DUMMYFUNCTION("IMPORTRANGE(""https://docs.google.com/spreadsheets/d/1CdNicvf3i6yt4tJlCePe3V1Va76wYqW0QzMzTsaGRrA/edit?usp=sharing"",""เพชรบุรี!J368"")"),0)</f>
        <v>0</v>
      </c>
      <c r="AI65" s="86">
        <f ca="1">IFERROR(__xludf.DUMMYFUNCTION("IMPORTRANGE(""https://docs.google.com/spreadsheets/d/1CdNicvf3i6yt4tJlCePe3V1Va76wYqW0QzMzTsaGRrA/edit?usp=sharing"",""เพชรบุรี!J369"")"),0)</f>
        <v>0</v>
      </c>
      <c r="AJ65" s="87">
        <f t="shared" ca="1" si="46"/>
        <v>0</v>
      </c>
      <c r="AK65" s="86">
        <f ca="1">IFERROR(__xludf.DUMMYFUNCTION("IMPORTRANGE(""https://docs.google.com/spreadsheets/d/1CdNicvf3i6yt4tJlCePe3V1Va76wYqW0QzMzTsaGRrA/edit?usp=sharing"",""เพชรบุรี!I370"")"),4)</f>
        <v>4</v>
      </c>
      <c r="AL65" s="86">
        <f ca="1">IFERROR(__xludf.DUMMYFUNCTION("IMPORTRANGE(""https://docs.google.com/spreadsheets/d/1CdNicvf3i6yt4tJlCePe3V1Va76wYqW0QzMzTsaGRrA/edit?usp=sharing"",""เพชรบุรี!J370"")"),0)</f>
        <v>0</v>
      </c>
      <c r="AM65" s="86">
        <f ca="1">IFERROR(__xludf.DUMMYFUNCTION("IMPORTRANGE(""https://docs.google.com/spreadsheets/d/1CdNicvf3i6yt4tJlCePe3V1Va76wYqW0QzMzTsaGRrA/edit?usp=sharing"",""เพชรบุรี!J371"")"),0)</f>
        <v>0</v>
      </c>
      <c r="AN65" s="87">
        <f t="shared" ca="1" si="47"/>
        <v>0</v>
      </c>
      <c r="AO65" s="86">
        <f ca="1">IFERROR(__xludf.DUMMYFUNCTION("IMPORTRANGE(""https://docs.google.com/spreadsheets/d/1CdNicvf3i6yt4tJlCePe3V1Va76wYqW0QzMzTsaGRrA/edit?usp=sharing"",""เพชรบุรี!I372"")"),4)</f>
        <v>4</v>
      </c>
      <c r="AP65" s="86">
        <f ca="1">IFERROR(__xludf.DUMMYFUNCTION("IMPORTRANGE(""https://docs.google.com/spreadsheets/d/1CdNicvf3i6yt4tJlCePe3V1Va76wYqW0QzMzTsaGRrA/edit?usp=sharing"",""เพชรบุรี!J372"")"),0)</f>
        <v>0</v>
      </c>
      <c r="AQ65" s="86">
        <f ca="1">IFERROR(__xludf.DUMMYFUNCTION("IMPORTRANGE(""https://docs.google.com/spreadsheets/d/1CdNicvf3i6yt4tJlCePe3V1Va76wYqW0QzMzTsaGRrA/edit?usp=sharing"",""เพชรบุรี!J373"")"),0)</f>
        <v>0</v>
      </c>
      <c r="AR65" s="87">
        <f t="shared" ca="1" si="48"/>
        <v>0</v>
      </c>
      <c r="AS65" s="86">
        <f ca="1">IFERROR(__xludf.DUMMYFUNCTION("IMPORTRANGE(""https://docs.google.com/spreadsheets/d/1CdNicvf3i6yt4tJlCePe3V1Va76wYqW0QzMzTsaGRrA/edit?usp=sharing"",""เพชรบุรี!I378"")"),100)</f>
        <v>100</v>
      </c>
      <c r="AT65" s="86">
        <f ca="1">IFERROR(__xludf.DUMMYFUNCTION("IMPORTRANGE(""https://docs.google.com/spreadsheets/d/1CdNicvf3i6yt4tJlCePe3V1Va76wYqW0QzMzTsaGRrA/edit?usp=sharing"",""เพชรบุรี!J377"")"),0)</f>
        <v>0</v>
      </c>
      <c r="AU65" s="86">
        <f ca="1">IFERROR(__xludf.DUMMYFUNCTION("IMPORTRANGE(""https://docs.google.com/spreadsheets/d/1CdNicvf3i6yt4tJlCePe3V1Va76wYqW0QzMzTsaGRrA/edit?usp=sharing"",""เพชรบุรี!J378"")"),0)</f>
        <v>0</v>
      </c>
      <c r="AV65" s="87">
        <f t="shared" ca="1" si="49"/>
        <v>0</v>
      </c>
      <c r="AW65" s="86">
        <f ca="1">IFERROR(__xludf.DUMMYFUNCTION("IMPORTRANGE(""https://docs.google.com/spreadsheets/d/1CdNicvf3i6yt4tJlCePe3V1Va76wYqW0QzMzTsaGRrA/edit?usp=sharing"",""เพชรบุรี!I379"")"),50)</f>
        <v>50</v>
      </c>
      <c r="AX65" s="86">
        <f ca="1">IFERROR(__xludf.DUMMYFUNCTION("IMPORTRANGE(""https://docs.google.com/spreadsheets/d/1CdNicvf3i6yt4tJlCePe3V1Va76wYqW0QzMzTsaGRrA/edit?usp=sharing"",""เพชรบุรี!J379"")"),9)</f>
        <v>9</v>
      </c>
      <c r="AY65" s="86">
        <f ca="1">IFERROR(__xludf.DUMMYFUNCTION("IMPORTRANGE(""https://docs.google.com/spreadsheets/d/1CdNicvf3i6yt4tJlCePe3V1Va76wYqW0QzMzTsaGRrA/edit?usp=sharing"",""เพชรบุรี!J380"")"),134.71)</f>
        <v>134.71</v>
      </c>
      <c r="AZ65" s="87">
        <f t="shared" ca="1" si="50"/>
        <v>18</v>
      </c>
      <c r="BA65" s="86">
        <f ca="1">IFERROR(__xludf.DUMMYFUNCTION("IMPORTRANGE(""https://docs.google.com/spreadsheets/d/1CdNicvf3i6yt4tJlCePe3V1Va76wYqW0QzMzTsaGRrA/edit?usp=sharing"",""เพชรบุรี!I381"")"),50)</f>
        <v>50</v>
      </c>
      <c r="BB65" s="86">
        <f ca="1">IFERROR(__xludf.DUMMYFUNCTION("IMPORTRANGE(""https://docs.google.com/spreadsheets/d/1CdNicvf3i6yt4tJlCePe3V1Va76wYqW0QzMzTsaGRrA/edit?usp=sharing"",""เพชรบุรี!J381"")"),9)</f>
        <v>9</v>
      </c>
      <c r="BC65" s="86">
        <f ca="1">IFERROR(__xludf.DUMMYFUNCTION("IMPORTRANGE(""https://docs.google.com/spreadsheets/d/1CdNicvf3i6yt4tJlCePe3V1Va76wYqW0QzMzTsaGRrA/edit?usp=sharing"",""เพชรบุรี!J382"")"),189.51)</f>
        <v>189.51</v>
      </c>
      <c r="BD65" s="87">
        <f t="shared" ca="1" si="51"/>
        <v>18</v>
      </c>
    </row>
    <row r="66" spans="1:56" ht="21" customHeight="1" x14ac:dyDescent="0.2">
      <c r="A66" s="78">
        <v>14</v>
      </c>
      <c r="B66" s="79" t="s">
        <v>88</v>
      </c>
      <c r="C66" s="80">
        <f t="shared" ca="1" si="0"/>
        <v>824120</v>
      </c>
      <c r="D66" s="81">
        <f t="shared" ca="1" si="88"/>
        <v>611920</v>
      </c>
      <c r="E66" s="82">
        <f ca="1">IFERROR(__xludf.DUMMYFUNCTION("IMPORTRANGE(""https://docs.google.com/spreadsheets/d/1MeEWN-I1oV_STSDYn1IFDPWt_1FKiwhDph83XaGc0o0/edit?usp=sharing"",""งบพรบ!EX66"")"),315600)</f>
        <v>315600</v>
      </c>
      <c r="F66" s="82">
        <f ca="1">IFERROR(__xludf.DUMMYFUNCTION("IMPORTRANGE(""https://docs.google.com/spreadsheets/d/1MeEWN-I1oV_STSDYn1IFDPWt_1FKiwhDph83XaGc0o0/edit?usp=sharing"",""งบพรบ!EY66"")"),296320)</f>
        <v>296320</v>
      </c>
      <c r="G66" s="82">
        <f ca="1">IFERROR(__xludf.DUMMYFUNCTION("IMPORTRANGE(""https://docs.google.com/spreadsheets/d/1MeEWN-I1oV_STSDYn1IFDPWt_1FKiwhDph83XaGc0o0/edit?usp=sharing"",""งบพรบ!EZ66"")"),212200)</f>
        <v>212200</v>
      </c>
      <c r="H66" s="82">
        <f ca="1">IFERROR(__xludf.DUMMYFUNCTION("IMPORTRANGE(""https://docs.google.com/spreadsheets/d/1MeEWN-I1oV_STSDYn1IFDPWt_1FKiwhDph83XaGc0o0/edit?usp=sharing"",""งบพรบ!FB66"")"),434190)</f>
        <v>434190</v>
      </c>
      <c r="I66" s="82">
        <f ca="1">IFERROR(__xludf.DUMMYFUNCTION("IMPORTRANGE(""https://docs.google.com/spreadsheets/d/1MeEWN-I1oV_STSDYn1IFDPWt_1FKiwhDph83XaGc0o0/edit?usp=sharing"",""งบพรบ!FC66"")"),212200)</f>
        <v>212200</v>
      </c>
      <c r="J66" s="82">
        <f t="shared" ca="1" si="3"/>
        <v>419753.1</v>
      </c>
      <c r="K66" s="83">
        <f t="shared" ca="1" si="4"/>
        <v>50.933492695238556</v>
      </c>
      <c r="L66" s="82">
        <f ca="1">IFERROR(__xludf.DUMMYFUNCTION("IMPORTRANGE(""https://docs.google.com/spreadsheets/d/1MeEWN-I1oV_STSDYn1IFDPWt_1FKiwhDph83XaGc0o0/edit?usp=sharing"",""งบพรบ!FD66"")"),207553.1)</f>
        <v>207553.1</v>
      </c>
      <c r="M66" s="84">
        <f t="shared" ca="1" si="5"/>
        <v>33.9183389985619</v>
      </c>
      <c r="N66" s="84">
        <f t="shared" ca="1" si="6"/>
        <v>47.802367627075704</v>
      </c>
      <c r="O66" s="85">
        <f ca="1">IFERROR(__xludf.DUMMYFUNCTION("IMPORTRANGE(""https://docs.google.com/spreadsheets/d/1MeEWN-I1oV_STSDYn1IFDPWt_1FKiwhDph83XaGc0o0/edit?usp=sharing"",""งบพรบ!FE66"")"),212200)</f>
        <v>212200</v>
      </c>
      <c r="P66" s="84">
        <f t="shared" ca="1" si="53"/>
        <v>100</v>
      </c>
      <c r="Q66" s="84">
        <f t="shared" ca="1" si="8"/>
        <v>100</v>
      </c>
      <c r="R66" s="86">
        <f ca="1">IFERROR(__xludf.DUMMYFUNCTION("IMPORTRANGE(""https://docs.google.com/spreadsheets/d/1XiF77UIVHV0Kjc6xbXuOuJ10WgJYxd4p_22ngKVV5oM/edit?usp=sharing"",""ระยอง!I359"")"),900)</f>
        <v>900</v>
      </c>
      <c r="S66" s="86">
        <f ca="1">IFERROR(__xludf.DUMMYFUNCTION("IMPORTRANGE(""https://docs.google.com/spreadsheets/d/1XiF77UIVHV0Kjc6xbXuOuJ10WgJYxd4p_22ngKVV5oM/edit?usp=sharing"",""ระยอง!J358"")"),60)</f>
        <v>60</v>
      </c>
      <c r="T66" s="86">
        <f ca="1">IFERROR(__xludf.DUMMYFUNCTION("IMPORTRANGE(""https://docs.google.com/spreadsheets/d/1XiF77UIVHV0Kjc6xbXuOuJ10WgJYxd4p_22ngKVV5oM/edit?usp=sharing"",""ระยอง!J359"")"),722.38)</f>
        <v>722.38</v>
      </c>
      <c r="U66" s="87">
        <f t="shared" ca="1" si="43"/>
        <v>80.26444444444445</v>
      </c>
      <c r="V66" s="86">
        <f ca="1">IFERROR(__xludf.DUMMYFUNCTION("IMPORTRANGE(""https://docs.google.com/spreadsheets/d/1XiF77UIVHV0Kjc6xbXuOuJ10WgJYxd4p_22ngKVV5oM/edit?usp=sharing"",""ระยอง!I360"")"),110)</f>
        <v>110</v>
      </c>
      <c r="W66" s="86">
        <f ca="1">IFERROR(__xludf.DUMMYFUNCTION("IMPORTRANGE(""https://docs.google.com/spreadsheets/d/1XiF77UIVHV0Kjc6xbXuOuJ10WgJYxd4p_22ngKVV5oM/edit?usp=sharing"",""ระยอง!J360"")"),4)</f>
        <v>4</v>
      </c>
      <c r="X66" s="86">
        <f ca="1">IFERROR(__xludf.DUMMYFUNCTION("IMPORTRANGE(""https://docs.google.com/spreadsheets/d/1XiF77UIVHV0Kjc6xbXuOuJ10WgJYxd4p_22ngKVV5oM/edit?usp=sharing"",""ระยอง!J361"")"),114)</f>
        <v>114</v>
      </c>
      <c r="Y66" s="87">
        <f t="shared" ca="1" si="44"/>
        <v>3.6363636363636362</v>
      </c>
      <c r="Z66" s="86">
        <f ca="1">IFERROR(__xludf.DUMMYFUNCTION("IMPORTRANGE(""https://docs.google.com/spreadsheets/d/1XiF77UIVHV0Kjc6xbXuOuJ10WgJYxd4p_22ngKVV5oM/edit?usp=sharing"",""ระยอง!I362"")"),110)</f>
        <v>110</v>
      </c>
      <c r="AA66" s="86">
        <f ca="1">IFERROR(__xludf.DUMMYFUNCTION("IMPORTRANGE(""https://docs.google.com/spreadsheets/d/1XiF77UIVHV0Kjc6xbXuOuJ10WgJYxd4p_22ngKVV5oM/edit?usp=sharing"",""ระยอง!J362"")"),1)</f>
        <v>1</v>
      </c>
      <c r="AB66" s="86">
        <f ca="1">IFERROR(__xludf.DUMMYFUNCTION("IMPORTRANGE(""https://docs.google.com/spreadsheets/d/1XiF77UIVHV0Kjc6xbXuOuJ10WgJYxd4p_22ngKVV5oM/edit?usp=sharing"",""ระยอง!J363"")"),48.5)</f>
        <v>48.5</v>
      </c>
      <c r="AC66" s="87">
        <f t="shared" ca="1" si="45"/>
        <v>0.90909090909090906</v>
      </c>
      <c r="AD66" s="86">
        <f ca="1">IFERROR(__xludf.DUMMYFUNCTION("IMPORTRANGE(""https://docs.google.com/spreadsheets/d/1XiF77UIVHV0Kjc6xbXuOuJ10WgJYxd4p_22ngKVV5oM/edit?usp=sharing"",""ระยอง!I364"")"),160)</f>
        <v>160</v>
      </c>
      <c r="AE66" s="86">
        <f ca="1">IFERROR(__xludf.DUMMYFUNCTION("IMPORTRANGE(""https://docs.google.com/spreadsheets/d/1XiF77UIVHV0Kjc6xbXuOuJ10WgJYxd4p_22ngKVV5oM/edit?usp=sharing"",""ระยอง!J364"")"),13)</f>
        <v>13</v>
      </c>
      <c r="AF66" s="87">
        <f t="shared" ca="1" si="16"/>
        <v>8.125</v>
      </c>
      <c r="AG66" s="86">
        <f ca="1">IFERROR(__xludf.DUMMYFUNCTION("IMPORTRANGE(""https://docs.google.com/spreadsheets/d/1XiF77UIVHV0Kjc6xbXuOuJ10WgJYxd4p_22ngKVV5oM/edit?usp=sharing"",""ระยอง!I369"")"),100)</f>
        <v>100</v>
      </c>
      <c r="AH66" s="86">
        <f ca="1">IFERROR(__xludf.DUMMYFUNCTION("IMPORTRANGE(""https://docs.google.com/spreadsheets/d/1XiF77UIVHV0Kjc6xbXuOuJ10WgJYxd4p_22ngKVV5oM/edit?usp=sharing"",""ระยอง!J368"")"),18)</f>
        <v>18</v>
      </c>
      <c r="AI66" s="86">
        <f ca="1">IFERROR(__xludf.DUMMYFUNCTION("IMPORTRANGE(""https://docs.google.com/spreadsheets/d/1XiF77UIVHV0Kjc6xbXuOuJ10WgJYxd4p_22ngKVV5oM/edit?usp=sharing"",""ระยอง!J369"")"),113.55)</f>
        <v>113.55</v>
      </c>
      <c r="AJ66" s="87">
        <f t="shared" ca="1" si="46"/>
        <v>113.55</v>
      </c>
      <c r="AK66" s="86">
        <f ca="1">IFERROR(__xludf.DUMMYFUNCTION("IMPORTRANGE(""https://docs.google.com/spreadsheets/d/1XiF77UIVHV0Kjc6xbXuOuJ10WgJYxd4p_22ngKVV5oM/edit?usp=sharing"",""ระยอง!I370"")"),10)</f>
        <v>10</v>
      </c>
      <c r="AL66" s="86">
        <f ca="1">IFERROR(__xludf.DUMMYFUNCTION("IMPORTRANGE(""https://docs.google.com/spreadsheets/d/1XiF77UIVHV0Kjc6xbXuOuJ10WgJYxd4p_22ngKVV5oM/edit?usp=sharing"",""ระยอง!J370"")"),1)</f>
        <v>1</v>
      </c>
      <c r="AM66" s="86">
        <f ca="1">IFERROR(__xludf.DUMMYFUNCTION("IMPORTRANGE(""https://docs.google.com/spreadsheets/d/1XiF77UIVHV0Kjc6xbXuOuJ10WgJYxd4p_22ngKVV5oM/edit?usp=sharing"",""ระยอง!J371"")"),38.94)</f>
        <v>38.94</v>
      </c>
      <c r="AN66" s="87">
        <f t="shared" ca="1" si="47"/>
        <v>10</v>
      </c>
      <c r="AO66" s="86">
        <f ca="1">IFERROR(__xludf.DUMMYFUNCTION("IMPORTRANGE(""https://docs.google.com/spreadsheets/d/1XiF77UIVHV0Kjc6xbXuOuJ10WgJYxd4p_22ngKVV5oM/edit?usp=sharing"",""ระยอง!I372"")"),10)</f>
        <v>10</v>
      </c>
      <c r="AP66" s="86">
        <f ca="1">IFERROR(__xludf.DUMMYFUNCTION("IMPORTRANGE(""https://docs.google.com/spreadsheets/d/1XiF77UIVHV0Kjc6xbXuOuJ10WgJYxd4p_22ngKVV5oM/edit?usp=sharing"",""ระยอง!J372"")"),0)</f>
        <v>0</v>
      </c>
      <c r="AQ66" s="86">
        <f ca="1">IFERROR(__xludf.DUMMYFUNCTION("IMPORTRANGE(""https://docs.google.com/spreadsheets/d/1XiF77UIVHV0Kjc6xbXuOuJ10WgJYxd4p_22ngKVV5oM/edit?usp=sharing"",""ระยอง!J373"")"),0)</f>
        <v>0</v>
      </c>
      <c r="AR66" s="87">
        <f t="shared" ca="1" si="48"/>
        <v>0</v>
      </c>
      <c r="AS66" s="86">
        <f ca="1">IFERROR(__xludf.DUMMYFUNCTION("IMPORTRANGE(""https://docs.google.com/spreadsheets/d/1XiF77UIVHV0Kjc6xbXuOuJ10WgJYxd4p_22ngKVV5oM/edit?usp=sharing"",""ระยอง!I378"")"),800)</f>
        <v>800</v>
      </c>
      <c r="AT66" s="86">
        <f ca="1">IFERROR(__xludf.DUMMYFUNCTION("IMPORTRANGE(""https://docs.google.com/spreadsheets/d/1XiF77UIVHV0Kjc6xbXuOuJ10WgJYxd4p_22ngKVV5oM/edit?usp=sharing"",""ระยอง!J377"")"),43)</f>
        <v>43</v>
      </c>
      <c r="AU66" s="86">
        <f ca="1">IFERROR(__xludf.DUMMYFUNCTION("IMPORTRANGE(""https://docs.google.com/spreadsheets/d/1XiF77UIVHV0Kjc6xbXuOuJ10WgJYxd4p_22ngKVV5oM/edit?usp=sharing"",""ระยอง!J378"")"),613.68)</f>
        <v>613.67999999999995</v>
      </c>
      <c r="AV66" s="87">
        <f t="shared" ca="1" si="49"/>
        <v>76.709999999999994</v>
      </c>
      <c r="AW66" s="86">
        <f ca="1">IFERROR(__xludf.DUMMYFUNCTION("IMPORTRANGE(""https://docs.google.com/spreadsheets/d/1XiF77UIVHV0Kjc6xbXuOuJ10WgJYxd4p_22ngKVV5oM/edit?usp=sharing"",""ระยอง!I379"")"),150)</f>
        <v>150</v>
      </c>
      <c r="AX66" s="86">
        <f ca="1">IFERROR(__xludf.DUMMYFUNCTION("IMPORTRANGE(""https://docs.google.com/spreadsheets/d/1XiF77UIVHV0Kjc6xbXuOuJ10WgJYxd4p_22ngKVV5oM/edit?usp=sharing"",""ระยอง!J379"")"),49)</f>
        <v>49</v>
      </c>
      <c r="AY66" s="86">
        <f ca="1">IFERROR(__xludf.DUMMYFUNCTION("IMPORTRANGE(""https://docs.google.com/spreadsheets/d/1XiF77UIVHV0Kjc6xbXuOuJ10WgJYxd4p_22ngKVV5oM/edit?usp=sharing"",""ระยอง!J380"")"),677.39)</f>
        <v>677.39</v>
      </c>
      <c r="AZ66" s="87">
        <f t="shared" ca="1" si="50"/>
        <v>32.666666666666664</v>
      </c>
      <c r="BA66" s="86">
        <f ca="1">IFERROR(__xludf.DUMMYFUNCTION("IMPORTRANGE(""https://docs.google.com/spreadsheets/d/1XiF77UIVHV0Kjc6xbXuOuJ10WgJYxd4p_22ngKVV5oM/edit?usp=sharing"",""ระยอง!I381"")"),150)</f>
        <v>150</v>
      </c>
      <c r="BB66" s="86">
        <f ca="1">IFERROR(__xludf.DUMMYFUNCTION("IMPORTRANGE(""https://docs.google.com/spreadsheets/d/1XiF77UIVHV0Kjc6xbXuOuJ10WgJYxd4p_22ngKVV5oM/edit?usp=sharing"",""ระยอง!J381"")"),13)</f>
        <v>13</v>
      </c>
      <c r="BC66" s="86">
        <f ca="1">IFERROR(__xludf.DUMMYFUNCTION("IMPORTRANGE(""https://docs.google.com/spreadsheets/d/1XiF77UIVHV0Kjc6xbXuOuJ10WgJYxd4p_22ngKVV5oM/edit?usp=sharing"",""ระยอง!J382"")"),171.51)</f>
        <v>171.51</v>
      </c>
      <c r="BD66" s="87">
        <f t="shared" ca="1" si="51"/>
        <v>8.6666666666666661</v>
      </c>
    </row>
    <row r="67" spans="1:56" ht="21" customHeight="1" x14ac:dyDescent="0.2">
      <c r="A67" s="78">
        <v>15</v>
      </c>
      <c r="B67" s="79" t="s">
        <v>89</v>
      </c>
      <c r="C67" s="80">
        <f t="shared" ca="1" si="0"/>
        <v>372250</v>
      </c>
      <c r="D67" s="81">
        <f t="shared" ca="1" si="88"/>
        <v>357250</v>
      </c>
      <c r="E67" s="82">
        <f ca="1">IFERROR(__xludf.DUMMYFUNCTION("IMPORTRANGE(""https://docs.google.com/spreadsheets/d/1MeEWN-I1oV_STSDYn1IFDPWt_1FKiwhDph83XaGc0o0/edit?usp=sharing"",""งบพรบ!EX67"")"),0)</f>
        <v>0</v>
      </c>
      <c r="F67" s="82">
        <f ca="1">IFERROR(__xludf.DUMMYFUNCTION("IMPORTRANGE(""https://docs.google.com/spreadsheets/d/1MeEWN-I1oV_STSDYn1IFDPWt_1FKiwhDph83XaGc0o0/edit?usp=sharing"",""งบพรบ!EY67"")"),357250)</f>
        <v>357250</v>
      </c>
      <c r="G67" s="82">
        <f ca="1">IFERROR(__xludf.DUMMYFUNCTION("IMPORTRANGE(""https://docs.google.com/spreadsheets/d/1MeEWN-I1oV_STSDYn1IFDPWt_1FKiwhDph83XaGc0o0/edit?usp=sharing"",""งบพรบ!EZ67"")"),15000)</f>
        <v>15000</v>
      </c>
      <c r="H67" s="82">
        <f ca="1">IFERROR(__xludf.DUMMYFUNCTION("IMPORTRANGE(""https://docs.google.com/spreadsheets/d/1MeEWN-I1oV_STSDYn1IFDPWt_1FKiwhDph83XaGc0o0/edit?usp=sharing"",""งบพรบ!FB67"")"),227450)</f>
        <v>227450</v>
      </c>
      <c r="I67" s="82">
        <f ca="1">IFERROR(__xludf.DUMMYFUNCTION("IMPORTRANGE(""https://docs.google.com/spreadsheets/d/1MeEWN-I1oV_STSDYn1IFDPWt_1FKiwhDph83XaGc0o0/edit?usp=sharing"",""งบพรบ!FC67"")"),15000)</f>
        <v>15000</v>
      </c>
      <c r="J67" s="82">
        <f t="shared" ca="1" si="3"/>
        <v>132633.28</v>
      </c>
      <c r="K67" s="83">
        <f t="shared" ca="1" si="4"/>
        <v>35.630162525184687</v>
      </c>
      <c r="L67" s="82">
        <f ca="1">IFERROR(__xludf.DUMMYFUNCTION("IMPORTRANGE(""https://docs.google.com/spreadsheets/d/1MeEWN-I1oV_STSDYn1IFDPWt_1FKiwhDph83XaGc0o0/edit?usp=sharing"",""งบพรบ!FD67"")"),117633.28)</f>
        <v>117633.28</v>
      </c>
      <c r="M67" s="84">
        <f t="shared" ca="1" si="5"/>
        <v>32.927440167949612</v>
      </c>
      <c r="N67" s="84">
        <f t="shared" ca="1" si="6"/>
        <v>51.718302923719499</v>
      </c>
      <c r="O67" s="85">
        <f ca="1">IFERROR(__xludf.DUMMYFUNCTION("IMPORTRANGE(""https://docs.google.com/spreadsheets/d/1MeEWN-I1oV_STSDYn1IFDPWt_1FKiwhDph83XaGc0o0/edit?usp=sharing"",""งบพรบ!FE67"")"),15000)</f>
        <v>15000</v>
      </c>
      <c r="P67" s="84">
        <f t="shared" ca="1" si="53"/>
        <v>100</v>
      </c>
      <c r="Q67" s="84">
        <f t="shared" ca="1" si="8"/>
        <v>100</v>
      </c>
      <c r="R67" s="86">
        <f ca="1">IFERROR(__xludf.DUMMYFUNCTION("IMPORTRANGE(""https://docs.google.com/spreadsheets/d/1qU-W_9MCQD1pgIVXGEOjCFo9QqlmJywuebyGgaN92r8/edit?usp=sharing"",""ราชบุรี!I359"")"),1750)</f>
        <v>1750</v>
      </c>
      <c r="S67" s="86">
        <f ca="1">IFERROR(__xludf.DUMMYFUNCTION("IMPORTRANGE(""https://docs.google.com/spreadsheets/d/1qU-W_9MCQD1pgIVXGEOjCFo9QqlmJywuebyGgaN92r8/edit?usp=sharing"",""ราชบุรี!J358"")"),87)</f>
        <v>87</v>
      </c>
      <c r="T67" s="86">
        <f ca="1">IFERROR(__xludf.DUMMYFUNCTION("IMPORTRANGE(""https://docs.google.com/spreadsheets/d/1qU-W_9MCQD1pgIVXGEOjCFo9QqlmJywuebyGgaN92r8/edit?usp=sharing"",""ราชบุรี!J359"")"),557.439999999999)</f>
        <v>557.43999999999903</v>
      </c>
      <c r="U67" s="87">
        <f t="shared" ca="1" si="43"/>
        <v>31.853714285714233</v>
      </c>
      <c r="V67" s="86">
        <f ca="1">IFERROR(__xludf.DUMMYFUNCTION("IMPORTRANGE(""https://docs.google.com/spreadsheets/d/1qU-W_9MCQD1pgIVXGEOjCFo9QqlmJywuebyGgaN92r8/edit?usp=sharing"",""ราชบุรี!I360"")"),145)</f>
        <v>145</v>
      </c>
      <c r="W67" s="86">
        <f ca="1">IFERROR(__xludf.DUMMYFUNCTION("IMPORTRANGE(""https://docs.google.com/spreadsheets/d/1qU-W_9MCQD1pgIVXGEOjCFo9QqlmJywuebyGgaN92r8/edit?usp=sharing"",""ราชบุรี!J360"")"),106)</f>
        <v>106</v>
      </c>
      <c r="X67" s="86">
        <f ca="1">IFERROR(__xludf.DUMMYFUNCTION("IMPORTRANGE(""https://docs.google.com/spreadsheets/d/1qU-W_9MCQD1pgIVXGEOjCFo9QqlmJywuebyGgaN92r8/edit?usp=sharing"",""ราชบุรี!J361"")"),742.03)</f>
        <v>742.03</v>
      </c>
      <c r="Y67" s="87">
        <f t="shared" ca="1" si="44"/>
        <v>73.103448275862064</v>
      </c>
      <c r="Z67" s="86">
        <f ca="1">IFERROR(__xludf.DUMMYFUNCTION("IMPORTRANGE(""https://docs.google.com/spreadsheets/d/1qU-W_9MCQD1pgIVXGEOjCFo9QqlmJywuebyGgaN92r8/edit?usp=sharing"",""ราชบุรี!I362"")"),145)</f>
        <v>145</v>
      </c>
      <c r="AA67" s="86">
        <f ca="1">IFERROR(__xludf.DUMMYFUNCTION("IMPORTRANGE(""https://docs.google.com/spreadsheets/d/1qU-W_9MCQD1pgIVXGEOjCFo9QqlmJywuebyGgaN92r8/edit?usp=sharing"",""ราชบุรี!J362"")"),61)</f>
        <v>61</v>
      </c>
      <c r="AB67" s="86">
        <f ca="1">IFERROR(__xludf.DUMMYFUNCTION("IMPORTRANGE(""https://docs.google.com/spreadsheets/d/1qU-W_9MCQD1pgIVXGEOjCFo9QqlmJywuebyGgaN92r8/edit?usp=sharing"",""ราชบุรี!J363"")"),424.19)</f>
        <v>424.19</v>
      </c>
      <c r="AC67" s="87">
        <f t="shared" ca="1" si="45"/>
        <v>42.068965517241381</v>
      </c>
      <c r="AD67" s="86">
        <f ca="1">IFERROR(__xludf.DUMMYFUNCTION("IMPORTRANGE(""https://docs.google.com/spreadsheets/d/1qU-W_9MCQD1pgIVXGEOjCFo9QqlmJywuebyGgaN92r8/edit?usp=sharing"",""ราชบุรี!I364"")"),295)</f>
        <v>295</v>
      </c>
      <c r="AE67" s="86">
        <f ca="1">IFERROR(__xludf.DUMMYFUNCTION("IMPORTRANGE(""https://docs.google.com/spreadsheets/d/1qU-W_9MCQD1pgIVXGEOjCFo9QqlmJywuebyGgaN92r8/edit?usp=sharing"",""ราชบุรี!J364"")"),133)</f>
        <v>133</v>
      </c>
      <c r="AF67" s="87">
        <f t="shared" ca="1" si="16"/>
        <v>45.084745762711862</v>
      </c>
      <c r="AG67" s="86">
        <f ca="1">IFERROR(__xludf.DUMMYFUNCTION("IMPORTRANGE(""https://docs.google.com/spreadsheets/d/1qU-W_9MCQD1pgIVXGEOjCFo9QqlmJywuebyGgaN92r8/edit?usp=sharing"",""ราชบุรี!I369"")"),1500)</f>
        <v>1500</v>
      </c>
      <c r="AH67" s="86">
        <f ca="1">IFERROR(__xludf.DUMMYFUNCTION("IMPORTRANGE(""https://docs.google.com/spreadsheets/d/1qU-W_9MCQD1pgIVXGEOjCFo9QqlmJywuebyGgaN92r8/edit?usp=sharing"",""ราชบุรี!J368"")"),45)</f>
        <v>45</v>
      </c>
      <c r="AI67" s="86">
        <f ca="1">IFERROR(__xludf.DUMMYFUNCTION("IMPORTRANGE(""https://docs.google.com/spreadsheets/d/1qU-W_9MCQD1pgIVXGEOjCFo9QqlmJywuebyGgaN92r8/edit?usp=sharing"",""ราชบุรี!J369"")"),323.15)</f>
        <v>323.14999999999998</v>
      </c>
      <c r="AJ67" s="87">
        <f t="shared" ca="1" si="46"/>
        <v>21.543333333333329</v>
      </c>
      <c r="AK67" s="86">
        <f ca="1">IFERROR(__xludf.DUMMYFUNCTION("IMPORTRANGE(""https://docs.google.com/spreadsheets/d/1qU-W_9MCQD1pgIVXGEOjCFo9QqlmJywuebyGgaN92r8/edit?usp=sharing"",""ราชบุรี!I370"")"),120)</f>
        <v>120</v>
      </c>
      <c r="AL67" s="86">
        <f ca="1">IFERROR(__xludf.DUMMYFUNCTION("IMPORTRANGE(""https://docs.google.com/spreadsheets/d/1qU-W_9MCQD1pgIVXGEOjCFo9QqlmJywuebyGgaN92r8/edit?usp=sharing"",""ราชบุรี!J370"")"),62)</f>
        <v>62</v>
      </c>
      <c r="AM67" s="86">
        <f ca="1">IFERROR(__xludf.DUMMYFUNCTION("IMPORTRANGE(""https://docs.google.com/spreadsheets/d/1qU-W_9MCQD1pgIVXGEOjCFo9QqlmJywuebyGgaN92r8/edit?usp=sharing"",""ราชบุรี!J371"")"),471.39)</f>
        <v>471.39</v>
      </c>
      <c r="AN67" s="87">
        <f t="shared" ca="1" si="47"/>
        <v>51.666666666666664</v>
      </c>
      <c r="AO67" s="86">
        <f ca="1">IFERROR(__xludf.DUMMYFUNCTION("IMPORTRANGE(""https://docs.google.com/spreadsheets/d/1qU-W_9MCQD1pgIVXGEOjCFo9QqlmJywuebyGgaN92r8/edit?usp=sharing"",""ราชบุรี!I372"")"),120)</f>
        <v>120</v>
      </c>
      <c r="AP67" s="86">
        <f ca="1">IFERROR(__xludf.DUMMYFUNCTION("IMPORTRANGE(""https://docs.google.com/spreadsheets/d/1qU-W_9MCQD1pgIVXGEOjCFo9QqlmJywuebyGgaN92r8/edit?usp=sharing"",""ราชบุรี!J372"")"),18)</f>
        <v>18</v>
      </c>
      <c r="AQ67" s="86">
        <f ca="1">IFERROR(__xludf.DUMMYFUNCTION("IMPORTRANGE(""https://docs.google.com/spreadsheets/d/1qU-W_9MCQD1pgIVXGEOjCFo9QqlmJywuebyGgaN92r8/edit?usp=sharing"",""ราชบุรี!J373"")"),153.68)</f>
        <v>153.68</v>
      </c>
      <c r="AR67" s="87">
        <f t="shared" ca="1" si="48"/>
        <v>15</v>
      </c>
      <c r="AS67" s="86">
        <f ca="1">IFERROR(__xludf.DUMMYFUNCTION("IMPORTRANGE(""https://docs.google.com/spreadsheets/d/1qU-W_9MCQD1pgIVXGEOjCFo9QqlmJywuebyGgaN92r8/edit?usp=sharing"",""ราชบุรี!I378"")"),250)</f>
        <v>250</v>
      </c>
      <c r="AT67" s="86">
        <f ca="1">IFERROR(__xludf.DUMMYFUNCTION("IMPORTRANGE(""https://docs.google.com/spreadsheets/d/1qU-W_9MCQD1pgIVXGEOjCFo9QqlmJywuebyGgaN92r8/edit?usp=sharing"",""ราชบุรี!J377"")"),42)</f>
        <v>42</v>
      </c>
      <c r="AU67" s="86">
        <f ca="1">IFERROR(__xludf.DUMMYFUNCTION("IMPORTRANGE(""https://docs.google.com/spreadsheets/d/1qU-W_9MCQD1pgIVXGEOjCFo9QqlmJywuebyGgaN92r8/edit?usp=sharing"",""ราชบุรี!J378"")"),234.29)</f>
        <v>234.29</v>
      </c>
      <c r="AV67" s="87">
        <f t="shared" ca="1" si="49"/>
        <v>93.715999999999994</v>
      </c>
      <c r="AW67" s="86">
        <f ca="1">IFERROR(__xludf.DUMMYFUNCTION("IMPORTRANGE(""https://docs.google.com/spreadsheets/d/1qU-W_9MCQD1pgIVXGEOjCFo9QqlmJywuebyGgaN92r8/edit?usp=sharing"",""ราชบุรี!I379"")"),175)</f>
        <v>175</v>
      </c>
      <c r="AX67" s="86">
        <f ca="1">IFERROR(__xludf.DUMMYFUNCTION("IMPORTRANGE(""https://docs.google.com/spreadsheets/d/1qU-W_9MCQD1pgIVXGEOjCFo9QqlmJywuebyGgaN92r8/edit?usp=sharing"",""ราชบุรี!J379"")"),116)</f>
        <v>116</v>
      </c>
      <c r="AY67" s="86">
        <f ca="1">IFERROR(__xludf.DUMMYFUNCTION("IMPORTRANGE(""https://docs.google.com/spreadsheets/d/1qU-W_9MCQD1pgIVXGEOjCFo9QqlmJywuebyGgaN92r8/edit?usp=sharing"",""ราชบุรี!J380"")"),1132.91)</f>
        <v>1132.9100000000001</v>
      </c>
      <c r="AZ67" s="87">
        <f t="shared" ca="1" si="50"/>
        <v>66.285714285714292</v>
      </c>
      <c r="BA67" s="86">
        <f ca="1">IFERROR(__xludf.DUMMYFUNCTION("IMPORTRANGE(""https://docs.google.com/spreadsheets/d/1qU-W_9MCQD1pgIVXGEOjCFo9QqlmJywuebyGgaN92r8/edit?usp=sharing"",""ราชบุรี!I381"")"),175)</f>
        <v>175</v>
      </c>
      <c r="BB67" s="86">
        <f ca="1">IFERROR(__xludf.DUMMYFUNCTION("IMPORTRANGE(""https://docs.google.com/spreadsheets/d/1qU-W_9MCQD1pgIVXGEOjCFo9QqlmJywuebyGgaN92r8/edit?usp=sharing"",""ราชบุรี!J381"")"),115)</f>
        <v>115</v>
      </c>
      <c r="BC67" s="86">
        <f ca="1">IFERROR(__xludf.DUMMYFUNCTION("IMPORTRANGE(""https://docs.google.com/spreadsheets/d/1qU-W_9MCQD1pgIVXGEOjCFo9QqlmJywuebyGgaN92r8/edit?usp=sharing"",""ราชบุรี!J382"")"),1132.78)</f>
        <v>1132.78</v>
      </c>
      <c r="BD67" s="87">
        <f t="shared" ca="1" si="51"/>
        <v>65.714285714285708</v>
      </c>
    </row>
    <row r="68" spans="1:56" ht="24" customHeight="1" x14ac:dyDescent="0.2">
      <c r="A68" s="78">
        <v>16</v>
      </c>
      <c r="B68" s="79" t="s">
        <v>90</v>
      </c>
      <c r="C68" s="80">
        <f t="shared" ca="1" si="0"/>
        <v>773600</v>
      </c>
      <c r="D68" s="81">
        <f t="shared" ca="1" si="88"/>
        <v>720800</v>
      </c>
      <c r="E68" s="82">
        <f ca="1">IFERROR(__xludf.DUMMYFUNCTION("IMPORTRANGE(""https://docs.google.com/spreadsheets/d/1MeEWN-I1oV_STSDYn1IFDPWt_1FKiwhDph83XaGc0o0/edit?usp=sharing"",""งบพรบ!EX68"")"),175200)</f>
        <v>175200</v>
      </c>
      <c r="F68" s="82">
        <f ca="1">IFERROR(__xludf.DUMMYFUNCTION("IMPORTRANGE(""https://docs.google.com/spreadsheets/d/1MeEWN-I1oV_STSDYn1IFDPWt_1FKiwhDph83XaGc0o0/edit?usp=sharing"",""งบพรบ!EY68"")"),545600)</f>
        <v>545600</v>
      </c>
      <c r="G68" s="82">
        <f ca="1">IFERROR(__xludf.DUMMYFUNCTION("IMPORTRANGE(""https://docs.google.com/spreadsheets/d/1MeEWN-I1oV_STSDYn1IFDPWt_1FKiwhDph83XaGc0o0/edit?usp=sharing"",""งบพรบ!EZ68"")"),52800)</f>
        <v>52800</v>
      </c>
      <c r="H68" s="82">
        <f ca="1">IFERROR(__xludf.DUMMYFUNCTION("IMPORTRANGE(""https://docs.google.com/spreadsheets/d/1MeEWN-I1oV_STSDYn1IFDPWt_1FKiwhDph83XaGc0o0/edit?usp=sharing"",""งบพรบ!FB68"")"),455600)</f>
        <v>455600</v>
      </c>
      <c r="I68" s="82">
        <f ca="1">IFERROR(__xludf.DUMMYFUNCTION("IMPORTRANGE(""https://docs.google.com/spreadsheets/d/1MeEWN-I1oV_STSDYn1IFDPWt_1FKiwhDph83XaGc0o0/edit?usp=sharing"",""งบพรบ!FC68"")"),52800)</f>
        <v>52800</v>
      </c>
      <c r="J68" s="82">
        <f t="shared" ca="1" si="3"/>
        <v>278028</v>
      </c>
      <c r="K68" s="83">
        <f t="shared" ca="1" si="4"/>
        <v>35.939503619441574</v>
      </c>
      <c r="L68" s="82">
        <f ca="1">IFERROR(__xludf.DUMMYFUNCTION("IMPORTRANGE(""https://docs.google.com/spreadsheets/d/1MeEWN-I1oV_STSDYn1IFDPWt_1FKiwhDph83XaGc0o0/edit?usp=sharing"",""งบพรบ!FD68"")"),225228)</f>
        <v>225228</v>
      </c>
      <c r="M68" s="84">
        <f t="shared" ca="1" si="5"/>
        <v>31.246947835738069</v>
      </c>
      <c r="N68" s="84">
        <f t="shared" ca="1" si="6"/>
        <v>49.435469710272166</v>
      </c>
      <c r="O68" s="85">
        <f ca="1">IFERROR(__xludf.DUMMYFUNCTION("IMPORTRANGE(""https://docs.google.com/spreadsheets/d/1MeEWN-I1oV_STSDYn1IFDPWt_1FKiwhDph83XaGc0o0/edit?usp=sharing"",""งบพรบ!FE68"")"),52800)</f>
        <v>52800</v>
      </c>
      <c r="P68" s="84">
        <f t="shared" ca="1" si="53"/>
        <v>100</v>
      </c>
      <c r="Q68" s="84">
        <f t="shared" ca="1" si="8"/>
        <v>100</v>
      </c>
      <c r="R68" s="86">
        <f ca="1">IFERROR(__xludf.DUMMYFUNCTION("IMPORTRANGE(""https://docs.google.com/spreadsheets/d/1xYFIxIM_CspAP5Q-5Zx_V0T_Ut3cjryrjd2hss28vGk/edit?usp=sharing"",""ลพบุรี!I359"")"),4000)</f>
        <v>4000</v>
      </c>
      <c r="S68" s="86">
        <f ca="1">IFERROR(__xludf.DUMMYFUNCTION("IMPORTRANGE(""https://docs.google.com/spreadsheets/d/1xYFIxIM_CspAP5Q-5Zx_V0T_Ut3cjryrjd2hss28vGk/edit?usp=sharing"",""ลพบุรี!J358"")"),186)</f>
        <v>186</v>
      </c>
      <c r="T68" s="86">
        <f ca="1">IFERROR(__xludf.DUMMYFUNCTION("IMPORTRANGE(""https://docs.google.com/spreadsheets/d/1xYFIxIM_CspAP5Q-5Zx_V0T_Ut3cjryrjd2hss28vGk/edit?usp=sharing"",""ลพบุรี!J359"")"),2302.45)</f>
        <v>2302.4499999999998</v>
      </c>
      <c r="U68" s="87">
        <f t="shared" ca="1" si="43"/>
        <v>57.561249999999994</v>
      </c>
      <c r="V68" s="86">
        <f ca="1">IFERROR(__xludf.DUMMYFUNCTION("IMPORTRANGE(""https://docs.google.com/spreadsheets/d/1xYFIxIM_CspAP5Q-5Zx_V0T_Ut3cjryrjd2hss28vGk/edit?usp=sharing"",""ลพบุรี!I360"")"),370)</f>
        <v>370</v>
      </c>
      <c r="W68" s="86">
        <f ca="1">IFERROR(__xludf.DUMMYFUNCTION("IMPORTRANGE(""https://docs.google.com/spreadsheets/d/1xYFIxIM_CspAP5Q-5Zx_V0T_Ut3cjryrjd2hss28vGk/edit?usp=sharing"",""ลพบุรี!J360"")"),151)</f>
        <v>151</v>
      </c>
      <c r="X68" s="86">
        <f ca="1">IFERROR(__xludf.DUMMYFUNCTION("IMPORTRANGE(""https://docs.google.com/spreadsheets/d/1xYFIxIM_CspAP5Q-5Zx_V0T_Ut3cjryrjd2hss28vGk/edit?usp=sharing"",""ลพบุรี!J361"")"),1870.03)</f>
        <v>1870.03</v>
      </c>
      <c r="Y68" s="87">
        <f t="shared" ca="1" si="44"/>
        <v>40.810810810810814</v>
      </c>
      <c r="Z68" s="86">
        <f ca="1">IFERROR(__xludf.DUMMYFUNCTION("IMPORTRANGE(""https://docs.google.com/spreadsheets/d/1xYFIxIM_CspAP5Q-5Zx_V0T_Ut3cjryrjd2hss28vGk/edit?usp=sharing"",""ลพบุรี!I362"")"),370)</f>
        <v>370</v>
      </c>
      <c r="AA68" s="86">
        <f ca="1">IFERROR(__xludf.DUMMYFUNCTION("IMPORTRANGE(""https://docs.google.com/spreadsheets/d/1xYFIxIM_CspAP5Q-5Zx_V0T_Ut3cjryrjd2hss28vGk/edit?usp=sharing"",""ลพบุรี!J362"")"),2)</f>
        <v>2</v>
      </c>
      <c r="AB68" s="86">
        <f ca="1">IFERROR(__xludf.DUMMYFUNCTION("IMPORTRANGE(""https://docs.google.com/spreadsheets/d/1xYFIxIM_CspAP5Q-5Zx_V0T_Ut3cjryrjd2hss28vGk/edit?usp=sharing"",""ลพบุรี!J363"")"),9.52)</f>
        <v>9.52</v>
      </c>
      <c r="AC68" s="87">
        <f t="shared" ca="1" si="45"/>
        <v>0.54054054054054057</v>
      </c>
      <c r="AD68" s="86">
        <f ca="1">IFERROR(__xludf.DUMMYFUNCTION("IMPORTRANGE(""https://docs.google.com/spreadsheets/d/1xYFIxIM_CspAP5Q-5Zx_V0T_Ut3cjryrjd2hss28vGk/edit?usp=sharing"",""ลพบุรี!I364"")"),500)</f>
        <v>500</v>
      </c>
      <c r="AE68" s="86">
        <f ca="1">IFERROR(__xludf.DUMMYFUNCTION("IMPORTRANGE(""https://docs.google.com/spreadsheets/d/1xYFIxIM_CspAP5Q-5Zx_V0T_Ut3cjryrjd2hss28vGk/edit?usp=sharing"",""ลพบุรี!J364"")"),37)</f>
        <v>37</v>
      </c>
      <c r="AF68" s="87">
        <f t="shared" ca="1" si="16"/>
        <v>7.4</v>
      </c>
      <c r="AG68" s="86">
        <f ca="1">IFERROR(__xludf.DUMMYFUNCTION("IMPORTRANGE(""https://docs.google.com/spreadsheets/d/1xYFIxIM_CspAP5Q-5Zx_V0T_Ut3cjryrjd2hss28vGk/edit?usp=sharing"",""ลพบุรี!I369"")"),500)</f>
        <v>500</v>
      </c>
      <c r="AH68" s="86">
        <f ca="1">IFERROR(__xludf.DUMMYFUNCTION("IMPORTRANGE(""https://docs.google.com/spreadsheets/d/1xYFIxIM_CspAP5Q-5Zx_V0T_Ut3cjryrjd2hss28vGk/edit?usp=sharing"",""ลพบุรี!J368"")"),24)</f>
        <v>24</v>
      </c>
      <c r="AI68" s="86">
        <f ca="1">IFERROR(__xludf.DUMMYFUNCTION("IMPORTRANGE(""https://docs.google.com/spreadsheets/d/1xYFIxIM_CspAP5Q-5Zx_V0T_Ut3cjryrjd2hss28vGk/edit?usp=sharing"",""ลพบุรี!J369"")"),299.62)</f>
        <v>299.62</v>
      </c>
      <c r="AJ68" s="87">
        <f t="shared" ca="1" si="46"/>
        <v>59.923999999999999</v>
      </c>
      <c r="AK68" s="86">
        <f ca="1">IFERROR(__xludf.DUMMYFUNCTION("IMPORTRANGE(""https://docs.google.com/spreadsheets/d/1xYFIxIM_CspAP5Q-5Zx_V0T_Ut3cjryrjd2hss28vGk/edit?usp=sharing"",""ลพบุรี!I370"")"),20)</f>
        <v>20</v>
      </c>
      <c r="AL68" s="86">
        <f ca="1">IFERROR(__xludf.DUMMYFUNCTION("IMPORTRANGE(""https://docs.google.com/spreadsheets/d/1xYFIxIM_CspAP5Q-5Zx_V0T_Ut3cjryrjd2hss28vGk/edit?usp=sharing"",""ลพบุรี!J370"")"),10)</f>
        <v>10</v>
      </c>
      <c r="AM68" s="86">
        <f ca="1">IFERROR(__xludf.DUMMYFUNCTION("IMPORTRANGE(""https://docs.google.com/spreadsheets/d/1xYFIxIM_CspAP5Q-5Zx_V0T_Ut3cjryrjd2hss28vGk/edit?usp=sharing"",""ลพบุรี!J371"")"),134.27)</f>
        <v>134.27000000000001</v>
      </c>
      <c r="AN68" s="87">
        <f t="shared" ca="1" si="47"/>
        <v>50</v>
      </c>
      <c r="AO68" s="86">
        <f ca="1">IFERROR(__xludf.DUMMYFUNCTION("IMPORTRANGE(""https://docs.google.com/spreadsheets/d/1xYFIxIM_CspAP5Q-5Zx_V0T_Ut3cjryrjd2hss28vGk/edit?usp=sharing"",""ลพบุรี!I372"")"),20)</f>
        <v>20</v>
      </c>
      <c r="AP68" s="86">
        <f ca="1">IFERROR(__xludf.DUMMYFUNCTION("IMPORTRANGE(""https://docs.google.com/spreadsheets/d/1xYFIxIM_CspAP5Q-5Zx_V0T_Ut3cjryrjd2hss28vGk/edit?usp=sharing"",""ลพบุรี!J372"")"),2)</f>
        <v>2</v>
      </c>
      <c r="AQ68" s="86">
        <f ca="1">IFERROR(__xludf.DUMMYFUNCTION("IMPORTRANGE(""https://docs.google.com/spreadsheets/d/1xYFIxIM_CspAP5Q-5Zx_V0T_Ut3cjryrjd2hss28vGk/edit?usp=sharing"",""ลพบุรี!J373"")"),9.52)</f>
        <v>9.52</v>
      </c>
      <c r="AR68" s="87">
        <f t="shared" ca="1" si="48"/>
        <v>10</v>
      </c>
      <c r="AS68" s="86">
        <f ca="1">IFERROR(__xludf.DUMMYFUNCTION("IMPORTRANGE(""https://docs.google.com/spreadsheets/d/1xYFIxIM_CspAP5Q-5Zx_V0T_Ut3cjryrjd2hss28vGk/edit?usp=sharing"",""ลพบุรี!I378"")"),3500)</f>
        <v>3500</v>
      </c>
      <c r="AT68" s="86">
        <f ca="1">IFERROR(__xludf.DUMMYFUNCTION("IMPORTRANGE(""https://docs.google.com/spreadsheets/d/1xYFIxIM_CspAP5Q-5Zx_V0T_Ut3cjryrjd2hss28vGk/edit?usp=sharing"",""ลพบุรี!J377"")"),162)</f>
        <v>162</v>
      </c>
      <c r="AU68" s="86">
        <f ca="1">IFERROR(__xludf.DUMMYFUNCTION("IMPORTRANGE(""https://docs.google.com/spreadsheets/d/1xYFIxIM_CspAP5Q-5Zx_V0T_Ut3cjryrjd2hss28vGk/edit?usp=sharing"",""ลพบุรี!J378"")"),2002.83)</f>
        <v>2002.83</v>
      </c>
      <c r="AV68" s="87">
        <f t="shared" ca="1" si="49"/>
        <v>57.223714285714287</v>
      </c>
      <c r="AW68" s="86">
        <f ca="1">IFERROR(__xludf.DUMMYFUNCTION("IMPORTRANGE(""https://docs.google.com/spreadsheets/d/1xYFIxIM_CspAP5Q-5Zx_V0T_Ut3cjryrjd2hss28vGk/edit?usp=sharing"",""ลพบุรี!I379"")"),480)</f>
        <v>480</v>
      </c>
      <c r="AX68" s="86">
        <f ca="1">IFERROR(__xludf.DUMMYFUNCTION("IMPORTRANGE(""https://docs.google.com/spreadsheets/d/1xYFIxIM_CspAP5Q-5Zx_V0T_Ut3cjryrjd2hss28vGk/edit?usp=sharing"",""ลพบุรี!J379"")"),175)</f>
        <v>175</v>
      </c>
      <c r="AY68" s="86">
        <f ca="1">IFERROR(__xludf.DUMMYFUNCTION("IMPORTRANGE(""https://docs.google.com/spreadsheets/d/1xYFIxIM_CspAP5Q-5Zx_V0T_Ut3cjryrjd2hss28vGk/edit?usp=sharing"",""ลพบุรี!J380"")"),2237.56)</f>
        <v>2237.56</v>
      </c>
      <c r="AZ68" s="87">
        <f t="shared" ca="1" si="50"/>
        <v>36.458333333333336</v>
      </c>
      <c r="BA68" s="86">
        <f ca="1">IFERROR(__xludf.DUMMYFUNCTION("IMPORTRANGE(""https://docs.google.com/spreadsheets/d/1xYFIxIM_CspAP5Q-5Zx_V0T_Ut3cjryrjd2hss28vGk/edit?usp=sharing"",""ลพบุรี!I381"")"),480)</f>
        <v>480</v>
      </c>
      <c r="BB68" s="86">
        <f ca="1">IFERROR(__xludf.DUMMYFUNCTION("IMPORTRANGE(""https://docs.google.com/spreadsheets/d/1xYFIxIM_CspAP5Q-5Zx_V0T_Ut3cjryrjd2hss28vGk/edit?usp=sharing"",""ลพบุรี!J381"")"),35)</f>
        <v>35</v>
      </c>
      <c r="BC68" s="86">
        <f ca="1">IFERROR(__xludf.DUMMYFUNCTION("IMPORTRANGE(""https://docs.google.com/spreadsheets/d/1xYFIxIM_CspAP5Q-5Zx_V0T_Ut3cjryrjd2hss28vGk/edit?usp=sharing"",""ลพบุรี!J382"")"),501.8)</f>
        <v>501.8</v>
      </c>
      <c r="BD68" s="87">
        <f t="shared" ca="1" si="51"/>
        <v>7.291666666666667</v>
      </c>
    </row>
    <row r="69" spans="1:56" ht="21" customHeight="1" x14ac:dyDescent="0.2">
      <c r="A69" s="78">
        <v>17</v>
      </c>
      <c r="B69" s="79" t="s">
        <v>91</v>
      </c>
      <c r="C69" s="80">
        <f t="shared" ca="1" si="0"/>
        <v>1533320</v>
      </c>
      <c r="D69" s="81">
        <f t="shared" ca="1" si="88"/>
        <v>1435520</v>
      </c>
      <c r="E69" s="82">
        <f ca="1">IFERROR(__xludf.DUMMYFUNCTION("IMPORTRANGE(""https://docs.google.com/spreadsheets/d/1MeEWN-I1oV_STSDYn1IFDPWt_1FKiwhDph83XaGc0o0/edit?usp=sharing"",""งบพรบ!EX69"")"),403200)</f>
        <v>403200</v>
      </c>
      <c r="F69" s="82">
        <f ca="1">IFERROR(__xludf.DUMMYFUNCTION("IMPORTRANGE(""https://docs.google.com/spreadsheets/d/1MeEWN-I1oV_STSDYn1IFDPWt_1FKiwhDph83XaGc0o0/edit?usp=sharing"",""งบพรบ!EY69"")"),1032320)</f>
        <v>1032320</v>
      </c>
      <c r="G69" s="82">
        <f ca="1">IFERROR(__xludf.DUMMYFUNCTION("IMPORTRANGE(""https://docs.google.com/spreadsheets/d/1MeEWN-I1oV_STSDYn1IFDPWt_1FKiwhDph83XaGc0o0/edit?usp=sharing"",""งบพรบ!EZ69"")"),97800)</f>
        <v>97800</v>
      </c>
      <c r="H69" s="82">
        <f ca="1">IFERROR(__xludf.DUMMYFUNCTION("IMPORTRANGE(""https://docs.google.com/spreadsheets/d/1MeEWN-I1oV_STSDYn1IFDPWt_1FKiwhDph83XaGc0o0/edit?usp=sharing"",""งบพรบ!FB69"")"),903640)</f>
        <v>903640</v>
      </c>
      <c r="I69" s="82">
        <f ca="1">IFERROR(__xludf.DUMMYFUNCTION("IMPORTRANGE(""https://docs.google.com/spreadsheets/d/1MeEWN-I1oV_STSDYn1IFDPWt_1FKiwhDph83XaGc0o0/edit?usp=sharing"",""งบพรบ!FC69"")"),97800)</f>
        <v>97800</v>
      </c>
      <c r="J69" s="82">
        <f t="shared" ca="1" si="3"/>
        <v>497691.83</v>
      </c>
      <c r="K69" s="83">
        <f t="shared" ca="1" si="4"/>
        <v>32.458445073435421</v>
      </c>
      <c r="L69" s="82">
        <f ca="1">IFERROR(__xludf.DUMMYFUNCTION("IMPORTRANGE(""https://docs.google.com/spreadsheets/d/1MeEWN-I1oV_STSDYn1IFDPWt_1FKiwhDph83XaGc0o0/edit?usp=sharing"",""งบพรบ!FD69"")"),399891.83)</f>
        <v>399891.83</v>
      </c>
      <c r="M69" s="84">
        <f t="shared" ca="1" si="5"/>
        <v>27.856931982835487</v>
      </c>
      <c r="N69" s="84">
        <f t="shared" ca="1" si="6"/>
        <v>44.253444955955914</v>
      </c>
      <c r="O69" s="85">
        <f ca="1">IFERROR(__xludf.DUMMYFUNCTION("IMPORTRANGE(""https://docs.google.com/spreadsheets/d/1MeEWN-I1oV_STSDYn1IFDPWt_1FKiwhDph83XaGc0o0/edit?usp=sharing"",""งบพรบ!FE69"")"),97800)</f>
        <v>97800</v>
      </c>
      <c r="P69" s="84">
        <f t="shared" ca="1" si="53"/>
        <v>100</v>
      </c>
      <c r="Q69" s="84">
        <f t="shared" ca="1" si="8"/>
        <v>100</v>
      </c>
      <c r="R69" s="86">
        <f ca="1">IFERROR(__xludf.DUMMYFUNCTION("IMPORTRANGE(""https://docs.google.com/spreadsheets/d/11s9m3tKsCBdPWq6syhZm27eBGbKneDLZc75co106bio/edit?usp=sharing"",""สระแก้ว!I359"")"),8500)</f>
        <v>8500</v>
      </c>
      <c r="S69" s="86">
        <f ca="1">IFERROR(__xludf.DUMMYFUNCTION("IMPORTRANGE(""https://docs.google.com/spreadsheets/d/11s9m3tKsCBdPWq6syhZm27eBGbKneDLZc75co106bio/edit?usp=sharing"",""สระแก้ว!J358"")"),143)</f>
        <v>143</v>
      </c>
      <c r="T69" s="86">
        <f ca="1">IFERROR(__xludf.DUMMYFUNCTION("IMPORTRANGE(""https://docs.google.com/spreadsheets/d/11s9m3tKsCBdPWq6syhZm27eBGbKneDLZc75co106bio/edit?usp=sharing"",""สระแก้ว!J359"")"),1767.17999999999)</f>
        <v>1767.1799999999901</v>
      </c>
      <c r="U69" s="87">
        <f t="shared" ca="1" si="43"/>
        <v>20.790352941176355</v>
      </c>
      <c r="V69" s="86">
        <f ca="1">IFERROR(__xludf.DUMMYFUNCTION("IMPORTRANGE(""https://docs.google.com/spreadsheets/d/11s9m3tKsCBdPWq6syhZm27eBGbKneDLZc75co106bio/edit?usp=sharing"",""สระแก้ว!I360"")"),570)</f>
        <v>570</v>
      </c>
      <c r="W69" s="86">
        <f ca="1">IFERROR(__xludf.DUMMYFUNCTION("IMPORTRANGE(""https://docs.google.com/spreadsheets/d/11s9m3tKsCBdPWq6syhZm27eBGbKneDLZc75co106bio/edit?usp=sharing"",""สระแก้ว!J360"")"),135)</f>
        <v>135</v>
      </c>
      <c r="X69" s="86">
        <f ca="1">IFERROR(__xludf.DUMMYFUNCTION("IMPORTRANGE(""https://docs.google.com/spreadsheets/d/11s9m3tKsCBdPWq6syhZm27eBGbKneDLZc75co106bio/edit?usp=sharing"",""สระแก้ว!J361"")"),1700.64999999999)</f>
        <v>1700.6499999999901</v>
      </c>
      <c r="Y69" s="87">
        <f t="shared" ca="1" si="44"/>
        <v>23.684210526315791</v>
      </c>
      <c r="Z69" s="86">
        <f ca="1">IFERROR(__xludf.DUMMYFUNCTION("IMPORTRANGE(""https://docs.google.com/spreadsheets/d/11s9m3tKsCBdPWq6syhZm27eBGbKneDLZc75co106bio/edit?usp=sharing"",""สระแก้ว!I362"")"),570)</f>
        <v>570</v>
      </c>
      <c r="AA69" s="86">
        <f ca="1">IFERROR(__xludf.DUMMYFUNCTION("IMPORTRANGE(""https://docs.google.com/spreadsheets/d/11s9m3tKsCBdPWq6syhZm27eBGbKneDLZc75co106bio/edit?usp=sharing"",""สระแก้ว!J362"")"),1)</f>
        <v>1</v>
      </c>
      <c r="AB69" s="86">
        <f ca="1">IFERROR(__xludf.DUMMYFUNCTION("IMPORTRANGE(""https://docs.google.com/spreadsheets/d/11s9m3tKsCBdPWq6syhZm27eBGbKneDLZc75co106bio/edit?usp=sharing"",""สระแก้ว!J363"")"),21)</f>
        <v>21</v>
      </c>
      <c r="AC69" s="87">
        <f t="shared" ca="1" si="45"/>
        <v>0.17543859649122806</v>
      </c>
      <c r="AD69" s="86">
        <f ca="1">IFERROR(__xludf.DUMMYFUNCTION("IMPORTRANGE(""https://docs.google.com/spreadsheets/d/11s9m3tKsCBdPWq6syhZm27eBGbKneDLZc75co106bio/edit?usp=sharing"",""สระแก้ว!I364"")"),770)</f>
        <v>770</v>
      </c>
      <c r="AE69" s="86">
        <f ca="1">IFERROR(__xludf.DUMMYFUNCTION("IMPORTRANGE(""https://docs.google.com/spreadsheets/d/11s9m3tKsCBdPWq6syhZm27eBGbKneDLZc75co106bio/edit?usp=sharing"",""สระแก้ว!J364"")"),59)</f>
        <v>59</v>
      </c>
      <c r="AF69" s="87">
        <f t="shared" ca="1" si="16"/>
        <v>7.662337662337662</v>
      </c>
      <c r="AG69" s="86">
        <f ca="1">IFERROR(__xludf.DUMMYFUNCTION("IMPORTRANGE(""https://docs.google.com/spreadsheets/d/11s9m3tKsCBdPWq6syhZm27eBGbKneDLZc75co106bio/edit?usp=sharing"",""สระแก้ว!I369"")"),3000)</f>
        <v>3000</v>
      </c>
      <c r="AH69" s="86">
        <f ca="1">IFERROR(__xludf.DUMMYFUNCTION("IMPORTRANGE(""https://docs.google.com/spreadsheets/d/11s9m3tKsCBdPWq6syhZm27eBGbKneDLZc75co106bio/edit?usp=sharing"",""สระแก้ว!J368"")"),37)</f>
        <v>37</v>
      </c>
      <c r="AI69" s="86">
        <f ca="1">IFERROR(__xludf.DUMMYFUNCTION("IMPORTRANGE(""https://docs.google.com/spreadsheets/d/11s9m3tKsCBdPWq6syhZm27eBGbKneDLZc75co106bio/edit?usp=sharing"",""สระแก้ว!J369"")"),525.84)</f>
        <v>525.84</v>
      </c>
      <c r="AJ69" s="87">
        <f t="shared" ca="1" si="46"/>
        <v>17.527999999999999</v>
      </c>
      <c r="AK69" s="86">
        <f ca="1">IFERROR(__xludf.DUMMYFUNCTION("IMPORTRANGE(""https://docs.google.com/spreadsheets/d/11s9m3tKsCBdPWq6syhZm27eBGbKneDLZc75co106bio/edit?usp=sharing"",""สระแก้ว!I370"")"),200)</f>
        <v>200</v>
      </c>
      <c r="AL69" s="86">
        <f ca="1">IFERROR(__xludf.DUMMYFUNCTION("IMPORTRANGE(""https://docs.google.com/spreadsheets/d/11s9m3tKsCBdPWq6syhZm27eBGbKneDLZc75co106bio/edit?usp=sharing"",""สระแก้ว!J370"")"),29)</f>
        <v>29</v>
      </c>
      <c r="AM69" s="86">
        <f ca="1">IFERROR(__xludf.DUMMYFUNCTION("IMPORTRANGE(""https://docs.google.com/spreadsheets/d/11s9m3tKsCBdPWq6syhZm27eBGbKneDLZc75co106bio/edit?usp=sharing"",""สระแก้ว!J371"")"),459.31)</f>
        <v>459.31</v>
      </c>
      <c r="AN69" s="87">
        <f t="shared" ca="1" si="47"/>
        <v>14.5</v>
      </c>
      <c r="AO69" s="86">
        <f ca="1">IFERROR(__xludf.DUMMYFUNCTION("IMPORTRANGE(""https://docs.google.com/spreadsheets/d/11s9m3tKsCBdPWq6syhZm27eBGbKneDLZc75co106bio/edit?usp=sharing"",""สระแก้ว!I372"")"),200)</f>
        <v>200</v>
      </c>
      <c r="AP69" s="86">
        <f ca="1">IFERROR(__xludf.DUMMYFUNCTION("IMPORTRANGE(""https://docs.google.com/spreadsheets/d/11s9m3tKsCBdPWq6syhZm27eBGbKneDLZc75co106bio/edit?usp=sharing"",""สระแก้ว!J372"")"),1)</f>
        <v>1</v>
      </c>
      <c r="AQ69" s="86">
        <f ca="1">IFERROR(__xludf.DUMMYFUNCTION("IMPORTRANGE(""https://docs.google.com/spreadsheets/d/11s9m3tKsCBdPWq6syhZm27eBGbKneDLZc75co106bio/edit?usp=sharing"",""สระแก้ว!J373"")"),21)</f>
        <v>21</v>
      </c>
      <c r="AR69" s="87">
        <f t="shared" ca="1" si="48"/>
        <v>0.5</v>
      </c>
      <c r="AS69" s="86">
        <f ca="1">IFERROR(__xludf.DUMMYFUNCTION("IMPORTRANGE(""https://docs.google.com/spreadsheets/d/11s9m3tKsCBdPWq6syhZm27eBGbKneDLZc75co106bio/edit?usp=sharing"",""สระแก้ว!I378"")"),5500)</f>
        <v>5500</v>
      </c>
      <c r="AT69" s="86">
        <f ca="1">IFERROR(__xludf.DUMMYFUNCTION("IMPORTRANGE(""https://docs.google.com/spreadsheets/d/11s9m3tKsCBdPWq6syhZm27eBGbKneDLZc75co106bio/edit?usp=sharing"",""สระแก้ว!J377"")"),107)</f>
        <v>107</v>
      </c>
      <c r="AU69" s="86">
        <f ca="1">IFERROR(__xludf.DUMMYFUNCTION("IMPORTRANGE(""https://docs.google.com/spreadsheets/d/11s9m3tKsCBdPWq6syhZm27eBGbKneDLZc75co106bio/edit?usp=sharing"",""สระแก้ว!J378"")"),1244.42)</f>
        <v>1244.42</v>
      </c>
      <c r="AV69" s="87">
        <f t="shared" ca="1" si="49"/>
        <v>22.625818181818182</v>
      </c>
      <c r="AW69" s="86">
        <f ca="1">IFERROR(__xludf.DUMMYFUNCTION("IMPORTRANGE(""https://docs.google.com/spreadsheets/d/11s9m3tKsCBdPWq6syhZm27eBGbKneDLZc75co106bio/edit?usp=sharing"",""สระแก้ว!I379"")"),570)</f>
        <v>570</v>
      </c>
      <c r="AX69" s="86">
        <f ca="1">IFERROR(__xludf.DUMMYFUNCTION("IMPORTRANGE(""https://docs.google.com/spreadsheets/d/11s9m3tKsCBdPWq6syhZm27eBGbKneDLZc75co106bio/edit?usp=sharing"",""สระแก้ว!J379"")"),166)</f>
        <v>166</v>
      </c>
      <c r="AY69" s="86">
        <f ca="1">IFERROR(__xludf.DUMMYFUNCTION("IMPORTRANGE(""https://docs.google.com/spreadsheets/d/11s9m3tKsCBdPWq6syhZm27eBGbKneDLZc75co106bio/edit?usp=sharing"",""สระแก้ว!J380"")"),2232.8)</f>
        <v>2232.8000000000002</v>
      </c>
      <c r="AZ69" s="87">
        <f t="shared" ca="1" si="50"/>
        <v>29.12280701754386</v>
      </c>
      <c r="BA69" s="86">
        <f ca="1">IFERROR(__xludf.DUMMYFUNCTION("IMPORTRANGE(""https://docs.google.com/spreadsheets/d/11s9m3tKsCBdPWq6syhZm27eBGbKneDLZc75co106bio/edit?usp=sharing"",""สระแก้ว!I381"")"),570)</f>
        <v>570</v>
      </c>
      <c r="BB69" s="86">
        <f ca="1">IFERROR(__xludf.DUMMYFUNCTION("IMPORTRANGE(""https://docs.google.com/spreadsheets/d/11s9m3tKsCBdPWq6syhZm27eBGbKneDLZc75co106bio/edit?usp=sharing"",""สระแก้ว!J381"")"),58)</f>
        <v>58</v>
      </c>
      <c r="BC69" s="86">
        <f ca="1">IFERROR(__xludf.DUMMYFUNCTION("IMPORTRANGE(""https://docs.google.com/spreadsheets/d/11s9m3tKsCBdPWq6syhZm27eBGbKneDLZc75co106bio/edit?usp=sharing"",""สระแก้ว!J382"")"),973.5)</f>
        <v>973.5</v>
      </c>
      <c r="BD69" s="87">
        <f t="shared" ca="1" si="51"/>
        <v>10.175438596491228</v>
      </c>
    </row>
    <row r="70" spans="1:56" ht="21" customHeight="1" x14ac:dyDescent="0.2">
      <c r="A70" s="78">
        <v>18</v>
      </c>
      <c r="B70" s="79" t="s">
        <v>92</v>
      </c>
      <c r="C70" s="80">
        <f t="shared" ca="1" si="0"/>
        <v>790000</v>
      </c>
      <c r="D70" s="81">
        <f t="shared" ca="1" si="88"/>
        <v>676200</v>
      </c>
      <c r="E70" s="82">
        <f ca="1">IFERROR(__xludf.DUMMYFUNCTION("IMPORTRANGE(""https://docs.google.com/spreadsheets/d/1MeEWN-I1oV_STSDYn1IFDPWt_1FKiwhDph83XaGc0o0/edit?usp=sharing"",""งบพรบ!EX70"")"),228000)</f>
        <v>228000</v>
      </c>
      <c r="F70" s="82">
        <f ca="1">IFERROR(__xludf.DUMMYFUNCTION("IMPORTRANGE(""https://docs.google.com/spreadsheets/d/1MeEWN-I1oV_STSDYn1IFDPWt_1FKiwhDph83XaGc0o0/edit?usp=sharing"",""งบพรบ!EY70"")"),448200)</f>
        <v>448200</v>
      </c>
      <c r="G70" s="82">
        <f ca="1">IFERROR(__xludf.DUMMYFUNCTION("IMPORTRANGE(""https://docs.google.com/spreadsheets/d/1MeEWN-I1oV_STSDYn1IFDPWt_1FKiwhDph83XaGc0o0/edit?usp=sharing"",""งบพรบ!EZ70"")"),113800)</f>
        <v>113800</v>
      </c>
      <c r="H70" s="82">
        <f ca="1">IFERROR(__xludf.DUMMYFUNCTION("IMPORTRANGE(""https://docs.google.com/spreadsheets/d/1MeEWN-I1oV_STSDYn1IFDPWt_1FKiwhDph83XaGc0o0/edit?usp=sharing"",""งบพรบ!FB70"")"),447540)</f>
        <v>447540</v>
      </c>
      <c r="I70" s="82">
        <f ca="1">IFERROR(__xludf.DUMMYFUNCTION("IMPORTRANGE(""https://docs.google.com/spreadsheets/d/1MeEWN-I1oV_STSDYn1IFDPWt_1FKiwhDph83XaGc0o0/edit?usp=sharing"",""งบพรบ!FC70"")"),113800)</f>
        <v>113800</v>
      </c>
      <c r="J70" s="82">
        <f t="shared" ca="1" si="3"/>
        <v>381138</v>
      </c>
      <c r="K70" s="83">
        <f t="shared" ca="1" si="4"/>
        <v>48.245316455696205</v>
      </c>
      <c r="L70" s="82">
        <f ca="1">IFERROR(__xludf.DUMMYFUNCTION("IMPORTRANGE(""https://docs.google.com/spreadsheets/d/1MeEWN-I1oV_STSDYn1IFDPWt_1FKiwhDph83XaGc0o0/edit?usp=sharing"",""งบพรบ!FD70"")"),267338)</f>
        <v>267338</v>
      </c>
      <c r="M70" s="84">
        <f t="shared" ca="1" si="5"/>
        <v>39.535344572611656</v>
      </c>
      <c r="N70" s="84">
        <f t="shared" ca="1" si="6"/>
        <v>59.734995754569425</v>
      </c>
      <c r="O70" s="85">
        <f ca="1">IFERROR(__xludf.DUMMYFUNCTION("IMPORTRANGE(""https://docs.google.com/spreadsheets/d/1MeEWN-I1oV_STSDYn1IFDPWt_1FKiwhDph83XaGc0o0/edit?usp=sharing"",""งบพรบ!FE70"")"),113800)</f>
        <v>113800</v>
      </c>
      <c r="P70" s="84">
        <f t="shared" ca="1" si="53"/>
        <v>100</v>
      </c>
      <c r="Q70" s="84">
        <f t="shared" ca="1" si="8"/>
        <v>100</v>
      </c>
      <c r="R70" s="86">
        <f ca="1">IFERROR(__xludf.DUMMYFUNCTION("IMPORTRANGE(""https://docs.google.com/spreadsheets/d/1Nn1EvsFPtXldgpgVb3Rcng2K2cls68LFQsBh2FyW0Bg/edit?usp=sharing"",""สระบุรี!I359"")"),2838)</f>
        <v>2838</v>
      </c>
      <c r="S70" s="86">
        <f ca="1">IFERROR(__xludf.DUMMYFUNCTION("IMPORTRANGE(""https://docs.google.com/spreadsheets/d/1Nn1EvsFPtXldgpgVb3Rcng2K2cls68LFQsBh2FyW0Bg/edit?usp=sharing"",""สระบุรี!J358"")"),55)</f>
        <v>55</v>
      </c>
      <c r="T70" s="86">
        <f ca="1">IFERROR(__xludf.DUMMYFUNCTION("IMPORTRANGE(""https://docs.google.com/spreadsheets/d/1Nn1EvsFPtXldgpgVb3Rcng2K2cls68LFQsBh2FyW0Bg/edit?usp=sharing"",""สระบุรี!J359"")"),250.98)</f>
        <v>250.98</v>
      </c>
      <c r="U70" s="87">
        <f t="shared" ca="1" si="43"/>
        <v>8.8435517970401687</v>
      </c>
      <c r="V70" s="86">
        <f ca="1">IFERROR(__xludf.DUMMYFUNCTION("IMPORTRANGE(""https://docs.google.com/spreadsheets/d/1Nn1EvsFPtXldgpgVb3Rcng2K2cls68LFQsBh2FyW0Bg/edit?usp=sharing"",""สระบุรี!I360"")"),268)</f>
        <v>268</v>
      </c>
      <c r="W70" s="86">
        <f ca="1">IFERROR(__xludf.DUMMYFUNCTION("IMPORTRANGE(""https://docs.google.com/spreadsheets/d/1Nn1EvsFPtXldgpgVb3Rcng2K2cls68LFQsBh2FyW0Bg/edit?usp=sharing"",""สระบุรี!J360"")"),5)</f>
        <v>5</v>
      </c>
      <c r="X70" s="86">
        <f ca="1">IFERROR(__xludf.DUMMYFUNCTION("IMPORTRANGE(""https://docs.google.com/spreadsheets/d/1Nn1EvsFPtXldgpgVb3Rcng2K2cls68LFQsBh2FyW0Bg/edit?usp=sharing"",""สระบุรี!J361"")"),49.55)</f>
        <v>49.55</v>
      </c>
      <c r="Y70" s="87">
        <f t="shared" ca="1" si="44"/>
        <v>1.8656716417910448</v>
      </c>
      <c r="Z70" s="86">
        <f ca="1">IFERROR(__xludf.DUMMYFUNCTION("IMPORTRANGE(""https://docs.google.com/spreadsheets/d/1Nn1EvsFPtXldgpgVb3Rcng2K2cls68LFQsBh2FyW0Bg/edit?usp=sharing"",""สระบุรี!I362"")"),268)</f>
        <v>268</v>
      </c>
      <c r="AA70" s="86">
        <f ca="1">IFERROR(__xludf.DUMMYFUNCTION("IMPORTRANGE(""https://docs.google.com/spreadsheets/d/1Nn1EvsFPtXldgpgVb3Rcng2K2cls68LFQsBh2FyW0Bg/edit?usp=sharing"",""สระบุรี!J362"")"),5)</f>
        <v>5</v>
      </c>
      <c r="AB70" s="86">
        <f ca="1">IFERROR(__xludf.DUMMYFUNCTION("IMPORTRANGE(""https://docs.google.com/spreadsheets/d/1Nn1EvsFPtXldgpgVb3Rcng2K2cls68LFQsBh2FyW0Bg/edit?usp=sharing"",""สระบุรี!J363"")"),49.55)</f>
        <v>49.55</v>
      </c>
      <c r="AC70" s="87">
        <f t="shared" ca="1" si="45"/>
        <v>1.8656716417910448</v>
      </c>
      <c r="AD70" s="86">
        <f ca="1">IFERROR(__xludf.DUMMYFUNCTION("IMPORTRANGE(""https://docs.google.com/spreadsheets/d/1Nn1EvsFPtXldgpgVb3Rcng2K2cls68LFQsBh2FyW0Bg/edit?usp=sharing"",""สระบุรี!I364"")"),398)</f>
        <v>398</v>
      </c>
      <c r="AE70" s="86">
        <f ca="1">IFERROR(__xludf.DUMMYFUNCTION("IMPORTRANGE(""https://docs.google.com/spreadsheets/d/1Nn1EvsFPtXldgpgVb3Rcng2K2cls68LFQsBh2FyW0Bg/edit?usp=sharing"",""สระบุรี!J364"")"),73)</f>
        <v>73</v>
      </c>
      <c r="AF70" s="87">
        <f t="shared" ca="1" si="16"/>
        <v>18.341708542713569</v>
      </c>
      <c r="AG70" s="86">
        <f ca="1">IFERROR(__xludf.DUMMYFUNCTION("IMPORTRANGE(""https://docs.google.com/spreadsheets/d/1Nn1EvsFPtXldgpgVb3Rcng2K2cls68LFQsBh2FyW0Bg/edit?usp=sharing"",""สระบุรี!I369"")"),500)</f>
        <v>500</v>
      </c>
      <c r="AH70" s="86">
        <f ca="1">IFERROR(__xludf.DUMMYFUNCTION("IMPORTRANGE(""https://docs.google.com/spreadsheets/d/1Nn1EvsFPtXldgpgVb3Rcng2K2cls68LFQsBh2FyW0Bg/edit?usp=sharing"",""สระบุรี!J368"")"),55)</f>
        <v>55</v>
      </c>
      <c r="AI70" s="86">
        <f ca="1">IFERROR(__xludf.DUMMYFUNCTION("IMPORTRANGE(""https://docs.google.com/spreadsheets/d/1Nn1EvsFPtXldgpgVb3Rcng2K2cls68LFQsBh2FyW0Bg/edit?usp=sharing"",""สระบุรี!J369"")"),250.98)</f>
        <v>250.98</v>
      </c>
      <c r="AJ70" s="87">
        <f t="shared" ca="1" si="46"/>
        <v>50.195999999999998</v>
      </c>
      <c r="AK70" s="86">
        <f ca="1">IFERROR(__xludf.DUMMYFUNCTION("IMPORTRANGE(""https://docs.google.com/spreadsheets/d/1Nn1EvsFPtXldgpgVb3Rcng2K2cls68LFQsBh2FyW0Bg/edit?usp=sharing"",""สระบุรี!I370"")"),30)</f>
        <v>30</v>
      </c>
      <c r="AL70" s="86">
        <f ca="1">IFERROR(__xludf.DUMMYFUNCTION("IMPORTRANGE(""https://docs.google.com/spreadsheets/d/1Nn1EvsFPtXldgpgVb3Rcng2K2cls68LFQsBh2FyW0Bg/edit?usp=sharing"",""สระบุรี!J370"")"),5)</f>
        <v>5</v>
      </c>
      <c r="AM70" s="86">
        <f ca="1">IFERROR(__xludf.DUMMYFUNCTION("IMPORTRANGE(""https://docs.google.com/spreadsheets/d/1Nn1EvsFPtXldgpgVb3Rcng2K2cls68LFQsBh2FyW0Bg/edit?usp=sharing"",""สระบุรี!J371"")"),49.55)</f>
        <v>49.55</v>
      </c>
      <c r="AN70" s="87">
        <f t="shared" ca="1" si="47"/>
        <v>16.666666666666668</v>
      </c>
      <c r="AO70" s="86">
        <f ca="1">IFERROR(__xludf.DUMMYFUNCTION("IMPORTRANGE(""https://docs.google.com/spreadsheets/d/1Nn1EvsFPtXldgpgVb3Rcng2K2cls68LFQsBh2FyW0Bg/edit?usp=sharing"",""สระบุรี!I372"")"),30)</f>
        <v>30</v>
      </c>
      <c r="AP70" s="86">
        <f ca="1">IFERROR(__xludf.DUMMYFUNCTION("IMPORTRANGE(""https://docs.google.com/spreadsheets/d/1Nn1EvsFPtXldgpgVb3Rcng2K2cls68LFQsBh2FyW0Bg/edit?usp=sharing"",""สระบุรี!J372"")"),5)</f>
        <v>5</v>
      </c>
      <c r="AQ70" s="86">
        <f ca="1">IFERROR(__xludf.DUMMYFUNCTION("IMPORTRANGE(""https://docs.google.com/spreadsheets/d/1Nn1EvsFPtXldgpgVb3Rcng2K2cls68LFQsBh2FyW0Bg/edit?usp=sharing"",""สระบุรี!J373"")"),49.55)</f>
        <v>49.55</v>
      </c>
      <c r="AR70" s="87">
        <f t="shared" ca="1" si="48"/>
        <v>16.666666666666668</v>
      </c>
      <c r="AS70" s="86">
        <f ca="1">IFERROR(__xludf.DUMMYFUNCTION("IMPORTRANGE(""https://docs.google.com/spreadsheets/d/1Nn1EvsFPtXldgpgVb3Rcng2K2cls68LFQsBh2FyW0Bg/edit?usp=sharing"",""สระบุรี!I378"")"),2338)</f>
        <v>2338</v>
      </c>
      <c r="AT70" s="86">
        <f ca="1">IFERROR(__xludf.DUMMYFUNCTION("IMPORTRANGE(""https://docs.google.com/spreadsheets/d/1Nn1EvsFPtXldgpgVb3Rcng2K2cls68LFQsBh2FyW0Bg/edit?usp=sharing"",""สระบุรี!J377"")"),0)</f>
        <v>0</v>
      </c>
      <c r="AU70" s="86">
        <f ca="1">IFERROR(__xludf.DUMMYFUNCTION("IMPORTRANGE(""https://docs.google.com/spreadsheets/d/1Nn1EvsFPtXldgpgVb3Rcng2K2cls68LFQsBh2FyW0Bg/edit?usp=sharing"",""สระบุรี!J378"")"),0)</f>
        <v>0</v>
      </c>
      <c r="AV70" s="87">
        <f t="shared" ca="1" si="49"/>
        <v>0</v>
      </c>
      <c r="AW70" s="86">
        <f ca="1">IFERROR(__xludf.DUMMYFUNCTION("IMPORTRANGE(""https://docs.google.com/spreadsheets/d/1Nn1EvsFPtXldgpgVb3Rcng2K2cls68LFQsBh2FyW0Bg/edit?usp=sharing"",""สระบุรี!I379"")"),368)</f>
        <v>368</v>
      </c>
      <c r="AX70" s="86">
        <f ca="1">IFERROR(__xludf.DUMMYFUNCTION("IMPORTRANGE(""https://docs.google.com/spreadsheets/d/1Nn1EvsFPtXldgpgVb3Rcng2K2cls68LFQsBh2FyW0Bg/edit?usp=sharing"",""สระบุรี!J379"")"),68)</f>
        <v>68</v>
      </c>
      <c r="AY70" s="86">
        <f ca="1">IFERROR(__xludf.DUMMYFUNCTION("IMPORTRANGE(""https://docs.google.com/spreadsheets/d/1Nn1EvsFPtXldgpgVb3Rcng2K2cls68LFQsBh2FyW0Bg/edit?usp=sharing"",""สระบุรี!J380"")"),906.08)</f>
        <v>906.08</v>
      </c>
      <c r="AZ70" s="87">
        <f t="shared" ca="1" si="50"/>
        <v>18.478260869565219</v>
      </c>
      <c r="BA70" s="86">
        <f ca="1">IFERROR(__xludf.DUMMYFUNCTION("IMPORTRANGE(""https://docs.google.com/spreadsheets/d/1Nn1EvsFPtXldgpgVb3Rcng2K2cls68LFQsBh2FyW0Bg/edit?usp=sharing"",""สระบุรี!I381"")"),368)</f>
        <v>368</v>
      </c>
      <c r="BB70" s="86">
        <f ca="1">IFERROR(__xludf.DUMMYFUNCTION("IMPORTRANGE(""https://docs.google.com/spreadsheets/d/1Nn1EvsFPtXldgpgVb3Rcng2K2cls68LFQsBh2FyW0Bg/edit?usp=sharing"",""สระบุรี!J381"")"),68)</f>
        <v>68</v>
      </c>
      <c r="BC70" s="86">
        <f ca="1">IFERROR(__xludf.DUMMYFUNCTION("IMPORTRANGE(""https://docs.google.com/spreadsheets/d/1Nn1EvsFPtXldgpgVb3Rcng2K2cls68LFQsBh2FyW0Bg/edit?usp=sharing"",""สระบุรี!J382"")"),906.08)</f>
        <v>906.08</v>
      </c>
      <c r="BD70" s="87">
        <f t="shared" ca="1" si="51"/>
        <v>18.478260869565219</v>
      </c>
    </row>
    <row r="71" spans="1:56" ht="21" customHeight="1" x14ac:dyDescent="0.2">
      <c r="A71" s="78">
        <v>19</v>
      </c>
      <c r="B71" s="79" t="s">
        <v>93</v>
      </c>
      <c r="C71" s="80">
        <f t="shared" ca="1" si="0"/>
        <v>96770</v>
      </c>
      <c r="D71" s="81">
        <f t="shared" ca="1" si="88"/>
        <v>43970</v>
      </c>
      <c r="E71" s="82">
        <f ca="1">IFERROR(__xludf.DUMMYFUNCTION("IMPORTRANGE(""https://docs.google.com/spreadsheets/d/1MeEWN-I1oV_STSDYn1IFDPWt_1FKiwhDph83XaGc0o0/edit?usp=sharing"",""งบพรบ!EX71"")"),0)</f>
        <v>0</v>
      </c>
      <c r="F71" s="82">
        <f ca="1">IFERROR(__xludf.DUMMYFUNCTION("IMPORTRANGE(""https://docs.google.com/spreadsheets/d/1MeEWN-I1oV_STSDYn1IFDPWt_1FKiwhDph83XaGc0o0/edit?usp=sharing"",""งบพรบ!EY71"")"),43970)</f>
        <v>43970</v>
      </c>
      <c r="G71" s="82">
        <f ca="1">IFERROR(__xludf.DUMMYFUNCTION("IMPORTRANGE(""https://docs.google.com/spreadsheets/d/1MeEWN-I1oV_STSDYn1IFDPWt_1FKiwhDph83XaGc0o0/edit?usp=sharing"",""งบพรบ!EZ71"")"),52800)</f>
        <v>52800</v>
      </c>
      <c r="H71" s="82">
        <f ca="1">IFERROR(__xludf.DUMMYFUNCTION("IMPORTRANGE(""https://docs.google.com/spreadsheets/d/1MeEWN-I1oV_STSDYn1IFDPWt_1FKiwhDph83XaGc0o0/edit?usp=sharing"",""งบพรบ!FB71"")"),32990)</f>
        <v>32990</v>
      </c>
      <c r="I71" s="82">
        <f ca="1">IFERROR(__xludf.DUMMYFUNCTION("IMPORTRANGE(""https://docs.google.com/spreadsheets/d/1MeEWN-I1oV_STSDYn1IFDPWt_1FKiwhDph83XaGc0o0/edit?usp=sharing"",""งบพรบ!FC71"")"),52040)</f>
        <v>52040</v>
      </c>
      <c r="J71" s="82">
        <f t="shared" ca="1" si="3"/>
        <v>52040</v>
      </c>
      <c r="K71" s="83">
        <f t="shared" ca="1" si="4"/>
        <v>53.776997003203469</v>
      </c>
      <c r="L71" s="82">
        <f ca="1">IFERROR(__xludf.DUMMYFUNCTION("IMPORTRANGE(""https://docs.google.com/spreadsheets/d/1MeEWN-I1oV_STSDYn1IFDPWt_1FKiwhDph83XaGc0o0/edit?usp=sharing"",""งบพรบ!FD71"")"),0)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IFERROR(__xludf.DUMMYFUNCTION("IMPORTRANGE(""https://docs.google.com/spreadsheets/d/1MeEWN-I1oV_STSDYn1IFDPWt_1FKiwhDph83XaGc0o0/edit?usp=sharing"",""งบพรบ!FE71"")"),52040)</f>
        <v>52040</v>
      </c>
      <c r="P71" s="84">
        <f t="shared" ca="1" si="53"/>
        <v>98.560606060606062</v>
      </c>
      <c r="Q71" s="84">
        <f t="shared" ca="1" si="8"/>
        <v>100</v>
      </c>
      <c r="R71" s="86">
        <f ca="1">IFERROR(__xludf.DUMMYFUNCTION("IMPORTRANGE(""https://docs.google.com/spreadsheets/d/149xufxukrnEciK3WPbNpHwUK8BKEJxp3UcBG3Al6dA4/edit?usp=sharing"",""สิงห์บุรี!I359"")"),0)</f>
        <v>0</v>
      </c>
      <c r="S71" s="86">
        <f ca="1">IFERROR(__xludf.DUMMYFUNCTION("IMPORTRANGE(""https://docs.google.com/spreadsheets/d/149xufxukrnEciK3WPbNpHwUK8BKEJxp3UcBG3Al6dA4/edit?usp=sharing"",""สิงห์บุรี!J358"")"),0)</f>
        <v>0</v>
      </c>
      <c r="T71" s="86">
        <f ca="1">IFERROR(__xludf.DUMMYFUNCTION("IMPORTRANGE(""https://docs.google.com/spreadsheets/d/149xufxukrnEciK3WPbNpHwUK8BKEJxp3UcBG3Al6dA4/edit?usp=sharing"",""สิงห์บุรี!J359"")"),0)</f>
        <v>0</v>
      </c>
      <c r="U71" s="87">
        <f t="shared" ca="1" si="43"/>
        <v>0</v>
      </c>
      <c r="V71" s="86">
        <f ca="1">IFERROR(__xludf.DUMMYFUNCTION("IMPORTRANGE(""https://docs.google.com/spreadsheets/d/149xufxukrnEciK3WPbNpHwUK8BKEJxp3UcBG3Al6dA4/edit?usp=sharing"",""สิงห์บุรี!I360"")"),0)</f>
        <v>0</v>
      </c>
      <c r="W71" s="86">
        <f ca="1">IFERROR(__xludf.DUMMYFUNCTION("IMPORTRANGE(""https://docs.google.com/spreadsheets/d/149xufxukrnEciK3WPbNpHwUK8BKEJxp3UcBG3Al6dA4/edit?usp=sharing"",""สิงห์บุรี!J360"")"),0)</f>
        <v>0</v>
      </c>
      <c r="X71" s="86">
        <f ca="1">IFERROR(__xludf.DUMMYFUNCTION("IMPORTRANGE(""https://docs.google.com/spreadsheets/d/149xufxukrnEciK3WPbNpHwUK8BKEJxp3UcBG3Al6dA4/edit?usp=sharing"",""สิงห์บุรี!J361"")"),0)</f>
        <v>0</v>
      </c>
      <c r="Y71" s="87">
        <f t="shared" ca="1" si="44"/>
        <v>0</v>
      </c>
      <c r="Z71" s="86">
        <f ca="1">IFERROR(__xludf.DUMMYFUNCTION("IMPORTRANGE(""https://docs.google.com/spreadsheets/d/149xufxukrnEciK3WPbNpHwUK8BKEJxp3UcBG3Al6dA4/edit?usp=sharing"",""สิงห์บุรี!I362"")"),0)</f>
        <v>0</v>
      </c>
      <c r="AA71" s="86">
        <f ca="1">IFERROR(__xludf.DUMMYFUNCTION("IMPORTRANGE(""https://docs.google.com/spreadsheets/d/149xufxukrnEciK3WPbNpHwUK8BKEJxp3UcBG3Al6dA4/edit?usp=sharing"",""สิงห์บุรี!J362"")"),0)</f>
        <v>0</v>
      </c>
      <c r="AB71" s="86">
        <f ca="1">IFERROR(__xludf.DUMMYFUNCTION("IMPORTRANGE(""https://docs.google.com/spreadsheets/d/149xufxukrnEciK3WPbNpHwUK8BKEJxp3UcBG3Al6dA4/edit?usp=sharing"",""สิงห์บุรี!J363"")"),0)</f>
        <v>0</v>
      </c>
      <c r="AC71" s="87">
        <f t="shared" ca="1" si="45"/>
        <v>0</v>
      </c>
      <c r="AD71" s="86">
        <f ca="1">IFERROR(__xludf.DUMMYFUNCTION("IMPORTRANGE(""https://docs.google.com/spreadsheets/d/149xufxukrnEciK3WPbNpHwUK8BKEJxp3UcBG3Al6dA4/edit?usp=sharing"",""สิงห์บุรี!I364"")"),0)</f>
        <v>0</v>
      </c>
      <c r="AE71" s="86">
        <f ca="1">IFERROR(__xludf.DUMMYFUNCTION("IMPORTRANGE(""https://docs.google.com/spreadsheets/d/149xufxukrnEciK3WPbNpHwUK8BKEJxp3UcBG3Al6dA4/edit?usp=sharing"",""สิงห์บุรี!J364"")"),0)</f>
        <v>0</v>
      </c>
      <c r="AF71" s="87">
        <f t="shared" ca="1" si="16"/>
        <v>0</v>
      </c>
      <c r="AG71" s="86">
        <f ca="1">IFERROR(__xludf.DUMMYFUNCTION("IMPORTRANGE(""https://docs.google.com/spreadsheets/d/149xufxukrnEciK3WPbNpHwUK8BKEJxp3UcBG3Al6dA4/edit?usp=sharing"",""สิงห์บุรี!I369"")"),0)</f>
        <v>0</v>
      </c>
      <c r="AH71" s="86">
        <f ca="1">IFERROR(__xludf.DUMMYFUNCTION("IMPORTRANGE(""https://docs.google.com/spreadsheets/d/149xufxukrnEciK3WPbNpHwUK8BKEJxp3UcBG3Al6dA4/edit?usp=sharing"",""สิงห์บุรี!J368"")"),0)</f>
        <v>0</v>
      </c>
      <c r="AI71" s="86">
        <f ca="1">IFERROR(__xludf.DUMMYFUNCTION("IMPORTRANGE(""https://docs.google.com/spreadsheets/d/149xufxukrnEciK3WPbNpHwUK8BKEJxp3UcBG3Al6dA4/edit?usp=sharing"",""สิงห์บุรี!J369"")"),0)</f>
        <v>0</v>
      </c>
      <c r="AJ71" s="87">
        <f t="shared" ca="1" si="46"/>
        <v>0</v>
      </c>
      <c r="AK71" s="86">
        <f ca="1">IFERROR(__xludf.DUMMYFUNCTION("IMPORTRANGE(""https://docs.google.com/spreadsheets/d/149xufxukrnEciK3WPbNpHwUK8BKEJxp3UcBG3Al6dA4/edit?usp=sharing"",""สิงห์บุรี!I370"")"),0)</f>
        <v>0</v>
      </c>
      <c r="AL71" s="86">
        <f ca="1">IFERROR(__xludf.DUMMYFUNCTION("IMPORTRANGE(""https://docs.google.com/spreadsheets/d/149xufxukrnEciK3WPbNpHwUK8BKEJxp3UcBG3Al6dA4/edit?usp=sharing"",""สิงห์บุรี!J370"")"),0)</f>
        <v>0</v>
      </c>
      <c r="AM71" s="86">
        <f ca="1">IFERROR(__xludf.DUMMYFUNCTION("IMPORTRANGE(""https://docs.google.com/spreadsheets/d/149xufxukrnEciK3WPbNpHwUK8BKEJxp3UcBG3Al6dA4/edit?usp=sharing"",""สิงห์บุรี!J371"")"),0)</f>
        <v>0</v>
      </c>
      <c r="AN71" s="87">
        <f t="shared" ca="1" si="47"/>
        <v>0</v>
      </c>
      <c r="AO71" s="86">
        <f ca="1">IFERROR(__xludf.DUMMYFUNCTION("IMPORTRANGE(""https://docs.google.com/spreadsheets/d/149xufxukrnEciK3WPbNpHwUK8BKEJxp3UcBG3Al6dA4/edit?usp=sharing"",""สิงห์บุรี!I372"")"),0)</f>
        <v>0</v>
      </c>
      <c r="AP71" s="86">
        <f ca="1">IFERROR(__xludf.DUMMYFUNCTION("IMPORTRANGE(""https://docs.google.com/spreadsheets/d/149xufxukrnEciK3WPbNpHwUK8BKEJxp3UcBG3Al6dA4/edit?usp=sharing"",""สิงห์บุรี!J372"")"),0)</f>
        <v>0</v>
      </c>
      <c r="AQ71" s="86">
        <f ca="1">IFERROR(__xludf.DUMMYFUNCTION("IMPORTRANGE(""https://docs.google.com/spreadsheets/d/149xufxukrnEciK3WPbNpHwUK8BKEJxp3UcBG3Al6dA4/edit?usp=sharing"",""สิงห์บุรี!J373"")"),0)</f>
        <v>0</v>
      </c>
      <c r="AR71" s="87">
        <f t="shared" ca="1" si="48"/>
        <v>0</v>
      </c>
      <c r="AS71" s="86">
        <f ca="1">IFERROR(__xludf.DUMMYFUNCTION("IMPORTRANGE(""https://docs.google.com/spreadsheets/d/149xufxukrnEciK3WPbNpHwUK8BKEJxp3UcBG3Al6dA4/edit?usp=sharing"",""สิงห์บุรี!I378"")"),0)</f>
        <v>0</v>
      </c>
      <c r="AT71" s="86">
        <f ca="1">IFERROR(__xludf.DUMMYFUNCTION("IMPORTRANGE(""https://docs.google.com/spreadsheets/d/149xufxukrnEciK3WPbNpHwUK8BKEJxp3UcBG3Al6dA4/edit?usp=sharing"",""สิงห์บุรี!J377"")"),0)</f>
        <v>0</v>
      </c>
      <c r="AU71" s="86">
        <f ca="1">IFERROR(__xludf.DUMMYFUNCTION("IMPORTRANGE(""https://docs.google.com/spreadsheets/d/149xufxukrnEciK3WPbNpHwUK8BKEJxp3UcBG3Al6dA4/edit?usp=sharing"",""สิงห์บุรี!J378"")"),0)</f>
        <v>0</v>
      </c>
      <c r="AV71" s="87">
        <f t="shared" ca="1" si="49"/>
        <v>0</v>
      </c>
      <c r="AW71" s="86">
        <f ca="1">IFERROR(__xludf.DUMMYFUNCTION("IMPORTRANGE(""https://docs.google.com/spreadsheets/d/149xufxukrnEciK3WPbNpHwUK8BKEJxp3UcBG3Al6dA4/edit?usp=sharing"",""สิงห์บุรี!I379"")"),0)</f>
        <v>0</v>
      </c>
      <c r="AX71" s="86">
        <f ca="1">IFERROR(__xludf.DUMMYFUNCTION("IMPORTRANGE(""https://docs.google.com/spreadsheets/d/149xufxukrnEciK3WPbNpHwUK8BKEJxp3UcBG3Al6dA4/edit?usp=sharing"",""สิงห์บุรี!J379"")"),0)</f>
        <v>0</v>
      </c>
      <c r="AY71" s="86">
        <f ca="1">IFERROR(__xludf.DUMMYFUNCTION("IMPORTRANGE(""https://docs.google.com/spreadsheets/d/149xufxukrnEciK3WPbNpHwUK8BKEJxp3UcBG3Al6dA4/edit?usp=sharing"",""สิงห์บุรี!J380"")"),0)</f>
        <v>0</v>
      </c>
      <c r="AZ71" s="87">
        <f t="shared" ca="1" si="50"/>
        <v>0</v>
      </c>
      <c r="BA71" s="86">
        <f ca="1">IFERROR(__xludf.DUMMYFUNCTION("IMPORTRANGE(""https://docs.google.com/spreadsheets/d/149xufxukrnEciK3WPbNpHwUK8BKEJxp3UcBG3Al6dA4/edit?usp=sharing"",""สิงห์บุรี!I381"")"),0)</f>
        <v>0</v>
      </c>
      <c r="BB71" s="86">
        <f ca="1">IFERROR(__xludf.DUMMYFUNCTION("IMPORTRANGE(""https://docs.google.com/spreadsheets/d/149xufxukrnEciK3WPbNpHwUK8BKEJxp3UcBG3Al6dA4/edit?usp=sharing"",""สิงห์บุรี!J381"")"),0)</f>
        <v>0</v>
      </c>
      <c r="BC71" s="86">
        <f ca="1">IFERROR(__xludf.DUMMYFUNCTION("IMPORTRANGE(""https://docs.google.com/spreadsheets/d/149xufxukrnEciK3WPbNpHwUK8BKEJxp3UcBG3Al6dA4/edit?usp=sharing"",""สิงห์บุรี!J382"")"),0)</f>
        <v>0</v>
      </c>
      <c r="BD71" s="87">
        <f t="shared" ca="1" si="51"/>
        <v>0</v>
      </c>
    </row>
    <row r="72" spans="1:56" ht="21" customHeight="1" x14ac:dyDescent="0.2">
      <c r="A72" s="78">
        <v>20</v>
      </c>
      <c r="B72" s="79" t="s">
        <v>94</v>
      </c>
      <c r="C72" s="80">
        <f t="shared" ca="1" si="0"/>
        <v>1143490</v>
      </c>
      <c r="D72" s="81">
        <f t="shared" ca="1" si="88"/>
        <v>999890</v>
      </c>
      <c r="E72" s="82">
        <f ca="1">IFERROR(__xludf.DUMMYFUNCTION("IMPORTRANGE(""https://docs.google.com/spreadsheets/d/1MeEWN-I1oV_STSDYn1IFDPWt_1FKiwhDph83XaGc0o0/edit?usp=sharing"",""งบพรบ!EX72"")"),604800)</f>
        <v>604800</v>
      </c>
      <c r="F72" s="82">
        <f ca="1">IFERROR(__xludf.DUMMYFUNCTION("IMPORTRANGE(""https://docs.google.com/spreadsheets/d/1MeEWN-I1oV_STSDYn1IFDPWt_1FKiwhDph83XaGc0o0/edit?usp=sharing"",""งบพรบ!EY72"")"),395090)</f>
        <v>395090</v>
      </c>
      <c r="G72" s="82">
        <f ca="1">IFERROR(__xludf.DUMMYFUNCTION("IMPORTRANGE(""https://docs.google.com/spreadsheets/d/1MeEWN-I1oV_STSDYn1IFDPWt_1FKiwhDph83XaGc0o0/edit?usp=sharing"",""งบพรบ!EZ72"")"),143600)</f>
        <v>143600</v>
      </c>
      <c r="H72" s="82">
        <f ca="1">IFERROR(__xludf.DUMMYFUNCTION("IMPORTRANGE(""https://docs.google.com/spreadsheets/d/1MeEWN-I1oV_STSDYn1IFDPWt_1FKiwhDph83XaGc0o0/edit?usp=sharing"",""งบพรบ!FB72"")"),706180)</f>
        <v>706180</v>
      </c>
      <c r="I72" s="82">
        <f ca="1">IFERROR(__xludf.DUMMYFUNCTION("IMPORTRANGE(""https://docs.google.com/spreadsheets/d/1MeEWN-I1oV_STSDYn1IFDPWt_1FKiwhDph83XaGc0o0/edit?usp=sharing"",""งบพรบ!FC72"")"),143600)</f>
        <v>143600</v>
      </c>
      <c r="J72" s="82">
        <f t="shared" ca="1" si="3"/>
        <v>486896.3</v>
      </c>
      <c r="K72" s="83">
        <f t="shared" ca="1" si="4"/>
        <v>42.579847659358627</v>
      </c>
      <c r="L72" s="82">
        <f ca="1">IFERROR(__xludf.DUMMYFUNCTION("IMPORTRANGE(""https://docs.google.com/spreadsheets/d/1MeEWN-I1oV_STSDYn1IFDPWt_1FKiwhDph83XaGc0o0/edit?usp=sharing"",""งบพรบ!FD72"")"),343296.3)</f>
        <v>343296.3</v>
      </c>
      <c r="M72" s="84">
        <f t="shared" ca="1" si="5"/>
        <v>34.333406674734221</v>
      </c>
      <c r="N72" s="84">
        <f t="shared" ca="1" si="6"/>
        <v>48.613143957631202</v>
      </c>
      <c r="O72" s="85">
        <f ca="1">IFERROR(__xludf.DUMMYFUNCTION("IMPORTRANGE(""https://docs.google.com/spreadsheets/d/1MeEWN-I1oV_STSDYn1IFDPWt_1FKiwhDph83XaGc0o0/edit?usp=sharing"",""งบพรบ!FE72"")"),143600)</f>
        <v>143600</v>
      </c>
      <c r="P72" s="84">
        <f t="shared" ca="1" si="53"/>
        <v>100</v>
      </c>
      <c r="Q72" s="84">
        <f t="shared" ca="1" si="8"/>
        <v>100</v>
      </c>
      <c r="R72" s="86">
        <f ca="1">IFERROR(__xludf.DUMMYFUNCTION("IMPORTRANGE(""https://docs.google.com/spreadsheets/d/132g-zJpz2uMKimp17uOIx8A7o3w1Z25zwJyXnwsB56c/edit?usp=sharing"",""สุพรรณบุรี!I359"")"),1500)</f>
        <v>1500</v>
      </c>
      <c r="S72" s="86">
        <f ca="1">IFERROR(__xludf.DUMMYFUNCTION("IMPORTRANGE(""https://docs.google.com/spreadsheets/d/132g-zJpz2uMKimp17uOIx8A7o3w1Z25zwJyXnwsB56c/edit?usp=sharing"",""สุพรรณบุรี!J358"")"),153)</f>
        <v>153</v>
      </c>
      <c r="T72" s="86">
        <f ca="1">IFERROR(__xludf.DUMMYFUNCTION("IMPORTRANGE(""https://docs.google.com/spreadsheets/d/132g-zJpz2uMKimp17uOIx8A7o3w1Z25zwJyXnwsB56c/edit?usp=sharing"",""สุพรรณบุรี!J359"")"),1091.68)</f>
        <v>1091.68</v>
      </c>
      <c r="U72" s="87">
        <f t="shared" ca="1" si="43"/>
        <v>72.778666666666666</v>
      </c>
      <c r="V72" s="86">
        <f ca="1">IFERROR(__xludf.DUMMYFUNCTION("IMPORTRANGE(""https://docs.google.com/spreadsheets/d/132g-zJpz2uMKimp17uOIx8A7o3w1Z25zwJyXnwsB56c/edit?usp=sharing"",""สุพรรณบุรี!I360"")"),160)</f>
        <v>160</v>
      </c>
      <c r="W72" s="86">
        <f ca="1">IFERROR(__xludf.DUMMYFUNCTION("IMPORTRANGE(""https://docs.google.com/spreadsheets/d/132g-zJpz2uMKimp17uOIx8A7o3w1Z25zwJyXnwsB56c/edit?usp=sharing"",""สุพรรณบุรี!J360"")"),40)</f>
        <v>40</v>
      </c>
      <c r="X72" s="86">
        <f ca="1">IFERROR(__xludf.DUMMYFUNCTION("IMPORTRANGE(""https://docs.google.com/spreadsheets/d/132g-zJpz2uMKimp17uOIx8A7o3w1Z25zwJyXnwsB56c/edit?usp=sharing"",""สุพรรณบุรี!J361"")"),240.03)</f>
        <v>240.03</v>
      </c>
      <c r="Y72" s="87">
        <f t="shared" ca="1" si="44"/>
        <v>25</v>
      </c>
      <c r="Z72" s="86">
        <f ca="1">IFERROR(__xludf.DUMMYFUNCTION("IMPORTRANGE(""https://docs.google.com/spreadsheets/d/132g-zJpz2uMKimp17uOIx8A7o3w1Z25zwJyXnwsB56c/edit?usp=sharing"",""สุพรรณบุรี!I362"")"),160)</f>
        <v>160</v>
      </c>
      <c r="AA72" s="86">
        <f ca="1">IFERROR(__xludf.DUMMYFUNCTION("IMPORTRANGE(""https://docs.google.com/spreadsheets/d/132g-zJpz2uMKimp17uOIx8A7o3w1Z25zwJyXnwsB56c/edit?usp=sharing"",""สุพรรณบุรี!J362"")"),8)</f>
        <v>8</v>
      </c>
      <c r="AB72" s="86">
        <f ca="1">IFERROR(__xludf.DUMMYFUNCTION("IMPORTRANGE(""https://docs.google.com/spreadsheets/d/132g-zJpz2uMKimp17uOIx8A7o3w1Z25zwJyXnwsB56c/edit?usp=sharing"",""สุพรรณบุรี!J363"")"),45.94)</f>
        <v>45.94</v>
      </c>
      <c r="AC72" s="87">
        <f t="shared" ca="1" si="45"/>
        <v>5</v>
      </c>
      <c r="AD72" s="86">
        <f ca="1">IFERROR(__xludf.DUMMYFUNCTION("IMPORTRANGE(""https://docs.google.com/spreadsheets/d/132g-zJpz2uMKimp17uOIx8A7o3w1Z25zwJyXnwsB56c/edit?usp=sharing"",""สุพรรณบุรี!I364"")"),300)</f>
        <v>300</v>
      </c>
      <c r="AE72" s="86">
        <f ca="1">IFERROR(__xludf.DUMMYFUNCTION("IMPORTRANGE(""https://docs.google.com/spreadsheets/d/132g-zJpz2uMKimp17uOIx8A7o3w1Z25zwJyXnwsB56c/edit?usp=sharing"",""สุพรรณบุรี!J364"")"),137)</f>
        <v>137</v>
      </c>
      <c r="AF72" s="87">
        <f t="shared" ca="1" si="16"/>
        <v>45.666666666666664</v>
      </c>
      <c r="AG72" s="86">
        <f ca="1">IFERROR(__xludf.DUMMYFUNCTION("IMPORTRANGE(""https://docs.google.com/spreadsheets/d/132g-zJpz2uMKimp17uOIx8A7o3w1Z25zwJyXnwsB56c/edit?usp=sharing"",""สุพรรณบุรี!I369"")"),300)</f>
        <v>300</v>
      </c>
      <c r="AH72" s="86">
        <f ca="1">IFERROR(__xludf.DUMMYFUNCTION("IMPORTRANGE(""https://docs.google.com/spreadsheets/d/132g-zJpz2uMKimp17uOIx8A7o3w1Z25zwJyXnwsB56c/edit?usp=sharing"",""สุพรรณบุรี!J368"")"),56)</f>
        <v>56</v>
      </c>
      <c r="AI72" s="86">
        <f ca="1">IFERROR(__xludf.DUMMYFUNCTION("IMPORTRANGE(""https://docs.google.com/spreadsheets/d/132g-zJpz2uMKimp17uOIx8A7o3w1Z25zwJyXnwsB56c/edit?usp=sharing"",""สุพรรณบุรี!J369"")"),321.05)</f>
        <v>321.05</v>
      </c>
      <c r="AJ72" s="87">
        <f t="shared" ca="1" si="46"/>
        <v>107.01666666666667</v>
      </c>
      <c r="AK72" s="86">
        <f ca="1">IFERROR(__xludf.DUMMYFUNCTION("IMPORTRANGE(""https://docs.google.com/spreadsheets/d/132g-zJpz2uMKimp17uOIx8A7o3w1Z25zwJyXnwsB56c/edit?usp=sharing"",""สุพรรณบุรี!I370"")"),40)</f>
        <v>40</v>
      </c>
      <c r="AL72" s="86">
        <f ca="1">IFERROR(__xludf.DUMMYFUNCTION("IMPORTRANGE(""https://docs.google.com/spreadsheets/d/132g-zJpz2uMKimp17uOIx8A7o3w1Z25zwJyXnwsB56c/edit?usp=sharing"",""สุพรรณบุรี!J370"")"),38)</f>
        <v>38</v>
      </c>
      <c r="AM72" s="86">
        <f ca="1">IFERROR(__xludf.DUMMYFUNCTION("IMPORTRANGE(""https://docs.google.com/spreadsheets/d/132g-zJpz2uMKimp17uOIx8A7o3w1Z25zwJyXnwsB56c/edit?usp=sharing"",""สุพรรณบุรี!J371"")"),238.25)</f>
        <v>238.25</v>
      </c>
      <c r="AN72" s="87">
        <f t="shared" ca="1" si="47"/>
        <v>95</v>
      </c>
      <c r="AO72" s="86">
        <f ca="1">IFERROR(__xludf.DUMMYFUNCTION("IMPORTRANGE(""https://docs.google.com/spreadsheets/d/132g-zJpz2uMKimp17uOIx8A7o3w1Z25zwJyXnwsB56c/edit?usp=sharing"",""สุพรรณบุรี!I372"")"),40)</f>
        <v>40</v>
      </c>
      <c r="AP72" s="86">
        <f ca="1">IFERROR(__xludf.DUMMYFUNCTION("IMPORTRANGE(""https://docs.google.com/spreadsheets/d/132g-zJpz2uMKimp17uOIx8A7o3w1Z25zwJyXnwsB56c/edit?usp=sharing"",""สุพรรณบุรี!J372"")"),6)</f>
        <v>6</v>
      </c>
      <c r="AQ72" s="86">
        <f ca="1">IFERROR(__xludf.DUMMYFUNCTION("IMPORTRANGE(""https://docs.google.com/spreadsheets/d/132g-zJpz2uMKimp17uOIx8A7o3w1Z25zwJyXnwsB56c/edit?usp=sharing"",""สุพรรณบุรี!J373"")"),44.16)</f>
        <v>44.16</v>
      </c>
      <c r="AR72" s="87">
        <f t="shared" ca="1" si="48"/>
        <v>15</v>
      </c>
      <c r="AS72" s="86">
        <f ca="1">IFERROR(__xludf.DUMMYFUNCTION("IMPORTRANGE(""https://docs.google.com/spreadsheets/d/132g-zJpz2uMKimp17uOIx8A7o3w1Z25zwJyXnwsB56c/edit?usp=sharing"",""สุพรรณบุรี!I378"")"),1200)</f>
        <v>1200</v>
      </c>
      <c r="AT72" s="86">
        <f ca="1">IFERROR(__xludf.DUMMYFUNCTION("IMPORTRANGE(""https://docs.google.com/spreadsheets/d/132g-zJpz2uMKimp17uOIx8A7o3w1Z25zwJyXnwsB56c/edit?usp=sharing"",""สุพรรณบุรี!J377"")"),97)</f>
        <v>97</v>
      </c>
      <c r="AU72" s="86">
        <f ca="1">IFERROR(__xludf.DUMMYFUNCTION("IMPORTRANGE(""https://docs.google.com/spreadsheets/d/132g-zJpz2uMKimp17uOIx8A7o3w1Z25zwJyXnwsB56c/edit?usp=sharing"",""สุพรรณบุรี!J378"")"),770.63)</f>
        <v>770.63</v>
      </c>
      <c r="AV72" s="87">
        <f t="shared" ca="1" si="49"/>
        <v>64.219166666666666</v>
      </c>
      <c r="AW72" s="86">
        <f ca="1">IFERROR(__xludf.DUMMYFUNCTION("IMPORTRANGE(""https://docs.google.com/spreadsheets/d/132g-zJpz2uMKimp17uOIx8A7o3w1Z25zwJyXnwsB56c/edit?usp=sharing"",""สุพรรณบุรี!I379"")"),260)</f>
        <v>260</v>
      </c>
      <c r="AX72" s="86">
        <f ca="1">IFERROR(__xludf.DUMMYFUNCTION("IMPORTRANGE(""https://docs.google.com/spreadsheets/d/132g-zJpz2uMKimp17uOIx8A7o3w1Z25zwJyXnwsB56c/edit?usp=sharing"",""สุพรรณบุรี!J379"")"),132)</f>
        <v>132</v>
      </c>
      <c r="AY72" s="86">
        <f ca="1">IFERROR(__xludf.DUMMYFUNCTION("IMPORTRANGE(""https://docs.google.com/spreadsheets/d/132g-zJpz2uMKimp17uOIx8A7o3w1Z25zwJyXnwsB56c/edit?usp=sharing"",""สุพรรณบุรี!J380"")"),1418.58)</f>
        <v>1418.58</v>
      </c>
      <c r="AZ72" s="87">
        <f t="shared" ca="1" si="50"/>
        <v>50.769230769230766</v>
      </c>
      <c r="BA72" s="86">
        <f ca="1">IFERROR(__xludf.DUMMYFUNCTION("IMPORTRANGE(""https://docs.google.com/spreadsheets/d/132g-zJpz2uMKimp17uOIx8A7o3w1Z25zwJyXnwsB56c/edit?usp=sharing"",""สุพรรณบุรี!I381"")"),260)</f>
        <v>260</v>
      </c>
      <c r="BB72" s="86">
        <f ca="1">IFERROR(__xludf.DUMMYFUNCTION("IMPORTRANGE(""https://docs.google.com/spreadsheets/d/132g-zJpz2uMKimp17uOIx8A7o3w1Z25zwJyXnwsB56c/edit?usp=sharing"",""สุพรรณบุรี!J381"")"),131)</f>
        <v>131</v>
      </c>
      <c r="BC72" s="86">
        <f ca="1">IFERROR(__xludf.DUMMYFUNCTION("IMPORTRANGE(""https://docs.google.com/spreadsheets/d/132g-zJpz2uMKimp17uOIx8A7o3w1Z25zwJyXnwsB56c/edit?usp=sharing"",""สุพรรณบุรี!J382"")"),1411.58)</f>
        <v>1411.58</v>
      </c>
      <c r="BD72" s="87">
        <f t="shared" ca="1" si="51"/>
        <v>50.384615384615387</v>
      </c>
    </row>
    <row r="73" spans="1:56" ht="21" customHeight="1" x14ac:dyDescent="0.2">
      <c r="A73" s="89">
        <v>21</v>
      </c>
      <c r="B73" s="90" t="s">
        <v>95</v>
      </c>
      <c r="C73" s="91">
        <f t="shared" ca="1" si="0"/>
        <v>78110</v>
      </c>
      <c r="D73" s="92">
        <f t="shared" ca="1" si="88"/>
        <v>48110</v>
      </c>
      <c r="E73" s="93">
        <f ca="1">IFERROR(__xludf.DUMMYFUNCTION("IMPORTRANGE(""https://docs.google.com/spreadsheets/d/1MeEWN-I1oV_STSDYn1IFDPWt_1FKiwhDph83XaGc0o0/edit?usp=sharing"",""งบพรบ!EX73"")"),0)</f>
        <v>0</v>
      </c>
      <c r="F73" s="93">
        <f ca="1">IFERROR(__xludf.DUMMYFUNCTION("IMPORTRANGE(""https://docs.google.com/spreadsheets/d/1MeEWN-I1oV_STSDYn1IFDPWt_1FKiwhDph83XaGc0o0/edit?usp=sharing"",""งบพรบ!EY73"")"),48110)</f>
        <v>48110</v>
      </c>
      <c r="G73" s="93">
        <f ca="1">IFERROR(__xludf.DUMMYFUNCTION("IMPORTRANGE(""https://docs.google.com/spreadsheets/d/1MeEWN-I1oV_STSDYn1IFDPWt_1FKiwhDph83XaGc0o0/edit?usp=sharing"",""งบพรบ!EZ73"")"),30000)</f>
        <v>30000</v>
      </c>
      <c r="H73" s="93">
        <f ca="1">IFERROR(__xludf.DUMMYFUNCTION("IMPORTRANGE(""https://docs.google.com/spreadsheets/d/1MeEWN-I1oV_STSDYn1IFDPWt_1FKiwhDph83XaGc0o0/edit?usp=sharing"",""งบพรบ!FB73"")"),36090)</f>
        <v>36090</v>
      </c>
      <c r="I73" s="93">
        <f ca="1">IFERROR(__xludf.DUMMYFUNCTION("IMPORTRANGE(""https://docs.google.com/spreadsheets/d/1MeEWN-I1oV_STSDYn1IFDPWt_1FKiwhDph83XaGc0o0/edit?usp=sharing"",""งบพรบ!FC73"")"),30000)</f>
        <v>30000</v>
      </c>
      <c r="J73" s="93">
        <f t="shared" ca="1" si="3"/>
        <v>30000</v>
      </c>
      <c r="K73" s="94">
        <f t="shared" ca="1" si="4"/>
        <v>38.407374215849444</v>
      </c>
      <c r="L73" s="93">
        <f ca="1">IFERROR(__xludf.DUMMYFUNCTION("IMPORTRANGE(""https://docs.google.com/spreadsheets/d/1MeEWN-I1oV_STSDYn1IFDPWt_1FKiwhDph83XaGc0o0/edit?usp=sharing"",""งบพรบ!FD73"")"),0)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IFERROR(__xludf.DUMMYFUNCTION("IMPORTRANGE(""https://docs.google.com/spreadsheets/d/1MeEWN-I1oV_STSDYn1IFDPWt_1FKiwhDph83XaGc0o0/edit?usp=sharing"",""งบพรบ!FE73"")"),30000)</f>
        <v>30000</v>
      </c>
      <c r="P73" s="95">
        <f t="shared" ca="1" si="53"/>
        <v>100</v>
      </c>
      <c r="Q73" s="95">
        <f t="shared" ca="1" si="8"/>
        <v>100</v>
      </c>
      <c r="R73" s="97">
        <f ca="1">IFERROR(__xludf.DUMMYFUNCTION("IMPORTRANGE(""https://docs.google.com/spreadsheets/d/12Q_U0nVnFdxDFwa0pej9xvx8ZvLC9Dpi_vRro_aiG5g/edit?usp=sharing"",""อ่างทอง!I359"")"),0)</f>
        <v>0</v>
      </c>
      <c r="S73" s="97">
        <f ca="1">IFERROR(__xludf.DUMMYFUNCTION("IMPORTRANGE(""https://docs.google.com/spreadsheets/d/12Q_U0nVnFdxDFwa0pej9xvx8ZvLC9Dpi_vRro_aiG5g/edit?usp=sharing"",""อ่างทอง!J358"")"),0)</f>
        <v>0</v>
      </c>
      <c r="T73" s="97">
        <f ca="1">IFERROR(__xludf.DUMMYFUNCTION("IMPORTRANGE(""https://docs.google.com/spreadsheets/d/12Q_U0nVnFdxDFwa0pej9xvx8ZvLC9Dpi_vRro_aiG5g/edit?usp=sharing"",""อ่างทอง!J359"")"),0)</f>
        <v>0</v>
      </c>
      <c r="U73" s="98">
        <f t="shared" ca="1" si="43"/>
        <v>0</v>
      </c>
      <c r="V73" s="97">
        <f ca="1">IFERROR(__xludf.DUMMYFUNCTION("IMPORTRANGE(""https://docs.google.com/spreadsheets/d/12Q_U0nVnFdxDFwa0pej9xvx8ZvLC9Dpi_vRro_aiG5g/edit?usp=sharing"",""อ่างทอง!I360"")"),0)</f>
        <v>0</v>
      </c>
      <c r="W73" s="97">
        <f ca="1">IFERROR(__xludf.DUMMYFUNCTION("IMPORTRANGE(""https://docs.google.com/spreadsheets/d/12Q_U0nVnFdxDFwa0pej9xvx8ZvLC9Dpi_vRro_aiG5g/edit?usp=sharing"",""อ่างทอง!J360"")"),0)</f>
        <v>0</v>
      </c>
      <c r="X73" s="97">
        <f ca="1">IFERROR(__xludf.DUMMYFUNCTION("IMPORTRANGE(""https://docs.google.com/spreadsheets/d/12Q_U0nVnFdxDFwa0pej9xvx8ZvLC9Dpi_vRro_aiG5g/edit?usp=sharing"",""อ่างทอง!J361"")"),0)</f>
        <v>0</v>
      </c>
      <c r="Y73" s="98">
        <f t="shared" ca="1" si="44"/>
        <v>0</v>
      </c>
      <c r="Z73" s="97">
        <f ca="1">IFERROR(__xludf.DUMMYFUNCTION("IMPORTRANGE(""https://docs.google.com/spreadsheets/d/12Q_U0nVnFdxDFwa0pej9xvx8ZvLC9Dpi_vRro_aiG5g/edit?usp=sharing"",""อ่างทอง!I362"")"),0)</f>
        <v>0</v>
      </c>
      <c r="AA73" s="97">
        <f ca="1">IFERROR(__xludf.DUMMYFUNCTION("IMPORTRANGE(""https://docs.google.com/spreadsheets/d/12Q_U0nVnFdxDFwa0pej9xvx8ZvLC9Dpi_vRro_aiG5g/edit?usp=sharing"",""อ่างทอง!J362"")"),0)</f>
        <v>0</v>
      </c>
      <c r="AB73" s="97">
        <f ca="1">IFERROR(__xludf.DUMMYFUNCTION("IMPORTRANGE(""https://docs.google.com/spreadsheets/d/12Q_U0nVnFdxDFwa0pej9xvx8ZvLC9Dpi_vRro_aiG5g/edit?usp=sharing"",""อ่างทอง!J363"")"),0)</f>
        <v>0</v>
      </c>
      <c r="AC73" s="98">
        <f t="shared" ca="1" si="45"/>
        <v>0</v>
      </c>
      <c r="AD73" s="97">
        <f ca="1">IFERROR(__xludf.DUMMYFUNCTION("IMPORTRANGE(""https://docs.google.com/spreadsheets/d/12Q_U0nVnFdxDFwa0pej9xvx8ZvLC9Dpi_vRro_aiG5g/edit?usp=sharing"",""อ่างทอง!I364"")"),0)</f>
        <v>0</v>
      </c>
      <c r="AE73" s="97">
        <f ca="1">IFERROR(__xludf.DUMMYFUNCTION("IMPORTRANGE(""https://docs.google.com/spreadsheets/d/12Q_U0nVnFdxDFwa0pej9xvx8ZvLC9Dpi_vRro_aiG5g/edit?usp=sharing"",""อ่างทอง!J364"")"),0)</f>
        <v>0</v>
      </c>
      <c r="AF73" s="98">
        <f t="shared" ca="1" si="16"/>
        <v>0</v>
      </c>
      <c r="AG73" s="97">
        <f ca="1">IFERROR(__xludf.DUMMYFUNCTION("IMPORTRANGE(""https://docs.google.com/spreadsheets/d/12Q_U0nVnFdxDFwa0pej9xvx8ZvLC9Dpi_vRro_aiG5g/edit?usp=sharing"",""อ่างทอง!I369"")"),0)</f>
        <v>0</v>
      </c>
      <c r="AH73" s="97">
        <f ca="1">IFERROR(__xludf.DUMMYFUNCTION("IMPORTRANGE(""https://docs.google.com/spreadsheets/d/12Q_U0nVnFdxDFwa0pej9xvx8ZvLC9Dpi_vRro_aiG5g/edit?usp=sharing"",""อ่างทอง!J368"")"),0)</f>
        <v>0</v>
      </c>
      <c r="AI73" s="97">
        <f ca="1">IFERROR(__xludf.DUMMYFUNCTION("IMPORTRANGE(""https://docs.google.com/spreadsheets/d/12Q_U0nVnFdxDFwa0pej9xvx8ZvLC9Dpi_vRro_aiG5g/edit?usp=sharing"",""อ่างทอง!J369"")"),0)</f>
        <v>0</v>
      </c>
      <c r="AJ73" s="98">
        <f t="shared" ca="1" si="46"/>
        <v>0</v>
      </c>
      <c r="AK73" s="97">
        <f ca="1">IFERROR(__xludf.DUMMYFUNCTION("IMPORTRANGE(""https://docs.google.com/spreadsheets/d/12Q_U0nVnFdxDFwa0pej9xvx8ZvLC9Dpi_vRro_aiG5g/edit?usp=sharing"",""อ่างทอง!I370"")"),0)</f>
        <v>0</v>
      </c>
      <c r="AL73" s="97">
        <f ca="1">IFERROR(__xludf.DUMMYFUNCTION("IMPORTRANGE(""https://docs.google.com/spreadsheets/d/12Q_U0nVnFdxDFwa0pej9xvx8ZvLC9Dpi_vRro_aiG5g/edit?usp=sharing"",""อ่างทอง!J370"")"),0)</f>
        <v>0</v>
      </c>
      <c r="AM73" s="97">
        <f ca="1">IFERROR(__xludf.DUMMYFUNCTION("IMPORTRANGE(""https://docs.google.com/spreadsheets/d/12Q_U0nVnFdxDFwa0pej9xvx8ZvLC9Dpi_vRro_aiG5g/edit?usp=sharing"",""อ่างทอง!J371"")"),0)</f>
        <v>0</v>
      </c>
      <c r="AN73" s="98">
        <f t="shared" ca="1" si="47"/>
        <v>0</v>
      </c>
      <c r="AO73" s="97">
        <f ca="1">IFERROR(__xludf.DUMMYFUNCTION("IMPORTRANGE(""https://docs.google.com/spreadsheets/d/12Q_U0nVnFdxDFwa0pej9xvx8ZvLC9Dpi_vRro_aiG5g/edit?usp=sharing"",""อ่างทอง!I372"")"),0)</f>
        <v>0</v>
      </c>
      <c r="AP73" s="97">
        <f ca="1">IFERROR(__xludf.DUMMYFUNCTION("IMPORTRANGE(""https://docs.google.com/spreadsheets/d/12Q_U0nVnFdxDFwa0pej9xvx8ZvLC9Dpi_vRro_aiG5g/edit?usp=sharing"",""อ่างทอง!J372"")"),0)</f>
        <v>0</v>
      </c>
      <c r="AQ73" s="97">
        <f ca="1">IFERROR(__xludf.DUMMYFUNCTION("IMPORTRANGE(""https://docs.google.com/spreadsheets/d/12Q_U0nVnFdxDFwa0pej9xvx8ZvLC9Dpi_vRro_aiG5g/edit?usp=sharing"",""อ่างทอง!J373"")"),0)</f>
        <v>0</v>
      </c>
      <c r="AR73" s="98">
        <f t="shared" ca="1" si="48"/>
        <v>0</v>
      </c>
      <c r="AS73" s="97">
        <f ca="1">IFERROR(__xludf.DUMMYFUNCTION("IMPORTRANGE(""https://docs.google.com/spreadsheets/d/12Q_U0nVnFdxDFwa0pej9xvx8ZvLC9Dpi_vRro_aiG5g/edit?usp=sharing"",""อ่างทอง!I378"")"),0)</f>
        <v>0</v>
      </c>
      <c r="AT73" s="97">
        <f ca="1">IFERROR(__xludf.DUMMYFUNCTION("IMPORTRANGE(""https://docs.google.com/spreadsheets/d/12Q_U0nVnFdxDFwa0pej9xvx8ZvLC9Dpi_vRro_aiG5g/edit?usp=sharing"",""อ่างทอง!J377"")"),0)</f>
        <v>0</v>
      </c>
      <c r="AU73" s="97">
        <f ca="1">IFERROR(__xludf.DUMMYFUNCTION("IMPORTRANGE(""https://docs.google.com/spreadsheets/d/12Q_U0nVnFdxDFwa0pej9xvx8ZvLC9Dpi_vRro_aiG5g/edit?usp=sharing"",""อ่างทอง!J378"")"),0)</f>
        <v>0</v>
      </c>
      <c r="AV73" s="98">
        <f t="shared" ca="1" si="49"/>
        <v>0</v>
      </c>
      <c r="AW73" s="97">
        <f ca="1">IFERROR(__xludf.DUMMYFUNCTION("IMPORTRANGE(""https://docs.google.com/spreadsheets/d/12Q_U0nVnFdxDFwa0pej9xvx8ZvLC9Dpi_vRro_aiG5g/edit?usp=sharing"",""อ่างทอง!I379"")"),0)</f>
        <v>0</v>
      </c>
      <c r="AX73" s="97">
        <f ca="1">IFERROR(__xludf.DUMMYFUNCTION("IMPORTRANGE(""https://docs.google.com/spreadsheets/d/12Q_U0nVnFdxDFwa0pej9xvx8ZvLC9Dpi_vRro_aiG5g/edit?usp=sharing"",""อ่างทอง!J379"")"),0)</f>
        <v>0</v>
      </c>
      <c r="AY73" s="97">
        <f ca="1">IFERROR(__xludf.DUMMYFUNCTION("IMPORTRANGE(""https://docs.google.com/spreadsheets/d/12Q_U0nVnFdxDFwa0pej9xvx8ZvLC9Dpi_vRro_aiG5g/edit?usp=sharing"",""อ่างทอง!J380"")"),0)</f>
        <v>0</v>
      </c>
      <c r="AZ73" s="98">
        <f t="shared" ca="1" si="50"/>
        <v>0</v>
      </c>
      <c r="BA73" s="97">
        <f ca="1">IFERROR(__xludf.DUMMYFUNCTION("IMPORTRANGE(""https://docs.google.com/spreadsheets/d/12Q_U0nVnFdxDFwa0pej9xvx8ZvLC9Dpi_vRro_aiG5g/edit?usp=sharing"",""อ่างทอง!I381"")"),0)</f>
        <v>0</v>
      </c>
      <c r="BB73" s="97">
        <f ca="1">IFERROR(__xludf.DUMMYFUNCTION("IMPORTRANGE(""https://docs.google.com/spreadsheets/d/12Q_U0nVnFdxDFwa0pej9xvx8ZvLC9Dpi_vRro_aiG5g/edit?usp=sharing"",""อ่างทอง!J381"")"),0)</f>
        <v>0</v>
      </c>
      <c r="BC73" s="97">
        <f ca="1">IFERROR(__xludf.DUMMYFUNCTION("IMPORTRANGE(""https://docs.google.com/spreadsheets/d/12Q_U0nVnFdxDFwa0pej9xvx8ZvLC9Dpi_vRro_aiG5g/edit?usp=sharing"",""อ่างทอง!J382"")"),0)</f>
        <v>0</v>
      </c>
      <c r="BD73" s="98">
        <f t="shared" ca="1" si="51"/>
        <v>0</v>
      </c>
    </row>
    <row r="74" spans="1:56" ht="21" customHeight="1" x14ac:dyDescent="0.2">
      <c r="A74" s="377" t="s">
        <v>96</v>
      </c>
      <c r="B74" s="357"/>
      <c r="C74" s="104">
        <f t="shared" ca="1" si="0"/>
        <v>10140670</v>
      </c>
      <c r="D74" s="62">
        <f t="shared" ref="D74:I74" ca="1" si="89">SUM(D75:D88)</f>
        <v>8808470</v>
      </c>
      <c r="E74" s="62">
        <f t="shared" ca="1" si="89"/>
        <v>3620400</v>
      </c>
      <c r="F74" s="62">
        <f t="shared" ca="1" si="89"/>
        <v>5188070</v>
      </c>
      <c r="G74" s="62">
        <f t="shared" ca="1" si="89"/>
        <v>1332200</v>
      </c>
      <c r="H74" s="62">
        <f t="shared" ca="1" si="89"/>
        <v>6069470</v>
      </c>
      <c r="I74" s="62">
        <f t="shared" ca="1" si="89"/>
        <v>1304810</v>
      </c>
      <c r="J74" s="62">
        <f t="shared" ca="1" si="3"/>
        <v>4238375.18</v>
      </c>
      <c r="K74" s="100">
        <f t="shared" ca="1" si="4"/>
        <v>41.79581013877781</v>
      </c>
      <c r="L74" s="62">
        <f ca="1">SUM(L75:L88)</f>
        <v>2933565.18</v>
      </c>
      <c r="M74" s="101">
        <f t="shared" ca="1" si="5"/>
        <v>33.3039129383423</v>
      </c>
      <c r="N74" s="101">
        <f t="shared" ca="1" si="6"/>
        <v>48.33313584217403</v>
      </c>
      <c r="O74" s="102">
        <f ca="1">SUM(O75:O88)</f>
        <v>1304810</v>
      </c>
      <c r="P74" s="101">
        <f t="shared" ca="1" si="53"/>
        <v>97.944002402041733</v>
      </c>
      <c r="Q74" s="101">
        <f t="shared" ca="1" si="8"/>
        <v>100</v>
      </c>
      <c r="R74" s="62">
        <f t="shared" ref="R74:T74" ca="1" si="90">SUM(R75:R88)</f>
        <v>20162</v>
      </c>
      <c r="S74" s="62">
        <f t="shared" ca="1" si="90"/>
        <v>1127</v>
      </c>
      <c r="T74" s="62">
        <f t="shared" ca="1" si="90"/>
        <v>9733.64</v>
      </c>
      <c r="U74" s="101">
        <f t="shared" ca="1" si="43"/>
        <v>48.277155044142447</v>
      </c>
      <c r="V74" s="62">
        <f t="shared" ref="V74:X74" ca="1" si="91">SUM(V75:V88)</f>
        <v>2235</v>
      </c>
      <c r="W74" s="62">
        <f t="shared" ca="1" si="91"/>
        <v>753</v>
      </c>
      <c r="X74" s="62">
        <f t="shared" ca="1" si="91"/>
        <v>6298.73</v>
      </c>
      <c r="Y74" s="101">
        <f t="shared" ca="1" si="44"/>
        <v>33.691275167785236</v>
      </c>
      <c r="Z74" s="62">
        <f t="shared" ref="Z74:AB74" ca="1" si="92">SUM(Z75:Z88)</f>
        <v>2235</v>
      </c>
      <c r="AA74" s="62">
        <f t="shared" ca="1" si="92"/>
        <v>231</v>
      </c>
      <c r="AB74" s="62">
        <f t="shared" ca="1" si="92"/>
        <v>1699.95</v>
      </c>
      <c r="AC74" s="101">
        <f t="shared" ca="1" si="45"/>
        <v>10.335570469798657</v>
      </c>
      <c r="AD74" s="62">
        <f t="shared" ref="AD74:AE74" ca="1" si="93">SUM(AD75:AD88)</f>
        <v>4047</v>
      </c>
      <c r="AE74" s="62">
        <f t="shared" ca="1" si="93"/>
        <v>1236</v>
      </c>
      <c r="AF74" s="101">
        <f t="shared" ca="1" si="16"/>
        <v>30.541141586360268</v>
      </c>
      <c r="AG74" s="62">
        <f t="shared" ref="AG74:AI74" ca="1" si="94">SUM(AG75:AG88)</f>
        <v>8983</v>
      </c>
      <c r="AH74" s="62">
        <f t="shared" ca="1" si="94"/>
        <v>551</v>
      </c>
      <c r="AI74" s="62">
        <f t="shared" ca="1" si="94"/>
        <v>4614.8099999999995</v>
      </c>
      <c r="AJ74" s="101">
        <f t="shared" ca="1" si="46"/>
        <v>51.372703996437707</v>
      </c>
      <c r="AK74" s="62">
        <f t="shared" ref="AK74:AM74" ca="1" si="95">SUM(AK75:AK88)</f>
        <v>1001</v>
      </c>
      <c r="AL74" s="62">
        <f t="shared" ca="1" si="95"/>
        <v>370</v>
      </c>
      <c r="AM74" s="62">
        <f t="shared" ca="1" si="95"/>
        <v>3103.81</v>
      </c>
      <c r="AN74" s="101">
        <f t="shared" ca="1" si="47"/>
        <v>36.963036963036963</v>
      </c>
      <c r="AO74" s="62">
        <f t="shared" ref="AO74:AQ74" ca="1" si="96">SUM(AO75:AO88)</f>
        <v>1001</v>
      </c>
      <c r="AP74" s="62">
        <f t="shared" ca="1" si="96"/>
        <v>157</v>
      </c>
      <c r="AQ74" s="62">
        <f t="shared" ca="1" si="96"/>
        <v>1242.3800000000001</v>
      </c>
      <c r="AR74" s="101">
        <f t="shared" ca="1" si="48"/>
        <v>15.684315684315685</v>
      </c>
      <c r="AS74" s="62">
        <f t="shared" ref="AS74:AU74" ca="1" si="97">SUM(AS75:AS88)</f>
        <v>11179</v>
      </c>
      <c r="AT74" s="62">
        <f t="shared" ca="1" si="97"/>
        <v>584</v>
      </c>
      <c r="AU74" s="62">
        <f t="shared" ca="1" si="97"/>
        <v>5180.33</v>
      </c>
      <c r="AV74" s="101">
        <f t="shared" ca="1" si="49"/>
        <v>46.339833616602562</v>
      </c>
      <c r="AW74" s="62">
        <f t="shared" ref="AW74:AY74" ca="1" si="98">SUM(AW75:AW88)</f>
        <v>3046</v>
      </c>
      <c r="AX74" s="62">
        <f t="shared" ca="1" si="98"/>
        <v>1411</v>
      </c>
      <c r="AY74" s="62">
        <f t="shared" ca="1" si="98"/>
        <v>16760.8</v>
      </c>
      <c r="AZ74" s="101">
        <f t="shared" ca="1" si="50"/>
        <v>46.323046618516088</v>
      </c>
      <c r="BA74" s="62">
        <f t="shared" ref="BA74:BC74" ca="1" si="99">SUM(BA75:BA88)</f>
        <v>3046</v>
      </c>
      <c r="BB74" s="62">
        <f t="shared" ca="1" si="99"/>
        <v>1079</v>
      </c>
      <c r="BC74" s="62">
        <f t="shared" ca="1" si="99"/>
        <v>13626.18</v>
      </c>
      <c r="BD74" s="101">
        <f t="shared" ca="1" si="51"/>
        <v>35.42350623768877</v>
      </c>
    </row>
    <row r="75" spans="1:56" ht="21" customHeight="1" x14ac:dyDescent="0.2">
      <c r="A75" s="68">
        <v>1</v>
      </c>
      <c r="B75" s="69" t="s">
        <v>97</v>
      </c>
      <c r="C75" s="103">
        <f t="shared" ca="1" si="0"/>
        <v>833700</v>
      </c>
      <c r="D75" s="71">
        <f t="shared" ref="D75:D88" ca="1" si="100">+E75+F75</f>
        <v>735900</v>
      </c>
      <c r="E75" s="72">
        <f ca="1">IFERROR(__xludf.DUMMYFUNCTION("IMPORTRANGE(""https://docs.google.com/spreadsheets/d/1MeEWN-I1oV_STSDYn1IFDPWt_1FKiwhDph83XaGc0o0/edit?usp=sharing"",""งบพรบ!EX75"")"),315600)</f>
        <v>315600</v>
      </c>
      <c r="F75" s="72">
        <f ca="1">IFERROR(__xludf.DUMMYFUNCTION("IMPORTRANGE(""https://docs.google.com/spreadsheets/d/1MeEWN-I1oV_STSDYn1IFDPWt_1FKiwhDph83XaGc0o0/edit?usp=sharing"",""งบพรบ!EY75"")"),420300)</f>
        <v>420300</v>
      </c>
      <c r="G75" s="105">
        <f ca="1">IFERROR(__xludf.DUMMYFUNCTION("IMPORTRANGE(""https://docs.google.com/spreadsheets/d/1MeEWN-I1oV_STSDYn1IFDPWt_1FKiwhDph83XaGc0o0/edit?usp=sharing"",""งบพรบ!EZ75"")"),97800)</f>
        <v>97800</v>
      </c>
      <c r="H75" s="105">
        <f ca="1">IFERROR(__xludf.DUMMYFUNCTION("IMPORTRANGE(""https://docs.google.com/spreadsheets/d/1MeEWN-I1oV_STSDYn1IFDPWt_1FKiwhDph83XaGc0o0/edit?usp=sharing"",""งบพรบ!FB75"")"),503430)</f>
        <v>503430</v>
      </c>
      <c r="I75" s="105">
        <f ca="1">IFERROR(__xludf.DUMMYFUNCTION("IMPORTRANGE(""https://docs.google.com/spreadsheets/d/1MeEWN-I1oV_STSDYn1IFDPWt_1FKiwhDph83XaGc0o0/edit?usp=sharing"",""งบพรบ!FC75"")"),93010)</f>
        <v>93010</v>
      </c>
      <c r="J75" s="105">
        <f t="shared" ca="1" si="3"/>
        <v>346294.78</v>
      </c>
      <c r="K75" s="106">
        <f t="shared" ca="1" si="4"/>
        <v>41.537097277198036</v>
      </c>
      <c r="L75" s="82">
        <f ca="1">IFERROR(__xludf.DUMMYFUNCTION("IMPORTRANGE(""https://docs.google.com/spreadsheets/d/1MeEWN-I1oV_STSDYn1IFDPWt_1FKiwhDph83XaGc0o0/edit?usp=sharing"",""งบพรบ!FD75"")"),253284.78)</f>
        <v>253284.78</v>
      </c>
      <c r="M75" s="75">
        <f t="shared" ca="1" si="5"/>
        <v>34.418369343660821</v>
      </c>
      <c r="N75" s="75">
        <f t="shared" ca="1" si="6"/>
        <v>50.311816935820275</v>
      </c>
      <c r="O75" s="76">
        <f ca="1">IFERROR(__xludf.DUMMYFUNCTION("IMPORTRANGE(""https://docs.google.com/spreadsheets/d/1MeEWN-I1oV_STSDYn1IFDPWt_1FKiwhDph83XaGc0o0/edit?usp=sharing"",""งบพรบ!FE75"")"),93010)</f>
        <v>93010</v>
      </c>
      <c r="P75" s="75">
        <f t="shared" ca="1" si="53"/>
        <v>95.102249488752562</v>
      </c>
      <c r="Q75" s="75">
        <f t="shared" ca="1" si="8"/>
        <v>100</v>
      </c>
      <c r="R75" s="73">
        <f ca="1">IFERROR(__xludf.DUMMYFUNCTION("IMPORTRANGE(""https://docs.google.com/spreadsheets/d/1kC41EOXpGBFOW658Fs3oD8beYlym0-zO54WY-2Qnp9I/edit?usp=sharing"",""กระบี่!I359"")"),2100)</f>
        <v>2100</v>
      </c>
      <c r="S75" s="73">
        <f ca="1">IFERROR(__xludf.DUMMYFUNCTION("IMPORTRANGE(""https://docs.google.com/spreadsheets/d/1kC41EOXpGBFOW658Fs3oD8beYlym0-zO54WY-2Qnp9I/edit?usp=sharing"",""กระบี่!J358"")"),169)</f>
        <v>169</v>
      </c>
      <c r="T75" s="73">
        <f ca="1">IFERROR(__xludf.DUMMYFUNCTION("IMPORTRANGE(""https://docs.google.com/spreadsheets/d/1kC41EOXpGBFOW658Fs3oD8beYlym0-zO54WY-2Qnp9I/edit?usp=sharing"",""กระบี่!J359"")"),1914.13)</f>
        <v>1914.13</v>
      </c>
      <c r="U75" s="77">
        <f t="shared" ca="1" si="43"/>
        <v>91.149047619047622</v>
      </c>
      <c r="V75" s="73">
        <f ca="1">IFERROR(__xludf.DUMMYFUNCTION("IMPORTRANGE(""https://docs.google.com/spreadsheets/d/1kC41EOXpGBFOW658Fs3oD8beYlym0-zO54WY-2Qnp9I/edit?usp=sharing"",""กระบี่!I360"")"),210)</f>
        <v>210</v>
      </c>
      <c r="W75" s="73">
        <f ca="1">IFERROR(__xludf.DUMMYFUNCTION("IMPORTRANGE(""https://docs.google.com/spreadsheets/d/1kC41EOXpGBFOW658Fs3oD8beYlym0-zO54WY-2Qnp9I/edit?usp=sharing"",""กระบี่!J360"")"),115)</f>
        <v>115</v>
      </c>
      <c r="X75" s="73">
        <f ca="1">IFERROR(__xludf.DUMMYFUNCTION("IMPORTRANGE(""https://docs.google.com/spreadsheets/d/1kC41EOXpGBFOW658Fs3oD8beYlym0-zO54WY-2Qnp9I/edit?usp=sharing"",""กระบี่!J361"")"),1331.99)</f>
        <v>1331.99</v>
      </c>
      <c r="Y75" s="77">
        <f t="shared" ca="1" si="44"/>
        <v>54.761904761904759</v>
      </c>
      <c r="Z75" s="73">
        <f ca="1">IFERROR(__xludf.DUMMYFUNCTION("IMPORTRANGE(""https://docs.google.com/spreadsheets/d/1kC41EOXpGBFOW658Fs3oD8beYlym0-zO54WY-2Qnp9I/edit?usp=sharing"",""กระบี่!I362"")"),210)</f>
        <v>210</v>
      </c>
      <c r="AA75" s="73">
        <f ca="1">IFERROR(__xludf.DUMMYFUNCTION("IMPORTRANGE(""https://docs.google.com/spreadsheets/d/1kC41EOXpGBFOW658Fs3oD8beYlym0-zO54WY-2Qnp9I/edit?usp=sharing"",""กระบี่!J362"")"),0)</f>
        <v>0</v>
      </c>
      <c r="AB75" s="73">
        <f ca="1">IFERROR(__xludf.DUMMYFUNCTION("IMPORTRANGE(""https://docs.google.com/spreadsheets/d/1kC41EOXpGBFOW658Fs3oD8beYlym0-zO54WY-2Qnp9I/edit?usp=sharing"",""กระบี่!J363"")"),0)</f>
        <v>0</v>
      </c>
      <c r="AC75" s="77">
        <f t="shared" ca="1" si="45"/>
        <v>0</v>
      </c>
      <c r="AD75" s="73">
        <f ca="1">IFERROR(__xludf.DUMMYFUNCTION("IMPORTRANGE(""https://docs.google.com/spreadsheets/d/1kC41EOXpGBFOW658Fs3oD8beYlym0-zO54WY-2Qnp9I/edit?usp=sharing"",""กระบี่!I364"")"),270)</f>
        <v>270</v>
      </c>
      <c r="AE75" s="73">
        <f ca="1">IFERROR(__xludf.DUMMYFUNCTION("IMPORTRANGE(""https://docs.google.com/spreadsheets/d/1kC41EOXpGBFOW658Fs3oD8beYlym0-zO54WY-2Qnp9I/edit?usp=sharing"",""กระบี่!J364"")"),114)</f>
        <v>114</v>
      </c>
      <c r="AF75" s="77">
        <f t="shared" ca="1" si="16"/>
        <v>42.222222222222221</v>
      </c>
      <c r="AG75" s="73">
        <f ca="1">IFERROR(__xludf.DUMMYFUNCTION("IMPORTRANGE(""https://docs.google.com/spreadsheets/d/1kC41EOXpGBFOW658Fs3oD8beYlym0-zO54WY-2Qnp9I/edit?usp=sharing"",""กระบี่!I369"")"),1300)</f>
        <v>1300</v>
      </c>
      <c r="AH75" s="73">
        <f ca="1">IFERROR(__xludf.DUMMYFUNCTION("IMPORTRANGE(""https://docs.google.com/spreadsheets/d/1kC41EOXpGBFOW658Fs3oD8beYlym0-zO54WY-2Qnp9I/edit?usp=sharing"",""กระบี่!J368"")"),86)</f>
        <v>86</v>
      </c>
      <c r="AI75" s="73">
        <f ca="1">IFERROR(__xludf.DUMMYFUNCTION("IMPORTRANGE(""https://docs.google.com/spreadsheets/d/1kC41EOXpGBFOW658Fs3oD8beYlym0-zO54WY-2Qnp9I/edit?usp=sharing"",""กระบี่!J369"")"),1035.97)</f>
        <v>1035.97</v>
      </c>
      <c r="AJ75" s="77">
        <f t="shared" ca="1" si="46"/>
        <v>79.69</v>
      </c>
      <c r="AK75" s="73">
        <f ca="1">IFERROR(__xludf.DUMMYFUNCTION("IMPORTRANGE(""https://docs.google.com/spreadsheets/d/1kC41EOXpGBFOW658Fs3oD8beYlym0-zO54WY-2Qnp9I/edit?usp=sharing"",""กระบี่!I370"")"),130)</f>
        <v>130</v>
      </c>
      <c r="AL75" s="73">
        <f ca="1">IFERROR(__xludf.DUMMYFUNCTION("IMPORTRANGE(""https://docs.google.com/spreadsheets/d/1kC41EOXpGBFOW658Fs3oD8beYlym0-zO54WY-2Qnp9I/edit?usp=sharing"",""กระบี่!J370"")"),31)</f>
        <v>31</v>
      </c>
      <c r="AM75" s="73">
        <f ca="1">IFERROR(__xludf.DUMMYFUNCTION("IMPORTRANGE(""https://docs.google.com/spreadsheets/d/1kC41EOXpGBFOW658Fs3oD8beYlym0-zO54WY-2Qnp9I/edit?usp=sharing"",""กระบี่!J371"")"),444.01)</f>
        <v>444.01</v>
      </c>
      <c r="AN75" s="77">
        <f t="shared" ca="1" si="47"/>
        <v>23.846153846153847</v>
      </c>
      <c r="AO75" s="73">
        <f ca="1">IFERROR(__xludf.DUMMYFUNCTION("IMPORTRANGE(""https://docs.google.com/spreadsheets/d/1kC41EOXpGBFOW658Fs3oD8beYlym0-zO54WY-2Qnp9I/edit?usp=sharing"",""กระบี่!I372"")"),130)</f>
        <v>130</v>
      </c>
      <c r="AP75" s="73">
        <f ca="1">IFERROR(__xludf.DUMMYFUNCTION("IMPORTRANGE(""https://docs.google.com/spreadsheets/d/1kC41EOXpGBFOW658Fs3oD8beYlym0-zO54WY-2Qnp9I/edit?usp=sharing"",""กระบี่!J372"")"),0)</f>
        <v>0</v>
      </c>
      <c r="AQ75" s="73">
        <f ca="1">IFERROR(__xludf.DUMMYFUNCTION("IMPORTRANGE(""https://docs.google.com/spreadsheets/d/1kC41EOXpGBFOW658Fs3oD8beYlym0-zO54WY-2Qnp9I/edit?usp=sharing"",""กระบี่!J373"")"),0)</f>
        <v>0</v>
      </c>
      <c r="AR75" s="77">
        <f t="shared" ca="1" si="48"/>
        <v>0</v>
      </c>
      <c r="AS75" s="73">
        <f ca="1">IFERROR(__xludf.DUMMYFUNCTION("IMPORTRANGE(""https://docs.google.com/spreadsheets/d/1kC41EOXpGBFOW658Fs3oD8beYlym0-zO54WY-2Qnp9I/edit?usp=sharing"",""กระบี่!I378"")"),800)</f>
        <v>800</v>
      </c>
      <c r="AT75" s="73">
        <f ca="1">IFERROR(__xludf.DUMMYFUNCTION("IMPORTRANGE(""https://docs.google.com/spreadsheets/d/1kC41EOXpGBFOW658Fs3oD8beYlym0-zO54WY-2Qnp9I/edit?usp=sharing"",""กระบี่!J377"")"),83)</f>
        <v>83</v>
      </c>
      <c r="AU75" s="73">
        <f ca="1">IFERROR(__xludf.DUMMYFUNCTION("IMPORTRANGE(""https://docs.google.com/spreadsheets/d/1kC41EOXpGBFOW658Fs3oD8beYlym0-zO54WY-2Qnp9I/edit?usp=sharing"",""กระบี่!J378"")"),878.16)</f>
        <v>878.16</v>
      </c>
      <c r="AV75" s="77">
        <f t="shared" ca="1" si="49"/>
        <v>109.77</v>
      </c>
      <c r="AW75" s="73">
        <f ca="1">IFERROR(__xludf.DUMMYFUNCTION("IMPORTRANGE(""https://docs.google.com/spreadsheets/d/1kC41EOXpGBFOW658Fs3oD8beYlym0-zO54WY-2Qnp9I/edit?usp=sharing"",""กระบี่!I379"")"),140)</f>
        <v>140</v>
      </c>
      <c r="AX75" s="73">
        <f ca="1">IFERROR(__xludf.DUMMYFUNCTION("IMPORTRANGE(""https://docs.google.com/spreadsheets/d/1kC41EOXpGBFOW658Fs3oD8beYlym0-zO54WY-2Qnp9I/edit?usp=sharing"",""กระบี่!J379"")"),198)</f>
        <v>198</v>
      </c>
      <c r="AY75" s="73">
        <f ca="1">IFERROR(__xludf.DUMMYFUNCTION("IMPORTRANGE(""https://docs.google.com/spreadsheets/d/1kC41EOXpGBFOW658Fs3oD8beYlym0-zO54WY-2Qnp9I/edit?usp=sharing"",""กระบี่!J380"")"),2843.42)</f>
        <v>2843.42</v>
      </c>
      <c r="AZ75" s="77">
        <f t="shared" ca="1" si="50"/>
        <v>141.42857142857142</v>
      </c>
      <c r="BA75" s="73">
        <f ca="1">IFERROR(__xludf.DUMMYFUNCTION("IMPORTRANGE(""https://docs.google.com/spreadsheets/d/1kC41EOXpGBFOW658Fs3oD8beYlym0-zO54WY-2Qnp9I/edit?usp=sharing"",""กระบี่!I381"")"),140)</f>
        <v>140</v>
      </c>
      <c r="BB75" s="73">
        <f ca="1">IFERROR(__xludf.DUMMYFUNCTION("IMPORTRANGE(""https://docs.google.com/spreadsheets/d/1kC41EOXpGBFOW658Fs3oD8beYlym0-zO54WY-2Qnp9I/edit?usp=sharing"",""กระบี่!J381"")"),114)</f>
        <v>114</v>
      </c>
      <c r="BC75" s="73">
        <f ca="1">IFERROR(__xludf.DUMMYFUNCTION("IMPORTRANGE(""https://docs.google.com/spreadsheets/d/1kC41EOXpGBFOW658Fs3oD8beYlym0-zO54WY-2Qnp9I/edit?usp=sharing"",""กระบี่!J382"")"),1941.39)</f>
        <v>1941.39</v>
      </c>
      <c r="BD75" s="77">
        <f t="shared" ca="1" si="51"/>
        <v>81.428571428571431</v>
      </c>
    </row>
    <row r="76" spans="1:56" ht="21" customHeight="1" x14ac:dyDescent="0.2">
      <c r="A76" s="78">
        <v>2</v>
      </c>
      <c r="B76" s="79" t="s">
        <v>98</v>
      </c>
      <c r="C76" s="80">
        <f t="shared" ca="1" si="0"/>
        <v>768060</v>
      </c>
      <c r="D76" s="81">
        <f t="shared" ca="1" si="100"/>
        <v>566060</v>
      </c>
      <c r="E76" s="82">
        <f ca="1">IFERROR(__xludf.DUMMYFUNCTION("IMPORTRANGE(""https://docs.google.com/spreadsheets/d/1MeEWN-I1oV_STSDYn1IFDPWt_1FKiwhDph83XaGc0o0/edit?usp=sharing"",""งบพรบ!EX76"")"),87600)</f>
        <v>87600</v>
      </c>
      <c r="F76" s="82">
        <f ca="1">IFERROR(__xludf.DUMMYFUNCTION("IMPORTRANGE(""https://docs.google.com/spreadsheets/d/1MeEWN-I1oV_STSDYn1IFDPWt_1FKiwhDph83XaGc0o0/edit?usp=sharing"",""งบพรบ!EY76"")"),478460)</f>
        <v>478460</v>
      </c>
      <c r="G76" s="82">
        <f ca="1">IFERROR(__xludf.DUMMYFUNCTION("IMPORTRANGE(""https://docs.google.com/spreadsheets/d/1MeEWN-I1oV_STSDYn1IFDPWt_1FKiwhDph83XaGc0o0/edit?usp=sharing"",""งบพรบ!EZ76"")"),202000)</f>
        <v>202000</v>
      </c>
      <c r="H76" s="82">
        <f ca="1">IFERROR(__xludf.DUMMYFUNCTION("IMPORTRANGE(""https://docs.google.com/spreadsheets/d/1MeEWN-I1oV_STSDYn1IFDPWt_1FKiwhDph83XaGc0o0/edit?usp=sharing"",""งบพรบ!FB76"")"),355300)</f>
        <v>355300</v>
      </c>
      <c r="I76" s="82">
        <f ca="1">IFERROR(__xludf.DUMMYFUNCTION("IMPORTRANGE(""https://docs.google.com/spreadsheets/d/1MeEWN-I1oV_STSDYn1IFDPWt_1FKiwhDph83XaGc0o0/edit?usp=sharing"",""งบพรบ!FC76"")"),202000)</f>
        <v>202000</v>
      </c>
      <c r="J76" s="82">
        <f t="shared" ca="1" si="3"/>
        <v>392301</v>
      </c>
      <c r="K76" s="83">
        <f t="shared" ca="1" si="4"/>
        <v>51.076868994609796</v>
      </c>
      <c r="L76" s="82">
        <f ca="1">IFERROR(__xludf.DUMMYFUNCTION("IMPORTRANGE(""https://docs.google.com/spreadsheets/d/1MeEWN-I1oV_STSDYn1IFDPWt_1FKiwhDph83XaGc0o0/edit?usp=sharing"",""งบพรบ!FD76"")"),190301)</f>
        <v>190301</v>
      </c>
      <c r="M76" s="84">
        <f t="shared" ca="1" si="5"/>
        <v>33.618521004840474</v>
      </c>
      <c r="N76" s="84">
        <f t="shared" ca="1" si="6"/>
        <v>53.560652969321701</v>
      </c>
      <c r="O76" s="85">
        <f ca="1">IFERROR(__xludf.DUMMYFUNCTION("IMPORTRANGE(""https://docs.google.com/spreadsheets/d/1MeEWN-I1oV_STSDYn1IFDPWt_1FKiwhDph83XaGc0o0/edit?usp=sharing"",""งบพรบ!FE76"")"),202000)</f>
        <v>202000</v>
      </c>
      <c r="P76" s="84">
        <f t="shared" ca="1" si="53"/>
        <v>100</v>
      </c>
      <c r="Q76" s="84">
        <f t="shared" ca="1" si="8"/>
        <v>100</v>
      </c>
      <c r="R76" s="86">
        <f ca="1">IFERROR(__xludf.DUMMYFUNCTION("IMPORTRANGE(""https://docs.google.com/spreadsheets/d/1FbzMZY_f3MDiEuK7RpCQKrilJ_kpX0Wm7QBZ1L7EjIU/edit?usp=sharing"",""ชุมพร!I359"")"),2500)</f>
        <v>2500</v>
      </c>
      <c r="S76" s="86">
        <f ca="1">IFERROR(__xludf.DUMMYFUNCTION("IMPORTRANGE(""https://docs.google.com/spreadsheets/d/1FbzMZY_f3MDiEuK7RpCQKrilJ_kpX0Wm7QBZ1L7EjIU/edit?usp=sharing"",""ชุมพร!J358"")"),114)</f>
        <v>114</v>
      </c>
      <c r="T76" s="86">
        <f ca="1">IFERROR(__xludf.DUMMYFUNCTION("IMPORTRANGE(""https://docs.google.com/spreadsheets/d/1FbzMZY_f3MDiEuK7RpCQKrilJ_kpX0Wm7QBZ1L7EjIU/edit?usp=sharing"",""ชุมพร!J359"")"),1076.99)</f>
        <v>1076.99</v>
      </c>
      <c r="U76" s="87">
        <f t="shared" ca="1" si="43"/>
        <v>43.079599999999999</v>
      </c>
      <c r="V76" s="86">
        <f ca="1">IFERROR(__xludf.DUMMYFUNCTION("IMPORTRANGE(""https://docs.google.com/spreadsheets/d/1FbzMZY_f3MDiEuK7RpCQKrilJ_kpX0Wm7QBZ1L7EjIU/edit?usp=sharing"",""ชุมพร!I360"")"),280)</f>
        <v>280</v>
      </c>
      <c r="W76" s="86">
        <f ca="1">IFERROR(__xludf.DUMMYFUNCTION("IMPORTRANGE(""https://docs.google.com/spreadsheets/d/1FbzMZY_f3MDiEuK7RpCQKrilJ_kpX0Wm7QBZ1L7EjIU/edit?usp=sharing"",""ชุมพร!J360"")"),84)</f>
        <v>84</v>
      </c>
      <c r="X76" s="86">
        <f ca="1">IFERROR(__xludf.DUMMYFUNCTION("IMPORTRANGE(""https://docs.google.com/spreadsheets/d/1FbzMZY_f3MDiEuK7RpCQKrilJ_kpX0Wm7QBZ1L7EjIU/edit?usp=sharing"",""ชุมพร!J361"")"),724.52)</f>
        <v>724.52</v>
      </c>
      <c r="Y76" s="87">
        <f t="shared" ca="1" si="44"/>
        <v>30</v>
      </c>
      <c r="Z76" s="86">
        <f ca="1">IFERROR(__xludf.DUMMYFUNCTION("IMPORTRANGE(""https://docs.google.com/spreadsheets/d/1FbzMZY_f3MDiEuK7RpCQKrilJ_kpX0Wm7QBZ1L7EjIU/edit?usp=sharing"",""ชุมพร!I362"")"),280)</f>
        <v>280</v>
      </c>
      <c r="AA76" s="86">
        <f ca="1">IFERROR(__xludf.DUMMYFUNCTION("IMPORTRANGE(""https://docs.google.com/spreadsheets/d/1FbzMZY_f3MDiEuK7RpCQKrilJ_kpX0Wm7QBZ1L7EjIU/edit?usp=sharing"",""ชุมพร!J362"")"),13)</f>
        <v>13</v>
      </c>
      <c r="AB76" s="86">
        <f ca="1">IFERROR(__xludf.DUMMYFUNCTION("IMPORTRANGE(""https://docs.google.com/spreadsheets/d/1FbzMZY_f3MDiEuK7RpCQKrilJ_kpX0Wm7QBZ1L7EjIU/edit?usp=sharing"",""ชุมพร!J363"")"),131.31)</f>
        <v>131.31</v>
      </c>
      <c r="AC76" s="87">
        <f t="shared" ca="1" si="45"/>
        <v>4.6428571428571432</v>
      </c>
      <c r="AD76" s="86">
        <f ca="1">IFERROR(__xludf.DUMMYFUNCTION("IMPORTRANGE(""https://docs.google.com/spreadsheets/d/1FbzMZY_f3MDiEuK7RpCQKrilJ_kpX0Wm7QBZ1L7EjIU/edit?usp=sharing"",""ชุมพร!I364"")"),670)</f>
        <v>670</v>
      </c>
      <c r="AE76" s="86">
        <f ca="1">IFERROR(__xludf.DUMMYFUNCTION("IMPORTRANGE(""https://docs.google.com/spreadsheets/d/1FbzMZY_f3MDiEuK7RpCQKrilJ_kpX0Wm7QBZ1L7EjIU/edit?usp=sharing"",""ชุมพร!J364"")"),148)</f>
        <v>148</v>
      </c>
      <c r="AF76" s="87">
        <f t="shared" ca="1" si="16"/>
        <v>22.089552238805972</v>
      </c>
      <c r="AG76" s="86">
        <f ca="1">IFERROR(__xludf.DUMMYFUNCTION("IMPORTRANGE(""https://docs.google.com/spreadsheets/d/1FbzMZY_f3MDiEuK7RpCQKrilJ_kpX0Wm7QBZ1L7EjIU/edit?usp=sharing"",""ชุมพร!I369"")"),1000)</f>
        <v>1000</v>
      </c>
      <c r="AH76" s="86">
        <f ca="1">IFERROR(__xludf.DUMMYFUNCTION("IMPORTRANGE(""https://docs.google.com/spreadsheets/d/1FbzMZY_f3MDiEuK7RpCQKrilJ_kpX0Wm7QBZ1L7EjIU/edit?usp=sharing"",""ชุมพร!J368"")"),22)</f>
        <v>22</v>
      </c>
      <c r="AI76" s="86">
        <f ca="1">IFERROR(__xludf.DUMMYFUNCTION("IMPORTRANGE(""https://docs.google.com/spreadsheets/d/1FbzMZY_f3MDiEuK7RpCQKrilJ_kpX0Wm7QBZ1L7EjIU/edit?usp=sharing"",""ชุมพร!J369"")"),275.37)</f>
        <v>275.37</v>
      </c>
      <c r="AJ76" s="87">
        <f t="shared" ca="1" si="46"/>
        <v>27.536999999999999</v>
      </c>
      <c r="AK76" s="86">
        <f ca="1">IFERROR(__xludf.DUMMYFUNCTION("IMPORTRANGE(""https://docs.google.com/spreadsheets/d/1FbzMZY_f3MDiEuK7RpCQKrilJ_kpX0Wm7QBZ1L7EjIU/edit?usp=sharing"",""ชุมพร!I370"")"),100)</f>
        <v>100</v>
      </c>
      <c r="AL76" s="86">
        <f ca="1">IFERROR(__xludf.DUMMYFUNCTION("IMPORTRANGE(""https://docs.google.com/spreadsheets/d/1FbzMZY_f3MDiEuK7RpCQKrilJ_kpX0Wm7QBZ1L7EjIU/edit?usp=sharing"",""ชุมพร!J370"")"),0)</f>
        <v>0</v>
      </c>
      <c r="AM76" s="86">
        <f ca="1">IFERROR(__xludf.DUMMYFUNCTION("IMPORTRANGE(""https://docs.google.com/spreadsheets/d/1FbzMZY_f3MDiEuK7RpCQKrilJ_kpX0Wm7QBZ1L7EjIU/edit?usp=sharing"",""ชุมพร!J371"")"),0)</f>
        <v>0</v>
      </c>
      <c r="AN76" s="87">
        <f t="shared" ca="1" si="47"/>
        <v>0</v>
      </c>
      <c r="AO76" s="86">
        <f ca="1">IFERROR(__xludf.DUMMYFUNCTION("IMPORTRANGE(""https://docs.google.com/spreadsheets/d/1FbzMZY_f3MDiEuK7RpCQKrilJ_kpX0Wm7QBZ1L7EjIU/edit?usp=sharing"",""ชุมพร!I372"")"),100)</f>
        <v>100</v>
      </c>
      <c r="AP76" s="86">
        <f ca="1">IFERROR(__xludf.DUMMYFUNCTION("IMPORTRANGE(""https://docs.google.com/spreadsheets/d/1FbzMZY_f3MDiEuK7RpCQKrilJ_kpX0Wm7QBZ1L7EjIU/edit?usp=sharing"",""ชุมพร!J372"")"),0)</f>
        <v>0</v>
      </c>
      <c r="AQ76" s="86">
        <f ca="1">IFERROR(__xludf.DUMMYFUNCTION("IMPORTRANGE(""https://docs.google.com/spreadsheets/d/1FbzMZY_f3MDiEuK7RpCQKrilJ_kpX0Wm7QBZ1L7EjIU/edit?usp=sharing"",""ชุมพร!J373"")"),0)</f>
        <v>0</v>
      </c>
      <c r="AR76" s="87">
        <f t="shared" ca="1" si="48"/>
        <v>0</v>
      </c>
      <c r="AS76" s="86">
        <f ca="1">IFERROR(__xludf.DUMMYFUNCTION("IMPORTRANGE(""https://docs.google.com/spreadsheets/d/1FbzMZY_f3MDiEuK7RpCQKrilJ_kpX0Wm7QBZ1L7EjIU/edit?usp=sharing"",""ชุมพร!I378"")"),1500)</f>
        <v>1500</v>
      </c>
      <c r="AT76" s="86">
        <f ca="1">IFERROR(__xludf.DUMMYFUNCTION("IMPORTRANGE(""https://docs.google.com/spreadsheets/d/1FbzMZY_f3MDiEuK7RpCQKrilJ_kpX0Wm7QBZ1L7EjIU/edit?usp=sharing"",""ชุมพร!J377"")"),92)</f>
        <v>92</v>
      </c>
      <c r="AU76" s="86">
        <f ca="1">IFERROR(__xludf.DUMMYFUNCTION("IMPORTRANGE(""https://docs.google.com/spreadsheets/d/1FbzMZY_f3MDiEuK7RpCQKrilJ_kpX0Wm7QBZ1L7EjIU/edit?usp=sharing"",""ชุมพร!J378"")"),801.62)</f>
        <v>801.62</v>
      </c>
      <c r="AV76" s="87">
        <f t="shared" ca="1" si="49"/>
        <v>53.441333333333333</v>
      </c>
      <c r="AW76" s="86">
        <f ca="1">IFERROR(__xludf.DUMMYFUNCTION("IMPORTRANGE(""https://docs.google.com/spreadsheets/d/1FbzMZY_f3MDiEuK7RpCQKrilJ_kpX0Wm7QBZ1L7EjIU/edit?usp=sharing"",""ชุมพร!I379"")"),570)</f>
        <v>570</v>
      </c>
      <c r="AX76" s="86">
        <f ca="1">IFERROR(__xludf.DUMMYFUNCTION("IMPORTRANGE(""https://docs.google.com/spreadsheets/d/1FbzMZY_f3MDiEuK7RpCQKrilJ_kpX0Wm7QBZ1L7EjIU/edit?usp=sharing"",""ชุมพร!J379"")"),219)</f>
        <v>219</v>
      </c>
      <c r="AY76" s="86">
        <f ca="1">IFERROR(__xludf.DUMMYFUNCTION("IMPORTRANGE(""https://docs.google.com/spreadsheets/d/1FbzMZY_f3MDiEuK7RpCQKrilJ_kpX0Wm7QBZ1L7EjIU/edit?usp=sharing"",""ชุมพร!J380"")"),2686.8)</f>
        <v>2686.8</v>
      </c>
      <c r="AZ76" s="87">
        <f t="shared" ca="1" si="50"/>
        <v>38.421052631578945</v>
      </c>
      <c r="BA76" s="86">
        <f ca="1">IFERROR(__xludf.DUMMYFUNCTION("IMPORTRANGE(""https://docs.google.com/spreadsheets/d/1FbzMZY_f3MDiEuK7RpCQKrilJ_kpX0Wm7QBZ1L7EjIU/edit?usp=sharing"",""ชุมพร!I381"")"),570)</f>
        <v>570</v>
      </c>
      <c r="BB76" s="86">
        <f ca="1">IFERROR(__xludf.DUMMYFUNCTION("IMPORTRANGE(""https://docs.google.com/spreadsheets/d/1FbzMZY_f3MDiEuK7RpCQKrilJ_kpX0Wm7QBZ1L7EjIU/edit?usp=sharing"",""ชุมพร!J381"")"),148)</f>
        <v>148</v>
      </c>
      <c r="BC76" s="86">
        <f ca="1">IFERROR(__xludf.DUMMYFUNCTION("IMPORTRANGE(""https://docs.google.com/spreadsheets/d/1FbzMZY_f3MDiEuK7RpCQKrilJ_kpX0Wm7QBZ1L7EjIU/edit?usp=sharing"",""ชุมพร!J382"")"),2093.59)</f>
        <v>2093.59</v>
      </c>
      <c r="BD76" s="87">
        <f t="shared" ca="1" si="51"/>
        <v>25.964912280701753</v>
      </c>
    </row>
    <row r="77" spans="1:56" ht="21" customHeight="1" x14ac:dyDescent="0.2">
      <c r="A77" s="78">
        <v>3</v>
      </c>
      <c r="B77" s="79" t="s">
        <v>99</v>
      </c>
      <c r="C77" s="80">
        <f t="shared" ca="1" si="0"/>
        <v>997600</v>
      </c>
      <c r="D77" s="81">
        <f t="shared" ca="1" si="100"/>
        <v>868000</v>
      </c>
      <c r="E77" s="82">
        <f ca="1">IFERROR(__xludf.DUMMYFUNCTION("IMPORTRANGE(""https://docs.google.com/spreadsheets/d/1MeEWN-I1oV_STSDYn1IFDPWt_1FKiwhDph83XaGc0o0/edit?usp=sharing"",""งบพรบ!EX77"")"),403200)</f>
        <v>403200</v>
      </c>
      <c r="F77" s="82">
        <f ca="1">IFERROR(__xludf.DUMMYFUNCTION("IMPORTRANGE(""https://docs.google.com/spreadsheets/d/1MeEWN-I1oV_STSDYn1IFDPWt_1FKiwhDph83XaGc0o0/edit?usp=sharing"",""งบพรบ!EY77"")"),464800)</f>
        <v>464800</v>
      </c>
      <c r="G77" s="82">
        <f ca="1">IFERROR(__xludf.DUMMYFUNCTION("IMPORTRANGE(""https://docs.google.com/spreadsheets/d/1MeEWN-I1oV_STSDYn1IFDPWt_1FKiwhDph83XaGc0o0/edit?usp=sharing"",""งบพรบ!EZ77"")"),129600)</f>
        <v>129600</v>
      </c>
      <c r="H77" s="82">
        <f ca="1">IFERROR(__xludf.DUMMYFUNCTION("IMPORTRANGE(""https://docs.google.com/spreadsheets/d/1MeEWN-I1oV_STSDYn1IFDPWt_1FKiwhDph83XaGc0o0/edit?usp=sharing"",""งบพรบ!FB77"")"),586200)</f>
        <v>586200</v>
      </c>
      <c r="I77" s="82">
        <f ca="1">IFERROR(__xludf.DUMMYFUNCTION("IMPORTRANGE(""https://docs.google.com/spreadsheets/d/1MeEWN-I1oV_STSDYn1IFDPWt_1FKiwhDph83XaGc0o0/edit?usp=sharing"",""งบพรบ!FC77"")"),129600)</f>
        <v>129600</v>
      </c>
      <c r="J77" s="82">
        <f t="shared" ca="1" si="3"/>
        <v>403829.88</v>
      </c>
      <c r="K77" s="83">
        <f t="shared" ca="1" si="4"/>
        <v>40.48014033680834</v>
      </c>
      <c r="L77" s="82">
        <f ca="1">IFERROR(__xludf.DUMMYFUNCTION("IMPORTRANGE(""https://docs.google.com/spreadsheets/d/1MeEWN-I1oV_STSDYn1IFDPWt_1FKiwhDph83XaGc0o0/edit?usp=sharing"",""งบพรบ!FD77"")"),274229.88)</f>
        <v>274229.88</v>
      </c>
      <c r="M77" s="84">
        <f t="shared" ca="1" si="5"/>
        <v>31.593304147465439</v>
      </c>
      <c r="N77" s="84">
        <f t="shared" ca="1" si="6"/>
        <v>46.780941658137152</v>
      </c>
      <c r="O77" s="85">
        <f ca="1">IFERROR(__xludf.DUMMYFUNCTION("IMPORTRANGE(""https://docs.google.com/spreadsheets/d/1MeEWN-I1oV_STSDYn1IFDPWt_1FKiwhDph83XaGc0o0/edit?usp=sharing"",""งบพรบ!FE77"")"),129600)</f>
        <v>129600</v>
      </c>
      <c r="P77" s="84">
        <f t="shared" ca="1" si="53"/>
        <v>100</v>
      </c>
      <c r="Q77" s="84">
        <f t="shared" ca="1" si="8"/>
        <v>100</v>
      </c>
      <c r="R77" s="86">
        <f ca="1">IFERROR(__xludf.DUMMYFUNCTION("IMPORTRANGE(""https://docs.google.com/spreadsheets/d/1v5sN-00LrXuhBxw4dkh2GrG_z4l5oAqOdJRBCsUyMaM/edit?usp=sharing"",""ตรัง!I359"")"),2700)</f>
        <v>2700</v>
      </c>
      <c r="S77" s="86">
        <f ca="1">IFERROR(__xludf.DUMMYFUNCTION("IMPORTRANGE(""https://docs.google.com/spreadsheets/d/1v5sN-00LrXuhBxw4dkh2GrG_z4l5oAqOdJRBCsUyMaM/edit?usp=sharing"",""ตรัง!J358"")"),122)</f>
        <v>122</v>
      </c>
      <c r="T77" s="86">
        <f ca="1">IFERROR(__xludf.DUMMYFUNCTION("IMPORTRANGE(""https://docs.google.com/spreadsheets/d/1v5sN-00LrXuhBxw4dkh2GrG_z4l5oAqOdJRBCsUyMaM/edit?usp=sharing"",""ตรัง!J359"")"),926.52)</f>
        <v>926.52</v>
      </c>
      <c r="U77" s="87">
        <f t="shared" ca="1" si="43"/>
        <v>34.315555555555555</v>
      </c>
      <c r="V77" s="86">
        <f ca="1">IFERROR(__xludf.DUMMYFUNCTION("IMPORTRANGE(""https://docs.google.com/spreadsheets/d/1v5sN-00LrXuhBxw4dkh2GrG_z4l5oAqOdJRBCsUyMaM/edit?usp=sharing"",""ตรัง!I360"")"),332)</f>
        <v>332</v>
      </c>
      <c r="W77" s="86">
        <f ca="1">IFERROR(__xludf.DUMMYFUNCTION("IMPORTRANGE(""https://docs.google.com/spreadsheets/d/1v5sN-00LrXuhBxw4dkh2GrG_z4l5oAqOdJRBCsUyMaM/edit?usp=sharing"",""ตรัง!J360"")"),39)</f>
        <v>39</v>
      </c>
      <c r="X77" s="86">
        <f ca="1">IFERROR(__xludf.DUMMYFUNCTION("IMPORTRANGE(""https://docs.google.com/spreadsheets/d/1v5sN-00LrXuhBxw4dkh2GrG_z4l5oAqOdJRBCsUyMaM/edit?usp=sharing"",""ตรัง!J361"")"),602.97)</f>
        <v>602.97</v>
      </c>
      <c r="Y77" s="87">
        <f t="shared" ca="1" si="44"/>
        <v>11.746987951807229</v>
      </c>
      <c r="Z77" s="86">
        <f ca="1">IFERROR(__xludf.DUMMYFUNCTION("IMPORTRANGE(""https://docs.google.com/spreadsheets/d/1v5sN-00LrXuhBxw4dkh2GrG_z4l5oAqOdJRBCsUyMaM/edit?usp=sharing"",""ตรัง!I362"")"),332)</f>
        <v>332</v>
      </c>
      <c r="AA77" s="86">
        <f ca="1">IFERROR(__xludf.DUMMYFUNCTION("IMPORTRANGE(""https://docs.google.com/spreadsheets/d/1v5sN-00LrXuhBxw4dkh2GrG_z4l5oAqOdJRBCsUyMaM/edit?usp=sharing"",""ตรัง!J362"")"),0)</f>
        <v>0</v>
      </c>
      <c r="AB77" s="86">
        <f ca="1">IFERROR(__xludf.DUMMYFUNCTION("IMPORTRANGE(""https://docs.google.com/spreadsheets/d/1v5sN-00LrXuhBxw4dkh2GrG_z4l5oAqOdJRBCsUyMaM/edit?usp=sharing"",""ตรัง!J363"")"),0)</f>
        <v>0</v>
      </c>
      <c r="AC77" s="87">
        <f t="shared" ca="1" si="45"/>
        <v>0</v>
      </c>
      <c r="AD77" s="86">
        <f ca="1">IFERROR(__xludf.DUMMYFUNCTION("IMPORTRANGE(""https://docs.google.com/spreadsheets/d/1v5sN-00LrXuhBxw4dkh2GrG_z4l5oAqOdJRBCsUyMaM/edit?usp=sharing"",""ตรัง!I364"")"),502)</f>
        <v>502</v>
      </c>
      <c r="AE77" s="86">
        <f ca="1">IFERROR(__xludf.DUMMYFUNCTION("IMPORTRANGE(""https://docs.google.com/spreadsheets/d/1v5sN-00LrXuhBxw4dkh2GrG_z4l5oAqOdJRBCsUyMaM/edit?usp=sharing"",""ตรัง!J364"")"),39)</f>
        <v>39</v>
      </c>
      <c r="AF77" s="87">
        <f t="shared" ca="1" si="16"/>
        <v>7.7689243027888448</v>
      </c>
      <c r="AG77" s="86">
        <f ca="1">IFERROR(__xludf.DUMMYFUNCTION("IMPORTRANGE(""https://docs.google.com/spreadsheets/d/1v5sN-00LrXuhBxw4dkh2GrG_z4l5oAqOdJRBCsUyMaM/edit?usp=sharing"",""ตรัง!I369"")"),1300)</f>
        <v>1300</v>
      </c>
      <c r="AH77" s="86">
        <f ca="1">IFERROR(__xludf.DUMMYFUNCTION("IMPORTRANGE(""https://docs.google.com/spreadsheets/d/1v5sN-00LrXuhBxw4dkh2GrG_z4l5oAqOdJRBCsUyMaM/edit?usp=sharing"",""ตรัง!J368"")"),64)</f>
        <v>64</v>
      </c>
      <c r="AI77" s="86">
        <f ca="1">IFERROR(__xludf.DUMMYFUNCTION("IMPORTRANGE(""https://docs.google.com/spreadsheets/d/1v5sN-00LrXuhBxw4dkh2GrG_z4l5oAqOdJRBCsUyMaM/edit?usp=sharing"",""ตรัง!J369"")"),589.54)</f>
        <v>589.54</v>
      </c>
      <c r="AJ77" s="87">
        <f t="shared" ca="1" si="46"/>
        <v>45.349230769230772</v>
      </c>
      <c r="AK77" s="86">
        <f ca="1">IFERROR(__xludf.DUMMYFUNCTION("IMPORTRANGE(""https://docs.google.com/spreadsheets/d/1v5sN-00LrXuhBxw4dkh2GrG_z4l5oAqOdJRBCsUyMaM/edit?usp=sharing"",""ตรัง!I370"")"),182)</f>
        <v>182</v>
      </c>
      <c r="AL77" s="86">
        <f ca="1">IFERROR(__xludf.DUMMYFUNCTION("IMPORTRANGE(""https://docs.google.com/spreadsheets/d/1v5sN-00LrXuhBxw4dkh2GrG_z4l5oAqOdJRBCsUyMaM/edit?usp=sharing"",""ตรัง!J370"")"),39)</f>
        <v>39</v>
      </c>
      <c r="AM77" s="86">
        <f ca="1">IFERROR(__xludf.DUMMYFUNCTION("IMPORTRANGE(""https://docs.google.com/spreadsheets/d/1v5sN-00LrXuhBxw4dkh2GrG_z4l5oAqOdJRBCsUyMaM/edit?usp=sharing"",""ตรัง!J371"")"),602.97)</f>
        <v>602.97</v>
      </c>
      <c r="AN77" s="87">
        <f t="shared" ca="1" si="47"/>
        <v>21.428571428571427</v>
      </c>
      <c r="AO77" s="86">
        <f ca="1">IFERROR(__xludf.DUMMYFUNCTION("IMPORTRANGE(""https://docs.google.com/spreadsheets/d/1v5sN-00LrXuhBxw4dkh2GrG_z4l5oAqOdJRBCsUyMaM/edit?usp=sharing"",""ตรัง!I372"")"),182)</f>
        <v>182</v>
      </c>
      <c r="AP77" s="86">
        <f ca="1">IFERROR(__xludf.DUMMYFUNCTION("IMPORTRANGE(""https://docs.google.com/spreadsheets/d/1v5sN-00LrXuhBxw4dkh2GrG_z4l5oAqOdJRBCsUyMaM/edit?usp=sharing"",""ตรัง!J372"")"),0)</f>
        <v>0</v>
      </c>
      <c r="AQ77" s="86">
        <f ca="1">IFERROR(__xludf.DUMMYFUNCTION("IMPORTRANGE(""https://docs.google.com/spreadsheets/d/1v5sN-00LrXuhBxw4dkh2GrG_z4l5oAqOdJRBCsUyMaM/edit?usp=sharing"",""ตรัง!J373"")"),0)</f>
        <v>0</v>
      </c>
      <c r="AR77" s="87">
        <f t="shared" ca="1" si="48"/>
        <v>0</v>
      </c>
      <c r="AS77" s="86">
        <f ca="1">IFERROR(__xludf.DUMMYFUNCTION("IMPORTRANGE(""https://docs.google.com/spreadsheets/d/1v5sN-00LrXuhBxw4dkh2GrG_z4l5oAqOdJRBCsUyMaM/edit?usp=sharing"",""ตรัง!I378"")"),1400)</f>
        <v>1400</v>
      </c>
      <c r="AT77" s="86">
        <f ca="1">IFERROR(__xludf.DUMMYFUNCTION("IMPORTRANGE(""https://docs.google.com/spreadsheets/d/1v5sN-00LrXuhBxw4dkh2GrG_z4l5oAqOdJRBCsUyMaM/edit?usp=sharing"",""ตรัง!J377"")"),58)</f>
        <v>58</v>
      </c>
      <c r="AU77" s="86">
        <f ca="1">IFERROR(__xludf.DUMMYFUNCTION("IMPORTRANGE(""https://docs.google.com/spreadsheets/d/1v5sN-00LrXuhBxw4dkh2GrG_z4l5oAqOdJRBCsUyMaM/edit?usp=sharing"",""ตรัง!J378"")"),336.98)</f>
        <v>336.98</v>
      </c>
      <c r="AV77" s="87">
        <f t="shared" ca="1" si="49"/>
        <v>24.07</v>
      </c>
      <c r="AW77" s="86">
        <f ca="1">IFERROR(__xludf.DUMMYFUNCTION("IMPORTRANGE(""https://docs.google.com/spreadsheets/d/1v5sN-00LrXuhBxw4dkh2GrG_z4l5oAqOdJRBCsUyMaM/edit?usp=sharing"",""ตรัง!I379"")"),320)</f>
        <v>320</v>
      </c>
      <c r="AX77" s="86">
        <f ca="1">IFERROR(__xludf.DUMMYFUNCTION("IMPORTRANGE(""https://docs.google.com/spreadsheets/d/1v5sN-00LrXuhBxw4dkh2GrG_z4l5oAqOdJRBCsUyMaM/edit?usp=sharing"",""ตรัง!J379"")"),39)</f>
        <v>39</v>
      </c>
      <c r="AY77" s="86">
        <f ca="1">IFERROR(__xludf.DUMMYFUNCTION("IMPORTRANGE(""https://docs.google.com/spreadsheets/d/1v5sN-00LrXuhBxw4dkh2GrG_z4l5oAqOdJRBCsUyMaM/edit?usp=sharing"",""ตรัง!J380"")"),444.82)</f>
        <v>444.82</v>
      </c>
      <c r="AZ77" s="87">
        <f t="shared" ca="1" si="50"/>
        <v>12.1875</v>
      </c>
      <c r="BA77" s="86">
        <f ca="1">IFERROR(__xludf.DUMMYFUNCTION("IMPORTRANGE(""https://docs.google.com/spreadsheets/d/1v5sN-00LrXuhBxw4dkh2GrG_z4l5oAqOdJRBCsUyMaM/edit?usp=sharing"",""ตรัง!I381"")"),320)</f>
        <v>320</v>
      </c>
      <c r="BB77" s="86">
        <f ca="1">IFERROR(__xludf.DUMMYFUNCTION("IMPORTRANGE(""https://docs.google.com/spreadsheets/d/1v5sN-00LrXuhBxw4dkh2GrG_z4l5oAqOdJRBCsUyMaM/edit?usp=sharing"",""ตรัง!J381"")"),39)</f>
        <v>39</v>
      </c>
      <c r="BC77" s="86">
        <f ca="1">IFERROR(__xludf.DUMMYFUNCTION("IMPORTRANGE(""https://docs.google.com/spreadsheets/d/1v5sN-00LrXuhBxw4dkh2GrG_z4l5oAqOdJRBCsUyMaM/edit?usp=sharing"",""ตรัง!J382"")"),444.82)</f>
        <v>444.82</v>
      </c>
      <c r="BD77" s="87">
        <f t="shared" ca="1" si="51"/>
        <v>12.1875</v>
      </c>
    </row>
    <row r="78" spans="1:56" ht="21" customHeight="1" x14ac:dyDescent="0.2">
      <c r="A78" s="78">
        <v>4</v>
      </c>
      <c r="B78" s="79" t="s">
        <v>100</v>
      </c>
      <c r="C78" s="80">
        <f t="shared" ca="1" si="0"/>
        <v>695090</v>
      </c>
      <c r="D78" s="81">
        <f t="shared" ca="1" si="100"/>
        <v>619090</v>
      </c>
      <c r="E78" s="82">
        <f ca="1">IFERROR(__xludf.DUMMYFUNCTION("IMPORTRANGE(""https://docs.google.com/spreadsheets/d/1MeEWN-I1oV_STSDYn1IFDPWt_1FKiwhDph83XaGc0o0/edit?usp=sharing"",""งบพรบ!EX78"")"),87600)</f>
        <v>87600</v>
      </c>
      <c r="F78" s="82">
        <f ca="1">IFERROR(__xludf.DUMMYFUNCTION("IMPORTRANGE(""https://docs.google.com/spreadsheets/d/1MeEWN-I1oV_STSDYn1IFDPWt_1FKiwhDph83XaGc0o0/edit?usp=sharing"",""งบพรบ!EY78"")"),531490)</f>
        <v>531490</v>
      </c>
      <c r="G78" s="82">
        <f ca="1">IFERROR(__xludf.DUMMYFUNCTION("IMPORTRANGE(""https://docs.google.com/spreadsheets/d/1MeEWN-I1oV_STSDYn1IFDPWt_1FKiwhDph83XaGc0o0/edit?usp=sharing"",""งบพรบ!EZ78"")"),76000)</f>
        <v>76000</v>
      </c>
      <c r="H78" s="82">
        <f ca="1">IFERROR(__xludf.DUMMYFUNCTION("IMPORTRANGE(""https://docs.google.com/spreadsheets/d/1MeEWN-I1oV_STSDYn1IFDPWt_1FKiwhDph83XaGc0o0/edit?usp=sharing"",""งบพรบ!FB78"")"),386480)</f>
        <v>386480</v>
      </c>
      <c r="I78" s="82">
        <f ca="1">IFERROR(__xludf.DUMMYFUNCTION("IMPORTRANGE(""https://docs.google.com/spreadsheets/d/1MeEWN-I1oV_STSDYn1IFDPWt_1FKiwhDph83XaGc0o0/edit?usp=sharing"",""งบพรบ!FC78"")"),75000)</f>
        <v>75000</v>
      </c>
      <c r="J78" s="82">
        <f t="shared" ca="1" si="3"/>
        <v>322146.07</v>
      </c>
      <c r="K78" s="83">
        <f t="shared" ca="1" si="4"/>
        <v>46.345950884058176</v>
      </c>
      <c r="L78" s="82">
        <f ca="1">IFERROR(__xludf.DUMMYFUNCTION("IMPORTRANGE(""https://docs.google.com/spreadsheets/d/1MeEWN-I1oV_STSDYn1IFDPWt_1FKiwhDph83XaGc0o0/edit?usp=sharing"",""งบพรบ!FD78"")"),247146.07)</f>
        <v>247146.07</v>
      </c>
      <c r="M78" s="84">
        <f t="shared" ca="1" si="5"/>
        <v>39.920862879387485</v>
      </c>
      <c r="N78" s="84">
        <f t="shared" ca="1" si="6"/>
        <v>63.947958497205548</v>
      </c>
      <c r="O78" s="85">
        <f ca="1">IFERROR(__xludf.DUMMYFUNCTION("IMPORTRANGE(""https://docs.google.com/spreadsheets/d/1MeEWN-I1oV_STSDYn1IFDPWt_1FKiwhDph83XaGc0o0/edit?usp=sharing"",""งบพรบ!FE78"")"),75000)</f>
        <v>75000</v>
      </c>
      <c r="P78" s="84">
        <f t="shared" ca="1" si="53"/>
        <v>98.684210526315795</v>
      </c>
      <c r="Q78" s="84">
        <f t="shared" ca="1" si="8"/>
        <v>100</v>
      </c>
      <c r="R78" s="86">
        <f ca="1">IFERROR(__xludf.DUMMYFUNCTION("IMPORTRANGE(""https://docs.google.com/spreadsheets/d/1T5rRTzFc79aSIvqnzkZNvwPstq829QYz_xALlO1Z0s8/edit?usp=sharing"",""นครศรีธรรมราช!I359"")"),3020)</f>
        <v>3020</v>
      </c>
      <c r="S78" s="86">
        <f ca="1">IFERROR(__xludf.DUMMYFUNCTION("IMPORTRANGE(""https://docs.google.com/spreadsheets/d/1T5rRTzFc79aSIvqnzkZNvwPstq829QYz_xALlO1Z0s8/edit?usp=sharing"",""นครศรีธรรมราช!J358"")"),103)</f>
        <v>103</v>
      </c>
      <c r="T78" s="86">
        <f ca="1">IFERROR(__xludf.DUMMYFUNCTION("IMPORTRANGE(""https://docs.google.com/spreadsheets/d/1T5rRTzFc79aSIvqnzkZNvwPstq829QYz_xALlO1Z0s8/edit?usp=sharing"",""นครศรีธรรมราช!J359"")"),741.319999999999)</f>
        <v>741.31999999999903</v>
      </c>
      <c r="U78" s="87">
        <f t="shared" ca="1" si="43"/>
        <v>24.547019867549636</v>
      </c>
      <c r="V78" s="86">
        <f ca="1">IFERROR(__xludf.DUMMYFUNCTION("IMPORTRANGE(""https://docs.google.com/spreadsheets/d/1T5rRTzFc79aSIvqnzkZNvwPstq829QYz_xALlO1Z0s8/edit?usp=sharing"",""นครศรีธรรมราช!I360"")"),250)</f>
        <v>250</v>
      </c>
      <c r="W78" s="86">
        <f ca="1">IFERROR(__xludf.DUMMYFUNCTION("IMPORTRANGE(""https://docs.google.com/spreadsheets/d/1T5rRTzFc79aSIvqnzkZNvwPstq829QYz_xALlO1Z0s8/edit?usp=sharing"",""นครศรีธรรมราช!J360"")"),55)</f>
        <v>55</v>
      </c>
      <c r="X78" s="86">
        <f ca="1">IFERROR(__xludf.DUMMYFUNCTION("IMPORTRANGE(""https://docs.google.com/spreadsheets/d/1T5rRTzFc79aSIvqnzkZNvwPstq829QYz_xALlO1Z0s8/edit?usp=sharing"",""นครศรีธรรมราช!J361"")"),452.81)</f>
        <v>452.81</v>
      </c>
      <c r="Y78" s="87">
        <f t="shared" ca="1" si="44"/>
        <v>22</v>
      </c>
      <c r="Z78" s="86">
        <f ca="1">IFERROR(__xludf.DUMMYFUNCTION("IMPORTRANGE(""https://docs.google.com/spreadsheets/d/1T5rRTzFc79aSIvqnzkZNvwPstq829QYz_xALlO1Z0s8/edit?usp=sharing"",""นครศรีธรรมราช!I362"")"),250)</f>
        <v>250</v>
      </c>
      <c r="AA78" s="86">
        <f ca="1">IFERROR(__xludf.DUMMYFUNCTION("IMPORTRANGE(""https://docs.google.com/spreadsheets/d/1T5rRTzFc79aSIvqnzkZNvwPstq829QYz_xALlO1Z0s8/edit?usp=sharing"",""นครศรีธรรมราช!J362"")"),11)</f>
        <v>11</v>
      </c>
      <c r="AB78" s="86">
        <f ca="1">IFERROR(__xludf.DUMMYFUNCTION("IMPORTRANGE(""https://docs.google.com/spreadsheets/d/1T5rRTzFc79aSIvqnzkZNvwPstq829QYz_xALlO1Z0s8/edit?usp=sharing"",""นครศรีธรรมราช!J363"")"),129.21)</f>
        <v>129.21</v>
      </c>
      <c r="AC78" s="87">
        <f t="shared" ca="1" si="45"/>
        <v>4.4000000000000004</v>
      </c>
      <c r="AD78" s="86">
        <f ca="1">IFERROR(__xludf.DUMMYFUNCTION("IMPORTRANGE(""https://docs.google.com/spreadsheets/d/1T5rRTzFc79aSIvqnzkZNvwPstq829QYz_xALlO1Z0s8/edit?usp=sharing"",""นครศรีธรรมราช!I364"")"),600)</f>
        <v>600</v>
      </c>
      <c r="AE78" s="86">
        <f ca="1">IFERROR(__xludf.DUMMYFUNCTION("IMPORTRANGE(""https://docs.google.com/spreadsheets/d/1T5rRTzFc79aSIvqnzkZNvwPstq829QYz_xALlO1Z0s8/edit?usp=sharing"",""นครศรีธรรมราช!J364"")"),108)</f>
        <v>108</v>
      </c>
      <c r="AF78" s="87">
        <f t="shared" ca="1" si="16"/>
        <v>18</v>
      </c>
      <c r="AG78" s="86">
        <f ca="1">IFERROR(__xludf.DUMMYFUNCTION("IMPORTRANGE(""https://docs.google.com/spreadsheets/d/1T5rRTzFc79aSIvqnzkZNvwPstq829QYz_xALlO1Z0s8/edit?usp=sharing"",""นครศรีธรรมราช!I369"")"),1520)</f>
        <v>1520</v>
      </c>
      <c r="AH78" s="86">
        <f ca="1">IFERROR(__xludf.DUMMYFUNCTION("IMPORTRANGE(""https://docs.google.com/spreadsheets/d/1T5rRTzFc79aSIvqnzkZNvwPstq829QYz_xALlO1Z0s8/edit?usp=sharing"",""นครศรีธรรมราช!J368"")"),88)</f>
        <v>88</v>
      </c>
      <c r="AI78" s="86">
        <f ca="1">IFERROR(__xludf.DUMMYFUNCTION("IMPORTRANGE(""https://docs.google.com/spreadsheets/d/1T5rRTzFc79aSIvqnzkZNvwPstq829QYz_xALlO1Z0s8/edit?usp=sharing"",""นครศรีธรรมราช!J369"")"),630.53)</f>
        <v>630.53</v>
      </c>
      <c r="AJ78" s="87">
        <f t="shared" ca="1" si="46"/>
        <v>41.482236842105266</v>
      </c>
      <c r="AK78" s="86">
        <f ca="1">IFERROR(__xludf.DUMMYFUNCTION("IMPORTRANGE(""https://docs.google.com/spreadsheets/d/1T5rRTzFc79aSIvqnzkZNvwPstq829QYz_xALlO1Z0s8/edit?usp=sharing"",""นครศรีธรรมราช!I370"")"),150)</f>
        <v>150</v>
      </c>
      <c r="AL78" s="86">
        <f ca="1">IFERROR(__xludf.DUMMYFUNCTION("IMPORTRANGE(""https://docs.google.com/spreadsheets/d/1T5rRTzFc79aSIvqnzkZNvwPstq829QYz_xALlO1Z0s8/edit?usp=sharing"",""นครศรีธรรมราช!J370"")"),40)</f>
        <v>40</v>
      </c>
      <c r="AM78" s="86">
        <f ca="1">IFERROR(__xludf.DUMMYFUNCTION("IMPORTRANGE(""https://docs.google.com/spreadsheets/d/1T5rRTzFc79aSIvqnzkZNvwPstq829QYz_xALlO1Z0s8/edit?usp=sharing"",""นครศรีธรรมราช!J371"")"),342.02)</f>
        <v>342.02</v>
      </c>
      <c r="AN78" s="87">
        <f t="shared" ca="1" si="47"/>
        <v>26.666666666666668</v>
      </c>
      <c r="AO78" s="86">
        <f ca="1">IFERROR(__xludf.DUMMYFUNCTION("IMPORTRANGE(""https://docs.google.com/spreadsheets/d/1T5rRTzFc79aSIvqnzkZNvwPstq829QYz_xALlO1Z0s8/edit?usp=sharing"",""นครศรีธรรมราช!I372"")"),150)</f>
        <v>150</v>
      </c>
      <c r="AP78" s="86">
        <f ca="1">IFERROR(__xludf.DUMMYFUNCTION("IMPORTRANGE(""https://docs.google.com/spreadsheets/d/1T5rRTzFc79aSIvqnzkZNvwPstq829QYz_xALlO1Z0s8/edit?usp=sharing"",""นครศรีธรรมราช!J372"")"),11)</f>
        <v>11</v>
      </c>
      <c r="AQ78" s="86">
        <f ca="1">IFERROR(__xludf.DUMMYFUNCTION("IMPORTRANGE(""https://docs.google.com/spreadsheets/d/1T5rRTzFc79aSIvqnzkZNvwPstq829QYz_xALlO1Z0s8/edit?usp=sharing"",""นครศรีธรรมราช!J373"")"),129.21)</f>
        <v>129.21</v>
      </c>
      <c r="AR78" s="87">
        <f t="shared" ca="1" si="48"/>
        <v>7.333333333333333</v>
      </c>
      <c r="AS78" s="86">
        <f ca="1">IFERROR(__xludf.DUMMYFUNCTION("IMPORTRANGE(""https://docs.google.com/spreadsheets/d/1T5rRTzFc79aSIvqnzkZNvwPstq829QYz_xALlO1Z0s8/edit?usp=sharing"",""นครศรีธรรมราช!I378"")"),1500)</f>
        <v>1500</v>
      </c>
      <c r="AT78" s="86">
        <f ca="1">IFERROR(__xludf.DUMMYFUNCTION("IMPORTRANGE(""https://docs.google.com/spreadsheets/d/1T5rRTzFc79aSIvqnzkZNvwPstq829QYz_xALlO1Z0s8/edit?usp=sharing"",""นครศรีธรรมราช!J377"")"),15)</f>
        <v>15</v>
      </c>
      <c r="AU78" s="86">
        <f ca="1">IFERROR(__xludf.DUMMYFUNCTION("IMPORTRANGE(""https://docs.google.com/spreadsheets/d/1T5rRTzFc79aSIvqnzkZNvwPstq829QYz_xALlO1Z0s8/edit?usp=sharing"",""นครศรีธรรมราช!J378"")"),110.79)</f>
        <v>110.79</v>
      </c>
      <c r="AV78" s="87">
        <f t="shared" ca="1" si="49"/>
        <v>7.3860000000000001</v>
      </c>
      <c r="AW78" s="86">
        <f ca="1">IFERROR(__xludf.DUMMYFUNCTION("IMPORTRANGE(""https://docs.google.com/spreadsheets/d/1T5rRTzFc79aSIvqnzkZNvwPstq829QYz_xALlO1Z0s8/edit?usp=sharing"",""นครศรีธรรมราช!I379"")"),450)</f>
        <v>450</v>
      </c>
      <c r="AX78" s="86">
        <f ca="1">IFERROR(__xludf.DUMMYFUNCTION("IMPORTRANGE(""https://docs.google.com/spreadsheets/d/1T5rRTzFc79aSIvqnzkZNvwPstq829QYz_xALlO1Z0s8/edit?usp=sharing"",""นครศรีธรรมราช!J379"")"),112)</f>
        <v>112</v>
      </c>
      <c r="AY78" s="86">
        <f ca="1">IFERROR(__xludf.DUMMYFUNCTION("IMPORTRANGE(""https://docs.google.com/spreadsheets/d/1T5rRTzFc79aSIvqnzkZNvwPstq829QYz_xALlO1Z0s8/edit?usp=sharing"",""นครศรีธรรมราช!J380"")"),1119.69)</f>
        <v>1119.69</v>
      </c>
      <c r="AZ78" s="87">
        <f t="shared" ca="1" si="50"/>
        <v>24.888888888888889</v>
      </c>
      <c r="BA78" s="86">
        <f ca="1">IFERROR(__xludf.DUMMYFUNCTION("IMPORTRANGE(""https://docs.google.com/spreadsheets/d/1T5rRTzFc79aSIvqnzkZNvwPstq829QYz_xALlO1Z0s8/edit?usp=sharing"",""นครศรีธรรมราช!I381"")"),450)</f>
        <v>450</v>
      </c>
      <c r="BB78" s="86">
        <f ca="1">IFERROR(__xludf.DUMMYFUNCTION("IMPORTRANGE(""https://docs.google.com/spreadsheets/d/1T5rRTzFc79aSIvqnzkZNvwPstq829QYz_xALlO1Z0s8/edit?usp=sharing"",""นครศรีธรรมราช!J381"")"),97)</f>
        <v>97</v>
      </c>
      <c r="BC78" s="86">
        <f ca="1">IFERROR(__xludf.DUMMYFUNCTION("IMPORTRANGE(""https://docs.google.com/spreadsheets/d/1T5rRTzFc79aSIvqnzkZNvwPstq829QYz_xALlO1Z0s8/edit?usp=sharing"",""นครศรีธรรมราช!J382"")"),1008.9)</f>
        <v>1008.9</v>
      </c>
      <c r="BD78" s="87">
        <f t="shared" ca="1" si="51"/>
        <v>21.555555555555557</v>
      </c>
    </row>
    <row r="79" spans="1:56" ht="21" customHeight="1" x14ac:dyDescent="0.2">
      <c r="A79" s="78">
        <v>5</v>
      </c>
      <c r="B79" s="79" t="s">
        <v>101</v>
      </c>
      <c r="C79" s="80">
        <f t="shared" ca="1" si="0"/>
        <v>396570</v>
      </c>
      <c r="D79" s="81">
        <f t="shared" ca="1" si="100"/>
        <v>305770</v>
      </c>
      <c r="E79" s="82">
        <f ca="1">IFERROR(__xludf.DUMMYFUNCTION("IMPORTRANGE(""https://docs.google.com/spreadsheets/d/1MeEWN-I1oV_STSDYn1IFDPWt_1FKiwhDph83XaGc0o0/edit?usp=sharing"",""งบพรบ!EX79"")"),87600)</f>
        <v>87600</v>
      </c>
      <c r="F79" s="82">
        <f ca="1">IFERROR(__xludf.DUMMYFUNCTION("IMPORTRANGE(""https://docs.google.com/spreadsheets/d/1MeEWN-I1oV_STSDYn1IFDPWt_1FKiwhDph83XaGc0o0/edit?usp=sharing"",""งบพรบ!EY79"")"),218170)</f>
        <v>218170</v>
      </c>
      <c r="G79" s="82">
        <f ca="1">IFERROR(__xludf.DUMMYFUNCTION("IMPORTRANGE(""https://docs.google.com/spreadsheets/d/1MeEWN-I1oV_STSDYn1IFDPWt_1FKiwhDph83XaGc0o0/edit?usp=sharing"",""งบพรบ!EZ79"")"),90800)</f>
        <v>90800</v>
      </c>
      <c r="H79" s="82">
        <f ca="1">IFERROR(__xludf.DUMMYFUNCTION("IMPORTRANGE(""https://docs.google.com/spreadsheets/d/1MeEWN-I1oV_STSDYn1IFDPWt_1FKiwhDph83XaGc0o0/edit?usp=sharing"",""งบพรบ!FB79"")"),226720)</f>
        <v>226720</v>
      </c>
      <c r="I79" s="82">
        <f ca="1">IFERROR(__xludf.DUMMYFUNCTION("IMPORTRANGE(""https://docs.google.com/spreadsheets/d/1MeEWN-I1oV_STSDYn1IFDPWt_1FKiwhDph83XaGc0o0/edit?usp=sharing"",""งบพรบ!FC79"")"),90800)</f>
        <v>90800</v>
      </c>
      <c r="J79" s="82">
        <f t="shared" ca="1" si="3"/>
        <v>192293.8</v>
      </c>
      <c r="K79" s="83">
        <f t="shared" ca="1" si="4"/>
        <v>48.489245278261087</v>
      </c>
      <c r="L79" s="82">
        <f ca="1">IFERROR(__xludf.DUMMYFUNCTION("IMPORTRANGE(""https://docs.google.com/spreadsheets/d/1MeEWN-I1oV_STSDYn1IFDPWt_1FKiwhDph83XaGc0o0/edit?usp=sharing"",""งบพรบ!FD79"")"),101493.8)</f>
        <v>101493.8</v>
      </c>
      <c r="M79" s="84">
        <f t="shared" ca="1" si="5"/>
        <v>33.192857376459429</v>
      </c>
      <c r="N79" s="84">
        <f t="shared" ca="1" si="6"/>
        <v>44.766143260409315</v>
      </c>
      <c r="O79" s="85">
        <f ca="1">IFERROR(__xludf.DUMMYFUNCTION("IMPORTRANGE(""https://docs.google.com/spreadsheets/d/1MeEWN-I1oV_STSDYn1IFDPWt_1FKiwhDph83XaGc0o0/edit?usp=sharing"",""งบพรบ!FE79"")"),90800)</f>
        <v>90800</v>
      </c>
      <c r="P79" s="84">
        <f t="shared" ca="1" si="53"/>
        <v>100</v>
      </c>
      <c r="Q79" s="84">
        <f t="shared" ca="1" si="8"/>
        <v>100</v>
      </c>
      <c r="R79" s="86">
        <f ca="1">IFERROR(__xludf.DUMMYFUNCTION("IMPORTRANGE(""https://docs.google.com/spreadsheets/d/1BeghqumK0IvCmRd2QOy6_afsZq7ZtAGrSnVJy2u7WmY/edit?usp=sharing"",""นราธิวาส!I359"")"),90)</f>
        <v>90</v>
      </c>
      <c r="S79" s="86">
        <f ca="1">IFERROR(__xludf.DUMMYFUNCTION("IMPORTRANGE(""https://docs.google.com/spreadsheets/d/1BeghqumK0IvCmRd2QOy6_afsZq7ZtAGrSnVJy2u7WmY/edit?usp=sharing"",""นราธิวาส!J358"")"),18)</f>
        <v>18</v>
      </c>
      <c r="T79" s="86">
        <f ca="1">IFERROR(__xludf.DUMMYFUNCTION("IMPORTRANGE(""https://docs.google.com/spreadsheets/d/1BeghqumK0IvCmRd2QOy6_afsZq7ZtAGrSnVJy2u7WmY/edit?usp=sharing"",""นราธิวาส!J359"")"),46.91)</f>
        <v>46.91</v>
      </c>
      <c r="U79" s="87">
        <f t="shared" ca="1" si="43"/>
        <v>52.12222222222222</v>
      </c>
      <c r="V79" s="86">
        <f ca="1">IFERROR(__xludf.DUMMYFUNCTION("IMPORTRANGE(""https://docs.google.com/spreadsheets/d/1BeghqumK0IvCmRd2QOy6_afsZq7ZtAGrSnVJy2u7WmY/edit?usp=sharing"",""นราธิวาส!I360"")"),27)</f>
        <v>27</v>
      </c>
      <c r="W79" s="86">
        <f ca="1">IFERROR(__xludf.DUMMYFUNCTION("IMPORTRANGE(""https://docs.google.com/spreadsheets/d/1BeghqumK0IvCmRd2QOy6_afsZq7ZtAGrSnVJy2u7WmY/edit?usp=sharing"",""นราธิวาส!J360"")"),31)</f>
        <v>31</v>
      </c>
      <c r="X79" s="86">
        <f ca="1">IFERROR(__xludf.DUMMYFUNCTION("IMPORTRANGE(""https://docs.google.com/spreadsheets/d/1BeghqumK0IvCmRd2QOy6_afsZq7ZtAGrSnVJy2u7WmY/edit?usp=sharing"",""นราธิวาส!J361"")"),46.15)</f>
        <v>46.15</v>
      </c>
      <c r="Y79" s="87">
        <f t="shared" ca="1" si="44"/>
        <v>114.81481481481481</v>
      </c>
      <c r="Z79" s="86">
        <f ca="1">IFERROR(__xludf.DUMMYFUNCTION("IMPORTRANGE(""https://docs.google.com/spreadsheets/d/1BeghqumK0IvCmRd2QOy6_afsZq7ZtAGrSnVJy2u7WmY/edit?usp=sharing"",""นราธิวาส!I362"")"),27)</f>
        <v>27</v>
      </c>
      <c r="AA79" s="86">
        <f ca="1">IFERROR(__xludf.DUMMYFUNCTION("IMPORTRANGE(""https://docs.google.com/spreadsheets/d/1BeghqumK0IvCmRd2QOy6_afsZq7ZtAGrSnVJy2u7WmY/edit?usp=sharing"",""นราธิวาส!J362"")"),0)</f>
        <v>0</v>
      </c>
      <c r="AB79" s="86">
        <f ca="1">IFERROR(__xludf.DUMMYFUNCTION("IMPORTRANGE(""https://docs.google.com/spreadsheets/d/1BeghqumK0IvCmRd2QOy6_afsZq7ZtAGrSnVJy2u7WmY/edit?usp=sharing"",""นราธิวาส!J363"")"),0)</f>
        <v>0</v>
      </c>
      <c r="AC79" s="87">
        <f t="shared" ca="1" si="45"/>
        <v>0</v>
      </c>
      <c r="AD79" s="86">
        <f ca="1">IFERROR(__xludf.DUMMYFUNCTION("IMPORTRANGE(""https://docs.google.com/spreadsheets/d/1BeghqumK0IvCmRd2QOy6_afsZq7ZtAGrSnVJy2u7WmY/edit?usp=sharing"",""นราธิวาส!I364"")"),42)</f>
        <v>42</v>
      </c>
      <c r="AE79" s="86">
        <f ca="1">IFERROR(__xludf.DUMMYFUNCTION("IMPORTRANGE(""https://docs.google.com/spreadsheets/d/1BeghqumK0IvCmRd2QOy6_afsZq7ZtAGrSnVJy2u7WmY/edit?usp=sharing"",""นราธิวาส!J364"")"),0)</f>
        <v>0</v>
      </c>
      <c r="AF79" s="87">
        <f t="shared" ca="1" si="16"/>
        <v>0</v>
      </c>
      <c r="AG79" s="86">
        <f ca="1">IFERROR(__xludf.DUMMYFUNCTION("IMPORTRANGE(""https://docs.google.com/spreadsheets/d/1BeghqumK0IvCmRd2QOy6_afsZq7ZtAGrSnVJy2u7WmY/edit?usp=sharing"",""นราธิวาส!I369"")"),50)</f>
        <v>50</v>
      </c>
      <c r="AH79" s="86">
        <f ca="1">IFERROR(__xludf.DUMMYFUNCTION("IMPORTRANGE(""https://docs.google.com/spreadsheets/d/1BeghqumK0IvCmRd2QOy6_afsZq7ZtAGrSnVJy2u7WmY/edit?usp=sharing"",""นราธิวาส!J368"")"),14)</f>
        <v>14</v>
      </c>
      <c r="AI79" s="86">
        <f ca="1">IFERROR(__xludf.DUMMYFUNCTION("IMPORTRANGE(""https://docs.google.com/spreadsheets/d/1BeghqumK0IvCmRd2QOy6_afsZq7ZtAGrSnVJy2u7WmY/edit?usp=sharing"",""นราธิวาส!J369"")"),42.92)</f>
        <v>42.92</v>
      </c>
      <c r="AJ79" s="87">
        <f t="shared" ca="1" si="46"/>
        <v>85.84</v>
      </c>
      <c r="AK79" s="86">
        <f ca="1">IFERROR(__xludf.DUMMYFUNCTION("IMPORTRANGE(""https://docs.google.com/spreadsheets/d/1BeghqumK0IvCmRd2QOy6_afsZq7ZtAGrSnVJy2u7WmY/edit?usp=sharing"",""นราธิวาส!I370"")"),17)</f>
        <v>17</v>
      </c>
      <c r="AL79" s="86">
        <f ca="1">IFERROR(__xludf.DUMMYFUNCTION("IMPORTRANGE(""https://docs.google.com/spreadsheets/d/1BeghqumK0IvCmRd2QOy6_afsZq7ZtAGrSnVJy2u7WmY/edit?usp=sharing"",""นราธิวาส!J370"")"),14)</f>
        <v>14</v>
      </c>
      <c r="AM79" s="86">
        <f ca="1">IFERROR(__xludf.DUMMYFUNCTION("IMPORTRANGE(""https://docs.google.com/spreadsheets/d/1BeghqumK0IvCmRd2QOy6_afsZq7ZtAGrSnVJy2u7WmY/edit?usp=sharing"",""นราธิวาส!J371"")"),29.59)</f>
        <v>29.59</v>
      </c>
      <c r="AN79" s="87">
        <f t="shared" ca="1" si="47"/>
        <v>82.352941176470594</v>
      </c>
      <c r="AO79" s="86">
        <f ca="1">IFERROR(__xludf.DUMMYFUNCTION("IMPORTRANGE(""https://docs.google.com/spreadsheets/d/1BeghqumK0IvCmRd2QOy6_afsZq7ZtAGrSnVJy2u7WmY/edit?usp=sharing"",""นราธิวาส!I372"")"),17)</f>
        <v>17</v>
      </c>
      <c r="AP79" s="86">
        <f ca="1">IFERROR(__xludf.DUMMYFUNCTION("IMPORTRANGE(""https://docs.google.com/spreadsheets/d/1BeghqumK0IvCmRd2QOy6_afsZq7ZtAGrSnVJy2u7WmY/edit?usp=sharing"",""นราธิวาส!J372"")"),0)</f>
        <v>0</v>
      </c>
      <c r="AQ79" s="86">
        <f ca="1">IFERROR(__xludf.DUMMYFUNCTION("IMPORTRANGE(""https://docs.google.com/spreadsheets/d/1BeghqumK0IvCmRd2QOy6_afsZq7ZtAGrSnVJy2u7WmY/edit?usp=sharing"",""นราธิวาส!J373"")"),0)</f>
        <v>0</v>
      </c>
      <c r="AR79" s="87">
        <f t="shared" ca="1" si="48"/>
        <v>0</v>
      </c>
      <c r="AS79" s="86">
        <f ca="1">IFERROR(__xludf.DUMMYFUNCTION("IMPORTRANGE(""https://docs.google.com/spreadsheets/d/1BeghqumK0IvCmRd2QOy6_afsZq7ZtAGrSnVJy2u7WmY/edit?usp=sharing"",""นราธิวาส!I378"")"),40)</f>
        <v>40</v>
      </c>
      <c r="AT79" s="86">
        <f ca="1">IFERROR(__xludf.DUMMYFUNCTION("IMPORTRANGE(""https://docs.google.com/spreadsheets/d/1BeghqumK0IvCmRd2QOy6_afsZq7ZtAGrSnVJy2u7WmY/edit?usp=sharing"",""นราธิวาส!J377"")"),4)</f>
        <v>4</v>
      </c>
      <c r="AU79" s="86">
        <f ca="1">IFERROR(__xludf.DUMMYFUNCTION("IMPORTRANGE(""https://docs.google.com/spreadsheets/d/1BeghqumK0IvCmRd2QOy6_afsZq7ZtAGrSnVJy2u7WmY/edit?usp=sharing"",""นราธิวาส!J378"")"),3.99)</f>
        <v>3.99</v>
      </c>
      <c r="AV79" s="87">
        <f t="shared" ca="1" si="49"/>
        <v>9.9749999999999996</v>
      </c>
      <c r="AW79" s="86">
        <f ca="1">IFERROR(__xludf.DUMMYFUNCTION("IMPORTRANGE(""https://docs.google.com/spreadsheets/d/1BeghqumK0IvCmRd2QOy6_afsZq7ZtAGrSnVJy2u7WmY/edit?usp=sharing"",""นราธิวาส!I379"")"),25)</f>
        <v>25</v>
      </c>
      <c r="AX79" s="86">
        <f ca="1">IFERROR(__xludf.DUMMYFUNCTION("IMPORTRANGE(""https://docs.google.com/spreadsheets/d/1BeghqumK0IvCmRd2QOy6_afsZq7ZtAGrSnVJy2u7WmY/edit?usp=sharing"",""นราธิวาส!J379"")"),27)</f>
        <v>27</v>
      </c>
      <c r="AY79" s="86">
        <f ca="1">IFERROR(__xludf.DUMMYFUNCTION("IMPORTRANGE(""https://docs.google.com/spreadsheets/d/1BeghqumK0IvCmRd2QOy6_afsZq7ZtAGrSnVJy2u7WmY/edit?usp=sharing"",""นราธิวาส!J380"")"),72.09)</f>
        <v>72.09</v>
      </c>
      <c r="AZ79" s="87">
        <f t="shared" ca="1" si="50"/>
        <v>108</v>
      </c>
      <c r="BA79" s="86">
        <f ca="1">IFERROR(__xludf.DUMMYFUNCTION("IMPORTRANGE(""https://docs.google.com/spreadsheets/d/1BeghqumK0IvCmRd2QOy6_afsZq7ZtAGrSnVJy2u7WmY/edit?usp=sharing"",""นราธิวาส!I381"")"),25)</f>
        <v>25</v>
      </c>
      <c r="BB79" s="86">
        <f ca="1">IFERROR(__xludf.DUMMYFUNCTION("IMPORTRANGE(""https://docs.google.com/spreadsheets/d/1BeghqumK0IvCmRd2QOy6_afsZq7ZtAGrSnVJy2u7WmY/edit?usp=sharing"",""นราธิวาส!J381"")"),0)</f>
        <v>0</v>
      </c>
      <c r="BC79" s="86">
        <f ca="1">IFERROR(__xludf.DUMMYFUNCTION("IMPORTRANGE(""https://docs.google.com/spreadsheets/d/1BeghqumK0IvCmRd2QOy6_afsZq7ZtAGrSnVJy2u7WmY/edit?usp=sharing"",""นราธิวาส!J382"")"),0)</f>
        <v>0</v>
      </c>
      <c r="BD79" s="87">
        <f t="shared" ca="1" si="51"/>
        <v>0</v>
      </c>
    </row>
    <row r="80" spans="1:56" ht="21" customHeight="1" x14ac:dyDescent="0.2">
      <c r="A80" s="78">
        <v>6</v>
      </c>
      <c r="B80" s="79" t="s">
        <v>102</v>
      </c>
      <c r="C80" s="80">
        <f t="shared" ca="1" si="0"/>
        <v>836060</v>
      </c>
      <c r="D80" s="81">
        <f t="shared" ca="1" si="100"/>
        <v>760060</v>
      </c>
      <c r="E80" s="82">
        <f ca="1">IFERROR(__xludf.DUMMYFUNCTION("IMPORTRANGE(""https://docs.google.com/spreadsheets/d/1MeEWN-I1oV_STSDYn1IFDPWt_1FKiwhDph83XaGc0o0/edit?usp=sharing"",""งบพรบ!EX80"")"),517200)</f>
        <v>517200</v>
      </c>
      <c r="F80" s="82">
        <f ca="1">IFERROR(__xludf.DUMMYFUNCTION("IMPORTRANGE(""https://docs.google.com/spreadsheets/d/1MeEWN-I1oV_STSDYn1IFDPWt_1FKiwhDph83XaGc0o0/edit?usp=sharing"",""งบพรบ!EY80"")"),242860)</f>
        <v>242860</v>
      </c>
      <c r="G80" s="82">
        <f ca="1">IFERROR(__xludf.DUMMYFUNCTION("IMPORTRANGE(""https://docs.google.com/spreadsheets/d/1MeEWN-I1oV_STSDYn1IFDPWt_1FKiwhDph83XaGc0o0/edit?usp=sharing"",""งบพรบ!EZ80"")"),76000)</f>
        <v>76000</v>
      </c>
      <c r="H80" s="82">
        <f ca="1">IFERROR(__xludf.DUMMYFUNCTION("IMPORTRANGE(""https://docs.google.com/spreadsheets/d/1MeEWN-I1oV_STSDYn1IFDPWt_1FKiwhDph83XaGc0o0/edit?usp=sharing"",""งบพรบ!FB80"")"),559700)</f>
        <v>559700</v>
      </c>
      <c r="I80" s="82">
        <f ca="1">IFERROR(__xludf.DUMMYFUNCTION("IMPORTRANGE(""https://docs.google.com/spreadsheets/d/1MeEWN-I1oV_STSDYn1IFDPWt_1FKiwhDph83XaGc0o0/edit?usp=sharing"",""งบพรบ!FC80"")"),76000)</f>
        <v>76000</v>
      </c>
      <c r="J80" s="82">
        <f t="shared" ca="1" si="3"/>
        <v>385456.5</v>
      </c>
      <c r="K80" s="83">
        <f t="shared" ca="1" si="4"/>
        <v>46.103927947754947</v>
      </c>
      <c r="L80" s="82">
        <f ca="1">IFERROR(__xludf.DUMMYFUNCTION("IMPORTRANGE(""https://docs.google.com/spreadsheets/d/1MeEWN-I1oV_STSDYn1IFDPWt_1FKiwhDph83XaGc0o0/edit?usp=sharing"",""งบพรบ!FD80"")"),309456.5)</f>
        <v>309456.5</v>
      </c>
      <c r="M80" s="84">
        <f t="shared" ca="1" si="5"/>
        <v>40.714746204247035</v>
      </c>
      <c r="N80" s="84">
        <f t="shared" ca="1" si="6"/>
        <v>55.289708772556729</v>
      </c>
      <c r="O80" s="85">
        <f ca="1">IFERROR(__xludf.DUMMYFUNCTION("IMPORTRANGE(""https://docs.google.com/spreadsheets/d/1MeEWN-I1oV_STSDYn1IFDPWt_1FKiwhDph83XaGc0o0/edit?usp=sharing"",""งบพรบ!FE80"")"),76000)</f>
        <v>76000</v>
      </c>
      <c r="P80" s="84">
        <f t="shared" ca="1" si="53"/>
        <v>100</v>
      </c>
      <c r="Q80" s="84">
        <f t="shared" ca="1" si="8"/>
        <v>100</v>
      </c>
      <c r="R80" s="86">
        <f ca="1">IFERROR(__xludf.DUMMYFUNCTION("IMPORTRANGE(""https://docs.google.com/spreadsheets/d/1IwnW3-jjRf74MCLW-6PiFwMUffRQXZwZA7YM609NmRc/edit?usp=sharing"",""ปัตตานี!I359"")"),400)</f>
        <v>400</v>
      </c>
      <c r="S80" s="86">
        <f ca="1">IFERROR(__xludf.DUMMYFUNCTION("IMPORTRANGE(""https://docs.google.com/spreadsheets/d/1IwnW3-jjRf74MCLW-6PiFwMUffRQXZwZA7YM609NmRc/edit?usp=sharing"",""ปัตตานี!J358"")"),39)</f>
        <v>39</v>
      </c>
      <c r="T80" s="86">
        <f ca="1">IFERROR(__xludf.DUMMYFUNCTION("IMPORTRANGE(""https://docs.google.com/spreadsheets/d/1IwnW3-jjRf74MCLW-6PiFwMUffRQXZwZA7YM609NmRc/edit?usp=sharing"",""ปัตตานี!J359"")"),193.29)</f>
        <v>193.29</v>
      </c>
      <c r="U80" s="87">
        <f t="shared" ca="1" si="43"/>
        <v>48.322499999999998</v>
      </c>
      <c r="V80" s="86">
        <f ca="1">IFERROR(__xludf.DUMMYFUNCTION("IMPORTRANGE(""https://docs.google.com/spreadsheets/d/1IwnW3-jjRf74MCLW-6PiFwMUffRQXZwZA7YM609NmRc/edit?usp=sharing"",""ปัตตานี!I360"")"),84)</f>
        <v>84</v>
      </c>
      <c r="W80" s="86">
        <f ca="1">IFERROR(__xludf.DUMMYFUNCTION("IMPORTRANGE(""https://docs.google.com/spreadsheets/d/1IwnW3-jjRf74MCLW-6PiFwMUffRQXZwZA7YM609NmRc/edit?usp=sharing"",""ปัตตานี!J360"")"),29)</f>
        <v>29</v>
      </c>
      <c r="X80" s="86">
        <f ca="1">IFERROR(__xludf.DUMMYFUNCTION("IMPORTRANGE(""https://docs.google.com/spreadsheets/d/1IwnW3-jjRf74MCLW-6PiFwMUffRQXZwZA7YM609NmRc/edit?usp=sharing"",""ปัตตานี!J361"")"),142.76)</f>
        <v>142.76</v>
      </c>
      <c r="Y80" s="87">
        <f t="shared" ca="1" si="44"/>
        <v>34.523809523809526</v>
      </c>
      <c r="Z80" s="86">
        <f ca="1">IFERROR(__xludf.DUMMYFUNCTION("IMPORTRANGE(""https://docs.google.com/spreadsheets/d/1IwnW3-jjRf74MCLW-6PiFwMUffRQXZwZA7YM609NmRc/edit?usp=sharing"",""ปัตตานี!I362"")"),84)</f>
        <v>84</v>
      </c>
      <c r="AA80" s="86">
        <f ca="1">IFERROR(__xludf.DUMMYFUNCTION("IMPORTRANGE(""https://docs.google.com/spreadsheets/d/1IwnW3-jjRf74MCLW-6PiFwMUffRQXZwZA7YM609NmRc/edit?usp=sharing"",""ปัตตานี!J362"")"),29)</f>
        <v>29</v>
      </c>
      <c r="AB80" s="86">
        <f ca="1">IFERROR(__xludf.DUMMYFUNCTION("IMPORTRANGE(""https://docs.google.com/spreadsheets/d/1IwnW3-jjRf74MCLW-6PiFwMUffRQXZwZA7YM609NmRc/edit?usp=sharing"",""ปัตตานี!J363"")"),142.76)</f>
        <v>142.76</v>
      </c>
      <c r="AC80" s="87">
        <f t="shared" ca="1" si="45"/>
        <v>34.523809523809526</v>
      </c>
      <c r="AD80" s="86">
        <f ca="1">IFERROR(__xludf.DUMMYFUNCTION("IMPORTRANGE(""https://docs.google.com/spreadsheets/d/1IwnW3-jjRf74MCLW-6PiFwMUffRQXZwZA7YM609NmRc/edit?usp=sharing"",""ปัตตานี!I364"")"),134)</f>
        <v>134</v>
      </c>
      <c r="AE80" s="86">
        <f ca="1">IFERROR(__xludf.DUMMYFUNCTION("IMPORTRANGE(""https://docs.google.com/spreadsheets/d/1IwnW3-jjRf74MCLW-6PiFwMUffRQXZwZA7YM609NmRc/edit?usp=sharing"",""ปัตตานี!J364"")"),37)</f>
        <v>37</v>
      </c>
      <c r="AF80" s="87">
        <f t="shared" ca="1" si="16"/>
        <v>27.611940298507463</v>
      </c>
      <c r="AG80" s="86">
        <f ca="1">IFERROR(__xludf.DUMMYFUNCTION("IMPORTRANGE(""https://docs.google.com/spreadsheets/d/1IwnW3-jjRf74MCLW-6PiFwMUffRQXZwZA7YM609NmRc/edit?usp=sharing"",""ปัตตานี!I369"")"),200)</f>
        <v>200</v>
      </c>
      <c r="AH80" s="86">
        <f ca="1">IFERROR(__xludf.DUMMYFUNCTION("IMPORTRANGE(""https://docs.google.com/spreadsheets/d/1IwnW3-jjRf74MCLW-6PiFwMUffRQXZwZA7YM609NmRc/edit?usp=sharing"",""ปัตตานี!J368"")"),39)</f>
        <v>39</v>
      </c>
      <c r="AI80" s="86">
        <f ca="1">IFERROR(__xludf.DUMMYFUNCTION("IMPORTRANGE(""https://docs.google.com/spreadsheets/d/1IwnW3-jjRf74MCLW-6PiFwMUffRQXZwZA7YM609NmRc/edit?usp=sharing"",""ปัตตานี!J369"")"),193.29)</f>
        <v>193.29</v>
      </c>
      <c r="AJ80" s="87">
        <f t="shared" ca="1" si="46"/>
        <v>96.644999999999996</v>
      </c>
      <c r="AK80" s="86">
        <f ca="1">IFERROR(__xludf.DUMMYFUNCTION("IMPORTRANGE(""https://docs.google.com/spreadsheets/d/1IwnW3-jjRf74MCLW-6PiFwMUffRQXZwZA7YM609NmRc/edit?usp=sharing"",""ปัตตานี!I370"")"),30)</f>
        <v>30</v>
      </c>
      <c r="AL80" s="86">
        <f ca="1">IFERROR(__xludf.DUMMYFUNCTION("IMPORTRANGE(""https://docs.google.com/spreadsheets/d/1IwnW3-jjRf74MCLW-6PiFwMUffRQXZwZA7YM609NmRc/edit?usp=sharing"",""ปัตตานี!J370"")"),29)</f>
        <v>29</v>
      </c>
      <c r="AM80" s="86">
        <f ca="1">IFERROR(__xludf.DUMMYFUNCTION("IMPORTRANGE(""https://docs.google.com/spreadsheets/d/1IwnW3-jjRf74MCLW-6PiFwMUffRQXZwZA7YM609NmRc/edit?usp=sharing"",""ปัตตานี!J371"")"),142.76)</f>
        <v>142.76</v>
      </c>
      <c r="AN80" s="87">
        <f t="shared" ca="1" si="47"/>
        <v>96.666666666666671</v>
      </c>
      <c r="AO80" s="86">
        <f ca="1">IFERROR(__xludf.DUMMYFUNCTION("IMPORTRANGE(""https://docs.google.com/spreadsheets/d/1IwnW3-jjRf74MCLW-6PiFwMUffRQXZwZA7YM609NmRc/edit?usp=sharing"",""ปัตตานี!I372"")"),30)</f>
        <v>30</v>
      </c>
      <c r="AP80" s="86">
        <f ca="1">IFERROR(__xludf.DUMMYFUNCTION("IMPORTRANGE(""https://docs.google.com/spreadsheets/d/1IwnW3-jjRf74MCLW-6PiFwMUffRQXZwZA7YM609NmRc/edit?usp=sharing"",""ปัตตานี!J372"")"),29)</f>
        <v>29</v>
      </c>
      <c r="AQ80" s="86">
        <f ca="1">IFERROR(__xludf.DUMMYFUNCTION("IMPORTRANGE(""https://docs.google.com/spreadsheets/d/1IwnW3-jjRf74MCLW-6PiFwMUffRQXZwZA7YM609NmRc/edit?usp=sharing"",""ปัตตานี!J373"")"),142.76)</f>
        <v>142.76</v>
      </c>
      <c r="AR80" s="87">
        <f t="shared" ca="1" si="48"/>
        <v>96.666666666666671</v>
      </c>
      <c r="AS80" s="86">
        <f ca="1">IFERROR(__xludf.DUMMYFUNCTION("IMPORTRANGE(""https://docs.google.com/spreadsheets/d/1IwnW3-jjRf74MCLW-6PiFwMUffRQXZwZA7YM609NmRc/edit?usp=sharing"",""ปัตตานี!I378"")"),200)</f>
        <v>200</v>
      </c>
      <c r="AT80" s="86">
        <f ca="1">IFERROR(__xludf.DUMMYFUNCTION("IMPORTRANGE(""https://docs.google.com/spreadsheets/d/1IwnW3-jjRf74MCLW-6PiFwMUffRQXZwZA7YM609NmRc/edit?usp=sharing"",""ปัตตานี!J377"")"),0)</f>
        <v>0</v>
      </c>
      <c r="AU80" s="86">
        <f ca="1">IFERROR(__xludf.DUMMYFUNCTION("IMPORTRANGE(""https://docs.google.com/spreadsheets/d/1IwnW3-jjRf74MCLW-6PiFwMUffRQXZwZA7YM609NmRc/edit?usp=sharing"",""ปัตตานี!J378"")"),0)</f>
        <v>0</v>
      </c>
      <c r="AV80" s="87">
        <f t="shared" ca="1" si="49"/>
        <v>0</v>
      </c>
      <c r="AW80" s="86">
        <f ca="1">IFERROR(__xludf.DUMMYFUNCTION("IMPORTRANGE(""https://docs.google.com/spreadsheets/d/1IwnW3-jjRf74MCLW-6PiFwMUffRQXZwZA7YM609NmRc/edit?usp=sharing"",""ปัตตานี!I379"")"),104)</f>
        <v>104</v>
      </c>
      <c r="AX80" s="86">
        <f ca="1">IFERROR(__xludf.DUMMYFUNCTION("IMPORTRANGE(""https://docs.google.com/spreadsheets/d/1IwnW3-jjRf74MCLW-6PiFwMUffRQXZwZA7YM609NmRc/edit?usp=sharing"",""ปัตตานี!J379"")"),8)</f>
        <v>8</v>
      </c>
      <c r="AY80" s="86">
        <f ca="1">IFERROR(__xludf.DUMMYFUNCTION("IMPORTRANGE(""https://docs.google.com/spreadsheets/d/1IwnW3-jjRf74MCLW-6PiFwMUffRQXZwZA7YM609NmRc/edit?usp=sharing"",""ปัตตานี!J380"")"),27.79)</f>
        <v>27.79</v>
      </c>
      <c r="AZ80" s="87">
        <f t="shared" ca="1" si="50"/>
        <v>7.6923076923076925</v>
      </c>
      <c r="BA80" s="86">
        <f ca="1">IFERROR(__xludf.DUMMYFUNCTION("IMPORTRANGE(""https://docs.google.com/spreadsheets/d/1IwnW3-jjRf74MCLW-6PiFwMUffRQXZwZA7YM609NmRc/edit?usp=sharing"",""ปัตตานี!I381"")"),104)</f>
        <v>104</v>
      </c>
      <c r="BB80" s="86">
        <f ca="1">IFERROR(__xludf.DUMMYFUNCTION("IMPORTRANGE(""https://docs.google.com/spreadsheets/d/1IwnW3-jjRf74MCLW-6PiFwMUffRQXZwZA7YM609NmRc/edit?usp=sharing"",""ปัตตานี!J381"")"),8)</f>
        <v>8</v>
      </c>
      <c r="BC80" s="86">
        <f ca="1">IFERROR(__xludf.DUMMYFUNCTION("IMPORTRANGE(""https://docs.google.com/spreadsheets/d/1IwnW3-jjRf74MCLW-6PiFwMUffRQXZwZA7YM609NmRc/edit?usp=sharing"",""ปัตตานี!J382"")"),27.79)</f>
        <v>27.79</v>
      </c>
      <c r="BD80" s="87">
        <f t="shared" ca="1" si="51"/>
        <v>7.6923076923076925</v>
      </c>
    </row>
    <row r="81" spans="1:56" ht="21" customHeight="1" x14ac:dyDescent="0.2">
      <c r="A81" s="78">
        <v>7</v>
      </c>
      <c r="B81" s="79" t="s">
        <v>103</v>
      </c>
      <c r="C81" s="80">
        <f t="shared" ca="1" si="0"/>
        <v>661560</v>
      </c>
      <c r="D81" s="81">
        <f t="shared" ca="1" si="100"/>
        <v>585560</v>
      </c>
      <c r="E81" s="82">
        <f ca="1">IFERROR(__xludf.DUMMYFUNCTION("IMPORTRANGE(""https://docs.google.com/spreadsheets/d/1MeEWN-I1oV_STSDYn1IFDPWt_1FKiwhDph83XaGc0o0/edit?usp=sharing"",""งบพรบ!EX81"")"),315600)</f>
        <v>315600</v>
      </c>
      <c r="F81" s="82">
        <f ca="1">IFERROR(__xludf.DUMMYFUNCTION("IMPORTRANGE(""https://docs.google.com/spreadsheets/d/1MeEWN-I1oV_STSDYn1IFDPWt_1FKiwhDph83XaGc0o0/edit?usp=sharing"",""งบพรบ!EY81"")"),269960)</f>
        <v>269960</v>
      </c>
      <c r="G81" s="82">
        <f ca="1">IFERROR(__xludf.DUMMYFUNCTION("IMPORTRANGE(""https://docs.google.com/spreadsheets/d/1MeEWN-I1oV_STSDYn1IFDPWt_1FKiwhDph83XaGc0o0/edit?usp=sharing"",""งบพรบ!EZ81"")"),76000)</f>
        <v>76000</v>
      </c>
      <c r="H81" s="82">
        <f ca="1">IFERROR(__xludf.DUMMYFUNCTION("IMPORTRANGE(""https://docs.google.com/spreadsheets/d/1MeEWN-I1oV_STSDYn1IFDPWt_1FKiwhDph83XaGc0o0/edit?usp=sharing"",""งบพรบ!FB81"")"),422050)</f>
        <v>422050</v>
      </c>
      <c r="I81" s="82">
        <f ca="1">IFERROR(__xludf.DUMMYFUNCTION("IMPORTRANGE(""https://docs.google.com/spreadsheets/d/1MeEWN-I1oV_STSDYn1IFDPWt_1FKiwhDph83XaGc0o0/edit?usp=sharing"",""งบพรบ!FC81"")"),75800)</f>
        <v>75800</v>
      </c>
      <c r="J81" s="82">
        <f t="shared" ca="1" si="3"/>
        <v>237802.2</v>
      </c>
      <c r="K81" s="83">
        <f t="shared" ca="1" si="4"/>
        <v>35.945673861781245</v>
      </c>
      <c r="L81" s="82">
        <f ca="1">IFERROR(__xludf.DUMMYFUNCTION("IMPORTRANGE(""https://docs.google.com/spreadsheets/d/1MeEWN-I1oV_STSDYn1IFDPWt_1FKiwhDph83XaGc0o0/edit?usp=sharing"",""งบพรบ!FD81"")"),162002.2)</f>
        <v>162002.20000000001</v>
      </c>
      <c r="M81" s="84">
        <f t="shared" ca="1" si="5"/>
        <v>27.666199877040786</v>
      </c>
      <c r="N81" s="84">
        <f t="shared" ca="1" si="6"/>
        <v>38.384598981163371</v>
      </c>
      <c r="O81" s="85">
        <f ca="1">IFERROR(__xludf.DUMMYFUNCTION("IMPORTRANGE(""https://docs.google.com/spreadsheets/d/1MeEWN-I1oV_STSDYn1IFDPWt_1FKiwhDph83XaGc0o0/edit?usp=sharing"",""งบพรบ!FE81"")"),75800)</f>
        <v>75800</v>
      </c>
      <c r="P81" s="84">
        <f t="shared" ca="1" si="53"/>
        <v>99.736842105263165</v>
      </c>
      <c r="Q81" s="84">
        <f t="shared" ca="1" si="8"/>
        <v>100</v>
      </c>
      <c r="R81" s="86">
        <f ca="1">IFERROR(__xludf.DUMMYFUNCTION("IMPORTRANGE(""https://docs.google.com/spreadsheets/d/1vl4QWbWdFruual5o_wdo6ZSqXZ_it806oja4CctTLKs/edit?usp=sharing"",""พังงา!I359"")"),650)</f>
        <v>650</v>
      </c>
      <c r="S81" s="86">
        <f ca="1">IFERROR(__xludf.DUMMYFUNCTION("IMPORTRANGE(""https://docs.google.com/spreadsheets/d/1vl4QWbWdFruual5o_wdo6ZSqXZ_it806oja4CctTLKs/edit?usp=sharing"",""พังงา!J358"")"),0)</f>
        <v>0</v>
      </c>
      <c r="T81" s="86">
        <f ca="1">IFERROR(__xludf.DUMMYFUNCTION("IMPORTRANGE(""https://docs.google.com/spreadsheets/d/1vl4QWbWdFruual5o_wdo6ZSqXZ_it806oja4CctTLKs/edit?usp=sharing"",""พังงา!J359"")"),0)</f>
        <v>0</v>
      </c>
      <c r="U81" s="87">
        <f t="shared" ca="1" si="43"/>
        <v>0</v>
      </c>
      <c r="V81" s="86">
        <f ca="1">IFERROR(__xludf.DUMMYFUNCTION("IMPORTRANGE(""https://docs.google.com/spreadsheets/d/1vl4QWbWdFruual5o_wdo6ZSqXZ_it806oja4CctTLKs/edit?usp=sharing"",""พังงา!I360"")"),80)</f>
        <v>80</v>
      </c>
      <c r="W81" s="86">
        <f ca="1">IFERROR(__xludf.DUMMYFUNCTION("IMPORTRANGE(""https://docs.google.com/spreadsheets/d/1vl4QWbWdFruual5o_wdo6ZSqXZ_it806oja4CctTLKs/edit?usp=sharing"",""พังงา!J360"")"),0)</f>
        <v>0</v>
      </c>
      <c r="X81" s="86">
        <f ca="1">IFERROR(__xludf.DUMMYFUNCTION("IMPORTRANGE(""https://docs.google.com/spreadsheets/d/1vl4QWbWdFruual5o_wdo6ZSqXZ_it806oja4CctTLKs/edit?usp=sharing"",""พังงา!J361"")"),0)</f>
        <v>0</v>
      </c>
      <c r="Y81" s="87">
        <f t="shared" ca="1" si="44"/>
        <v>0</v>
      </c>
      <c r="Z81" s="86">
        <f ca="1">IFERROR(__xludf.DUMMYFUNCTION("IMPORTRANGE(""https://docs.google.com/spreadsheets/d/1vl4QWbWdFruual5o_wdo6ZSqXZ_it806oja4CctTLKs/edit?usp=sharing"",""พังงา!I362"")"),80)</f>
        <v>80</v>
      </c>
      <c r="AA81" s="86">
        <f ca="1">IFERROR(__xludf.DUMMYFUNCTION("IMPORTRANGE(""https://docs.google.com/spreadsheets/d/1vl4QWbWdFruual5o_wdo6ZSqXZ_it806oja4CctTLKs/edit?usp=sharing"",""พังงา!J362"")"),0)</f>
        <v>0</v>
      </c>
      <c r="AB81" s="86">
        <f ca="1">IFERROR(__xludf.DUMMYFUNCTION("IMPORTRANGE(""https://docs.google.com/spreadsheets/d/1vl4QWbWdFruual5o_wdo6ZSqXZ_it806oja4CctTLKs/edit?usp=sharing"",""พังงา!J363"")"),0)</f>
        <v>0</v>
      </c>
      <c r="AC81" s="87">
        <f t="shared" ca="1" si="45"/>
        <v>0</v>
      </c>
      <c r="AD81" s="86">
        <f ca="1">IFERROR(__xludf.DUMMYFUNCTION("IMPORTRANGE(""https://docs.google.com/spreadsheets/d/1vl4QWbWdFruual5o_wdo6ZSqXZ_it806oja4CctTLKs/edit?usp=sharing"",""พังงา!I364"")"),130)</f>
        <v>130</v>
      </c>
      <c r="AE81" s="86">
        <f ca="1">IFERROR(__xludf.DUMMYFUNCTION("IMPORTRANGE(""https://docs.google.com/spreadsheets/d/1vl4QWbWdFruual5o_wdo6ZSqXZ_it806oja4CctTLKs/edit?usp=sharing"",""พังงา!J364"")"),4)</f>
        <v>4</v>
      </c>
      <c r="AF81" s="87">
        <f t="shared" ca="1" si="16"/>
        <v>3.0769230769230771</v>
      </c>
      <c r="AG81" s="86">
        <f ca="1">IFERROR(__xludf.DUMMYFUNCTION("IMPORTRANGE(""https://docs.google.com/spreadsheets/d/1vl4QWbWdFruual5o_wdo6ZSqXZ_it806oja4CctTLKs/edit?usp=sharing"",""พังงา!I369"")"),200)</f>
        <v>200</v>
      </c>
      <c r="AH81" s="86">
        <f ca="1">IFERROR(__xludf.DUMMYFUNCTION("IMPORTRANGE(""https://docs.google.com/spreadsheets/d/1vl4QWbWdFruual5o_wdo6ZSqXZ_it806oja4CctTLKs/edit?usp=sharing"",""พังงา!J368"")"),0)</f>
        <v>0</v>
      </c>
      <c r="AI81" s="86">
        <f ca="1">IFERROR(__xludf.DUMMYFUNCTION("IMPORTRANGE(""https://docs.google.com/spreadsheets/d/1vl4QWbWdFruual5o_wdo6ZSqXZ_it806oja4CctTLKs/edit?usp=sharing"",""พังงา!J369"")"),0)</f>
        <v>0</v>
      </c>
      <c r="AJ81" s="87">
        <f t="shared" ca="1" si="46"/>
        <v>0</v>
      </c>
      <c r="AK81" s="86">
        <f ca="1">IFERROR(__xludf.DUMMYFUNCTION("IMPORTRANGE(""https://docs.google.com/spreadsheets/d/1vl4QWbWdFruual5o_wdo6ZSqXZ_it806oja4CctTLKs/edit?usp=sharing"",""พังงา!I370"")"),30)</f>
        <v>30</v>
      </c>
      <c r="AL81" s="86">
        <f ca="1">IFERROR(__xludf.DUMMYFUNCTION("IMPORTRANGE(""https://docs.google.com/spreadsheets/d/1vl4QWbWdFruual5o_wdo6ZSqXZ_it806oja4CctTLKs/edit?usp=sharing"",""พังงา!J370"")"),0)</f>
        <v>0</v>
      </c>
      <c r="AM81" s="86">
        <f ca="1">IFERROR(__xludf.DUMMYFUNCTION("IMPORTRANGE(""https://docs.google.com/spreadsheets/d/1vl4QWbWdFruual5o_wdo6ZSqXZ_it806oja4CctTLKs/edit?usp=sharing"",""พังงา!J371"")"),0)</f>
        <v>0</v>
      </c>
      <c r="AN81" s="87">
        <f t="shared" ca="1" si="47"/>
        <v>0</v>
      </c>
      <c r="AO81" s="86">
        <f ca="1">IFERROR(__xludf.DUMMYFUNCTION("IMPORTRANGE(""https://docs.google.com/spreadsheets/d/1vl4QWbWdFruual5o_wdo6ZSqXZ_it806oja4CctTLKs/edit?usp=sharing"",""พังงา!I372"")"),30)</f>
        <v>30</v>
      </c>
      <c r="AP81" s="86">
        <f ca="1">IFERROR(__xludf.DUMMYFUNCTION("IMPORTRANGE(""https://docs.google.com/spreadsheets/d/1vl4QWbWdFruual5o_wdo6ZSqXZ_it806oja4CctTLKs/edit?usp=sharing"",""พังงา!J372"")"),0)</f>
        <v>0</v>
      </c>
      <c r="AQ81" s="86">
        <f ca="1">IFERROR(__xludf.DUMMYFUNCTION("IMPORTRANGE(""https://docs.google.com/spreadsheets/d/1vl4QWbWdFruual5o_wdo6ZSqXZ_it806oja4CctTLKs/edit?usp=sharing"",""พังงา!J373"")"),0)</f>
        <v>0</v>
      </c>
      <c r="AR81" s="87">
        <f t="shared" ca="1" si="48"/>
        <v>0</v>
      </c>
      <c r="AS81" s="86">
        <f ca="1">IFERROR(__xludf.DUMMYFUNCTION("IMPORTRANGE(""https://docs.google.com/spreadsheets/d/1vl4QWbWdFruual5o_wdo6ZSqXZ_it806oja4CctTLKs/edit?usp=sharing"",""พังงา!I378"")"),450)</f>
        <v>450</v>
      </c>
      <c r="AT81" s="86">
        <f ca="1">IFERROR(__xludf.DUMMYFUNCTION("IMPORTRANGE(""https://docs.google.com/spreadsheets/d/1vl4QWbWdFruual5o_wdo6ZSqXZ_it806oja4CctTLKs/edit?usp=sharing"",""พังงา!J377"")"),0)</f>
        <v>0</v>
      </c>
      <c r="AU81" s="86">
        <f ca="1">IFERROR(__xludf.DUMMYFUNCTION("IMPORTRANGE(""https://docs.google.com/spreadsheets/d/1vl4QWbWdFruual5o_wdo6ZSqXZ_it806oja4CctTLKs/edit?usp=sharing"",""พังงา!J378"")"),0)</f>
        <v>0</v>
      </c>
      <c r="AV81" s="87">
        <f t="shared" ca="1" si="49"/>
        <v>0</v>
      </c>
      <c r="AW81" s="86">
        <f ca="1">IFERROR(__xludf.DUMMYFUNCTION("IMPORTRANGE(""https://docs.google.com/spreadsheets/d/1vl4QWbWdFruual5o_wdo6ZSqXZ_it806oja4CctTLKs/edit?usp=sharing"",""พังงา!I379"")"),100)</f>
        <v>100</v>
      </c>
      <c r="AX81" s="86">
        <f ca="1">IFERROR(__xludf.DUMMYFUNCTION("IMPORTRANGE(""https://docs.google.com/spreadsheets/d/1vl4QWbWdFruual5o_wdo6ZSqXZ_it806oja4CctTLKs/edit?usp=sharing"",""พังงา!J379"")"),4)</f>
        <v>4</v>
      </c>
      <c r="AY81" s="86">
        <f ca="1">IFERROR(__xludf.DUMMYFUNCTION("IMPORTRANGE(""https://docs.google.com/spreadsheets/d/1vl4QWbWdFruual5o_wdo6ZSqXZ_it806oja4CctTLKs/edit?usp=sharing"",""พังงา!J380"")"),50.99)</f>
        <v>50.99</v>
      </c>
      <c r="AZ81" s="87">
        <f t="shared" ca="1" si="50"/>
        <v>4</v>
      </c>
      <c r="BA81" s="86">
        <f ca="1">IFERROR(__xludf.DUMMYFUNCTION("IMPORTRANGE(""https://docs.google.com/spreadsheets/d/1vl4QWbWdFruual5o_wdo6ZSqXZ_it806oja4CctTLKs/edit?usp=sharing"",""พังงา!I381"")"),100)</f>
        <v>100</v>
      </c>
      <c r="BB81" s="86">
        <f ca="1">IFERROR(__xludf.DUMMYFUNCTION("IMPORTRANGE(""https://docs.google.com/spreadsheets/d/1vl4QWbWdFruual5o_wdo6ZSqXZ_it806oja4CctTLKs/edit?usp=sharing"",""พังงา!J381"")"),4)</f>
        <v>4</v>
      </c>
      <c r="BC81" s="86">
        <f ca="1">IFERROR(__xludf.DUMMYFUNCTION("IMPORTRANGE(""https://docs.google.com/spreadsheets/d/1vl4QWbWdFruual5o_wdo6ZSqXZ_it806oja4CctTLKs/edit?usp=sharing"",""พังงา!J382"")"),50.99)</f>
        <v>50.99</v>
      </c>
      <c r="BD81" s="87">
        <f t="shared" ca="1" si="51"/>
        <v>4</v>
      </c>
    </row>
    <row r="82" spans="1:56" ht="21" customHeight="1" x14ac:dyDescent="0.2">
      <c r="A82" s="78">
        <v>8</v>
      </c>
      <c r="B82" s="79" t="s">
        <v>104</v>
      </c>
      <c r="C82" s="80">
        <f t="shared" ca="1" si="0"/>
        <v>444870</v>
      </c>
      <c r="D82" s="81">
        <f t="shared" ca="1" si="100"/>
        <v>399870</v>
      </c>
      <c r="E82" s="82">
        <f ca="1">IFERROR(__xludf.DUMMYFUNCTION("IMPORTRANGE(""https://docs.google.com/spreadsheets/d/1MeEWN-I1oV_STSDYn1IFDPWt_1FKiwhDph83XaGc0o0/edit?usp=sharing"",""งบพรบ!EX82"")"),87600)</f>
        <v>87600</v>
      </c>
      <c r="F82" s="82">
        <f ca="1">IFERROR(__xludf.DUMMYFUNCTION("IMPORTRANGE(""https://docs.google.com/spreadsheets/d/1MeEWN-I1oV_STSDYn1IFDPWt_1FKiwhDph83XaGc0o0/edit?usp=sharing"",""งบพรบ!EY82"")"),312270)</f>
        <v>312270</v>
      </c>
      <c r="G82" s="82">
        <f ca="1">IFERROR(__xludf.DUMMYFUNCTION("IMPORTRANGE(""https://docs.google.com/spreadsheets/d/1MeEWN-I1oV_STSDYn1IFDPWt_1FKiwhDph83XaGc0o0/edit?usp=sharing"",""งบพรบ!EZ82"")"),45000)</f>
        <v>45000</v>
      </c>
      <c r="H82" s="82">
        <f ca="1">IFERROR(__xludf.DUMMYFUNCTION("IMPORTRANGE(""https://docs.google.com/spreadsheets/d/1MeEWN-I1oV_STSDYn1IFDPWt_1FKiwhDph83XaGc0o0/edit?usp=sharing"",""งบพรบ!FB82"")"),273760)</f>
        <v>273760</v>
      </c>
      <c r="I82" s="82">
        <f ca="1">IFERROR(__xludf.DUMMYFUNCTION("IMPORTRANGE(""https://docs.google.com/spreadsheets/d/1MeEWN-I1oV_STSDYn1IFDPWt_1FKiwhDph83XaGc0o0/edit?usp=sharing"",""งบพรบ!FC82"")"),45000)</f>
        <v>45000</v>
      </c>
      <c r="J82" s="82">
        <f t="shared" ca="1" si="3"/>
        <v>138522.23999999999</v>
      </c>
      <c r="K82" s="83">
        <f t="shared" ca="1" si="4"/>
        <v>31.137689662148492</v>
      </c>
      <c r="L82" s="82">
        <f ca="1">IFERROR(__xludf.DUMMYFUNCTION("IMPORTRANGE(""https://docs.google.com/spreadsheets/d/1MeEWN-I1oV_STSDYn1IFDPWt_1FKiwhDph83XaGc0o0/edit?usp=sharing"",""งบพรบ!FD82"")"),93522.24)</f>
        <v>93522.240000000005</v>
      </c>
      <c r="M82" s="84">
        <f t="shared" ca="1" si="5"/>
        <v>23.388161152374522</v>
      </c>
      <c r="N82" s="84">
        <f t="shared" ca="1" si="6"/>
        <v>34.162127410870838</v>
      </c>
      <c r="O82" s="85">
        <f ca="1">IFERROR(__xludf.DUMMYFUNCTION("IMPORTRANGE(""https://docs.google.com/spreadsheets/d/1MeEWN-I1oV_STSDYn1IFDPWt_1FKiwhDph83XaGc0o0/edit?usp=sharing"",""งบพรบ!FE82"")"),45000)</f>
        <v>45000</v>
      </c>
      <c r="P82" s="84">
        <f t="shared" ca="1" si="53"/>
        <v>100</v>
      </c>
      <c r="Q82" s="84">
        <f t="shared" ca="1" si="8"/>
        <v>100</v>
      </c>
      <c r="R82" s="86">
        <f ca="1">IFERROR(__xludf.DUMMYFUNCTION("IMPORTRANGE(""https://docs.google.com/spreadsheets/d/1b6QssHQp2FoAPSMKHOy273KNzAomaIKhtdlvuZ_zDNE/edit?usp=sharing"",""พัทลุง!I359"")"),970)</f>
        <v>970</v>
      </c>
      <c r="S82" s="86">
        <f ca="1">IFERROR(__xludf.DUMMYFUNCTION("IMPORTRANGE(""https://docs.google.com/spreadsheets/d/1b6QssHQp2FoAPSMKHOy273KNzAomaIKhtdlvuZ_zDNE/edit?usp=sharing"",""พัทลุง!J358"")"),13)</f>
        <v>13</v>
      </c>
      <c r="T82" s="86">
        <f ca="1">IFERROR(__xludf.DUMMYFUNCTION("IMPORTRANGE(""https://docs.google.com/spreadsheets/d/1b6QssHQp2FoAPSMKHOy273KNzAomaIKhtdlvuZ_zDNE/edit?usp=sharing"",""พัทลุง!J359"")"),46.33)</f>
        <v>46.33</v>
      </c>
      <c r="U82" s="87">
        <f t="shared" ca="1" si="43"/>
        <v>4.7762886597938143</v>
      </c>
      <c r="V82" s="86">
        <f ca="1">IFERROR(__xludf.DUMMYFUNCTION("IMPORTRANGE(""https://docs.google.com/spreadsheets/d/1b6QssHQp2FoAPSMKHOy273KNzAomaIKhtdlvuZ_zDNE/edit?usp=sharing"",""พัทลุง!I360"")"),127)</f>
        <v>127</v>
      </c>
      <c r="W82" s="86">
        <f ca="1">IFERROR(__xludf.DUMMYFUNCTION("IMPORTRANGE(""https://docs.google.com/spreadsheets/d/1b6QssHQp2FoAPSMKHOy273KNzAomaIKhtdlvuZ_zDNE/edit?usp=sharing"",""พัทลุง!J360"")"),20)</f>
        <v>20</v>
      </c>
      <c r="X82" s="86">
        <f ca="1">IFERROR(__xludf.DUMMYFUNCTION("IMPORTRANGE(""https://docs.google.com/spreadsheets/d/1b6QssHQp2FoAPSMKHOy273KNzAomaIKhtdlvuZ_zDNE/edit?usp=sharing"",""พัทลุง!J361"")"),59.2)</f>
        <v>59.2</v>
      </c>
      <c r="Y82" s="87">
        <f t="shared" ca="1" si="44"/>
        <v>15.748031496062993</v>
      </c>
      <c r="Z82" s="86">
        <f ca="1">IFERROR(__xludf.DUMMYFUNCTION("IMPORTRANGE(""https://docs.google.com/spreadsheets/d/1b6QssHQp2FoAPSMKHOy273KNzAomaIKhtdlvuZ_zDNE/edit?usp=sharing"",""พัทลุง!I362"")"),127)</f>
        <v>127</v>
      </c>
      <c r="AA82" s="86">
        <f ca="1">IFERROR(__xludf.DUMMYFUNCTION("IMPORTRANGE(""https://docs.google.com/spreadsheets/d/1b6QssHQp2FoAPSMKHOy273KNzAomaIKhtdlvuZ_zDNE/edit?usp=sharing"",""พัทลุง!J362"")"),20)</f>
        <v>20</v>
      </c>
      <c r="AB82" s="86">
        <f ca="1">IFERROR(__xludf.DUMMYFUNCTION("IMPORTRANGE(""https://docs.google.com/spreadsheets/d/1b6QssHQp2FoAPSMKHOy273KNzAomaIKhtdlvuZ_zDNE/edit?usp=sharing"",""พัทลุง!J363"")"),59.2)</f>
        <v>59.2</v>
      </c>
      <c r="AC82" s="87">
        <f t="shared" ca="1" si="45"/>
        <v>15.748031496062993</v>
      </c>
      <c r="AD82" s="86">
        <f ca="1">IFERROR(__xludf.DUMMYFUNCTION("IMPORTRANGE(""https://docs.google.com/spreadsheets/d/1b6QssHQp2FoAPSMKHOy273KNzAomaIKhtdlvuZ_zDNE/edit?usp=sharing"",""พัทลุง!I364"")"),267)</f>
        <v>267</v>
      </c>
      <c r="AE82" s="86">
        <f ca="1">IFERROR(__xludf.DUMMYFUNCTION("IMPORTRANGE(""https://docs.google.com/spreadsheets/d/1b6QssHQp2FoAPSMKHOy273KNzAomaIKhtdlvuZ_zDNE/edit?usp=sharing"",""พัทลุง!J364"")"),117)</f>
        <v>117</v>
      </c>
      <c r="AF82" s="87">
        <f t="shared" ca="1" si="16"/>
        <v>43.820224719101127</v>
      </c>
      <c r="AG82" s="86">
        <f ca="1">IFERROR(__xludf.DUMMYFUNCTION("IMPORTRANGE(""https://docs.google.com/spreadsheets/d/1b6QssHQp2FoAPSMKHOy273KNzAomaIKhtdlvuZ_zDNE/edit?usp=sharing"",""พัทลุง!I369"")"),670)</f>
        <v>670</v>
      </c>
      <c r="AH82" s="86">
        <f ca="1">IFERROR(__xludf.DUMMYFUNCTION("IMPORTRANGE(""https://docs.google.com/spreadsheets/d/1b6QssHQp2FoAPSMKHOy273KNzAomaIKhtdlvuZ_zDNE/edit?usp=sharing"",""พัทลุง!J368"")"),3)</f>
        <v>3</v>
      </c>
      <c r="AI82" s="86">
        <f ca="1">IFERROR(__xludf.DUMMYFUNCTION("IMPORTRANGE(""https://docs.google.com/spreadsheets/d/1b6QssHQp2FoAPSMKHOy273KNzAomaIKhtdlvuZ_zDNE/edit?usp=sharing"",""พัทลุง!J369"")"),15.79)</f>
        <v>15.79</v>
      </c>
      <c r="AJ82" s="87">
        <f t="shared" ca="1" si="46"/>
        <v>2.3567164179104476</v>
      </c>
      <c r="AK82" s="86">
        <f ca="1">IFERROR(__xludf.DUMMYFUNCTION("IMPORTRANGE(""https://docs.google.com/spreadsheets/d/1b6QssHQp2FoAPSMKHOy273KNzAomaIKhtdlvuZ_zDNE/edit?usp=sharing"",""พัทลุง!I370"")"),67)</f>
        <v>67</v>
      </c>
      <c r="AL82" s="86">
        <f ca="1">IFERROR(__xludf.DUMMYFUNCTION("IMPORTRANGE(""https://docs.google.com/spreadsheets/d/1b6QssHQp2FoAPSMKHOy273KNzAomaIKhtdlvuZ_zDNE/edit?usp=sharing"",""พัทลุง!J370"")"),10)</f>
        <v>10</v>
      </c>
      <c r="AM82" s="86">
        <f ca="1">IFERROR(__xludf.DUMMYFUNCTION("IMPORTRANGE(""https://docs.google.com/spreadsheets/d/1b6QssHQp2FoAPSMKHOy273KNzAomaIKhtdlvuZ_zDNE/edit?usp=sharing"",""พัทลุง!J371"")"),28.66)</f>
        <v>28.66</v>
      </c>
      <c r="AN82" s="87">
        <f t="shared" ca="1" si="47"/>
        <v>14.925373134328359</v>
      </c>
      <c r="AO82" s="86">
        <f ca="1">IFERROR(__xludf.DUMMYFUNCTION("IMPORTRANGE(""https://docs.google.com/spreadsheets/d/1b6QssHQp2FoAPSMKHOy273KNzAomaIKhtdlvuZ_zDNE/edit?usp=sharing"",""พัทลุง!I372"")"),67)</f>
        <v>67</v>
      </c>
      <c r="AP82" s="86">
        <f ca="1">IFERROR(__xludf.DUMMYFUNCTION("IMPORTRANGE(""https://docs.google.com/spreadsheets/d/1b6QssHQp2FoAPSMKHOy273KNzAomaIKhtdlvuZ_zDNE/edit?usp=sharing"",""พัทลุง!J372"")"),10)</f>
        <v>10</v>
      </c>
      <c r="AQ82" s="86">
        <f ca="1">IFERROR(__xludf.DUMMYFUNCTION("IMPORTRANGE(""https://docs.google.com/spreadsheets/d/1b6QssHQp2FoAPSMKHOy273KNzAomaIKhtdlvuZ_zDNE/edit?usp=sharing"",""พัทลุง!J373"")"),28.66)</f>
        <v>28.66</v>
      </c>
      <c r="AR82" s="87">
        <f t="shared" ca="1" si="48"/>
        <v>14.925373134328359</v>
      </c>
      <c r="AS82" s="86">
        <f ca="1">IFERROR(__xludf.DUMMYFUNCTION("IMPORTRANGE(""https://docs.google.com/spreadsheets/d/1b6QssHQp2FoAPSMKHOy273KNzAomaIKhtdlvuZ_zDNE/edit?usp=sharing"",""พัทลุง!I378"")"),300)</f>
        <v>300</v>
      </c>
      <c r="AT82" s="86">
        <f ca="1">IFERROR(__xludf.DUMMYFUNCTION("IMPORTRANGE(""https://docs.google.com/spreadsheets/d/1b6QssHQp2FoAPSMKHOy273KNzAomaIKhtdlvuZ_zDNE/edit?usp=sharing"",""พัทลุง!J377"")"),10)</f>
        <v>10</v>
      </c>
      <c r="AU82" s="86">
        <f ca="1">IFERROR(__xludf.DUMMYFUNCTION("IMPORTRANGE(""https://docs.google.com/spreadsheets/d/1b6QssHQp2FoAPSMKHOy273KNzAomaIKhtdlvuZ_zDNE/edit?usp=sharing"",""พัทลุง!J378"")"),30.54)</f>
        <v>30.54</v>
      </c>
      <c r="AV82" s="87">
        <f t="shared" ca="1" si="49"/>
        <v>10.18</v>
      </c>
      <c r="AW82" s="86">
        <f ca="1">IFERROR(__xludf.DUMMYFUNCTION("IMPORTRANGE(""https://docs.google.com/spreadsheets/d/1b6QssHQp2FoAPSMKHOy273KNzAomaIKhtdlvuZ_zDNE/edit?usp=sharing"",""พัทลุง!I379"")"),200)</f>
        <v>200</v>
      </c>
      <c r="AX82" s="86">
        <f ca="1">IFERROR(__xludf.DUMMYFUNCTION("IMPORTRANGE(""https://docs.google.com/spreadsheets/d/1b6QssHQp2FoAPSMKHOy273KNzAomaIKhtdlvuZ_zDNE/edit?usp=sharing"",""พัทลุง!J379"")"),107)</f>
        <v>107</v>
      </c>
      <c r="AY82" s="86">
        <f ca="1">IFERROR(__xludf.DUMMYFUNCTION("IMPORTRANGE(""https://docs.google.com/spreadsheets/d/1b6QssHQp2FoAPSMKHOy273KNzAomaIKhtdlvuZ_zDNE/edit?usp=sharing"",""พัทลุง!J380"")"),737.05)</f>
        <v>737.05</v>
      </c>
      <c r="AZ82" s="87">
        <f t="shared" ca="1" si="50"/>
        <v>53.5</v>
      </c>
      <c r="BA82" s="86">
        <f ca="1">IFERROR(__xludf.DUMMYFUNCTION("IMPORTRANGE(""https://docs.google.com/spreadsheets/d/1b6QssHQp2FoAPSMKHOy273KNzAomaIKhtdlvuZ_zDNE/edit?usp=sharing"",""พัทลุง!I381"")"),200)</f>
        <v>200</v>
      </c>
      <c r="BB82" s="86">
        <f ca="1">IFERROR(__xludf.DUMMYFUNCTION("IMPORTRANGE(""https://docs.google.com/spreadsheets/d/1b6QssHQp2FoAPSMKHOy273KNzAomaIKhtdlvuZ_zDNE/edit?usp=sharing"",""พัทลุง!J381"")"),107)</f>
        <v>107</v>
      </c>
      <c r="BC82" s="86">
        <f ca="1">IFERROR(__xludf.DUMMYFUNCTION("IMPORTRANGE(""https://docs.google.com/spreadsheets/d/1b6QssHQp2FoAPSMKHOy273KNzAomaIKhtdlvuZ_zDNE/edit?usp=sharing"",""พัทลุง!J382"")"),737.05)</f>
        <v>737.05</v>
      </c>
      <c r="BD82" s="87">
        <f t="shared" ca="1" si="51"/>
        <v>53.5</v>
      </c>
    </row>
    <row r="83" spans="1:56" ht="21" customHeight="1" x14ac:dyDescent="0.2">
      <c r="A83" s="78">
        <v>9</v>
      </c>
      <c r="B83" s="79" t="s">
        <v>105</v>
      </c>
      <c r="C83" s="80">
        <f t="shared" ca="1" si="0"/>
        <v>518760</v>
      </c>
      <c r="D83" s="81">
        <f t="shared" ca="1" si="100"/>
        <v>404960</v>
      </c>
      <c r="E83" s="82">
        <f ca="1">IFERROR(__xludf.DUMMYFUNCTION("IMPORTRANGE(""https://docs.google.com/spreadsheets/d/1MeEWN-I1oV_STSDYn1IFDPWt_1FKiwhDph83XaGc0o0/edit?usp=sharing"",""งบพรบ!EX83"")"),201600)</f>
        <v>201600</v>
      </c>
      <c r="F83" s="82">
        <f ca="1">IFERROR(__xludf.DUMMYFUNCTION("IMPORTRANGE(""https://docs.google.com/spreadsheets/d/1MeEWN-I1oV_STSDYn1IFDPWt_1FKiwhDph83XaGc0o0/edit?usp=sharing"",""งบพรบ!EY83"")"),203360)</f>
        <v>203360</v>
      </c>
      <c r="G83" s="82">
        <f ca="1">IFERROR(__xludf.DUMMYFUNCTION("IMPORTRANGE(""https://docs.google.com/spreadsheets/d/1MeEWN-I1oV_STSDYn1IFDPWt_1FKiwhDph83XaGc0o0/edit?usp=sharing"",""งบพรบ!EZ83"")"),113800)</f>
        <v>113800</v>
      </c>
      <c r="H83" s="82">
        <f ca="1">IFERROR(__xludf.DUMMYFUNCTION("IMPORTRANGE(""https://docs.google.com/spreadsheets/d/1MeEWN-I1oV_STSDYn1IFDPWt_1FKiwhDph83XaGc0o0/edit?usp=sharing"",""งบพรบ!FB83"")"),301710)</f>
        <v>301710</v>
      </c>
      <c r="I83" s="82">
        <f ca="1">IFERROR(__xludf.DUMMYFUNCTION("IMPORTRANGE(""https://docs.google.com/spreadsheets/d/1MeEWN-I1oV_STSDYn1IFDPWt_1FKiwhDph83XaGc0o0/edit?usp=sharing"",""งบพรบ!FC83"")"),113600)</f>
        <v>113600</v>
      </c>
      <c r="J83" s="82">
        <f t="shared" ca="1" si="3"/>
        <v>259575.06</v>
      </c>
      <c r="K83" s="83">
        <f t="shared" ca="1" si="4"/>
        <v>50.03760120286838</v>
      </c>
      <c r="L83" s="82">
        <f ca="1">IFERROR(__xludf.DUMMYFUNCTION("IMPORTRANGE(""https://docs.google.com/spreadsheets/d/1MeEWN-I1oV_STSDYn1IFDPWt_1FKiwhDph83XaGc0o0/edit?usp=sharing"",""งบพรบ!FD83"")"),145975.06)</f>
        <v>145975.06</v>
      </c>
      <c r="M83" s="84">
        <f t="shared" ca="1" si="5"/>
        <v>36.04678486764125</v>
      </c>
      <c r="N83" s="84">
        <f t="shared" ca="1" si="6"/>
        <v>48.382572669119355</v>
      </c>
      <c r="O83" s="85">
        <f ca="1">IFERROR(__xludf.DUMMYFUNCTION("IMPORTRANGE(""https://docs.google.com/spreadsheets/d/1MeEWN-I1oV_STSDYn1IFDPWt_1FKiwhDph83XaGc0o0/edit?usp=sharing"",""งบพรบ!FE83"")"),113600)</f>
        <v>113600</v>
      </c>
      <c r="P83" s="84">
        <f t="shared" ca="1" si="53"/>
        <v>99.824253075571178</v>
      </c>
      <c r="Q83" s="84">
        <f t="shared" ca="1" si="8"/>
        <v>100</v>
      </c>
      <c r="R83" s="86">
        <f ca="1">IFERROR(__xludf.DUMMYFUNCTION("IMPORTRANGE(""https://docs.google.com/spreadsheets/d/1o7UZe4_OqlqtLDHrj01Z2YFRSZDf1DMy1n3XViHaxRc/edit?usp=sharing"",""ภูเก็ต!I359"")"),63)</f>
        <v>63</v>
      </c>
      <c r="S83" s="86">
        <f ca="1">IFERROR(__xludf.DUMMYFUNCTION("IMPORTRANGE(""https://docs.google.com/spreadsheets/d/1o7UZe4_OqlqtLDHrj01Z2YFRSZDf1DMy1n3XViHaxRc/edit?usp=sharing"",""ภูเก็ต!J358"")"),12)</f>
        <v>12</v>
      </c>
      <c r="T83" s="86">
        <f ca="1">IFERROR(__xludf.DUMMYFUNCTION("IMPORTRANGE(""https://docs.google.com/spreadsheets/d/1o7UZe4_OqlqtLDHrj01Z2YFRSZDf1DMy1n3XViHaxRc/edit?usp=sharing"",""ภูเก็ต!J359"")"),52.17)</f>
        <v>52.17</v>
      </c>
      <c r="U83" s="87">
        <f t="shared" ca="1" si="43"/>
        <v>82.80952380952381</v>
      </c>
      <c r="V83" s="86">
        <f ca="1">IFERROR(__xludf.DUMMYFUNCTION("IMPORTRANGE(""https://docs.google.com/spreadsheets/d/1o7UZe4_OqlqtLDHrj01Z2YFRSZDf1DMy1n3XViHaxRc/edit?usp=sharing"",""ภูเก็ต!I360"")"),13)</f>
        <v>13</v>
      </c>
      <c r="W83" s="86">
        <f ca="1">IFERROR(__xludf.DUMMYFUNCTION("IMPORTRANGE(""https://docs.google.com/spreadsheets/d/1o7UZe4_OqlqtLDHrj01Z2YFRSZDf1DMy1n3XViHaxRc/edit?usp=sharing"",""ภูเก็ต!J360"")"),12)</f>
        <v>12</v>
      </c>
      <c r="X83" s="86">
        <f ca="1">IFERROR(__xludf.DUMMYFUNCTION("IMPORTRANGE(""https://docs.google.com/spreadsheets/d/1o7UZe4_OqlqtLDHrj01Z2YFRSZDf1DMy1n3XViHaxRc/edit?usp=sharing"",""ภูเก็ต!J361"")"),52.17)</f>
        <v>52.17</v>
      </c>
      <c r="Y83" s="87">
        <f t="shared" ca="1" si="44"/>
        <v>92.307692307692307</v>
      </c>
      <c r="Z83" s="86">
        <f ca="1">IFERROR(__xludf.DUMMYFUNCTION("IMPORTRANGE(""https://docs.google.com/spreadsheets/d/1o7UZe4_OqlqtLDHrj01Z2YFRSZDf1DMy1n3XViHaxRc/edit?usp=sharing"",""ภูเก็ต!I362"")"),13)</f>
        <v>13</v>
      </c>
      <c r="AA83" s="86">
        <f ca="1">IFERROR(__xludf.DUMMYFUNCTION("IMPORTRANGE(""https://docs.google.com/spreadsheets/d/1o7UZe4_OqlqtLDHrj01Z2YFRSZDf1DMy1n3XViHaxRc/edit?usp=sharing"",""ภูเก็ต!J362"")"),12)</f>
        <v>12</v>
      </c>
      <c r="AB83" s="86">
        <f ca="1">IFERROR(__xludf.DUMMYFUNCTION("IMPORTRANGE(""https://docs.google.com/spreadsheets/d/1o7UZe4_OqlqtLDHrj01Z2YFRSZDf1DMy1n3XViHaxRc/edit?usp=sharing"",""ภูเก็ต!J363"")"),52.17)</f>
        <v>52.17</v>
      </c>
      <c r="AC83" s="87">
        <f t="shared" ca="1" si="45"/>
        <v>92.307692307692307</v>
      </c>
      <c r="AD83" s="86">
        <f ca="1">IFERROR(__xludf.DUMMYFUNCTION("IMPORTRANGE(""https://docs.google.com/spreadsheets/d/1o7UZe4_OqlqtLDHrj01Z2YFRSZDf1DMy1n3XViHaxRc/edit?usp=sharing"",""ภูเก็ต!I364"")"),17)</f>
        <v>17</v>
      </c>
      <c r="AE83" s="86">
        <f ca="1">IFERROR(__xludf.DUMMYFUNCTION("IMPORTRANGE(""https://docs.google.com/spreadsheets/d/1o7UZe4_OqlqtLDHrj01Z2YFRSZDf1DMy1n3XViHaxRc/edit?usp=sharing"",""ภูเก็ต!J364"")"),16)</f>
        <v>16</v>
      </c>
      <c r="AF83" s="87">
        <f t="shared" ca="1" si="16"/>
        <v>94.117647058823536</v>
      </c>
      <c r="AG83" s="86">
        <f ca="1">IFERROR(__xludf.DUMMYFUNCTION("IMPORTRANGE(""https://docs.google.com/spreadsheets/d/1o7UZe4_OqlqtLDHrj01Z2YFRSZDf1DMy1n3XViHaxRc/edit?usp=sharing"",""ภูเก็ต!I369"")"),3)</f>
        <v>3</v>
      </c>
      <c r="AH83" s="86">
        <f ca="1">IFERROR(__xludf.DUMMYFUNCTION("IMPORTRANGE(""https://docs.google.com/spreadsheets/d/1o7UZe4_OqlqtLDHrj01Z2YFRSZDf1DMy1n3XViHaxRc/edit?usp=sharing"",""ภูเก็ต!J368"")"),0)</f>
        <v>0</v>
      </c>
      <c r="AI83" s="86">
        <f ca="1">IFERROR(__xludf.DUMMYFUNCTION("IMPORTRANGE(""https://docs.google.com/spreadsheets/d/1o7UZe4_OqlqtLDHrj01Z2YFRSZDf1DMy1n3XViHaxRc/edit?usp=sharing"",""ภูเก็ต!J369"")"),0)</f>
        <v>0</v>
      </c>
      <c r="AJ83" s="87">
        <f t="shared" ca="1" si="46"/>
        <v>0</v>
      </c>
      <c r="AK83" s="86">
        <f ca="1">IFERROR(__xludf.DUMMYFUNCTION("IMPORTRANGE(""https://docs.google.com/spreadsheets/d/1o7UZe4_OqlqtLDHrj01Z2YFRSZDf1DMy1n3XViHaxRc/edit?usp=sharing"",""ภูเก็ต!I370"")"),1)</f>
        <v>1</v>
      </c>
      <c r="AL83" s="86">
        <f ca="1">IFERROR(__xludf.DUMMYFUNCTION("IMPORTRANGE(""https://docs.google.com/spreadsheets/d/1o7UZe4_OqlqtLDHrj01Z2YFRSZDf1DMy1n3XViHaxRc/edit?usp=sharing"",""ภูเก็ต!J370"")"),0)</f>
        <v>0</v>
      </c>
      <c r="AM83" s="86">
        <f ca="1">IFERROR(__xludf.DUMMYFUNCTION("IMPORTRANGE(""https://docs.google.com/spreadsheets/d/1o7UZe4_OqlqtLDHrj01Z2YFRSZDf1DMy1n3XViHaxRc/edit?usp=sharing"",""ภูเก็ต!J371"")"),0)</f>
        <v>0</v>
      </c>
      <c r="AN83" s="87">
        <f t="shared" ca="1" si="47"/>
        <v>0</v>
      </c>
      <c r="AO83" s="86">
        <f ca="1">IFERROR(__xludf.DUMMYFUNCTION("IMPORTRANGE(""https://docs.google.com/spreadsheets/d/1o7UZe4_OqlqtLDHrj01Z2YFRSZDf1DMy1n3XViHaxRc/edit?usp=sharing"",""ภูเก็ต!I372"")"),1)</f>
        <v>1</v>
      </c>
      <c r="AP83" s="86">
        <f ca="1">IFERROR(__xludf.DUMMYFUNCTION("IMPORTRANGE(""https://docs.google.com/spreadsheets/d/1o7UZe4_OqlqtLDHrj01Z2YFRSZDf1DMy1n3XViHaxRc/edit?usp=sharing"",""ภูเก็ต!J372"")"),0)</f>
        <v>0</v>
      </c>
      <c r="AQ83" s="86">
        <f ca="1">IFERROR(__xludf.DUMMYFUNCTION("IMPORTRANGE(""https://docs.google.com/spreadsheets/d/1o7UZe4_OqlqtLDHrj01Z2YFRSZDf1DMy1n3XViHaxRc/edit?usp=sharing"",""ภูเก็ต!J373"")"),0)</f>
        <v>0</v>
      </c>
      <c r="AR83" s="87">
        <f t="shared" ca="1" si="48"/>
        <v>0</v>
      </c>
      <c r="AS83" s="86">
        <f ca="1">IFERROR(__xludf.DUMMYFUNCTION("IMPORTRANGE(""https://docs.google.com/spreadsheets/d/1o7UZe4_OqlqtLDHrj01Z2YFRSZDf1DMy1n3XViHaxRc/edit?usp=sharing"",""ภูเก็ต!I378"")"),60)</f>
        <v>60</v>
      </c>
      <c r="AT83" s="86">
        <f ca="1">IFERROR(__xludf.DUMMYFUNCTION("IMPORTRANGE(""https://docs.google.com/spreadsheets/d/1o7UZe4_OqlqtLDHrj01Z2YFRSZDf1DMy1n3XViHaxRc/edit?usp=sharing"",""ภูเก็ต!J377"")"),12)</f>
        <v>12</v>
      </c>
      <c r="AU83" s="86">
        <f ca="1">IFERROR(__xludf.DUMMYFUNCTION("IMPORTRANGE(""https://docs.google.com/spreadsheets/d/1o7UZe4_OqlqtLDHrj01Z2YFRSZDf1DMy1n3XViHaxRc/edit?usp=sharing"",""ภูเก็ต!J378"")"),52.17)</f>
        <v>52.17</v>
      </c>
      <c r="AV83" s="87">
        <f t="shared" ca="1" si="49"/>
        <v>86.95</v>
      </c>
      <c r="AW83" s="86">
        <f ca="1">IFERROR(__xludf.DUMMYFUNCTION("IMPORTRANGE(""https://docs.google.com/spreadsheets/d/1o7UZe4_OqlqtLDHrj01Z2YFRSZDf1DMy1n3XViHaxRc/edit?usp=sharing"",""ภูเก็ต!I379"")"),16)</f>
        <v>16</v>
      </c>
      <c r="AX83" s="86">
        <f ca="1">IFERROR(__xludf.DUMMYFUNCTION("IMPORTRANGE(""https://docs.google.com/spreadsheets/d/1o7UZe4_OqlqtLDHrj01Z2YFRSZDf1DMy1n3XViHaxRc/edit?usp=sharing"",""ภูเก็ต!J379"")"),16)</f>
        <v>16</v>
      </c>
      <c r="AY83" s="86">
        <f ca="1">IFERROR(__xludf.DUMMYFUNCTION("IMPORTRANGE(""https://docs.google.com/spreadsheets/d/1o7UZe4_OqlqtLDHrj01Z2YFRSZDf1DMy1n3XViHaxRc/edit?usp=sharing"",""ภูเก็ต!J380"")"),106.03)</f>
        <v>106.03</v>
      </c>
      <c r="AZ83" s="87">
        <f t="shared" ca="1" si="50"/>
        <v>100</v>
      </c>
      <c r="BA83" s="86">
        <f ca="1">IFERROR(__xludf.DUMMYFUNCTION("IMPORTRANGE(""https://docs.google.com/spreadsheets/d/1o7UZe4_OqlqtLDHrj01Z2YFRSZDf1DMy1n3XViHaxRc/edit?usp=sharing"",""ภูเก็ต!I381"")"),16)</f>
        <v>16</v>
      </c>
      <c r="BB83" s="86">
        <f ca="1">IFERROR(__xludf.DUMMYFUNCTION("IMPORTRANGE(""https://docs.google.com/spreadsheets/d/1o7UZe4_OqlqtLDHrj01Z2YFRSZDf1DMy1n3XViHaxRc/edit?usp=sharing"",""ภูเก็ต!J381"")"),16)</f>
        <v>16</v>
      </c>
      <c r="BC83" s="86">
        <f ca="1">IFERROR(__xludf.DUMMYFUNCTION("IMPORTRANGE(""https://docs.google.com/spreadsheets/d/1o7UZe4_OqlqtLDHrj01Z2YFRSZDf1DMy1n3XViHaxRc/edit?usp=sharing"",""ภูเก็ต!J382"")"),106.03)</f>
        <v>106.03</v>
      </c>
      <c r="BD83" s="87">
        <f t="shared" ca="1" si="51"/>
        <v>100</v>
      </c>
    </row>
    <row r="84" spans="1:56" ht="21" customHeight="1" x14ac:dyDescent="0.2">
      <c r="A84" s="78">
        <v>10</v>
      </c>
      <c r="B84" s="79" t="s">
        <v>106</v>
      </c>
      <c r="C84" s="80">
        <f t="shared" ca="1" si="0"/>
        <v>672850</v>
      </c>
      <c r="D84" s="81">
        <f t="shared" ca="1" si="100"/>
        <v>559050</v>
      </c>
      <c r="E84" s="82">
        <f ca="1">IFERROR(__xludf.DUMMYFUNCTION("IMPORTRANGE(""https://docs.google.com/spreadsheets/d/1MeEWN-I1oV_STSDYn1IFDPWt_1FKiwhDph83XaGc0o0/edit?usp=sharing"",""งบพรบ!EX84"")"),315600)</f>
        <v>315600</v>
      </c>
      <c r="F84" s="82">
        <f ca="1">IFERROR(__xludf.DUMMYFUNCTION("IMPORTRANGE(""https://docs.google.com/spreadsheets/d/1MeEWN-I1oV_STSDYn1IFDPWt_1FKiwhDph83XaGc0o0/edit?usp=sharing"",""งบพรบ!EY84"")"),243450)</f>
        <v>243450</v>
      </c>
      <c r="G84" s="82">
        <f ca="1">IFERROR(__xludf.DUMMYFUNCTION("IMPORTRANGE(""https://docs.google.com/spreadsheets/d/1MeEWN-I1oV_STSDYn1IFDPWt_1FKiwhDph83XaGc0o0/edit?usp=sharing"",""งบพรบ!EZ84"")"),113800)</f>
        <v>113800</v>
      </c>
      <c r="H84" s="82">
        <f ca="1">IFERROR(__xludf.DUMMYFUNCTION("IMPORTRANGE(""https://docs.google.com/spreadsheets/d/1MeEWN-I1oV_STSDYn1IFDPWt_1FKiwhDph83XaGc0o0/edit?usp=sharing"",""งบพรบ!FB84"")"),407250)</f>
        <v>407250</v>
      </c>
      <c r="I84" s="82">
        <f ca="1">IFERROR(__xludf.DUMMYFUNCTION("IMPORTRANGE(""https://docs.google.com/spreadsheets/d/1MeEWN-I1oV_STSDYn1IFDPWt_1FKiwhDph83XaGc0o0/edit?usp=sharing"",""งบพรบ!FC84"")"),113800)</f>
        <v>113800</v>
      </c>
      <c r="J84" s="82">
        <f t="shared" ca="1" si="3"/>
        <v>259654.8</v>
      </c>
      <c r="K84" s="83">
        <f t="shared" ca="1" si="4"/>
        <v>38.590295013747493</v>
      </c>
      <c r="L84" s="82">
        <f ca="1">IFERROR(__xludf.DUMMYFUNCTION("IMPORTRANGE(""https://docs.google.com/spreadsheets/d/1MeEWN-I1oV_STSDYn1IFDPWt_1FKiwhDph83XaGc0o0/edit?usp=sharing"",""งบพรบ!FD84"")"),145854.8)</f>
        <v>145854.79999999999</v>
      </c>
      <c r="M84" s="84">
        <f t="shared" ca="1" si="5"/>
        <v>26.089759413290398</v>
      </c>
      <c r="N84" s="84">
        <f t="shared" ca="1" si="6"/>
        <v>35.814561080417427</v>
      </c>
      <c r="O84" s="85">
        <f ca="1">IFERROR(__xludf.DUMMYFUNCTION("IMPORTRANGE(""https://docs.google.com/spreadsheets/d/1MeEWN-I1oV_STSDYn1IFDPWt_1FKiwhDph83XaGc0o0/edit?usp=sharing"",""งบพรบ!FE84"")"),113800)</f>
        <v>113800</v>
      </c>
      <c r="P84" s="84">
        <f t="shared" ca="1" si="53"/>
        <v>100</v>
      </c>
      <c r="Q84" s="84">
        <f t="shared" ca="1" si="8"/>
        <v>100</v>
      </c>
      <c r="R84" s="86">
        <f ca="1">IFERROR(__xludf.DUMMYFUNCTION("IMPORTRANGE(""https://docs.google.com/spreadsheets/d/1ctPm1vUzcUCPuOj9-eoHUD85PqINFqUB0TjdSWmR5-c/edit?usp=sharing"",""ยะลา!I359"")"),440)</f>
        <v>440</v>
      </c>
      <c r="S84" s="86">
        <f ca="1">IFERROR(__xludf.DUMMYFUNCTION("IMPORTRANGE(""https://docs.google.com/spreadsheets/d/1ctPm1vUzcUCPuOj9-eoHUD85PqINFqUB0TjdSWmR5-c/edit?usp=sharing"",""ยะลา!J358"")"),14)</f>
        <v>14</v>
      </c>
      <c r="T84" s="86">
        <f ca="1">IFERROR(__xludf.DUMMYFUNCTION("IMPORTRANGE(""https://docs.google.com/spreadsheets/d/1ctPm1vUzcUCPuOj9-eoHUD85PqINFqUB0TjdSWmR5-c/edit?usp=sharing"",""ยะลา!J359"")"),105.6)</f>
        <v>105.6</v>
      </c>
      <c r="U84" s="87">
        <f t="shared" ca="1" si="43"/>
        <v>24</v>
      </c>
      <c r="V84" s="86">
        <f ca="1">IFERROR(__xludf.DUMMYFUNCTION("IMPORTRANGE(""https://docs.google.com/spreadsheets/d/1ctPm1vUzcUCPuOj9-eoHUD85PqINFqUB0TjdSWmR5-c/edit?usp=sharing"",""ยะลา!I360"")"),54)</f>
        <v>54</v>
      </c>
      <c r="W84" s="86">
        <f ca="1">IFERROR(__xludf.DUMMYFUNCTION("IMPORTRANGE(""https://docs.google.com/spreadsheets/d/1ctPm1vUzcUCPuOj9-eoHUD85PqINFqUB0TjdSWmR5-c/edit?usp=sharing"",""ยะลา!J360"")"),13)</f>
        <v>13</v>
      </c>
      <c r="X84" s="86">
        <f ca="1">IFERROR(__xludf.DUMMYFUNCTION("IMPORTRANGE(""https://docs.google.com/spreadsheets/d/1ctPm1vUzcUCPuOj9-eoHUD85PqINFqUB0TjdSWmR5-c/edit?usp=sharing"",""ยะลา!J361"")"),88.14)</f>
        <v>88.14</v>
      </c>
      <c r="Y84" s="87">
        <f t="shared" ca="1" si="44"/>
        <v>24.074074074074073</v>
      </c>
      <c r="Z84" s="86">
        <f ca="1">IFERROR(__xludf.DUMMYFUNCTION("IMPORTRANGE(""https://docs.google.com/spreadsheets/d/1ctPm1vUzcUCPuOj9-eoHUD85PqINFqUB0TjdSWmR5-c/edit?usp=sharing"",""ยะลา!I362"")"),54)</f>
        <v>54</v>
      </c>
      <c r="AA84" s="86">
        <f ca="1">IFERROR(__xludf.DUMMYFUNCTION("IMPORTRANGE(""https://docs.google.com/spreadsheets/d/1ctPm1vUzcUCPuOj9-eoHUD85PqINFqUB0TjdSWmR5-c/edit?usp=sharing"",""ยะลา!J362"")"),12)</f>
        <v>12</v>
      </c>
      <c r="AB84" s="86">
        <f ca="1">IFERROR(__xludf.DUMMYFUNCTION("IMPORTRANGE(""https://docs.google.com/spreadsheets/d/1ctPm1vUzcUCPuOj9-eoHUD85PqINFqUB0TjdSWmR5-c/edit?usp=sharing"",""ยะลา!J363"")"),85.45)</f>
        <v>85.45</v>
      </c>
      <c r="AC84" s="87">
        <f t="shared" ca="1" si="45"/>
        <v>22.222222222222221</v>
      </c>
      <c r="AD84" s="86">
        <f ca="1">IFERROR(__xludf.DUMMYFUNCTION("IMPORTRANGE(""https://docs.google.com/spreadsheets/d/1ctPm1vUzcUCPuOj9-eoHUD85PqINFqUB0TjdSWmR5-c/edit?usp=sharing"",""ยะลา!I364"")"),74)</f>
        <v>74</v>
      </c>
      <c r="AE84" s="86">
        <f ca="1">IFERROR(__xludf.DUMMYFUNCTION("IMPORTRANGE(""https://docs.google.com/spreadsheets/d/1ctPm1vUzcUCPuOj9-eoHUD85PqINFqUB0TjdSWmR5-c/edit?usp=sharing"",""ยะลา!J364"")"),27)</f>
        <v>27</v>
      </c>
      <c r="AF84" s="87">
        <f t="shared" ca="1" si="16"/>
        <v>36.486486486486484</v>
      </c>
      <c r="AG84" s="86">
        <f ca="1">IFERROR(__xludf.DUMMYFUNCTION("IMPORTRANGE(""https://docs.google.com/spreadsheets/d/1ctPm1vUzcUCPuOj9-eoHUD85PqINFqUB0TjdSWmR5-c/edit?usp=sharing"",""ยะลา!I369"")"),340)</f>
        <v>340</v>
      </c>
      <c r="AH84" s="86">
        <f ca="1">IFERROR(__xludf.DUMMYFUNCTION("IMPORTRANGE(""https://docs.google.com/spreadsheets/d/1ctPm1vUzcUCPuOj9-eoHUD85PqINFqUB0TjdSWmR5-c/edit?usp=sharing"",""ยะลา!J368"")"),2)</f>
        <v>2</v>
      </c>
      <c r="AI84" s="86">
        <f ca="1">IFERROR(__xludf.DUMMYFUNCTION("IMPORTRANGE(""https://docs.google.com/spreadsheets/d/1ctPm1vUzcUCPuOj9-eoHUD85PqINFqUB0TjdSWmR5-c/edit?usp=sharing"",""ยะลา!J369"")"),20.15)</f>
        <v>20.149999999999999</v>
      </c>
      <c r="AJ84" s="87">
        <f t="shared" ca="1" si="46"/>
        <v>5.9264705882352935</v>
      </c>
      <c r="AK84" s="86">
        <f ca="1">IFERROR(__xludf.DUMMYFUNCTION("IMPORTRANGE(""https://docs.google.com/spreadsheets/d/1ctPm1vUzcUCPuOj9-eoHUD85PqINFqUB0TjdSWmR5-c/edit?usp=sharing"",""ยะลา!I370"")"),34)</f>
        <v>34</v>
      </c>
      <c r="AL84" s="86">
        <f ca="1">IFERROR(__xludf.DUMMYFUNCTION("IMPORTRANGE(""https://docs.google.com/spreadsheets/d/1ctPm1vUzcUCPuOj9-eoHUD85PqINFqUB0TjdSWmR5-c/edit?usp=sharing"",""ยะลา!J370"")"),1)</f>
        <v>1</v>
      </c>
      <c r="AM84" s="86">
        <f ca="1">IFERROR(__xludf.DUMMYFUNCTION("IMPORTRANGE(""https://docs.google.com/spreadsheets/d/1ctPm1vUzcUCPuOj9-eoHUD85PqINFqUB0TjdSWmR5-c/edit?usp=sharing"",""ยะลา!J371"")"),2.69)</f>
        <v>2.69</v>
      </c>
      <c r="AN84" s="87">
        <f t="shared" ca="1" si="47"/>
        <v>2.9411764705882355</v>
      </c>
      <c r="AO84" s="86">
        <f ca="1">IFERROR(__xludf.DUMMYFUNCTION("IMPORTRANGE(""https://docs.google.com/spreadsheets/d/1ctPm1vUzcUCPuOj9-eoHUD85PqINFqUB0TjdSWmR5-c/edit?usp=sharing"",""ยะลา!I372"")"),34)</f>
        <v>34</v>
      </c>
      <c r="AP84" s="86">
        <f ca="1">IFERROR(__xludf.DUMMYFUNCTION("IMPORTRANGE(""https://docs.google.com/spreadsheets/d/1ctPm1vUzcUCPuOj9-eoHUD85PqINFqUB0TjdSWmR5-c/edit?usp=sharing"",""ยะลา!J372"")"),0)</f>
        <v>0</v>
      </c>
      <c r="AQ84" s="86">
        <f ca="1">IFERROR(__xludf.DUMMYFUNCTION("IMPORTRANGE(""https://docs.google.com/spreadsheets/d/1ctPm1vUzcUCPuOj9-eoHUD85PqINFqUB0TjdSWmR5-c/edit?usp=sharing"",""ยะลา!J373"")"),0)</f>
        <v>0</v>
      </c>
      <c r="AR84" s="87">
        <f t="shared" ca="1" si="48"/>
        <v>0</v>
      </c>
      <c r="AS84" s="86">
        <f ca="1">IFERROR(__xludf.DUMMYFUNCTION("IMPORTRANGE(""https://docs.google.com/spreadsheets/d/1ctPm1vUzcUCPuOj9-eoHUD85PqINFqUB0TjdSWmR5-c/edit?usp=sharing"",""ยะลา!I378"")"),100)</f>
        <v>100</v>
      </c>
      <c r="AT84" s="86">
        <f ca="1">IFERROR(__xludf.DUMMYFUNCTION("IMPORTRANGE(""https://docs.google.com/spreadsheets/d/1ctPm1vUzcUCPuOj9-eoHUD85PqINFqUB0TjdSWmR5-c/edit?usp=sharing"",""ยะลา!J377"")"),13)</f>
        <v>13</v>
      </c>
      <c r="AU84" s="86">
        <f ca="1">IFERROR(__xludf.DUMMYFUNCTION("IMPORTRANGE(""https://docs.google.com/spreadsheets/d/1ctPm1vUzcUCPuOj9-eoHUD85PqINFqUB0TjdSWmR5-c/edit?usp=sharing"",""ยะลา!J378"")"),102.88)</f>
        <v>102.88</v>
      </c>
      <c r="AV84" s="87">
        <f t="shared" ca="1" si="49"/>
        <v>102.88</v>
      </c>
      <c r="AW84" s="86">
        <f ca="1">IFERROR(__xludf.DUMMYFUNCTION("IMPORTRANGE(""https://docs.google.com/spreadsheets/d/1ctPm1vUzcUCPuOj9-eoHUD85PqINFqUB0TjdSWmR5-c/edit?usp=sharing"",""ยะลา!I379"")"),40)</f>
        <v>40</v>
      </c>
      <c r="AX84" s="86">
        <f ca="1">IFERROR(__xludf.DUMMYFUNCTION("IMPORTRANGE(""https://docs.google.com/spreadsheets/d/1ctPm1vUzcUCPuOj9-eoHUD85PqINFqUB0TjdSWmR5-c/edit?usp=sharing"",""ยะลา!J379"")"),27)</f>
        <v>27</v>
      </c>
      <c r="AY84" s="86">
        <f ca="1">IFERROR(__xludf.DUMMYFUNCTION("IMPORTRANGE(""https://docs.google.com/spreadsheets/d/1ctPm1vUzcUCPuOj9-eoHUD85PqINFqUB0TjdSWmR5-c/edit?usp=sharing"",""ยะลา!J380"")"),208.39)</f>
        <v>208.39</v>
      </c>
      <c r="AZ84" s="87">
        <f t="shared" ca="1" si="50"/>
        <v>67.5</v>
      </c>
      <c r="BA84" s="86">
        <f ca="1">IFERROR(__xludf.DUMMYFUNCTION("IMPORTRANGE(""https://docs.google.com/spreadsheets/d/1ctPm1vUzcUCPuOj9-eoHUD85PqINFqUB0TjdSWmR5-c/edit?usp=sharing"",""ยะลา!I381"")"),40)</f>
        <v>40</v>
      </c>
      <c r="BB84" s="86">
        <f ca="1">IFERROR(__xludf.DUMMYFUNCTION("IMPORTRANGE(""https://docs.google.com/spreadsheets/d/1ctPm1vUzcUCPuOj9-eoHUD85PqINFqUB0TjdSWmR5-c/edit?usp=sharing"",""ยะลา!J381"")"),27)</f>
        <v>27</v>
      </c>
      <c r="BC84" s="86">
        <f ca="1">IFERROR(__xludf.DUMMYFUNCTION("IMPORTRANGE(""https://docs.google.com/spreadsheets/d/1ctPm1vUzcUCPuOj9-eoHUD85PqINFqUB0TjdSWmR5-c/edit?usp=sharing"",""ยะลา!J382"")"),208.39)</f>
        <v>208.39</v>
      </c>
      <c r="BD84" s="87">
        <f t="shared" ca="1" si="51"/>
        <v>67.5</v>
      </c>
    </row>
    <row r="85" spans="1:56" ht="21" customHeight="1" x14ac:dyDescent="0.2">
      <c r="A85" s="78">
        <v>11</v>
      </c>
      <c r="B85" s="79" t="s">
        <v>107</v>
      </c>
      <c r="C85" s="80">
        <f t="shared" ca="1" si="0"/>
        <v>619700</v>
      </c>
      <c r="D85" s="81">
        <f t="shared" ca="1" si="100"/>
        <v>573700</v>
      </c>
      <c r="E85" s="82">
        <f ca="1">IFERROR(__xludf.DUMMYFUNCTION("IMPORTRANGE(""https://docs.google.com/spreadsheets/d/1MeEWN-I1oV_STSDYn1IFDPWt_1FKiwhDph83XaGc0o0/edit?usp=sharing"",""งบพรบ!EX85"")"),315600)</f>
        <v>315600</v>
      </c>
      <c r="F85" s="82">
        <f ca="1">IFERROR(__xludf.DUMMYFUNCTION("IMPORTRANGE(""https://docs.google.com/spreadsheets/d/1MeEWN-I1oV_STSDYn1IFDPWt_1FKiwhDph83XaGc0o0/edit?usp=sharing"",""งบพรบ!EY85"")"),258100)</f>
        <v>258100</v>
      </c>
      <c r="G85" s="82">
        <f ca="1">IFERROR(__xludf.DUMMYFUNCTION("IMPORTRANGE(""https://docs.google.com/spreadsheets/d/1MeEWN-I1oV_STSDYn1IFDPWt_1FKiwhDph83XaGc0o0/edit?usp=sharing"",""งบพรบ!EZ85"")"),46000)</f>
        <v>46000</v>
      </c>
      <c r="H85" s="82">
        <f ca="1">IFERROR(__xludf.DUMMYFUNCTION("IMPORTRANGE(""https://docs.google.com/spreadsheets/d/1MeEWN-I1oV_STSDYn1IFDPWt_1FKiwhDph83XaGc0o0/edit?usp=sharing"",""งบพรบ!FB85"")"),417160)</f>
        <v>417160</v>
      </c>
      <c r="I85" s="82">
        <f ca="1">IFERROR(__xludf.DUMMYFUNCTION("IMPORTRANGE(""https://docs.google.com/spreadsheets/d/1MeEWN-I1oV_STSDYn1IFDPWt_1FKiwhDph83XaGc0o0/edit?usp=sharing"",""งบพรบ!FC85"")"),46000)</f>
        <v>46000</v>
      </c>
      <c r="J85" s="82">
        <f t="shared" ca="1" si="3"/>
        <v>213131.34</v>
      </c>
      <c r="K85" s="83">
        <f t="shared" ca="1" si="4"/>
        <v>34.392664192351141</v>
      </c>
      <c r="L85" s="82">
        <f ca="1">IFERROR(__xludf.DUMMYFUNCTION("IMPORTRANGE(""https://docs.google.com/spreadsheets/d/1MeEWN-I1oV_STSDYn1IFDPWt_1FKiwhDph83XaGc0o0/edit?usp=sharing"",""งบพรบ!FD85"")"),167131.34)</f>
        <v>167131.34</v>
      </c>
      <c r="M85" s="84">
        <f t="shared" ca="1" si="5"/>
        <v>29.132184068328396</v>
      </c>
      <c r="N85" s="84">
        <f t="shared" ca="1" si="6"/>
        <v>40.064085722504558</v>
      </c>
      <c r="O85" s="85">
        <f ca="1">IFERROR(__xludf.DUMMYFUNCTION("IMPORTRANGE(""https://docs.google.com/spreadsheets/d/1MeEWN-I1oV_STSDYn1IFDPWt_1FKiwhDph83XaGc0o0/edit?usp=sharing"",""งบพรบ!FE85"")"),46000)</f>
        <v>46000</v>
      </c>
      <c r="P85" s="84">
        <f t="shared" ca="1" si="53"/>
        <v>100</v>
      </c>
      <c r="Q85" s="84">
        <f t="shared" ca="1" si="8"/>
        <v>100</v>
      </c>
      <c r="R85" s="86">
        <f ca="1">IFERROR(__xludf.DUMMYFUNCTION("IMPORTRANGE(""https://docs.google.com/spreadsheets/d/1YiDIE7Klmt8osgdapRqYWNr7iPGFSsiJqq46S7PYRE0/edit?usp=sharing"",""ระนอง!I359"")"),450)</f>
        <v>450</v>
      </c>
      <c r="S85" s="86">
        <f ca="1">IFERROR(__xludf.DUMMYFUNCTION("IMPORTRANGE(""https://docs.google.com/spreadsheets/d/1YiDIE7Klmt8osgdapRqYWNr7iPGFSsiJqq46S7PYRE0/edit?usp=sharing"",""ระนอง!J358"")"),54)</f>
        <v>54</v>
      </c>
      <c r="T85" s="86">
        <f ca="1">IFERROR(__xludf.DUMMYFUNCTION("IMPORTRANGE(""https://docs.google.com/spreadsheets/d/1YiDIE7Klmt8osgdapRqYWNr7iPGFSsiJqq46S7PYRE0/edit?usp=sharing"",""ระนอง!J359"")"),291.26)</f>
        <v>291.26</v>
      </c>
      <c r="U85" s="87">
        <f t="shared" ca="1" si="43"/>
        <v>64.724444444444444</v>
      </c>
      <c r="V85" s="86">
        <f ca="1">IFERROR(__xludf.DUMMYFUNCTION("IMPORTRANGE(""https://docs.google.com/spreadsheets/d/1YiDIE7Klmt8osgdapRqYWNr7iPGFSsiJqq46S7PYRE0/edit?usp=sharing"",""ระนอง!I360"")"),60)</f>
        <v>60</v>
      </c>
      <c r="W85" s="86">
        <f ca="1">IFERROR(__xludf.DUMMYFUNCTION("IMPORTRANGE(""https://docs.google.com/spreadsheets/d/1YiDIE7Klmt8osgdapRqYWNr7iPGFSsiJqq46S7PYRE0/edit?usp=sharing"",""ระนอง!J360"")"),36)</f>
        <v>36</v>
      </c>
      <c r="X85" s="86">
        <f ca="1">IFERROR(__xludf.DUMMYFUNCTION("IMPORTRANGE(""https://docs.google.com/spreadsheets/d/1YiDIE7Klmt8osgdapRqYWNr7iPGFSsiJqq46S7PYRE0/edit?usp=sharing"",""ระนอง!J361"")"),196.11)</f>
        <v>196.11</v>
      </c>
      <c r="Y85" s="87">
        <f t="shared" ca="1" si="44"/>
        <v>60</v>
      </c>
      <c r="Z85" s="86">
        <f ca="1">IFERROR(__xludf.DUMMYFUNCTION("IMPORTRANGE(""https://docs.google.com/spreadsheets/d/1YiDIE7Klmt8osgdapRqYWNr7iPGFSsiJqq46S7PYRE0/edit?usp=sharing"",""ระนอง!I362"")"),60)</f>
        <v>60</v>
      </c>
      <c r="AA85" s="86">
        <f ca="1">IFERROR(__xludf.DUMMYFUNCTION("IMPORTRANGE(""https://docs.google.com/spreadsheets/d/1YiDIE7Klmt8osgdapRqYWNr7iPGFSsiJqq46S7PYRE0/edit?usp=sharing"",""ระนอง!J362"")"),12)</f>
        <v>12</v>
      </c>
      <c r="AB85" s="86">
        <f ca="1">IFERROR(__xludf.DUMMYFUNCTION("IMPORTRANGE(""https://docs.google.com/spreadsheets/d/1YiDIE7Klmt8osgdapRqYWNr7iPGFSsiJqq46S7PYRE0/edit?usp=sharing"",""ระนอง!J363"")"),37.63)</f>
        <v>37.630000000000003</v>
      </c>
      <c r="AC85" s="87">
        <f t="shared" ca="1" si="45"/>
        <v>20</v>
      </c>
      <c r="AD85" s="86">
        <f ca="1">IFERROR(__xludf.DUMMYFUNCTION("IMPORTRANGE(""https://docs.google.com/spreadsheets/d/1YiDIE7Klmt8osgdapRqYWNr7iPGFSsiJqq46S7PYRE0/edit?usp=sharing"",""ระนอง!I364"")"),110)</f>
        <v>110</v>
      </c>
      <c r="AE85" s="86">
        <f ca="1">IFERROR(__xludf.DUMMYFUNCTION("IMPORTRANGE(""https://docs.google.com/spreadsheets/d/1YiDIE7Klmt8osgdapRqYWNr7iPGFSsiJqq46S7PYRE0/edit?usp=sharing"",""ระนอง!J364"")"),39)</f>
        <v>39</v>
      </c>
      <c r="AF85" s="87">
        <f t="shared" ca="1" si="16"/>
        <v>35.454545454545453</v>
      </c>
      <c r="AG85" s="86">
        <f ca="1">IFERROR(__xludf.DUMMYFUNCTION("IMPORTRANGE(""https://docs.google.com/spreadsheets/d/1YiDIE7Klmt8osgdapRqYWNr7iPGFSsiJqq46S7PYRE0/edit?usp=sharing"",""ระนอง!I369"")"),300)</f>
        <v>300</v>
      </c>
      <c r="AH85" s="86">
        <f ca="1">IFERROR(__xludf.DUMMYFUNCTION("IMPORTRANGE(""https://docs.google.com/spreadsheets/d/1YiDIE7Klmt8osgdapRqYWNr7iPGFSsiJqq46S7PYRE0/edit?usp=sharing"",""ระนอง!J368"")"),33)</f>
        <v>33</v>
      </c>
      <c r="AI85" s="86">
        <f ca="1">IFERROR(__xludf.DUMMYFUNCTION("IMPORTRANGE(""https://docs.google.com/spreadsheets/d/1YiDIE7Klmt8osgdapRqYWNr7iPGFSsiJqq46S7PYRE0/edit?usp=sharing"",""ระนอง!J369"")"),213.95)</f>
        <v>213.95</v>
      </c>
      <c r="AJ85" s="87">
        <f t="shared" ca="1" si="46"/>
        <v>71.316666666666663</v>
      </c>
      <c r="AK85" s="86">
        <f ca="1">IFERROR(__xludf.DUMMYFUNCTION("IMPORTRANGE(""https://docs.google.com/spreadsheets/d/1YiDIE7Klmt8osgdapRqYWNr7iPGFSsiJqq46S7PYRE0/edit?usp=sharing"",""ระนอง!I370"")"),30)</f>
        <v>30</v>
      </c>
      <c r="AL85" s="86">
        <f ca="1">IFERROR(__xludf.DUMMYFUNCTION("IMPORTRANGE(""https://docs.google.com/spreadsheets/d/1YiDIE7Klmt8osgdapRqYWNr7iPGFSsiJqq46S7PYRE0/edit?usp=sharing"",""ระนอง!J370"")"),21)</f>
        <v>21</v>
      </c>
      <c r="AM85" s="86">
        <f ca="1">IFERROR(__xludf.DUMMYFUNCTION("IMPORTRANGE(""https://docs.google.com/spreadsheets/d/1YiDIE7Klmt8osgdapRqYWNr7iPGFSsiJqq46S7PYRE0/edit?usp=sharing"",""ระนอง!J371"")"),141.08)</f>
        <v>141.08000000000001</v>
      </c>
      <c r="AN85" s="87">
        <f t="shared" ca="1" si="47"/>
        <v>70</v>
      </c>
      <c r="AO85" s="86">
        <f ca="1">IFERROR(__xludf.DUMMYFUNCTION("IMPORTRANGE(""https://docs.google.com/spreadsheets/d/1YiDIE7Klmt8osgdapRqYWNr7iPGFSsiJqq46S7PYRE0/edit?usp=sharing"",""ระนอง!I372"")"),30)</f>
        <v>30</v>
      </c>
      <c r="AP85" s="86">
        <f ca="1">IFERROR(__xludf.DUMMYFUNCTION("IMPORTRANGE(""https://docs.google.com/spreadsheets/d/1YiDIE7Klmt8osgdapRqYWNr7iPGFSsiJqq46S7PYRE0/edit?usp=sharing"",""ระนอง!J372"")"),0)</f>
        <v>0</v>
      </c>
      <c r="AQ85" s="86">
        <f ca="1">IFERROR(__xludf.DUMMYFUNCTION("IMPORTRANGE(""https://docs.google.com/spreadsheets/d/1YiDIE7Klmt8osgdapRqYWNr7iPGFSsiJqq46S7PYRE0/edit?usp=sharing"",""ระนอง!J373"")"),0)</f>
        <v>0</v>
      </c>
      <c r="AR85" s="87">
        <f t="shared" ca="1" si="48"/>
        <v>0</v>
      </c>
      <c r="AS85" s="86">
        <f ca="1">IFERROR(__xludf.DUMMYFUNCTION("IMPORTRANGE(""https://docs.google.com/spreadsheets/d/1YiDIE7Klmt8osgdapRqYWNr7iPGFSsiJqq46S7PYRE0/edit?usp=sharing"",""ระนอง!I378"")"),150)</f>
        <v>150</v>
      </c>
      <c r="AT85" s="86">
        <f ca="1">IFERROR(__xludf.DUMMYFUNCTION("IMPORTRANGE(""https://docs.google.com/spreadsheets/d/1YiDIE7Klmt8osgdapRqYWNr7iPGFSsiJqq46S7PYRE0/edit?usp=sharing"",""ระนอง!J377"")"),22)</f>
        <v>22</v>
      </c>
      <c r="AU85" s="86">
        <f ca="1">IFERROR(__xludf.DUMMYFUNCTION("IMPORTRANGE(""https://docs.google.com/spreadsheets/d/1YiDIE7Klmt8osgdapRqYWNr7iPGFSsiJqq46S7PYRE0/edit?usp=sharing"",""ระนอง!J378"")"),78.48)</f>
        <v>78.48</v>
      </c>
      <c r="AV85" s="87">
        <f t="shared" ca="1" si="49"/>
        <v>52.32</v>
      </c>
      <c r="AW85" s="86">
        <f ca="1">IFERROR(__xludf.DUMMYFUNCTION("IMPORTRANGE(""https://docs.google.com/spreadsheets/d/1YiDIE7Klmt8osgdapRqYWNr7iPGFSsiJqq46S7PYRE0/edit?usp=sharing"",""ระนอง!I379"")"),80)</f>
        <v>80</v>
      </c>
      <c r="AX85" s="86">
        <f ca="1">IFERROR(__xludf.DUMMYFUNCTION("IMPORTRANGE(""https://docs.google.com/spreadsheets/d/1YiDIE7Klmt8osgdapRqYWNr7iPGFSsiJqq46S7PYRE0/edit?usp=sharing"",""ระนอง!J379"")"),56)</f>
        <v>56</v>
      </c>
      <c r="AY85" s="86">
        <f ca="1">IFERROR(__xludf.DUMMYFUNCTION("IMPORTRANGE(""https://docs.google.com/spreadsheets/d/1YiDIE7Klmt8osgdapRqYWNr7iPGFSsiJqq46S7PYRE0/edit?usp=sharing"",""ระนอง!J380"")"),752.38)</f>
        <v>752.38</v>
      </c>
      <c r="AZ85" s="87">
        <f t="shared" ca="1" si="50"/>
        <v>70</v>
      </c>
      <c r="BA85" s="86">
        <f ca="1">IFERROR(__xludf.DUMMYFUNCTION("IMPORTRANGE(""https://docs.google.com/spreadsheets/d/1YiDIE7Klmt8osgdapRqYWNr7iPGFSsiJqq46S7PYRE0/edit?usp=sharing"",""ระนอง!I381"")"),80)</f>
        <v>80</v>
      </c>
      <c r="BB85" s="86">
        <f ca="1">IFERROR(__xludf.DUMMYFUNCTION("IMPORTRANGE(""https://docs.google.com/spreadsheets/d/1YiDIE7Klmt8osgdapRqYWNr7iPGFSsiJqq46S7PYRE0/edit?usp=sharing"",""ระนอง!J381"")"),39)</f>
        <v>39</v>
      </c>
      <c r="BC85" s="86">
        <f ca="1">IFERROR(__xludf.DUMMYFUNCTION("IMPORTRANGE(""https://docs.google.com/spreadsheets/d/1YiDIE7Klmt8osgdapRqYWNr7iPGFSsiJqq46S7PYRE0/edit?usp=sharing"",""ระนอง!J382"")"),407.29)</f>
        <v>407.29</v>
      </c>
      <c r="BD85" s="87">
        <f t="shared" ca="1" si="51"/>
        <v>48.75</v>
      </c>
    </row>
    <row r="86" spans="1:56" ht="24" customHeight="1" x14ac:dyDescent="0.2">
      <c r="A86" s="78">
        <v>12</v>
      </c>
      <c r="B86" s="79" t="s">
        <v>108</v>
      </c>
      <c r="C86" s="80">
        <f t="shared" ca="1" si="0"/>
        <v>738610</v>
      </c>
      <c r="D86" s="81">
        <f t="shared" ca="1" si="100"/>
        <v>700810</v>
      </c>
      <c r="E86" s="82">
        <f ca="1">IFERROR(__xludf.DUMMYFUNCTION("IMPORTRANGE(""https://docs.google.com/spreadsheets/d/1MeEWN-I1oV_STSDYn1IFDPWt_1FKiwhDph83XaGc0o0/edit?usp=sharing"",""งบพรบ!EX86"")"),342000)</f>
        <v>342000</v>
      </c>
      <c r="F86" s="82">
        <f ca="1">IFERROR(__xludf.DUMMYFUNCTION("IMPORTRANGE(""https://docs.google.com/spreadsheets/d/1MeEWN-I1oV_STSDYn1IFDPWt_1FKiwhDph83XaGc0o0/edit?usp=sharing"",""งบพรบ!EY86"")"),358810)</f>
        <v>358810</v>
      </c>
      <c r="G86" s="82">
        <f ca="1">IFERROR(__xludf.DUMMYFUNCTION("IMPORTRANGE(""https://docs.google.com/spreadsheets/d/1MeEWN-I1oV_STSDYn1IFDPWt_1FKiwhDph83XaGc0o0/edit?usp=sharing"",""งบพรบ!EZ86"")"),37800)</f>
        <v>37800</v>
      </c>
      <c r="H86" s="82">
        <f ca="1">IFERROR(__xludf.DUMMYFUNCTION("IMPORTRANGE(""https://docs.google.com/spreadsheets/d/1MeEWN-I1oV_STSDYn1IFDPWt_1FKiwhDph83XaGc0o0/edit?usp=sharing"",""งบพรบ!FB86"")"),488870)</f>
        <v>488870</v>
      </c>
      <c r="I86" s="82">
        <f ca="1">IFERROR(__xludf.DUMMYFUNCTION("IMPORTRANGE(""https://docs.google.com/spreadsheets/d/1MeEWN-I1oV_STSDYn1IFDPWt_1FKiwhDph83XaGc0o0/edit?usp=sharing"",""งบพรบ!FC86"")"),37800)</f>
        <v>37800</v>
      </c>
      <c r="J86" s="82">
        <f t="shared" ca="1" si="3"/>
        <v>285582.57</v>
      </c>
      <c r="K86" s="83">
        <f t="shared" ca="1" si="4"/>
        <v>38.664866438309801</v>
      </c>
      <c r="L86" s="82">
        <f ca="1">IFERROR(__xludf.DUMMYFUNCTION("IMPORTRANGE(""https://docs.google.com/spreadsheets/d/1MeEWN-I1oV_STSDYn1IFDPWt_1FKiwhDph83XaGc0o0/edit?usp=sharing"",""งบพรบ!FD86"")"),247782.57)</f>
        <v>247782.57</v>
      </c>
      <c r="M86" s="84">
        <f t="shared" ca="1" si="5"/>
        <v>35.356597365905166</v>
      </c>
      <c r="N86" s="84">
        <f t="shared" ca="1" si="6"/>
        <v>50.684756683780961</v>
      </c>
      <c r="O86" s="85">
        <f ca="1">IFERROR(__xludf.DUMMYFUNCTION("IMPORTRANGE(""https://docs.google.com/spreadsheets/d/1MeEWN-I1oV_STSDYn1IFDPWt_1FKiwhDph83XaGc0o0/edit?usp=sharing"",""งบพรบ!FE86"")"),37800)</f>
        <v>37800</v>
      </c>
      <c r="P86" s="84">
        <f t="shared" ca="1" si="53"/>
        <v>100</v>
      </c>
      <c r="Q86" s="84">
        <f t="shared" ca="1" si="8"/>
        <v>100</v>
      </c>
      <c r="R86" s="86">
        <f ca="1">IFERROR(__xludf.DUMMYFUNCTION("IMPORTRANGE(""https://docs.google.com/spreadsheets/d/16o_4B-V7AWw_6E93bSpXj_XxVv1oVQctk-B6z1dNEWU/edit?usp=sharing"",""สงขลา!I359"")"),1400)</f>
        <v>1400</v>
      </c>
      <c r="S86" s="86">
        <f ca="1">IFERROR(__xludf.DUMMYFUNCTION("IMPORTRANGE(""https://docs.google.com/spreadsheets/d/16o_4B-V7AWw_6E93bSpXj_XxVv1oVQctk-B6z1dNEWU/edit?usp=sharing"",""สงขลา!J358"")"),112)</f>
        <v>112</v>
      </c>
      <c r="T86" s="86">
        <f ca="1">IFERROR(__xludf.DUMMYFUNCTION("IMPORTRANGE(""https://docs.google.com/spreadsheets/d/16o_4B-V7AWw_6E93bSpXj_XxVv1oVQctk-B6z1dNEWU/edit?usp=sharing"",""สงขลา!J359"")"),840.63)</f>
        <v>840.63</v>
      </c>
      <c r="U86" s="87">
        <f t="shared" ca="1" si="43"/>
        <v>60.045000000000002</v>
      </c>
      <c r="V86" s="86">
        <f ca="1">IFERROR(__xludf.DUMMYFUNCTION("IMPORTRANGE(""https://docs.google.com/spreadsheets/d/16o_4B-V7AWw_6E93bSpXj_XxVv1oVQctk-B6z1dNEWU/edit?usp=sharing"",""สงขลา!I360"")"),140)</f>
        <v>140</v>
      </c>
      <c r="W86" s="86">
        <f ca="1">IFERROR(__xludf.DUMMYFUNCTION("IMPORTRANGE(""https://docs.google.com/spreadsheets/d/16o_4B-V7AWw_6E93bSpXj_XxVv1oVQctk-B6z1dNEWU/edit?usp=sharing"",""สงขลา!J360"")"),47)</f>
        <v>47</v>
      </c>
      <c r="X86" s="86">
        <f ca="1">IFERROR(__xludf.DUMMYFUNCTION("IMPORTRANGE(""https://docs.google.com/spreadsheets/d/16o_4B-V7AWw_6E93bSpXj_XxVv1oVQctk-B6z1dNEWU/edit?usp=sharing"",""สงขลา!J361"")"),327.36)</f>
        <v>327.36</v>
      </c>
      <c r="Y86" s="87">
        <f t="shared" ca="1" si="44"/>
        <v>33.571428571428569</v>
      </c>
      <c r="Z86" s="86">
        <f ca="1">IFERROR(__xludf.DUMMYFUNCTION("IMPORTRANGE(""https://docs.google.com/spreadsheets/d/16o_4B-V7AWw_6E93bSpXj_XxVv1oVQctk-B6z1dNEWU/edit?usp=sharing"",""สงขลา!I362"")"),140)</f>
        <v>140</v>
      </c>
      <c r="AA86" s="86">
        <f ca="1">IFERROR(__xludf.DUMMYFUNCTION("IMPORTRANGE(""https://docs.google.com/spreadsheets/d/16o_4B-V7AWw_6E93bSpXj_XxVv1oVQctk-B6z1dNEWU/edit?usp=sharing"",""สงขลา!J362"")"),0)</f>
        <v>0</v>
      </c>
      <c r="AB86" s="86">
        <f ca="1">IFERROR(__xludf.DUMMYFUNCTION("IMPORTRANGE(""https://docs.google.com/spreadsheets/d/16o_4B-V7AWw_6E93bSpXj_XxVv1oVQctk-B6z1dNEWU/edit?usp=sharing"",""สงขลา!J363"")"),0)</f>
        <v>0</v>
      </c>
      <c r="AC86" s="87">
        <f t="shared" ca="1" si="45"/>
        <v>0</v>
      </c>
      <c r="AD86" s="86">
        <f ca="1">IFERROR(__xludf.DUMMYFUNCTION("IMPORTRANGE(""https://docs.google.com/spreadsheets/d/16o_4B-V7AWw_6E93bSpXj_XxVv1oVQctk-B6z1dNEWU/edit?usp=sharing"",""สงขลา!I364"")"),290)</f>
        <v>290</v>
      </c>
      <c r="AE86" s="86">
        <f ca="1">IFERROR(__xludf.DUMMYFUNCTION("IMPORTRANGE(""https://docs.google.com/spreadsheets/d/16o_4B-V7AWw_6E93bSpXj_XxVv1oVQctk-B6z1dNEWU/edit?usp=sharing"",""สงขลา!J364"")"),164)</f>
        <v>164</v>
      </c>
      <c r="AF86" s="87">
        <f t="shared" ca="1" si="16"/>
        <v>56.551724137931032</v>
      </c>
      <c r="AG86" s="86">
        <f ca="1">IFERROR(__xludf.DUMMYFUNCTION("IMPORTRANGE(""https://docs.google.com/spreadsheets/d/16o_4B-V7AWw_6E93bSpXj_XxVv1oVQctk-B6z1dNEWU/edit?usp=sharing"",""สงขลา!I369"")"),400)</f>
        <v>400</v>
      </c>
      <c r="AH86" s="86">
        <f ca="1">IFERROR(__xludf.DUMMYFUNCTION("IMPORTRANGE(""https://docs.google.com/spreadsheets/d/16o_4B-V7AWw_6E93bSpXj_XxVv1oVQctk-B6z1dNEWU/edit?usp=sharing"",""สงขลา!J368"")"),44)</f>
        <v>44</v>
      </c>
      <c r="AI86" s="86">
        <f ca="1">IFERROR(__xludf.DUMMYFUNCTION("IMPORTRANGE(""https://docs.google.com/spreadsheets/d/16o_4B-V7AWw_6E93bSpXj_XxVv1oVQctk-B6z1dNEWU/edit?usp=sharing"",""สงขลา!J369"")"),282.81)</f>
        <v>282.81</v>
      </c>
      <c r="AJ86" s="87">
        <f t="shared" ca="1" si="46"/>
        <v>70.702500000000001</v>
      </c>
      <c r="AK86" s="86">
        <f ca="1">IFERROR(__xludf.DUMMYFUNCTION("IMPORTRANGE(""https://docs.google.com/spreadsheets/d/16o_4B-V7AWw_6E93bSpXj_XxVv1oVQctk-B6z1dNEWU/edit?usp=sharing"",""สงขลา!I370"")"),40)</f>
        <v>40</v>
      </c>
      <c r="AL86" s="86">
        <f ca="1">IFERROR(__xludf.DUMMYFUNCTION("IMPORTRANGE(""https://docs.google.com/spreadsheets/d/16o_4B-V7AWw_6E93bSpXj_XxVv1oVQctk-B6z1dNEWU/edit?usp=sharing"",""สงขลา!J370"")"),46)</f>
        <v>46</v>
      </c>
      <c r="AM86" s="86">
        <f ca="1">IFERROR(__xludf.DUMMYFUNCTION("IMPORTRANGE(""https://docs.google.com/spreadsheets/d/16o_4B-V7AWw_6E93bSpXj_XxVv1oVQctk-B6z1dNEWU/edit?usp=sharing"",""สงขลา!J371"")"),320.74)</f>
        <v>320.74</v>
      </c>
      <c r="AN86" s="87">
        <f t="shared" ca="1" si="47"/>
        <v>115</v>
      </c>
      <c r="AO86" s="86">
        <f ca="1">IFERROR(__xludf.DUMMYFUNCTION("IMPORTRANGE(""https://docs.google.com/spreadsheets/d/16o_4B-V7AWw_6E93bSpXj_XxVv1oVQctk-B6z1dNEWU/edit?usp=sharing"",""สงขลา!I372"")"),40)</f>
        <v>40</v>
      </c>
      <c r="AP86" s="86">
        <f ca="1">IFERROR(__xludf.DUMMYFUNCTION("IMPORTRANGE(""https://docs.google.com/spreadsheets/d/16o_4B-V7AWw_6E93bSpXj_XxVv1oVQctk-B6z1dNEWU/edit?usp=sharing"",""สงขลา!J372"")"),0)</f>
        <v>0</v>
      </c>
      <c r="AQ86" s="86">
        <f ca="1">IFERROR(__xludf.DUMMYFUNCTION("IMPORTRANGE(""https://docs.google.com/spreadsheets/d/16o_4B-V7AWw_6E93bSpXj_XxVv1oVQctk-B6z1dNEWU/edit?usp=sharing"",""สงขลา!J373"")"),0)</f>
        <v>0</v>
      </c>
      <c r="AR86" s="87">
        <f t="shared" ca="1" si="48"/>
        <v>0</v>
      </c>
      <c r="AS86" s="86">
        <f ca="1">IFERROR(__xludf.DUMMYFUNCTION("IMPORTRANGE(""https://docs.google.com/spreadsheets/d/16o_4B-V7AWw_6E93bSpXj_XxVv1oVQctk-B6z1dNEWU/edit?usp=sharing"",""สงขลา!I378"")"),1000)</f>
        <v>1000</v>
      </c>
      <c r="AT86" s="86">
        <f ca="1">IFERROR(__xludf.DUMMYFUNCTION("IMPORTRANGE(""https://docs.google.com/spreadsheets/d/16o_4B-V7AWw_6E93bSpXj_XxVv1oVQctk-B6z1dNEWU/edit?usp=sharing"",""สงขลา!J377"")"),68)</f>
        <v>68</v>
      </c>
      <c r="AU86" s="86">
        <f ca="1">IFERROR(__xludf.DUMMYFUNCTION("IMPORTRANGE(""https://docs.google.com/spreadsheets/d/16o_4B-V7AWw_6E93bSpXj_XxVv1oVQctk-B6z1dNEWU/edit?usp=sharing"",""สงขลา!J378"")"),557.82)</f>
        <v>557.82000000000005</v>
      </c>
      <c r="AV86" s="87">
        <f t="shared" ca="1" si="49"/>
        <v>55.782000000000011</v>
      </c>
      <c r="AW86" s="86">
        <f ca="1">IFERROR(__xludf.DUMMYFUNCTION("IMPORTRANGE(""https://docs.google.com/spreadsheets/d/16o_4B-V7AWw_6E93bSpXj_XxVv1oVQctk-B6z1dNEWU/edit?usp=sharing"",""สงขลา!I379"")"),250)</f>
        <v>250</v>
      </c>
      <c r="AX86" s="86">
        <f ca="1">IFERROR(__xludf.DUMMYFUNCTION("IMPORTRANGE(""https://docs.google.com/spreadsheets/d/16o_4B-V7AWw_6E93bSpXj_XxVv1oVQctk-B6z1dNEWU/edit?usp=sharing"",""สงขลา!J379"")"),165)</f>
        <v>165</v>
      </c>
      <c r="AY86" s="86">
        <f ca="1">IFERROR(__xludf.DUMMYFUNCTION("IMPORTRANGE(""https://docs.google.com/spreadsheets/d/16o_4B-V7AWw_6E93bSpXj_XxVv1oVQctk-B6z1dNEWU/edit?usp=sharing"",""สงขลา!J380"")"),2061.16)</f>
        <v>2061.16</v>
      </c>
      <c r="AZ86" s="87">
        <f t="shared" ca="1" si="50"/>
        <v>66</v>
      </c>
      <c r="BA86" s="86">
        <f ca="1">IFERROR(__xludf.DUMMYFUNCTION("IMPORTRANGE(""https://docs.google.com/spreadsheets/d/16o_4B-V7AWw_6E93bSpXj_XxVv1oVQctk-B6z1dNEWU/edit?usp=sharing"",""สงขลา!I381"")"),250)</f>
        <v>250</v>
      </c>
      <c r="BB86" s="86">
        <f ca="1">IFERROR(__xludf.DUMMYFUNCTION("IMPORTRANGE(""https://docs.google.com/spreadsheets/d/16o_4B-V7AWw_6E93bSpXj_XxVv1oVQctk-B6z1dNEWU/edit?usp=sharing"",""สงขลา!J381"")"),164)</f>
        <v>164</v>
      </c>
      <c r="BC86" s="86">
        <f ca="1">IFERROR(__xludf.DUMMYFUNCTION("IMPORTRANGE(""https://docs.google.com/spreadsheets/d/16o_4B-V7AWw_6E93bSpXj_XxVv1oVQctk-B6z1dNEWU/edit?usp=sharing"",""สงขลา!J382"")"),2054.54)</f>
        <v>2054.54</v>
      </c>
      <c r="BD86" s="87">
        <f t="shared" ca="1" si="51"/>
        <v>65.599999999999994</v>
      </c>
    </row>
    <row r="87" spans="1:56" ht="24" customHeight="1" x14ac:dyDescent="0.2">
      <c r="A87" s="78">
        <v>13</v>
      </c>
      <c r="B87" s="79" t="s">
        <v>109</v>
      </c>
      <c r="C87" s="80">
        <f t="shared" ca="1" si="0"/>
        <v>518480</v>
      </c>
      <c r="D87" s="81">
        <f t="shared" ca="1" si="100"/>
        <v>442480</v>
      </c>
      <c r="E87" s="82">
        <f ca="1">IFERROR(__xludf.DUMMYFUNCTION("IMPORTRANGE(""https://docs.google.com/spreadsheets/d/1MeEWN-I1oV_STSDYn1IFDPWt_1FKiwhDph83XaGc0o0/edit?usp=sharing"",""งบพรบ!EX87"")"),201600)</f>
        <v>201600</v>
      </c>
      <c r="F87" s="82">
        <f ca="1">IFERROR(__xludf.DUMMYFUNCTION("IMPORTRANGE(""https://docs.google.com/spreadsheets/d/1MeEWN-I1oV_STSDYn1IFDPWt_1FKiwhDph83XaGc0o0/edit?usp=sharing"",""งบพรบ!EY87"")"),240880)</f>
        <v>240880</v>
      </c>
      <c r="G87" s="82">
        <f ca="1">IFERROR(__xludf.DUMMYFUNCTION("IMPORTRANGE(""https://docs.google.com/spreadsheets/d/1MeEWN-I1oV_STSDYn1IFDPWt_1FKiwhDph83XaGc0o0/edit?usp=sharing"",""งบพรบ!EZ87"")"),76000)</f>
        <v>76000</v>
      </c>
      <c r="H87" s="82">
        <f ca="1">IFERROR(__xludf.DUMMYFUNCTION("IMPORTRANGE(""https://docs.google.com/spreadsheets/d/1MeEWN-I1oV_STSDYn1IFDPWt_1FKiwhDph83XaGc0o0/edit?usp=sharing"",""งบพรบ!FB87"")"),320470)</f>
        <v>320470</v>
      </c>
      <c r="I87" s="82">
        <f ca="1">IFERROR(__xludf.DUMMYFUNCTION("IMPORTRANGE(""https://docs.google.com/spreadsheets/d/1MeEWN-I1oV_STSDYn1IFDPWt_1FKiwhDph83XaGc0o0/edit?usp=sharing"",""งบพรบ!FC87"")"),76000)</f>
        <v>76000</v>
      </c>
      <c r="J87" s="82">
        <f t="shared" ca="1" si="3"/>
        <v>216098.36</v>
      </c>
      <c r="K87" s="83">
        <f t="shared" ca="1" si="4"/>
        <v>41.679208455485266</v>
      </c>
      <c r="L87" s="82">
        <f ca="1">IFERROR(__xludf.DUMMYFUNCTION("IMPORTRANGE(""https://docs.google.com/spreadsheets/d/1MeEWN-I1oV_STSDYn1IFDPWt_1FKiwhDph83XaGc0o0/edit?usp=sharing"",""งบพรบ!FD87"")"),140098.36)</f>
        <v>140098.35999999999</v>
      </c>
      <c r="M87" s="84">
        <f t="shared" ca="1" si="5"/>
        <v>31.662077382028563</v>
      </c>
      <c r="N87" s="84">
        <f t="shared" ca="1" si="6"/>
        <v>43.716528848254121</v>
      </c>
      <c r="O87" s="85">
        <f ca="1">IFERROR(__xludf.DUMMYFUNCTION("IMPORTRANGE(""https://docs.google.com/spreadsheets/d/1MeEWN-I1oV_STSDYn1IFDPWt_1FKiwhDph83XaGc0o0/edit?usp=sharing"",""งบพรบ!FE87"")"),76000)</f>
        <v>76000</v>
      </c>
      <c r="P87" s="84">
        <f t="shared" ca="1" si="53"/>
        <v>100</v>
      </c>
      <c r="Q87" s="84">
        <f t="shared" ca="1" si="8"/>
        <v>100</v>
      </c>
      <c r="R87" s="86">
        <f ca="1">IFERROR(__xludf.DUMMYFUNCTION("IMPORTRANGE(""https://docs.google.com/spreadsheets/d/16cywr71Fj4fA5OGRHsZh30ZG2gwJhMAQv69oVBzYHv0/edit?usp=sharing"",""สตูล!I359"")"),379)</f>
        <v>379</v>
      </c>
      <c r="S87" s="86">
        <f ca="1">IFERROR(__xludf.DUMMYFUNCTION("IMPORTRANGE(""https://docs.google.com/spreadsheets/d/16cywr71Fj4fA5OGRHsZh30ZG2gwJhMAQv69oVBzYHv0/edit?usp=sharing"",""สตูล!J358"")"),46)</f>
        <v>46</v>
      </c>
      <c r="T87" s="86">
        <f ca="1">IFERROR(__xludf.DUMMYFUNCTION("IMPORTRANGE(""https://docs.google.com/spreadsheets/d/16cywr71Fj4fA5OGRHsZh30ZG2gwJhMAQv69oVBzYHv0/edit?usp=sharing"",""สตูล!J359"")"),224.829999999999)</f>
        <v>224.82999999999899</v>
      </c>
      <c r="U87" s="87">
        <f t="shared" ca="1" si="43"/>
        <v>59.321899736147486</v>
      </c>
      <c r="V87" s="86">
        <f ca="1">IFERROR(__xludf.DUMMYFUNCTION("IMPORTRANGE(""https://docs.google.com/spreadsheets/d/16cywr71Fj4fA5OGRHsZh30ZG2gwJhMAQv69oVBzYHv0/edit?usp=sharing"",""สตูล!I360"")"),78)</f>
        <v>78</v>
      </c>
      <c r="W87" s="86">
        <f ca="1">IFERROR(__xludf.DUMMYFUNCTION("IMPORTRANGE(""https://docs.google.com/spreadsheets/d/16cywr71Fj4fA5OGRHsZh30ZG2gwJhMAQv69oVBzYHv0/edit?usp=sharing"",""สตูล!J360"")"),46)</f>
        <v>46</v>
      </c>
      <c r="X87" s="86">
        <f ca="1">IFERROR(__xludf.DUMMYFUNCTION("IMPORTRANGE(""https://docs.google.com/spreadsheets/d/16cywr71Fj4fA5OGRHsZh30ZG2gwJhMAQv69oVBzYHv0/edit?usp=sharing"",""สตูล!J361"")"),224.829999999999)</f>
        <v>224.82999999999899</v>
      </c>
      <c r="Y87" s="87">
        <f t="shared" ca="1" si="44"/>
        <v>58.974358974358971</v>
      </c>
      <c r="Z87" s="86">
        <f ca="1">IFERROR(__xludf.DUMMYFUNCTION("IMPORTRANGE(""https://docs.google.com/spreadsheets/d/16cywr71Fj4fA5OGRHsZh30ZG2gwJhMAQv69oVBzYHv0/edit?usp=sharing"",""สตูล!I362"")"),78)</f>
        <v>78</v>
      </c>
      <c r="AA87" s="86">
        <f ca="1">IFERROR(__xludf.DUMMYFUNCTION("IMPORTRANGE(""https://docs.google.com/spreadsheets/d/16cywr71Fj4fA5OGRHsZh30ZG2gwJhMAQv69oVBzYHv0/edit?usp=sharing"",""สตูล!J362"")"),15)</f>
        <v>15</v>
      </c>
      <c r="AB87" s="86">
        <f ca="1">IFERROR(__xludf.DUMMYFUNCTION("IMPORTRANGE(""https://docs.google.com/spreadsheets/d/16cywr71Fj4fA5OGRHsZh30ZG2gwJhMAQv69oVBzYHv0/edit?usp=sharing"",""สตูล!J363"")"),120.47)</f>
        <v>120.47</v>
      </c>
      <c r="AC87" s="87">
        <f t="shared" ca="1" si="45"/>
        <v>19.23076923076923</v>
      </c>
      <c r="AD87" s="86">
        <f ca="1">IFERROR(__xludf.DUMMYFUNCTION("IMPORTRANGE(""https://docs.google.com/spreadsheets/d/16cywr71Fj4fA5OGRHsZh30ZG2gwJhMAQv69oVBzYHv0/edit?usp=sharing"",""สตูล!I364"")"),141)</f>
        <v>141</v>
      </c>
      <c r="AE87" s="86">
        <f ca="1">IFERROR(__xludf.DUMMYFUNCTION("IMPORTRANGE(""https://docs.google.com/spreadsheets/d/16cywr71Fj4fA5OGRHsZh30ZG2gwJhMAQv69oVBzYHv0/edit?usp=sharing"",""สตูล!J364"")"),23)</f>
        <v>23</v>
      </c>
      <c r="AF87" s="87">
        <f t="shared" ca="1" si="16"/>
        <v>16.312056737588652</v>
      </c>
      <c r="AG87" s="86">
        <f ca="1">IFERROR(__xludf.DUMMYFUNCTION("IMPORTRANGE(""https://docs.google.com/spreadsheets/d/16cywr71Fj4fA5OGRHsZh30ZG2gwJhMAQv69oVBzYHv0/edit?usp=sharing"",""สตูล!I369"")"),200)</f>
        <v>200</v>
      </c>
      <c r="AH87" s="86">
        <f ca="1">IFERROR(__xludf.DUMMYFUNCTION("IMPORTRANGE(""https://docs.google.com/spreadsheets/d/16cywr71Fj4fA5OGRHsZh30ZG2gwJhMAQv69oVBzYHv0/edit?usp=sharing"",""สตูล!J368"")"),31)</f>
        <v>31</v>
      </c>
      <c r="AI87" s="86">
        <f ca="1">IFERROR(__xludf.DUMMYFUNCTION("IMPORTRANGE(""https://docs.google.com/spreadsheets/d/16cywr71Fj4fA5OGRHsZh30ZG2gwJhMAQv69oVBzYHv0/edit?usp=sharing"",""สตูล!J369"")"),104.36)</f>
        <v>104.36</v>
      </c>
      <c r="AJ87" s="87">
        <f t="shared" ca="1" si="46"/>
        <v>52.18</v>
      </c>
      <c r="AK87" s="86">
        <f ca="1">IFERROR(__xludf.DUMMYFUNCTION("IMPORTRANGE(""https://docs.google.com/spreadsheets/d/16cywr71Fj4fA5OGRHsZh30ZG2gwJhMAQv69oVBzYHv0/edit?usp=sharing"",""สตูล!I370"")"),40)</f>
        <v>40</v>
      </c>
      <c r="AL87" s="86">
        <f ca="1">IFERROR(__xludf.DUMMYFUNCTION("IMPORTRANGE(""https://docs.google.com/spreadsheets/d/16cywr71Fj4fA5OGRHsZh30ZG2gwJhMAQv69oVBzYHv0/edit?usp=sharing"",""สตูล!J370"")"),31)</f>
        <v>31</v>
      </c>
      <c r="AM87" s="86">
        <f ca="1">IFERROR(__xludf.DUMMYFUNCTION("IMPORTRANGE(""https://docs.google.com/spreadsheets/d/16cywr71Fj4fA5OGRHsZh30ZG2gwJhMAQv69oVBzYHv0/edit?usp=sharing"",""สตูล!J371"")"),104.36)</f>
        <v>104.36</v>
      </c>
      <c r="AN87" s="87">
        <f t="shared" ca="1" si="47"/>
        <v>77.5</v>
      </c>
      <c r="AO87" s="86">
        <f ca="1">IFERROR(__xludf.DUMMYFUNCTION("IMPORTRANGE(""https://docs.google.com/spreadsheets/d/16cywr71Fj4fA5OGRHsZh30ZG2gwJhMAQv69oVBzYHv0/edit?usp=sharing"",""สตูล!I372"")"),40)</f>
        <v>40</v>
      </c>
      <c r="AP87" s="86">
        <f ca="1">IFERROR(__xludf.DUMMYFUNCTION("IMPORTRANGE(""https://docs.google.com/spreadsheets/d/16cywr71Fj4fA5OGRHsZh30ZG2gwJhMAQv69oVBzYHv0/edit?usp=sharing"",""สตูล!J372"")"),0)</f>
        <v>0</v>
      </c>
      <c r="AQ87" s="86">
        <f ca="1">IFERROR(__xludf.DUMMYFUNCTION("IMPORTRANGE(""https://docs.google.com/spreadsheets/d/16cywr71Fj4fA5OGRHsZh30ZG2gwJhMAQv69oVBzYHv0/edit?usp=sharing"",""สตูล!J373"")"),0)</f>
        <v>0</v>
      </c>
      <c r="AR87" s="87">
        <f t="shared" ca="1" si="48"/>
        <v>0</v>
      </c>
      <c r="AS87" s="86">
        <f ca="1">IFERROR(__xludf.DUMMYFUNCTION("IMPORTRANGE(""https://docs.google.com/spreadsheets/d/16cywr71Fj4fA5OGRHsZh30ZG2gwJhMAQv69oVBzYHv0/edit?usp=sharing"",""สตูล!I378"")"),179)</f>
        <v>179</v>
      </c>
      <c r="AT87" s="86">
        <f ca="1">IFERROR(__xludf.DUMMYFUNCTION("IMPORTRANGE(""https://docs.google.com/spreadsheets/d/16cywr71Fj4fA5OGRHsZh30ZG2gwJhMAQv69oVBzYHv0/edit?usp=sharing"",""สตูล!J377"")"),21)</f>
        <v>21</v>
      </c>
      <c r="AU87" s="86">
        <f ca="1">IFERROR(__xludf.DUMMYFUNCTION("IMPORTRANGE(""https://docs.google.com/spreadsheets/d/16cywr71Fj4fA5OGRHsZh30ZG2gwJhMAQv69oVBzYHv0/edit?usp=sharing"",""สตูล!J378"")"),163.37)</f>
        <v>163.37</v>
      </c>
      <c r="AV87" s="87">
        <f t="shared" ca="1" si="49"/>
        <v>91.268156424581008</v>
      </c>
      <c r="AW87" s="86">
        <f ca="1">IFERROR(__xludf.DUMMYFUNCTION("IMPORTRANGE(""https://docs.google.com/spreadsheets/d/16cywr71Fj4fA5OGRHsZh30ZG2gwJhMAQv69oVBzYHv0/edit?usp=sharing"",""สตูล!I379"")"),101)</f>
        <v>101</v>
      </c>
      <c r="AX87" s="86">
        <f ca="1">IFERROR(__xludf.DUMMYFUNCTION("IMPORTRANGE(""https://docs.google.com/spreadsheets/d/16cywr71Fj4fA5OGRHsZh30ZG2gwJhMAQv69oVBzYHv0/edit?usp=sharing"",""สตูล!J379"")"),23)</f>
        <v>23</v>
      </c>
      <c r="AY87" s="86">
        <f ca="1">IFERROR(__xludf.DUMMYFUNCTION("IMPORTRANGE(""https://docs.google.com/spreadsheets/d/16cywr71Fj4fA5OGRHsZh30ZG2gwJhMAQv69oVBzYHv0/edit?usp=sharing"",""สตูล!J380"")"),181.28)</f>
        <v>181.28</v>
      </c>
      <c r="AZ87" s="87">
        <f t="shared" ca="1" si="50"/>
        <v>22.772277227722771</v>
      </c>
      <c r="BA87" s="86">
        <f ca="1">IFERROR(__xludf.DUMMYFUNCTION("IMPORTRANGE(""https://docs.google.com/spreadsheets/d/16cywr71Fj4fA5OGRHsZh30ZG2gwJhMAQv69oVBzYHv0/edit?usp=sharing"",""สตูล!I381"")"),101)</f>
        <v>101</v>
      </c>
      <c r="BB87" s="86">
        <f ca="1">IFERROR(__xludf.DUMMYFUNCTION("IMPORTRANGE(""https://docs.google.com/spreadsheets/d/16cywr71Fj4fA5OGRHsZh30ZG2gwJhMAQv69oVBzYHv0/edit?usp=sharing"",""สตูล!J381"")"),23)</f>
        <v>23</v>
      </c>
      <c r="BC87" s="86">
        <f ca="1">IFERROR(__xludf.DUMMYFUNCTION("IMPORTRANGE(""https://docs.google.com/spreadsheets/d/16cywr71Fj4fA5OGRHsZh30ZG2gwJhMAQv69oVBzYHv0/edit?usp=sharing"",""สตูล!J382"")"),181.28)</f>
        <v>181.28</v>
      </c>
      <c r="BD87" s="87">
        <f t="shared" ca="1" si="51"/>
        <v>22.772277227722771</v>
      </c>
    </row>
    <row r="88" spans="1:56" ht="24" customHeight="1" x14ac:dyDescent="0.2">
      <c r="A88" s="89">
        <v>14</v>
      </c>
      <c r="B88" s="90" t="s">
        <v>110</v>
      </c>
      <c r="C88" s="91">
        <f t="shared" ca="1" si="0"/>
        <v>1438760</v>
      </c>
      <c r="D88" s="92">
        <f t="shared" ca="1" si="100"/>
        <v>1287160</v>
      </c>
      <c r="E88" s="93">
        <f ca="1">IFERROR(__xludf.DUMMYFUNCTION("IMPORTRANGE(""https://docs.google.com/spreadsheets/d/1MeEWN-I1oV_STSDYn1IFDPWt_1FKiwhDph83XaGc0o0/edit?usp=sharing"",""งบพรบ!EX88"")"),342000)</f>
        <v>342000</v>
      </c>
      <c r="F88" s="93">
        <f ca="1">IFERROR(__xludf.DUMMYFUNCTION("IMPORTRANGE(""https://docs.google.com/spreadsheets/d/1MeEWN-I1oV_STSDYn1IFDPWt_1FKiwhDph83XaGc0o0/edit?usp=sharing"",""งบพรบ!EY88"")"),945160)</f>
        <v>945160</v>
      </c>
      <c r="G88" s="93">
        <f ca="1">IFERROR(__xludf.DUMMYFUNCTION("IMPORTRANGE(""https://docs.google.com/spreadsheets/d/1MeEWN-I1oV_STSDYn1IFDPWt_1FKiwhDph83XaGc0o0/edit?usp=sharing"",""งบพรบ!EZ88"")"),151600)</f>
        <v>151600</v>
      </c>
      <c r="H88" s="93">
        <f ca="1">IFERROR(__xludf.DUMMYFUNCTION("IMPORTRANGE(""https://docs.google.com/spreadsheets/d/1MeEWN-I1oV_STSDYn1IFDPWt_1FKiwhDph83XaGc0o0/edit?usp=sharing"",""งบพรบ!FB88"")"),820370)</f>
        <v>820370</v>
      </c>
      <c r="I88" s="93">
        <f ca="1">IFERROR(__xludf.DUMMYFUNCTION("IMPORTRANGE(""https://docs.google.com/spreadsheets/d/1MeEWN-I1oV_STSDYn1IFDPWt_1FKiwhDph83XaGc0o0/edit?usp=sharing"",""งบพรบ!FC88"")"),130400)</f>
        <v>130400</v>
      </c>
      <c r="J88" s="93">
        <f t="shared" ca="1" si="3"/>
        <v>585686.58000000007</v>
      </c>
      <c r="K88" s="94">
        <f t="shared" ca="1" si="4"/>
        <v>40.707733047902366</v>
      </c>
      <c r="L88" s="93">
        <f ca="1">IFERROR(__xludf.DUMMYFUNCTION("IMPORTRANGE(""https://docs.google.com/spreadsheets/d/1MeEWN-I1oV_STSDYn1IFDPWt_1FKiwhDph83XaGc0o0/edit?usp=sharing"",""งบพรบ!FD88"")"),455286.58)</f>
        <v>455286.58</v>
      </c>
      <c r="M88" s="95">
        <f t="shared" ca="1" si="5"/>
        <v>35.371405264302808</v>
      </c>
      <c r="N88" s="95">
        <f t="shared" ca="1" si="6"/>
        <v>55.497712007996391</v>
      </c>
      <c r="O88" s="96">
        <f ca="1">IFERROR(__xludf.DUMMYFUNCTION("IMPORTRANGE(""https://docs.google.com/spreadsheets/d/1MeEWN-I1oV_STSDYn1IFDPWt_1FKiwhDph83XaGc0o0/edit?usp=sharing"",""งบพรบ!FE88"")"),130400)</f>
        <v>130400</v>
      </c>
      <c r="P88" s="95">
        <f t="shared" ca="1" si="53"/>
        <v>86.01583113456465</v>
      </c>
      <c r="Q88" s="95">
        <f t="shared" ca="1" si="8"/>
        <v>100</v>
      </c>
      <c r="R88" s="97">
        <f ca="1">IFERROR(__xludf.DUMMYFUNCTION("IMPORTRANGE(""https://docs.google.com/spreadsheets/d/1vO9Sws6kMtrVtyvrAJptINXjK8TFBoX9xLYOVK_C8bQ/edit?usp=sharing"",""สุราษฎร์ธานี!I359"")"),5000)</f>
        <v>5000</v>
      </c>
      <c r="S88" s="97">
        <f ca="1">IFERROR(__xludf.DUMMYFUNCTION("IMPORTRANGE(""https://docs.google.com/spreadsheets/d/1vO9Sws6kMtrVtyvrAJptINXjK8TFBoX9xLYOVK_C8bQ/edit?usp=sharing"",""สุราษฎร์ธานี!J358"")"),311)</f>
        <v>311</v>
      </c>
      <c r="T88" s="97">
        <f ca="1">IFERROR(__xludf.DUMMYFUNCTION("IMPORTRANGE(""https://docs.google.com/spreadsheets/d/1vO9Sws6kMtrVtyvrAJptINXjK8TFBoX9xLYOVK_C8bQ/edit?usp=sharing"",""สุราษฎร์ธานี!J359"")"),3273.66)</f>
        <v>3273.66</v>
      </c>
      <c r="U88" s="98">
        <f t="shared" ca="1" si="43"/>
        <v>65.473200000000006</v>
      </c>
      <c r="V88" s="97">
        <f ca="1">IFERROR(__xludf.DUMMYFUNCTION("IMPORTRANGE(""https://docs.google.com/spreadsheets/d/1vO9Sws6kMtrVtyvrAJptINXjK8TFBoX9xLYOVK_C8bQ/edit?usp=sharing"",""สุราษฎร์ธานี!I360"")"),500)</f>
        <v>500</v>
      </c>
      <c r="W88" s="97">
        <f ca="1">IFERROR(__xludf.DUMMYFUNCTION("IMPORTRANGE(""https://docs.google.com/spreadsheets/d/1vO9Sws6kMtrVtyvrAJptINXjK8TFBoX9xLYOVK_C8bQ/edit?usp=sharing"",""สุราษฎร์ธานี!J360"")"),226)</f>
        <v>226</v>
      </c>
      <c r="X88" s="97">
        <f ca="1">IFERROR(__xludf.DUMMYFUNCTION("IMPORTRANGE(""https://docs.google.com/spreadsheets/d/1vO9Sws6kMtrVtyvrAJptINXjK8TFBoX9xLYOVK_C8bQ/edit?usp=sharing"",""สุราษฎร์ธานี!J361"")"),2049.72)</f>
        <v>2049.7199999999998</v>
      </c>
      <c r="Y88" s="98">
        <f t="shared" ca="1" si="44"/>
        <v>45.2</v>
      </c>
      <c r="Z88" s="97">
        <f ca="1">IFERROR(__xludf.DUMMYFUNCTION("IMPORTRANGE(""https://docs.google.com/spreadsheets/d/1vO9Sws6kMtrVtyvrAJptINXjK8TFBoX9xLYOVK_C8bQ/edit?usp=sharing"",""สุราษฎร์ธานี!I362"")"),500)</f>
        <v>500</v>
      </c>
      <c r="AA88" s="97">
        <f ca="1">IFERROR(__xludf.DUMMYFUNCTION("IMPORTRANGE(""https://docs.google.com/spreadsheets/d/1vO9Sws6kMtrVtyvrAJptINXjK8TFBoX9xLYOVK_C8bQ/edit?usp=sharing"",""สุราษฎร์ธานี!J362"")"),107)</f>
        <v>107</v>
      </c>
      <c r="AB88" s="97">
        <f ca="1">IFERROR(__xludf.DUMMYFUNCTION("IMPORTRANGE(""https://docs.google.com/spreadsheets/d/1vO9Sws6kMtrVtyvrAJptINXjK8TFBoX9xLYOVK_C8bQ/edit?usp=sharing"",""สุราษฎร์ธานี!J363"")"),941.75)</f>
        <v>941.75</v>
      </c>
      <c r="AC88" s="98">
        <f t="shared" ca="1" si="45"/>
        <v>21.4</v>
      </c>
      <c r="AD88" s="97">
        <f ca="1">IFERROR(__xludf.DUMMYFUNCTION("IMPORTRANGE(""https://docs.google.com/spreadsheets/d/1vO9Sws6kMtrVtyvrAJptINXjK8TFBoX9xLYOVK_C8bQ/edit?usp=sharing"",""สุราษฎร์ธานี!I364"")"),800)</f>
        <v>800</v>
      </c>
      <c r="AE88" s="97">
        <f ca="1">IFERROR(__xludf.DUMMYFUNCTION("IMPORTRANGE(""https://docs.google.com/spreadsheets/d/1vO9Sws6kMtrVtyvrAJptINXjK8TFBoX9xLYOVK_C8bQ/edit?usp=sharing"",""สุราษฎร์ธานี!J364"")"),400)</f>
        <v>400</v>
      </c>
      <c r="AF88" s="98">
        <f t="shared" ca="1" si="16"/>
        <v>50</v>
      </c>
      <c r="AG88" s="97">
        <f ca="1">IFERROR(__xludf.DUMMYFUNCTION("IMPORTRANGE(""https://docs.google.com/spreadsheets/d/1vO9Sws6kMtrVtyvrAJptINXjK8TFBoX9xLYOVK_C8bQ/edit?usp=sharing"",""สุราษฎร์ธานี!I369"")"),1500)</f>
        <v>1500</v>
      </c>
      <c r="AH88" s="97">
        <f ca="1">IFERROR(__xludf.DUMMYFUNCTION("IMPORTRANGE(""https://docs.google.com/spreadsheets/d/1vO9Sws6kMtrVtyvrAJptINXjK8TFBoX9xLYOVK_C8bQ/edit?usp=sharing"",""สุราษฎร์ธานี!J368"")"),125)</f>
        <v>125</v>
      </c>
      <c r="AI88" s="97">
        <f ca="1">IFERROR(__xludf.DUMMYFUNCTION("IMPORTRANGE(""https://docs.google.com/spreadsheets/d/1vO9Sws6kMtrVtyvrAJptINXjK8TFBoX9xLYOVK_C8bQ/edit?usp=sharing"",""สุราษฎร์ธานี!J369"")"),1210.13)</f>
        <v>1210.1300000000001</v>
      </c>
      <c r="AJ88" s="98">
        <f t="shared" ca="1" si="46"/>
        <v>80.675333333333342</v>
      </c>
      <c r="AK88" s="97">
        <f ca="1">IFERROR(__xludf.DUMMYFUNCTION("IMPORTRANGE(""https://docs.google.com/spreadsheets/d/1vO9Sws6kMtrVtyvrAJptINXjK8TFBoX9xLYOVK_C8bQ/edit?usp=sharing"",""สุราษฎร์ธานี!I370"")"),150)</f>
        <v>150</v>
      </c>
      <c r="AL88" s="97">
        <f ca="1">IFERROR(__xludf.DUMMYFUNCTION("IMPORTRANGE(""https://docs.google.com/spreadsheets/d/1vO9Sws6kMtrVtyvrAJptINXjK8TFBoX9xLYOVK_C8bQ/edit?usp=sharing"",""สุราษฎร์ธานี!J370"")"),108)</f>
        <v>108</v>
      </c>
      <c r="AM88" s="97">
        <f ca="1">IFERROR(__xludf.DUMMYFUNCTION("IMPORTRANGE(""https://docs.google.com/spreadsheets/d/1vO9Sws6kMtrVtyvrAJptINXjK8TFBoX9xLYOVK_C8bQ/edit?usp=sharing"",""สุราษฎร์ธานี!J371"")"),944.93)</f>
        <v>944.93</v>
      </c>
      <c r="AN88" s="98">
        <f t="shared" ca="1" si="47"/>
        <v>72</v>
      </c>
      <c r="AO88" s="97">
        <f ca="1">IFERROR(__xludf.DUMMYFUNCTION("IMPORTRANGE(""https://docs.google.com/spreadsheets/d/1vO9Sws6kMtrVtyvrAJptINXjK8TFBoX9xLYOVK_C8bQ/edit?usp=sharing"",""สุราษฎร์ธานี!I372"")"),150)</f>
        <v>150</v>
      </c>
      <c r="AP88" s="97">
        <f ca="1">IFERROR(__xludf.DUMMYFUNCTION("IMPORTRANGE(""https://docs.google.com/spreadsheets/d/1vO9Sws6kMtrVtyvrAJptINXjK8TFBoX9xLYOVK_C8bQ/edit?usp=sharing"",""สุราษฎร์ธานี!J372"")"),107)</f>
        <v>107</v>
      </c>
      <c r="AQ88" s="97">
        <f ca="1">IFERROR(__xludf.DUMMYFUNCTION("IMPORTRANGE(""https://docs.google.com/spreadsheets/d/1vO9Sws6kMtrVtyvrAJptINXjK8TFBoX9xLYOVK_C8bQ/edit?usp=sharing"",""สุราษฎร์ธานี!J373"")"),941.75)</f>
        <v>941.75</v>
      </c>
      <c r="AR88" s="98">
        <f t="shared" ca="1" si="48"/>
        <v>71.333333333333329</v>
      </c>
      <c r="AS88" s="97">
        <f ca="1">IFERROR(__xludf.DUMMYFUNCTION("IMPORTRANGE(""https://docs.google.com/spreadsheets/d/1vO9Sws6kMtrVtyvrAJptINXjK8TFBoX9xLYOVK_C8bQ/edit?usp=sharing"",""สุราษฎร์ธานี!I378"")"),3500)</f>
        <v>3500</v>
      </c>
      <c r="AT88" s="97">
        <f ca="1">IFERROR(__xludf.DUMMYFUNCTION("IMPORTRANGE(""https://docs.google.com/spreadsheets/d/1vO9Sws6kMtrVtyvrAJptINXjK8TFBoX9xLYOVK_C8bQ/edit?usp=sharing"",""สุราษฎร์ธานี!J377"")"),186)</f>
        <v>186</v>
      </c>
      <c r="AU88" s="97">
        <f ca="1">IFERROR(__xludf.DUMMYFUNCTION("IMPORTRANGE(""https://docs.google.com/spreadsheets/d/1vO9Sws6kMtrVtyvrAJptINXjK8TFBoX9xLYOVK_C8bQ/edit?usp=sharing"",""สุราษฎร์ธานี!J378"")"),2063.53)</f>
        <v>2063.5300000000002</v>
      </c>
      <c r="AV88" s="98">
        <f t="shared" ca="1" si="49"/>
        <v>58.958000000000006</v>
      </c>
      <c r="AW88" s="97">
        <f ca="1">IFERROR(__xludf.DUMMYFUNCTION("IMPORTRANGE(""https://docs.google.com/spreadsheets/d/1vO9Sws6kMtrVtyvrAJptINXjK8TFBoX9xLYOVK_C8bQ/edit?usp=sharing"",""สุราษฎร์ธานี!I379"")"),650)</f>
        <v>650</v>
      </c>
      <c r="AX88" s="97">
        <f ca="1">IFERROR(__xludf.DUMMYFUNCTION("IMPORTRANGE(""https://docs.google.com/spreadsheets/d/1vO9Sws6kMtrVtyvrAJptINXjK8TFBoX9xLYOVK_C8bQ/edit?usp=sharing"",""สุราษฎร์ธานี!J379"")"),410)</f>
        <v>410</v>
      </c>
      <c r="AY88" s="97">
        <f ca="1">IFERROR(__xludf.DUMMYFUNCTION("IMPORTRANGE(""https://docs.google.com/spreadsheets/d/1vO9Sws6kMtrVtyvrAJptINXjK8TFBoX9xLYOVK_C8bQ/edit?usp=sharing"",""สุราษฎร์ธานี!J380"")"),5468.91)</f>
        <v>5468.91</v>
      </c>
      <c r="AZ88" s="98">
        <f t="shared" ca="1" si="50"/>
        <v>63.07692307692308</v>
      </c>
      <c r="BA88" s="97">
        <f ca="1">IFERROR(__xludf.DUMMYFUNCTION("IMPORTRANGE(""https://docs.google.com/spreadsheets/d/1vO9Sws6kMtrVtyvrAJptINXjK8TFBoX9xLYOVK_C8bQ/edit?usp=sharing"",""สุราษฎร์ธานี!I381"")"),650)</f>
        <v>650</v>
      </c>
      <c r="BB88" s="97">
        <f ca="1">IFERROR(__xludf.DUMMYFUNCTION("IMPORTRANGE(""https://docs.google.com/spreadsheets/d/1vO9Sws6kMtrVtyvrAJptINXjK8TFBoX9xLYOVK_C8bQ/edit?usp=sharing"",""สุราษฎร์ธานี!J381"")"),293)</f>
        <v>293</v>
      </c>
      <c r="BC88" s="97">
        <f ca="1">IFERROR(__xludf.DUMMYFUNCTION("IMPORTRANGE(""https://docs.google.com/spreadsheets/d/1vO9Sws6kMtrVtyvrAJptINXjK8TFBoX9xLYOVK_C8bQ/edit?usp=sharing"",""สุราษฎร์ธานี!J382"")"),4364.12)</f>
        <v>4364.12</v>
      </c>
      <c r="BD88" s="98">
        <f t="shared" ca="1" si="51"/>
        <v>45.07692307692308</v>
      </c>
    </row>
    <row r="89" spans="1:56" ht="21" hidden="1" customHeight="1" x14ac:dyDescent="0.2">
      <c r="A89" s="381" t="s">
        <v>111</v>
      </c>
      <c r="B89" s="357"/>
      <c r="C89" s="107">
        <f t="shared" ca="1" si="0"/>
        <v>58947470</v>
      </c>
      <c r="D89" s="46">
        <f t="shared" ref="D89:I89" ca="1" si="101">+D90+D91+D92+D93+D94+D95+D96+D97+D98+D99+D100+D101+D102+D103</f>
        <v>34483870</v>
      </c>
      <c r="E89" s="46">
        <f t="shared" ca="1" si="101"/>
        <v>24783800</v>
      </c>
      <c r="F89" s="46">
        <f t="shared" ca="1" si="101"/>
        <v>9700070</v>
      </c>
      <c r="G89" s="46">
        <f t="shared" ca="1" si="101"/>
        <v>24463600</v>
      </c>
      <c r="H89" s="46">
        <f t="shared" ca="1" si="101"/>
        <v>30695768</v>
      </c>
      <c r="I89" s="46">
        <f t="shared" ca="1" si="101"/>
        <v>19215547.27</v>
      </c>
      <c r="J89" s="46">
        <f t="shared" ca="1" si="3"/>
        <v>30516970.039999999</v>
      </c>
      <c r="K89" s="48">
        <f t="shared" ca="1" si="4"/>
        <v>51.769770678877315</v>
      </c>
      <c r="L89" s="46">
        <f ca="1">+L90+L91+L92+L93+L94+L95+L96+L97+L98+L99+L100+L101+L102+L103</f>
        <v>11301422.77</v>
      </c>
      <c r="M89" s="49">
        <f t="shared" ca="1" si="5"/>
        <v>32.773069756961732</v>
      </c>
      <c r="N89" s="49">
        <f t="shared" ca="1" si="6"/>
        <v>36.817527321681609</v>
      </c>
      <c r="O89" s="50">
        <f ca="1">+O90+O91+O92+O93+O94+O95+O96+O97+O98+O99+O100+O101+O102+O103</f>
        <v>19215547.27</v>
      </c>
      <c r="P89" s="49">
        <f t="shared" ca="1" si="53"/>
        <v>78.54750433296816</v>
      </c>
      <c r="Q89" s="49">
        <f t="shared" ca="1" si="8"/>
        <v>100</v>
      </c>
      <c r="R89" s="46"/>
      <c r="S89" s="46"/>
      <c r="T89" s="46"/>
      <c r="U89" s="49"/>
      <c r="V89" s="46"/>
      <c r="W89" s="46"/>
      <c r="X89" s="46"/>
      <c r="Y89" s="49"/>
      <c r="Z89" s="49"/>
      <c r="AA89" s="49"/>
      <c r="AB89" s="49"/>
      <c r="AC89" s="49"/>
      <c r="AD89" s="46"/>
      <c r="AE89" s="46"/>
      <c r="AF89" s="46"/>
      <c r="AG89" s="46"/>
      <c r="AH89" s="46"/>
      <c r="AI89" s="46"/>
      <c r="AJ89" s="49"/>
      <c r="AK89" s="46"/>
      <c r="AL89" s="46"/>
      <c r="AM89" s="46"/>
      <c r="AN89" s="49"/>
      <c r="AO89" s="49"/>
      <c r="AP89" s="49"/>
      <c r="AQ89" s="49"/>
      <c r="AR89" s="49"/>
      <c r="AS89" s="46"/>
      <c r="AT89" s="46"/>
      <c r="AU89" s="46"/>
      <c r="AV89" s="49"/>
      <c r="AW89" s="46"/>
      <c r="AX89" s="46"/>
      <c r="AY89" s="46"/>
      <c r="AZ89" s="49"/>
      <c r="BA89" s="49"/>
      <c r="BB89" s="49"/>
      <c r="BC89" s="49"/>
      <c r="BD89" s="49"/>
    </row>
    <row r="90" spans="1:56" ht="24" hidden="1" customHeight="1" x14ac:dyDescent="0.2">
      <c r="A90" s="108">
        <v>1</v>
      </c>
      <c r="B90" s="109" t="s">
        <v>112</v>
      </c>
      <c r="C90" s="103">
        <f t="shared" ca="1" si="0"/>
        <v>143000</v>
      </c>
      <c r="D90" s="71">
        <f t="shared" ref="D90:D103" ca="1" si="102">+E90+F90</f>
        <v>143000</v>
      </c>
      <c r="E90" s="72">
        <f ca="1">IFERROR(__xludf.DUMMYFUNCTION("IMPORTRANGE(""https://docs.google.com/spreadsheets/d/1MeEWN-I1oV_STSDYn1IFDPWt_1FKiwhDph83XaGc0o0/edit?usp=sharing"",""งบพรบ!EX90"")"),143000)</f>
        <v>143000</v>
      </c>
      <c r="F90" s="72">
        <f ca="1">IFERROR(__xludf.DUMMYFUNCTION("IMPORTRANGE(""https://docs.google.com/spreadsheets/d/1MeEWN-I1oV_STSDYn1IFDPWt_1FKiwhDph83XaGc0o0/edit?usp=sharing"",""งบพรบ!EY90"")"),0)</f>
        <v>0</v>
      </c>
      <c r="G90" s="72">
        <f ca="1">IFERROR(__xludf.DUMMYFUNCTION("IMPORTRANGE(""https://docs.google.com/spreadsheets/d/1MeEWN-I1oV_STSDYn1IFDPWt_1FKiwhDph83XaGc0o0/edit?usp=sharing"",""งบพรบ!EZ90"")"),0)</f>
        <v>0</v>
      </c>
      <c r="H90" s="72">
        <f ca="1">IFERROR(__xludf.DUMMYFUNCTION("IMPORTRANGE(""https://docs.google.com/spreadsheets/d/1MeEWN-I1oV_STSDYn1IFDPWt_1FKiwhDph83XaGc0o0/edit?usp=sharing"",""งบพรบ!FB90"")"),104000)</f>
        <v>104000</v>
      </c>
      <c r="I90" s="72">
        <f ca="1">IFERROR(__xludf.DUMMYFUNCTION("IMPORTRANGE(""https://docs.google.com/spreadsheets/d/1MeEWN-I1oV_STSDYn1IFDPWt_1FKiwhDph83XaGc0o0/edit?usp=sharing"",""งบพรบ!FC90"")"),0)</f>
        <v>0</v>
      </c>
      <c r="J90" s="72">
        <f t="shared" ca="1" si="3"/>
        <v>53166.65</v>
      </c>
      <c r="K90" s="110">
        <f t="shared" ca="1" si="4"/>
        <v>37.179475524475528</v>
      </c>
      <c r="L90" s="72">
        <f ca="1">IFERROR(__xludf.DUMMYFUNCTION("IMPORTRANGE(""https://docs.google.com/spreadsheets/d/1MeEWN-I1oV_STSDYn1IFDPWt_1FKiwhDph83XaGc0o0/edit?usp=sharing"",""งบพรบ!FD90"")"),53166.65)</f>
        <v>53166.65</v>
      </c>
      <c r="M90" s="75">
        <f t="shared" ca="1" si="5"/>
        <v>37.179475524475528</v>
      </c>
      <c r="N90" s="75">
        <f t="shared" ca="1" si="6"/>
        <v>51.121778846153845</v>
      </c>
      <c r="O90" s="76">
        <f ca="1">IFERROR(__xludf.DUMMYFUNCTION("IMPORTRANGE(""https://docs.google.com/spreadsheets/d/1MeEWN-I1oV_STSDYn1IFDPWt_1FKiwhDph83XaGc0o0/edit?usp=sharing"",""งบพรบ!FE90"")"),0)</f>
        <v>0</v>
      </c>
      <c r="P90" s="75">
        <f t="shared" ca="1" si="53"/>
        <v>0</v>
      </c>
      <c r="Q90" s="75">
        <f t="shared" ca="1" si="8"/>
        <v>0</v>
      </c>
      <c r="R90" s="72"/>
      <c r="S90" s="72"/>
      <c r="T90" s="72"/>
      <c r="U90" s="75"/>
      <c r="V90" s="72"/>
      <c r="W90" s="72"/>
      <c r="X90" s="72"/>
      <c r="Y90" s="75"/>
      <c r="Z90" s="75"/>
      <c r="AA90" s="75"/>
      <c r="AB90" s="75"/>
      <c r="AC90" s="75"/>
      <c r="AD90" s="72"/>
      <c r="AE90" s="72"/>
      <c r="AF90" s="72"/>
      <c r="AG90" s="72"/>
      <c r="AH90" s="72"/>
      <c r="AI90" s="72"/>
      <c r="AJ90" s="75"/>
      <c r="AK90" s="72"/>
      <c r="AL90" s="72"/>
      <c r="AM90" s="72"/>
      <c r="AN90" s="75"/>
      <c r="AO90" s="75"/>
      <c r="AP90" s="75"/>
      <c r="AQ90" s="75"/>
      <c r="AR90" s="75"/>
      <c r="AS90" s="72"/>
      <c r="AT90" s="72"/>
      <c r="AU90" s="72"/>
      <c r="AV90" s="75"/>
      <c r="AW90" s="72"/>
      <c r="AX90" s="72"/>
      <c r="AY90" s="72"/>
      <c r="AZ90" s="75"/>
      <c r="BA90" s="75"/>
      <c r="BB90" s="75"/>
      <c r="BC90" s="75"/>
      <c r="BD90" s="75"/>
    </row>
    <row r="91" spans="1:56" ht="24" hidden="1" customHeight="1" x14ac:dyDescent="0.2">
      <c r="A91" s="111">
        <v>2</v>
      </c>
      <c r="B91" s="112" t="s">
        <v>113</v>
      </c>
      <c r="C91" s="80">
        <f t="shared" ca="1" si="0"/>
        <v>143000</v>
      </c>
      <c r="D91" s="81">
        <f t="shared" ca="1" si="102"/>
        <v>143000</v>
      </c>
      <c r="E91" s="82">
        <f ca="1">IFERROR(__xludf.DUMMYFUNCTION("IMPORTRANGE(""https://docs.google.com/spreadsheets/d/1MeEWN-I1oV_STSDYn1IFDPWt_1FKiwhDph83XaGc0o0/edit?usp=sharing"",""งบพรบ!EX91"")"),143000)</f>
        <v>143000</v>
      </c>
      <c r="F91" s="82">
        <f ca="1">IFERROR(__xludf.DUMMYFUNCTION("IMPORTRANGE(""https://docs.google.com/spreadsheets/d/1MeEWN-I1oV_STSDYn1IFDPWt_1FKiwhDph83XaGc0o0/edit?usp=sharing"",""งบพรบ!EY91"")"),0)</f>
        <v>0</v>
      </c>
      <c r="G91" s="82">
        <f ca="1">IFERROR(__xludf.DUMMYFUNCTION("IMPORTRANGE(""https://docs.google.com/spreadsheets/d/1MeEWN-I1oV_STSDYn1IFDPWt_1FKiwhDph83XaGc0o0/edit?usp=sharing"",""งบพรบ!EZ91"")"),0)</f>
        <v>0</v>
      </c>
      <c r="H91" s="82">
        <f ca="1">IFERROR(__xludf.DUMMYFUNCTION("IMPORTRANGE(""https://docs.google.com/spreadsheets/d/1MeEWN-I1oV_STSDYn1IFDPWt_1FKiwhDph83XaGc0o0/edit?usp=sharing"",""งบพรบ!FB91"")"),104000)</f>
        <v>104000</v>
      </c>
      <c r="I91" s="82">
        <f ca="1">IFERROR(__xludf.DUMMYFUNCTION("IMPORTRANGE(""https://docs.google.com/spreadsheets/d/1MeEWN-I1oV_STSDYn1IFDPWt_1FKiwhDph83XaGc0o0/edit?usp=sharing"",""งบพรบ!FC91"")"),0)</f>
        <v>0</v>
      </c>
      <c r="J91" s="82">
        <f t="shared" ca="1" si="3"/>
        <v>36000</v>
      </c>
      <c r="K91" s="83">
        <f t="shared" ca="1" si="4"/>
        <v>25.174825174825173</v>
      </c>
      <c r="L91" s="82">
        <f ca="1">IFERROR(__xludf.DUMMYFUNCTION("IMPORTRANGE(""https://docs.google.com/spreadsheets/d/1MeEWN-I1oV_STSDYn1IFDPWt_1FKiwhDph83XaGc0o0/edit?usp=sharing"",""งบพรบ!FD91"")"),36000)</f>
        <v>36000</v>
      </c>
      <c r="M91" s="84">
        <f t="shared" ca="1" si="5"/>
        <v>25.174825174825173</v>
      </c>
      <c r="N91" s="84">
        <f t="shared" ca="1" si="6"/>
        <v>34.615384615384613</v>
      </c>
      <c r="O91" s="85">
        <f ca="1">IFERROR(__xludf.DUMMYFUNCTION("IMPORTRANGE(""https://docs.google.com/spreadsheets/d/1MeEWN-I1oV_STSDYn1IFDPWt_1FKiwhDph83XaGc0o0/edit?usp=sharing"",""งบพรบ!FE91"")"),0)</f>
        <v>0</v>
      </c>
      <c r="P91" s="84">
        <f t="shared" ca="1" si="53"/>
        <v>0</v>
      </c>
      <c r="Q91" s="84">
        <f t="shared" ca="1" si="8"/>
        <v>0</v>
      </c>
      <c r="R91" s="82"/>
      <c r="S91" s="82"/>
      <c r="T91" s="82"/>
      <c r="U91" s="84"/>
      <c r="V91" s="82"/>
      <c r="W91" s="82"/>
      <c r="X91" s="82"/>
      <c r="Y91" s="84"/>
      <c r="Z91" s="84"/>
      <c r="AA91" s="84"/>
      <c r="AB91" s="84"/>
      <c r="AC91" s="84"/>
      <c r="AD91" s="82"/>
      <c r="AE91" s="82"/>
      <c r="AF91" s="82"/>
      <c r="AG91" s="82"/>
      <c r="AH91" s="82"/>
      <c r="AI91" s="82"/>
      <c r="AJ91" s="84"/>
      <c r="AK91" s="82"/>
      <c r="AL91" s="82"/>
      <c r="AM91" s="82"/>
      <c r="AN91" s="84"/>
      <c r="AO91" s="84"/>
      <c r="AP91" s="84"/>
      <c r="AQ91" s="84"/>
      <c r="AR91" s="84"/>
      <c r="AS91" s="82"/>
      <c r="AT91" s="82"/>
      <c r="AU91" s="82"/>
      <c r="AV91" s="84"/>
      <c r="AW91" s="82"/>
      <c r="AX91" s="82"/>
      <c r="AY91" s="82"/>
      <c r="AZ91" s="84"/>
      <c r="BA91" s="84"/>
      <c r="BB91" s="84"/>
      <c r="BC91" s="84"/>
      <c r="BD91" s="84"/>
    </row>
    <row r="92" spans="1:56" ht="24" hidden="1" customHeight="1" x14ac:dyDescent="0.2">
      <c r="A92" s="111">
        <v>3</v>
      </c>
      <c r="B92" s="112" t="s">
        <v>114</v>
      </c>
      <c r="C92" s="80">
        <f t="shared" ca="1" si="0"/>
        <v>5900500</v>
      </c>
      <c r="D92" s="81">
        <f t="shared" ca="1" si="102"/>
        <v>5900500</v>
      </c>
      <c r="E92" s="82">
        <f ca="1">IFERROR(__xludf.DUMMYFUNCTION("IMPORTRANGE(""https://docs.google.com/spreadsheets/d/1MeEWN-I1oV_STSDYn1IFDPWt_1FKiwhDph83XaGc0o0/edit?usp=sharing"",""งบพรบ!EX92"")"),5900500)</f>
        <v>5900500</v>
      </c>
      <c r="F92" s="82">
        <f ca="1">IFERROR(__xludf.DUMMYFUNCTION("IMPORTRANGE(""https://docs.google.com/spreadsheets/d/1MeEWN-I1oV_STSDYn1IFDPWt_1FKiwhDph83XaGc0o0/edit?usp=sharing"",""งบพรบ!EY92"")"),0)</f>
        <v>0</v>
      </c>
      <c r="G92" s="82">
        <f ca="1">IFERROR(__xludf.DUMMYFUNCTION("IMPORTRANGE(""https://docs.google.com/spreadsheets/d/1MeEWN-I1oV_STSDYn1IFDPWt_1FKiwhDph83XaGc0o0/edit?usp=sharing"",""งบพรบ!EZ92"")"),0)</f>
        <v>0</v>
      </c>
      <c r="H92" s="82">
        <f ca="1">IFERROR(__xludf.DUMMYFUNCTION("IMPORTRANGE(""https://docs.google.com/spreadsheets/d/1MeEWN-I1oV_STSDYn1IFDPWt_1FKiwhDph83XaGc0o0/edit?usp=sharing"",""งบพรบ!FB92"")"),4446150)</f>
        <v>4446150</v>
      </c>
      <c r="I92" s="82">
        <f ca="1">IFERROR(__xludf.DUMMYFUNCTION("IMPORTRANGE(""https://docs.google.com/spreadsheets/d/1MeEWN-I1oV_STSDYn1IFDPWt_1FKiwhDph83XaGc0o0/edit?usp=sharing"",""งบพรบ!FC92"")"),0)</f>
        <v>0</v>
      </c>
      <c r="J92" s="82">
        <f t="shared" ca="1" si="3"/>
        <v>2407991.44</v>
      </c>
      <c r="K92" s="83">
        <f t="shared" ca="1" si="4"/>
        <v>40.809955766460469</v>
      </c>
      <c r="L92" s="82">
        <f ca="1">IFERROR(__xludf.DUMMYFUNCTION("IMPORTRANGE(""https://docs.google.com/spreadsheets/d/1MeEWN-I1oV_STSDYn1IFDPWt_1FKiwhDph83XaGc0o0/edit?usp=sharing"",""งบพรบ!FD92"")"),2407991.44)</f>
        <v>2407991.44</v>
      </c>
      <c r="M92" s="84">
        <f t="shared" ca="1" si="5"/>
        <v>40.809955766460469</v>
      </c>
      <c r="N92" s="84">
        <f t="shared" ca="1" si="6"/>
        <v>54.159023874588129</v>
      </c>
      <c r="O92" s="85">
        <f ca="1">IFERROR(__xludf.DUMMYFUNCTION("IMPORTRANGE(""https://docs.google.com/spreadsheets/d/1MeEWN-I1oV_STSDYn1IFDPWt_1FKiwhDph83XaGc0o0/edit?usp=sharing"",""งบพรบ!FE92"")"),0)</f>
        <v>0</v>
      </c>
      <c r="P92" s="84">
        <f t="shared" ca="1" si="53"/>
        <v>0</v>
      </c>
      <c r="Q92" s="84">
        <f t="shared" ca="1" si="8"/>
        <v>0</v>
      </c>
      <c r="R92" s="82"/>
      <c r="S92" s="82"/>
      <c r="T92" s="82"/>
      <c r="U92" s="84"/>
      <c r="V92" s="82"/>
      <c r="W92" s="82"/>
      <c r="X92" s="82"/>
      <c r="Y92" s="84"/>
      <c r="Z92" s="84"/>
      <c r="AA92" s="84"/>
      <c r="AB92" s="84"/>
      <c r="AC92" s="84"/>
      <c r="AD92" s="82"/>
      <c r="AE92" s="82"/>
      <c r="AF92" s="82"/>
      <c r="AG92" s="82"/>
      <c r="AH92" s="82"/>
      <c r="AI92" s="82"/>
      <c r="AJ92" s="84"/>
      <c r="AK92" s="82"/>
      <c r="AL92" s="82"/>
      <c r="AM92" s="82"/>
      <c r="AN92" s="84"/>
      <c r="AO92" s="84"/>
      <c r="AP92" s="84"/>
      <c r="AQ92" s="84"/>
      <c r="AR92" s="84"/>
      <c r="AS92" s="82"/>
      <c r="AT92" s="82"/>
      <c r="AU92" s="82"/>
      <c r="AV92" s="84"/>
      <c r="AW92" s="82"/>
      <c r="AX92" s="82"/>
      <c r="AY92" s="82"/>
      <c r="AZ92" s="84"/>
      <c r="BA92" s="84"/>
      <c r="BB92" s="84"/>
      <c r="BC92" s="84"/>
      <c r="BD92" s="84"/>
    </row>
    <row r="93" spans="1:56" ht="24" hidden="1" customHeight="1" x14ac:dyDescent="0.2">
      <c r="A93" s="111">
        <f t="shared" ref="A93:A103" si="103">+A92+1</f>
        <v>4</v>
      </c>
      <c r="B93" s="112" t="s">
        <v>115</v>
      </c>
      <c r="C93" s="80">
        <f t="shared" ca="1" si="0"/>
        <v>5095100</v>
      </c>
      <c r="D93" s="81">
        <f t="shared" ca="1" si="102"/>
        <v>5095100</v>
      </c>
      <c r="E93" s="82">
        <f ca="1">IFERROR(__xludf.DUMMYFUNCTION("IMPORTRANGE(""https://docs.google.com/spreadsheets/d/1MeEWN-I1oV_STSDYn1IFDPWt_1FKiwhDph83XaGc0o0/edit?usp=sharing"",""งบพรบ!EX93"")"),5095100)</f>
        <v>5095100</v>
      </c>
      <c r="F93" s="82">
        <f ca="1">IFERROR(__xludf.DUMMYFUNCTION("IMPORTRANGE(""https://docs.google.com/spreadsheets/d/1MeEWN-I1oV_STSDYn1IFDPWt_1FKiwhDph83XaGc0o0/edit?usp=sharing"",""งบพรบ!EY93"")"),0)</f>
        <v>0</v>
      </c>
      <c r="G93" s="82">
        <f ca="1">IFERROR(__xludf.DUMMYFUNCTION("IMPORTRANGE(""https://docs.google.com/spreadsheets/d/1MeEWN-I1oV_STSDYn1IFDPWt_1FKiwhDph83XaGc0o0/edit?usp=sharing"",""งบพรบ!EZ93"")"),0)</f>
        <v>0</v>
      </c>
      <c r="H93" s="82">
        <f ca="1">IFERROR(__xludf.DUMMYFUNCTION("IMPORTRANGE(""https://docs.google.com/spreadsheets/d/1MeEWN-I1oV_STSDYn1IFDPWt_1FKiwhDph83XaGc0o0/edit?usp=sharing"",""งบพรบ!FB93"")"),3715350)</f>
        <v>3715350</v>
      </c>
      <c r="I93" s="82">
        <f ca="1">IFERROR(__xludf.DUMMYFUNCTION("IMPORTRANGE(""https://docs.google.com/spreadsheets/d/1MeEWN-I1oV_STSDYn1IFDPWt_1FKiwhDph83XaGc0o0/edit?usp=sharing"",""งบพรบ!FC93"")"),0)</f>
        <v>0</v>
      </c>
      <c r="J93" s="82">
        <f t="shared" ca="1" si="3"/>
        <v>1873697.48</v>
      </c>
      <c r="K93" s="83">
        <f t="shared" ca="1" si="4"/>
        <v>36.77449863594434</v>
      </c>
      <c r="L93" s="82">
        <f ca="1">IFERROR(__xludf.DUMMYFUNCTION("IMPORTRANGE(""https://docs.google.com/spreadsheets/d/1MeEWN-I1oV_STSDYn1IFDPWt_1FKiwhDph83XaGc0o0/edit?usp=sharing"",""งบพรบ!FD93"")"),1873697.48)</f>
        <v>1873697.48</v>
      </c>
      <c r="M93" s="84">
        <f t="shared" ca="1" si="5"/>
        <v>36.77449863594434</v>
      </c>
      <c r="N93" s="84">
        <f t="shared" ca="1" si="6"/>
        <v>50.431250891571452</v>
      </c>
      <c r="O93" s="85">
        <f ca="1">IFERROR(__xludf.DUMMYFUNCTION("IMPORTRANGE(""https://docs.google.com/spreadsheets/d/1MeEWN-I1oV_STSDYn1IFDPWt_1FKiwhDph83XaGc0o0/edit?usp=sharing"",""งบพรบ!FE93"")"),0)</f>
        <v>0</v>
      </c>
      <c r="P93" s="84">
        <f t="shared" ca="1" si="53"/>
        <v>0</v>
      </c>
      <c r="Q93" s="84">
        <f t="shared" ca="1" si="8"/>
        <v>0</v>
      </c>
      <c r="R93" s="82"/>
      <c r="S93" s="82"/>
      <c r="T93" s="82"/>
      <c r="U93" s="84"/>
      <c r="V93" s="82"/>
      <c r="W93" s="82"/>
      <c r="X93" s="82"/>
      <c r="Y93" s="84"/>
      <c r="Z93" s="84"/>
      <c r="AA93" s="84"/>
      <c r="AB93" s="84"/>
      <c r="AC93" s="84"/>
      <c r="AD93" s="82"/>
      <c r="AE93" s="82"/>
      <c r="AF93" s="82"/>
      <c r="AG93" s="82"/>
      <c r="AH93" s="82"/>
      <c r="AI93" s="82"/>
      <c r="AJ93" s="84"/>
      <c r="AK93" s="82"/>
      <c r="AL93" s="82"/>
      <c r="AM93" s="82"/>
      <c r="AN93" s="84"/>
      <c r="AO93" s="84"/>
      <c r="AP93" s="84"/>
      <c r="AQ93" s="84"/>
      <c r="AR93" s="84"/>
      <c r="AS93" s="82"/>
      <c r="AT93" s="82"/>
      <c r="AU93" s="82"/>
      <c r="AV93" s="84"/>
      <c r="AW93" s="82"/>
      <c r="AX93" s="82"/>
      <c r="AY93" s="82"/>
      <c r="AZ93" s="84"/>
      <c r="BA93" s="84"/>
      <c r="BB93" s="84"/>
      <c r="BC93" s="84"/>
      <c r="BD93" s="84"/>
    </row>
    <row r="94" spans="1:56" ht="24" hidden="1" customHeight="1" x14ac:dyDescent="0.2">
      <c r="A94" s="111">
        <f t="shared" si="103"/>
        <v>5</v>
      </c>
      <c r="B94" s="112" t="s">
        <v>116</v>
      </c>
      <c r="C94" s="80">
        <f t="shared" ca="1" si="0"/>
        <v>1384000</v>
      </c>
      <c r="D94" s="81">
        <f t="shared" ca="1" si="102"/>
        <v>1384000</v>
      </c>
      <c r="E94" s="82">
        <f ca="1">IFERROR(__xludf.DUMMYFUNCTION("IMPORTRANGE(""https://docs.google.com/spreadsheets/d/1MeEWN-I1oV_STSDYn1IFDPWt_1FKiwhDph83XaGc0o0/edit?usp=sharing"",""งบพรบ!EX94"")"),1384000)</f>
        <v>1384000</v>
      </c>
      <c r="F94" s="82">
        <f ca="1">IFERROR(__xludf.DUMMYFUNCTION("IMPORTRANGE(""https://docs.google.com/spreadsheets/d/1MeEWN-I1oV_STSDYn1IFDPWt_1FKiwhDph83XaGc0o0/edit?usp=sharing"",""งบพรบ!EY94"")"),0)</f>
        <v>0</v>
      </c>
      <c r="G94" s="82">
        <f ca="1">IFERROR(__xludf.DUMMYFUNCTION("IMPORTRANGE(""https://docs.google.com/spreadsheets/d/1MeEWN-I1oV_STSDYn1IFDPWt_1FKiwhDph83XaGc0o0/edit?usp=sharing"",""งบพรบ!EZ94"")"),0)</f>
        <v>0</v>
      </c>
      <c r="H94" s="82">
        <f ca="1">IFERROR(__xludf.DUMMYFUNCTION("IMPORTRANGE(""https://docs.google.com/spreadsheets/d/1MeEWN-I1oV_STSDYn1IFDPWt_1FKiwhDph83XaGc0o0/edit?usp=sharing"",""งบพรบ!FB94"")"),1031500)</f>
        <v>1031500</v>
      </c>
      <c r="I94" s="82">
        <f ca="1">IFERROR(__xludf.DUMMYFUNCTION("IMPORTRANGE(""https://docs.google.com/spreadsheets/d/1MeEWN-I1oV_STSDYn1IFDPWt_1FKiwhDph83XaGc0o0/edit?usp=sharing"",""งบพรบ!FC94"")"),0)</f>
        <v>0</v>
      </c>
      <c r="J94" s="82">
        <f t="shared" ca="1" si="3"/>
        <v>685539.38</v>
      </c>
      <c r="K94" s="83">
        <f t="shared" ca="1" si="4"/>
        <v>49.533192196531793</v>
      </c>
      <c r="L94" s="82">
        <f ca="1">IFERROR(__xludf.DUMMYFUNCTION("IMPORTRANGE(""https://docs.google.com/spreadsheets/d/1MeEWN-I1oV_STSDYn1IFDPWt_1FKiwhDph83XaGc0o0/edit?usp=sharing"",""งบพรบ!FD94"")"),685539.38)</f>
        <v>685539.38</v>
      </c>
      <c r="M94" s="84">
        <f t="shared" ca="1" si="5"/>
        <v>49.533192196531793</v>
      </c>
      <c r="N94" s="84">
        <f t="shared" ca="1" si="6"/>
        <v>66.460434318952977</v>
      </c>
      <c r="O94" s="85">
        <f ca="1">IFERROR(__xludf.DUMMYFUNCTION("IMPORTRANGE(""https://docs.google.com/spreadsheets/d/1MeEWN-I1oV_STSDYn1IFDPWt_1FKiwhDph83XaGc0o0/edit?usp=sharing"",""งบพรบ!FE94"")"),0)</f>
        <v>0</v>
      </c>
      <c r="P94" s="84">
        <f t="shared" ca="1" si="53"/>
        <v>0</v>
      </c>
      <c r="Q94" s="84">
        <f t="shared" ca="1" si="8"/>
        <v>0</v>
      </c>
      <c r="R94" s="82"/>
      <c r="S94" s="82"/>
      <c r="T94" s="82"/>
      <c r="U94" s="84"/>
      <c r="V94" s="82"/>
      <c r="W94" s="82"/>
      <c r="X94" s="82"/>
      <c r="Y94" s="84"/>
      <c r="Z94" s="84"/>
      <c r="AA94" s="84"/>
      <c r="AB94" s="84"/>
      <c r="AC94" s="84"/>
      <c r="AD94" s="82"/>
      <c r="AE94" s="82"/>
      <c r="AF94" s="82"/>
      <c r="AG94" s="82"/>
      <c r="AH94" s="82"/>
      <c r="AI94" s="82"/>
      <c r="AJ94" s="84"/>
      <c r="AK94" s="82"/>
      <c r="AL94" s="82"/>
      <c r="AM94" s="82"/>
      <c r="AN94" s="84"/>
      <c r="AO94" s="84"/>
      <c r="AP94" s="84"/>
      <c r="AQ94" s="84"/>
      <c r="AR94" s="84"/>
      <c r="AS94" s="82"/>
      <c r="AT94" s="82"/>
      <c r="AU94" s="82"/>
      <c r="AV94" s="84"/>
      <c r="AW94" s="82"/>
      <c r="AX94" s="82"/>
      <c r="AY94" s="82"/>
      <c r="AZ94" s="84"/>
      <c r="BA94" s="84"/>
      <c r="BB94" s="84"/>
      <c r="BC94" s="84"/>
      <c r="BD94" s="84"/>
    </row>
    <row r="95" spans="1:56" ht="24" hidden="1" customHeight="1" x14ac:dyDescent="0.2">
      <c r="A95" s="111">
        <f t="shared" si="103"/>
        <v>6</v>
      </c>
      <c r="B95" s="112" t="s">
        <v>117</v>
      </c>
      <c r="C95" s="80">
        <f t="shared" ca="1" si="0"/>
        <v>7813870</v>
      </c>
      <c r="D95" s="81">
        <f t="shared" ca="1" si="102"/>
        <v>7813870</v>
      </c>
      <c r="E95" s="82">
        <f ca="1">IFERROR(__xludf.DUMMYFUNCTION("IMPORTRANGE(""https://docs.google.com/spreadsheets/d/1MeEWN-I1oV_STSDYn1IFDPWt_1FKiwhDph83XaGc0o0/edit?usp=sharing"",""งบพรบ!EX95"")"),1927000)</f>
        <v>1927000</v>
      </c>
      <c r="F95" s="82">
        <f ca="1">IFERROR(__xludf.DUMMYFUNCTION("IMPORTRANGE(""https://docs.google.com/spreadsheets/d/1MeEWN-I1oV_STSDYn1IFDPWt_1FKiwhDph83XaGc0o0/edit?usp=sharing"",""งบพรบ!EY95"")"),5886870)</f>
        <v>5886870</v>
      </c>
      <c r="G95" s="82">
        <f ca="1">IFERROR(__xludf.DUMMYFUNCTION("IMPORTRANGE(""https://docs.google.com/spreadsheets/d/1MeEWN-I1oV_STSDYn1IFDPWt_1FKiwhDph83XaGc0o0/edit?usp=sharing"",""งบพรบ!EZ95"")"),0)</f>
        <v>0</v>
      </c>
      <c r="H95" s="82">
        <f ca="1">IFERROR(__xludf.DUMMYFUNCTION("IMPORTRANGE(""https://docs.google.com/spreadsheets/d/1MeEWN-I1oV_STSDYn1IFDPWt_1FKiwhDph83XaGc0o0/edit?usp=sharing"",""งบพรบ!FB95"")"),11130970)</f>
        <v>11130970</v>
      </c>
      <c r="I95" s="82">
        <f ca="1">IFERROR(__xludf.DUMMYFUNCTION("IMPORTRANGE(""https://docs.google.com/spreadsheets/d/1MeEWN-I1oV_STSDYn1IFDPWt_1FKiwhDph83XaGc0o0/edit?usp=sharing"",""งบพรบ!FC95"")"),0)</f>
        <v>0</v>
      </c>
      <c r="J95" s="82">
        <f t="shared" ca="1" si="3"/>
        <v>969514.11</v>
      </c>
      <c r="K95" s="83">
        <f t="shared" ca="1" si="4"/>
        <v>12.407604810420445</v>
      </c>
      <c r="L95" s="82">
        <f ca="1">IFERROR(__xludf.DUMMYFUNCTION("IMPORTRANGE(""https://docs.google.com/spreadsheets/d/1MeEWN-I1oV_STSDYn1IFDPWt_1FKiwhDph83XaGc0o0/edit?usp=sharing"",""งบพรบ!FD95"")"),969514.11)</f>
        <v>969514.11</v>
      </c>
      <c r="M95" s="84">
        <f t="shared" ca="1" si="5"/>
        <v>12.407604810420445</v>
      </c>
      <c r="N95" s="84">
        <f t="shared" ca="1" si="6"/>
        <v>8.7100595006544808</v>
      </c>
      <c r="O95" s="85">
        <f ca="1">IFERROR(__xludf.DUMMYFUNCTION("IMPORTRANGE(""https://docs.google.com/spreadsheets/d/1MeEWN-I1oV_STSDYn1IFDPWt_1FKiwhDph83XaGc0o0/edit?usp=sharing"",""งบพรบ!FE95"")"),0)</f>
        <v>0</v>
      </c>
      <c r="P95" s="84">
        <f t="shared" ca="1" si="53"/>
        <v>0</v>
      </c>
      <c r="Q95" s="84">
        <f t="shared" ca="1" si="8"/>
        <v>0</v>
      </c>
      <c r="R95" s="82"/>
      <c r="S95" s="82"/>
      <c r="T95" s="82"/>
      <c r="U95" s="84"/>
      <c r="V95" s="82"/>
      <c r="W95" s="82"/>
      <c r="X95" s="82"/>
      <c r="Y95" s="84"/>
      <c r="Z95" s="84"/>
      <c r="AA95" s="84"/>
      <c r="AB95" s="84"/>
      <c r="AC95" s="84"/>
      <c r="AD95" s="82"/>
      <c r="AE95" s="82"/>
      <c r="AF95" s="82"/>
      <c r="AG95" s="82"/>
      <c r="AH95" s="82"/>
      <c r="AI95" s="82"/>
      <c r="AJ95" s="84"/>
      <c r="AK95" s="82"/>
      <c r="AL95" s="82"/>
      <c r="AM95" s="82"/>
      <c r="AN95" s="84"/>
      <c r="AO95" s="84"/>
      <c r="AP95" s="84"/>
      <c r="AQ95" s="84"/>
      <c r="AR95" s="84"/>
      <c r="AS95" s="82"/>
      <c r="AT95" s="82"/>
      <c r="AU95" s="82"/>
      <c r="AV95" s="84"/>
      <c r="AW95" s="82"/>
      <c r="AX95" s="82"/>
      <c r="AY95" s="82"/>
      <c r="AZ95" s="84"/>
      <c r="BA95" s="84"/>
      <c r="BB95" s="84"/>
      <c r="BC95" s="84"/>
      <c r="BD95" s="84"/>
    </row>
    <row r="96" spans="1:56" ht="24" hidden="1" customHeight="1" x14ac:dyDescent="0.2">
      <c r="A96" s="111">
        <f t="shared" si="103"/>
        <v>7</v>
      </c>
      <c r="B96" s="112" t="s">
        <v>118</v>
      </c>
      <c r="C96" s="80">
        <f t="shared" ca="1" si="0"/>
        <v>0</v>
      </c>
      <c r="D96" s="81">
        <f t="shared" ca="1" si="102"/>
        <v>0</v>
      </c>
      <c r="E96" s="82">
        <f ca="1">IFERROR(__xludf.DUMMYFUNCTION("IMPORTRANGE(""https://docs.google.com/spreadsheets/d/1MeEWN-I1oV_STSDYn1IFDPWt_1FKiwhDph83XaGc0o0/edit?usp=sharing"",""งบพรบ!EX96"")"),0)</f>
        <v>0</v>
      </c>
      <c r="F96" s="82">
        <f ca="1">IFERROR(__xludf.DUMMYFUNCTION("IMPORTRANGE(""https://docs.google.com/spreadsheets/d/1MeEWN-I1oV_STSDYn1IFDPWt_1FKiwhDph83XaGc0o0/edit?usp=sharing"",""งบพรบ!EY96"")"),0)</f>
        <v>0</v>
      </c>
      <c r="G96" s="82">
        <f ca="1">IFERROR(__xludf.DUMMYFUNCTION("IMPORTRANGE(""https://docs.google.com/spreadsheets/d/1MeEWN-I1oV_STSDYn1IFDPWt_1FKiwhDph83XaGc0o0/edit?usp=sharing"",""งบพรบ!EZ96"")"),0)</f>
        <v>0</v>
      </c>
      <c r="H96" s="82">
        <f ca="1">IFERROR(__xludf.DUMMYFUNCTION("IMPORTRANGE(""https://docs.google.com/spreadsheets/d/1MeEWN-I1oV_STSDYn1IFDPWt_1FKiwhDph83XaGc0o0/edit?usp=sharing"",""งบพรบ!FB96"")"),0)</f>
        <v>0</v>
      </c>
      <c r="I96" s="82">
        <f ca="1">IFERROR(__xludf.DUMMYFUNCTION("IMPORTRANGE(""https://docs.google.com/spreadsheets/d/1MeEWN-I1oV_STSDYn1IFDPWt_1FKiwhDph83XaGc0o0/edit?usp=sharing"",""งบพรบ!FC96"")"),0)</f>
        <v>0</v>
      </c>
      <c r="J96" s="82">
        <f t="shared" ca="1" si="3"/>
        <v>0</v>
      </c>
      <c r="K96" s="83">
        <f t="shared" ca="1" si="4"/>
        <v>0</v>
      </c>
      <c r="L96" s="82">
        <f ca="1">IFERROR(__xludf.DUMMYFUNCTION("IMPORTRANGE(""https://docs.google.com/spreadsheets/d/1MeEWN-I1oV_STSDYn1IFDPWt_1FKiwhDph83XaGc0o0/edit?usp=sharing"",""งบพรบ!FD96"")"),0)</f>
        <v>0</v>
      </c>
      <c r="M96" s="84">
        <f t="shared" ca="1" si="5"/>
        <v>0</v>
      </c>
      <c r="N96" s="84">
        <f t="shared" ca="1" si="6"/>
        <v>0</v>
      </c>
      <c r="O96" s="85">
        <f ca="1">IFERROR(__xludf.DUMMYFUNCTION("IMPORTRANGE(""https://docs.google.com/spreadsheets/d/1MeEWN-I1oV_STSDYn1IFDPWt_1FKiwhDph83XaGc0o0/edit?usp=sharing"",""งบพรบ!FE96"")"),0)</f>
        <v>0</v>
      </c>
      <c r="P96" s="84">
        <f t="shared" ca="1" si="53"/>
        <v>0</v>
      </c>
      <c r="Q96" s="84">
        <f t="shared" ca="1" si="8"/>
        <v>0</v>
      </c>
      <c r="R96" s="82"/>
      <c r="S96" s="82"/>
      <c r="T96" s="82"/>
      <c r="U96" s="84"/>
      <c r="V96" s="82"/>
      <c r="W96" s="82"/>
      <c r="X96" s="82"/>
      <c r="Y96" s="84"/>
      <c r="Z96" s="84"/>
      <c r="AA96" s="84"/>
      <c r="AB96" s="84"/>
      <c r="AC96" s="84"/>
      <c r="AD96" s="82"/>
      <c r="AE96" s="82"/>
      <c r="AF96" s="82"/>
      <c r="AG96" s="82"/>
      <c r="AH96" s="82"/>
      <c r="AI96" s="82"/>
      <c r="AJ96" s="84"/>
      <c r="AK96" s="82"/>
      <c r="AL96" s="82"/>
      <c r="AM96" s="82"/>
      <c r="AN96" s="84"/>
      <c r="AO96" s="84"/>
      <c r="AP96" s="84"/>
      <c r="AQ96" s="84"/>
      <c r="AR96" s="84"/>
      <c r="AS96" s="82"/>
      <c r="AT96" s="82"/>
      <c r="AU96" s="82"/>
      <c r="AV96" s="84"/>
      <c r="AW96" s="82"/>
      <c r="AX96" s="82"/>
      <c r="AY96" s="82"/>
      <c r="AZ96" s="84"/>
      <c r="BA96" s="84"/>
      <c r="BB96" s="84"/>
      <c r="BC96" s="84"/>
      <c r="BD96" s="84"/>
    </row>
    <row r="97" spans="1:56" ht="24" hidden="1" customHeight="1" x14ac:dyDescent="0.2">
      <c r="A97" s="111">
        <f t="shared" si="103"/>
        <v>8</v>
      </c>
      <c r="B97" s="112" t="s">
        <v>119</v>
      </c>
      <c r="C97" s="80">
        <f t="shared" ca="1" si="0"/>
        <v>3295800</v>
      </c>
      <c r="D97" s="81">
        <f t="shared" ca="1" si="102"/>
        <v>3295800</v>
      </c>
      <c r="E97" s="82">
        <f ca="1">IFERROR(__xludf.DUMMYFUNCTION("IMPORTRANGE(""https://docs.google.com/spreadsheets/d/1MeEWN-I1oV_STSDYn1IFDPWt_1FKiwhDph83XaGc0o0/edit?usp=sharing"",""งบพรบ!EX97"")"),3295800)</f>
        <v>3295800</v>
      </c>
      <c r="F97" s="82">
        <f ca="1">IFERROR(__xludf.DUMMYFUNCTION("IMPORTRANGE(""https://docs.google.com/spreadsheets/d/1MeEWN-I1oV_STSDYn1IFDPWt_1FKiwhDph83XaGc0o0/edit?usp=sharing"",""งบพรบ!EY97"")"),0)</f>
        <v>0</v>
      </c>
      <c r="G97" s="82">
        <f ca="1">IFERROR(__xludf.DUMMYFUNCTION("IMPORTRANGE(""https://docs.google.com/spreadsheets/d/1MeEWN-I1oV_STSDYn1IFDPWt_1FKiwhDph83XaGc0o0/edit?usp=sharing"",""งบพรบ!EZ97"")"),0)</f>
        <v>0</v>
      </c>
      <c r="H97" s="82">
        <f ca="1">IFERROR(__xludf.DUMMYFUNCTION("IMPORTRANGE(""https://docs.google.com/spreadsheets/d/1MeEWN-I1oV_STSDYn1IFDPWt_1FKiwhDph83XaGc0o0/edit?usp=sharing"",""งบพรบ!FB97"")"),2465350)</f>
        <v>2465350</v>
      </c>
      <c r="I97" s="82">
        <f ca="1">IFERROR(__xludf.DUMMYFUNCTION("IMPORTRANGE(""https://docs.google.com/spreadsheets/d/1MeEWN-I1oV_STSDYn1IFDPWt_1FKiwhDph83XaGc0o0/edit?usp=sharing"",""งบพรบ!FC97"")"),0)</f>
        <v>0</v>
      </c>
      <c r="J97" s="82">
        <f t="shared" ca="1" si="3"/>
        <v>1196973.51</v>
      </c>
      <c r="K97" s="83">
        <f t="shared" ca="1" si="4"/>
        <v>36.318147642454029</v>
      </c>
      <c r="L97" s="82">
        <f ca="1">IFERROR(__xludf.DUMMYFUNCTION("IMPORTRANGE(""https://docs.google.com/spreadsheets/d/1MeEWN-I1oV_STSDYn1IFDPWt_1FKiwhDph83XaGc0o0/edit?usp=sharing"",""งบพรบ!FD97"")"),1196973.51)</f>
        <v>1196973.51</v>
      </c>
      <c r="M97" s="84">
        <f t="shared" ca="1" si="5"/>
        <v>36.318147642454029</v>
      </c>
      <c r="N97" s="84">
        <f t="shared" ca="1" si="6"/>
        <v>48.551869308617441</v>
      </c>
      <c r="O97" s="85">
        <f ca="1">IFERROR(__xludf.DUMMYFUNCTION("IMPORTRANGE(""https://docs.google.com/spreadsheets/d/1MeEWN-I1oV_STSDYn1IFDPWt_1FKiwhDph83XaGc0o0/edit?usp=sharing"",""งบพรบ!FE97"")"),0)</f>
        <v>0</v>
      </c>
      <c r="P97" s="84">
        <f t="shared" ca="1" si="53"/>
        <v>0</v>
      </c>
      <c r="Q97" s="84">
        <f t="shared" ca="1" si="8"/>
        <v>0</v>
      </c>
      <c r="R97" s="82"/>
      <c r="S97" s="82"/>
      <c r="T97" s="82"/>
      <c r="U97" s="84"/>
      <c r="V97" s="82"/>
      <c r="W97" s="82"/>
      <c r="X97" s="82"/>
      <c r="Y97" s="84"/>
      <c r="Z97" s="84"/>
      <c r="AA97" s="84"/>
      <c r="AB97" s="84"/>
      <c r="AC97" s="84"/>
      <c r="AD97" s="82"/>
      <c r="AE97" s="82"/>
      <c r="AF97" s="82"/>
      <c r="AG97" s="82"/>
      <c r="AH97" s="82"/>
      <c r="AI97" s="82"/>
      <c r="AJ97" s="84"/>
      <c r="AK97" s="82"/>
      <c r="AL97" s="82"/>
      <c r="AM97" s="82"/>
      <c r="AN97" s="84"/>
      <c r="AO97" s="84"/>
      <c r="AP97" s="84"/>
      <c r="AQ97" s="84"/>
      <c r="AR97" s="84"/>
      <c r="AS97" s="82"/>
      <c r="AT97" s="82"/>
      <c r="AU97" s="82"/>
      <c r="AV97" s="84"/>
      <c r="AW97" s="82"/>
      <c r="AX97" s="82"/>
      <c r="AY97" s="82"/>
      <c r="AZ97" s="84"/>
      <c r="BA97" s="84"/>
      <c r="BB97" s="84"/>
      <c r="BC97" s="84"/>
      <c r="BD97" s="84"/>
    </row>
    <row r="98" spans="1:56" ht="24" hidden="1" customHeight="1" x14ac:dyDescent="0.2">
      <c r="A98" s="111">
        <f t="shared" si="103"/>
        <v>9</v>
      </c>
      <c r="B98" s="112" t="s">
        <v>120</v>
      </c>
      <c r="C98" s="80">
        <f t="shared" ca="1" si="0"/>
        <v>29159600</v>
      </c>
      <c r="D98" s="81">
        <f t="shared" ca="1" si="102"/>
        <v>4696000</v>
      </c>
      <c r="E98" s="82">
        <f ca="1">IFERROR(__xludf.DUMMYFUNCTION("IMPORTRANGE(""https://docs.google.com/spreadsheets/d/1MeEWN-I1oV_STSDYn1IFDPWt_1FKiwhDph83XaGc0o0/edit?usp=sharing"",""งบพรบ!EX98"")"),1342800)</f>
        <v>1342800</v>
      </c>
      <c r="F98" s="82">
        <f ca="1">IFERROR(__xludf.DUMMYFUNCTION("IMPORTRANGE(""https://docs.google.com/spreadsheets/d/1MeEWN-I1oV_STSDYn1IFDPWt_1FKiwhDph83XaGc0o0/edit?usp=sharing"",""งบพรบ!EY98"")"),3353200)</f>
        <v>3353200</v>
      </c>
      <c r="G98" s="82">
        <f ca="1">IFERROR(__xludf.DUMMYFUNCTION("IMPORTRANGE(""https://docs.google.com/spreadsheets/d/1MeEWN-I1oV_STSDYn1IFDPWt_1FKiwhDph83XaGc0o0/edit?usp=sharing"",""งบพรบ!EZ98"")"),24463600)</f>
        <v>24463600</v>
      </c>
      <c r="H98" s="82">
        <f ca="1">IFERROR(__xludf.DUMMYFUNCTION("IMPORTRANGE(""https://docs.google.com/spreadsheets/d/1MeEWN-I1oV_STSDYn1IFDPWt_1FKiwhDph83XaGc0o0/edit?usp=sharing"",""งบพรบ!FB98"")"),3218298)</f>
        <v>3218298</v>
      </c>
      <c r="I98" s="82">
        <f ca="1">IFERROR(__xludf.DUMMYFUNCTION("IMPORTRANGE(""https://docs.google.com/spreadsheets/d/1MeEWN-I1oV_STSDYn1IFDPWt_1FKiwhDph83XaGc0o0/edit?usp=sharing"",""งบพรบ!FC98"")"),19215547.27)</f>
        <v>19215547.27</v>
      </c>
      <c r="J98" s="82">
        <f t="shared" ca="1" si="3"/>
        <v>20715080.189999998</v>
      </c>
      <c r="K98" s="83">
        <f t="shared" ca="1" si="4"/>
        <v>71.040344140523175</v>
      </c>
      <c r="L98" s="82">
        <f ca="1">IFERROR(__xludf.DUMMYFUNCTION("IMPORTRANGE(""https://docs.google.com/spreadsheets/d/1MeEWN-I1oV_STSDYn1IFDPWt_1FKiwhDph83XaGc0o0/edit?usp=sharing"",""งบพรบ!FD98"")"),1499532.92)</f>
        <v>1499532.92</v>
      </c>
      <c r="M98" s="84">
        <f t="shared" ca="1" si="5"/>
        <v>31.932132027257239</v>
      </c>
      <c r="N98" s="84">
        <f t="shared" ca="1" si="6"/>
        <v>46.593973584795442</v>
      </c>
      <c r="O98" s="85">
        <f ca="1">IFERROR(__xludf.DUMMYFUNCTION("IMPORTRANGE(""https://docs.google.com/spreadsheets/d/1MeEWN-I1oV_STSDYn1IFDPWt_1FKiwhDph83XaGc0o0/edit?usp=sharing"",""งบพรบ!FE98"")"),19215547.27)</f>
        <v>19215547.27</v>
      </c>
      <c r="P98" s="84">
        <f t="shared" ca="1" si="53"/>
        <v>78.54750433296816</v>
      </c>
      <c r="Q98" s="84">
        <f t="shared" ca="1" si="8"/>
        <v>100</v>
      </c>
      <c r="R98" s="82"/>
      <c r="S98" s="82"/>
      <c r="T98" s="82"/>
      <c r="U98" s="84"/>
      <c r="V98" s="82"/>
      <c r="W98" s="82"/>
      <c r="X98" s="82"/>
      <c r="Y98" s="84"/>
      <c r="Z98" s="84"/>
      <c r="AA98" s="84"/>
      <c r="AB98" s="84"/>
      <c r="AC98" s="84"/>
      <c r="AD98" s="82"/>
      <c r="AE98" s="82"/>
      <c r="AF98" s="82"/>
      <c r="AG98" s="82"/>
      <c r="AH98" s="82"/>
      <c r="AI98" s="82"/>
      <c r="AJ98" s="84"/>
      <c r="AK98" s="82"/>
      <c r="AL98" s="82"/>
      <c r="AM98" s="82"/>
      <c r="AN98" s="84"/>
      <c r="AO98" s="84"/>
      <c r="AP98" s="84"/>
      <c r="AQ98" s="84"/>
      <c r="AR98" s="84"/>
      <c r="AS98" s="82"/>
      <c r="AT98" s="82"/>
      <c r="AU98" s="82"/>
      <c r="AV98" s="84"/>
      <c r="AW98" s="82"/>
      <c r="AX98" s="82"/>
      <c r="AY98" s="82"/>
      <c r="AZ98" s="84"/>
      <c r="BA98" s="84"/>
      <c r="BB98" s="84"/>
      <c r="BC98" s="84"/>
      <c r="BD98" s="84"/>
    </row>
    <row r="99" spans="1:56" ht="24" hidden="1" customHeight="1" x14ac:dyDescent="0.2">
      <c r="A99" s="111">
        <f t="shared" si="103"/>
        <v>10</v>
      </c>
      <c r="B99" s="112" t="s">
        <v>121</v>
      </c>
      <c r="C99" s="80">
        <f t="shared" ca="1" si="0"/>
        <v>2713200</v>
      </c>
      <c r="D99" s="81">
        <f t="shared" ca="1" si="102"/>
        <v>2713200</v>
      </c>
      <c r="E99" s="82">
        <f ca="1">IFERROR(__xludf.DUMMYFUNCTION("IMPORTRANGE(""https://docs.google.com/spreadsheets/d/1MeEWN-I1oV_STSDYn1IFDPWt_1FKiwhDph83XaGc0o0/edit?usp=sharing"",""งบพรบ!EX99"")"),2253200)</f>
        <v>2253200</v>
      </c>
      <c r="F99" s="82">
        <f ca="1">IFERROR(__xludf.DUMMYFUNCTION("IMPORTRANGE(""https://docs.google.com/spreadsheets/d/1MeEWN-I1oV_STSDYn1IFDPWt_1FKiwhDph83XaGc0o0/edit?usp=sharing"",""งบพรบ!EY99"")"),460000)</f>
        <v>460000</v>
      </c>
      <c r="G99" s="82">
        <f ca="1">IFERROR(__xludf.DUMMYFUNCTION("IMPORTRANGE(""https://docs.google.com/spreadsheets/d/1MeEWN-I1oV_STSDYn1IFDPWt_1FKiwhDph83XaGc0o0/edit?usp=sharing"",""งบพรบ!EZ99"")"),0)</f>
        <v>0</v>
      </c>
      <c r="H99" s="82">
        <f ca="1">IFERROR(__xludf.DUMMYFUNCTION("IMPORTRANGE(""https://docs.google.com/spreadsheets/d/1MeEWN-I1oV_STSDYn1IFDPWt_1FKiwhDph83XaGc0o0/edit?usp=sharing"",""งบพรบ!FB99"")"),2021900)</f>
        <v>2021900</v>
      </c>
      <c r="I99" s="82">
        <f ca="1">IFERROR(__xludf.DUMMYFUNCTION("IMPORTRANGE(""https://docs.google.com/spreadsheets/d/1MeEWN-I1oV_STSDYn1IFDPWt_1FKiwhDph83XaGc0o0/edit?usp=sharing"",""งบพรบ!FC99"")"),0)</f>
        <v>0</v>
      </c>
      <c r="J99" s="82">
        <f t="shared" ca="1" si="3"/>
        <v>1123679.92</v>
      </c>
      <c r="K99" s="83">
        <f t="shared" ca="1" si="4"/>
        <v>41.415300014742741</v>
      </c>
      <c r="L99" s="82">
        <f ca="1">IFERROR(__xludf.DUMMYFUNCTION("IMPORTRANGE(""https://docs.google.com/spreadsheets/d/1MeEWN-I1oV_STSDYn1IFDPWt_1FKiwhDph83XaGc0o0/edit?usp=sharing"",""งบพรบ!FD99"")"),1123679.92)</f>
        <v>1123679.92</v>
      </c>
      <c r="M99" s="84">
        <f t="shared" ca="1" si="5"/>
        <v>41.415300014742741</v>
      </c>
      <c r="N99" s="84">
        <f t="shared" ca="1" si="6"/>
        <v>55.575444878579553</v>
      </c>
      <c r="O99" s="85">
        <f ca="1">IFERROR(__xludf.DUMMYFUNCTION("IMPORTRANGE(""https://docs.google.com/spreadsheets/d/1MeEWN-I1oV_STSDYn1IFDPWt_1FKiwhDph83XaGc0o0/edit?usp=sharing"",""งบพรบ!FE99"")"),0)</f>
        <v>0</v>
      </c>
      <c r="P99" s="84">
        <f t="shared" ca="1" si="53"/>
        <v>0</v>
      </c>
      <c r="Q99" s="84">
        <f t="shared" ca="1" si="8"/>
        <v>0</v>
      </c>
      <c r="R99" s="82"/>
      <c r="S99" s="82"/>
      <c r="T99" s="82"/>
      <c r="U99" s="84"/>
      <c r="V99" s="82"/>
      <c r="W99" s="82"/>
      <c r="X99" s="82"/>
      <c r="Y99" s="84"/>
      <c r="Z99" s="84"/>
      <c r="AA99" s="84"/>
      <c r="AB99" s="84"/>
      <c r="AC99" s="84"/>
      <c r="AD99" s="82"/>
      <c r="AE99" s="82"/>
      <c r="AF99" s="82"/>
      <c r="AG99" s="82"/>
      <c r="AH99" s="82"/>
      <c r="AI99" s="82"/>
      <c r="AJ99" s="84"/>
      <c r="AK99" s="82"/>
      <c r="AL99" s="82"/>
      <c r="AM99" s="82"/>
      <c r="AN99" s="84"/>
      <c r="AO99" s="84"/>
      <c r="AP99" s="84"/>
      <c r="AQ99" s="84"/>
      <c r="AR99" s="84"/>
      <c r="AS99" s="82"/>
      <c r="AT99" s="82"/>
      <c r="AU99" s="82"/>
      <c r="AV99" s="84"/>
      <c r="AW99" s="82"/>
      <c r="AX99" s="82"/>
      <c r="AY99" s="82"/>
      <c r="AZ99" s="84"/>
      <c r="BA99" s="84"/>
      <c r="BB99" s="84"/>
      <c r="BC99" s="84"/>
      <c r="BD99" s="84"/>
    </row>
    <row r="100" spans="1:56" ht="24" hidden="1" customHeight="1" x14ac:dyDescent="0.2">
      <c r="A100" s="111">
        <f t="shared" si="103"/>
        <v>11</v>
      </c>
      <c r="B100" s="112" t="s">
        <v>122</v>
      </c>
      <c r="C100" s="80">
        <f t="shared" ca="1" si="0"/>
        <v>1533500</v>
      </c>
      <c r="D100" s="81">
        <f t="shared" ca="1" si="102"/>
        <v>1533500</v>
      </c>
      <c r="E100" s="82">
        <f ca="1">IFERROR(__xludf.DUMMYFUNCTION("IMPORTRANGE(""https://docs.google.com/spreadsheets/d/1MeEWN-I1oV_STSDYn1IFDPWt_1FKiwhDph83XaGc0o0/edit?usp=sharing"",""งบพรบ!EX100"")"),1533500)</f>
        <v>1533500</v>
      </c>
      <c r="F100" s="82">
        <f ca="1">IFERROR(__xludf.DUMMYFUNCTION("IMPORTRANGE(""https://docs.google.com/spreadsheets/d/1MeEWN-I1oV_STSDYn1IFDPWt_1FKiwhDph83XaGc0o0/edit?usp=sharing"",""งบพรบ!EY100"")"),0)</f>
        <v>0</v>
      </c>
      <c r="G100" s="82">
        <f ca="1">IFERROR(__xludf.DUMMYFUNCTION("IMPORTRANGE(""https://docs.google.com/spreadsheets/d/1MeEWN-I1oV_STSDYn1IFDPWt_1FKiwhDph83XaGc0o0/edit?usp=sharing"",""งบพรบ!EZ100"")"),0)</f>
        <v>0</v>
      </c>
      <c r="H100" s="82">
        <f ca="1">IFERROR(__xludf.DUMMYFUNCTION("IMPORTRANGE(""https://docs.google.com/spreadsheets/d/1MeEWN-I1oV_STSDYn1IFDPWt_1FKiwhDph83XaGc0o0/edit?usp=sharing"",""งบพรบ!FB100"")"),1146850)</f>
        <v>1146850</v>
      </c>
      <c r="I100" s="82">
        <f ca="1">IFERROR(__xludf.DUMMYFUNCTION("IMPORTRANGE(""https://docs.google.com/spreadsheets/d/1MeEWN-I1oV_STSDYn1IFDPWt_1FKiwhDph83XaGc0o0/edit?usp=sharing"",""งบพรบ!FC100"")"),0)</f>
        <v>0</v>
      </c>
      <c r="J100" s="82">
        <f t="shared" ca="1" si="3"/>
        <v>721362.74</v>
      </c>
      <c r="K100" s="83">
        <f t="shared" ca="1" si="4"/>
        <v>47.04028301271601</v>
      </c>
      <c r="L100" s="82">
        <f ca="1">IFERROR(__xludf.DUMMYFUNCTION("IMPORTRANGE(""https://docs.google.com/spreadsheets/d/1MeEWN-I1oV_STSDYn1IFDPWt_1FKiwhDph83XaGc0o0/edit?usp=sharing"",""งบพรบ!FD100"")"),721362.74)</f>
        <v>721362.74</v>
      </c>
      <c r="M100" s="84">
        <f t="shared" ca="1" si="5"/>
        <v>47.04028301271601</v>
      </c>
      <c r="N100" s="84">
        <f t="shared" ca="1" si="6"/>
        <v>62.899484675415266</v>
      </c>
      <c r="O100" s="85">
        <f ca="1">IFERROR(__xludf.DUMMYFUNCTION("IMPORTRANGE(""https://docs.google.com/spreadsheets/d/1MeEWN-I1oV_STSDYn1IFDPWt_1FKiwhDph83XaGc0o0/edit?usp=sharing"",""งบพรบ!FE100"")"),0)</f>
        <v>0</v>
      </c>
      <c r="P100" s="84">
        <f t="shared" ca="1" si="53"/>
        <v>0</v>
      </c>
      <c r="Q100" s="84">
        <f t="shared" ca="1" si="8"/>
        <v>0</v>
      </c>
      <c r="R100" s="82"/>
      <c r="S100" s="82"/>
      <c r="T100" s="82"/>
      <c r="U100" s="84"/>
      <c r="V100" s="82"/>
      <c r="W100" s="82"/>
      <c r="X100" s="82"/>
      <c r="Y100" s="84"/>
      <c r="Z100" s="84"/>
      <c r="AA100" s="84"/>
      <c r="AB100" s="84"/>
      <c r="AC100" s="84"/>
      <c r="AD100" s="82"/>
      <c r="AE100" s="82"/>
      <c r="AF100" s="82"/>
      <c r="AG100" s="82"/>
      <c r="AH100" s="82"/>
      <c r="AI100" s="82"/>
      <c r="AJ100" s="84"/>
      <c r="AK100" s="82"/>
      <c r="AL100" s="82"/>
      <c r="AM100" s="82"/>
      <c r="AN100" s="84"/>
      <c r="AO100" s="84"/>
      <c r="AP100" s="84"/>
      <c r="AQ100" s="84"/>
      <c r="AR100" s="84"/>
      <c r="AS100" s="82"/>
      <c r="AT100" s="82"/>
      <c r="AU100" s="82"/>
      <c r="AV100" s="84"/>
      <c r="AW100" s="82"/>
      <c r="AX100" s="82"/>
      <c r="AY100" s="82"/>
      <c r="AZ100" s="84"/>
      <c r="BA100" s="84"/>
      <c r="BB100" s="84"/>
      <c r="BC100" s="84"/>
      <c r="BD100" s="84"/>
    </row>
    <row r="101" spans="1:56" ht="24" hidden="1" customHeight="1" x14ac:dyDescent="0.2">
      <c r="A101" s="111">
        <f t="shared" si="103"/>
        <v>12</v>
      </c>
      <c r="B101" s="112" t="s">
        <v>123</v>
      </c>
      <c r="C101" s="80">
        <f t="shared" ca="1" si="0"/>
        <v>1765900</v>
      </c>
      <c r="D101" s="81">
        <f t="shared" ca="1" si="102"/>
        <v>1765900</v>
      </c>
      <c r="E101" s="82">
        <f ca="1">IFERROR(__xludf.DUMMYFUNCTION("IMPORTRANGE(""https://docs.google.com/spreadsheets/d/1MeEWN-I1oV_STSDYn1IFDPWt_1FKiwhDph83XaGc0o0/edit?usp=sharing"",""งบพรบ!EX101"")"),1765900)</f>
        <v>1765900</v>
      </c>
      <c r="F101" s="82">
        <f ca="1">IFERROR(__xludf.DUMMYFUNCTION("IMPORTRANGE(""https://docs.google.com/spreadsheets/d/1MeEWN-I1oV_STSDYn1IFDPWt_1FKiwhDph83XaGc0o0/edit?usp=sharing"",""งบพรบ!EY101"")"),0)</f>
        <v>0</v>
      </c>
      <c r="G101" s="82">
        <f ca="1">IFERROR(__xludf.DUMMYFUNCTION("IMPORTRANGE(""https://docs.google.com/spreadsheets/d/1MeEWN-I1oV_STSDYn1IFDPWt_1FKiwhDph83XaGc0o0/edit?usp=sharing"",""งบพรบ!EZ101"")"),0)</f>
        <v>0</v>
      </c>
      <c r="H101" s="82">
        <f ca="1">IFERROR(__xludf.DUMMYFUNCTION("IMPORTRANGE(""https://docs.google.com/spreadsheets/d/1MeEWN-I1oV_STSDYn1IFDPWt_1FKiwhDph83XaGc0o0/edit?usp=sharing"",""งบพรบ!FB101"")"),1311400)</f>
        <v>1311400</v>
      </c>
      <c r="I101" s="82">
        <f ca="1">IFERROR(__xludf.DUMMYFUNCTION("IMPORTRANGE(""https://docs.google.com/spreadsheets/d/1MeEWN-I1oV_STSDYn1IFDPWt_1FKiwhDph83XaGc0o0/edit?usp=sharing"",""งบพรบ!FC101"")"),0)</f>
        <v>0</v>
      </c>
      <c r="J101" s="82">
        <f t="shared" ca="1" si="3"/>
        <v>733964.62</v>
      </c>
      <c r="K101" s="83">
        <f t="shared" ca="1" si="4"/>
        <v>41.56320403193839</v>
      </c>
      <c r="L101" s="82">
        <f ca="1">IFERROR(__xludf.DUMMYFUNCTION("IMPORTRANGE(""https://docs.google.com/spreadsheets/d/1MeEWN-I1oV_STSDYn1IFDPWt_1FKiwhDph83XaGc0o0/edit?usp=sharing"",""งบพรบ!FD101"")"),733964.62)</f>
        <v>733964.62</v>
      </c>
      <c r="M101" s="84">
        <f t="shared" ca="1" si="5"/>
        <v>41.56320403193839</v>
      </c>
      <c r="N101" s="84">
        <f t="shared" ca="1" si="6"/>
        <v>55.968020436175081</v>
      </c>
      <c r="O101" s="85">
        <f ca="1">IFERROR(__xludf.DUMMYFUNCTION("IMPORTRANGE(""https://docs.google.com/spreadsheets/d/1MeEWN-I1oV_STSDYn1IFDPWt_1FKiwhDph83XaGc0o0/edit?usp=sharing"",""งบพรบ!FE101"")"),0)</f>
        <v>0</v>
      </c>
      <c r="P101" s="84">
        <f t="shared" ca="1" si="53"/>
        <v>0</v>
      </c>
      <c r="Q101" s="84">
        <f t="shared" ca="1" si="8"/>
        <v>0</v>
      </c>
      <c r="R101" s="82"/>
      <c r="S101" s="82"/>
      <c r="T101" s="82"/>
      <c r="U101" s="84"/>
      <c r="V101" s="82"/>
      <c r="W101" s="82"/>
      <c r="X101" s="82"/>
      <c r="Y101" s="84"/>
      <c r="Z101" s="84"/>
      <c r="AA101" s="84"/>
      <c r="AB101" s="84"/>
      <c r="AC101" s="84"/>
      <c r="AD101" s="82"/>
      <c r="AE101" s="82"/>
      <c r="AF101" s="82"/>
      <c r="AG101" s="82"/>
      <c r="AH101" s="82"/>
      <c r="AI101" s="82"/>
      <c r="AJ101" s="84"/>
      <c r="AK101" s="82"/>
      <c r="AL101" s="82"/>
      <c r="AM101" s="82"/>
      <c r="AN101" s="84"/>
      <c r="AO101" s="84"/>
      <c r="AP101" s="84"/>
      <c r="AQ101" s="84"/>
      <c r="AR101" s="84"/>
      <c r="AS101" s="82"/>
      <c r="AT101" s="82"/>
      <c r="AU101" s="82"/>
      <c r="AV101" s="84"/>
      <c r="AW101" s="82"/>
      <c r="AX101" s="82"/>
      <c r="AY101" s="82"/>
      <c r="AZ101" s="84"/>
      <c r="BA101" s="84"/>
      <c r="BB101" s="84"/>
      <c r="BC101" s="84"/>
      <c r="BD101" s="84"/>
    </row>
    <row r="102" spans="1:56" ht="24" hidden="1" customHeight="1" x14ac:dyDescent="0.2">
      <c r="A102" s="111">
        <f t="shared" si="103"/>
        <v>13</v>
      </c>
      <c r="B102" s="112" t="s">
        <v>124</v>
      </c>
      <c r="C102" s="80">
        <f t="shared" ca="1" si="0"/>
        <v>0</v>
      </c>
      <c r="D102" s="81">
        <f t="shared" ca="1" si="102"/>
        <v>0</v>
      </c>
      <c r="E102" s="82">
        <f ca="1">IFERROR(__xludf.DUMMYFUNCTION("IMPORTRANGE(""https://docs.google.com/spreadsheets/d/1MeEWN-I1oV_STSDYn1IFDPWt_1FKiwhDph83XaGc0o0/edit?usp=sharing"",""งบพรบ!EX102"")"),0)</f>
        <v>0</v>
      </c>
      <c r="F102" s="82">
        <f ca="1">IFERROR(__xludf.DUMMYFUNCTION("IMPORTRANGE(""https://docs.google.com/spreadsheets/d/1MeEWN-I1oV_STSDYn1IFDPWt_1FKiwhDph83XaGc0o0/edit?usp=sharing"",""งบพรบ!EY102"")"),0)</f>
        <v>0</v>
      </c>
      <c r="G102" s="82">
        <f ca="1">IFERROR(__xludf.DUMMYFUNCTION("IMPORTRANGE(""https://docs.google.com/spreadsheets/d/1MeEWN-I1oV_STSDYn1IFDPWt_1FKiwhDph83XaGc0o0/edit?usp=sharing"",""งบพรบ!EZ102"")"),0)</f>
        <v>0</v>
      </c>
      <c r="H102" s="82">
        <f ca="1">IFERROR(__xludf.DUMMYFUNCTION("IMPORTRANGE(""https://docs.google.com/spreadsheets/d/1MeEWN-I1oV_STSDYn1IFDPWt_1FKiwhDph83XaGc0o0/edit?usp=sharing"",""งบพรบ!FB102"")"),0)</f>
        <v>0</v>
      </c>
      <c r="I102" s="82">
        <f ca="1">IFERROR(__xludf.DUMMYFUNCTION("IMPORTRANGE(""https://docs.google.com/spreadsheets/d/1MeEWN-I1oV_STSDYn1IFDPWt_1FKiwhDph83XaGc0o0/edit?usp=sharing"",""งบพรบ!FC102"")"),0)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IFERROR(__xludf.DUMMYFUNCTION("IMPORTRANGE(""https://docs.google.com/spreadsheets/d/1MeEWN-I1oV_STSDYn1IFDPWt_1FKiwhDph83XaGc0o0/edit?usp=sharing"",""งบพรบ!FD102"")"),0)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IFERROR(__xludf.DUMMYFUNCTION("IMPORTRANGE(""https://docs.google.com/spreadsheets/d/1MeEWN-I1oV_STSDYn1IFDPWt_1FKiwhDph83XaGc0o0/edit?usp=sharing"",""งบพรบ!FE102"")"),0)</f>
        <v>0</v>
      </c>
      <c r="P102" s="84">
        <f t="shared" ca="1" si="53"/>
        <v>0</v>
      </c>
      <c r="Q102" s="84">
        <f t="shared" ca="1" si="8"/>
        <v>0</v>
      </c>
      <c r="R102" s="82"/>
      <c r="S102" s="82"/>
      <c r="T102" s="82"/>
      <c r="U102" s="84"/>
      <c r="V102" s="82"/>
      <c r="W102" s="82"/>
      <c r="X102" s="82"/>
      <c r="Y102" s="84"/>
      <c r="Z102" s="84"/>
      <c r="AA102" s="84"/>
      <c r="AB102" s="84"/>
      <c r="AC102" s="84"/>
      <c r="AD102" s="82"/>
      <c r="AE102" s="82"/>
      <c r="AF102" s="82"/>
      <c r="AG102" s="82"/>
      <c r="AH102" s="82"/>
      <c r="AI102" s="82"/>
      <c r="AJ102" s="84"/>
      <c r="AK102" s="82"/>
      <c r="AL102" s="82"/>
      <c r="AM102" s="82"/>
      <c r="AN102" s="84"/>
      <c r="AO102" s="84"/>
      <c r="AP102" s="84"/>
      <c r="AQ102" s="84"/>
      <c r="AR102" s="84"/>
      <c r="AS102" s="82"/>
      <c r="AT102" s="82"/>
      <c r="AU102" s="82"/>
      <c r="AV102" s="84"/>
      <c r="AW102" s="82"/>
      <c r="AX102" s="82"/>
      <c r="AY102" s="82"/>
      <c r="AZ102" s="84"/>
      <c r="BA102" s="84"/>
      <c r="BB102" s="84"/>
      <c r="BC102" s="84"/>
      <c r="BD102" s="84"/>
    </row>
    <row r="103" spans="1:56" ht="24" hidden="1" customHeight="1" x14ac:dyDescent="0.2">
      <c r="A103" s="113">
        <f t="shared" si="103"/>
        <v>14</v>
      </c>
      <c r="B103" s="114" t="s">
        <v>125</v>
      </c>
      <c r="C103" s="91">
        <f t="shared" ca="1" si="0"/>
        <v>0</v>
      </c>
      <c r="D103" s="92">
        <f t="shared" ca="1" si="102"/>
        <v>0</v>
      </c>
      <c r="E103" s="93">
        <f ca="1">IFERROR(__xludf.DUMMYFUNCTION("IMPORTRANGE(""https://docs.google.com/spreadsheets/d/1MeEWN-I1oV_STSDYn1IFDPWt_1FKiwhDph83XaGc0o0/edit?usp=sharing"",""งบพรบ!EX103"")"),0)</f>
        <v>0</v>
      </c>
      <c r="F103" s="93">
        <f ca="1">IFERROR(__xludf.DUMMYFUNCTION("IMPORTRANGE(""https://docs.google.com/spreadsheets/d/1MeEWN-I1oV_STSDYn1IFDPWt_1FKiwhDph83XaGc0o0/edit?usp=sharing"",""งบพรบ!EY103"")"),0)</f>
        <v>0</v>
      </c>
      <c r="G103" s="93">
        <f ca="1">IFERROR(__xludf.DUMMYFUNCTION("IMPORTRANGE(""https://docs.google.com/spreadsheets/d/1MeEWN-I1oV_STSDYn1IFDPWt_1FKiwhDph83XaGc0o0/edit?usp=sharing"",""งบพรบ!EZ103"")"),0)</f>
        <v>0</v>
      </c>
      <c r="H103" s="93">
        <f ca="1">IFERROR(__xludf.DUMMYFUNCTION("IMPORTRANGE(""https://docs.google.com/spreadsheets/d/1MeEWN-I1oV_STSDYn1IFDPWt_1FKiwhDph83XaGc0o0/edit?usp=sharing"",""งบพรบ!FB103"")"),0)</f>
        <v>0</v>
      </c>
      <c r="I103" s="93">
        <f ca="1">IFERROR(__xludf.DUMMYFUNCTION("IMPORTRANGE(""https://docs.google.com/spreadsheets/d/1MeEWN-I1oV_STSDYn1IFDPWt_1FKiwhDph83XaGc0o0/edit?usp=sharing"",""งบพรบ!FC103"")"),0)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IFERROR(__xludf.DUMMYFUNCTION("IMPORTRANGE(""https://docs.google.com/spreadsheets/d/1MeEWN-I1oV_STSDYn1IFDPWt_1FKiwhDph83XaGc0o0/edit?usp=sharing"",""งบพรบ!FD103"")"),0)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IFERROR(__xludf.DUMMYFUNCTION("IMPORTRANGE(""https://docs.google.com/spreadsheets/d/1MeEWN-I1oV_STSDYn1IFDPWt_1FKiwhDph83XaGc0o0/edit?usp=sharing"",""งบพรบ!FE103"")"),0)</f>
        <v>0</v>
      </c>
      <c r="P103" s="95">
        <f t="shared" ca="1" si="53"/>
        <v>0</v>
      </c>
      <c r="Q103" s="95">
        <f t="shared" ca="1" si="8"/>
        <v>0</v>
      </c>
      <c r="R103" s="93"/>
      <c r="S103" s="93"/>
      <c r="T103" s="93"/>
      <c r="U103" s="95"/>
      <c r="V103" s="93"/>
      <c r="W103" s="93"/>
      <c r="X103" s="93"/>
      <c r="Y103" s="95"/>
      <c r="Z103" s="95"/>
      <c r="AA103" s="95"/>
      <c r="AB103" s="95"/>
      <c r="AC103" s="95"/>
      <c r="AD103" s="93"/>
      <c r="AE103" s="93"/>
      <c r="AF103" s="93"/>
      <c r="AG103" s="93"/>
      <c r="AH103" s="93"/>
      <c r="AI103" s="93"/>
      <c r="AJ103" s="95"/>
      <c r="AK103" s="93"/>
      <c r="AL103" s="93"/>
      <c r="AM103" s="93"/>
      <c r="AN103" s="95"/>
      <c r="AO103" s="95"/>
      <c r="AP103" s="95"/>
      <c r="AQ103" s="95"/>
      <c r="AR103" s="95"/>
      <c r="AS103" s="93"/>
      <c r="AT103" s="93"/>
      <c r="AU103" s="93"/>
      <c r="AV103" s="95"/>
      <c r="AW103" s="93"/>
      <c r="AX103" s="93"/>
      <c r="AY103" s="93"/>
      <c r="AZ103" s="95"/>
      <c r="BA103" s="95"/>
      <c r="BB103" s="95"/>
      <c r="BC103" s="95"/>
      <c r="BD103" s="95"/>
    </row>
    <row r="104" spans="1:56" ht="21" hidden="1" customHeight="1" x14ac:dyDescent="0.2">
      <c r="A104" s="381" t="s">
        <v>126</v>
      </c>
      <c r="B104" s="357"/>
      <c r="C104" s="107">
        <f t="shared" ca="1" si="0"/>
        <v>3081100</v>
      </c>
      <c r="D104" s="46">
        <f ca="1">SUM(D105:D116)</f>
        <v>3081100</v>
      </c>
      <c r="E104" s="46">
        <f ca="1">IFERROR(__xludf.DUMMYFUNCTION("IMPORTRANGE(""https://docs.google.com/spreadsheets/d/1MeEWN-I1oV_STSDYn1IFDPWt_1FKiwhDph83XaGc0o0/edit?usp=sharing"",""งบพรบ!EX104"")"),3081100)</f>
        <v>3081100</v>
      </c>
      <c r="F104" s="46">
        <f ca="1">IFERROR(__xludf.DUMMYFUNCTION("IMPORTRANGE(""https://docs.google.com/spreadsheets/d/1MeEWN-I1oV_STSDYn1IFDPWt_1FKiwhDph83XaGc0o0/edit?usp=sharing"",""งบพรบ!EY104"")"),0)</f>
        <v>0</v>
      </c>
      <c r="G104" s="46">
        <f ca="1">IFERROR(__xludf.DUMMYFUNCTION("IMPORTRANGE(""https://docs.google.com/spreadsheets/d/1MeEWN-I1oV_STSDYn1IFDPWt_1FKiwhDph83XaGc0o0/edit?usp=sharing"",""งบพรบ!EZ104"")"),0)</f>
        <v>0</v>
      </c>
      <c r="H104" s="46">
        <f ca="1">IFERROR(__xludf.DUMMYFUNCTION("IMPORTRANGE(""https://docs.google.com/spreadsheets/d/1MeEWN-I1oV_STSDYn1IFDPWt_1FKiwhDph83XaGc0o0/edit?usp=sharing"",""งบพรบ!FB104"")"),2872050)</f>
        <v>2872050</v>
      </c>
      <c r="I104" s="46">
        <f ca="1">IFERROR(__xludf.DUMMYFUNCTION("IMPORTRANGE(""https://docs.google.com/spreadsheets/d/1MeEWN-I1oV_STSDYn1IFDPWt_1FKiwhDph83XaGc0o0/edit?usp=sharing"",""งบพรบ!FC104"")"),5301402.73)</f>
        <v>5301402.7300000004</v>
      </c>
      <c r="J104" s="46">
        <f t="shared" ca="1" si="3"/>
        <v>1144226.21</v>
      </c>
      <c r="K104" s="48">
        <f t="shared" ca="1" si="4"/>
        <v>37.136938431079813</v>
      </c>
      <c r="L104" s="46">
        <f ca="1">IFERROR(__xludf.DUMMYFUNCTION("IMPORTRANGE(""https://docs.google.com/spreadsheets/d/1MeEWN-I1oV_STSDYn1IFDPWt_1FKiwhDph83XaGc0o0/edit?usp=sharing"",""งบพรบ!FD104"")"),1144226.21)</f>
        <v>1144226.21</v>
      </c>
      <c r="M104" s="48">
        <f t="shared" ca="1" si="5"/>
        <v>37.136938431079813</v>
      </c>
      <c r="N104" s="48">
        <f t="shared" ca="1" si="6"/>
        <v>39.840051879319653</v>
      </c>
      <c r="O104" s="46">
        <f ca="1">IFERROR(__xludf.DUMMYFUNCTION("IMPORTRANGE(""https://docs.google.com/spreadsheets/d/1MeEWN-I1oV_STSDYn1IFDPWt_1FKiwhDph83XaGc0o0/edit?usp=sharing"",""งบพรบ!FE104"")"),0)</f>
        <v>0</v>
      </c>
      <c r="P104" s="46">
        <f t="shared" ca="1" si="53"/>
        <v>0</v>
      </c>
      <c r="Q104" s="46">
        <f t="shared" ca="1" si="8"/>
        <v>0</v>
      </c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</row>
    <row r="105" spans="1:56" ht="24" hidden="1" customHeight="1" x14ac:dyDescent="0.2">
      <c r="A105" s="108">
        <v>1</v>
      </c>
      <c r="B105" s="115" t="s">
        <v>127</v>
      </c>
      <c r="C105" s="116">
        <f t="shared" ca="1" si="0"/>
        <v>87800</v>
      </c>
      <c r="D105" s="71">
        <f t="shared" ref="D105:D116" ca="1" si="104">+E105+F105</f>
        <v>87800</v>
      </c>
      <c r="E105" s="72">
        <f ca="1">IFERROR(__xludf.DUMMYFUNCTION("IMPORTRANGE(""https://docs.google.com/spreadsheets/d/1MeEWN-I1oV_STSDYn1IFDPWt_1FKiwhDph83XaGc0o0/edit?usp=sharing"",""งบพรบ!EX105"")"),87800)</f>
        <v>87800</v>
      </c>
      <c r="F105" s="72">
        <f ca="1">IFERROR(__xludf.DUMMYFUNCTION("IMPORTRANGE(""https://docs.google.com/spreadsheets/d/1MeEWN-I1oV_STSDYn1IFDPWt_1FKiwhDph83XaGc0o0/edit?usp=sharing"",""งบพรบ!EY105"")"),0)</f>
        <v>0</v>
      </c>
      <c r="G105" s="72">
        <f ca="1">IFERROR(__xludf.DUMMYFUNCTION("IMPORTRANGE(""https://docs.google.com/spreadsheets/d/1MeEWN-I1oV_STSDYn1IFDPWt_1FKiwhDph83XaGc0o0/edit?usp=sharing"",""งบพรบ!EZ105"")"),0)</f>
        <v>0</v>
      </c>
      <c r="H105" s="72">
        <f ca="1">IFERROR(__xludf.DUMMYFUNCTION("IMPORTRANGE(""https://docs.google.com/spreadsheets/d/1MeEWN-I1oV_STSDYn1IFDPWt_1FKiwhDph83XaGc0o0/edit?usp=sharing"",""งบพรบ!FB105"")"),495300)</f>
        <v>495300</v>
      </c>
      <c r="I105" s="72">
        <f ca="1">IFERROR(__xludf.DUMMYFUNCTION("IMPORTRANGE(""https://docs.google.com/spreadsheets/d/1MeEWN-I1oV_STSDYn1IFDPWt_1FKiwhDph83XaGc0o0/edit?usp=sharing"",""งบพรบ!FC105"")"),0)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IFERROR(__xludf.DUMMYFUNCTION("IMPORTRANGE(""https://docs.google.com/spreadsheets/d/1MeEWN-I1oV_STSDYn1IFDPWt_1FKiwhDph83XaGc0o0/edit?usp=sharing"",""งบพรบ!FD105"")"),0)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IFERROR(__xludf.DUMMYFUNCTION("IMPORTRANGE(""https://docs.google.com/spreadsheets/d/1MeEWN-I1oV_STSDYn1IFDPWt_1FKiwhDph83XaGc0o0/edit?usp=sharing"",""งบพรบ!FE105"")"),0)</f>
        <v>0</v>
      </c>
      <c r="P105" s="75">
        <f t="shared" ca="1" si="53"/>
        <v>0</v>
      </c>
      <c r="Q105" s="75">
        <f t="shared" ca="1" si="8"/>
        <v>0</v>
      </c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</row>
    <row r="106" spans="1:56" ht="24" hidden="1" customHeight="1" x14ac:dyDescent="0.2">
      <c r="A106" s="111">
        <v>2</v>
      </c>
      <c r="B106" s="117" t="s">
        <v>128</v>
      </c>
      <c r="C106" s="118">
        <f t="shared" ca="1" si="0"/>
        <v>0</v>
      </c>
      <c r="D106" s="81">
        <f t="shared" ca="1" si="104"/>
        <v>0</v>
      </c>
      <c r="E106" s="82">
        <f ca="1">IFERROR(__xludf.DUMMYFUNCTION("IMPORTRANGE(""https://docs.google.com/spreadsheets/d/1MeEWN-I1oV_STSDYn1IFDPWt_1FKiwhDph83XaGc0o0/edit?usp=sharing"",""งบพรบ!EX106"")"),0)</f>
        <v>0</v>
      </c>
      <c r="F106" s="82">
        <f ca="1">IFERROR(__xludf.DUMMYFUNCTION("IMPORTRANGE(""https://docs.google.com/spreadsheets/d/1MeEWN-I1oV_STSDYn1IFDPWt_1FKiwhDph83XaGc0o0/edit?usp=sharing"",""งบพรบ!EY106"")"),0)</f>
        <v>0</v>
      </c>
      <c r="G106" s="82">
        <f ca="1">IFERROR(__xludf.DUMMYFUNCTION("IMPORTRANGE(""https://docs.google.com/spreadsheets/d/1MeEWN-I1oV_STSDYn1IFDPWt_1FKiwhDph83XaGc0o0/edit?usp=sharing"",""งบพรบ!EZ106"")"),0)</f>
        <v>0</v>
      </c>
      <c r="H106" s="82">
        <f ca="1">IFERROR(__xludf.DUMMYFUNCTION("IMPORTRANGE(""https://docs.google.com/spreadsheets/d/1MeEWN-I1oV_STSDYn1IFDPWt_1FKiwhDph83XaGc0o0/edit?usp=sharing"",""งบพรบ!FB106"")"),0)</f>
        <v>0</v>
      </c>
      <c r="I106" s="82">
        <f ca="1">IFERROR(__xludf.DUMMYFUNCTION("IMPORTRANGE(""https://docs.google.com/spreadsheets/d/1MeEWN-I1oV_STSDYn1IFDPWt_1FKiwhDph83XaGc0o0/edit?usp=sharing"",""งบพรบ!FC106"")"),0)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IFERROR(__xludf.DUMMYFUNCTION("IMPORTRANGE(""https://docs.google.com/spreadsheets/d/1MeEWN-I1oV_STSDYn1IFDPWt_1FKiwhDph83XaGc0o0/edit?usp=sharing"",""งบพรบ!FD106"")"),0)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IFERROR(__xludf.DUMMYFUNCTION("IMPORTRANGE(""https://docs.google.com/spreadsheets/d/1MeEWN-I1oV_STSDYn1IFDPWt_1FKiwhDph83XaGc0o0/edit?usp=sharing"",""งบพรบ!FE106"")"),0)</f>
        <v>0</v>
      </c>
      <c r="P106" s="84">
        <f t="shared" ca="1" si="53"/>
        <v>0</v>
      </c>
      <c r="Q106" s="84">
        <f t="shared" ca="1" si="8"/>
        <v>0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</row>
    <row r="107" spans="1:56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104"/>
        <v>0</v>
      </c>
      <c r="E107" s="82">
        <f ca="1">IFERROR(__xludf.DUMMYFUNCTION("IMPORTRANGE(""https://docs.google.com/spreadsheets/d/1MeEWN-I1oV_STSDYn1IFDPWt_1FKiwhDph83XaGc0o0/edit?usp=sharing"",""งบพรบ!EX107"")"),0)</f>
        <v>0</v>
      </c>
      <c r="F107" s="82">
        <f ca="1">IFERROR(__xludf.DUMMYFUNCTION("IMPORTRANGE(""https://docs.google.com/spreadsheets/d/1MeEWN-I1oV_STSDYn1IFDPWt_1FKiwhDph83XaGc0o0/edit?usp=sharing"",""งบพรบ!EY107"")"),0)</f>
        <v>0</v>
      </c>
      <c r="G107" s="82">
        <f ca="1">IFERROR(__xludf.DUMMYFUNCTION("IMPORTRANGE(""https://docs.google.com/spreadsheets/d/1MeEWN-I1oV_STSDYn1IFDPWt_1FKiwhDph83XaGc0o0/edit?usp=sharing"",""งบพรบ!EZ107"")"),0)</f>
        <v>0</v>
      </c>
      <c r="H107" s="82">
        <f ca="1">IFERROR(__xludf.DUMMYFUNCTION("IMPORTRANGE(""https://docs.google.com/spreadsheets/d/1MeEWN-I1oV_STSDYn1IFDPWt_1FKiwhDph83XaGc0o0/edit?usp=sharing"",""งบพรบ!FB107"")"),0)</f>
        <v>0</v>
      </c>
      <c r="I107" s="82">
        <f ca="1">IFERROR(__xludf.DUMMYFUNCTION("IMPORTRANGE(""https://docs.google.com/spreadsheets/d/1MeEWN-I1oV_STSDYn1IFDPWt_1FKiwhDph83XaGc0o0/edit?usp=sharing"",""งบพรบ!FC107"")"),0)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IFERROR(__xludf.DUMMYFUNCTION("IMPORTRANGE(""https://docs.google.com/spreadsheets/d/1MeEWN-I1oV_STSDYn1IFDPWt_1FKiwhDph83XaGc0o0/edit?usp=sharing"",""งบพรบ!FD107"")"),0)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IFERROR(__xludf.DUMMYFUNCTION("IMPORTRANGE(""https://docs.google.com/spreadsheets/d/1MeEWN-I1oV_STSDYn1IFDPWt_1FKiwhDph83XaGc0o0/edit?usp=sharing"",""งบพรบ!FE107"")"),0)</f>
        <v>0</v>
      </c>
      <c r="P107" s="84">
        <f t="shared" ca="1" si="53"/>
        <v>0</v>
      </c>
      <c r="Q107" s="84">
        <f t="shared" ca="1" si="8"/>
        <v>0</v>
      </c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</row>
    <row r="108" spans="1:56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104"/>
        <v>0</v>
      </c>
      <c r="E108" s="82">
        <f ca="1">IFERROR(__xludf.DUMMYFUNCTION("IMPORTRANGE(""https://docs.google.com/spreadsheets/d/1MeEWN-I1oV_STSDYn1IFDPWt_1FKiwhDph83XaGc0o0/edit?usp=sharing"",""งบพรบ!EX108"")"),0)</f>
        <v>0</v>
      </c>
      <c r="F108" s="82">
        <f ca="1">IFERROR(__xludf.DUMMYFUNCTION("IMPORTRANGE(""https://docs.google.com/spreadsheets/d/1MeEWN-I1oV_STSDYn1IFDPWt_1FKiwhDph83XaGc0o0/edit?usp=sharing"",""งบพรบ!EY108"")"),0)</f>
        <v>0</v>
      </c>
      <c r="G108" s="82">
        <f ca="1">IFERROR(__xludf.DUMMYFUNCTION("IMPORTRANGE(""https://docs.google.com/spreadsheets/d/1MeEWN-I1oV_STSDYn1IFDPWt_1FKiwhDph83XaGc0o0/edit?usp=sharing"",""งบพรบ!EZ108"")"),0)</f>
        <v>0</v>
      </c>
      <c r="H108" s="82">
        <f ca="1">IFERROR(__xludf.DUMMYFUNCTION("IMPORTRANGE(""https://docs.google.com/spreadsheets/d/1MeEWN-I1oV_STSDYn1IFDPWt_1FKiwhDph83XaGc0o0/edit?usp=sharing"",""งบพรบ!FB108"")"),0)</f>
        <v>0</v>
      </c>
      <c r="I108" s="82">
        <f ca="1">IFERROR(__xludf.DUMMYFUNCTION("IMPORTRANGE(""https://docs.google.com/spreadsheets/d/1MeEWN-I1oV_STSDYn1IFDPWt_1FKiwhDph83XaGc0o0/edit?usp=sharing"",""งบพรบ!FC108"")"),0)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IFERROR(__xludf.DUMMYFUNCTION("IMPORTRANGE(""https://docs.google.com/spreadsheets/d/1MeEWN-I1oV_STSDYn1IFDPWt_1FKiwhDph83XaGc0o0/edit?usp=sharing"",""งบพรบ!FD108"")"),0)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IFERROR(__xludf.DUMMYFUNCTION("IMPORTRANGE(""https://docs.google.com/spreadsheets/d/1MeEWN-I1oV_STSDYn1IFDPWt_1FKiwhDph83XaGc0o0/edit?usp=sharing"",""งบพรบ!FE108"")"),0)</f>
        <v>0</v>
      </c>
      <c r="P108" s="84">
        <f t="shared" ca="1" si="53"/>
        <v>0</v>
      </c>
      <c r="Q108" s="84">
        <f t="shared" ca="1" si="8"/>
        <v>0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</row>
    <row r="109" spans="1:56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104"/>
        <v>0</v>
      </c>
      <c r="E109" s="82">
        <f ca="1">IFERROR(__xludf.DUMMYFUNCTION("IMPORTRANGE(""https://docs.google.com/spreadsheets/d/1MeEWN-I1oV_STSDYn1IFDPWt_1FKiwhDph83XaGc0o0/edit?usp=sharing"",""งบพรบ!EX109"")"),0)</f>
        <v>0</v>
      </c>
      <c r="F109" s="82">
        <f ca="1">IFERROR(__xludf.DUMMYFUNCTION("IMPORTRANGE(""https://docs.google.com/spreadsheets/d/1MeEWN-I1oV_STSDYn1IFDPWt_1FKiwhDph83XaGc0o0/edit?usp=sharing"",""งบพรบ!EY109"")"),0)</f>
        <v>0</v>
      </c>
      <c r="G109" s="82">
        <f ca="1">IFERROR(__xludf.DUMMYFUNCTION("IMPORTRANGE(""https://docs.google.com/spreadsheets/d/1MeEWN-I1oV_STSDYn1IFDPWt_1FKiwhDph83XaGc0o0/edit?usp=sharing"",""งบพรบ!EZ109"")"),0)</f>
        <v>0</v>
      </c>
      <c r="H109" s="82">
        <f ca="1">IFERROR(__xludf.DUMMYFUNCTION("IMPORTRANGE(""https://docs.google.com/spreadsheets/d/1MeEWN-I1oV_STSDYn1IFDPWt_1FKiwhDph83XaGc0o0/edit?usp=sharing"",""งบพรบ!FB109"")"),0)</f>
        <v>0</v>
      </c>
      <c r="I109" s="82">
        <f ca="1">IFERROR(__xludf.DUMMYFUNCTION("IMPORTRANGE(""https://docs.google.com/spreadsheets/d/1MeEWN-I1oV_STSDYn1IFDPWt_1FKiwhDph83XaGc0o0/edit?usp=sharing"",""งบพรบ!FC109"")"),0)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IFERROR(__xludf.DUMMYFUNCTION("IMPORTRANGE(""https://docs.google.com/spreadsheets/d/1MeEWN-I1oV_STSDYn1IFDPWt_1FKiwhDph83XaGc0o0/edit?usp=sharing"",""งบพรบ!FD109"")"),0)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IFERROR(__xludf.DUMMYFUNCTION("IMPORTRANGE(""https://docs.google.com/spreadsheets/d/1MeEWN-I1oV_STSDYn1IFDPWt_1FKiwhDph83XaGc0o0/edit?usp=sharing"",""งบพรบ!FE109"")"),0)</f>
        <v>0</v>
      </c>
      <c r="P109" s="84">
        <f t="shared" ca="1" si="53"/>
        <v>0</v>
      </c>
      <c r="Q109" s="84">
        <f t="shared" ca="1" si="8"/>
        <v>0</v>
      </c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</row>
    <row r="110" spans="1:56" ht="24" hidden="1" customHeight="1" x14ac:dyDescent="0.2">
      <c r="A110" s="119">
        <v>6</v>
      </c>
      <c r="B110" s="117" t="s">
        <v>132</v>
      </c>
      <c r="C110" s="118">
        <f t="shared" ca="1" si="0"/>
        <v>1846700</v>
      </c>
      <c r="D110" s="81">
        <f t="shared" ca="1" si="104"/>
        <v>1846700</v>
      </c>
      <c r="E110" s="82">
        <f ca="1">IFERROR(__xludf.DUMMYFUNCTION("IMPORTRANGE(""https://docs.google.com/spreadsheets/d/1MeEWN-I1oV_STSDYn1IFDPWt_1FKiwhDph83XaGc0o0/edit?usp=sharing"",""งบพรบ!EX110"")"),1846700)</f>
        <v>1846700</v>
      </c>
      <c r="F110" s="82">
        <f ca="1">IFERROR(__xludf.DUMMYFUNCTION("IMPORTRANGE(""https://docs.google.com/spreadsheets/d/1MeEWN-I1oV_STSDYn1IFDPWt_1FKiwhDph83XaGc0o0/edit?usp=sharing"",""งบพรบ!EY110"")"),0)</f>
        <v>0</v>
      </c>
      <c r="G110" s="82">
        <f ca="1">IFERROR(__xludf.DUMMYFUNCTION("IMPORTRANGE(""https://docs.google.com/spreadsheets/d/1MeEWN-I1oV_STSDYn1IFDPWt_1FKiwhDph83XaGc0o0/edit?usp=sharing"",""งบพรบ!EZ110"")"),0)</f>
        <v>0</v>
      </c>
      <c r="H110" s="82">
        <f ca="1">IFERROR(__xludf.DUMMYFUNCTION("IMPORTRANGE(""https://docs.google.com/spreadsheets/d/1MeEWN-I1oV_STSDYn1IFDPWt_1FKiwhDph83XaGc0o0/edit?usp=sharing"",""งบพรบ!FB110"")"),1516750)</f>
        <v>1516750</v>
      </c>
      <c r="I110" s="82">
        <f ca="1">IFERROR(__xludf.DUMMYFUNCTION("IMPORTRANGE(""https://docs.google.com/spreadsheets/d/1MeEWN-I1oV_STSDYn1IFDPWt_1FKiwhDph83XaGc0o0/edit?usp=sharing"",""งบพรบ!FC110"")"),0)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IFERROR(__xludf.DUMMYFUNCTION("IMPORTRANGE(""https://docs.google.com/spreadsheets/d/1MeEWN-I1oV_STSDYn1IFDPWt_1FKiwhDph83XaGc0o0/edit?usp=sharing"",""งบพรบ!FD110"")"),0)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IFERROR(__xludf.DUMMYFUNCTION("IMPORTRANGE(""https://docs.google.com/spreadsheets/d/1MeEWN-I1oV_STSDYn1IFDPWt_1FKiwhDph83XaGc0o0/edit?usp=sharing"",""งบพรบ!FE110"")"),0)</f>
        <v>0</v>
      </c>
      <c r="P110" s="84">
        <f t="shared" ca="1" si="53"/>
        <v>0</v>
      </c>
      <c r="Q110" s="84">
        <f t="shared" ca="1" si="8"/>
        <v>0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</row>
    <row r="111" spans="1:56" ht="24" hidden="1" customHeight="1" x14ac:dyDescent="0.2">
      <c r="A111" s="119">
        <v>7</v>
      </c>
      <c r="B111" s="117" t="s">
        <v>133</v>
      </c>
      <c r="C111" s="118">
        <f t="shared" ca="1" si="0"/>
        <v>1146600</v>
      </c>
      <c r="D111" s="81">
        <f t="shared" ca="1" si="104"/>
        <v>1146600</v>
      </c>
      <c r="E111" s="82">
        <f ca="1">IFERROR(__xludf.DUMMYFUNCTION("IMPORTRANGE(""https://docs.google.com/spreadsheets/d/1MeEWN-I1oV_STSDYn1IFDPWt_1FKiwhDph83XaGc0o0/edit?usp=sharing"",""งบพรบ!EX111"")"),1146600)</f>
        <v>1146600</v>
      </c>
      <c r="F111" s="82">
        <f ca="1">IFERROR(__xludf.DUMMYFUNCTION("IMPORTRANGE(""https://docs.google.com/spreadsheets/d/1MeEWN-I1oV_STSDYn1IFDPWt_1FKiwhDph83XaGc0o0/edit?usp=sharing"",""งบพรบ!EY111"")"),0)</f>
        <v>0</v>
      </c>
      <c r="G111" s="82">
        <f ca="1">IFERROR(__xludf.DUMMYFUNCTION("IMPORTRANGE(""https://docs.google.com/spreadsheets/d/1MeEWN-I1oV_STSDYn1IFDPWt_1FKiwhDph83XaGc0o0/edit?usp=sharing"",""งบพรบ!EZ111"")"),0)</f>
        <v>0</v>
      </c>
      <c r="H111" s="82">
        <f ca="1">IFERROR(__xludf.DUMMYFUNCTION("IMPORTRANGE(""https://docs.google.com/spreadsheets/d/1MeEWN-I1oV_STSDYn1IFDPWt_1FKiwhDph83XaGc0o0/edit?usp=sharing"",""งบพรบ!FB111"")"),860000)</f>
        <v>860000</v>
      </c>
      <c r="I111" s="82">
        <f ca="1">IFERROR(__xludf.DUMMYFUNCTION("IMPORTRANGE(""https://docs.google.com/spreadsheets/d/1MeEWN-I1oV_STSDYn1IFDPWt_1FKiwhDph83XaGc0o0/edit?usp=sharing"",""งบพรบ!FC111"")"),0)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IFERROR(__xludf.DUMMYFUNCTION("IMPORTRANGE(""https://docs.google.com/spreadsheets/d/1MeEWN-I1oV_STSDYn1IFDPWt_1FKiwhDph83XaGc0o0/edit?usp=sharing"",""งบพรบ!FD111"")"),0)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IFERROR(__xludf.DUMMYFUNCTION("IMPORTRANGE(""https://docs.google.com/spreadsheets/d/1MeEWN-I1oV_STSDYn1IFDPWt_1FKiwhDph83XaGc0o0/edit?usp=sharing"",""งบพรบ!FE111"")"),0)</f>
        <v>0</v>
      </c>
      <c r="P111" s="84">
        <f t="shared" ca="1" si="53"/>
        <v>0</v>
      </c>
      <c r="Q111" s="84">
        <f t="shared" ca="1" si="8"/>
        <v>0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</row>
    <row r="112" spans="1:56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104"/>
        <v>0</v>
      </c>
      <c r="E112" s="82">
        <f ca="1">IFERROR(__xludf.DUMMYFUNCTION("IMPORTRANGE(""https://docs.google.com/spreadsheets/d/1MeEWN-I1oV_STSDYn1IFDPWt_1FKiwhDph83XaGc0o0/edit?usp=sharing"",""งบพรบ!EX112"")"),0)</f>
        <v>0</v>
      </c>
      <c r="F112" s="82">
        <f ca="1">IFERROR(__xludf.DUMMYFUNCTION("IMPORTRANGE(""https://docs.google.com/spreadsheets/d/1MeEWN-I1oV_STSDYn1IFDPWt_1FKiwhDph83XaGc0o0/edit?usp=sharing"",""งบพรบ!EY112"")"),0)</f>
        <v>0</v>
      </c>
      <c r="G112" s="82">
        <f ca="1">IFERROR(__xludf.DUMMYFUNCTION("IMPORTRANGE(""https://docs.google.com/spreadsheets/d/1MeEWN-I1oV_STSDYn1IFDPWt_1FKiwhDph83XaGc0o0/edit?usp=sharing"",""งบพรบ!EZ112"")"),0)</f>
        <v>0</v>
      </c>
      <c r="H112" s="82">
        <f ca="1">IFERROR(__xludf.DUMMYFUNCTION("IMPORTRANGE(""https://docs.google.com/spreadsheets/d/1MeEWN-I1oV_STSDYn1IFDPWt_1FKiwhDph83XaGc0o0/edit?usp=sharing"",""งบพรบ!FB112"")"),0)</f>
        <v>0</v>
      </c>
      <c r="I112" s="82">
        <f ca="1">IFERROR(__xludf.DUMMYFUNCTION("IMPORTRANGE(""https://docs.google.com/spreadsheets/d/1MeEWN-I1oV_STSDYn1IFDPWt_1FKiwhDph83XaGc0o0/edit?usp=sharing"",""งบพรบ!FC112"")"),0)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IFERROR(__xludf.DUMMYFUNCTION("IMPORTRANGE(""https://docs.google.com/spreadsheets/d/1MeEWN-I1oV_STSDYn1IFDPWt_1FKiwhDph83XaGc0o0/edit?usp=sharing"",""งบพรบ!FD112"")"),0)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IFERROR(__xludf.DUMMYFUNCTION("IMPORTRANGE(""https://docs.google.com/spreadsheets/d/1MeEWN-I1oV_STSDYn1IFDPWt_1FKiwhDph83XaGc0o0/edit?usp=sharing"",""งบพรบ!FE112"")"),0)</f>
        <v>0</v>
      </c>
      <c r="P112" s="84">
        <f t="shared" ca="1" si="53"/>
        <v>0</v>
      </c>
      <c r="Q112" s="84">
        <f t="shared" ca="1" si="8"/>
        <v>0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</row>
    <row r="113" spans="1:56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104"/>
        <v>0</v>
      </c>
      <c r="E113" s="82">
        <f ca="1">IFERROR(__xludf.DUMMYFUNCTION("IMPORTRANGE(""https://docs.google.com/spreadsheets/d/1MeEWN-I1oV_STSDYn1IFDPWt_1FKiwhDph83XaGc0o0/edit?usp=sharing"",""งบพรบ!EX113"")"),0)</f>
        <v>0</v>
      </c>
      <c r="F113" s="82">
        <f ca="1">IFERROR(__xludf.DUMMYFUNCTION("IMPORTRANGE(""https://docs.google.com/spreadsheets/d/1MeEWN-I1oV_STSDYn1IFDPWt_1FKiwhDph83XaGc0o0/edit?usp=sharing"",""งบพรบ!EY113"")"),0)</f>
        <v>0</v>
      </c>
      <c r="G113" s="82">
        <f ca="1">IFERROR(__xludf.DUMMYFUNCTION("IMPORTRANGE(""https://docs.google.com/spreadsheets/d/1MeEWN-I1oV_STSDYn1IFDPWt_1FKiwhDph83XaGc0o0/edit?usp=sharing"",""งบพรบ!EZ113"")"),0)</f>
        <v>0</v>
      </c>
      <c r="H113" s="82">
        <f ca="1">IFERROR(__xludf.DUMMYFUNCTION("IMPORTRANGE(""https://docs.google.com/spreadsheets/d/1MeEWN-I1oV_STSDYn1IFDPWt_1FKiwhDph83XaGc0o0/edit?usp=sharing"",""งบพรบ!FB113"")"),0)</f>
        <v>0</v>
      </c>
      <c r="I113" s="82">
        <f ca="1">IFERROR(__xludf.DUMMYFUNCTION("IMPORTRANGE(""https://docs.google.com/spreadsheets/d/1MeEWN-I1oV_STSDYn1IFDPWt_1FKiwhDph83XaGc0o0/edit?usp=sharing"",""งบพรบ!FC113"")"),0)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IFERROR(__xludf.DUMMYFUNCTION("IMPORTRANGE(""https://docs.google.com/spreadsheets/d/1MeEWN-I1oV_STSDYn1IFDPWt_1FKiwhDph83XaGc0o0/edit?usp=sharing"",""งบพรบ!FD113"")"),0)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IFERROR(__xludf.DUMMYFUNCTION("IMPORTRANGE(""https://docs.google.com/spreadsheets/d/1MeEWN-I1oV_STSDYn1IFDPWt_1FKiwhDph83XaGc0o0/edit?usp=sharing"",""งบพรบ!FE113"")"),0)</f>
        <v>0</v>
      </c>
      <c r="P113" s="84">
        <f t="shared" ca="1" si="53"/>
        <v>0</v>
      </c>
      <c r="Q113" s="84">
        <f t="shared" ca="1" si="8"/>
        <v>0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</row>
    <row r="114" spans="1:56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104"/>
        <v>0</v>
      </c>
      <c r="E114" s="82">
        <f ca="1">IFERROR(__xludf.DUMMYFUNCTION("IMPORTRANGE(""https://docs.google.com/spreadsheets/d/1MeEWN-I1oV_STSDYn1IFDPWt_1FKiwhDph83XaGc0o0/edit?usp=sharing"",""งบพรบ!EX114"")"),0)</f>
        <v>0</v>
      </c>
      <c r="F114" s="82">
        <f ca="1">IFERROR(__xludf.DUMMYFUNCTION("IMPORTRANGE(""https://docs.google.com/spreadsheets/d/1MeEWN-I1oV_STSDYn1IFDPWt_1FKiwhDph83XaGc0o0/edit?usp=sharing"",""งบพรบ!EY114"")"),0)</f>
        <v>0</v>
      </c>
      <c r="G114" s="82">
        <f ca="1">IFERROR(__xludf.DUMMYFUNCTION("IMPORTRANGE(""https://docs.google.com/spreadsheets/d/1MeEWN-I1oV_STSDYn1IFDPWt_1FKiwhDph83XaGc0o0/edit?usp=sharing"",""งบพรบ!EZ114"")"),0)</f>
        <v>0</v>
      </c>
      <c r="H114" s="82">
        <f ca="1">IFERROR(__xludf.DUMMYFUNCTION("IMPORTRANGE(""https://docs.google.com/spreadsheets/d/1MeEWN-I1oV_STSDYn1IFDPWt_1FKiwhDph83XaGc0o0/edit?usp=sharing"",""งบพรบ!FB114"")"),0)</f>
        <v>0</v>
      </c>
      <c r="I114" s="82">
        <f ca="1">IFERROR(__xludf.DUMMYFUNCTION("IMPORTRANGE(""https://docs.google.com/spreadsheets/d/1MeEWN-I1oV_STSDYn1IFDPWt_1FKiwhDph83XaGc0o0/edit?usp=sharing"",""งบพรบ!FC114"")"),0)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IFERROR(__xludf.DUMMYFUNCTION("IMPORTRANGE(""https://docs.google.com/spreadsheets/d/1MeEWN-I1oV_STSDYn1IFDPWt_1FKiwhDph83XaGc0o0/edit?usp=sharing"",""งบพรบ!FD114"")"),0)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IFERROR(__xludf.DUMMYFUNCTION("IMPORTRANGE(""https://docs.google.com/spreadsheets/d/1MeEWN-I1oV_STSDYn1IFDPWt_1FKiwhDph83XaGc0o0/edit?usp=sharing"",""งบพรบ!FE114"")"),0)</f>
        <v>0</v>
      </c>
      <c r="P114" s="84">
        <f t="shared" ca="1" si="53"/>
        <v>0</v>
      </c>
      <c r="Q114" s="84">
        <f t="shared" ca="1" si="8"/>
        <v>0</v>
      </c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</row>
    <row r="115" spans="1:56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104"/>
        <v>0</v>
      </c>
      <c r="E115" s="82">
        <f ca="1">IFERROR(__xludf.DUMMYFUNCTION("IMPORTRANGE(""https://docs.google.com/spreadsheets/d/1MeEWN-I1oV_STSDYn1IFDPWt_1FKiwhDph83XaGc0o0/edit?usp=sharing"",""งบพรบ!EX115"")"),0)</f>
        <v>0</v>
      </c>
      <c r="F115" s="82">
        <f ca="1">IFERROR(__xludf.DUMMYFUNCTION("IMPORTRANGE(""https://docs.google.com/spreadsheets/d/1MeEWN-I1oV_STSDYn1IFDPWt_1FKiwhDph83XaGc0o0/edit?usp=sharing"",""งบพรบ!EY115"")"),0)</f>
        <v>0</v>
      </c>
      <c r="G115" s="82">
        <f ca="1">IFERROR(__xludf.DUMMYFUNCTION("IMPORTRANGE(""https://docs.google.com/spreadsheets/d/1MeEWN-I1oV_STSDYn1IFDPWt_1FKiwhDph83XaGc0o0/edit?usp=sharing"",""งบพรบ!EZ115"")"),0)</f>
        <v>0</v>
      </c>
      <c r="H115" s="82">
        <f ca="1">IFERROR(__xludf.DUMMYFUNCTION("IMPORTRANGE(""https://docs.google.com/spreadsheets/d/1MeEWN-I1oV_STSDYn1IFDPWt_1FKiwhDph83XaGc0o0/edit?usp=sharing"",""งบพรบ!FB115"")"),0)</f>
        <v>0</v>
      </c>
      <c r="I115" s="82">
        <f ca="1">IFERROR(__xludf.DUMMYFUNCTION("IMPORTRANGE(""https://docs.google.com/spreadsheets/d/1MeEWN-I1oV_STSDYn1IFDPWt_1FKiwhDph83XaGc0o0/edit?usp=sharing"",""งบพรบ!FC115"")"),0)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IFERROR(__xludf.DUMMYFUNCTION("IMPORTRANGE(""https://docs.google.com/spreadsheets/d/1MeEWN-I1oV_STSDYn1IFDPWt_1FKiwhDph83XaGc0o0/edit?usp=sharing"",""งบพรบ!FD115"")"),0)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IFERROR(__xludf.DUMMYFUNCTION("IMPORTRANGE(""https://docs.google.com/spreadsheets/d/1MeEWN-I1oV_STSDYn1IFDPWt_1FKiwhDph83XaGc0o0/edit?usp=sharing"",""งบพรบ!FE115"")"),0)</f>
        <v>0</v>
      </c>
      <c r="P115" s="84">
        <f t="shared" ca="1" si="53"/>
        <v>0</v>
      </c>
      <c r="Q115" s="84">
        <f t="shared" ca="1" si="8"/>
        <v>0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</row>
    <row r="116" spans="1:56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104"/>
        <v>0</v>
      </c>
      <c r="E116" s="82">
        <f ca="1">IFERROR(__xludf.DUMMYFUNCTION("IMPORTRANGE(""https://docs.google.com/spreadsheets/d/1MeEWN-I1oV_STSDYn1IFDPWt_1FKiwhDph83XaGc0o0/edit?usp=sharing"",""งบพรบ!EX116"")"),0)</f>
        <v>0</v>
      </c>
      <c r="F116" s="82">
        <f ca="1">IFERROR(__xludf.DUMMYFUNCTION("IMPORTRANGE(""https://docs.google.com/spreadsheets/d/1MeEWN-I1oV_STSDYn1IFDPWt_1FKiwhDph83XaGc0o0/edit?usp=sharing"",""งบพรบ!EY116"")"),0)</f>
        <v>0</v>
      </c>
      <c r="G116" s="82">
        <f ca="1">IFERROR(__xludf.DUMMYFUNCTION("IMPORTRANGE(""https://docs.google.com/spreadsheets/d/1MeEWN-I1oV_STSDYn1IFDPWt_1FKiwhDph83XaGc0o0/edit?usp=sharing"",""งบพรบ!EZ116"")"),0)</f>
        <v>0</v>
      </c>
      <c r="H116" s="82">
        <f ca="1">IFERROR(__xludf.DUMMYFUNCTION("IMPORTRANGE(""https://docs.google.com/spreadsheets/d/1MeEWN-I1oV_STSDYn1IFDPWt_1FKiwhDph83XaGc0o0/edit?usp=sharing"",""งบพรบ!FB116"")"),0)</f>
        <v>0</v>
      </c>
      <c r="I116" s="82">
        <f ca="1">IFERROR(__xludf.DUMMYFUNCTION("IMPORTRANGE(""https://docs.google.com/spreadsheets/d/1MeEWN-I1oV_STSDYn1IFDPWt_1FKiwhDph83XaGc0o0/edit?usp=sharing"",""งบพรบ!FC116"")"),0)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IFERROR(__xludf.DUMMYFUNCTION("IMPORTRANGE(""https://docs.google.com/spreadsheets/d/1MeEWN-I1oV_STSDYn1IFDPWt_1FKiwhDph83XaGc0o0/edit?usp=sharing"",""งบพรบ!FD116"")"),0)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IFERROR(__xludf.DUMMYFUNCTION("IMPORTRANGE(""https://docs.google.com/spreadsheets/d/1MeEWN-I1oV_STSDYn1IFDPWt_1FKiwhDph83XaGc0o0/edit?usp=sharing"",""งบพรบ!FE116"")"),0)</f>
        <v>0</v>
      </c>
      <c r="P116" s="84">
        <f t="shared" ca="1" si="53"/>
        <v>0</v>
      </c>
      <c r="Q116" s="84">
        <f t="shared" ca="1" si="8"/>
        <v>0</v>
      </c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</row>
    <row r="117" spans="1:56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56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56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56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56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56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56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56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56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56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56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56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56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56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56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56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56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</row>
    <row r="161" spans="1:56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</row>
    <row r="162" spans="1:56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</row>
    <row r="163" spans="1:56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</row>
    <row r="164" spans="1:56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</row>
    <row r="165" spans="1:56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</row>
    <row r="166" spans="1:56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</row>
    <row r="167" spans="1:56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</row>
    <row r="168" spans="1:56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</row>
    <row r="169" spans="1:56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</row>
    <row r="170" spans="1:56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</row>
    <row r="171" spans="1:56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</row>
    <row r="172" spans="1:56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</row>
    <row r="173" spans="1:56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</row>
    <row r="174" spans="1:56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</row>
    <row r="175" spans="1:56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</row>
    <row r="176" spans="1:56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</row>
    <row r="177" spans="1:56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</row>
    <row r="178" spans="1:56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</row>
    <row r="179" spans="1:56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</row>
    <row r="180" spans="1:56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</row>
    <row r="181" spans="1:56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</row>
    <row r="182" spans="1:56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</row>
    <row r="183" spans="1:56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</row>
    <row r="184" spans="1:56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</row>
    <row r="185" spans="1:56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</row>
    <row r="186" spans="1:56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</row>
    <row r="187" spans="1:56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</row>
    <row r="188" spans="1:56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</row>
    <row r="189" spans="1:56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</row>
    <row r="190" spans="1:56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</row>
    <row r="191" spans="1:56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</row>
    <row r="192" spans="1:56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</row>
    <row r="193" spans="1:56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</row>
    <row r="194" spans="1:56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</row>
    <row r="195" spans="1:56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</row>
    <row r="196" spans="1:56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</row>
    <row r="197" spans="1:56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</row>
    <row r="198" spans="1:56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</row>
    <row r="199" spans="1:56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</row>
    <row r="200" spans="1:56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</row>
    <row r="201" spans="1:56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</row>
    <row r="202" spans="1:56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</row>
    <row r="203" spans="1:56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</row>
    <row r="204" spans="1:56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</row>
    <row r="205" spans="1:56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</row>
    <row r="206" spans="1:56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</row>
    <row r="207" spans="1:56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</row>
    <row r="208" spans="1:56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</row>
    <row r="209" spans="1:56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</row>
    <row r="210" spans="1:56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</row>
    <row r="211" spans="1:56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</row>
    <row r="212" spans="1:56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</row>
    <row r="213" spans="1:56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</row>
    <row r="214" spans="1:56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</row>
    <row r="215" spans="1:56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</row>
    <row r="216" spans="1:56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</row>
    <row r="217" spans="1:56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</row>
    <row r="218" spans="1:56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</row>
    <row r="219" spans="1:56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</row>
    <row r="220" spans="1:56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</row>
    <row r="221" spans="1:56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</row>
    <row r="222" spans="1:56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</row>
    <row r="223" spans="1:56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</row>
    <row r="224" spans="1:56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</row>
    <row r="225" spans="1:56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</row>
    <row r="226" spans="1:56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</row>
    <row r="227" spans="1:56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</row>
    <row r="228" spans="1:56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</row>
    <row r="229" spans="1:56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</row>
    <row r="230" spans="1:56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</row>
    <row r="231" spans="1:56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</row>
    <row r="232" spans="1:56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</row>
    <row r="233" spans="1:56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</row>
    <row r="234" spans="1:56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</row>
    <row r="235" spans="1:56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</row>
    <row r="236" spans="1:56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</row>
    <row r="237" spans="1:56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</row>
    <row r="238" spans="1:56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</row>
    <row r="239" spans="1:56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</row>
    <row r="240" spans="1:56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</row>
    <row r="241" spans="1:56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</row>
    <row r="242" spans="1:56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</row>
    <row r="243" spans="1:56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</row>
    <row r="244" spans="1:56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</row>
    <row r="245" spans="1:56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</row>
    <row r="246" spans="1:56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</row>
    <row r="247" spans="1:56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</row>
    <row r="248" spans="1:56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</row>
    <row r="249" spans="1:56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</row>
    <row r="250" spans="1:56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</row>
    <row r="251" spans="1:56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</row>
    <row r="252" spans="1:56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</row>
    <row r="253" spans="1:56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</row>
    <row r="254" spans="1:56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</row>
    <row r="255" spans="1:56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</row>
    <row r="256" spans="1:56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</row>
    <row r="257" spans="1:56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</row>
    <row r="258" spans="1:56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</row>
    <row r="259" spans="1:56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</row>
    <row r="260" spans="1:56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</row>
    <row r="261" spans="1:56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</row>
    <row r="262" spans="1:56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</row>
    <row r="263" spans="1:56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</row>
    <row r="264" spans="1:56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</row>
    <row r="265" spans="1:56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</row>
    <row r="266" spans="1:56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</row>
    <row r="267" spans="1:56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</row>
    <row r="268" spans="1:56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</row>
    <row r="269" spans="1:56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</row>
    <row r="270" spans="1:56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</row>
    <row r="271" spans="1:56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</row>
    <row r="272" spans="1:56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</row>
    <row r="273" spans="1:56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</row>
    <row r="274" spans="1:56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</row>
    <row r="275" spans="1:56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</row>
    <row r="276" spans="1:56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</row>
    <row r="277" spans="1:56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</row>
    <row r="278" spans="1:56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</row>
    <row r="279" spans="1:56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</row>
    <row r="280" spans="1:56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</row>
    <row r="281" spans="1:56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</row>
    <row r="282" spans="1:56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</row>
    <row r="283" spans="1:56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</row>
    <row r="284" spans="1:56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</row>
    <row r="285" spans="1:56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</row>
    <row r="286" spans="1:56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</row>
    <row r="287" spans="1:56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</row>
    <row r="288" spans="1:56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</row>
    <row r="289" spans="1:56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</row>
    <row r="290" spans="1:56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</row>
    <row r="291" spans="1:56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</row>
    <row r="292" spans="1:56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</row>
    <row r="293" spans="1:56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</row>
    <row r="294" spans="1:56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</row>
    <row r="295" spans="1:56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</row>
    <row r="296" spans="1:56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</row>
    <row r="297" spans="1:56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</row>
    <row r="298" spans="1:56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</row>
    <row r="299" spans="1:56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</row>
    <row r="300" spans="1:56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</row>
    <row r="301" spans="1:56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</row>
    <row r="302" spans="1:56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</row>
    <row r="303" spans="1:56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</row>
    <row r="304" spans="1:56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</row>
    <row r="305" spans="1:56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</row>
    <row r="306" spans="1:56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</row>
    <row r="307" spans="1:56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</row>
    <row r="308" spans="1:56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</row>
    <row r="309" spans="1:56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</row>
    <row r="310" spans="1:56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</row>
    <row r="311" spans="1:56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</row>
    <row r="312" spans="1:56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</row>
    <row r="313" spans="1:56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</row>
    <row r="314" spans="1:56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0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</row>
    <row r="315" spans="1:56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0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</row>
    <row r="316" spans="1:56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0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</row>
    <row r="317" spans="1:56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0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</row>
    <row r="318" spans="1:56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0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</row>
    <row r="319" spans="1:56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0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</row>
    <row r="320" spans="1:56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0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</row>
    <row r="321" spans="1:56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0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</row>
    <row r="322" spans="1:56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0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</row>
    <row r="323" spans="1:56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0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</row>
    <row r="324" spans="1:56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0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</row>
    <row r="325" spans="1:56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0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</row>
    <row r="326" spans="1:56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0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</row>
    <row r="327" spans="1:56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0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</row>
    <row r="328" spans="1:56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0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</row>
    <row r="329" spans="1:56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0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</row>
    <row r="330" spans="1:56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0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</row>
    <row r="331" spans="1:56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0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</row>
    <row r="332" spans="1:56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0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</row>
    <row r="333" spans="1:56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0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</row>
    <row r="334" spans="1:56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0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</row>
    <row r="335" spans="1:56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0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</row>
    <row r="336" spans="1:56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0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</row>
    <row r="337" spans="1:56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0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</row>
    <row r="338" spans="1:56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0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</row>
    <row r="339" spans="1:56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0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</row>
    <row r="340" spans="1:56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0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</row>
    <row r="341" spans="1:56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0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</row>
    <row r="342" spans="1:56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0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</row>
    <row r="343" spans="1:56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0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</row>
    <row r="344" spans="1:56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0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</row>
    <row r="345" spans="1:56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0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</row>
    <row r="346" spans="1:56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0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</row>
    <row r="347" spans="1:56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0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</row>
    <row r="348" spans="1:56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0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</row>
    <row r="349" spans="1:56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0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</row>
    <row r="350" spans="1:56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0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</row>
    <row r="351" spans="1:56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0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</row>
    <row r="352" spans="1:56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0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</row>
    <row r="353" spans="1:56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0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</row>
    <row r="354" spans="1:56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0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</row>
    <row r="355" spans="1:56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0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</row>
    <row r="356" spans="1:56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0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</row>
    <row r="357" spans="1:56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0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</row>
    <row r="358" spans="1:56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0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</row>
    <row r="359" spans="1:56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0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</row>
    <row r="360" spans="1:56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0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</row>
    <row r="361" spans="1:56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0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</row>
    <row r="362" spans="1:56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0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</row>
    <row r="363" spans="1:56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0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</row>
    <row r="364" spans="1:56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0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</row>
    <row r="365" spans="1:56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0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</row>
    <row r="366" spans="1:56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0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</row>
    <row r="367" spans="1:56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0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</row>
    <row r="368" spans="1:56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0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</row>
    <row r="369" spans="1:56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0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</row>
    <row r="370" spans="1:56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0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</row>
    <row r="371" spans="1:56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0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</row>
    <row r="372" spans="1:56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0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</row>
    <row r="373" spans="1:56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0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</row>
    <row r="374" spans="1:56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0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</row>
    <row r="375" spans="1:56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0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</row>
    <row r="376" spans="1:56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0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</row>
    <row r="377" spans="1:56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0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</row>
    <row r="378" spans="1:56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0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</row>
    <row r="379" spans="1:56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0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</row>
    <row r="380" spans="1:56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0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</row>
    <row r="381" spans="1:56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0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</row>
    <row r="382" spans="1:56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0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</row>
    <row r="383" spans="1:56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0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</row>
    <row r="384" spans="1:56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0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</row>
    <row r="385" spans="1:56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0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</row>
    <row r="386" spans="1:56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0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</row>
    <row r="387" spans="1:56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0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</row>
    <row r="388" spans="1:56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0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</row>
    <row r="389" spans="1:56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0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</row>
    <row r="390" spans="1:56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0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</row>
    <row r="391" spans="1:56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0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</row>
    <row r="392" spans="1:56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0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</row>
    <row r="393" spans="1:56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0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</row>
    <row r="394" spans="1:56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0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</row>
    <row r="395" spans="1:56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0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</row>
    <row r="396" spans="1:56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0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</row>
    <row r="397" spans="1:56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0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</row>
    <row r="398" spans="1:56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0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</row>
    <row r="399" spans="1:56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0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</row>
    <row r="400" spans="1:56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0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</row>
    <row r="401" spans="1:56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0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</row>
    <row r="402" spans="1:56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0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</row>
    <row r="403" spans="1:56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0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</row>
    <row r="404" spans="1:56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0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</row>
    <row r="405" spans="1:56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0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</row>
    <row r="406" spans="1:56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0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</row>
    <row r="407" spans="1:56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0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</row>
    <row r="408" spans="1:56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0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</row>
    <row r="409" spans="1:56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0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</row>
    <row r="410" spans="1:56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0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</row>
    <row r="411" spans="1:56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0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</row>
    <row r="412" spans="1:56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0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</row>
    <row r="413" spans="1:56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0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</row>
    <row r="414" spans="1:56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0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</row>
    <row r="415" spans="1:56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0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</row>
    <row r="416" spans="1:56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0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</row>
    <row r="417" spans="1:56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0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</row>
    <row r="418" spans="1:56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0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</row>
    <row r="419" spans="1:56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0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</row>
    <row r="420" spans="1:56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0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</row>
    <row r="421" spans="1:56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0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</row>
    <row r="422" spans="1:56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0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</row>
    <row r="423" spans="1:56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0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</row>
    <row r="424" spans="1:56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0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</row>
    <row r="425" spans="1:56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0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</row>
    <row r="426" spans="1:56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0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</row>
    <row r="427" spans="1:56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0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</row>
    <row r="428" spans="1:56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0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</row>
    <row r="429" spans="1:56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0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</row>
    <row r="430" spans="1:56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0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</row>
    <row r="431" spans="1:56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0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</row>
    <row r="432" spans="1:56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0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</row>
    <row r="433" spans="1:56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0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</row>
    <row r="434" spans="1:56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0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</row>
    <row r="435" spans="1:56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0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</row>
    <row r="436" spans="1:56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0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</row>
    <row r="437" spans="1:56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0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</row>
    <row r="438" spans="1:56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0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</row>
    <row r="439" spans="1:56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0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</row>
    <row r="440" spans="1:56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0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</row>
    <row r="441" spans="1:56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0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</row>
    <row r="442" spans="1:56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0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</row>
    <row r="443" spans="1:56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0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</row>
    <row r="444" spans="1:56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0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</row>
    <row r="445" spans="1:56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0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</row>
    <row r="446" spans="1:56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0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</row>
    <row r="447" spans="1:56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0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</row>
    <row r="448" spans="1:56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0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</row>
    <row r="449" spans="1:56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0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</row>
    <row r="450" spans="1:56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0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</row>
    <row r="451" spans="1:56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0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</row>
    <row r="452" spans="1:56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0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</row>
    <row r="453" spans="1:56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0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</row>
    <row r="454" spans="1:56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0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</row>
    <row r="455" spans="1:56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0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</row>
    <row r="456" spans="1:56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0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</row>
    <row r="457" spans="1:56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0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</row>
    <row r="458" spans="1:56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0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</row>
    <row r="459" spans="1:56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0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</row>
    <row r="460" spans="1:56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0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</row>
    <row r="461" spans="1:56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0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</row>
    <row r="462" spans="1:56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0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</row>
    <row r="463" spans="1:56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0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</row>
    <row r="464" spans="1:56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0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</row>
    <row r="465" spans="1:56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0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</row>
    <row r="466" spans="1:56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0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</row>
    <row r="467" spans="1:56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0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</row>
    <row r="468" spans="1:56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0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</row>
    <row r="469" spans="1:56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0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</row>
    <row r="470" spans="1:56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0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</row>
    <row r="471" spans="1:56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0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</row>
    <row r="472" spans="1:56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0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</row>
    <row r="473" spans="1:56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0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</row>
    <row r="474" spans="1:56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0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</row>
    <row r="475" spans="1:56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0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</row>
    <row r="476" spans="1:56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0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</row>
    <row r="477" spans="1:56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0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</row>
    <row r="478" spans="1:56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0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</row>
    <row r="479" spans="1:56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0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</row>
    <row r="480" spans="1:56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0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</row>
    <row r="481" spans="1:56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0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</row>
    <row r="482" spans="1:56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0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</row>
    <row r="483" spans="1:56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0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</row>
    <row r="484" spans="1:56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0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</row>
    <row r="485" spans="1:56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0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</row>
    <row r="486" spans="1:56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0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</row>
    <row r="487" spans="1:56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0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</row>
    <row r="488" spans="1:56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0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</row>
    <row r="489" spans="1:56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0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</row>
    <row r="490" spans="1:56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0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</row>
    <row r="491" spans="1:56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0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</row>
    <row r="492" spans="1:56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0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</row>
    <row r="493" spans="1:56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0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</row>
    <row r="494" spans="1:56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0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</row>
    <row r="495" spans="1:56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0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</row>
    <row r="496" spans="1:56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0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</row>
    <row r="497" spans="1:56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0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</row>
    <row r="498" spans="1:56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0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</row>
    <row r="499" spans="1:56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0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</row>
    <row r="500" spans="1:56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0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</row>
    <row r="501" spans="1:56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0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</row>
    <row r="502" spans="1:56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0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</row>
    <row r="503" spans="1:56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0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</row>
    <row r="504" spans="1:56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0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</row>
    <row r="505" spans="1:56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0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</row>
    <row r="506" spans="1:56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0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</row>
    <row r="507" spans="1:56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0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</row>
    <row r="508" spans="1:56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0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</row>
    <row r="509" spans="1:56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0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</row>
    <row r="510" spans="1:56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0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</row>
    <row r="511" spans="1:56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0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</row>
    <row r="512" spans="1:56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0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</row>
    <row r="513" spans="1:56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0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</row>
    <row r="514" spans="1:56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0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</row>
    <row r="515" spans="1:56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0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</row>
    <row r="516" spans="1:56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0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</row>
    <row r="517" spans="1:56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0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</row>
    <row r="518" spans="1:56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0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</row>
    <row r="519" spans="1:56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0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</row>
    <row r="520" spans="1:56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0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</row>
    <row r="521" spans="1:56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0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</row>
    <row r="522" spans="1:56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0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</row>
    <row r="523" spans="1:56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0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</row>
    <row r="524" spans="1:56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0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</row>
    <row r="525" spans="1:56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0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</row>
    <row r="526" spans="1:56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0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</row>
    <row r="527" spans="1:56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0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</row>
    <row r="528" spans="1:56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0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</row>
    <row r="529" spans="1:56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0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</row>
    <row r="530" spans="1:56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0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</row>
    <row r="531" spans="1:56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0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</row>
    <row r="532" spans="1:56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0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</row>
    <row r="533" spans="1:56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0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</row>
    <row r="534" spans="1:56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0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</row>
    <row r="535" spans="1:56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0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</row>
    <row r="536" spans="1:56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0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</row>
    <row r="537" spans="1:56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0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</row>
    <row r="538" spans="1:56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0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</row>
    <row r="539" spans="1:56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0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</row>
    <row r="540" spans="1:56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0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</row>
    <row r="541" spans="1:56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0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</row>
    <row r="542" spans="1:56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0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</row>
    <row r="543" spans="1:56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0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</row>
    <row r="544" spans="1:56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0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</row>
    <row r="545" spans="1:56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0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</row>
    <row r="546" spans="1:56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0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</row>
    <row r="547" spans="1:56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0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</row>
    <row r="548" spans="1:56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0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</row>
    <row r="549" spans="1:56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0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</row>
    <row r="550" spans="1:56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0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</row>
    <row r="551" spans="1:56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0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</row>
    <row r="552" spans="1:56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0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</row>
    <row r="553" spans="1:56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0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</row>
    <row r="554" spans="1:56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0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</row>
    <row r="555" spans="1:56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0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</row>
    <row r="556" spans="1:56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0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</row>
    <row r="557" spans="1:56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0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</row>
    <row r="558" spans="1:56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0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</row>
    <row r="559" spans="1:56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0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</row>
    <row r="560" spans="1:56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0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</row>
    <row r="561" spans="1:56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0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</row>
    <row r="562" spans="1:56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0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</row>
    <row r="563" spans="1:56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0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</row>
    <row r="564" spans="1:56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0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</row>
    <row r="565" spans="1:56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0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</row>
    <row r="566" spans="1:56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0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</row>
    <row r="567" spans="1:56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0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</row>
    <row r="568" spans="1:56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0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</row>
    <row r="569" spans="1:56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0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</row>
    <row r="570" spans="1:56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0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</row>
    <row r="571" spans="1:56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0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</row>
    <row r="572" spans="1:56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0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</row>
    <row r="573" spans="1:56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0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</row>
    <row r="574" spans="1:56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0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</row>
    <row r="575" spans="1:56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0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</row>
    <row r="576" spans="1:56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0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</row>
    <row r="577" spans="1:56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0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</row>
    <row r="578" spans="1:56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0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</row>
    <row r="579" spans="1:56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0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</row>
    <row r="580" spans="1:56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0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</row>
    <row r="581" spans="1:56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0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</row>
    <row r="582" spans="1:56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0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</row>
    <row r="583" spans="1:56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0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</row>
    <row r="584" spans="1:56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0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</row>
    <row r="585" spans="1:56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0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</row>
    <row r="586" spans="1:56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0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</row>
    <row r="587" spans="1:56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0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</row>
    <row r="588" spans="1:56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0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</row>
    <row r="589" spans="1:56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0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</row>
    <row r="590" spans="1:56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0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</row>
    <row r="591" spans="1:56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0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</row>
    <row r="592" spans="1:56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0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</row>
    <row r="593" spans="1:56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0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</row>
    <row r="594" spans="1:56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0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</row>
    <row r="595" spans="1:56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0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</row>
    <row r="596" spans="1:56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0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</row>
    <row r="597" spans="1:56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0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</row>
    <row r="598" spans="1:56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0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</row>
    <row r="599" spans="1:56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0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</row>
    <row r="600" spans="1:56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0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</row>
    <row r="601" spans="1:56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0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</row>
    <row r="602" spans="1:56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0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</row>
    <row r="603" spans="1:56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0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</row>
    <row r="604" spans="1:56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0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</row>
    <row r="605" spans="1:56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0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</row>
    <row r="606" spans="1:56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0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</row>
    <row r="607" spans="1:56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0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</row>
    <row r="608" spans="1:56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0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</row>
    <row r="609" spans="1:56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0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</row>
    <row r="610" spans="1:56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0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</row>
    <row r="611" spans="1:56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0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</row>
    <row r="612" spans="1:56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0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</row>
    <row r="613" spans="1:56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0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</row>
    <row r="614" spans="1:56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0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</row>
    <row r="615" spans="1:56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0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</row>
    <row r="616" spans="1:56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0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</row>
    <row r="617" spans="1:56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0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</row>
    <row r="618" spans="1:56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0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</row>
    <row r="619" spans="1:56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0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</row>
    <row r="620" spans="1:56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0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</row>
    <row r="621" spans="1:56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0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</row>
    <row r="622" spans="1:56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0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</row>
    <row r="623" spans="1:56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0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</row>
    <row r="624" spans="1:56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0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</row>
    <row r="625" spans="1:56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0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</row>
    <row r="626" spans="1:56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0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</row>
    <row r="627" spans="1:56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0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</row>
    <row r="628" spans="1:56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0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</row>
    <row r="629" spans="1:56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0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</row>
    <row r="630" spans="1:56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0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</row>
    <row r="631" spans="1:56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0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</row>
    <row r="632" spans="1:56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0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</row>
    <row r="633" spans="1:56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0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</row>
    <row r="634" spans="1:56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0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</row>
    <row r="635" spans="1:56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0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</row>
    <row r="636" spans="1:56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0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</row>
    <row r="637" spans="1:56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0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</row>
    <row r="638" spans="1:56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0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</row>
    <row r="639" spans="1:56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0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</row>
    <row r="640" spans="1:56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0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</row>
    <row r="641" spans="1:56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0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</row>
    <row r="642" spans="1:56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0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</row>
    <row r="643" spans="1:56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0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</row>
    <row r="644" spans="1:56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0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</row>
    <row r="645" spans="1:56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0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</row>
    <row r="646" spans="1:56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0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</row>
    <row r="647" spans="1:56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0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</row>
    <row r="648" spans="1:56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0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</row>
    <row r="649" spans="1:56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0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</row>
    <row r="650" spans="1:56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0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</row>
    <row r="651" spans="1:56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0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</row>
    <row r="652" spans="1:56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0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</row>
    <row r="653" spans="1:56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0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</row>
    <row r="654" spans="1:56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0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</row>
    <row r="655" spans="1:56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0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</row>
    <row r="656" spans="1:56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0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</row>
    <row r="657" spans="1:56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0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</row>
    <row r="658" spans="1:56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0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</row>
    <row r="659" spans="1:56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0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</row>
    <row r="660" spans="1:56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0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</row>
    <row r="661" spans="1:56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0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</row>
    <row r="662" spans="1:56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0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</row>
    <row r="663" spans="1:56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0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</row>
    <row r="664" spans="1:56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0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</row>
    <row r="665" spans="1:56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0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</row>
    <row r="666" spans="1:56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0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</row>
    <row r="667" spans="1:56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0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</row>
    <row r="668" spans="1:56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0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</row>
    <row r="669" spans="1:56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0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</row>
    <row r="670" spans="1:56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0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</row>
    <row r="671" spans="1:56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0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</row>
    <row r="672" spans="1:56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0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</row>
    <row r="673" spans="1:56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0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</row>
    <row r="674" spans="1:56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0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</row>
    <row r="675" spans="1:56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0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</row>
    <row r="676" spans="1:56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0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</row>
    <row r="677" spans="1:56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0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</row>
    <row r="678" spans="1:56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0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</row>
    <row r="679" spans="1:56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0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</row>
    <row r="680" spans="1:56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0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</row>
    <row r="681" spans="1:56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0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</row>
    <row r="682" spans="1:56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0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</row>
    <row r="683" spans="1:56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0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</row>
    <row r="684" spans="1:56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0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</row>
    <row r="685" spans="1:56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0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</row>
    <row r="686" spans="1:56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0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</row>
    <row r="687" spans="1:56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0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</row>
    <row r="688" spans="1:56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0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</row>
    <row r="689" spans="1:56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0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</row>
    <row r="690" spans="1:56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0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</row>
    <row r="691" spans="1:56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0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</row>
    <row r="692" spans="1:56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0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</row>
    <row r="693" spans="1:56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0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</row>
    <row r="694" spans="1:56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0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</row>
    <row r="695" spans="1:56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0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</row>
    <row r="696" spans="1:56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0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</row>
    <row r="697" spans="1:56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0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</row>
    <row r="698" spans="1:56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0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</row>
    <row r="699" spans="1:56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0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</row>
    <row r="700" spans="1:56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0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</row>
    <row r="701" spans="1:56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0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</row>
    <row r="702" spans="1:56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0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</row>
    <row r="703" spans="1:56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0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</row>
    <row r="704" spans="1:56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0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</row>
    <row r="705" spans="1:56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0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</row>
    <row r="706" spans="1:56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0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</row>
    <row r="707" spans="1:56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0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</row>
    <row r="708" spans="1:56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0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</row>
    <row r="709" spans="1:56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0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</row>
    <row r="710" spans="1:56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0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</row>
    <row r="711" spans="1:56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0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</row>
    <row r="712" spans="1:56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0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</row>
    <row r="713" spans="1:56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0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</row>
    <row r="714" spans="1:56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0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</row>
    <row r="715" spans="1:56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0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</row>
    <row r="716" spans="1:56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0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</row>
    <row r="717" spans="1:56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0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</row>
    <row r="718" spans="1:56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0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</row>
    <row r="719" spans="1:56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0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</row>
    <row r="720" spans="1:56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0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</row>
    <row r="721" spans="1:56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0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</row>
    <row r="722" spans="1:56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0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</row>
    <row r="723" spans="1:56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0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</row>
    <row r="724" spans="1:56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0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</row>
    <row r="725" spans="1:56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0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</row>
    <row r="726" spans="1:56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0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</row>
    <row r="727" spans="1:56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0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</row>
    <row r="728" spans="1:56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0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</row>
    <row r="729" spans="1:56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0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</row>
    <row r="730" spans="1:56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0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</row>
    <row r="731" spans="1:56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0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</row>
    <row r="732" spans="1:56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0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</row>
    <row r="733" spans="1:56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0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</row>
    <row r="734" spans="1:56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0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</row>
    <row r="735" spans="1:56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0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</row>
    <row r="736" spans="1:56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0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</row>
    <row r="737" spans="1:56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0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</row>
    <row r="738" spans="1:56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0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</row>
    <row r="739" spans="1:56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0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</row>
    <row r="740" spans="1:56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0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</row>
    <row r="741" spans="1:56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0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</row>
    <row r="742" spans="1:56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0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</row>
    <row r="743" spans="1:56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0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</row>
    <row r="744" spans="1:56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0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</row>
    <row r="745" spans="1:56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0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</row>
    <row r="746" spans="1:56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0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</row>
    <row r="747" spans="1:56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0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</row>
    <row r="748" spans="1:56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0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</row>
    <row r="749" spans="1:56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0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</row>
    <row r="750" spans="1:56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0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</row>
    <row r="751" spans="1:56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0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</row>
    <row r="752" spans="1:56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0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</row>
    <row r="753" spans="1:56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0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</row>
    <row r="754" spans="1:56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0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</row>
    <row r="755" spans="1:56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0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</row>
    <row r="756" spans="1:56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0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</row>
    <row r="757" spans="1:56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0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</row>
    <row r="758" spans="1:56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0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</row>
    <row r="759" spans="1:56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0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</row>
    <row r="760" spans="1:56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0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</row>
    <row r="761" spans="1:56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0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</row>
    <row r="762" spans="1:56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0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</row>
    <row r="763" spans="1:56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0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</row>
    <row r="764" spans="1:56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0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</row>
    <row r="765" spans="1:56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0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</row>
    <row r="766" spans="1:56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0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</row>
    <row r="767" spans="1:56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0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</row>
    <row r="768" spans="1:56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0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</row>
    <row r="769" spans="1:56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0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</row>
    <row r="770" spans="1:56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0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</row>
    <row r="771" spans="1:56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0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</row>
    <row r="772" spans="1:56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0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</row>
    <row r="773" spans="1:56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0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</row>
    <row r="774" spans="1:56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0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</row>
    <row r="775" spans="1:56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0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</row>
    <row r="776" spans="1:56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0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</row>
    <row r="777" spans="1:56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0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</row>
    <row r="778" spans="1:56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0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</row>
    <row r="779" spans="1:56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0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</row>
    <row r="780" spans="1:56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0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</row>
    <row r="781" spans="1:56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0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</row>
    <row r="782" spans="1:56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0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</row>
    <row r="783" spans="1:56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0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</row>
    <row r="784" spans="1:56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0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</row>
    <row r="785" spans="1:56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0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</row>
    <row r="786" spans="1:56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0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</row>
    <row r="787" spans="1:56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0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</row>
    <row r="788" spans="1:56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0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</row>
    <row r="789" spans="1:56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0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</row>
    <row r="790" spans="1:56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0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</row>
    <row r="791" spans="1:56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0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</row>
    <row r="792" spans="1:56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0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</row>
    <row r="793" spans="1:56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0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</row>
    <row r="794" spans="1:56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0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</row>
    <row r="795" spans="1:56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0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</row>
    <row r="796" spans="1:56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0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</row>
    <row r="797" spans="1:56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0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</row>
    <row r="798" spans="1:56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0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</row>
    <row r="799" spans="1:56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0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</row>
    <row r="800" spans="1:56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0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</row>
    <row r="801" spans="1:56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0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</row>
    <row r="802" spans="1:56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0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</row>
    <row r="803" spans="1:56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0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</row>
    <row r="804" spans="1:56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0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</row>
    <row r="805" spans="1:56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0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</row>
    <row r="806" spans="1:56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0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</row>
    <row r="807" spans="1:56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0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</row>
    <row r="808" spans="1:56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0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</row>
    <row r="809" spans="1:56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0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</row>
    <row r="810" spans="1:56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0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</row>
    <row r="811" spans="1:56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0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</row>
    <row r="812" spans="1:56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0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</row>
    <row r="813" spans="1:56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0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</row>
    <row r="814" spans="1:56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0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</row>
    <row r="815" spans="1:56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0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</row>
    <row r="816" spans="1:56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0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</row>
    <row r="817" spans="1:56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0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</row>
    <row r="818" spans="1:56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0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</row>
    <row r="819" spans="1:56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0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</row>
    <row r="820" spans="1:56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0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</row>
    <row r="821" spans="1:56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0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</row>
    <row r="822" spans="1:56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0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</row>
    <row r="823" spans="1:56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0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</row>
    <row r="824" spans="1:56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0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</row>
    <row r="825" spans="1:56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0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</row>
    <row r="826" spans="1:56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0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</row>
    <row r="827" spans="1:56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0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</row>
    <row r="828" spans="1:56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0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</row>
    <row r="829" spans="1:56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0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</row>
    <row r="830" spans="1:56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0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</row>
    <row r="831" spans="1:56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0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</row>
    <row r="832" spans="1:56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0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</row>
    <row r="833" spans="1:56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0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</row>
    <row r="834" spans="1:56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0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</row>
    <row r="835" spans="1:56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0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</row>
    <row r="836" spans="1:56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0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</row>
    <row r="837" spans="1:56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0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</row>
    <row r="838" spans="1:56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0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</row>
    <row r="839" spans="1:56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0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</row>
    <row r="840" spans="1:56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0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</row>
    <row r="841" spans="1:56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0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</row>
    <row r="842" spans="1:56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0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</row>
    <row r="843" spans="1:56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0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</row>
    <row r="844" spans="1:56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0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</row>
    <row r="845" spans="1:56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0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</row>
    <row r="846" spans="1:56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0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</row>
    <row r="847" spans="1:56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0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</row>
    <row r="848" spans="1:56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0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</row>
    <row r="849" spans="1:56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0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</row>
    <row r="850" spans="1:56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0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</row>
    <row r="851" spans="1:56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0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</row>
    <row r="852" spans="1:56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0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</row>
    <row r="853" spans="1:56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0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</row>
    <row r="854" spans="1:56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0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</row>
    <row r="855" spans="1:56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0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</row>
    <row r="856" spans="1:56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0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</row>
    <row r="857" spans="1:56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0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</row>
    <row r="858" spans="1:56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0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</row>
    <row r="859" spans="1:56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0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</row>
    <row r="860" spans="1:56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0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</row>
    <row r="861" spans="1:56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0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</row>
    <row r="862" spans="1:56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0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</row>
    <row r="863" spans="1:56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0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</row>
    <row r="864" spans="1:56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0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</row>
    <row r="865" spans="1:56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0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</row>
    <row r="866" spans="1:56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0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</row>
    <row r="867" spans="1:56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0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</row>
    <row r="868" spans="1:56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0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</row>
    <row r="869" spans="1:56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0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</row>
    <row r="870" spans="1:56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0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</row>
    <row r="871" spans="1:56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0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</row>
    <row r="872" spans="1:56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0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</row>
    <row r="873" spans="1:56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0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</row>
    <row r="874" spans="1:56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0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</row>
    <row r="875" spans="1:56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0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</row>
    <row r="876" spans="1:56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0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</row>
    <row r="877" spans="1:56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0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</row>
    <row r="878" spans="1:56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0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</row>
    <row r="879" spans="1:56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0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</row>
    <row r="880" spans="1:56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0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</row>
    <row r="881" spans="1:56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0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</row>
    <row r="882" spans="1:56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0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</row>
    <row r="883" spans="1:56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0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</row>
    <row r="884" spans="1:56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0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</row>
    <row r="885" spans="1:56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0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</row>
    <row r="886" spans="1:56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0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</row>
    <row r="887" spans="1:56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0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</row>
    <row r="888" spans="1:56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0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</row>
    <row r="889" spans="1:56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0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</row>
    <row r="890" spans="1:56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0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</row>
    <row r="891" spans="1:56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0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</row>
    <row r="892" spans="1:56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0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</row>
    <row r="893" spans="1:56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0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</row>
    <row r="894" spans="1:56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0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</row>
    <row r="895" spans="1:56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0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</row>
    <row r="896" spans="1:56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0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</row>
    <row r="897" spans="1:56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0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</row>
    <row r="898" spans="1:56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0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</row>
    <row r="899" spans="1:56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0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</row>
    <row r="900" spans="1:56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0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</row>
    <row r="901" spans="1:56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0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</row>
    <row r="902" spans="1:56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0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</row>
    <row r="903" spans="1:56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0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</row>
    <row r="904" spans="1:56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0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</row>
    <row r="905" spans="1:56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0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</row>
    <row r="906" spans="1:56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0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</row>
    <row r="907" spans="1:56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0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</row>
    <row r="908" spans="1:56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0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</row>
    <row r="909" spans="1:56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0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</row>
    <row r="910" spans="1:56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0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</row>
    <row r="911" spans="1:56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0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</row>
    <row r="912" spans="1:56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0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</row>
    <row r="913" spans="1:56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0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</row>
    <row r="914" spans="1:56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0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</row>
    <row r="915" spans="1:56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0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</row>
    <row r="916" spans="1:56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0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</row>
    <row r="917" spans="1:56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0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</row>
    <row r="918" spans="1:56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0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</row>
    <row r="919" spans="1:56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0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</row>
    <row r="920" spans="1:56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0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</row>
    <row r="921" spans="1:56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0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</row>
    <row r="922" spans="1:56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0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</row>
    <row r="923" spans="1:56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0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</row>
    <row r="924" spans="1:56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0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</row>
    <row r="925" spans="1:56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0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</row>
    <row r="926" spans="1:56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0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</row>
    <row r="927" spans="1:56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0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</row>
    <row r="928" spans="1:56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0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</row>
    <row r="929" spans="1:56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0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</row>
    <row r="930" spans="1:56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0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</row>
    <row r="931" spans="1:56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0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</row>
    <row r="932" spans="1:56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0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</row>
    <row r="933" spans="1:56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0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</row>
    <row r="934" spans="1:56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0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</row>
    <row r="935" spans="1:56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0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</row>
    <row r="936" spans="1:56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0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</row>
    <row r="937" spans="1:56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0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</row>
    <row r="938" spans="1:56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0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</row>
    <row r="939" spans="1:56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0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</row>
    <row r="940" spans="1:56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0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</row>
    <row r="941" spans="1:56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0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</row>
    <row r="942" spans="1:56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0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</row>
    <row r="943" spans="1:56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0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</row>
    <row r="944" spans="1:56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0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</row>
    <row r="945" spans="1:56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0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</row>
    <row r="946" spans="1:56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0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</row>
    <row r="947" spans="1:56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0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</row>
    <row r="948" spans="1:56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0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</row>
    <row r="949" spans="1:56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0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</row>
    <row r="950" spans="1:56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0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</row>
    <row r="951" spans="1:56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0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</row>
    <row r="952" spans="1:56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0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</row>
    <row r="953" spans="1:56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0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</row>
    <row r="954" spans="1:56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0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</row>
    <row r="955" spans="1:56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0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</row>
    <row r="956" spans="1:56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0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</row>
    <row r="957" spans="1:56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0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</row>
    <row r="958" spans="1:56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0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</row>
    <row r="959" spans="1:56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0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</row>
    <row r="960" spans="1:56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0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</row>
    <row r="961" spans="1:56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0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</row>
    <row r="962" spans="1:56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0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</row>
    <row r="963" spans="1:56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0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</row>
    <row r="964" spans="1:56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0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</row>
    <row r="965" spans="1:56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0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</row>
    <row r="966" spans="1:56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0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</row>
    <row r="967" spans="1:56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0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</row>
    <row r="968" spans="1:56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0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</row>
    <row r="969" spans="1:56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0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</row>
    <row r="970" spans="1:56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0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</row>
    <row r="971" spans="1:56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0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</row>
    <row r="972" spans="1:56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0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</row>
    <row r="973" spans="1:56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0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</row>
    <row r="974" spans="1:56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0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</row>
    <row r="975" spans="1:56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0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</row>
    <row r="976" spans="1:56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0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</row>
    <row r="977" spans="1:56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0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</row>
    <row r="978" spans="1:56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0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</row>
    <row r="979" spans="1:56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0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</row>
    <row r="980" spans="1:56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0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</row>
    <row r="981" spans="1:56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0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</row>
    <row r="982" spans="1:56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0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</row>
    <row r="983" spans="1:56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0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</row>
    <row r="984" spans="1:56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0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</row>
    <row r="985" spans="1:56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0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</row>
    <row r="986" spans="1:56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0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</row>
    <row r="987" spans="1:56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0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</row>
    <row r="988" spans="1:56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0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</row>
    <row r="989" spans="1:56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0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</row>
    <row r="990" spans="1:56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0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</row>
    <row r="991" spans="1:56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0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</row>
    <row r="992" spans="1:56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0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</row>
    <row r="993" spans="1:56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0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</row>
    <row r="994" spans="1:56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0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</row>
    <row r="995" spans="1:56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0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</row>
    <row r="996" spans="1:56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0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</row>
    <row r="997" spans="1:56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0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</row>
    <row r="998" spans="1:56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0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</row>
    <row r="999" spans="1:56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0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</row>
  </sheetData>
  <mergeCells count="44">
    <mergeCell ref="AS3:BD3"/>
    <mergeCell ref="A7:B7"/>
    <mergeCell ref="G5:G6"/>
    <mergeCell ref="J5:K5"/>
    <mergeCell ref="L5:N5"/>
    <mergeCell ref="O5:Q5"/>
    <mergeCell ref="S5:U5"/>
    <mergeCell ref="W5:Y5"/>
    <mergeCell ref="AA5:AC5"/>
    <mergeCell ref="AE5:AF5"/>
    <mergeCell ref="AH5:AJ5"/>
    <mergeCell ref="AL5:AN5"/>
    <mergeCell ref="AP5:AR5"/>
    <mergeCell ref="AT5:AV5"/>
    <mergeCell ref="AX5:AZ5"/>
    <mergeCell ref="BB5:BD5"/>
    <mergeCell ref="A104:B104"/>
    <mergeCell ref="A2:B6"/>
    <mergeCell ref="C2:AC2"/>
    <mergeCell ref="C3:Q3"/>
    <mergeCell ref="R3:AC3"/>
    <mergeCell ref="A13:B13"/>
    <mergeCell ref="A31:B31"/>
    <mergeCell ref="A52:B52"/>
    <mergeCell ref="A74:B74"/>
    <mergeCell ref="A89:B89"/>
    <mergeCell ref="C5:C6"/>
    <mergeCell ref="D5:D6"/>
    <mergeCell ref="E5:E6"/>
    <mergeCell ref="F5:F6"/>
    <mergeCell ref="J4:Q4"/>
    <mergeCell ref="AK4:AN4"/>
    <mergeCell ref="AO4:AR4"/>
    <mergeCell ref="AS4:AV4"/>
    <mergeCell ref="AW4:AZ4"/>
    <mergeCell ref="BA4:BD4"/>
    <mergeCell ref="C4:G4"/>
    <mergeCell ref="H4:I4"/>
    <mergeCell ref="V4:Y4"/>
    <mergeCell ref="Z4:AC4"/>
    <mergeCell ref="AG4:AJ4"/>
    <mergeCell ref="R4:U4"/>
    <mergeCell ref="AD3:AF4"/>
    <mergeCell ref="AG3:AR3"/>
  </mergeCells>
  <printOptions horizontalCentered="1"/>
  <pageMargins left="0.23622047244094491" right="0.23622047244094491" top="0.74803149606299213" bottom="0.74803149606299213" header="0" footer="0"/>
  <pageSetup paperSize="9" scale="55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3" manualBreakCount="3">
    <brk id="17" max="1048575" man="1"/>
    <brk id="29" max="1048575" man="1"/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Z1000"/>
  <sheetViews>
    <sheetView view="pageBreakPreview" zoomScale="60" zoomScaleNormal="100" workbookViewId="0">
      <pane xSplit="2" ySplit="7" topLeftCell="C22" activePane="bottomRight" state="frozen"/>
      <selection activeCell="J17" sqref="J17"/>
      <selection pane="topRight" activeCell="J17" sqref="J17"/>
      <selection pane="bottomLeft" activeCell="J17" sqref="J17"/>
      <selection pane="bottomRight" activeCell="C3" sqref="C3:Q3"/>
    </sheetView>
  </sheetViews>
  <sheetFormatPr defaultColWidth="12.5703125" defaultRowHeight="15.75" customHeight="1" x14ac:dyDescent="0.2"/>
  <cols>
    <col min="1" max="1" width="6.42578125" customWidth="1"/>
    <col min="2" max="2" width="22.5703125" customWidth="1"/>
    <col min="3" max="4" width="18.7109375" bestFit="1" customWidth="1"/>
    <col min="5" max="6" width="16.85546875" bestFit="1" customWidth="1"/>
    <col min="7" max="7" width="10.140625" customWidth="1"/>
    <col min="8" max="8" width="16.42578125" customWidth="1"/>
    <col min="9" max="9" width="10.140625" customWidth="1"/>
    <col min="10" max="10" width="16.85546875" bestFit="1" customWidth="1"/>
    <col min="11" max="11" width="11.42578125" customWidth="1"/>
    <col min="12" max="12" width="16.85546875" bestFit="1" customWidth="1"/>
    <col min="13" max="14" width="15.140625" customWidth="1"/>
    <col min="15" max="15" width="10.42578125" customWidth="1"/>
    <col min="16" max="17" width="15.140625" customWidth="1"/>
    <col min="18" max="19" width="11.42578125" customWidth="1"/>
    <col min="20" max="20" width="10.7109375" customWidth="1"/>
    <col min="21" max="22" width="8.85546875" customWidth="1"/>
    <col min="23" max="23" width="8.42578125" bestFit="1" customWidth="1"/>
    <col min="24" max="24" width="13.28515625" bestFit="1" customWidth="1"/>
    <col min="25" max="25" width="10.140625" customWidth="1"/>
    <col min="26" max="26" width="12.5703125" bestFit="1" customWidth="1"/>
    <col min="27" max="27" width="10.85546875" bestFit="1" customWidth="1"/>
    <col min="28" max="28" width="8.42578125" bestFit="1" customWidth="1"/>
    <col min="29" max="29" width="10.85546875" bestFit="1" customWidth="1"/>
    <col min="30" max="30" width="15" customWidth="1"/>
    <col min="31" max="31" width="14" customWidth="1"/>
    <col min="32" max="32" width="7.5703125" customWidth="1"/>
    <col min="33" max="33" width="16.42578125" customWidth="1"/>
    <col min="34" max="34" width="15.140625" customWidth="1"/>
    <col min="35" max="35" width="7.5703125" customWidth="1"/>
    <col min="36" max="36" width="15.28515625" customWidth="1"/>
    <col min="37" max="37" width="14" customWidth="1"/>
    <col min="38" max="40" width="8.85546875" customWidth="1"/>
    <col min="41" max="41" width="10.140625" customWidth="1"/>
    <col min="42" max="42" width="8.85546875" customWidth="1"/>
    <col min="43" max="43" width="12.5703125" bestFit="1" customWidth="1"/>
    <col min="44" max="44" width="11.42578125" customWidth="1"/>
    <col min="45" max="45" width="16.5703125" customWidth="1"/>
    <col min="46" max="46" width="14.28515625" customWidth="1"/>
    <col min="47" max="47" width="10.140625" customWidth="1"/>
    <col min="48" max="48" width="7.5703125" customWidth="1"/>
    <col min="49" max="51" width="8.85546875" customWidth="1"/>
    <col min="52" max="52" width="12.5703125" bestFit="1" customWidth="1"/>
  </cols>
  <sheetData>
    <row r="1" spans="1:52" ht="24" customHeight="1" x14ac:dyDescent="0.3">
      <c r="A1" s="123" t="s">
        <v>0</v>
      </c>
      <c r="B1" s="124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6"/>
      <c r="N1" s="126"/>
      <c r="O1" s="127"/>
      <c r="P1" s="127"/>
      <c r="Q1" s="127"/>
      <c r="R1" s="124"/>
      <c r="S1" s="124"/>
      <c r="T1" s="124"/>
      <c r="U1" s="124"/>
      <c r="V1" s="124"/>
      <c r="W1" s="124"/>
      <c r="X1" s="126"/>
      <c r="Y1" s="126"/>
      <c r="Z1" s="126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6"/>
      <c r="AR1" s="124"/>
      <c r="AS1" s="124"/>
      <c r="AT1" s="124"/>
      <c r="AU1" s="124"/>
      <c r="AV1" s="124"/>
      <c r="AW1" s="126"/>
      <c r="AX1" s="126"/>
      <c r="AY1" s="126"/>
      <c r="AZ1" s="126"/>
    </row>
    <row r="2" spans="1:52" ht="24" customHeight="1" x14ac:dyDescent="0.2">
      <c r="A2" s="400" t="s">
        <v>1</v>
      </c>
      <c r="B2" s="385"/>
      <c r="C2" s="401" t="s">
        <v>139</v>
      </c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364"/>
      <c r="AN2" s="364"/>
      <c r="AO2" s="364"/>
      <c r="AP2" s="364"/>
      <c r="AQ2" s="364"/>
      <c r="AR2" s="364"/>
      <c r="AS2" s="364"/>
      <c r="AT2" s="364"/>
      <c r="AU2" s="364"/>
      <c r="AV2" s="364"/>
      <c r="AW2" s="364"/>
      <c r="AX2" s="364"/>
      <c r="AY2" s="364"/>
      <c r="AZ2" s="365"/>
    </row>
    <row r="3" spans="1:52" ht="30" customHeight="1" x14ac:dyDescent="0.2">
      <c r="A3" s="384"/>
      <c r="B3" s="385"/>
      <c r="C3" s="402" t="s">
        <v>3</v>
      </c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403" t="s">
        <v>140</v>
      </c>
      <c r="S3" s="404"/>
      <c r="T3" s="373"/>
      <c r="U3" s="393" t="s">
        <v>141</v>
      </c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5"/>
      <c r="AL3" s="394" t="s">
        <v>5</v>
      </c>
      <c r="AM3" s="364"/>
      <c r="AN3" s="364"/>
      <c r="AO3" s="364"/>
      <c r="AP3" s="364"/>
      <c r="AQ3" s="364"/>
      <c r="AR3" s="364"/>
      <c r="AS3" s="364"/>
      <c r="AT3" s="364"/>
      <c r="AU3" s="364"/>
      <c r="AV3" s="364"/>
      <c r="AW3" s="364"/>
      <c r="AX3" s="364"/>
      <c r="AY3" s="364"/>
      <c r="AZ3" s="364"/>
    </row>
    <row r="4" spans="1:52" ht="30" customHeight="1" x14ac:dyDescent="0.3">
      <c r="A4" s="384"/>
      <c r="B4" s="385"/>
      <c r="C4" s="405" t="s">
        <v>6</v>
      </c>
      <c r="D4" s="364"/>
      <c r="E4" s="364"/>
      <c r="F4" s="364"/>
      <c r="G4" s="365"/>
      <c r="H4" s="391" t="s">
        <v>7</v>
      </c>
      <c r="I4" s="365"/>
      <c r="J4" s="392" t="s">
        <v>8</v>
      </c>
      <c r="K4" s="364"/>
      <c r="L4" s="364"/>
      <c r="M4" s="364"/>
      <c r="N4" s="364"/>
      <c r="O4" s="364"/>
      <c r="P4" s="364"/>
      <c r="Q4" s="365"/>
      <c r="R4" s="364"/>
      <c r="S4" s="364"/>
      <c r="T4" s="365"/>
      <c r="U4" s="393" t="s">
        <v>142</v>
      </c>
      <c r="V4" s="364"/>
      <c r="W4" s="364"/>
      <c r="X4" s="364"/>
      <c r="Y4" s="364"/>
      <c r="Z4" s="365"/>
      <c r="AA4" s="393" t="s">
        <v>143</v>
      </c>
      <c r="AB4" s="364"/>
      <c r="AC4" s="364"/>
      <c r="AD4" s="364"/>
      <c r="AE4" s="365"/>
      <c r="AF4" s="393" t="s">
        <v>144</v>
      </c>
      <c r="AG4" s="364"/>
      <c r="AH4" s="365"/>
      <c r="AI4" s="393" t="s">
        <v>145</v>
      </c>
      <c r="AJ4" s="364"/>
      <c r="AK4" s="365"/>
      <c r="AL4" s="394" t="s">
        <v>142</v>
      </c>
      <c r="AM4" s="364"/>
      <c r="AN4" s="364"/>
      <c r="AO4" s="364"/>
      <c r="AP4" s="364"/>
      <c r="AQ4" s="365"/>
      <c r="AR4" s="394" t="s">
        <v>143</v>
      </c>
      <c r="AS4" s="364"/>
      <c r="AT4" s="365"/>
      <c r="AU4" s="394" t="s">
        <v>144</v>
      </c>
      <c r="AV4" s="364"/>
      <c r="AW4" s="365"/>
      <c r="AX4" s="394" t="s">
        <v>145</v>
      </c>
      <c r="AY4" s="364"/>
      <c r="AZ4" s="365"/>
    </row>
    <row r="5" spans="1:52" ht="24" customHeight="1" x14ac:dyDescent="0.3">
      <c r="A5" s="384"/>
      <c r="B5" s="385"/>
      <c r="C5" s="444" t="s">
        <v>13</v>
      </c>
      <c r="D5" s="445" t="s">
        <v>14</v>
      </c>
      <c r="E5" s="446" t="s">
        <v>15</v>
      </c>
      <c r="F5" s="447" t="s">
        <v>16</v>
      </c>
      <c r="G5" s="448" t="s">
        <v>17</v>
      </c>
      <c r="H5" s="128" t="s">
        <v>18</v>
      </c>
      <c r="I5" s="128" t="s">
        <v>19</v>
      </c>
      <c r="J5" s="395" t="s">
        <v>20</v>
      </c>
      <c r="K5" s="365"/>
      <c r="L5" s="395" t="s">
        <v>18</v>
      </c>
      <c r="M5" s="364"/>
      <c r="N5" s="365"/>
      <c r="O5" s="408" t="s">
        <v>19</v>
      </c>
      <c r="P5" s="364"/>
      <c r="Q5" s="365"/>
      <c r="R5" s="129" t="s">
        <v>21</v>
      </c>
      <c r="S5" s="409" t="s">
        <v>22</v>
      </c>
      <c r="T5" s="365"/>
      <c r="U5" s="410" t="s">
        <v>21</v>
      </c>
      <c r="V5" s="365"/>
      <c r="W5" s="411" t="s">
        <v>22</v>
      </c>
      <c r="X5" s="364"/>
      <c r="Y5" s="364"/>
      <c r="Z5" s="365"/>
      <c r="AA5" s="410" t="s">
        <v>21</v>
      </c>
      <c r="AB5" s="365"/>
      <c r="AC5" s="411" t="s">
        <v>22</v>
      </c>
      <c r="AD5" s="365"/>
      <c r="AE5" s="130"/>
      <c r="AF5" s="129" t="s">
        <v>21</v>
      </c>
      <c r="AG5" s="411" t="s">
        <v>22</v>
      </c>
      <c r="AH5" s="365"/>
      <c r="AI5" s="129" t="s">
        <v>21</v>
      </c>
      <c r="AJ5" s="411" t="s">
        <v>22</v>
      </c>
      <c r="AK5" s="365"/>
      <c r="AL5" s="410" t="s">
        <v>21</v>
      </c>
      <c r="AM5" s="365"/>
      <c r="AN5" s="411" t="s">
        <v>22</v>
      </c>
      <c r="AO5" s="364"/>
      <c r="AP5" s="364"/>
      <c r="AQ5" s="365"/>
      <c r="AR5" s="131" t="s">
        <v>21</v>
      </c>
      <c r="AS5" s="409" t="s">
        <v>22</v>
      </c>
      <c r="AT5" s="365"/>
      <c r="AU5" s="131" t="s">
        <v>21</v>
      </c>
      <c r="AV5" s="411" t="s">
        <v>22</v>
      </c>
      <c r="AW5" s="365"/>
      <c r="AX5" s="131" t="s">
        <v>21</v>
      </c>
      <c r="AY5" s="411" t="s">
        <v>22</v>
      </c>
      <c r="AZ5" s="365"/>
    </row>
    <row r="6" spans="1:52" ht="72" customHeight="1" x14ac:dyDescent="0.2">
      <c r="A6" s="386"/>
      <c r="B6" s="387"/>
      <c r="C6" s="449"/>
      <c r="D6" s="449"/>
      <c r="E6" s="449"/>
      <c r="F6" s="449"/>
      <c r="G6" s="449"/>
      <c r="H6" s="132"/>
      <c r="I6" s="132"/>
      <c r="J6" s="133" t="s">
        <v>23</v>
      </c>
      <c r="K6" s="134" t="s">
        <v>24</v>
      </c>
      <c r="L6" s="133" t="s">
        <v>23</v>
      </c>
      <c r="M6" s="453" t="s">
        <v>25</v>
      </c>
      <c r="N6" s="453" t="s">
        <v>26</v>
      </c>
      <c r="O6" s="454" t="s">
        <v>23</v>
      </c>
      <c r="P6" s="453" t="s">
        <v>25</v>
      </c>
      <c r="Q6" s="453" t="s">
        <v>26</v>
      </c>
      <c r="R6" s="135" t="s">
        <v>146</v>
      </c>
      <c r="S6" s="136" t="s">
        <v>146</v>
      </c>
      <c r="T6" s="136" t="s">
        <v>24</v>
      </c>
      <c r="U6" s="137" t="s">
        <v>28</v>
      </c>
      <c r="V6" s="137" t="s">
        <v>147</v>
      </c>
      <c r="W6" s="136" t="s">
        <v>28</v>
      </c>
      <c r="X6" s="138" t="s">
        <v>24</v>
      </c>
      <c r="Y6" s="139" t="s">
        <v>147</v>
      </c>
      <c r="Z6" s="138" t="s">
        <v>24</v>
      </c>
      <c r="AA6" s="135" t="s">
        <v>146</v>
      </c>
      <c r="AB6" s="137" t="s">
        <v>28</v>
      </c>
      <c r="AC6" s="136" t="s">
        <v>146</v>
      </c>
      <c r="AD6" s="140" t="s">
        <v>235</v>
      </c>
      <c r="AE6" s="140" t="s">
        <v>148</v>
      </c>
      <c r="AF6" s="135" t="s">
        <v>147</v>
      </c>
      <c r="AG6" s="140" t="s">
        <v>149</v>
      </c>
      <c r="AH6" s="140" t="s">
        <v>150</v>
      </c>
      <c r="AI6" s="135" t="s">
        <v>147</v>
      </c>
      <c r="AJ6" s="140" t="s">
        <v>151</v>
      </c>
      <c r="AK6" s="140" t="s">
        <v>152</v>
      </c>
      <c r="AL6" s="137" t="s">
        <v>28</v>
      </c>
      <c r="AM6" s="137" t="s">
        <v>147</v>
      </c>
      <c r="AN6" s="139" t="s">
        <v>28</v>
      </c>
      <c r="AO6" s="139" t="s">
        <v>24</v>
      </c>
      <c r="AP6" s="139" t="s">
        <v>147</v>
      </c>
      <c r="AQ6" s="138" t="s">
        <v>30</v>
      </c>
      <c r="AR6" s="141"/>
      <c r="AS6" s="140" t="s">
        <v>153</v>
      </c>
      <c r="AT6" s="140" t="s">
        <v>154</v>
      </c>
      <c r="AU6" s="137" t="s">
        <v>147</v>
      </c>
      <c r="AV6" s="136" t="s">
        <v>147</v>
      </c>
      <c r="AW6" s="138" t="s">
        <v>30</v>
      </c>
      <c r="AX6" s="137" t="s">
        <v>147</v>
      </c>
      <c r="AY6" s="136" t="s">
        <v>147</v>
      </c>
      <c r="AZ6" s="138" t="s">
        <v>30</v>
      </c>
    </row>
    <row r="7" spans="1:52" ht="24" customHeight="1" x14ac:dyDescent="0.3">
      <c r="A7" s="406" t="s">
        <v>233</v>
      </c>
      <c r="B7" s="407"/>
      <c r="C7" s="142">
        <f t="shared" ref="C7:C116" ca="1" si="0">D7+G7</f>
        <v>12761700</v>
      </c>
      <c r="D7" s="143">
        <f t="shared" ref="D7:E7" ca="1" si="1">D8+D9+D12</f>
        <v>12761700</v>
      </c>
      <c r="E7" s="144">
        <f t="shared" ca="1" si="1"/>
        <v>5742800</v>
      </c>
      <c r="F7" s="145">
        <f ca="1">F8+F9</f>
        <v>7018900</v>
      </c>
      <c r="G7" s="146">
        <f t="shared" ref="G7:I7" ca="1" si="2">G8+G9+G12</f>
        <v>0</v>
      </c>
      <c r="H7" s="147">
        <f t="shared" ca="1" si="2"/>
        <v>9571200</v>
      </c>
      <c r="I7" s="147">
        <f t="shared" ca="1" si="2"/>
        <v>0</v>
      </c>
      <c r="J7" s="148">
        <f t="shared" ref="J7:J116" ca="1" si="3">L7+O7</f>
        <v>4120254.2</v>
      </c>
      <c r="K7" s="149">
        <f t="shared" ref="K7:K116" ca="1" si="4">IF(C7&gt;0,J7*100/C7,0)</f>
        <v>32.286091978341446</v>
      </c>
      <c r="L7" s="148">
        <f ca="1">L8+L9+L12</f>
        <v>4120254.2</v>
      </c>
      <c r="M7" s="150">
        <f t="shared" ref="M7:M116" ca="1" si="5">IF(D7&gt;0,L7*100/D7,0)</f>
        <v>32.286091978341446</v>
      </c>
      <c r="N7" s="150">
        <f t="shared" ref="N7:N116" ca="1" si="6">IF(H7&gt;0,L7*100/H7,0)</f>
        <v>43.048459963223003</v>
      </c>
      <c r="O7" s="151">
        <f ca="1">O8+O9+O12</f>
        <v>0</v>
      </c>
      <c r="P7" s="151">
        <f t="shared" ref="P7:P11" ca="1" si="7">IF(G7&gt;0,O7*100/G7,0)</f>
        <v>0</v>
      </c>
      <c r="Q7" s="150">
        <f t="shared" ref="Q7:Q116" ca="1" si="8">IF(I7&gt;0,O7*100/I7,0)</f>
        <v>0</v>
      </c>
      <c r="R7" s="152">
        <f t="shared" ref="R7:S7" ca="1" si="9">R8+R9</f>
        <v>2700</v>
      </c>
      <c r="S7" s="153">
        <f t="shared" ca="1" si="9"/>
        <v>1890</v>
      </c>
      <c r="T7" s="153">
        <f t="shared" ref="T7:T88" ca="1" si="10">IF(R7&gt;0,S7*100/R7,0)</f>
        <v>70</v>
      </c>
      <c r="U7" s="152">
        <f t="shared" ref="U7:W7" ca="1" si="11">U8+U9</f>
        <v>900</v>
      </c>
      <c r="V7" s="152">
        <f t="shared" ca="1" si="11"/>
        <v>120</v>
      </c>
      <c r="W7" s="153">
        <f t="shared" ca="1" si="11"/>
        <v>645</v>
      </c>
      <c r="X7" s="154">
        <f t="shared" ref="X7:X88" ca="1" si="12">IF(U7&gt;0,W7*100/U7,0)</f>
        <v>71.666666666666671</v>
      </c>
      <c r="Y7" s="155">
        <f ca="1">Y8+Y9</f>
        <v>14</v>
      </c>
      <c r="Z7" s="154">
        <f t="shared" ref="Z7:Z88" ca="1" si="13">IF(V7&gt;0,Y7*100/V7,0)</f>
        <v>11.666666666666666</v>
      </c>
      <c r="AA7" s="152">
        <f t="shared" ref="AA7:AN7" ca="1" si="14">AA8+AA9</f>
        <v>2700</v>
      </c>
      <c r="AB7" s="152">
        <f t="shared" ca="1" si="14"/>
        <v>900</v>
      </c>
      <c r="AC7" s="153">
        <f t="shared" ca="1" si="14"/>
        <v>1890</v>
      </c>
      <c r="AD7" s="153">
        <f t="shared" ca="1" si="14"/>
        <v>695</v>
      </c>
      <c r="AE7" s="153">
        <f t="shared" ca="1" si="14"/>
        <v>645</v>
      </c>
      <c r="AF7" s="152">
        <f t="shared" ca="1" si="14"/>
        <v>60</v>
      </c>
      <c r="AG7" s="153">
        <f t="shared" ca="1" si="14"/>
        <v>7</v>
      </c>
      <c r="AH7" s="153">
        <f t="shared" ca="1" si="14"/>
        <v>5</v>
      </c>
      <c r="AI7" s="152">
        <f t="shared" ca="1" si="14"/>
        <v>60</v>
      </c>
      <c r="AJ7" s="153">
        <f t="shared" ca="1" si="14"/>
        <v>12</v>
      </c>
      <c r="AK7" s="153">
        <f t="shared" ca="1" si="14"/>
        <v>9</v>
      </c>
      <c r="AL7" s="152">
        <f t="shared" ca="1" si="14"/>
        <v>900</v>
      </c>
      <c r="AM7" s="152">
        <f t="shared" ca="1" si="14"/>
        <v>120</v>
      </c>
      <c r="AN7" s="153">
        <f t="shared" ca="1" si="14"/>
        <v>25</v>
      </c>
      <c r="AO7" s="153">
        <f t="shared" ref="AO7:AO88" ca="1" si="15">IF(AL7&gt;0,AN7*100/AL7,0)</f>
        <v>2.7777777777777777</v>
      </c>
      <c r="AP7" s="153">
        <f ca="1">AP8+AP9</f>
        <v>1</v>
      </c>
      <c r="AQ7" s="154">
        <f t="shared" ref="AQ7:AQ88" ca="1" si="16">IF(AM7&gt;0,AP7*100/AM7,0)</f>
        <v>0.83333333333333337</v>
      </c>
      <c r="AR7" s="152">
        <f t="shared" ref="AR7:AV7" ca="1" si="17">AR8+AR9</f>
        <v>900</v>
      </c>
      <c r="AS7" s="153">
        <f t="shared" ca="1" si="17"/>
        <v>25</v>
      </c>
      <c r="AT7" s="153">
        <f t="shared" ca="1" si="17"/>
        <v>25</v>
      </c>
      <c r="AU7" s="152">
        <f t="shared" ca="1" si="17"/>
        <v>60</v>
      </c>
      <c r="AV7" s="153">
        <f t="shared" ca="1" si="17"/>
        <v>0</v>
      </c>
      <c r="AW7" s="154">
        <f t="shared" ref="AW7:AW88" ca="1" si="18">IF(AU7&gt;0,AV7*100/AU7,0)</f>
        <v>0</v>
      </c>
      <c r="AX7" s="152">
        <f t="shared" ref="AX7:AY7" ca="1" si="19">AX8+AX9</f>
        <v>60</v>
      </c>
      <c r="AY7" s="153">
        <f t="shared" ca="1" si="19"/>
        <v>1</v>
      </c>
      <c r="AZ7" s="154">
        <f t="shared" ref="AZ7:AZ88" ca="1" si="20">IF(AX7&gt;0,AY7*100/AX7,0)</f>
        <v>1.6666666666666667</v>
      </c>
    </row>
    <row r="8" spans="1:52" ht="28.5" customHeight="1" x14ac:dyDescent="0.3">
      <c r="A8" s="156" t="s">
        <v>31</v>
      </c>
      <c r="B8" s="157"/>
      <c r="C8" s="158">
        <f t="shared" ca="1" si="0"/>
        <v>11063800</v>
      </c>
      <c r="D8" s="158">
        <f t="shared" ref="D8:I8" ca="1" si="21">+D13+D31+D52+D74</f>
        <v>11063800</v>
      </c>
      <c r="E8" s="158">
        <f t="shared" ca="1" si="21"/>
        <v>5132700</v>
      </c>
      <c r="F8" s="158">
        <f t="shared" ca="1" si="21"/>
        <v>5931100</v>
      </c>
      <c r="G8" s="158">
        <f t="shared" ca="1" si="21"/>
        <v>0</v>
      </c>
      <c r="H8" s="158">
        <f t="shared" ca="1" si="21"/>
        <v>7028505</v>
      </c>
      <c r="I8" s="158">
        <f t="shared" ca="1" si="21"/>
        <v>0</v>
      </c>
      <c r="J8" s="158">
        <f t="shared" ca="1" si="3"/>
        <v>3781142.87</v>
      </c>
      <c r="K8" s="159">
        <f t="shared" ca="1" si="4"/>
        <v>34.175806413709573</v>
      </c>
      <c r="L8" s="158">
        <f ca="1">+L13+L31+L52+L74</f>
        <v>3781142.87</v>
      </c>
      <c r="M8" s="160">
        <f t="shared" ca="1" si="5"/>
        <v>34.175806413709573</v>
      </c>
      <c r="N8" s="160">
        <f t="shared" ca="1" si="6"/>
        <v>53.797256600087785</v>
      </c>
      <c r="O8" s="161">
        <f ca="1">+O13+O31+O52+O74</f>
        <v>0</v>
      </c>
      <c r="P8" s="161">
        <f t="shared" ca="1" si="7"/>
        <v>0</v>
      </c>
      <c r="Q8" s="160">
        <f t="shared" ca="1" si="8"/>
        <v>0</v>
      </c>
      <c r="R8" s="158">
        <f t="shared" ref="R8:S8" ca="1" si="22">+R13+R31+R52+R74</f>
        <v>2700</v>
      </c>
      <c r="S8" s="158">
        <f t="shared" ca="1" si="22"/>
        <v>1890</v>
      </c>
      <c r="T8" s="158">
        <f t="shared" ca="1" si="10"/>
        <v>70</v>
      </c>
      <c r="U8" s="158">
        <f t="shared" ref="U8:W8" ca="1" si="23">+U13+U31+U52+U74</f>
        <v>900</v>
      </c>
      <c r="V8" s="158">
        <f t="shared" ca="1" si="23"/>
        <v>120</v>
      </c>
      <c r="W8" s="158">
        <f t="shared" ca="1" si="23"/>
        <v>645</v>
      </c>
      <c r="X8" s="160">
        <f t="shared" ca="1" si="12"/>
        <v>71.666666666666671</v>
      </c>
      <c r="Y8" s="161">
        <f ca="1">+Y13+Y31+Y52+Y74</f>
        <v>14</v>
      </c>
      <c r="Z8" s="160">
        <f t="shared" ca="1" si="13"/>
        <v>11.666666666666666</v>
      </c>
      <c r="AA8" s="158">
        <f t="shared" ref="AA8:AN8" ca="1" si="24">+AA13+AA31+AA52+AA74</f>
        <v>2700</v>
      </c>
      <c r="AB8" s="158">
        <f t="shared" ca="1" si="24"/>
        <v>900</v>
      </c>
      <c r="AC8" s="158">
        <f t="shared" ca="1" si="24"/>
        <v>1890</v>
      </c>
      <c r="AD8" s="158">
        <f t="shared" ca="1" si="24"/>
        <v>695</v>
      </c>
      <c r="AE8" s="158">
        <f t="shared" ca="1" si="24"/>
        <v>645</v>
      </c>
      <c r="AF8" s="158">
        <f t="shared" ca="1" si="24"/>
        <v>60</v>
      </c>
      <c r="AG8" s="158">
        <f t="shared" ca="1" si="24"/>
        <v>7</v>
      </c>
      <c r="AH8" s="158">
        <f t="shared" ca="1" si="24"/>
        <v>5</v>
      </c>
      <c r="AI8" s="158">
        <f t="shared" ca="1" si="24"/>
        <v>60</v>
      </c>
      <c r="AJ8" s="158">
        <f t="shared" ca="1" si="24"/>
        <v>12</v>
      </c>
      <c r="AK8" s="158">
        <f t="shared" ca="1" si="24"/>
        <v>9</v>
      </c>
      <c r="AL8" s="158">
        <f t="shared" ca="1" si="24"/>
        <v>900</v>
      </c>
      <c r="AM8" s="158">
        <f t="shared" ca="1" si="24"/>
        <v>120</v>
      </c>
      <c r="AN8" s="158">
        <f t="shared" ca="1" si="24"/>
        <v>25</v>
      </c>
      <c r="AO8" s="158">
        <f t="shared" ca="1" si="15"/>
        <v>2.7777777777777777</v>
      </c>
      <c r="AP8" s="158">
        <f ca="1">+AP13+AP31+AP52+AP74</f>
        <v>1</v>
      </c>
      <c r="AQ8" s="160">
        <f t="shared" ca="1" si="16"/>
        <v>0.83333333333333337</v>
      </c>
      <c r="AR8" s="158">
        <f t="shared" ref="AR8:AV8" ca="1" si="25">+AR13+AR31+AR52+AR74</f>
        <v>900</v>
      </c>
      <c r="AS8" s="158">
        <f t="shared" ca="1" si="25"/>
        <v>25</v>
      </c>
      <c r="AT8" s="158">
        <f t="shared" ca="1" si="25"/>
        <v>25</v>
      </c>
      <c r="AU8" s="158">
        <f t="shared" ca="1" si="25"/>
        <v>60</v>
      </c>
      <c r="AV8" s="158">
        <f t="shared" ca="1" si="25"/>
        <v>0</v>
      </c>
      <c r="AW8" s="160">
        <f t="shared" ca="1" si="18"/>
        <v>0</v>
      </c>
      <c r="AX8" s="158">
        <f t="shared" ref="AX8:AY8" ca="1" si="26">+AX13+AX31+AX52+AX74</f>
        <v>60</v>
      </c>
      <c r="AY8" s="158">
        <f t="shared" ca="1" si="26"/>
        <v>1</v>
      </c>
      <c r="AZ8" s="160">
        <f t="shared" ca="1" si="20"/>
        <v>1.6666666666666667</v>
      </c>
    </row>
    <row r="9" spans="1:52" ht="28.5" customHeight="1" x14ac:dyDescent="0.3">
      <c r="A9" s="162" t="s">
        <v>234</v>
      </c>
      <c r="B9" s="163"/>
      <c r="C9" s="164">
        <f t="shared" ca="1" si="0"/>
        <v>1697900</v>
      </c>
      <c r="D9" s="164">
        <f t="shared" ref="D9:I9" ca="1" si="27">+D10+D11</f>
        <v>1697900</v>
      </c>
      <c r="E9" s="164">
        <f t="shared" ca="1" si="27"/>
        <v>610100</v>
      </c>
      <c r="F9" s="164">
        <f t="shared" ca="1" si="27"/>
        <v>1087800</v>
      </c>
      <c r="G9" s="164">
        <f t="shared" ca="1" si="27"/>
        <v>0</v>
      </c>
      <c r="H9" s="164">
        <f t="shared" ca="1" si="27"/>
        <v>2542695</v>
      </c>
      <c r="I9" s="164">
        <f t="shared" ca="1" si="27"/>
        <v>0</v>
      </c>
      <c r="J9" s="164">
        <f t="shared" ca="1" si="3"/>
        <v>339111.33</v>
      </c>
      <c r="K9" s="165">
        <f t="shared" ca="1" si="4"/>
        <v>19.972397078744333</v>
      </c>
      <c r="L9" s="164">
        <f ca="1">+L10+L11</f>
        <v>339111.33</v>
      </c>
      <c r="M9" s="166">
        <f t="shared" ca="1" si="5"/>
        <v>19.972397078744333</v>
      </c>
      <c r="N9" s="166">
        <f t="shared" ca="1" si="6"/>
        <v>13.336689221475639</v>
      </c>
      <c r="O9" s="167">
        <f ca="1">+O10+O11</f>
        <v>0</v>
      </c>
      <c r="P9" s="167">
        <f t="shared" ca="1" si="7"/>
        <v>0</v>
      </c>
      <c r="Q9" s="166">
        <f t="shared" ca="1" si="8"/>
        <v>0</v>
      </c>
      <c r="R9" s="164">
        <f t="shared" ref="R9:S9" si="28">+R10+R11</f>
        <v>0</v>
      </c>
      <c r="S9" s="164">
        <f t="shared" si="28"/>
        <v>0</v>
      </c>
      <c r="T9" s="164">
        <f t="shared" si="10"/>
        <v>0</v>
      </c>
      <c r="U9" s="164">
        <f t="shared" ref="U9:W9" si="29">+U10+U11</f>
        <v>0</v>
      </c>
      <c r="V9" s="164">
        <f t="shared" si="29"/>
        <v>0</v>
      </c>
      <c r="W9" s="164">
        <f t="shared" si="29"/>
        <v>0</v>
      </c>
      <c r="X9" s="166">
        <f t="shared" si="12"/>
        <v>0</v>
      </c>
      <c r="Y9" s="167">
        <f>+Y10+Y11</f>
        <v>0</v>
      </c>
      <c r="Z9" s="166">
        <f t="shared" si="13"/>
        <v>0</v>
      </c>
      <c r="AA9" s="164">
        <f t="shared" ref="AA9:AN9" si="30">+AA10+AA11</f>
        <v>0</v>
      </c>
      <c r="AB9" s="164">
        <f t="shared" si="30"/>
        <v>0</v>
      </c>
      <c r="AC9" s="164">
        <f t="shared" si="30"/>
        <v>0</v>
      </c>
      <c r="AD9" s="164">
        <f t="shared" si="30"/>
        <v>0</v>
      </c>
      <c r="AE9" s="164">
        <f t="shared" si="30"/>
        <v>0</v>
      </c>
      <c r="AF9" s="164">
        <f t="shared" si="30"/>
        <v>0</v>
      </c>
      <c r="AG9" s="164">
        <f t="shared" si="30"/>
        <v>0</v>
      </c>
      <c r="AH9" s="164">
        <f t="shared" si="30"/>
        <v>0</v>
      </c>
      <c r="AI9" s="164">
        <f t="shared" si="30"/>
        <v>0</v>
      </c>
      <c r="AJ9" s="164">
        <f t="shared" si="30"/>
        <v>0</v>
      </c>
      <c r="AK9" s="164">
        <f t="shared" si="30"/>
        <v>0</v>
      </c>
      <c r="AL9" s="164">
        <f t="shared" si="30"/>
        <v>0</v>
      </c>
      <c r="AM9" s="164">
        <f t="shared" si="30"/>
        <v>0</v>
      </c>
      <c r="AN9" s="164">
        <f t="shared" si="30"/>
        <v>0</v>
      </c>
      <c r="AO9" s="164">
        <f t="shared" si="15"/>
        <v>0</v>
      </c>
      <c r="AP9" s="164">
        <f>+AP10+AP11</f>
        <v>0</v>
      </c>
      <c r="AQ9" s="166">
        <f t="shared" si="16"/>
        <v>0</v>
      </c>
      <c r="AR9" s="164">
        <f t="shared" ref="AR9:AV9" si="31">+AR10+AR11</f>
        <v>0</v>
      </c>
      <c r="AS9" s="164">
        <f t="shared" si="31"/>
        <v>0</v>
      </c>
      <c r="AT9" s="164">
        <f t="shared" si="31"/>
        <v>0</v>
      </c>
      <c r="AU9" s="164">
        <f t="shared" si="31"/>
        <v>0</v>
      </c>
      <c r="AV9" s="164">
        <f t="shared" si="31"/>
        <v>0</v>
      </c>
      <c r="AW9" s="166">
        <f t="shared" si="18"/>
        <v>0</v>
      </c>
      <c r="AX9" s="164">
        <f t="shared" ref="AX9:AY9" si="32">+AX10+AX11</f>
        <v>0</v>
      </c>
      <c r="AY9" s="164">
        <f t="shared" si="32"/>
        <v>0</v>
      </c>
      <c r="AZ9" s="166">
        <f t="shared" si="20"/>
        <v>0</v>
      </c>
    </row>
    <row r="10" spans="1:52" ht="28.5" hidden="1" customHeight="1" x14ac:dyDescent="0.3">
      <c r="A10" s="162" t="s">
        <v>32</v>
      </c>
      <c r="B10" s="163"/>
      <c r="C10" s="164">
        <f t="shared" ca="1" si="0"/>
        <v>1648800</v>
      </c>
      <c r="D10" s="164">
        <f t="shared" ref="D10:I10" ca="1" si="33">+D89</f>
        <v>1648800</v>
      </c>
      <c r="E10" s="164">
        <f t="shared" ca="1" si="33"/>
        <v>561000</v>
      </c>
      <c r="F10" s="164">
        <f t="shared" ca="1" si="33"/>
        <v>1087800</v>
      </c>
      <c r="G10" s="164">
        <f t="shared" ca="1" si="33"/>
        <v>0</v>
      </c>
      <c r="H10" s="164">
        <f t="shared" ca="1" si="33"/>
        <v>2519145</v>
      </c>
      <c r="I10" s="164">
        <f t="shared" ca="1" si="33"/>
        <v>0</v>
      </c>
      <c r="J10" s="164">
        <f t="shared" ca="1" si="3"/>
        <v>339111.33</v>
      </c>
      <c r="K10" s="165">
        <f t="shared" ca="1" si="4"/>
        <v>20.567159752547308</v>
      </c>
      <c r="L10" s="164">
        <f ca="1">+L89</f>
        <v>339111.33</v>
      </c>
      <c r="M10" s="166">
        <f t="shared" ca="1" si="5"/>
        <v>20.567159752547308</v>
      </c>
      <c r="N10" s="166">
        <f t="shared" ca="1" si="6"/>
        <v>13.461366058722305</v>
      </c>
      <c r="O10" s="167">
        <f ca="1">+O89</f>
        <v>0</v>
      </c>
      <c r="P10" s="167">
        <f t="shared" ca="1" si="7"/>
        <v>0</v>
      </c>
      <c r="Q10" s="166">
        <f t="shared" ca="1" si="8"/>
        <v>0</v>
      </c>
      <c r="R10" s="164">
        <v>0</v>
      </c>
      <c r="S10" s="164">
        <v>0</v>
      </c>
      <c r="T10" s="164">
        <f t="shared" si="10"/>
        <v>0</v>
      </c>
      <c r="U10" s="164">
        <v>0</v>
      </c>
      <c r="V10" s="164">
        <v>0</v>
      </c>
      <c r="W10" s="164">
        <v>0</v>
      </c>
      <c r="X10" s="166">
        <f t="shared" si="12"/>
        <v>0</v>
      </c>
      <c r="Y10" s="167">
        <v>0</v>
      </c>
      <c r="Z10" s="166">
        <f t="shared" si="13"/>
        <v>0</v>
      </c>
      <c r="AA10" s="164">
        <v>0</v>
      </c>
      <c r="AB10" s="164">
        <v>0</v>
      </c>
      <c r="AC10" s="164">
        <v>0</v>
      </c>
      <c r="AD10" s="164">
        <v>0</v>
      </c>
      <c r="AE10" s="164">
        <v>0</v>
      </c>
      <c r="AF10" s="164">
        <v>0</v>
      </c>
      <c r="AG10" s="164">
        <v>0</v>
      </c>
      <c r="AH10" s="164">
        <v>0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  <c r="AO10" s="164">
        <f t="shared" si="15"/>
        <v>0</v>
      </c>
      <c r="AP10" s="164">
        <v>0</v>
      </c>
      <c r="AQ10" s="166">
        <f t="shared" si="16"/>
        <v>0</v>
      </c>
      <c r="AR10" s="164">
        <v>0</v>
      </c>
      <c r="AS10" s="164">
        <v>0</v>
      </c>
      <c r="AT10" s="164">
        <v>0</v>
      </c>
      <c r="AU10" s="164">
        <v>0</v>
      </c>
      <c r="AV10" s="164">
        <v>0</v>
      </c>
      <c r="AW10" s="166">
        <f t="shared" si="18"/>
        <v>0</v>
      </c>
      <c r="AX10" s="164">
        <v>0</v>
      </c>
      <c r="AY10" s="164">
        <v>0</v>
      </c>
      <c r="AZ10" s="166">
        <f t="shared" si="20"/>
        <v>0</v>
      </c>
    </row>
    <row r="11" spans="1:52" ht="28.5" hidden="1" customHeight="1" x14ac:dyDescent="0.3">
      <c r="A11" s="168" t="s">
        <v>33</v>
      </c>
      <c r="B11" s="163"/>
      <c r="C11" s="164">
        <f t="shared" ca="1" si="0"/>
        <v>49100</v>
      </c>
      <c r="D11" s="164">
        <f t="shared" ref="D11:I11" ca="1" si="34">+D104</f>
        <v>49100</v>
      </c>
      <c r="E11" s="164">
        <f t="shared" ca="1" si="34"/>
        <v>49100</v>
      </c>
      <c r="F11" s="164">
        <f t="shared" ca="1" si="34"/>
        <v>0</v>
      </c>
      <c r="G11" s="164">
        <f t="shared" ca="1" si="34"/>
        <v>0</v>
      </c>
      <c r="H11" s="164">
        <f t="shared" ca="1" si="34"/>
        <v>23550</v>
      </c>
      <c r="I11" s="164">
        <f t="shared" ca="1" si="34"/>
        <v>0</v>
      </c>
      <c r="J11" s="164">
        <f t="shared" ca="1" si="3"/>
        <v>0</v>
      </c>
      <c r="K11" s="165">
        <f t="shared" ca="1" si="4"/>
        <v>0</v>
      </c>
      <c r="L11" s="164">
        <f ca="1">+L104</f>
        <v>0</v>
      </c>
      <c r="M11" s="166">
        <f t="shared" ca="1" si="5"/>
        <v>0</v>
      </c>
      <c r="N11" s="166">
        <f t="shared" ca="1" si="6"/>
        <v>0</v>
      </c>
      <c r="O11" s="167">
        <f ca="1">+O104</f>
        <v>0</v>
      </c>
      <c r="P11" s="167">
        <f t="shared" ca="1" si="7"/>
        <v>0</v>
      </c>
      <c r="Q11" s="166">
        <f t="shared" ca="1" si="8"/>
        <v>0</v>
      </c>
      <c r="R11" s="164">
        <v>0</v>
      </c>
      <c r="S11" s="164">
        <v>0</v>
      </c>
      <c r="T11" s="164">
        <f t="shared" si="10"/>
        <v>0</v>
      </c>
      <c r="U11" s="164">
        <v>0</v>
      </c>
      <c r="V11" s="164">
        <v>0</v>
      </c>
      <c r="W11" s="164">
        <v>0</v>
      </c>
      <c r="X11" s="166">
        <f t="shared" si="12"/>
        <v>0</v>
      </c>
      <c r="Y11" s="167">
        <v>0</v>
      </c>
      <c r="Z11" s="166">
        <f t="shared" si="13"/>
        <v>0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>
        <v>0</v>
      </c>
      <c r="AG11" s="164">
        <v>0</v>
      </c>
      <c r="AH11" s="164">
        <v>0</v>
      </c>
      <c r="AI11" s="164">
        <v>0</v>
      </c>
      <c r="AJ11" s="164">
        <v>0</v>
      </c>
      <c r="AK11" s="164">
        <v>0</v>
      </c>
      <c r="AL11" s="164">
        <v>0</v>
      </c>
      <c r="AM11" s="164">
        <v>0</v>
      </c>
      <c r="AN11" s="164">
        <v>0</v>
      </c>
      <c r="AO11" s="164">
        <f t="shared" si="15"/>
        <v>0</v>
      </c>
      <c r="AP11" s="164">
        <v>0</v>
      </c>
      <c r="AQ11" s="166">
        <f t="shared" si="16"/>
        <v>0</v>
      </c>
      <c r="AR11" s="164">
        <v>0</v>
      </c>
      <c r="AS11" s="164">
        <v>0</v>
      </c>
      <c r="AT11" s="164">
        <v>0</v>
      </c>
      <c r="AU11" s="164">
        <v>0</v>
      </c>
      <c r="AV11" s="164">
        <v>0</v>
      </c>
      <c r="AW11" s="166">
        <f t="shared" si="18"/>
        <v>0</v>
      </c>
      <c r="AX11" s="164">
        <v>0</v>
      </c>
      <c r="AY11" s="164">
        <v>0</v>
      </c>
      <c r="AZ11" s="166">
        <f t="shared" si="20"/>
        <v>0</v>
      </c>
    </row>
    <row r="12" spans="1:52" ht="28.5" hidden="1" customHeight="1" x14ac:dyDescent="0.3">
      <c r="A12" s="169" t="s">
        <v>34</v>
      </c>
      <c r="B12" s="170"/>
      <c r="C12" s="171">
        <f t="shared" si="0"/>
        <v>0</v>
      </c>
      <c r="D12" s="171">
        <v>0</v>
      </c>
      <c r="E12" s="171">
        <v>0</v>
      </c>
      <c r="F12" s="171">
        <v>0</v>
      </c>
      <c r="G12" s="171">
        <v>0</v>
      </c>
      <c r="H12" s="171">
        <v>0</v>
      </c>
      <c r="I12" s="171">
        <v>0</v>
      </c>
      <c r="J12" s="171">
        <f t="shared" si="3"/>
        <v>0</v>
      </c>
      <c r="K12" s="172">
        <f t="shared" si="4"/>
        <v>0</v>
      </c>
      <c r="L12" s="171">
        <v>0</v>
      </c>
      <c r="M12" s="173">
        <f t="shared" si="5"/>
        <v>0</v>
      </c>
      <c r="N12" s="173">
        <f t="shared" si="6"/>
        <v>0</v>
      </c>
      <c r="O12" s="174">
        <v>0</v>
      </c>
      <c r="P12" s="174"/>
      <c r="Q12" s="173">
        <f t="shared" si="8"/>
        <v>0</v>
      </c>
      <c r="R12" s="171">
        <v>0</v>
      </c>
      <c r="S12" s="171">
        <v>0</v>
      </c>
      <c r="T12" s="171">
        <f t="shared" si="10"/>
        <v>0</v>
      </c>
      <c r="U12" s="171">
        <v>0</v>
      </c>
      <c r="V12" s="171">
        <v>0</v>
      </c>
      <c r="W12" s="171">
        <v>0</v>
      </c>
      <c r="X12" s="173">
        <f t="shared" si="12"/>
        <v>0</v>
      </c>
      <c r="Y12" s="174">
        <v>0</v>
      </c>
      <c r="Z12" s="173">
        <f t="shared" si="13"/>
        <v>0</v>
      </c>
      <c r="AA12" s="171">
        <v>0</v>
      </c>
      <c r="AB12" s="171">
        <v>0</v>
      </c>
      <c r="AC12" s="171">
        <v>0</v>
      </c>
      <c r="AD12" s="171">
        <v>0</v>
      </c>
      <c r="AE12" s="171">
        <v>0</v>
      </c>
      <c r="AF12" s="171">
        <v>0</v>
      </c>
      <c r="AG12" s="171">
        <v>0</v>
      </c>
      <c r="AH12" s="171">
        <v>0</v>
      </c>
      <c r="AI12" s="171">
        <v>0</v>
      </c>
      <c r="AJ12" s="171">
        <v>0</v>
      </c>
      <c r="AK12" s="175"/>
      <c r="AL12" s="171">
        <v>0</v>
      </c>
      <c r="AM12" s="175"/>
      <c r="AN12" s="171">
        <v>0</v>
      </c>
      <c r="AO12" s="171">
        <f t="shared" si="15"/>
        <v>0</v>
      </c>
      <c r="AP12" s="175"/>
      <c r="AQ12" s="173">
        <f t="shared" si="16"/>
        <v>0</v>
      </c>
      <c r="AR12" s="171">
        <v>0</v>
      </c>
      <c r="AS12" s="171">
        <v>0</v>
      </c>
      <c r="AT12" s="171">
        <v>0</v>
      </c>
      <c r="AU12" s="171">
        <v>0</v>
      </c>
      <c r="AV12" s="171">
        <v>0</v>
      </c>
      <c r="AW12" s="173">
        <f t="shared" si="18"/>
        <v>0</v>
      </c>
      <c r="AX12" s="171">
        <v>0</v>
      </c>
      <c r="AY12" s="171">
        <v>0</v>
      </c>
      <c r="AZ12" s="173">
        <f t="shared" si="20"/>
        <v>0</v>
      </c>
    </row>
    <row r="13" spans="1:52" ht="28.5" customHeight="1" x14ac:dyDescent="0.3">
      <c r="A13" s="396" t="s">
        <v>35</v>
      </c>
      <c r="B13" s="397"/>
      <c r="C13" s="158">
        <f t="shared" ca="1" si="0"/>
        <v>2616900</v>
      </c>
      <c r="D13" s="158">
        <f t="shared" ref="D13:I13" ca="1" si="35">SUM(D14:D30)</f>
        <v>2616900</v>
      </c>
      <c r="E13" s="158">
        <f t="shared" ca="1" si="35"/>
        <v>885000</v>
      </c>
      <c r="F13" s="158">
        <f t="shared" ca="1" si="35"/>
        <v>1731900</v>
      </c>
      <c r="G13" s="158">
        <f t="shared" ca="1" si="35"/>
        <v>0</v>
      </c>
      <c r="H13" s="158">
        <f t="shared" ca="1" si="35"/>
        <v>1508150</v>
      </c>
      <c r="I13" s="158">
        <f t="shared" ca="1" si="35"/>
        <v>0</v>
      </c>
      <c r="J13" s="158">
        <f t="shared" ca="1" si="3"/>
        <v>1005760.95</v>
      </c>
      <c r="K13" s="159">
        <f t="shared" ca="1" si="4"/>
        <v>38.433297030838013</v>
      </c>
      <c r="L13" s="158">
        <f ca="1">SUM(L14:L30)</f>
        <v>1005760.95</v>
      </c>
      <c r="M13" s="160">
        <f t="shared" ca="1" si="5"/>
        <v>38.433297030838013</v>
      </c>
      <c r="N13" s="160">
        <f t="shared" ca="1" si="6"/>
        <v>66.688389749030264</v>
      </c>
      <c r="O13" s="161">
        <f ca="1">SUM(O14:O30)</f>
        <v>0</v>
      </c>
      <c r="P13" s="161">
        <f t="shared" ref="P13:P116" ca="1" si="36">IF(G13&gt;0,O13*100/G13,0)</f>
        <v>0</v>
      </c>
      <c r="Q13" s="160">
        <f t="shared" ca="1" si="8"/>
        <v>0</v>
      </c>
      <c r="R13" s="158">
        <f t="shared" ref="R13:S13" ca="1" si="37">SUM(R14:R30)</f>
        <v>975</v>
      </c>
      <c r="S13" s="158">
        <f t="shared" ca="1" si="37"/>
        <v>795</v>
      </c>
      <c r="T13" s="158">
        <f t="shared" ca="1" si="10"/>
        <v>81.538461538461533</v>
      </c>
      <c r="U13" s="158">
        <f t="shared" ref="U13:W13" ca="1" si="38">SUM(U14:U30)</f>
        <v>325</v>
      </c>
      <c r="V13" s="158">
        <f t="shared" ca="1" si="38"/>
        <v>30</v>
      </c>
      <c r="W13" s="158">
        <f t="shared" ca="1" si="38"/>
        <v>320</v>
      </c>
      <c r="X13" s="160">
        <f t="shared" ca="1" si="12"/>
        <v>98.461538461538467</v>
      </c>
      <c r="Y13" s="161">
        <f ca="1">SUM(Y14:Y30)</f>
        <v>3</v>
      </c>
      <c r="Z13" s="160">
        <f t="shared" ca="1" si="13"/>
        <v>10</v>
      </c>
      <c r="AA13" s="158">
        <f t="shared" ref="AA13:AN13" ca="1" si="39">SUM(AA14:AA30)</f>
        <v>975</v>
      </c>
      <c r="AB13" s="158">
        <f t="shared" ca="1" si="39"/>
        <v>325</v>
      </c>
      <c r="AC13" s="158">
        <f t="shared" ca="1" si="39"/>
        <v>795</v>
      </c>
      <c r="AD13" s="158">
        <f t="shared" ca="1" si="39"/>
        <v>280</v>
      </c>
      <c r="AE13" s="158">
        <f t="shared" ca="1" si="39"/>
        <v>320</v>
      </c>
      <c r="AF13" s="158">
        <f t="shared" ca="1" si="39"/>
        <v>14</v>
      </c>
      <c r="AG13" s="158">
        <f t="shared" ca="1" si="39"/>
        <v>2</v>
      </c>
      <c r="AH13" s="158">
        <f t="shared" ca="1" si="39"/>
        <v>1</v>
      </c>
      <c r="AI13" s="158">
        <f t="shared" ca="1" si="39"/>
        <v>16</v>
      </c>
      <c r="AJ13" s="158">
        <f t="shared" ca="1" si="39"/>
        <v>4</v>
      </c>
      <c r="AK13" s="158">
        <f t="shared" ca="1" si="39"/>
        <v>2</v>
      </c>
      <c r="AL13" s="158">
        <f t="shared" ca="1" si="39"/>
        <v>325</v>
      </c>
      <c r="AM13" s="158">
        <f t="shared" ca="1" si="39"/>
        <v>30</v>
      </c>
      <c r="AN13" s="158">
        <f t="shared" ca="1" si="39"/>
        <v>0</v>
      </c>
      <c r="AO13" s="158">
        <f t="shared" ca="1" si="15"/>
        <v>0</v>
      </c>
      <c r="AP13" s="158">
        <f ca="1">SUM(AP14:AP30)</f>
        <v>0</v>
      </c>
      <c r="AQ13" s="160">
        <f t="shared" ca="1" si="16"/>
        <v>0</v>
      </c>
      <c r="AR13" s="158">
        <f t="shared" ref="AR13:AV13" ca="1" si="40">SUM(AR14:AR30)</f>
        <v>325</v>
      </c>
      <c r="AS13" s="158">
        <f t="shared" ca="1" si="40"/>
        <v>0</v>
      </c>
      <c r="AT13" s="158">
        <f t="shared" ca="1" si="40"/>
        <v>0</v>
      </c>
      <c r="AU13" s="158">
        <f t="shared" ca="1" si="40"/>
        <v>14</v>
      </c>
      <c r="AV13" s="158">
        <f t="shared" ca="1" si="40"/>
        <v>0</v>
      </c>
      <c r="AW13" s="160">
        <f t="shared" ca="1" si="18"/>
        <v>0</v>
      </c>
      <c r="AX13" s="158">
        <f t="shared" ref="AX13:AY13" ca="1" si="41">SUM(AX14:AX30)</f>
        <v>16</v>
      </c>
      <c r="AY13" s="158">
        <f t="shared" ca="1" si="41"/>
        <v>0</v>
      </c>
      <c r="AZ13" s="160">
        <f t="shared" ca="1" si="20"/>
        <v>0</v>
      </c>
    </row>
    <row r="14" spans="1:52" ht="24" customHeight="1" x14ac:dyDescent="0.3">
      <c r="A14" s="176">
        <v>1</v>
      </c>
      <c r="B14" s="177" t="s">
        <v>36</v>
      </c>
      <c r="C14" s="178">
        <f t="shared" ca="1" si="0"/>
        <v>98460</v>
      </c>
      <c r="D14" s="179">
        <f t="shared" ref="D14:D30" ca="1" si="42">+E14+F14</f>
        <v>98460</v>
      </c>
      <c r="E14" s="180">
        <f ca="1">IFERROR(__xludf.DUMMYFUNCTION("IMPORTRANGE(""https://docs.google.com/spreadsheets/d/1MeEWN-I1oV_STSDYn1IFDPWt_1FKiwhDph83XaGc0o0/edit?usp=sharing"",""งบพรบ!AR14"")"),0)</f>
        <v>0</v>
      </c>
      <c r="F14" s="180">
        <f ca="1">IFERROR(__xludf.DUMMYFUNCTION("IMPORTRANGE(""https://docs.google.com/spreadsheets/d/1MeEWN-I1oV_STSDYn1IFDPWt_1FKiwhDph83XaGc0o0/edit?usp=sharing"",""งบพรบ!AS14"")"),98460)</f>
        <v>98460</v>
      </c>
      <c r="G14" s="181">
        <f ca="1">IFERROR(__xludf.DUMMYFUNCTION("IMPORTRANGE(""https://docs.google.com/spreadsheets/d/1MeEWN-I1oV_STSDYn1IFDPWt_1FKiwhDph83XaGc0o0/edit?usp=sharing"",""งบพรบ!AT14"")"),0)</f>
        <v>0</v>
      </c>
      <c r="H14" s="181">
        <f ca="1">IFERROR(__xludf.DUMMYFUNCTION("IMPORTRANGE(""https://docs.google.com/spreadsheets/d/1MeEWN-I1oV_STSDYn1IFDPWt_1FKiwhDph83XaGc0o0/edit?usp=sharing"",""งบพรบ!AV14"")"),34760)</f>
        <v>34760</v>
      </c>
      <c r="I14" s="181">
        <f ca="1">IFERROR(__xludf.DUMMYFUNCTION("IMPORTRANGE(""https://docs.google.com/spreadsheets/d/1MeEWN-I1oV_STSDYn1IFDPWt_1FKiwhDph83XaGc0o0/edit?usp=sharing"",""งบพรบ!AW14"")"),0)</f>
        <v>0</v>
      </c>
      <c r="J14" s="181">
        <f t="shared" ca="1" si="3"/>
        <v>16250</v>
      </c>
      <c r="K14" s="182">
        <f t="shared" ca="1" si="4"/>
        <v>16.504164127564493</v>
      </c>
      <c r="L14" s="181">
        <f ca="1">IFERROR(__xludf.DUMMYFUNCTION("IMPORTRANGE(""https://docs.google.com/spreadsheets/d/1MeEWN-I1oV_STSDYn1IFDPWt_1FKiwhDph83XaGc0o0/edit?usp=sharing"",""งบพรบ!AX14"")"),16250)</f>
        <v>16250</v>
      </c>
      <c r="M14" s="183">
        <f t="shared" ca="1" si="5"/>
        <v>16.504164127564493</v>
      </c>
      <c r="N14" s="183">
        <f t="shared" ca="1" si="6"/>
        <v>46.749136939010356</v>
      </c>
      <c r="O14" s="184">
        <f ca="1">IFERROR(__xludf.DUMMYFUNCTION("IMPORTRANGE(""https://docs.google.com/spreadsheets/d/1MeEWN-I1oV_STSDYn1IFDPWt_1FKiwhDph83XaGc0o0/edit?usp=sharing"",""งบพรบ!AY14"")"),0)</f>
        <v>0</v>
      </c>
      <c r="P14" s="184">
        <f t="shared" ca="1" si="36"/>
        <v>0</v>
      </c>
      <c r="Q14" s="183">
        <f t="shared" ca="1" si="8"/>
        <v>0</v>
      </c>
      <c r="R14" s="181">
        <f ca="1">IFERROR(__xludf.DUMMYFUNCTION("IMPORTRANGE(""https://docs.google.com/spreadsheets/d/1KxicF4apzSqm0-jIpmueT4kyZtE-Cwn5zskl7GD4loQ/edit?usp=sharing"",""กำแพงเพชร!I98"")"),45)</f>
        <v>45</v>
      </c>
      <c r="S14" s="181">
        <f ca="1">IFERROR(__xludf.DUMMYFUNCTION("IMPORTRANGE(""https://docs.google.com/spreadsheets/d/1KxicF4apzSqm0-jIpmueT4kyZtE-Cwn5zskl7GD4loQ/edit?usp=sharing"",""กำแพงเพชร!J98"")"),0)</f>
        <v>0</v>
      </c>
      <c r="T14" s="181">
        <f t="shared" ca="1" si="10"/>
        <v>0</v>
      </c>
      <c r="U14" s="181">
        <f ca="1">IFERROR(__xludf.DUMMYFUNCTION("IMPORTRANGE(""https://docs.google.com/spreadsheets/d/1KxicF4apzSqm0-jIpmueT4kyZtE-Cwn5zskl7GD4loQ/edit?usp=sharing"",""กำแพงเพชร!I99"")"),15)</f>
        <v>15</v>
      </c>
      <c r="V14" s="181">
        <f ca="1">IFERROR(__xludf.DUMMYFUNCTION("IMPORTRANGE(""https://docs.google.com/spreadsheets/d/1KxicF4apzSqm0-jIpmueT4kyZtE-Cwn5zskl7GD4loQ/edit?usp=sharing"",""กำแพงเพชร!I100"")"),2)</f>
        <v>2</v>
      </c>
      <c r="W14" s="181">
        <f ca="1">IFERROR(__xludf.DUMMYFUNCTION("IMPORTRANGE(""https://docs.google.com/spreadsheets/d/1KxicF4apzSqm0-jIpmueT4kyZtE-Cwn5zskl7GD4loQ/edit?usp=sharing"",""กำแพงเพชร!J99"")"),0)</f>
        <v>0</v>
      </c>
      <c r="X14" s="185">
        <f t="shared" ca="1" si="12"/>
        <v>0</v>
      </c>
      <c r="Y14" s="186">
        <f ca="1">IFERROR(__xludf.DUMMYFUNCTION("IMPORTRANGE(""https://docs.google.com/spreadsheets/d/1KxicF4apzSqm0-jIpmueT4kyZtE-Cwn5zskl7GD4loQ/edit?usp=sharing"",""กำแพงเพชร!J100"")"),0)</f>
        <v>0</v>
      </c>
      <c r="Z14" s="185">
        <f t="shared" ca="1" si="13"/>
        <v>0</v>
      </c>
      <c r="AA14" s="180">
        <f ca="1">IFERROR(__xludf.DUMMYFUNCTION("IMPORTRANGE(""https://docs.google.com/spreadsheets/d/1KxicF4apzSqm0-jIpmueT4kyZtE-Cwn5zskl7GD4loQ/edit?usp=sharing"",""กำแพงเพชร!I102"")"),45)</f>
        <v>45</v>
      </c>
      <c r="AB14" s="180">
        <f ca="1">IFERROR(__xludf.DUMMYFUNCTION("IMPORTRANGE(""https://docs.google.com/spreadsheets/d/1KxicF4apzSqm0-jIpmueT4kyZtE-Cwn5zskl7GD4loQ/edit?usp=sharing"",""กำแพงเพชร!I103"")"),15)</f>
        <v>15</v>
      </c>
      <c r="AC14" s="181">
        <f ca="1">IFERROR(__xludf.DUMMYFUNCTION("IMPORTRANGE(""https://docs.google.com/spreadsheets/d/1KxicF4apzSqm0-jIpmueT4kyZtE-Cwn5zskl7GD4loQ/edit?usp=sharing"",""กำแพงเพชร!J102"")"),0)</f>
        <v>0</v>
      </c>
      <c r="AD14" s="181">
        <f ca="1">IFERROR(__xludf.DUMMYFUNCTION("IMPORTRANGE(""https://docs.google.com/spreadsheets/d/1KxicF4apzSqm0-jIpmueT4kyZtE-Cwn5zskl7GD4loQ/edit?usp=sharing"",""กำแพงเพชร!J103"")"),0)</f>
        <v>0</v>
      </c>
      <c r="AE14" s="181">
        <f ca="1">IFERROR(__xludf.DUMMYFUNCTION("IMPORTRANGE(""https://docs.google.com/spreadsheets/d/1KxicF4apzSqm0-jIpmueT4kyZtE-Cwn5zskl7GD4loQ/edit?usp=sharing"",""กำแพงเพชร!J104"")"),0)</f>
        <v>0</v>
      </c>
      <c r="AF14" s="180">
        <f ca="1">IFERROR(__xludf.DUMMYFUNCTION("IMPORTRANGE(""https://docs.google.com/spreadsheets/d/1KxicF4apzSqm0-jIpmueT4kyZtE-Cwn5zskl7GD4loQ/edit?usp=sharing"",""กำแพงเพชร!I106"")"),1)</f>
        <v>1</v>
      </c>
      <c r="AG14" s="181">
        <f ca="1">IFERROR(__xludf.DUMMYFUNCTION("IMPORTRANGE(""https://docs.google.com/spreadsheets/d/1KxicF4apzSqm0-jIpmueT4kyZtE-Cwn5zskl7GD4loQ/edit?usp=sharing"",""กำแพงเพชร!J106"")"),0)</f>
        <v>0</v>
      </c>
      <c r="AH14" s="181">
        <f ca="1">IFERROR(__xludf.DUMMYFUNCTION("IMPORTRANGE(""https://docs.google.com/spreadsheets/d/1KxicF4apzSqm0-jIpmueT4kyZtE-Cwn5zskl7GD4loQ/edit?usp=sharing"",""กำแพงเพชร!J107"")"),0)</f>
        <v>0</v>
      </c>
      <c r="AI14" s="180">
        <f ca="1">IFERROR(__xludf.DUMMYFUNCTION("IMPORTRANGE(""https://docs.google.com/spreadsheets/d/1KxicF4apzSqm0-jIpmueT4kyZtE-Cwn5zskl7GD4loQ/edit?usp=sharing"",""กำแพงเพชร!I109"")"),1)</f>
        <v>1</v>
      </c>
      <c r="AJ14" s="181">
        <f ca="1">IFERROR(__xludf.DUMMYFUNCTION("IMPORTRANGE(""https://docs.google.com/spreadsheets/d/1KxicF4apzSqm0-jIpmueT4kyZtE-Cwn5zskl7GD4loQ/edit?usp=sharing"",""กำแพงเพชร!J109"")"),0)</f>
        <v>0</v>
      </c>
      <c r="AK14" s="181">
        <f ca="1">IFERROR(__xludf.DUMMYFUNCTION("IMPORTRANGE(""https://docs.google.com/spreadsheets/d/1KxicF4apzSqm0-jIpmueT4kyZtE-Cwn5zskl7GD4loQ/edit?usp=sharing"",""กำแพงเพชร!J110"")"),0)</f>
        <v>0</v>
      </c>
      <c r="AL14" s="180">
        <f ca="1">IFERROR(__xludf.DUMMYFUNCTION("IMPORTRANGE(""https://docs.google.com/spreadsheets/d/1KxicF4apzSqm0-jIpmueT4kyZtE-Cwn5zskl7GD4loQ/edit?usp=sharing"",""กำแพงเพชร!I111"")"),15)</f>
        <v>15</v>
      </c>
      <c r="AM14" s="180">
        <f ca="1">IFERROR(__xludf.DUMMYFUNCTION("IMPORTRANGE(""https://docs.google.com/spreadsheets/d/1KxicF4apzSqm0-jIpmueT4kyZtE-Cwn5zskl7GD4loQ/edit?usp=sharing"",""กำแพงเพชร!I112"")"),2)</f>
        <v>2</v>
      </c>
      <c r="AN14" s="181">
        <f ca="1">IFERROR(__xludf.DUMMYFUNCTION("IMPORTRANGE(""https://docs.google.com/spreadsheets/d/1KxicF4apzSqm0-jIpmueT4kyZtE-Cwn5zskl7GD4loQ/edit?usp=sharing"",""กำแพงเพชร!J111"")"),0)</f>
        <v>0</v>
      </c>
      <c r="AO14" s="181">
        <f t="shared" ca="1" si="15"/>
        <v>0</v>
      </c>
      <c r="AP14" s="181">
        <f ca="1">IFERROR(__xludf.DUMMYFUNCTION("IMPORTRANGE(""https://docs.google.com/spreadsheets/d/1KxicF4apzSqm0-jIpmueT4kyZtE-Cwn5zskl7GD4loQ/edit?usp=sharing"",""กำแพงเพชร!J112"")"),0)</f>
        <v>0</v>
      </c>
      <c r="AQ14" s="183">
        <f t="shared" ca="1" si="16"/>
        <v>0</v>
      </c>
      <c r="AR14" s="180">
        <f ca="1">IFERROR(__xludf.DUMMYFUNCTION("IMPORTRANGE(""https://docs.google.com/spreadsheets/d/1KxicF4apzSqm0-jIpmueT4kyZtE-Cwn5zskl7GD4loQ/edit?usp=sharing"",""กำแพงเพชร!I113"")"),15)</f>
        <v>15</v>
      </c>
      <c r="AS14" s="180">
        <f ca="1">IFERROR(__xludf.DUMMYFUNCTION("IMPORTRANGE(""https://docs.google.com/spreadsheets/d/1KxicF4apzSqm0-jIpmueT4kyZtE-Cwn5zskl7GD4loQ/edit?usp=sharing"",""กำแพงเพชร!J113"")"),0)</f>
        <v>0</v>
      </c>
      <c r="AT14" s="180">
        <f ca="1">IFERROR(__xludf.DUMMYFUNCTION("IMPORTRANGE(""https://docs.google.com/spreadsheets/d/1KxicF4apzSqm0-jIpmueT4kyZtE-Cwn5zskl7GD4loQ/edit?usp=sharing"",""กำแพงเพชร!J114"")"),0)</f>
        <v>0</v>
      </c>
      <c r="AU14" s="180">
        <f ca="1">IFERROR(__xludf.DUMMYFUNCTION("IMPORTRANGE(""https://docs.google.com/spreadsheets/d/1KxicF4apzSqm0-jIpmueT4kyZtE-Cwn5zskl7GD4loQ/edit?usp=sharing"",""กำแพงเพชร!I115"")"),1)</f>
        <v>1</v>
      </c>
      <c r="AV14" s="181">
        <f ca="1">IFERROR(__xludf.DUMMYFUNCTION("IMPORTRANGE(""https://docs.google.com/spreadsheets/d/1KxicF4apzSqm0-jIpmueT4kyZtE-Cwn5zskl7GD4loQ/edit?usp=sharing"",""กำแพงเพชร!J115"")"),0)</f>
        <v>0</v>
      </c>
      <c r="AW14" s="183">
        <f t="shared" ca="1" si="18"/>
        <v>0</v>
      </c>
      <c r="AX14" s="180">
        <f ca="1">IFERROR(__xludf.DUMMYFUNCTION("IMPORTRANGE(""https://docs.google.com/spreadsheets/d/1KxicF4apzSqm0-jIpmueT4kyZtE-Cwn5zskl7GD4loQ/edit?usp=sharing"",""กำแพงเพชร!I116"")"),1)</f>
        <v>1</v>
      </c>
      <c r="AY14" s="181">
        <f ca="1">IFERROR(__xludf.DUMMYFUNCTION("IMPORTRANGE(""https://docs.google.com/spreadsheets/d/1KxicF4apzSqm0-jIpmueT4kyZtE-Cwn5zskl7GD4loQ/edit?usp=sharing"",""กำแพงเพชร!J116"")"),0)</f>
        <v>0</v>
      </c>
      <c r="AZ14" s="183">
        <f t="shared" ca="1" si="20"/>
        <v>0</v>
      </c>
    </row>
    <row r="15" spans="1:52" ht="24" customHeight="1" x14ac:dyDescent="0.3">
      <c r="A15" s="176">
        <v>2</v>
      </c>
      <c r="B15" s="177" t="s">
        <v>37</v>
      </c>
      <c r="C15" s="178">
        <f t="shared" ca="1" si="0"/>
        <v>98460</v>
      </c>
      <c r="D15" s="179">
        <f t="shared" ca="1" si="42"/>
        <v>98460</v>
      </c>
      <c r="E15" s="180">
        <f ca="1">IFERROR(__xludf.DUMMYFUNCTION("IMPORTRANGE(""https://docs.google.com/spreadsheets/d/1MeEWN-I1oV_STSDYn1IFDPWt_1FKiwhDph83XaGc0o0/edit?usp=sharing"",""งบพรบ!AR15"")"),0)</f>
        <v>0</v>
      </c>
      <c r="F15" s="180">
        <f ca="1">IFERROR(__xludf.DUMMYFUNCTION("IMPORTRANGE(""https://docs.google.com/spreadsheets/d/1MeEWN-I1oV_STSDYn1IFDPWt_1FKiwhDph83XaGc0o0/edit?usp=sharing"",""งบพรบ!AS15"")"),98460)</f>
        <v>98460</v>
      </c>
      <c r="G15" s="180">
        <f ca="1">IFERROR(__xludf.DUMMYFUNCTION("IMPORTRANGE(""https://docs.google.com/spreadsheets/d/1MeEWN-I1oV_STSDYn1IFDPWt_1FKiwhDph83XaGc0o0/edit?usp=sharing"",""งบพรบ!AT15"")"),0)</f>
        <v>0</v>
      </c>
      <c r="H15" s="180">
        <f ca="1">IFERROR(__xludf.DUMMYFUNCTION("IMPORTRANGE(""https://docs.google.com/spreadsheets/d/1MeEWN-I1oV_STSDYn1IFDPWt_1FKiwhDph83XaGc0o0/edit?usp=sharing"",""งบพรบ!AV15"")"),34760)</f>
        <v>34760</v>
      </c>
      <c r="I15" s="180">
        <f ca="1">IFERROR(__xludf.DUMMYFUNCTION("IMPORTRANGE(""https://docs.google.com/spreadsheets/d/1MeEWN-I1oV_STSDYn1IFDPWt_1FKiwhDph83XaGc0o0/edit?usp=sharing"",""งบพรบ!AW15"")"),0)</f>
        <v>0</v>
      </c>
      <c r="J15" s="180">
        <f t="shared" ca="1" si="3"/>
        <v>32100</v>
      </c>
      <c r="K15" s="187">
        <f t="shared" ca="1" si="4"/>
        <v>32.602071907373549</v>
      </c>
      <c r="L15" s="180">
        <f ca="1">IFERROR(__xludf.DUMMYFUNCTION("IMPORTRANGE(""https://docs.google.com/spreadsheets/d/1MeEWN-I1oV_STSDYn1IFDPWt_1FKiwhDph83XaGc0o0/edit?usp=sharing"",""งบพรบ!AX15"")"),32100)</f>
        <v>32100</v>
      </c>
      <c r="M15" s="183">
        <f t="shared" ca="1" si="5"/>
        <v>32.602071907373549</v>
      </c>
      <c r="N15" s="183">
        <f t="shared" ca="1" si="6"/>
        <v>92.34752589182969</v>
      </c>
      <c r="O15" s="184">
        <f ca="1">IFERROR(__xludf.DUMMYFUNCTION("IMPORTRANGE(""https://docs.google.com/spreadsheets/d/1MeEWN-I1oV_STSDYn1IFDPWt_1FKiwhDph83XaGc0o0/edit?usp=sharing"",""งบพรบ!AY15"")"),0)</f>
        <v>0</v>
      </c>
      <c r="P15" s="184">
        <f t="shared" ca="1" si="36"/>
        <v>0</v>
      </c>
      <c r="Q15" s="183">
        <f t="shared" ca="1" si="8"/>
        <v>0</v>
      </c>
      <c r="R15" s="181">
        <f ca="1">IFERROR(__xludf.DUMMYFUNCTION("IMPORTRANGE(""https://docs.google.com/spreadsheets/d/1ZNYWeiFoFA1K1U4xKWqRX29MBvEyRHXORjo734Gnq_c/edit?usp=sharing"",""เชียงราย!I98"")"),45)</f>
        <v>45</v>
      </c>
      <c r="S15" s="181">
        <f ca="1">IFERROR(__xludf.DUMMYFUNCTION("IMPORTRANGE(""https://docs.google.com/spreadsheets/d/1ZNYWeiFoFA1K1U4xKWqRX29MBvEyRHXORjo734Gnq_c/edit?usp=sharing"",""เชียงราย!J98"")"),0)</f>
        <v>0</v>
      </c>
      <c r="T15" s="181">
        <f t="shared" ca="1" si="10"/>
        <v>0</v>
      </c>
      <c r="U15" s="181">
        <f ca="1">IFERROR(__xludf.DUMMYFUNCTION("IMPORTRANGE(""https://docs.google.com/spreadsheets/d/1ZNYWeiFoFA1K1U4xKWqRX29MBvEyRHXORjo734Gnq_c/edit?usp=sharing"",""เชียงราย!I99"")"),15)</f>
        <v>15</v>
      </c>
      <c r="V15" s="181">
        <f ca="1">IFERROR(__xludf.DUMMYFUNCTION("IMPORTRANGE(""https://docs.google.com/spreadsheets/d/1ZNYWeiFoFA1K1U4xKWqRX29MBvEyRHXORjo734Gnq_c/edit?usp=sharing"",""เชียงราย!I100"")"),2)</f>
        <v>2</v>
      </c>
      <c r="W15" s="181">
        <f ca="1">IFERROR(__xludf.DUMMYFUNCTION("IMPORTRANGE(""https://docs.google.com/spreadsheets/d/1ZNYWeiFoFA1K1U4xKWqRX29MBvEyRHXORjo734Gnq_c/edit?usp=sharing"",""เชียงราย!J99"")"),15)</f>
        <v>15</v>
      </c>
      <c r="X15" s="185">
        <f t="shared" ca="1" si="12"/>
        <v>100</v>
      </c>
      <c r="Y15" s="186">
        <f ca="1">IFERROR(__xludf.DUMMYFUNCTION("IMPORTRANGE(""https://docs.google.com/spreadsheets/d/1ZNYWeiFoFA1K1U4xKWqRX29MBvEyRHXORjo734Gnq_c/edit?usp=sharing"",""เชียงราย!J100"")"),0)</f>
        <v>0</v>
      </c>
      <c r="Z15" s="185">
        <f t="shared" ca="1" si="13"/>
        <v>0</v>
      </c>
      <c r="AA15" s="181">
        <f ca="1">IFERROR(__xludf.DUMMYFUNCTION("IMPORTRANGE(""https://docs.google.com/spreadsheets/d/1ZNYWeiFoFA1K1U4xKWqRX29MBvEyRHXORjo734Gnq_c/edit?usp=sharing"",""เชียงราย!I102"")"),45)</f>
        <v>45</v>
      </c>
      <c r="AB15" s="181">
        <f ca="1">IFERROR(__xludf.DUMMYFUNCTION("IMPORTRANGE(""https://docs.google.com/spreadsheets/d/1ZNYWeiFoFA1K1U4xKWqRX29MBvEyRHXORjo734Gnq_c/edit?usp=sharing"",""เชียงราย!I103"")"),15)</f>
        <v>15</v>
      </c>
      <c r="AC15" s="181">
        <f ca="1">IFERROR(__xludf.DUMMYFUNCTION("IMPORTRANGE(""https://docs.google.com/spreadsheets/d/1ZNYWeiFoFA1K1U4xKWqRX29MBvEyRHXORjo734Gnq_c/edit?usp=sharing"",""เชียงราย!J102"")"),0)</f>
        <v>0</v>
      </c>
      <c r="AD15" s="181">
        <f ca="1">IFERROR(__xludf.DUMMYFUNCTION("IMPORTRANGE(""https://docs.google.com/spreadsheets/d/1ZNYWeiFoFA1K1U4xKWqRX29MBvEyRHXORjo734Gnq_c/edit?usp=sharing"",""เชียงราย!J103"")"),15)</f>
        <v>15</v>
      </c>
      <c r="AE15" s="181">
        <f ca="1">IFERROR(__xludf.DUMMYFUNCTION("IMPORTRANGE(""https://docs.google.com/spreadsheets/d/1ZNYWeiFoFA1K1U4xKWqRX29MBvEyRHXORjo734Gnq_c/edit?usp=sharing"",""เชียงราย!J104"")"),15)</f>
        <v>15</v>
      </c>
      <c r="AF15" s="181">
        <f ca="1">IFERROR(__xludf.DUMMYFUNCTION("IMPORTRANGE(""https://docs.google.com/spreadsheets/d/1ZNYWeiFoFA1K1U4xKWqRX29MBvEyRHXORjo734Gnq_c/edit?usp=sharing"",""เชียงราย!I106"")"),1)</f>
        <v>1</v>
      </c>
      <c r="AG15" s="181">
        <f ca="1">IFERROR(__xludf.DUMMYFUNCTION("IMPORTRANGE(""https://docs.google.com/spreadsheets/d/1ZNYWeiFoFA1K1U4xKWqRX29MBvEyRHXORjo734Gnq_c/edit?usp=sharing"",""เชียงราย!J106"")"),0)</f>
        <v>0</v>
      </c>
      <c r="AH15" s="181">
        <f ca="1">IFERROR(__xludf.DUMMYFUNCTION("IMPORTRANGE(""https://docs.google.com/spreadsheets/d/1ZNYWeiFoFA1K1U4xKWqRX29MBvEyRHXORjo734Gnq_c/edit?usp=sharing"",""เชียงราย!J107"")"),0)</f>
        <v>0</v>
      </c>
      <c r="AI15" s="181">
        <f ca="1">IFERROR(__xludf.DUMMYFUNCTION("IMPORTRANGE(""https://docs.google.com/spreadsheets/d/1ZNYWeiFoFA1K1U4xKWqRX29MBvEyRHXORjo734Gnq_c/edit?usp=sharing"",""เชียงราย!I109"")"),1)</f>
        <v>1</v>
      </c>
      <c r="AJ15" s="181">
        <f ca="1">IFERROR(__xludf.DUMMYFUNCTION("IMPORTRANGE(""https://docs.google.com/spreadsheets/d/1ZNYWeiFoFA1K1U4xKWqRX29MBvEyRHXORjo734Gnq_c/edit?usp=sharing"",""เชียงราย!J109"")"),0)</f>
        <v>0</v>
      </c>
      <c r="AK15" s="181">
        <f ca="1">IFERROR(__xludf.DUMMYFUNCTION("IMPORTRANGE(""https://docs.google.com/spreadsheets/d/1ZNYWeiFoFA1K1U4xKWqRX29MBvEyRHXORjo734Gnq_c/edit?usp=sharing"",""เชียงราย!J110"")"),0)</f>
        <v>0</v>
      </c>
      <c r="AL15" s="181">
        <f ca="1">IFERROR(__xludf.DUMMYFUNCTION("IMPORTRANGE(""https://docs.google.com/spreadsheets/d/1ZNYWeiFoFA1K1U4xKWqRX29MBvEyRHXORjo734Gnq_c/edit?usp=sharing"",""เชียงราย!I111"")"),15)</f>
        <v>15</v>
      </c>
      <c r="AM15" s="181">
        <f ca="1">IFERROR(__xludf.DUMMYFUNCTION("IMPORTRANGE(""https://docs.google.com/spreadsheets/d/1ZNYWeiFoFA1K1U4xKWqRX29MBvEyRHXORjo734Gnq_c/edit?usp=sharing"",""เชียงราย!I112"")"),2)</f>
        <v>2</v>
      </c>
      <c r="AN15" s="181">
        <f ca="1">IFERROR(__xludf.DUMMYFUNCTION("IMPORTRANGE(""https://docs.google.com/spreadsheets/d/1ZNYWeiFoFA1K1U4xKWqRX29MBvEyRHXORjo734Gnq_c/edit?usp=sharing"",""เชียงราย!J111"")"),0)</f>
        <v>0</v>
      </c>
      <c r="AO15" s="181">
        <f t="shared" ca="1" si="15"/>
        <v>0</v>
      </c>
      <c r="AP15" s="181">
        <f ca="1">IFERROR(__xludf.DUMMYFUNCTION("IMPORTRANGE(""https://docs.google.com/spreadsheets/d/1ZNYWeiFoFA1K1U4xKWqRX29MBvEyRHXORjo734Gnq_c/edit?usp=sharing"",""เชียงราย!J112"")"),0)</f>
        <v>0</v>
      </c>
      <c r="AQ15" s="185">
        <f t="shared" ca="1" si="16"/>
        <v>0</v>
      </c>
      <c r="AR15" s="181">
        <f ca="1">IFERROR(__xludf.DUMMYFUNCTION("IMPORTRANGE(""https://docs.google.com/spreadsheets/d/1ZNYWeiFoFA1K1U4xKWqRX29MBvEyRHXORjo734Gnq_c/edit?usp=sharing"",""เชียงราย!I113"")"),15)</f>
        <v>15</v>
      </c>
      <c r="AS15" s="181">
        <f ca="1">IFERROR(__xludf.DUMMYFUNCTION("IMPORTRANGE(""https://docs.google.com/spreadsheets/d/1ZNYWeiFoFA1K1U4xKWqRX29MBvEyRHXORjo734Gnq_c/edit?usp=sharing"",""เชียงราย!J113"")"),0)</f>
        <v>0</v>
      </c>
      <c r="AT15" s="181">
        <f ca="1">IFERROR(__xludf.DUMMYFUNCTION("IMPORTRANGE(""https://docs.google.com/spreadsheets/d/1ZNYWeiFoFA1K1U4xKWqRX29MBvEyRHXORjo734Gnq_c/edit?usp=sharing"",""เชียงราย!J114"")"),0)</f>
        <v>0</v>
      </c>
      <c r="AU15" s="181">
        <f ca="1">IFERROR(__xludf.DUMMYFUNCTION("IMPORTRANGE(""https://docs.google.com/spreadsheets/d/1ZNYWeiFoFA1K1U4xKWqRX29MBvEyRHXORjo734Gnq_c/edit?usp=sharing"",""เชียงราย!I115"")"),1)</f>
        <v>1</v>
      </c>
      <c r="AV15" s="181">
        <f ca="1">IFERROR(__xludf.DUMMYFUNCTION("IMPORTRANGE(""https://docs.google.com/spreadsheets/d/1ZNYWeiFoFA1K1U4xKWqRX29MBvEyRHXORjo734Gnq_c/edit?usp=sharing"",""เชียงราย!J115"")"),0)</f>
        <v>0</v>
      </c>
      <c r="AW15" s="185">
        <f t="shared" ca="1" si="18"/>
        <v>0</v>
      </c>
      <c r="AX15" s="181">
        <f ca="1">IFERROR(__xludf.DUMMYFUNCTION("IMPORTRANGE(""https://docs.google.com/spreadsheets/d/1ZNYWeiFoFA1K1U4xKWqRX29MBvEyRHXORjo734Gnq_c/edit?usp=sharing"",""เชียงราย!I116"")"),1)</f>
        <v>1</v>
      </c>
      <c r="AY15" s="181">
        <f ca="1">IFERROR(__xludf.DUMMYFUNCTION("IMPORTRANGE(""https://docs.google.com/spreadsheets/d/1ZNYWeiFoFA1K1U4xKWqRX29MBvEyRHXORjo734Gnq_c/edit?usp=sharing"",""เชียงราย!J116"")"),0)</f>
        <v>0</v>
      </c>
      <c r="AZ15" s="185">
        <f t="shared" ca="1" si="20"/>
        <v>0</v>
      </c>
    </row>
    <row r="16" spans="1:52" ht="24" customHeight="1" x14ac:dyDescent="0.3">
      <c r="A16" s="176">
        <v>3</v>
      </c>
      <c r="B16" s="177" t="s">
        <v>38</v>
      </c>
      <c r="C16" s="178">
        <f t="shared" ca="1" si="0"/>
        <v>86040</v>
      </c>
      <c r="D16" s="179">
        <f t="shared" ca="1" si="42"/>
        <v>86040</v>
      </c>
      <c r="E16" s="180">
        <f ca="1">IFERROR(__xludf.DUMMYFUNCTION("IMPORTRANGE(""https://docs.google.com/spreadsheets/d/1MeEWN-I1oV_STSDYn1IFDPWt_1FKiwhDph83XaGc0o0/edit?usp=sharing"",""งบพรบ!AR16"")"),0)</f>
        <v>0</v>
      </c>
      <c r="F16" s="180">
        <f ca="1">IFERROR(__xludf.DUMMYFUNCTION("IMPORTRANGE(""https://docs.google.com/spreadsheets/d/1MeEWN-I1oV_STSDYn1IFDPWt_1FKiwhDph83XaGc0o0/edit?usp=sharing"",""งบพรบ!AS16"")"),86040)</f>
        <v>86040</v>
      </c>
      <c r="G16" s="180">
        <f ca="1">IFERROR(__xludf.DUMMYFUNCTION("IMPORTRANGE(""https://docs.google.com/spreadsheets/d/1MeEWN-I1oV_STSDYn1IFDPWt_1FKiwhDph83XaGc0o0/edit?usp=sharing"",""งบพรบ!AT16"")"),0)</f>
        <v>0</v>
      </c>
      <c r="H16" s="180">
        <f ca="1">IFERROR(__xludf.DUMMYFUNCTION("IMPORTRANGE(""https://docs.google.com/spreadsheets/d/1MeEWN-I1oV_STSDYn1IFDPWt_1FKiwhDph83XaGc0o0/edit?usp=sharing"",""งบพรบ!AV16"")"),23840)</f>
        <v>23840</v>
      </c>
      <c r="I16" s="180">
        <f ca="1">IFERROR(__xludf.DUMMYFUNCTION("IMPORTRANGE(""https://docs.google.com/spreadsheets/d/1MeEWN-I1oV_STSDYn1IFDPWt_1FKiwhDph83XaGc0o0/edit?usp=sharing"",""งบพรบ!AW16"")"),0)</f>
        <v>0</v>
      </c>
      <c r="J16" s="180">
        <f t="shared" ca="1" si="3"/>
        <v>21840</v>
      </c>
      <c r="K16" s="187">
        <f t="shared" ca="1" si="4"/>
        <v>25.383542538354252</v>
      </c>
      <c r="L16" s="180">
        <f ca="1">IFERROR(__xludf.DUMMYFUNCTION("IMPORTRANGE(""https://docs.google.com/spreadsheets/d/1MeEWN-I1oV_STSDYn1IFDPWt_1FKiwhDph83XaGc0o0/edit?usp=sharing"",""งบพรบ!AX16"")"),21840)</f>
        <v>21840</v>
      </c>
      <c r="M16" s="183">
        <f t="shared" ca="1" si="5"/>
        <v>25.383542538354252</v>
      </c>
      <c r="N16" s="183">
        <f t="shared" ca="1" si="6"/>
        <v>91.610738255033553</v>
      </c>
      <c r="O16" s="184">
        <f ca="1">IFERROR(__xludf.DUMMYFUNCTION("IMPORTRANGE(""https://docs.google.com/spreadsheets/d/1MeEWN-I1oV_STSDYn1IFDPWt_1FKiwhDph83XaGc0o0/edit?usp=sharing"",""งบพรบ!AY16"")"),0)</f>
        <v>0</v>
      </c>
      <c r="P16" s="184">
        <f t="shared" ca="1" si="36"/>
        <v>0</v>
      </c>
      <c r="Q16" s="183">
        <f t="shared" ca="1" si="8"/>
        <v>0</v>
      </c>
      <c r="R16" s="181">
        <f ca="1">IFERROR(__xludf.DUMMYFUNCTION("IMPORTRANGE(""https://docs.google.com/spreadsheets/d/1Jgv0Y7YlHDtsiDawwp-uvifEJ8HVaSn0k2aGHG8-hwM/edit?usp=sharing"",""เชียงใหม่!I98"")"),30)</f>
        <v>30</v>
      </c>
      <c r="S16" s="181">
        <f ca="1">IFERROR(__xludf.DUMMYFUNCTION("IMPORTRANGE(""https://docs.google.com/spreadsheets/d/1Jgv0Y7YlHDtsiDawwp-uvifEJ8HVaSn0k2aGHG8-hwM/edit?usp=sharing"",""เชียงใหม่!J98"")"),30)</f>
        <v>30</v>
      </c>
      <c r="T16" s="181">
        <f t="shared" ca="1" si="10"/>
        <v>100</v>
      </c>
      <c r="U16" s="181">
        <f ca="1">IFERROR(__xludf.DUMMYFUNCTION("IMPORTRANGE(""https://docs.google.com/spreadsheets/d/1Jgv0Y7YlHDtsiDawwp-uvifEJ8HVaSn0k2aGHG8-hwM/edit?usp=sharing"",""เชียงใหม่!I99"")"),10)</f>
        <v>10</v>
      </c>
      <c r="V16" s="181">
        <f ca="1">IFERROR(__xludf.DUMMYFUNCTION("IMPORTRANGE(""https://docs.google.com/spreadsheets/d/1Jgv0Y7YlHDtsiDawwp-uvifEJ8HVaSn0k2aGHG8-hwM/edit?usp=sharing"",""เชียงใหม่!I100"")"),2)</f>
        <v>2</v>
      </c>
      <c r="W16" s="181">
        <f ca="1">IFERROR(__xludf.DUMMYFUNCTION("IMPORTRANGE(""https://docs.google.com/spreadsheets/d/1Jgv0Y7YlHDtsiDawwp-uvifEJ8HVaSn0k2aGHG8-hwM/edit?usp=sharing"",""เชียงใหม่!J99"")"),10)</f>
        <v>10</v>
      </c>
      <c r="X16" s="185">
        <f t="shared" ca="1" si="12"/>
        <v>100</v>
      </c>
      <c r="Y16" s="186">
        <f ca="1">IFERROR(__xludf.DUMMYFUNCTION("IMPORTRANGE(""https://docs.google.com/spreadsheets/d/1Jgv0Y7YlHDtsiDawwp-uvifEJ8HVaSn0k2aGHG8-hwM/edit?usp=sharing"",""เชียงใหม่!J100"")"),0)</f>
        <v>0</v>
      </c>
      <c r="Z16" s="185">
        <f t="shared" ca="1" si="13"/>
        <v>0</v>
      </c>
      <c r="AA16" s="180">
        <f ca="1">IFERROR(__xludf.DUMMYFUNCTION("IMPORTRANGE(""https://docs.google.com/spreadsheets/d/1Jgv0Y7YlHDtsiDawwp-uvifEJ8HVaSn0k2aGHG8-hwM/edit?usp=sharing"",""เชียงใหม่!I102"")"),30)</f>
        <v>30</v>
      </c>
      <c r="AB16" s="180">
        <f ca="1">IFERROR(__xludf.DUMMYFUNCTION("IMPORTRANGE(""https://docs.google.com/spreadsheets/d/1Jgv0Y7YlHDtsiDawwp-uvifEJ8HVaSn0k2aGHG8-hwM/edit?usp=sharing"",""เชียงใหม่!I103"")"),10)</f>
        <v>10</v>
      </c>
      <c r="AC16" s="181">
        <f ca="1">IFERROR(__xludf.DUMMYFUNCTION("IMPORTRANGE(""https://docs.google.com/spreadsheets/d/1Jgv0Y7YlHDtsiDawwp-uvifEJ8HVaSn0k2aGHG8-hwM/edit?usp=sharing"",""เชียงใหม่!J102"")"),30)</f>
        <v>30</v>
      </c>
      <c r="AD16" s="181">
        <f ca="1">IFERROR(__xludf.DUMMYFUNCTION("IMPORTRANGE(""https://docs.google.com/spreadsheets/d/1Jgv0Y7YlHDtsiDawwp-uvifEJ8HVaSn0k2aGHG8-hwM/edit?usp=sharing"",""เชียงใหม่!J103"")"),10)</f>
        <v>10</v>
      </c>
      <c r="AE16" s="181">
        <f ca="1">IFERROR(__xludf.DUMMYFUNCTION("IMPORTRANGE(""https://docs.google.com/spreadsheets/d/1Jgv0Y7YlHDtsiDawwp-uvifEJ8HVaSn0k2aGHG8-hwM/edit?usp=sharing"",""เชียงใหม่!J104"")"),10)</f>
        <v>10</v>
      </c>
      <c r="AF16" s="180">
        <f ca="1">IFERROR(__xludf.DUMMYFUNCTION("IMPORTRANGE(""https://docs.google.com/spreadsheets/d/1Jgv0Y7YlHDtsiDawwp-uvifEJ8HVaSn0k2aGHG8-hwM/edit?usp=sharing"",""เชียงใหม่!I106"")"),1)</f>
        <v>1</v>
      </c>
      <c r="AG16" s="181">
        <f ca="1">IFERROR(__xludf.DUMMYFUNCTION("IMPORTRANGE(""https://docs.google.com/spreadsheets/d/1Jgv0Y7YlHDtsiDawwp-uvifEJ8HVaSn0k2aGHG8-hwM/edit?usp=sharing"",""เชียงใหม่!J106"")"),0)</f>
        <v>0</v>
      </c>
      <c r="AH16" s="181">
        <f ca="1">IFERROR(__xludf.DUMMYFUNCTION("IMPORTRANGE(""https://docs.google.com/spreadsheets/d/1Jgv0Y7YlHDtsiDawwp-uvifEJ8HVaSn0k2aGHG8-hwM/edit?usp=sharing"",""เชียงใหม่!J107"")"),0)</f>
        <v>0</v>
      </c>
      <c r="AI16" s="180">
        <f ca="1">IFERROR(__xludf.DUMMYFUNCTION("IMPORTRANGE(""https://docs.google.com/spreadsheets/d/1Jgv0Y7YlHDtsiDawwp-uvifEJ8HVaSn0k2aGHG8-hwM/edit?usp=sharing"",""เชียงใหม่!I109"")"),1)</f>
        <v>1</v>
      </c>
      <c r="AJ16" s="181">
        <f ca="1">IFERROR(__xludf.DUMMYFUNCTION("IMPORTRANGE(""https://docs.google.com/spreadsheets/d/1Jgv0Y7YlHDtsiDawwp-uvifEJ8HVaSn0k2aGHG8-hwM/edit?usp=sharing"",""เชียงใหม่!J109"")"),0)</f>
        <v>0</v>
      </c>
      <c r="AK16" s="181">
        <f ca="1">IFERROR(__xludf.DUMMYFUNCTION("IMPORTRANGE(""https://docs.google.com/spreadsheets/d/1Jgv0Y7YlHDtsiDawwp-uvifEJ8HVaSn0k2aGHG8-hwM/edit?usp=sharing"",""เชียงใหม่!J110"")"),0)</f>
        <v>0</v>
      </c>
      <c r="AL16" s="180">
        <f ca="1">IFERROR(__xludf.DUMMYFUNCTION("IMPORTRANGE(""https://docs.google.com/spreadsheets/d/1Jgv0Y7YlHDtsiDawwp-uvifEJ8HVaSn0k2aGHG8-hwM/edit?usp=sharing"",""เชียงใหม่!I111"")"),10)</f>
        <v>10</v>
      </c>
      <c r="AM16" s="180">
        <f ca="1">IFERROR(__xludf.DUMMYFUNCTION("IMPORTRANGE(""https://docs.google.com/spreadsheets/d/1Jgv0Y7YlHDtsiDawwp-uvifEJ8HVaSn0k2aGHG8-hwM/edit?usp=sharing"",""เชียงใหม่!I112"")"),2)</f>
        <v>2</v>
      </c>
      <c r="AN16" s="181">
        <f ca="1">IFERROR(__xludf.DUMMYFUNCTION("IMPORTRANGE(""https://docs.google.com/spreadsheets/d/1Jgv0Y7YlHDtsiDawwp-uvifEJ8HVaSn0k2aGHG8-hwM/edit?usp=sharing"",""เชียงใหม่!J111"")"),0)</f>
        <v>0</v>
      </c>
      <c r="AO16" s="181">
        <f t="shared" ca="1" si="15"/>
        <v>0</v>
      </c>
      <c r="AP16" s="181">
        <f ca="1">IFERROR(__xludf.DUMMYFUNCTION("IMPORTRANGE(""https://docs.google.com/spreadsheets/d/1Jgv0Y7YlHDtsiDawwp-uvifEJ8HVaSn0k2aGHG8-hwM/edit?usp=sharing"",""เชียงใหม่!J112"")"),0)</f>
        <v>0</v>
      </c>
      <c r="AQ16" s="183">
        <f t="shared" ca="1" si="16"/>
        <v>0</v>
      </c>
      <c r="AR16" s="180">
        <f ca="1">IFERROR(__xludf.DUMMYFUNCTION("IMPORTRANGE(""https://docs.google.com/spreadsheets/d/1Jgv0Y7YlHDtsiDawwp-uvifEJ8HVaSn0k2aGHG8-hwM/edit?usp=sharing"",""เชียงใหม่!I113"")"),10)</f>
        <v>10</v>
      </c>
      <c r="AS16" s="180">
        <f ca="1">IFERROR(__xludf.DUMMYFUNCTION("IMPORTRANGE(""https://docs.google.com/spreadsheets/d/1Jgv0Y7YlHDtsiDawwp-uvifEJ8HVaSn0k2aGHG8-hwM/edit?usp=sharing"",""เชียงใหม่!J113"")"),0)</f>
        <v>0</v>
      </c>
      <c r="AT16" s="180">
        <f ca="1">IFERROR(__xludf.DUMMYFUNCTION("IMPORTRANGE(""https://docs.google.com/spreadsheets/d/1Jgv0Y7YlHDtsiDawwp-uvifEJ8HVaSn0k2aGHG8-hwM/edit?usp=sharing"",""เชียงใหม่!J114"")"),0)</f>
        <v>0</v>
      </c>
      <c r="AU16" s="180">
        <f ca="1">IFERROR(__xludf.DUMMYFUNCTION("IMPORTRANGE(""https://docs.google.com/spreadsheets/d/1Jgv0Y7YlHDtsiDawwp-uvifEJ8HVaSn0k2aGHG8-hwM/edit?usp=sharing"",""เชียงใหม่!I115"")"),1)</f>
        <v>1</v>
      </c>
      <c r="AV16" s="181">
        <f ca="1">IFERROR(__xludf.DUMMYFUNCTION("IMPORTRANGE(""https://docs.google.com/spreadsheets/d/1Jgv0Y7YlHDtsiDawwp-uvifEJ8HVaSn0k2aGHG8-hwM/edit?usp=sharing"",""เชียงใหม่!J115"")"),0)</f>
        <v>0</v>
      </c>
      <c r="AW16" s="183">
        <f t="shared" ca="1" si="18"/>
        <v>0</v>
      </c>
      <c r="AX16" s="180">
        <f ca="1">IFERROR(__xludf.DUMMYFUNCTION("IMPORTRANGE(""https://docs.google.com/spreadsheets/d/1Jgv0Y7YlHDtsiDawwp-uvifEJ8HVaSn0k2aGHG8-hwM/edit?usp=sharing"",""เชียงใหม่!I116"")"),1)</f>
        <v>1</v>
      </c>
      <c r="AY16" s="181">
        <f ca="1">IFERROR(__xludf.DUMMYFUNCTION("IMPORTRANGE(""https://docs.google.com/spreadsheets/d/1Jgv0Y7YlHDtsiDawwp-uvifEJ8HVaSn0k2aGHG8-hwM/edit?usp=sharing"",""เชียงใหม่!J116"")"),0)</f>
        <v>0</v>
      </c>
      <c r="AZ16" s="183">
        <f t="shared" ca="1" si="20"/>
        <v>0</v>
      </c>
    </row>
    <row r="17" spans="1:52" ht="24" customHeight="1" x14ac:dyDescent="0.3">
      <c r="A17" s="176">
        <v>4</v>
      </c>
      <c r="B17" s="177" t="s">
        <v>39</v>
      </c>
      <c r="C17" s="178">
        <f t="shared" ca="1" si="0"/>
        <v>56040</v>
      </c>
      <c r="D17" s="179">
        <f t="shared" ca="1" si="42"/>
        <v>56040</v>
      </c>
      <c r="E17" s="180">
        <f ca="1">IFERROR(__xludf.DUMMYFUNCTION("IMPORTRANGE(""https://docs.google.com/spreadsheets/d/1MeEWN-I1oV_STSDYn1IFDPWt_1FKiwhDph83XaGc0o0/edit?usp=sharing"",""งบพรบ!AR17"")"),0)</f>
        <v>0</v>
      </c>
      <c r="F17" s="180">
        <f ca="1">IFERROR(__xludf.DUMMYFUNCTION("IMPORTRANGE(""https://docs.google.com/spreadsheets/d/1MeEWN-I1oV_STSDYn1IFDPWt_1FKiwhDph83XaGc0o0/edit?usp=sharing"",""งบพรบ!AS17"")"),56040)</f>
        <v>56040</v>
      </c>
      <c r="G17" s="180">
        <f ca="1">IFERROR(__xludf.DUMMYFUNCTION("IMPORTRANGE(""https://docs.google.com/spreadsheets/d/1MeEWN-I1oV_STSDYn1IFDPWt_1FKiwhDph83XaGc0o0/edit?usp=sharing"",""งบพรบ!AT17"")"),0)</f>
        <v>0</v>
      </c>
      <c r="H17" s="180">
        <f ca="1">IFERROR(__xludf.DUMMYFUNCTION("IMPORTRANGE(""https://docs.google.com/spreadsheets/d/1MeEWN-I1oV_STSDYn1IFDPWt_1FKiwhDph83XaGc0o0/edit?usp=sharing"",""งบพรบ!AV17"")"),51190)</f>
        <v>51190</v>
      </c>
      <c r="I17" s="180">
        <f ca="1">IFERROR(__xludf.DUMMYFUNCTION("IMPORTRANGE(""https://docs.google.com/spreadsheets/d/1MeEWN-I1oV_STSDYn1IFDPWt_1FKiwhDph83XaGc0o0/edit?usp=sharing"",""งบพรบ!AW17"")"),0)</f>
        <v>0</v>
      </c>
      <c r="J17" s="180">
        <f t="shared" ca="1" si="3"/>
        <v>44905</v>
      </c>
      <c r="K17" s="187">
        <f t="shared" ca="1" si="4"/>
        <v>80.130264097073521</v>
      </c>
      <c r="L17" s="180">
        <f ca="1">IFERROR(__xludf.DUMMYFUNCTION("IMPORTRANGE(""https://docs.google.com/spreadsheets/d/1MeEWN-I1oV_STSDYn1IFDPWt_1FKiwhDph83XaGc0o0/edit?usp=sharing"",""งบพรบ!AX17"")"),44905)</f>
        <v>44905</v>
      </c>
      <c r="M17" s="183">
        <f t="shared" ca="1" si="5"/>
        <v>80.130264097073521</v>
      </c>
      <c r="N17" s="183">
        <f t="shared" ca="1" si="6"/>
        <v>87.722211369408086</v>
      </c>
      <c r="O17" s="184">
        <f ca="1">IFERROR(__xludf.DUMMYFUNCTION("IMPORTRANGE(""https://docs.google.com/spreadsheets/d/1MeEWN-I1oV_STSDYn1IFDPWt_1FKiwhDph83XaGc0o0/edit?usp=sharing"",""งบพรบ!AY17"")"),0)</f>
        <v>0</v>
      </c>
      <c r="P17" s="184">
        <f t="shared" ca="1" si="36"/>
        <v>0</v>
      </c>
      <c r="Q17" s="183">
        <f t="shared" ca="1" si="8"/>
        <v>0</v>
      </c>
      <c r="R17" s="181">
        <f ca="1">IFERROR(__xludf.DUMMYFUNCTION("IMPORTRANGE(""https://docs.google.com/spreadsheets/d/1JWG2rZePOz9pe-f-ObA-yDr0VoOX2kSb0qIix2mTUo8/edit?usp=sharing"",""ตาก!I98"")"),30)</f>
        <v>30</v>
      </c>
      <c r="S17" s="181">
        <f ca="1">IFERROR(__xludf.DUMMYFUNCTION("IMPORTRANGE(""https://docs.google.com/spreadsheets/d/1JWG2rZePOz9pe-f-ObA-yDr0VoOX2kSb0qIix2mTUo8/edit?usp=sharing"",""ตาก!J98"")"),30)</f>
        <v>30</v>
      </c>
      <c r="T17" s="181">
        <f t="shared" ca="1" si="10"/>
        <v>100</v>
      </c>
      <c r="U17" s="181">
        <f ca="1">IFERROR(__xludf.DUMMYFUNCTION("IMPORTRANGE(""https://docs.google.com/spreadsheets/d/1JWG2rZePOz9pe-f-ObA-yDr0VoOX2kSb0qIix2mTUo8/edit?usp=sharing"",""ตาก!I99"")"),10)</f>
        <v>10</v>
      </c>
      <c r="V17" s="181">
        <f ca="1">IFERROR(__xludf.DUMMYFUNCTION("IMPORTRANGE(""https://docs.google.com/spreadsheets/d/1JWG2rZePOz9pe-f-ObA-yDr0VoOX2kSb0qIix2mTUo8/edit?usp=sharing"",""ตาก!I100"")"),1)</f>
        <v>1</v>
      </c>
      <c r="W17" s="181">
        <f ca="1">IFERROR(__xludf.DUMMYFUNCTION("IMPORTRANGE(""https://docs.google.com/spreadsheets/d/1JWG2rZePOz9pe-f-ObA-yDr0VoOX2kSb0qIix2mTUo8/edit?usp=sharing"",""ตาก!J99"")"),10)</f>
        <v>10</v>
      </c>
      <c r="X17" s="185">
        <f t="shared" ca="1" si="12"/>
        <v>100</v>
      </c>
      <c r="Y17" s="186">
        <f ca="1">IFERROR(__xludf.DUMMYFUNCTION("IMPORTRANGE(""https://docs.google.com/spreadsheets/d/1JWG2rZePOz9pe-f-ObA-yDr0VoOX2kSb0qIix2mTUo8/edit?usp=sharing"",""ตาก!J100"")"),1)</f>
        <v>1</v>
      </c>
      <c r="Z17" s="185">
        <f t="shared" ca="1" si="13"/>
        <v>100</v>
      </c>
      <c r="AA17" s="180">
        <f ca="1">IFERROR(__xludf.DUMMYFUNCTION("IMPORTRANGE(""https://docs.google.com/spreadsheets/d/1JWG2rZePOz9pe-f-ObA-yDr0VoOX2kSb0qIix2mTUo8/edit?usp=sharing"",""ตาก!I102"")"),30)</f>
        <v>30</v>
      </c>
      <c r="AB17" s="180">
        <f ca="1">IFERROR(__xludf.DUMMYFUNCTION("IMPORTRANGE(""https://docs.google.com/spreadsheets/d/1JWG2rZePOz9pe-f-ObA-yDr0VoOX2kSb0qIix2mTUo8/edit?usp=sharing"",""ตาก!I103"")"),10)</f>
        <v>10</v>
      </c>
      <c r="AC17" s="181">
        <f ca="1">IFERROR(__xludf.DUMMYFUNCTION("IMPORTRANGE(""https://docs.google.com/spreadsheets/d/1JWG2rZePOz9pe-f-ObA-yDr0VoOX2kSb0qIix2mTUo8/edit?usp=sharing"",""ตาก!J102"")"),30)</f>
        <v>30</v>
      </c>
      <c r="AD17" s="181">
        <f ca="1">IFERROR(__xludf.DUMMYFUNCTION("IMPORTRANGE(""https://docs.google.com/spreadsheets/d/1JWG2rZePOz9pe-f-ObA-yDr0VoOX2kSb0qIix2mTUo8/edit?usp=sharing"",""ตาก!J103"")"),10)</f>
        <v>10</v>
      </c>
      <c r="AE17" s="181">
        <f ca="1">IFERROR(__xludf.DUMMYFUNCTION("IMPORTRANGE(""https://docs.google.com/spreadsheets/d/1JWG2rZePOz9pe-f-ObA-yDr0VoOX2kSb0qIix2mTUo8/edit?usp=sharing"",""ตาก!J104"")"),10)</f>
        <v>10</v>
      </c>
      <c r="AF17" s="180">
        <f ca="1">IFERROR(__xludf.DUMMYFUNCTION("IMPORTRANGE(""https://docs.google.com/spreadsheets/d/1JWG2rZePOz9pe-f-ObA-yDr0VoOX2kSb0qIix2mTUo8/edit?usp=sharing"",""ตาก!I106"")"),0)</f>
        <v>0</v>
      </c>
      <c r="AG17" s="181">
        <f ca="1">IFERROR(__xludf.DUMMYFUNCTION("IMPORTRANGE(""https://docs.google.com/spreadsheets/d/1JWG2rZePOz9pe-f-ObA-yDr0VoOX2kSb0qIix2mTUo8/edit?usp=sharing"",""ตาก!J106"")"),0)</f>
        <v>0</v>
      </c>
      <c r="AH17" s="181">
        <f ca="1">IFERROR(__xludf.DUMMYFUNCTION("IMPORTRANGE(""https://docs.google.com/spreadsheets/d/1JWG2rZePOz9pe-f-ObA-yDr0VoOX2kSb0qIix2mTUo8/edit?usp=sharing"",""ตาก!J107"")"),0)</f>
        <v>0</v>
      </c>
      <c r="AI17" s="180">
        <f ca="1">IFERROR(__xludf.DUMMYFUNCTION("IMPORTRANGE(""https://docs.google.com/spreadsheets/d/1JWG2rZePOz9pe-f-ObA-yDr0VoOX2kSb0qIix2mTUo8/edit?usp=sharing"",""ตาก!I109"")"),1)</f>
        <v>1</v>
      </c>
      <c r="AJ17" s="181">
        <f ca="1">IFERROR(__xludf.DUMMYFUNCTION("IMPORTRANGE(""https://docs.google.com/spreadsheets/d/1JWG2rZePOz9pe-f-ObA-yDr0VoOX2kSb0qIix2mTUo8/edit?usp=sharing"",""ตาก!J109"")"),1)</f>
        <v>1</v>
      </c>
      <c r="AK17" s="181">
        <f ca="1">IFERROR(__xludf.DUMMYFUNCTION("IMPORTRANGE(""https://docs.google.com/spreadsheets/d/1JWG2rZePOz9pe-f-ObA-yDr0VoOX2kSb0qIix2mTUo8/edit?usp=sharing"",""ตาก!J110"")"),1)</f>
        <v>1</v>
      </c>
      <c r="AL17" s="180">
        <f ca="1">IFERROR(__xludf.DUMMYFUNCTION("IMPORTRANGE(""https://docs.google.com/spreadsheets/d/1JWG2rZePOz9pe-f-ObA-yDr0VoOX2kSb0qIix2mTUo8/edit?usp=sharing"",""ตาก!I111"")"),10)</f>
        <v>10</v>
      </c>
      <c r="AM17" s="180">
        <f ca="1">IFERROR(__xludf.DUMMYFUNCTION("IMPORTRANGE(""https://docs.google.com/spreadsheets/d/1JWG2rZePOz9pe-f-ObA-yDr0VoOX2kSb0qIix2mTUo8/edit?usp=sharing"",""ตาก!I112"")"),1)</f>
        <v>1</v>
      </c>
      <c r="AN17" s="181">
        <f ca="1">IFERROR(__xludf.DUMMYFUNCTION("IMPORTRANGE(""https://docs.google.com/spreadsheets/d/1JWG2rZePOz9pe-f-ObA-yDr0VoOX2kSb0qIix2mTUo8/edit?usp=sharing"",""ตาก!J111"")"),0)</f>
        <v>0</v>
      </c>
      <c r="AO17" s="181">
        <f t="shared" ca="1" si="15"/>
        <v>0</v>
      </c>
      <c r="AP17" s="181">
        <f ca="1">IFERROR(__xludf.DUMMYFUNCTION("IMPORTRANGE(""https://docs.google.com/spreadsheets/d/1JWG2rZePOz9pe-f-ObA-yDr0VoOX2kSb0qIix2mTUo8/edit?usp=sharing"",""ตาก!J112"")"),0)</f>
        <v>0</v>
      </c>
      <c r="AQ17" s="183">
        <f t="shared" ca="1" si="16"/>
        <v>0</v>
      </c>
      <c r="AR17" s="180">
        <f ca="1">IFERROR(__xludf.DUMMYFUNCTION("IMPORTRANGE(""https://docs.google.com/spreadsheets/d/1JWG2rZePOz9pe-f-ObA-yDr0VoOX2kSb0qIix2mTUo8/edit?usp=sharing"",""ตาก!I113"")"),10)</f>
        <v>10</v>
      </c>
      <c r="AS17" s="180">
        <f ca="1">IFERROR(__xludf.DUMMYFUNCTION("IMPORTRANGE(""https://docs.google.com/spreadsheets/d/1JWG2rZePOz9pe-f-ObA-yDr0VoOX2kSb0qIix2mTUo8/edit?usp=sharing"",""ตาก!J113"")"),0)</f>
        <v>0</v>
      </c>
      <c r="AT17" s="180">
        <f ca="1">IFERROR(__xludf.DUMMYFUNCTION("IMPORTRANGE(""https://docs.google.com/spreadsheets/d/1JWG2rZePOz9pe-f-ObA-yDr0VoOX2kSb0qIix2mTUo8/edit?usp=sharing"",""ตาก!J114"")"),0)</f>
        <v>0</v>
      </c>
      <c r="AU17" s="180">
        <f ca="1">IFERROR(__xludf.DUMMYFUNCTION("IMPORTRANGE(""https://docs.google.com/spreadsheets/d/1JWG2rZePOz9pe-f-ObA-yDr0VoOX2kSb0qIix2mTUo8/edit?usp=sharing"",""ตาก!I115"")"),0)</f>
        <v>0</v>
      </c>
      <c r="AV17" s="181">
        <f ca="1">IFERROR(__xludf.DUMMYFUNCTION("IMPORTRANGE(""https://docs.google.com/spreadsheets/d/1JWG2rZePOz9pe-f-ObA-yDr0VoOX2kSb0qIix2mTUo8/edit?usp=sharing"",""ตาก!J115"")"),0)</f>
        <v>0</v>
      </c>
      <c r="AW17" s="183">
        <f t="shared" ca="1" si="18"/>
        <v>0</v>
      </c>
      <c r="AX17" s="180">
        <f ca="1">IFERROR(__xludf.DUMMYFUNCTION("IMPORTRANGE(""https://docs.google.com/spreadsheets/d/1JWG2rZePOz9pe-f-ObA-yDr0VoOX2kSb0qIix2mTUo8/edit?usp=sharing"",""ตาก!I116"")"),1)</f>
        <v>1</v>
      </c>
      <c r="AY17" s="181">
        <f ca="1">IFERROR(__xludf.DUMMYFUNCTION("IMPORTRANGE(""https://docs.google.com/spreadsheets/d/1JWG2rZePOz9pe-f-ObA-yDr0VoOX2kSb0qIix2mTUo8/edit?usp=sharing"",""ตาก!J116"")"),0)</f>
        <v>0</v>
      </c>
      <c r="AZ17" s="183">
        <f t="shared" ca="1" si="20"/>
        <v>0</v>
      </c>
    </row>
    <row r="18" spans="1:52" ht="24" customHeight="1" x14ac:dyDescent="0.3">
      <c r="A18" s="176">
        <v>5</v>
      </c>
      <c r="B18" s="177" t="s">
        <v>40</v>
      </c>
      <c r="C18" s="178">
        <f t="shared" ca="1" si="0"/>
        <v>86040</v>
      </c>
      <c r="D18" s="179">
        <f t="shared" ca="1" si="42"/>
        <v>86040</v>
      </c>
      <c r="E18" s="180">
        <f ca="1">IFERROR(__xludf.DUMMYFUNCTION("IMPORTRANGE(""https://docs.google.com/spreadsheets/d/1MeEWN-I1oV_STSDYn1IFDPWt_1FKiwhDph83XaGc0o0/edit?usp=sharing"",""งบพรบ!AR18"")"),0)</f>
        <v>0</v>
      </c>
      <c r="F18" s="180">
        <f ca="1">IFERROR(__xludf.DUMMYFUNCTION("IMPORTRANGE(""https://docs.google.com/spreadsheets/d/1MeEWN-I1oV_STSDYn1IFDPWt_1FKiwhDph83XaGc0o0/edit?usp=sharing"",""งบพรบ!AS18"")"),86040)</f>
        <v>86040</v>
      </c>
      <c r="G18" s="180">
        <f ca="1">IFERROR(__xludf.DUMMYFUNCTION("IMPORTRANGE(""https://docs.google.com/spreadsheets/d/1MeEWN-I1oV_STSDYn1IFDPWt_1FKiwhDph83XaGc0o0/edit?usp=sharing"",""งบพรบ!AT18"")"),0)</f>
        <v>0</v>
      </c>
      <c r="H18" s="180">
        <f ca="1">IFERROR(__xludf.DUMMYFUNCTION("IMPORTRANGE(""https://docs.google.com/spreadsheets/d/1MeEWN-I1oV_STSDYn1IFDPWt_1FKiwhDph83XaGc0o0/edit?usp=sharing"",""งบพรบ!AV18"")"),23840)</f>
        <v>23840</v>
      </c>
      <c r="I18" s="180">
        <f ca="1">IFERROR(__xludf.DUMMYFUNCTION("IMPORTRANGE(""https://docs.google.com/spreadsheets/d/1MeEWN-I1oV_STSDYn1IFDPWt_1FKiwhDph83XaGc0o0/edit?usp=sharing"",""งบพรบ!AW18"")"),0)</f>
        <v>0</v>
      </c>
      <c r="J18" s="180">
        <f t="shared" ca="1" si="3"/>
        <v>19579</v>
      </c>
      <c r="K18" s="187">
        <f t="shared" ca="1" si="4"/>
        <v>22.755695025569501</v>
      </c>
      <c r="L18" s="180">
        <f ca="1">IFERROR(__xludf.DUMMYFUNCTION("IMPORTRANGE(""https://docs.google.com/spreadsheets/d/1MeEWN-I1oV_STSDYn1IFDPWt_1FKiwhDph83XaGc0o0/edit?usp=sharing"",""งบพรบ!AX18"")"),19579)</f>
        <v>19579</v>
      </c>
      <c r="M18" s="183">
        <f t="shared" ca="1" si="5"/>
        <v>22.755695025569501</v>
      </c>
      <c r="N18" s="183">
        <f t="shared" ca="1" si="6"/>
        <v>82.12667785234899</v>
      </c>
      <c r="O18" s="184">
        <f ca="1">IFERROR(__xludf.DUMMYFUNCTION("IMPORTRANGE(""https://docs.google.com/spreadsheets/d/1MeEWN-I1oV_STSDYn1IFDPWt_1FKiwhDph83XaGc0o0/edit?usp=sharing"",""งบพรบ!AY18"")"),0)</f>
        <v>0</v>
      </c>
      <c r="P18" s="184">
        <f t="shared" ca="1" si="36"/>
        <v>0</v>
      </c>
      <c r="Q18" s="183">
        <f t="shared" ca="1" si="8"/>
        <v>0</v>
      </c>
      <c r="R18" s="181">
        <f ca="1">IFERROR(__xludf.DUMMYFUNCTION("IMPORTRANGE(""https://docs.google.com/spreadsheets/d/10nSRjK08hx8Y6HgSOQKNw81lyY46Zc7U_Cj72hBMp9U/edit?usp=sharing"",""นครสวรรค์!I98"")"),30)</f>
        <v>30</v>
      </c>
      <c r="S18" s="181">
        <f ca="1">IFERROR(__xludf.DUMMYFUNCTION("IMPORTRANGE(""https://docs.google.com/spreadsheets/d/10nSRjK08hx8Y6HgSOQKNw81lyY46Zc7U_Cj72hBMp9U/edit?usp=sharing"",""นครสวรรค์!J98"")"),30)</f>
        <v>30</v>
      </c>
      <c r="T18" s="181">
        <f t="shared" ca="1" si="10"/>
        <v>100</v>
      </c>
      <c r="U18" s="181">
        <f ca="1">IFERROR(__xludf.DUMMYFUNCTION("IMPORTRANGE(""https://docs.google.com/spreadsheets/d/10nSRjK08hx8Y6HgSOQKNw81lyY46Zc7U_Cj72hBMp9U/edit?usp=sharing"",""นครสวรรค์!I99"")"),10)</f>
        <v>10</v>
      </c>
      <c r="V18" s="181">
        <f ca="1">IFERROR(__xludf.DUMMYFUNCTION("IMPORTRANGE(""https://docs.google.com/spreadsheets/d/10nSRjK08hx8Y6HgSOQKNw81lyY46Zc7U_Cj72hBMp9U/edit?usp=sharing"",""นครสวรรค์!I100"")"),2)</f>
        <v>2</v>
      </c>
      <c r="W18" s="181">
        <f ca="1">IFERROR(__xludf.DUMMYFUNCTION("IMPORTRANGE(""https://docs.google.com/spreadsheets/d/10nSRjK08hx8Y6HgSOQKNw81lyY46Zc7U_Cj72hBMp9U/edit?usp=sharing"",""นครสวรรค์!J99"")"),10)</f>
        <v>10</v>
      </c>
      <c r="X18" s="185">
        <f t="shared" ca="1" si="12"/>
        <v>100</v>
      </c>
      <c r="Y18" s="186">
        <f ca="1">IFERROR(__xludf.DUMMYFUNCTION("IMPORTRANGE(""https://docs.google.com/spreadsheets/d/10nSRjK08hx8Y6HgSOQKNw81lyY46Zc7U_Cj72hBMp9U/edit?usp=sharing"",""นครสวรรค์!J100"")"),0)</f>
        <v>0</v>
      </c>
      <c r="Z18" s="185">
        <f t="shared" ca="1" si="13"/>
        <v>0</v>
      </c>
      <c r="AA18" s="180">
        <f ca="1">IFERROR(__xludf.DUMMYFUNCTION("IMPORTRANGE(""https://docs.google.com/spreadsheets/d/10nSRjK08hx8Y6HgSOQKNw81lyY46Zc7U_Cj72hBMp9U/edit?usp=sharing"",""นครสวรรค์!I102"")"),30)</f>
        <v>30</v>
      </c>
      <c r="AB18" s="180">
        <f ca="1">IFERROR(__xludf.DUMMYFUNCTION("IMPORTRANGE(""https://docs.google.com/spreadsheets/d/10nSRjK08hx8Y6HgSOQKNw81lyY46Zc7U_Cj72hBMp9U/edit?usp=sharing"",""นครสวรรค์!I103"")"),10)</f>
        <v>10</v>
      </c>
      <c r="AC18" s="181">
        <f ca="1">IFERROR(__xludf.DUMMYFUNCTION("IMPORTRANGE(""https://docs.google.com/spreadsheets/d/10nSRjK08hx8Y6HgSOQKNw81lyY46Zc7U_Cj72hBMp9U/edit?usp=sharing"",""นครสวรรค์!J102"")"),30)</f>
        <v>30</v>
      </c>
      <c r="AD18" s="181">
        <f ca="1">IFERROR(__xludf.DUMMYFUNCTION("IMPORTRANGE(""https://docs.google.com/spreadsheets/d/10nSRjK08hx8Y6HgSOQKNw81lyY46Zc7U_Cj72hBMp9U/edit?usp=sharing"",""นครสวรรค์!J103"")"),10)</f>
        <v>10</v>
      </c>
      <c r="AE18" s="181">
        <f ca="1">IFERROR(__xludf.DUMMYFUNCTION("IMPORTRANGE(""https://docs.google.com/spreadsheets/d/10nSRjK08hx8Y6HgSOQKNw81lyY46Zc7U_Cj72hBMp9U/edit?usp=sharing"",""นครสวรรค์!J104"")"),10)</f>
        <v>10</v>
      </c>
      <c r="AF18" s="180">
        <f ca="1">IFERROR(__xludf.DUMMYFUNCTION("IMPORTRANGE(""https://docs.google.com/spreadsheets/d/10nSRjK08hx8Y6HgSOQKNw81lyY46Zc7U_Cj72hBMp9U/edit?usp=sharing"",""นครสวรรค์!I106"")"),1)</f>
        <v>1</v>
      </c>
      <c r="AG18" s="181">
        <f ca="1">IFERROR(__xludf.DUMMYFUNCTION("IMPORTRANGE(""https://docs.google.com/spreadsheets/d/10nSRjK08hx8Y6HgSOQKNw81lyY46Zc7U_Cj72hBMp9U/edit?usp=sharing"",""นครสวรรค์!J106"")"),0)</f>
        <v>0</v>
      </c>
      <c r="AH18" s="181">
        <f ca="1">IFERROR(__xludf.DUMMYFUNCTION("IMPORTRANGE(""https://docs.google.com/spreadsheets/d/10nSRjK08hx8Y6HgSOQKNw81lyY46Zc7U_Cj72hBMp9U/edit?usp=sharing"",""นครสวรรค์!J107"")"),0)</f>
        <v>0</v>
      </c>
      <c r="AI18" s="180">
        <f ca="1">IFERROR(__xludf.DUMMYFUNCTION("IMPORTRANGE(""https://docs.google.com/spreadsheets/d/10nSRjK08hx8Y6HgSOQKNw81lyY46Zc7U_Cj72hBMp9U/edit?usp=sharing"",""นครสวรรค์!I109"")"),1)</f>
        <v>1</v>
      </c>
      <c r="AJ18" s="181">
        <f ca="1">IFERROR(__xludf.DUMMYFUNCTION("IMPORTRANGE(""https://docs.google.com/spreadsheets/d/10nSRjK08hx8Y6HgSOQKNw81lyY46Zc7U_Cj72hBMp9U/edit?usp=sharing"",""นครสวรรค์!J109"")"),0)</f>
        <v>0</v>
      </c>
      <c r="AK18" s="181">
        <f ca="1">IFERROR(__xludf.DUMMYFUNCTION("IMPORTRANGE(""https://docs.google.com/spreadsheets/d/10nSRjK08hx8Y6HgSOQKNw81lyY46Zc7U_Cj72hBMp9U/edit?usp=sharing"",""นครสวรรค์!J110"")"),0)</f>
        <v>0</v>
      </c>
      <c r="AL18" s="180">
        <f ca="1">IFERROR(__xludf.DUMMYFUNCTION("IMPORTRANGE(""https://docs.google.com/spreadsheets/d/10nSRjK08hx8Y6HgSOQKNw81lyY46Zc7U_Cj72hBMp9U/edit?usp=sharing"",""นครสวรรค์!I111"")"),10)</f>
        <v>10</v>
      </c>
      <c r="AM18" s="180">
        <f ca="1">IFERROR(__xludf.DUMMYFUNCTION("IMPORTRANGE(""https://docs.google.com/spreadsheets/d/10nSRjK08hx8Y6HgSOQKNw81lyY46Zc7U_Cj72hBMp9U/edit?usp=sharing"",""นครสวรรค์!I112"")"),2)</f>
        <v>2</v>
      </c>
      <c r="AN18" s="181">
        <f ca="1">IFERROR(__xludf.DUMMYFUNCTION("IMPORTRANGE(""https://docs.google.com/spreadsheets/d/10nSRjK08hx8Y6HgSOQKNw81lyY46Zc7U_Cj72hBMp9U/edit?usp=sharing"",""นครสวรรค์!J111"")"),0)</f>
        <v>0</v>
      </c>
      <c r="AO18" s="181">
        <f t="shared" ca="1" si="15"/>
        <v>0</v>
      </c>
      <c r="AP18" s="181">
        <f ca="1">IFERROR(__xludf.DUMMYFUNCTION("IMPORTRANGE(""https://docs.google.com/spreadsheets/d/10nSRjK08hx8Y6HgSOQKNw81lyY46Zc7U_Cj72hBMp9U/edit?usp=sharing"",""นครสวรรค์!J112"")"),0)</f>
        <v>0</v>
      </c>
      <c r="AQ18" s="183">
        <f t="shared" ca="1" si="16"/>
        <v>0</v>
      </c>
      <c r="AR18" s="180">
        <f ca="1">IFERROR(__xludf.DUMMYFUNCTION("IMPORTRANGE(""https://docs.google.com/spreadsheets/d/10nSRjK08hx8Y6HgSOQKNw81lyY46Zc7U_Cj72hBMp9U/edit?usp=sharing"",""นครสวรรค์!I113"")"),10)</f>
        <v>10</v>
      </c>
      <c r="AS18" s="180">
        <f ca="1">IFERROR(__xludf.DUMMYFUNCTION("IMPORTRANGE(""https://docs.google.com/spreadsheets/d/10nSRjK08hx8Y6HgSOQKNw81lyY46Zc7U_Cj72hBMp9U/edit?usp=sharing"",""นครสวรรค์!J113"")"),0)</f>
        <v>0</v>
      </c>
      <c r="AT18" s="180">
        <f ca="1">IFERROR(__xludf.DUMMYFUNCTION("IMPORTRANGE(""https://docs.google.com/spreadsheets/d/10nSRjK08hx8Y6HgSOQKNw81lyY46Zc7U_Cj72hBMp9U/edit?usp=sharing"",""นครสวรรค์!J114"")"),0)</f>
        <v>0</v>
      </c>
      <c r="AU18" s="180">
        <f ca="1">IFERROR(__xludf.DUMMYFUNCTION("IMPORTRANGE(""https://docs.google.com/spreadsheets/d/10nSRjK08hx8Y6HgSOQKNw81lyY46Zc7U_Cj72hBMp9U/edit?usp=sharing"",""นครสวรรค์!I115"")"),1)</f>
        <v>1</v>
      </c>
      <c r="AV18" s="181">
        <f ca="1">IFERROR(__xludf.DUMMYFUNCTION("IMPORTRANGE(""https://docs.google.com/spreadsheets/d/10nSRjK08hx8Y6HgSOQKNw81lyY46Zc7U_Cj72hBMp9U/edit?usp=sharing"",""นครสวรรค์!J115"")"),0)</f>
        <v>0</v>
      </c>
      <c r="AW18" s="183">
        <f t="shared" ca="1" si="18"/>
        <v>0</v>
      </c>
      <c r="AX18" s="180">
        <f ca="1">IFERROR(__xludf.DUMMYFUNCTION("IMPORTRANGE(""https://docs.google.com/spreadsheets/d/10nSRjK08hx8Y6HgSOQKNw81lyY46Zc7U_Cj72hBMp9U/edit?usp=sharing"",""นครสวรรค์!I116"")"),1)</f>
        <v>1</v>
      </c>
      <c r="AY18" s="181">
        <f ca="1">IFERROR(__xludf.DUMMYFUNCTION("IMPORTRANGE(""https://docs.google.com/spreadsheets/d/10nSRjK08hx8Y6HgSOQKNw81lyY46Zc7U_Cj72hBMp9U/edit?usp=sharing"",""นครสวรรค์!J116"")"),0)</f>
        <v>0</v>
      </c>
      <c r="AZ18" s="183">
        <f t="shared" ca="1" si="20"/>
        <v>0</v>
      </c>
    </row>
    <row r="19" spans="1:52" ht="24" customHeight="1" x14ac:dyDescent="0.3">
      <c r="A19" s="176">
        <v>6</v>
      </c>
      <c r="B19" s="177" t="s">
        <v>41</v>
      </c>
      <c r="C19" s="178">
        <f t="shared" ca="1" si="0"/>
        <v>269500</v>
      </c>
      <c r="D19" s="179">
        <f t="shared" ca="1" si="42"/>
        <v>269500</v>
      </c>
      <c r="E19" s="180">
        <f ca="1">IFERROR(__xludf.DUMMYFUNCTION("IMPORTRANGE(""https://docs.google.com/spreadsheets/d/1MeEWN-I1oV_STSDYn1IFDPWt_1FKiwhDph83XaGc0o0/edit?usp=sharing"",""งบพรบ!AR19"")"),143000)</f>
        <v>143000</v>
      </c>
      <c r="F19" s="180">
        <f ca="1">IFERROR(__xludf.DUMMYFUNCTION("IMPORTRANGE(""https://docs.google.com/spreadsheets/d/1MeEWN-I1oV_STSDYn1IFDPWt_1FKiwhDph83XaGc0o0/edit?usp=sharing"",""งบพรบ!AS19"")"),126500)</f>
        <v>126500</v>
      </c>
      <c r="G19" s="180">
        <f ca="1">IFERROR(__xludf.DUMMYFUNCTION("IMPORTRANGE(""https://docs.google.com/spreadsheets/d/1MeEWN-I1oV_STSDYn1IFDPWt_1FKiwhDph83XaGc0o0/edit?usp=sharing"",""งบพรบ!AT19"")"),0)</f>
        <v>0</v>
      </c>
      <c r="H19" s="180">
        <f ca="1">IFERROR(__xludf.DUMMYFUNCTION("IMPORTRANGE(""https://docs.google.com/spreadsheets/d/1MeEWN-I1oV_STSDYn1IFDPWt_1FKiwhDph83XaGc0o0/edit?usp=sharing"",""งบพรบ!AV19"")"),215500)</f>
        <v>215500</v>
      </c>
      <c r="I19" s="180">
        <f ca="1">IFERROR(__xludf.DUMMYFUNCTION("IMPORTRANGE(""https://docs.google.com/spreadsheets/d/1MeEWN-I1oV_STSDYn1IFDPWt_1FKiwhDph83XaGc0o0/edit?usp=sharing"",""งบพรบ!AW19"")"),0)</f>
        <v>0</v>
      </c>
      <c r="J19" s="180">
        <f t="shared" ca="1" si="3"/>
        <v>122140</v>
      </c>
      <c r="K19" s="187">
        <f t="shared" ca="1" si="4"/>
        <v>45.320964749536181</v>
      </c>
      <c r="L19" s="180">
        <f ca="1">IFERROR(__xludf.DUMMYFUNCTION("IMPORTRANGE(""https://docs.google.com/spreadsheets/d/1MeEWN-I1oV_STSDYn1IFDPWt_1FKiwhDph83XaGc0o0/edit?usp=sharing"",""งบพรบ!AX19"")"),122140)</f>
        <v>122140</v>
      </c>
      <c r="M19" s="183">
        <f t="shared" ca="1" si="5"/>
        <v>45.320964749536181</v>
      </c>
      <c r="N19" s="183">
        <f t="shared" ca="1" si="6"/>
        <v>56.677494199535964</v>
      </c>
      <c r="O19" s="184">
        <f ca="1">IFERROR(__xludf.DUMMYFUNCTION("IMPORTRANGE(""https://docs.google.com/spreadsheets/d/1MeEWN-I1oV_STSDYn1IFDPWt_1FKiwhDph83XaGc0o0/edit?usp=sharing"",""งบพรบ!AY19"")"),0)</f>
        <v>0</v>
      </c>
      <c r="P19" s="184">
        <f t="shared" ca="1" si="36"/>
        <v>0</v>
      </c>
      <c r="Q19" s="183">
        <f t="shared" ca="1" si="8"/>
        <v>0</v>
      </c>
      <c r="R19" s="181">
        <f ca="1">IFERROR(__xludf.DUMMYFUNCTION("IMPORTRANGE(""https://docs.google.com/spreadsheets/d/1gFVb7qd7amutrIxAAoM7lcy35hllxznovot8lyOfvDo/edit?usp=sharing"",""น่าน!I98"")"),150)</f>
        <v>150</v>
      </c>
      <c r="S19" s="181">
        <f ca="1">IFERROR(__xludf.DUMMYFUNCTION("IMPORTRANGE(""https://docs.google.com/spreadsheets/d/1gFVb7qd7amutrIxAAoM7lcy35hllxznovot8lyOfvDo/edit?usp=sharing"",""น่าน!J98"")"),150)</f>
        <v>150</v>
      </c>
      <c r="T19" s="181">
        <f t="shared" ca="1" si="10"/>
        <v>100</v>
      </c>
      <c r="U19" s="181">
        <f ca="1">IFERROR(__xludf.DUMMYFUNCTION("IMPORTRANGE(""https://docs.google.com/spreadsheets/d/1gFVb7qd7amutrIxAAoM7lcy35hllxznovot8lyOfvDo/edit?usp=sharing"",""น่าน!I99"")"),50)</f>
        <v>50</v>
      </c>
      <c r="V19" s="181">
        <f ca="1">IFERROR(__xludf.DUMMYFUNCTION("IMPORTRANGE(""https://docs.google.com/spreadsheets/d/1gFVb7qd7amutrIxAAoM7lcy35hllxznovot8lyOfvDo/edit?usp=sharing"",""น่าน!I100"")"),0)</f>
        <v>0</v>
      </c>
      <c r="W19" s="181">
        <f ca="1">IFERROR(__xludf.DUMMYFUNCTION("IMPORTRANGE(""https://docs.google.com/spreadsheets/d/1gFVb7qd7amutrIxAAoM7lcy35hllxznovot8lyOfvDo/edit?usp=sharing"",""น่าน!J99"")"),50)</f>
        <v>50</v>
      </c>
      <c r="X19" s="185">
        <f t="shared" ca="1" si="12"/>
        <v>100</v>
      </c>
      <c r="Y19" s="186">
        <f ca="1">IFERROR(__xludf.DUMMYFUNCTION("IMPORTRANGE(""https://docs.google.com/spreadsheets/d/1gFVb7qd7amutrIxAAoM7lcy35hllxznovot8lyOfvDo/edit?usp=sharing"",""น่าน!J100"")"),0)</f>
        <v>0</v>
      </c>
      <c r="Z19" s="185">
        <f t="shared" ca="1" si="13"/>
        <v>0</v>
      </c>
      <c r="AA19" s="180">
        <f ca="1">IFERROR(__xludf.DUMMYFUNCTION("IMPORTRANGE(""https://docs.google.com/spreadsheets/d/1gFVb7qd7amutrIxAAoM7lcy35hllxznovot8lyOfvDo/edit?usp=sharing"",""น่าน!I102"")"),150)</f>
        <v>150</v>
      </c>
      <c r="AB19" s="180">
        <f ca="1">IFERROR(__xludf.DUMMYFUNCTION("IMPORTRANGE(""https://docs.google.com/spreadsheets/d/1gFVb7qd7amutrIxAAoM7lcy35hllxznovot8lyOfvDo/edit?usp=sharing"",""น่าน!I103"")"),50)</f>
        <v>50</v>
      </c>
      <c r="AC19" s="181">
        <f ca="1">IFERROR(__xludf.DUMMYFUNCTION("IMPORTRANGE(""https://docs.google.com/spreadsheets/d/1gFVb7qd7amutrIxAAoM7lcy35hllxznovot8lyOfvDo/edit?usp=sharing"",""น่าน!J102"")"),150)</f>
        <v>150</v>
      </c>
      <c r="AD19" s="181">
        <f ca="1">IFERROR(__xludf.DUMMYFUNCTION("IMPORTRANGE(""https://docs.google.com/spreadsheets/d/1gFVb7qd7amutrIxAAoM7lcy35hllxznovot8lyOfvDo/edit?usp=sharing"",""น่าน!J103"")"),50)</f>
        <v>50</v>
      </c>
      <c r="AE19" s="181">
        <f ca="1">IFERROR(__xludf.DUMMYFUNCTION("IMPORTRANGE(""https://docs.google.com/spreadsheets/d/1gFVb7qd7amutrIxAAoM7lcy35hllxznovot8lyOfvDo/edit?usp=sharing"",""น่าน!J104"")"),50)</f>
        <v>50</v>
      </c>
      <c r="AF19" s="180">
        <f ca="1">IFERROR(__xludf.DUMMYFUNCTION("IMPORTRANGE(""https://docs.google.com/spreadsheets/d/1gFVb7qd7amutrIxAAoM7lcy35hllxznovot8lyOfvDo/edit?usp=sharing"",""น่าน!I106"")"),0)</f>
        <v>0</v>
      </c>
      <c r="AG19" s="181">
        <f ca="1">IFERROR(__xludf.DUMMYFUNCTION("IMPORTRANGE(""https://docs.google.com/spreadsheets/d/1gFVb7qd7amutrIxAAoM7lcy35hllxznovot8lyOfvDo/edit?usp=sharing"",""น่าน!J106"")"),0)</f>
        <v>0</v>
      </c>
      <c r="AH19" s="181">
        <f ca="1">IFERROR(__xludf.DUMMYFUNCTION("IMPORTRANGE(""https://docs.google.com/spreadsheets/d/1gFVb7qd7amutrIxAAoM7lcy35hllxznovot8lyOfvDo/edit?usp=sharing"",""น่าน!J107"")"),0)</f>
        <v>0</v>
      </c>
      <c r="AI19" s="180">
        <f ca="1">IFERROR(__xludf.DUMMYFUNCTION("IMPORTRANGE(""https://docs.google.com/spreadsheets/d/1gFVb7qd7amutrIxAAoM7lcy35hllxznovot8lyOfvDo/edit?usp=sharing"",""น่าน!I109"")"),0)</f>
        <v>0</v>
      </c>
      <c r="AJ19" s="181">
        <f ca="1">IFERROR(__xludf.DUMMYFUNCTION("IMPORTRANGE(""https://docs.google.com/spreadsheets/d/1gFVb7qd7amutrIxAAoM7lcy35hllxznovot8lyOfvDo/edit?usp=sharing"",""น่าน!J109"")"),0)</f>
        <v>0</v>
      </c>
      <c r="AK19" s="181">
        <f ca="1">IFERROR(__xludf.DUMMYFUNCTION("IMPORTRANGE(""https://docs.google.com/spreadsheets/d/1gFVb7qd7amutrIxAAoM7lcy35hllxznovot8lyOfvDo/edit?usp=sharing"",""น่าน!J110"")"),0)</f>
        <v>0</v>
      </c>
      <c r="AL19" s="180">
        <f ca="1">IFERROR(__xludf.DUMMYFUNCTION("IMPORTRANGE(""https://docs.google.com/spreadsheets/d/1gFVb7qd7amutrIxAAoM7lcy35hllxznovot8lyOfvDo/edit?usp=sharing"",""น่าน!I111"")"),50)</f>
        <v>50</v>
      </c>
      <c r="AM19" s="180">
        <f ca="1">IFERROR(__xludf.DUMMYFUNCTION("IMPORTRANGE(""https://docs.google.com/spreadsheets/d/1gFVb7qd7amutrIxAAoM7lcy35hllxznovot8lyOfvDo/edit?usp=sharing"",""น่าน!I112"")"),0)</f>
        <v>0</v>
      </c>
      <c r="AN19" s="181">
        <f ca="1">IFERROR(__xludf.DUMMYFUNCTION("IMPORTRANGE(""https://docs.google.com/spreadsheets/d/1gFVb7qd7amutrIxAAoM7lcy35hllxznovot8lyOfvDo/edit?usp=sharing"",""น่าน!J111"")"),0)</f>
        <v>0</v>
      </c>
      <c r="AO19" s="181">
        <f t="shared" ca="1" si="15"/>
        <v>0</v>
      </c>
      <c r="AP19" s="181">
        <f ca="1">IFERROR(__xludf.DUMMYFUNCTION("IMPORTRANGE(""https://docs.google.com/spreadsheets/d/1gFVb7qd7amutrIxAAoM7lcy35hllxznovot8lyOfvDo/edit?usp=sharing"",""น่าน!J112"")"),0)</f>
        <v>0</v>
      </c>
      <c r="AQ19" s="183">
        <f t="shared" ca="1" si="16"/>
        <v>0</v>
      </c>
      <c r="AR19" s="180">
        <f ca="1">IFERROR(__xludf.DUMMYFUNCTION("IMPORTRANGE(""https://docs.google.com/spreadsheets/d/1gFVb7qd7amutrIxAAoM7lcy35hllxznovot8lyOfvDo/edit?usp=sharing"",""น่าน!I113"")"),50)</f>
        <v>50</v>
      </c>
      <c r="AS19" s="180">
        <f ca="1">IFERROR(__xludf.DUMMYFUNCTION("IMPORTRANGE(""https://docs.google.com/spreadsheets/d/1gFVb7qd7amutrIxAAoM7lcy35hllxznovot8lyOfvDo/edit?usp=sharing"",""น่าน!J113"")"),0)</f>
        <v>0</v>
      </c>
      <c r="AT19" s="180">
        <f ca="1">IFERROR(__xludf.DUMMYFUNCTION("IMPORTRANGE(""https://docs.google.com/spreadsheets/d/1gFVb7qd7amutrIxAAoM7lcy35hllxznovot8lyOfvDo/edit?usp=sharing"",""น่าน!J114"")"),0)</f>
        <v>0</v>
      </c>
      <c r="AU19" s="180">
        <f ca="1">IFERROR(__xludf.DUMMYFUNCTION("IMPORTRANGE(""https://docs.google.com/spreadsheets/d/1gFVb7qd7amutrIxAAoM7lcy35hllxznovot8lyOfvDo/edit?usp=sharing"",""น่าน!I115"")"),0)</f>
        <v>0</v>
      </c>
      <c r="AV19" s="181">
        <f ca="1">IFERROR(__xludf.DUMMYFUNCTION("IMPORTRANGE(""https://docs.google.com/spreadsheets/d/1gFVb7qd7amutrIxAAoM7lcy35hllxznovot8lyOfvDo/edit?usp=sharing"",""น่าน!J115"")"),0)</f>
        <v>0</v>
      </c>
      <c r="AW19" s="183">
        <f t="shared" ca="1" si="18"/>
        <v>0</v>
      </c>
      <c r="AX19" s="180">
        <f ca="1">IFERROR(__xludf.DUMMYFUNCTION("IMPORTRANGE(""https://docs.google.com/spreadsheets/d/1gFVb7qd7amutrIxAAoM7lcy35hllxznovot8lyOfvDo/edit?usp=sharing"",""น่าน!I116"")"),0)</f>
        <v>0</v>
      </c>
      <c r="AY19" s="181">
        <f ca="1">IFERROR(__xludf.DUMMYFUNCTION("IMPORTRANGE(""https://docs.google.com/spreadsheets/d/1gFVb7qd7amutrIxAAoM7lcy35hllxznovot8lyOfvDo/edit?usp=sharing"",""น่าน!J116"")"),0)</f>
        <v>0</v>
      </c>
      <c r="AZ19" s="183">
        <f t="shared" ca="1" si="20"/>
        <v>0</v>
      </c>
    </row>
    <row r="20" spans="1:52" ht="24" customHeight="1" x14ac:dyDescent="0.3">
      <c r="A20" s="176">
        <v>7</v>
      </c>
      <c r="B20" s="177" t="s">
        <v>42</v>
      </c>
      <c r="C20" s="178">
        <f t="shared" ca="1" si="0"/>
        <v>110880</v>
      </c>
      <c r="D20" s="179">
        <f t="shared" ca="1" si="42"/>
        <v>110880</v>
      </c>
      <c r="E20" s="180">
        <f ca="1">IFERROR(__xludf.DUMMYFUNCTION("IMPORTRANGE(""https://docs.google.com/spreadsheets/d/1MeEWN-I1oV_STSDYn1IFDPWt_1FKiwhDph83XaGc0o0/edit?usp=sharing"",""งบพรบ!AR20"")"),0)</f>
        <v>0</v>
      </c>
      <c r="F20" s="180">
        <f ca="1">IFERROR(__xludf.DUMMYFUNCTION("IMPORTRANGE(""https://docs.google.com/spreadsheets/d/1MeEWN-I1oV_STSDYn1IFDPWt_1FKiwhDph83XaGc0o0/edit?usp=sharing"",""งบพรบ!AS20"")"),110880)</f>
        <v>110880</v>
      </c>
      <c r="G20" s="180">
        <f ca="1">IFERROR(__xludf.DUMMYFUNCTION("IMPORTRANGE(""https://docs.google.com/spreadsheets/d/1MeEWN-I1oV_STSDYn1IFDPWt_1FKiwhDph83XaGc0o0/edit?usp=sharing"",""งบพรบ!AT20"")"),0)</f>
        <v>0</v>
      </c>
      <c r="H20" s="180">
        <f ca="1">IFERROR(__xludf.DUMMYFUNCTION("IMPORTRANGE(""https://docs.google.com/spreadsheets/d/1MeEWN-I1oV_STSDYn1IFDPWt_1FKiwhDph83XaGc0o0/edit?usp=sharing"",""งบพรบ!AV20"")"),45680)</f>
        <v>45680</v>
      </c>
      <c r="I20" s="180">
        <f ca="1">IFERROR(__xludf.DUMMYFUNCTION("IMPORTRANGE(""https://docs.google.com/spreadsheets/d/1MeEWN-I1oV_STSDYn1IFDPWt_1FKiwhDph83XaGc0o0/edit?usp=sharing"",""งบพรบ!AW20"")"),0)</f>
        <v>0</v>
      </c>
      <c r="J20" s="180">
        <f t="shared" ca="1" si="3"/>
        <v>44654</v>
      </c>
      <c r="K20" s="187">
        <f t="shared" ca="1" si="4"/>
        <v>40.272366522366525</v>
      </c>
      <c r="L20" s="180">
        <f ca="1">IFERROR(__xludf.DUMMYFUNCTION("IMPORTRANGE(""https://docs.google.com/spreadsheets/d/1MeEWN-I1oV_STSDYn1IFDPWt_1FKiwhDph83XaGc0o0/edit?usp=sharing"",""งบพรบ!AX20"")"),44654)</f>
        <v>44654</v>
      </c>
      <c r="M20" s="183">
        <f t="shared" ca="1" si="5"/>
        <v>40.272366522366525</v>
      </c>
      <c r="N20" s="183">
        <f t="shared" ca="1" si="6"/>
        <v>97.753940455341507</v>
      </c>
      <c r="O20" s="184">
        <f ca="1">IFERROR(__xludf.DUMMYFUNCTION("IMPORTRANGE(""https://docs.google.com/spreadsheets/d/1MeEWN-I1oV_STSDYn1IFDPWt_1FKiwhDph83XaGc0o0/edit?usp=sharing"",""งบพรบ!AY20"")"),0)</f>
        <v>0</v>
      </c>
      <c r="P20" s="184">
        <f t="shared" ca="1" si="36"/>
        <v>0</v>
      </c>
      <c r="Q20" s="183">
        <f t="shared" ca="1" si="8"/>
        <v>0</v>
      </c>
      <c r="R20" s="181">
        <f ca="1">IFERROR(__xludf.DUMMYFUNCTION("IMPORTRANGE(""https://docs.google.com/spreadsheets/d/1K0Aa9s-6EuHE5M0FG1F9aHLXRCOV917xvycTdLdct0w/edit?usp=sharing"",""พะเยา!I98"")"),60)</f>
        <v>60</v>
      </c>
      <c r="S20" s="181">
        <f ca="1">IFERROR(__xludf.DUMMYFUNCTION("IMPORTRANGE(""https://docs.google.com/spreadsheets/d/1K0Aa9s-6EuHE5M0FG1F9aHLXRCOV917xvycTdLdct0w/edit?usp=sharing"",""พะเยา!J98"")"),60)</f>
        <v>60</v>
      </c>
      <c r="T20" s="181">
        <f t="shared" ca="1" si="10"/>
        <v>100</v>
      </c>
      <c r="U20" s="181">
        <f ca="1">IFERROR(__xludf.DUMMYFUNCTION("IMPORTRANGE(""https://docs.google.com/spreadsheets/d/1K0Aa9s-6EuHE5M0FG1F9aHLXRCOV917xvycTdLdct0w/edit?usp=sharing"",""พะเยา!I99"")"),20)</f>
        <v>20</v>
      </c>
      <c r="V20" s="181">
        <f ca="1">IFERROR(__xludf.DUMMYFUNCTION("IMPORTRANGE(""https://docs.google.com/spreadsheets/d/1K0Aa9s-6EuHE5M0FG1F9aHLXRCOV917xvycTdLdct0w/edit?usp=sharing"",""พะเยา!I100"")"),2)</f>
        <v>2</v>
      </c>
      <c r="W20" s="181">
        <f ca="1">IFERROR(__xludf.DUMMYFUNCTION("IMPORTRANGE(""https://docs.google.com/spreadsheets/d/1K0Aa9s-6EuHE5M0FG1F9aHLXRCOV917xvycTdLdct0w/edit?usp=sharing"",""พะเยา!J99"")"),20)</f>
        <v>20</v>
      </c>
      <c r="X20" s="185">
        <f t="shared" ca="1" si="12"/>
        <v>100</v>
      </c>
      <c r="Y20" s="186">
        <f ca="1">IFERROR(__xludf.DUMMYFUNCTION("IMPORTRANGE(""https://docs.google.com/spreadsheets/d/1K0Aa9s-6EuHE5M0FG1F9aHLXRCOV917xvycTdLdct0w/edit?usp=sharing"",""พะเยา!J100"")"),0)</f>
        <v>0</v>
      </c>
      <c r="Z20" s="185">
        <f t="shared" ca="1" si="13"/>
        <v>0</v>
      </c>
      <c r="AA20" s="180">
        <f ca="1">IFERROR(__xludf.DUMMYFUNCTION("IMPORTRANGE(""https://docs.google.com/spreadsheets/d/1K0Aa9s-6EuHE5M0FG1F9aHLXRCOV917xvycTdLdct0w/edit?usp=sharing"",""พะเยา!I102"")"),60)</f>
        <v>60</v>
      </c>
      <c r="AB20" s="180">
        <f ca="1">IFERROR(__xludf.DUMMYFUNCTION("IMPORTRANGE(""https://docs.google.com/spreadsheets/d/1K0Aa9s-6EuHE5M0FG1F9aHLXRCOV917xvycTdLdct0w/edit?usp=sharing"",""พะเยา!I103"")"),20)</f>
        <v>20</v>
      </c>
      <c r="AC20" s="181">
        <f ca="1">IFERROR(__xludf.DUMMYFUNCTION("IMPORTRANGE(""https://docs.google.com/spreadsheets/d/1K0Aa9s-6EuHE5M0FG1F9aHLXRCOV917xvycTdLdct0w/edit?usp=sharing"",""พะเยา!J102"")"),60)</f>
        <v>60</v>
      </c>
      <c r="AD20" s="181">
        <f ca="1">IFERROR(__xludf.DUMMYFUNCTION("IMPORTRANGE(""https://docs.google.com/spreadsheets/d/1K0Aa9s-6EuHE5M0FG1F9aHLXRCOV917xvycTdLdct0w/edit?usp=sharing"",""พะเยา!J103"")"),20)</f>
        <v>20</v>
      </c>
      <c r="AE20" s="181">
        <f ca="1">IFERROR(__xludf.DUMMYFUNCTION("IMPORTRANGE(""https://docs.google.com/spreadsheets/d/1K0Aa9s-6EuHE5M0FG1F9aHLXRCOV917xvycTdLdct0w/edit?usp=sharing"",""พะเยา!J104"")"),20)</f>
        <v>20</v>
      </c>
      <c r="AF20" s="180">
        <f ca="1">IFERROR(__xludf.DUMMYFUNCTION("IMPORTRANGE(""https://docs.google.com/spreadsheets/d/1K0Aa9s-6EuHE5M0FG1F9aHLXRCOV917xvycTdLdct0w/edit?usp=sharing"",""พะเยา!I106"")"),1)</f>
        <v>1</v>
      </c>
      <c r="AG20" s="181">
        <f ca="1">IFERROR(__xludf.DUMMYFUNCTION("IMPORTRANGE(""https://docs.google.com/spreadsheets/d/1K0Aa9s-6EuHE5M0FG1F9aHLXRCOV917xvycTdLdct0w/edit?usp=sharing"",""พะเยา!J106"")"),0)</f>
        <v>0</v>
      </c>
      <c r="AH20" s="181">
        <f ca="1">IFERROR(__xludf.DUMMYFUNCTION("IMPORTRANGE(""https://docs.google.com/spreadsheets/d/1K0Aa9s-6EuHE5M0FG1F9aHLXRCOV917xvycTdLdct0w/edit?usp=sharing"",""พะเยา!J107"")"),0)</f>
        <v>0</v>
      </c>
      <c r="AI20" s="180">
        <f ca="1">IFERROR(__xludf.DUMMYFUNCTION("IMPORTRANGE(""https://docs.google.com/spreadsheets/d/1K0Aa9s-6EuHE5M0FG1F9aHLXRCOV917xvycTdLdct0w/edit?usp=sharing"",""พะเยา!I109"")"),1)</f>
        <v>1</v>
      </c>
      <c r="AJ20" s="181">
        <f ca="1">IFERROR(__xludf.DUMMYFUNCTION("IMPORTRANGE(""https://docs.google.com/spreadsheets/d/1K0Aa9s-6EuHE5M0FG1F9aHLXRCOV917xvycTdLdct0w/edit?usp=sharing"",""พะเยา!J109"")"),0)</f>
        <v>0</v>
      </c>
      <c r="AK20" s="181">
        <f ca="1">IFERROR(__xludf.DUMMYFUNCTION("IMPORTRANGE(""https://docs.google.com/spreadsheets/d/1K0Aa9s-6EuHE5M0FG1F9aHLXRCOV917xvycTdLdct0w/edit?usp=sharing"",""พะเยา!J110"")"),0)</f>
        <v>0</v>
      </c>
      <c r="AL20" s="180">
        <f ca="1">IFERROR(__xludf.DUMMYFUNCTION("IMPORTRANGE(""https://docs.google.com/spreadsheets/d/1K0Aa9s-6EuHE5M0FG1F9aHLXRCOV917xvycTdLdct0w/edit?usp=sharing"",""พะเยา!I111"")"),20)</f>
        <v>20</v>
      </c>
      <c r="AM20" s="180">
        <f ca="1">IFERROR(__xludf.DUMMYFUNCTION("IMPORTRANGE(""https://docs.google.com/spreadsheets/d/1K0Aa9s-6EuHE5M0FG1F9aHLXRCOV917xvycTdLdct0w/edit?usp=sharing"",""พะเยา!I112"")"),2)</f>
        <v>2</v>
      </c>
      <c r="AN20" s="181">
        <f ca="1">IFERROR(__xludf.DUMMYFUNCTION("IMPORTRANGE(""https://docs.google.com/spreadsheets/d/1K0Aa9s-6EuHE5M0FG1F9aHLXRCOV917xvycTdLdct0w/edit?usp=sharing"",""พะเยา!J111"")"),0)</f>
        <v>0</v>
      </c>
      <c r="AO20" s="181">
        <f t="shared" ca="1" si="15"/>
        <v>0</v>
      </c>
      <c r="AP20" s="181">
        <f ca="1">IFERROR(__xludf.DUMMYFUNCTION("IMPORTRANGE(""https://docs.google.com/spreadsheets/d/1K0Aa9s-6EuHE5M0FG1F9aHLXRCOV917xvycTdLdct0w/edit?usp=sharing"",""พะเยา!J112"")"),0)</f>
        <v>0</v>
      </c>
      <c r="AQ20" s="183">
        <f t="shared" ca="1" si="16"/>
        <v>0</v>
      </c>
      <c r="AR20" s="180">
        <f ca="1">IFERROR(__xludf.DUMMYFUNCTION("IMPORTRANGE(""https://docs.google.com/spreadsheets/d/1K0Aa9s-6EuHE5M0FG1F9aHLXRCOV917xvycTdLdct0w/edit?usp=sharing"",""พะเยา!I113"")"),20)</f>
        <v>20</v>
      </c>
      <c r="AS20" s="180">
        <f ca="1">IFERROR(__xludf.DUMMYFUNCTION("IMPORTRANGE(""https://docs.google.com/spreadsheets/d/1K0Aa9s-6EuHE5M0FG1F9aHLXRCOV917xvycTdLdct0w/edit?usp=sharing"",""พะเยา!J113"")"),0)</f>
        <v>0</v>
      </c>
      <c r="AT20" s="180">
        <f ca="1">IFERROR(__xludf.DUMMYFUNCTION("IMPORTRANGE(""https://docs.google.com/spreadsheets/d/1K0Aa9s-6EuHE5M0FG1F9aHLXRCOV917xvycTdLdct0w/edit?usp=sharing"",""พะเยา!J114"")"),0)</f>
        <v>0</v>
      </c>
      <c r="AU20" s="180">
        <f ca="1">IFERROR(__xludf.DUMMYFUNCTION("IMPORTRANGE(""https://docs.google.com/spreadsheets/d/1K0Aa9s-6EuHE5M0FG1F9aHLXRCOV917xvycTdLdct0w/edit?usp=sharing"",""พะเยา!I115"")"),1)</f>
        <v>1</v>
      </c>
      <c r="AV20" s="181">
        <f ca="1">IFERROR(__xludf.DUMMYFUNCTION("IMPORTRANGE(""https://docs.google.com/spreadsheets/d/1K0Aa9s-6EuHE5M0FG1F9aHLXRCOV917xvycTdLdct0w/edit?usp=sharing"",""พะเยา!J115"")"),0)</f>
        <v>0</v>
      </c>
      <c r="AW20" s="183">
        <f t="shared" ca="1" si="18"/>
        <v>0</v>
      </c>
      <c r="AX20" s="180">
        <f ca="1">IFERROR(__xludf.DUMMYFUNCTION("IMPORTRANGE(""https://docs.google.com/spreadsheets/d/1K0Aa9s-6EuHE5M0FG1F9aHLXRCOV917xvycTdLdct0w/edit?usp=sharing"",""พะเยา!I116"")"),1)</f>
        <v>1</v>
      </c>
      <c r="AY20" s="181">
        <f ca="1">IFERROR(__xludf.DUMMYFUNCTION("IMPORTRANGE(""https://docs.google.com/spreadsheets/d/1K0Aa9s-6EuHE5M0FG1F9aHLXRCOV917xvycTdLdct0w/edit?usp=sharing"",""พะเยา!J116"")"),0)</f>
        <v>0</v>
      </c>
      <c r="AZ20" s="183">
        <f t="shared" ca="1" si="20"/>
        <v>0</v>
      </c>
    </row>
    <row r="21" spans="1:52" ht="24" customHeight="1" x14ac:dyDescent="0.3">
      <c r="A21" s="176">
        <v>8</v>
      </c>
      <c r="B21" s="177" t="s">
        <v>43</v>
      </c>
      <c r="C21" s="178">
        <f t="shared" ca="1" si="0"/>
        <v>85840</v>
      </c>
      <c r="D21" s="179">
        <f t="shared" ca="1" si="42"/>
        <v>85840</v>
      </c>
      <c r="E21" s="180">
        <f ca="1">IFERROR(__xludf.DUMMYFUNCTION("IMPORTRANGE(""https://docs.google.com/spreadsheets/d/1MeEWN-I1oV_STSDYn1IFDPWt_1FKiwhDph83XaGc0o0/edit?usp=sharing"",""งบพรบ!AR21"")"),0)</f>
        <v>0</v>
      </c>
      <c r="F21" s="180">
        <f ca="1">IFERROR(__xludf.DUMMYFUNCTION("IMPORTRANGE(""https://docs.google.com/spreadsheets/d/1MeEWN-I1oV_STSDYn1IFDPWt_1FKiwhDph83XaGc0o0/edit?usp=sharing"",""งบพรบ!AS21"")"),85840)</f>
        <v>85840</v>
      </c>
      <c r="G21" s="180">
        <f ca="1">IFERROR(__xludf.DUMMYFUNCTION("IMPORTRANGE(""https://docs.google.com/spreadsheets/d/1MeEWN-I1oV_STSDYn1IFDPWt_1FKiwhDph83XaGc0o0/edit?usp=sharing"",""งบพรบ!AT21"")"),0)</f>
        <v>0</v>
      </c>
      <c r="H21" s="180">
        <f ca="1">IFERROR(__xludf.DUMMYFUNCTION("IMPORTRANGE(""https://docs.google.com/spreadsheets/d/1MeEWN-I1oV_STSDYn1IFDPWt_1FKiwhDph83XaGc0o0/edit?usp=sharing"",""งบพรบ!AV21"")"),79140)</f>
        <v>79140</v>
      </c>
      <c r="I21" s="180">
        <f ca="1">IFERROR(__xludf.DUMMYFUNCTION("IMPORTRANGE(""https://docs.google.com/spreadsheets/d/1MeEWN-I1oV_STSDYn1IFDPWt_1FKiwhDph83XaGc0o0/edit?usp=sharing"",""งบพรบ!AW21"")"),0)</f>
        <v>0</v>
      </c>
      <c r="J21" s="180">
        <f t="shared" ca="1" si="3"/>
        <v>18384</v>
      </c>
      <c r="K21" s="187">
        <f t="shared" ca="1" si="4"/>
        <v>21.416589002795899</v>
      </c>
      <c r="L21" s="180">
        <f ca="1">IFERROR(__xludf.DUMMYFUNCTION("IMPORTRANGE(""https://docs.google.com/spreadsheets/d/1MeEWN-I1oV_STSDYn1IFDPWt_1FKiwhDph83XaGc0o0/edit?usp=sharing"",""งบพรบ!AX21"")"),18384)</f>
        <v>18384</v>
      </c>
      <c r="M21" s="183">
        <f t="shared" ca="1" si="5"/>
        <v>21.416589002795899</v>
      </c>
      <c r="N21" s="183">
        <f t="shared" ca="1" si="6"/>
        <v>23.229719484457924</v>
      </c>
      <c r="O21" s="184">
        <f ca="1">IFERROR(__xludf.DUMMYFUNCTION("IMPORTRANGE(""https://docs.google.com/spreadsheets/d/1MeEWN-I1oV_STSDYn1IFDPWt_1FKiwhDph83XaGc0o0/edit?usp=sharing"",""งบพรบ!AY21"")"),0)</f>
        <v>0</v>
      </c>
      <c r="P21" s="184">
        <f t="shared" ca="1" si="36"/>
        <v>0</v>
      </c>
      <c r="Q21" s="183">
        <f t="shared" ca="1" si="8"/>
        <v>0</v>
      </c>
      <c r="R21" s="181">
        <f ca="1">IFERROR(__xludf.DUMMYFUNCTION("IMPORTRANGE(""https://docs.google.com/spreadsheets/d/1Y9LPKx95PyL5OKy09d-KbKJSuuEZCFdkhYjwC0XQjBA/edit?usp=sharing"",""พิจิตร!I98"")"),30)</f>
        <v>30</v>
      </c>
      <c r="S21" s="181">
        <f ca="1">IFERROR(__xludf.DUMMYFUNCTION("IMPORTRANGE(""https://docs.google.com/spreadsheets/d/1Y9LPKx95PyL5OKy09d-KbKJSuuEZCFdkhYjwC0XQjBA/edit?usp=sharing"",""พิจิตร!J98"")"),30)</f>
        <v>30</v>
      </c>
      <c r="T21" s="181">
        <f t="shared" ca="1" si="10"/>
        <v>100</v>
      </c>
      <c r="U21" s="181">
        <f ca="1">IFERROR(__xludf.DUMMYFUNCTION("IMPORTRANGE(""https://docs.google.com/spreadsheets/d/1Y9LPKx95PyL5OKy09d-KbKJSuuEZCFdkhYjwC0XQjBA/edit?usp=sharing"",""พิจิตร!I99"")"),10)</f>
        <v>10</v>
      </c>
      <c r="V21" s="181">
        <f ca="1">IFERROR(__xludf.DUMMYFUNCTION("IMPORTRANGE(""https://docs.google.com/spreadsheets/d/1Y9LPKx95PyL5OKy09d-KbKJSuuEZCFdkhYjwC0XQjBA/edit?usp=sharing"",""พิจิตร!I100"")"),2)</f>
        <v>2</v>
      </c>
      <c r="W21" s="181">
        <f ca="1">IFERROR(__xludf.DUMMYFUNCTION("IMPORTRANGE(""https://docs.google.com/spreadsheets/d/1Y9LPKx95PyL5OKy09d-KbKJSuuEZCFdkhYjwC0XQjBA/edit?usp=sharing"",""พิจิตร!J99"")"),10)</f>
        <v>10</v>
      </c>
      <c r="X21" s="185">
        <f t="shared" ca="1" si="12"/>
        <v>100</v>
      </c>
      <c r="Y21" s="186">
        <f ca="1">IFERROR(__xludf.DUMMYFUNCTION("IMPORTRANGE(""https://docs.google.com/spreadsheets/d/1Y9LPKx95PyL5OKy09d-KbKJSuuEZCFdkhYjwC0XQjBA/edit?usp=sharing"",""พิจิตร!J100"")"),0)</f>
        <v>0</v>
      </c>
      <c r="Z21" s="185">
        <f t="shared" ca="1" si="13"/>
        <v>0</v>
      </c>
      <c r="AA21" s="180">
        <f ca="1">IFERROR(__xludf.DUMMYFUNCTION("IMPORTRANGE(""https://docs.google.com/spreadsheets/d/1Y9LPKx95PyL5OKy09d-KbKJSuuEZCFdkhYjwC0XQjBA/edit?usp=sharing"",""พิจิตร!I102"")"),30)</f>
        <v>30</v>
      </c>
      <c r="AB21" s="180">
        <f ca="1">IFERROR(__xludf.DUMMYFUNCTION("IMPORTRANGE(""https://docs.google.com/spreadsheets/d/1Y9LPKx95PyL5OKy09d-KbKJSuuEZCFdkhYjwC0XQjBA/edit?usp=sharing"",""พิจิตร!I103"")"),10)</f>
        <v>10</v>
      </c>
      <c r="AC21" s="181">
        <f ca="1">IFERROR(__xludf.DUMMYFUNCTION("IMPORTRANGE(""https://docs.google.com/spreadsheets/d/1Y9LPKx95PyL5OKy09d-KbKJSuuEZCFdkhYjwC0XQjBA/edit?usp=sharing"",""พิจิตร!J102"")"),30)</f>
        <v>30</v>
      </c>
      <c r="AD21" s="181">
        <f ca="1">IFERROR(__xludf.DUMMYFUNCTION("IMPORTRANGE(""https://docs.google.com/spreadsheets/d/1Y9LPKx95PyL5OKy09d-KbKJSuuEZCFdkhYjwC0XQjBA/edit?usp=sharing"",""พิจิตร!J103"")"),10)</f>
        <v>10</v>
      </c>
      <c r="AE21" s="181">
        <f ca="1">IFERROR(__xludf.DUMMYFUNCTION("IMPORTRANGE(""https://docs.google.com/spreadsheets/d/1Y9LPKx95PyL5OKy09d-KbKJSuuEZCFdkhYjwC0XQjBA/edit?usp=sharing"",""พิจิตร!J104"")"),10)</f>
        <v>10</v>
      </c>
      <c r="AF21" s="180">
        <f ca="1">IFERROR(__xludf.DUMMYFUNCTION("IMPORTRANGE(""https://docs.google.com/spreadsheets/d/1Y9LPKx95PyL5OKy09d-KbKJSuuEZCFdkhYjwC0XQjBA/edit?usp=sharing"",""พิจิตร!I106"")"),1)</f>
        <v>1</v>
      </c>
      <c r="AG21" s="181">
        <f ca="1">IFERROR(__xludf.DUMMYFUNCTION("IMPORTRANGE(""https://docs.google.com/spreadsheets/d/1Y9LPKx95PyL5OKy09d-KbKJSuuEZCFdkhYjwC0XQjBA/edit?usp=sharing"",""พิจิตร!J106"")"),0)</f>
        <v>0</v>
      </c>
      <c r="AH21" s="181">
        <f ca="1">IFERROR(__xludf.DUMMYFUNCTION("IMPORTRANGE(""https://docs.google.com/spreadsheets/d/1Y9LPKx95PyL5OKy09d-KbKJSuuEZCFdkhYjwC0XQjBA/edit?usp=sharing"",""พิจิตร!J107"")"),0)</f>
        <v>0</v>
      </c>
      <c r="AI21" s="180">
        <f ca="1">IFERROR(__xludf.DUMMYFUNCTION("IMPORTRANGE(""https://docs.google.com/spreadsheets/d/1Y9LPKx95PyL5OKy09d-KbKJSuuEZCFdkhYjwC0XQjBA/edit?usp=sharing"",""พิจิตร!I109"")"),1)</f>
        <v>1</v>
      </c>
      <c r="AJ21" s="181">
        <f ca="1">IFERROR(__xludf.DUMMYFUNCTION("IMPORTRANGE(""https://docs.google.com/spreadsheets/d/1Y9LPKx95PyL5OKy09d-KbKJSuuEZCFdkhYjwC0XQjBA/edit?usp=sharing"",""พิจิตร!J109"")"),0)</f>
        <v>0</v>
      </c>
      <c r="AK21" s="181">
        <f ca="1">IFERROR(__xludf.DUMMYFUNCTION("IMPORTRANGE(""https://docs.google.com/spreadsheets/d/1Y9LPKx95PyL5OKy09d-KbKJSuuEZCFdkhYjwC0XQjBA/edit?usp=sharing"",""พิจิตร!J110"")"),0)</f>
        <v>0</v>
      </c>
      <c r="AL21" s="180">
        <f ca="1">IFERROR(__xludf.DUMMYFUNCTION("IMPORTRANGE(""https://docs.google.com/spreadsheets/d/1Y9LPKx95PyL5OKy09d-KbKJSuuEZCFdkhYjwC0XQjBA/edit?usp=sharing"",""พิจิตร!I111"")"),10)</f>
        <v>10</v>
      </c>
      <c r="AM21" s="180">
        <f ca="1">IFERROR(__xludf.DUMMYFUNCTION("IMPORTRANGE(""https://docs.google.com/spreadsheets/d/1Y9LPKx95PyL5OKy09d-KbKJSuuEZCFdkhYjwC0XQjBA/edit?usp=sharing"",""พิจิตร!I112"")"),2)</f>
        <v>2</v>
      </c>
      <c r="AN21" s="181">
        <f ca="1">IFERROR(__xludf.DUMMYFUNCTION("IMPORTRANGE(""https://docs.google.com/spreadsheets/d/1Y9LPKx95PyL5OKy09d-KbKJSuuEZCFdkhYjwC0XQjBA/edit?usp=sharing"",""พิจิตร!J111"")"),0)</f>
        <v>0</v>
      </c>
      <c r="AO21" s="181">
        <f t="shared" ca="1" si="15"/>
        <v>0</v>
      </c>
      <c r="AP21" s="181">
        <f ca="1">IFERROR(__xludf.DUMMYFUNCTION("IMPORTRANGE(""https://docs.google.com/spreadsheets/d/1Y9LPKx95PyL5OKy09d-KbKJSuuEZCFdkhYjwC0XQjBA/edit?usp=sharing"",""พิจิตร!J112"")"),0)</f>
        <v>0</v>
      </c>
      <c r="AQ21" s="183">
        <f t="shared" ca="1" si="16"/>
        <v>0</v>
      </c>
      <c r="AR21" s="180">
        <f ca="1">IFERROR(__xludf.DUMMYFUNCTION("IMPORTRANGE(""https://docs.google.com/spreadsheets/d/1Y9LPKx95PyL5OKy09d-KbKJSuuEZCFdkhYjwC0XQjBA/edit?usp=sharing"",""พิจิตร!I113"")"),10)</f>
        <v>10</v>
      </c>
      <c r="AS21" s="180">
        <f ca="1">IFERROR(__xludf.DUMMYFUNCTION("IMPORTRANGE(""https://docs.google.com/spreadsheets/d/1Y9LPKx95PyL5OKy09d-KbKJSuuEZCFdkhYjwC0XQjBA/edit?usp=sharing"",""พิจิตร!J113"")"),0)</f>
        <v>0</v>
      </c>
      <c r="AT21" s="180">
        <f ca="1">IFERROR(__xludf.DUMMYFUNCTION("IMPORTRANGE(""https://docs.google.com/spreadsheets/d/1Y9LPKx95PyL5OKy09d-KbKJSuuEZCFdkhYjwC0XQjBA/edit?usp=sharing"",""พิจิตร!J114"")"),0)</f>
        <v>0</v>
      </c>
      <c r="AU21" s="180">
        <f ca="1">IFERROR(__xludf.DUMMYFUNCTION("IMPORTRANGE(""https://docs.google.com/spreadsheets/d/1Y9LPKx95PyL5OKy09d-KbKJSuuEZCFdkhYjwC0XQjBA/edit?usp=sharing"",""พิจิตร!I115"")"),1)</f>
        <v>1</v>
      </c>
      <c r="AV21" s="181">
        <f ca="1">IFERROR(__xludf.DUMMYFUNCTION("IMPORTRANGE(""https://docs.google.com/spreadsheets/d/1Y9LPKx95PyL5OKy09d-KbKJSuuEZCFdkhYjwC0XQjBA/edit?usp=sharing"",""พิจิตร!J115"")"),0)</f>
        <v>0</v>
      </c>
      <c r="AW21" s="183">
        <f t="shared" ca="1" si="18"/>
        <v>0</v>
      </c>
      <c r="AX21" s="180">
        <f ca="1">IFERROR(__xludf.DUMMYFUNCTION("IMPORTRANGE(""https://docs.google.com/spreadsheets/d/1Y9LPKx95PyL5OKy09d-KbKJSuuEZCFdkhYjwC0XQjBA/edit?usp=sharing"",""พิจิตร!I116"")"),1)</f>
        <v>1</v>
      </c>
      <c r="AY21" s="181">
        <f ca="1">IFERROR(__xludf.DUMMYFUNCTION("IMPORTRANGE(""https://docs.google.com/spreadsheets/d/1Y9LPKx95PyL5OKy09d-KbKJSuuEZCFdkhYjwC0XQjBA/edit?usp=sharing"",""พิจิตร!J116"")"),0)</f>
        <v>0</v>
      </c>
      <c r="AZ21" s="183">
        <f t="shared" ca="1" si="20"/>
        <v>0</v>
      </c>
    </row>
    <row r="22" spans="1:52" ht="24" customHeight="1" x14ac:dyDescent="0.3">
      <c r="A22" s="176">
        <v>9</v>
      </c>
      <c r="B22" s="177" t="s">
        <v>44</v>
      </c>
      <c r="C22" s="178">
        <f t="shared" ca="1" si="0"/>
        <v>447560</v>
      </c>
      <c r="D22" s="179">
        <f t="shared" ca="1" si="42"/>
        <v>447560</v>
      </c>
      <c r="E22" s="180">
        <f ca="1">IFERROR(__xludf.DUMMYFUNCTION("IMPORTRANGE(""https://docs.google.com/spreadsheets/d/1MeEWN-I1oV_STSDYn1IFDPWt_1FKiwhDph83XaGc0o0/edit?usp=sharing"",""งบพรบ!AR22"")"),286000)</f>
        <v>286000</v>
      </c>
      <c r="F22" s="180">
        <f ca="1">IFERROR(__xludf.DUMMYFUNCTION("IMPORTRANGE(""https://docs.google.com/spreadsheets/d/1MeEWN-I1oV_STSDYn1IFDPWt_1FKiwhDph83XaGc0o0/edit?usp=sharing"",""งบพรบ!AS22"")"),161560)</f>
        <v>161560</v>
      </c>
      <c r="G22" s="180">
        <f ca="1">IFERROR(__xludf.DUMMYFUNCTION("IMPORTRANGE(""https://docs.google.com/spreadsheets/d/1MeEWN-I1oV_STSDYn1IFDPWt_1FKiwhDph83XaGc0o0/edit?usp=sharing"",""งบพรบ!AT22"")"),0)</f>
        <v>0</v>
      </c>
      <c r="H22" s="180">
        <f ca="1">IFERROR(__xludf.DUMMYFUNCTION("IMPORTRANGE(""https://docs.google.com/spreadsheets/d/1MeEWN-I1oV_STSDYn1IFDPWt_1FKiwhDph83XaGc0o0/edit?usp=sharing"",""งบพรบ!AV22"")"),298360)</f>
        <v>298360</v>
      </c>
      <c r="I22" s="180">
        <f ca="1">IFERROR(__xludf.DUMMYFUNCTION("IMPORTRANGE(""https://docs.google.com/spreadsheets/d/1MeEWN-I1oV_STSDYn1IFDPWt_1FKiwhDph83XaGc0o0/edit?usp=sharing"",""งบพรบ!AW22"")"),0)</f>
        <v>0</v>
      </c>
      <c r="J22" s="180">
        <f t="shared" ca="1" si="3"/>
        <v>173486.68</v>
      </c>
      <c r="K22" s="187">
        <f t="shared" ca="1" si="4"/>
        <v>38.762775940655999</v>
      </c>
      <c r="L22" s="180">
        <f ca="1">IFERROR(__xludf.DUMMYFUNCTION("IMPORTRANGE(""https://docs.google.com/spreadsheets/d/1MeEWN-I1oV_STSDYn1IFDPWt_1FKiwhDph83XaGc0o0/edit?usp=sharing"",""งบพรบ!AX22"")"),173486.68)</f>
        <v>173486.68</v>
      </c>
      <c r="M22" s="183">
        <f t="shared" ca="1" si="5"/>
        <v>38.762775940655999</v>
      </c>
      <c r="N22" s="183">
        <f t="shared" ca="1" si="6"/>
        <v>58.146762300576484</v>
      </c>
      <c r="O22" s="184">
        <f ca="1">IFERROR(__xludf.DUMMYFUNCTION("IMPORTRANGE(""https://docs.google.com/spreadsheets/d/1MeEWN-I1oV_STSDYn1IFDPWt_1FKiwhDph83XaGc0o0/edit?usp=sharing"",""งบพรบ!AY22"")"),0)</f>
        <v>0</v>
      </c>
      <c r="P22" s="184">
        <f t="shared" ca="1" si="36"/>
        <v>0</v>
      </c>
      <c r="Q22" s="183">
        <f t="shared" ca="1" si="8"/>
        <v>0</v>
      </c>
      <c r="R22" s="181">
        <f ca="1">IFERROR(__xludf.DUMMYFUNCTION("IMPORTRANGE(""https://docs.google.com/spreadsheets/d/16OMuOwy2eVqZcYWOouQtTpa8X1L23h4660uVHc0C8os/edit?usp=sharing"",""พิษณุโลก!I98"")"),120)</f>
        <v>120</v>
      </c>
      <c r="S22" s="181">
        <f ca="1">IFERROR(__xludf.DUMMYFUNCTION("IMPORTRANGE(""https://docs.google.com/spreadsheets/d/16OMuOwy2eVqZcYWOouQtTpa8X1L23h4660uVHc0C8os/edit?usp=sharing"",""พิษณุโลก!J98"")"),120)</f>
        <v>120</v>
      </c>
      <c r="T22" s="181">
        <f t="shared" ca="1" si="10"/>
        <v>100</v>
      </c>
      <c r="U22" s="181">
        <f ca="1">IFERROR(__xludf.DUMMYFUNCTION("IMPORTRANGE(""https://docs.google.com/spreadsheets/d/16OMuOwy2eVqZcYWOouQtTpa8X1L23h4660uVHc0C8os/edit?usp=sharing"",""พิษณุโลก!I99"")"),40)</f>
        <v>40</v>
      </c>
      <c r="V22" s="181">
        <f ca="1">IFERROR(__xludf.DUMMYFUNCTION("IMPORTRANGE(""https://docs.google.com/spreadsheets/d/16OMuOwy2eVqZcYWOouQtTpa8X1L23h4660uVHc0C8os/edit?usp=sharing"",""พิษณุโลก!I100"")"),2)</f>
        <v>2</v>
      </c>
      <c r="W22" s="181">
        <f ca="1">IFERROR(__xludf.DUMMYFUNCTION("IMPORTRANGE(""https://docs.google.com/spreadsheets/d/16OMuOwy2eVqZcYWOouQtTpa8X1L23h4660uVHc0C8os/edit?usp=sharing"",""พิษณุโลก!J99"")"),40)</f>
        <v>40</v>
      </c>
      <c r="X22" s="185">
        <f t="shared" ca="1" si="12"/>
        <v>100</v>
      </c>
      <c r="Y22" s="186">
        <f ca="1">IFERROR(__xludf.DUMMYFUNCTION("IMPORTRANGE(""https://docs.google.com/spreadsheets/d/16OMuOwy2eVqZcYWOouQtTpa8X1L23h4660uVHc0C8os/edit?usp=sharing"",""พิษณุโลก!J100"")"),0)</f>
        <v>0</v>
      </c>
      <c r="Z22" s="185">
        <f t="shared" ca="1" si="13"/>
        <v>0</v>
      </c>
      <c r="AA22" s="180">
        <f ca="1">IFERROR(__xludf.DUMMYFUNCTION("IMPORTRANGE(""https://docs.google.com/spreadsheets/d/16OMuOwy2eVqZcYWOouQtTpa8X1L23h4660uVHc0C8os/edit?usp=sharing"",""พิษณุโลก!I102"")"),120)</f>
        <v>120</v>
      </c>
      <c r="AB22" s="180">
        <f ca="1">IFERROR(__xludf.DUMMYFUNCTION("IMPORTRANGE(""https://docs.google.com/spreadsheets/d/16OMuOwy2eVqZcYWOouQtTpa8X1L23h4660uVHc0C8os/edit?usp=sharing"",""พิษณุโลก!I103"")"),40)</f>
        <v>40</v>
      </c>
      <c r="AC22" s="181">
        <f ca="1">IFERROR(__xludf.DUMMYFUNCTION("IMPORTRANGE(""https://docs.google.com/spreadsheets/d/16OMuOwy2eVqZcYWOouQtTpa8X1L23h4660uVHc0C8os/edit?usp=sharing"",""พิษณุโลก!J102"")"),120)</f>
        <v>120</v>
      </c>
      <c r="AD22" s="181">
        <f ca="1">IFERROR(__xludf.DUMMYFUNCTION("IMPORTRANGE(""https://docs.google.com/spreadsheets/d/16OMuOwy2eVqZcYWOouQtTpa8X1L23h4660uVHc0C8os/edit?usp=sharing"",""พิษณุโลก!J103"")"),40)</f>
        <v>40</v>
      </c>
      <c r="AE22" s="181">
        <f ca="1">IFERROR(__xludf.DUMMYFUNCTION("IMPORTRANGE(""https://docs.google.com/spreadsheets/d/16OMuOwy2eVqZcYWOouQtTpa8X1L23h4660uVHc0C8os/edit?usp=sharing"",""พิษณุโลก!J104"")"),40)</f>
        <v>40</v>
      </c>
      <c r="AF22" s="180">
        <f ca="1">IFERROR(__xludf.DUMMYFUNCTION("IMPORTRANGE(""https://docs.google.com/spreadsheets/d/16OMuOwy2eVqZcYWOouQtTpa8X1L23h4660uVHc0C8os/edit?usp=sharing"",""พิษณุโลก!I106"")"),1)</f>
        <v>1</v>
      </c>
      <c r="AG22" s="181">
        <f ca="1">IFERROR(__xludf.DUMMYFUNCTION("IMPORTRANGE(""https://docs.google.com/spreadsheets/d/16OMuOwy2eVqZcYWOouQtTpa8X1L23h4660uVHc0C8os/edit?usp=sharing"",""พิษณุโลก!J106"")"),0)</f>
        <v>0</v>
      </c>
      <c r="AH22" s="181">
        <f ca="1">IFERROR(__xludf.DUMMYFUNCTION("IMPORTRANGE(""https://docs.google.com/spreadsheets/d/16OMuOwy2eVqZcYWOouQtTpa8X1L23h4660uVHc0C8os/edit?usp=sharing"",""พิษณุโลก!J107"")"),0)</f>
        <v>0</v>
      </c>
      <c r="AI22" s="180">
        <f ca="1">IFERROR(__xludf.DUMMYFUNCTION("IMPORTRANGE(""https://docs.google.com/spreadsheets/d/16OMuOwy2eVqZcYWOouQtTpa8X1L23h4660uVHc0C8os/edit?usp=sharing"",""พิษณุโลก!I109"")"),1)</f>
        <v>1</v>
      </c>
      <c r="AJ22" s="181">
        <f ca="1">IFERROR(__xludf.DUMMYFUNCTION("IMPORTRANGE(""https://docs.google.com/spreadsheets/d/16OMuOwy2eVqZcYWOouQtTpa8X1L23h4660uVHc0C8os/edit?usp=sharing"",""พิษณุโลก!J109"")"),0)</f>
        <v>0</v>
      </c>
      <c r="AK22" s="181">
        <f ca="1">IFERROR(__xludf.DUMMYFUNCTION("IMPORTRANGE(""https://docs.google.com/spreadsheets/d/16OMuOwy2eVqZcYWOouQtTpa8X1L23h4660uVHc0C8os/edit?usp=sharing"",""พิษณุโลก!J110"")"),0)</f>
        <v>0</v>
      </c>
      <c r="AL22" s="180">
        <f ca="1">IFERROR(__xludf.DUMMYFUNCTION("IMPORTRANGE(""https://docs.google.com/spreadsheets/d/16OMuOwy2eVqZcYWOouQtTpa8X1L23h4660uVHc0C8os/edit?usp=sharing"",""พิษณุโลก!I111"")"),40)</f>
        <v>40</v>
      </c>
      <c r="AM22" s="180">
        <f ca="1">IFERROR(__xludf.DUMMYFUNCTION("IMPORTRANGE(""https://docs.google.com/spreadsheets/d/16OMuOwy2eVqZcYWOouQtTpa8X1L23h4660uVHc0C8os/edit?usp=sharing"",""พิษณุโลก!I112"")"),2)</f>
        <v>2</v>
      </c>
      <c r="AN22" s="181">
        <f ca="1">IFERROR(__xludf.DUMMYFUNCTION("IMPORTRANGE(""https://docs.google.com/spreadsheets/d/16OMuOwy2eVqZcYWOouQtTpa8X1L23h4660uVHc0C8os/edit?usp=sharing"",""พิษณุโลก!J111"")"),0)</f>
        <v>0</v>
      </c>
      <c r="AO22" s="181">
        <f t="shared" ca="1" si="15"/>
        <v>0</v>
      </c>
      <c r="AP22" s="181">
        <f ca="1">IFERROR(__xludf.DUMMYFUNCTION("IMPORTRANGE(""https://docs.google.com/spreadsheets/d/16OMuOwy2eVqZcYWOouQtTpa8X1L23h4660uVHc0C8os/edit?usp=sharing"",""พิษณุโลก!J112"")"),0)</f>
        <v>0</v>
      </c>
      <c r="AQ22" s="183">
        <f t="shared" ca="1" si="16"/>
        <v>0</v>
      </c>
      <c r="AR22" s="180">
        <f ca="1">IFERROR(__xludf.DUMMYFUNCTION("IMPORTRANGE(""https://docs.google.com/spreadsheets/d/16OMuOwy2eVqZcYWOouQtTpa8X1L23h4660uVHc0C8os/edit?usp=sharing"",""พิษณุโลก!I113"")"),40)</f>
        <v>40</v>
      </c>
      <c r="AS22" s="180">
        <f ca="1">IFERROR(__xludf.DUMMYFUNCTION("IMPORTRANGE(""https://docs.google.com/spreadsheets/d/16OMuOwy2eVqZcYWOouQtTpa8X1L23h4660uVHc0C8os/edit?usp=sharing"",""พิษณุโลก!J113"")"),0)</f>
        <v>0</v>
      </c>
      <c r="AT22" s="180">
        <f ca="1">IFERROR(__xludf.DUMMYFUNCTION("IMPORTRANGE(""https://docs.google.com/spreadsheets/d/16OMuOwy2eVqZcYWOouQtTpa8X1L23h4660uVHc0C8os/edit?usp=sharing"",""พิษณุโลก!J114"")"),0)</f>
        <v>0</v>
      </c>
      <c r="AU22" s="180">
        <f ca="1">IFERROR(__xludf.DUMMYFUNCTION("IMPORTRANGE(""https://docs.google.com/spreadsheets/d/16OMuOwy2eVqZcYWOouQtTpa8X1L23h4660uVHc0C8os/edit?usp=sharing"",""พิษณุโลก!I115"")"),1)</f>
        <v>1</v>
      </c>
      <c r="AV22" s="181">
        <f ca="1">IFERROR(__xludf.DUMMYFUNCTION("IMPORTRANGE(""https://docs.google.com/spreadsheets/d/16OMuOwy2eVqZcYWOouQtTpa8X1L23h4660uVHc0C8os/edit?usp=sharing"",""พิษณุโลก!J115"")"),0)</f>
        <v>0</v>
      </c>
      <c r="AW22" s="183">
        <f t="shared" ca="1" si="18"/>
        <v>0</v>
      </c>
      <c r="AX22" s="180">
        <f ca="1">IFERROR(__xludf.DUMMYFUNCTION("IMPORTRANGE(""https://docs.google.com/spreadsheets/d/16OMuOwy2eVqZcYWOouQtTpa8X1L23h4660uVHc0C8os/edit?usp=sharing"",""พิษณุโลก!I116"")"),1)</f>
        <v>1</v>
      </c>
      <c r="AY22" s="181">
        <f ca="1">IFERROR(__xludf.DUMMYFUNCTION("IMPORTRANGE(""https://docs.google.com/spreadsheets/d/16OMuOwy2eVqZcYWOouQtTpa8X1L23h4660uVHc0C8os/edit?usp=sharing"",""พิษณุโลก!J116"")"),0)</f>
        <v>0</v>
      </c>
      <c r="AZ22" s="183">
        <f t="shared" ca="1" si="20"/>
        <v>0</v>
      </c>
    </row>
    <row r="23" spans="1:52" ht="24" customHeight="1" x14ac:dyDescent="0.3">
      <c r="A23" s="176">
        <v>10</v>
      </c>
      <c r="B23" s="177" t="s">
        <v>45</v>
      </c>
      <c r="C23" s="178">
        <f t="shared" ca="1" si="0"/>
        <v>420300</v>
      </c>
      <c r="D23" s="179">
        <f t="shared" ca="1" si="42"/>
        <v>420300</v>
      </c>
      <c r="E23" s="180">
        <f ca="1">IFERROR(__xludf.DUMMYFUNCTION("IMPORTRANGE(""https://docs.google.com/spreadsheets/d/1MeEWN-I1oV_STSDYn1IFDPWt_1FKiwhDph83XaGc0o0/edit?usp=sharing"",""งบพรบ!AR23"")"),296700)</f>
        <v>296700</v>
      </c>
      <c r="F23" s="180">
        <f ca="1">IFERROR(__xludf.DUMMYFUNCTION("IMPORTRANGE(""https://docs.google.com/spreadsheets/d/1MeEWN-I1oV_STSDYn1IFDPWt_1FKiwhDph83XaGc0o0/edit?usp=sharing"",""งบพรบ!AS23"")"),123600)</f>
        <v>123600</v>
      </c>
      <c r="G23" s="180">
        <f ca="1">IFERROR(__xludf.DUMMYFUNCTION("IMPORTRANGE(""https://docs.google.com/spreadsheets/d/1MeEWN-I1oV_STSDYn1IFDPWt_1FKiwhDph83XaGc0o0/edit?usp=sharing"",""งบพรบ!AT23"")"),0)</f>
        <v>0</v>
      </c>
      <c r="H23" s="180">
        <f ca="1">IFERROR(__xludf.DUMMYFUNCTION("IMPORTRANGE(""https://docs.google.com/spreadsheets/d/1MeEWN-I1oV_STSDYn1IFDPWt_1FKiwhDph83XaGc0o0/edit?usp=sharing"",""งบพรบ!AV23"")"),276175)</f>
        <v>276175</v>
      </c>
      <c r="I23" s="180">
        <f ca="1">IFERROR(__xludf.DUMMYFUNCTION("IMPORTRANGE(""https://docs.google.com/spreadsheets/d/1MeEWN-I1oV_STSDYn1IFDPWt_1FKiwhDph83XaGc0o0/edit?usp=sharing"",""งบพรบ!AW23"")"),0)</f>
        <v>0</v>
      </c>
      <c r="J23" s="180">
        <f t="shared" ca="1" si="3"/>
        <v>194804</v>
      </c>
      <c r="K23" s="187">
        <f t="shared" ca="1" si="4"/>
        <v>46.348798477278137</v>
      </c>
      <c r="L23" s="180">
        <f ca="1">IFERROR(__xludf.DUMMYFUNCTION("IMPORTRANGE(""https://docs.google.com/spreadsheets/d/1MeEWN-I1oV_STSDYn1IFDPWt_1FKiwhDph83XaGc0o0/edit?usp=sharing"",""งบพรบ!AX23"")"),194804)</f>
        <v>194804</v>
      </c>
      <c r="M23" s="183">
        <f t="shared" ca="1" si="5"/>
        <v>46.348798477278137</v>
      </c>
      <c r="N23" s="183">
        <f t="shared" ca="1" si="6"/>
        <v>70.536435231284514</v>
      </c>
      <c r="O23" s="184">
        <f ca="1">IFERROR(__xludf.DUMMYFUNCTION("IMPORTRANGE(""https://docs.google.com/spreadsheets/d/1MeEWN-I1oV_STSDYn1IFDPWt_1FKiwhDph83XaGc0o0/edit?usp=sharing"",""งบพรบ!AY23"")"),0)</f>
        <v>0</v>
      </c>
      <c r="P23" s="184">
        <f t="shared" ca="1" si="36"/>
        <v>0</v>
      </c>
      <c r="Q23" s="183">
        <f t="shared" ca="1" si="8"/>
        <v>0</v>
      </c>
      <c r="R23" s="181">
        <f ca="1">IFERROR(__xludf.DUMMYFUNCTION("IMPORTRANGE(""https://docs.google.com/spreadsheets/d/1GfgTldLG6k77HXaMQzaafODklYuucJZQNs_GAPEfZyY/edit?usp=sharing"",""เพชรบูรณ์!I98"")"),75)</f>
        <v>75</v>
      </c>
      <c r="S23" s="181">
        <f ca="1">IFERROR(__xludf.DUMMYFUNCTION("IMPORTRANGE(""https://docs.google.com/spreadsheets/d/1GfgTldLG6k77HXaMQzaafODklYuucJZQNs_GAPEfZyY/edit?usp=sharing"",""เพชรบูรณ์!J98"")"),75)</f>
        <v>75</v>
      </c>
      <c r="T23" s="181">
        <f t="shared" ca="1" si="10"/>
        <v>100</v>
      </c>
      <c r="U23" s="181">
        <f ca="1">IFERROR(__xludf.DUMMYFUNCTION("IMPORTRANGE(""https://docs.google.com/spreadsheets/d/1GfgTldLG6k77HXaMQzaafODklYuucJZQNs_GAPEfZyY/edit?usp=sharing"",""เพชรบูรณ์!I99"")"),25)</f>
        <v>25</v>
      </c>
      <c r="V23" s="181">
        <f ca="1">IFERROR(__xludf.DUMMYFUNCTION("IMPORTRANGE(""https://docs.google.com/spreadsheets/d/1GfgTldLG6k77HXaMQzaafODklYuucJZQNs_GAPEfZyY/edit?usp=sharing"",""เพชรบูรณ์!I100"")"),2)</f>
        <v>2</v>
      </c>
      <c r="W23" s="181">
        <f ca="1">IFERROR(__xludf.DUMMYFUNCTION("IMPORTRANGE(""https://docs.google.com/spreadsheets/d/1GfgTldLG6k77HXaMQzaafODklYuucJZQNs_GAPEfZyY/edit?usp=sharing"",""เพชรบูรณ์!J99"")"),25)</f>
        <v>25</v>
      </c>
      <c r="X23" s="185">
        <f t="shared" ca="1" si="12"/>
        <v>100</v>
      </c>
      <c r="Y23" s="186">
        <f ca="1">IFERROR(__xludf.DUMMYFUNCTION("IMPORTRANGE(""https://docs.google.com/spreadsheets/d/1GfgTldLG6k77HXaMQzaafODklYuucJZQNs_GAPEfZyY/edit?usp=sharing"",""เพชรบูรณ์!J100"")"),0)</f>
        <v>0</v>
      </c>
      <c r="Z23" s="185">
        <f t="shared" ca="1" si="13"/>
        <v>0</v>
      </c>
      <c r="AA23" s="180">
        <f ca="1">IFERROR(__xludf.DUMMYFUNCTION("IMPORTRANGE(""https://docs.google.com/spreadsheets/d/1GfgTldLG6k77HXaMQzaafODklYuucJZQNs_GAPEfZyY/edit?usp=sharing"",""เพชรบูรณ์!I102"")"),75)</f>
        <v>75</v>
      </c>
      <c r="AB23" s="180">
        <f ca="1">IFERROR(__xludf.DUMMYFUNCTION("IMPORTRANGE(""https://docs.google.com/spreadsheets/d/1GfgTldLG6k77HXaMQzaafODklYuucJZQNs_GAPEfZyY/edit?usp=sharing"",""เพชรบูรณ์!I103"")"),25)</f>
        <v>25</v>
      </c>
      <c r="AC23" s="181">
        <f ca="1">IFERROR(__xludf.DUMMYFUNCTION("IMPORTRANGE(""https://docs.google.com/spreadsheets/d/1GfgTldLG6k77HXaMQzaafODklYuucJZQNs_GAPEfZyY/edit?usp=sharing"",""เพชรบูรณ์!J102"")"),75)</f>
        <v>75</v>
      </c>
      <c r="AD23" s="181">
        <f ca="1">IFERROR(__xludf.DUMMYFUNCTION("IMPORTRANGE(""https://docs.google.com/spreadsheets/d/1GfgTldLG6k77HXaMQzaafODklYuucJZQNs_GAPEfZyY/edit?usp=sharing"",""เพชรบูรณ์!J103"")"),25)</f>
        <v>25</v>
      </c>
      <c r="AE23" s="181">
        <f ca="1">IFERROR(__xludf.DUMMYFUNCTION("IMPORTRANGE(""https://docs.google.com/spreadsheets/d/1GfgTldLG6k77HXaMQzaafODklYuucJZQNs_GAPEfZyY/edit?usp=sharing"",""เพชรบูรณ์!J104"")"),25)</f>
        <v>25</v>
      </c>
      <c r="AF23" s="180">
        <f ca="1">IFERROR(__xludf.DUMMYFUNCTION("IMPORTRANGE(""https://docs.google.com/spreadsheets/d/1GfgTldLG6k77HXaMQzaafODklYuucJZQNs_GAPEfZyY/edit?usp=sharing"",""เพชรบูรณ์!I106"")"),1)</f>
        <v>1</v>
      </c>
      <c r="AG23" s="181">
        <f ca="1">IFERROR(__xludf.DUMMYFUNCTION("IMPORTRANGE(""https://docs.google.com/spreadsheets/d/1GfgTldLG6k77HXaMQzaafODklYuucJZQNs_GAPEfZyY/edit?usp=sharing"",""เพชรบูรณ์!J106"")"),0)</f>
        <v>0</v>
      </c>
      <c r="AH23" s="181">
        <f ca="1">IFERROR(__xludf.DUMMYFUNCTION("IMPORTRANGE(""https://docs.google.com/spreadsheets/d/1GfgTldLG6k77HXaMQzaafODklYuucJZQNs_GAPEfZyY/edit?usp=sharing"",""เพชรบูรณ์!J107"")"),0)</f>
        <v>0</v>
      </c>
      <c r="AI23" s="180">
        <f ca="1">IFERROR(__xludf.DUMMYFUNCTION("IMPORTRANGE(""https://docs.google.com/spreadsheets/d/1GfgTldLG6k77HXaMQzaafODklYuucJZQNs_GAPEfZyY/edit?usp=sharing"",""เพชรบูรณ์!I109"")"),1)</f>
        <v>1</v>
      </c>
      <c r="AJ23" s="181">
        <f ca="1">IFERROR(__xludf.DUMMYFUNCTION("IMPORTRANGE(""https://docs.google.com/spreadsheets/d/1GfgTldLG6k77HXaMQzaafODklYuucJZQNs_GAPEfZyY/edit?usp=sharing"",""เพชรบูรณ์!J109"")"),0)</f>
        <v>0</v>
      </c>
      <c r="AK23" s="181">
        <f ca="1">IFERROR(__xludf.DUMMYFUNCTION("IMPORTRANGE(""https://docs.google.com/spreadsheets/d/1GfgTldLG6k77HXaMQzaafODklYuucJZQNs_GAPEfZyY/edit?usp=sharing"",""เพชรบูรณ์!J110"")"),0)</f>
        <v>0</v>
      </c>
      <c r="AL23" s="180">
        <f ca="1">IFERROR(__xludf.DUMMYFUNCTION("IMPORTRANGE(""https://docs.google.com/spreadsheets/d/1GfgTldLG6k77HXaMQzaafODklYuucJZQNs_GAPEfZyY/edit?usp=sharing"",""เพชรบูรณ์!I111"")"),25)</f>
        <v>25</v>
      </c>
      <c r="AM23" s="180">
        <f ca="1">IFERROR(__xludf.DUMMYFUNCTION("IMPORTRANGE(""https://docs.google.com/spreadsheets/d/1GfgTldLG6k77HXaMQzaafODklYuucJZQNs_GAPEfZyY/edit?usp=sharing"",""เพชรบูรณ์!I112"")"),2)</f>
        <v>2</v>
      </c>
      <c r="AN23" s="181">
        <f ca="1">IFERROR(__xludf.DUMMYFUNCTION("IMPORTRANGE(""https://docs.google.com/spreadsheets/d/1GfgTldLG6k77HXaMQzaafODklYuucJZQNs_GAPEfZyY/edit?usp=sharing"",""เพชรบูรณ์!J111"")"),0)</f>
        <v>0</v>
      </c>
      <c r="AO23" s="181">
        <f t="shared" ca="1" si="15"/>
        <v>0</v>
      </c>
      <c r="AP23" s="181">
        <f ca="1">IFERROR(__xludf.DUMMYFUNCTION("IMPORTRANGE(""https://docs.google.com/spreadsheets/d/1GfgTldLG6k77HXaMQzaafODklYuucJZQNs_GAPEfZyY/edit?usp=sharing"",""เพชรบูรณ์!J112"")"),0)</f>
        <v>0</v>
      </c>
      <c r="AQ23" s="183">
        <f t="shared" ca="1" si="16"/>
        <v>0</v>
      </c>
      <c r="AR23" s="180">
        <f ca="1">IFERROR(__xludf.DUMMYFUNCTION("IMPORTRANGE(""https://docs.google.com/spreadsheets/d/1GfgTldLG6k77HXaMQzaafODklYuucJZQNs_GAPEfZyY/edit?usp=sharing"",""เพชรบูรณ์!I113"")"),25)</f>
        <v>25</v>
      </c>
      <c r="AS23" s="180">
        <f ca="1">IFERROR(__xludf.DUMMYFUNCTION("IMPORTRANGE(""https://docs.google.com/spreadsheets/d/1GfgTldLG6k77HXaMQzaafODklYuucJZQNs_GAPEfZyY/edit?usp=sharing"",""เพชรบูรณ์!J113"")"),0)</f>
        <v>0</v>
      </c>
      <c r="AT23" s="180">
        <f ca="1">IFERROR(__xludf.DUMMYFUNCTION("IMPORTRANGE(""https://docs.google.com/spreadsheets/d/1GfgTldLG6k77HXaMQzaafODklYuucJZQNs_GAPEfZyY/edit?usp=sharing"",""เพชรบูรณ์!J114"")"),0)</f>
        <v>0</v>
      </c>
      <c r="AU23" s="180">
        <f ca="1">IFERROR(__xludf.DUMMYFUNCTION("IMPORTRANGE(""https://docs.google.com/spreadsheets/d/1GfgTldLG6k77HXaMQzaafODklYuucJZQNs_GAPEfZyY/edit?usp=sharing"",""เพชรบูรณ์!I115"")"),1)</f>
        <v>1</v>
      </c>
      <c r="AV23" s="181">
        <f ca="1">IFERROR(__xludf.DUMMYFUNCTION("IMPORTRANGE(""https://docs.google.com/spreadsheets/d/1GfgTldLG6k77HXaMQzaafODklYuucJZQNs_GAPEfZyY/edit?usp=sharing"",""เพชรบูรณ์!J115"")"),0)</f>
        <v>0</v>
      </c>
      <c r="AW23" s="183">
        <f t="shared" ca="1" si="18"/>
        <v>0</v>
      </c>
      <c r="AX23" s="180">
        <f ca="1">IFERROR(__xludf.DUMMYFUNCTION("IMPORTRANGE(""https://docs.google.com/spreadsheets/d/1GfgTldLG6k77HXaMQzaafODklYuucJZQNs_GAPEfZyY/edit?usp=sharing"",""เพชรบูรณ์!I116"")"),1)</f>
        <v>1</v>
      </c>
      <c r="AY23" s="181">
        <f ca="1">IFERROR(__xludf.DUMMYFUNCTION("IMPORTRANGE(""https://docs.google.com/spreadsheets/d/1GfgTldLG6k77HXaMQzaafODklYuucJZQNs_GAPEfZyY/edit?usp=sharing"",""เพชรบูรณ์!J116"")"),0)</f>
        <v>0</v>
      </c>
      <c r="AZ23" s="183">
        <f t="shared" ca="1" si="20"/>
        <v>0</v>
      </c>
    </row>
    <row r="24" spans="1:52" ht="24" customHeight="1" x14ac:dyDescent="0.3">
      <c r="A24" s="176">
        <v>11</v>
      </c>
      <c r="B24" s="177" t="s">
        <v>46</v>
      </c>
      <c r="C24" s="178">
        <f t="shared" ca="1" si="0"/>
        <v>86040</v>
      </c>
      <c r="D24" s="179">
        <f t="shared" ca="1" si="42"/>
        <v>86040</v>
      </c>
      <c r="E24" s="180">
        <f ca="1">IFERROR(__xludf.DUMMYFUNCTION("IMPORTRANGE(""https://docs.google.com/spreadsheets/d/1MeEWN-I1oV_STSDYn1IFDPWt_1FKiwhDph83XaGc0o0/edit?usp=sharing"",""งบพรบ!AR24"")"),0)</f>
        <v>0</v>
      </c>
      <c r="F24" s="180">
        <f ca="1">IFERROR(__xludf.DUMMYFUNCTION("IMPORTRANGE(""https://docs.google.com/spreadsheets/d/1MeEWN-I1oV_STSDYn1IFDPWt_1FKiwhDph83XaGc0o0/edit?usp=sharing"",""งบพรบ!AS24"")"),86040)</f>
        <v>86040</v>
      </c>
      <c r="G24" s="180">
        <f ca="1">IFERROR(__xludf.DUMMYFUNCTION("IMPORTRANGE(""https://docs.google.com/spreadsheets/d/1MeEWN-I1oV_STSDYn1IFDPWt_1FKiwhDph83XaGc0o0/edit?usp=sharing"",""งบพรบ!AT24"")"),0)</f>
        <v>0</v>
      </c>
      <c r="H24" s="180">
        <f ca="1">IFERROR(__xludf.DUMMYFUNCTION("IMPORTRANGE(""https://docs.google.com/spreadsheets/d/1MeEWN-I1oV_STSDYn1IFDPWt_1FKiwhDph83XaGc0o0/edit?usp=sharing"",""งบพรบ!AV24"")"),23840)</f>
        <v>23840</v>
      </c>
      <c r="I24" s="180">
        <f ca="1">IFERROR(__xludf.DUMMYFUNCTION("IMPORTRANGE(""https://docs.google.com/spreadsheets/d/1MeEWN-I1oV_STSDYn1IFDPWt_1FKiwhDph83XaGc0o0/edit?usp=sharing"",""งบพรบ!AW24"")"),0)</f>
        <v>0</v>
      </c>
      <c r="J24" s="180">
        <f t="shared" ca="1" si="3"/>
        <v>18340</v>
      </c>
      <c r="K24" s="187">
        <f t="shared" ca="1" si="4"/>
        <v>21.315667131566713</v>
      </c>
      <c r="L24" s="180">
        <f ca="1">IFERROR(__xludf.DUMMYFUNCTION("IMPORTRANGE(""https://docs.google.com/spreadsheets/d/1MeEWN-I1oV_STSDYn1IFDPWt_1FKiwhDph83XaGc0o0/edit?usp=sharing"",""งบพรบ!AX24"")"),18340)</f>
        <v>18340</v>
      </c>
      <c r="M24" s="183">
        <f t="shared" ca="1" si="5"/>
        <v>21.315667131566713</v>
      </c>
      <c r="N24" s="183">
        <f t="shared" ca="1" si="6"/>
        <v>76.929530201342288</v>
      </c>
      <c r="O24" s="184">
        <f ca="1">IFERROR(__xludf.DUMMYFUNCTION("IMPORTRANGE(""https://docs.google.com/spreadsheets/d/1MeEWN-I1oV_STSDYn1IFDPWt_1FKiwhDph83XaGc0o0/edit?usp=sharing"",""งบพรบ!AY24"")"),0)</f>
        <v>0</v>
      </c>
      <c r="P24" s="184">
        <f t="shared" ca="1" si="36"/>
        <v>0</v>
      </c>
      <c r="Q24" s="183">
        <f t="shared" ca="1" si="8"/>
        <v>0</v>
      </c>
      <c r="R24" s="181">
        <f ca="1">IFERROR(__xludf.DUMMYFUNCTION("IMPORTRANGE(""https://docs.google.com/spreadsheets/d/1gvTMYAnm7v1yG1BKWFtr0DnaTsq59oW9dwWvFgq6hs0/edit?usp=sharing"",""แพร่!I98"")"),30)</f>
        <v>30</v>
      </c>
      <c r="S24" s="181">
        <f ca="1">IFERROR(__xludf.DUMMYFUNCTION("IMPORTRANGE(""https://docs.google.com/spreadsheets/d/1gvTMYAnm7v1yG1BKWFtr0DnaTsq59oW9dwWvFgq6hs0/edit?usp=sharing"",""แพร่!J98"")"),30)</f>
        <v>30</v>
      </c>
      <c r="T24" s="181">
        <f t="shared" ca="1" si="10"/>
        <v>100</v>
      </c>
      <c r="U24" s="181">
        <f ca="1">IFERROR(__xludf.DUMMYFUNCTION("IMPORTRANGE(""https://docs.google.com/spreadsheets/d/1gvTMYAnm7v1yG1BKWFtr0DnaTsq59oW9dwWvFgq6hs0/edit?usp=sharing"",""แพร่!I99"")"),10)</f>
        <v>10</v>
      </c>
      <c r="V24" s="181">
        <f ca="1">IFERROR(__xludf.DUMMYFUNCTION("IMPORTRANGE(""https://docs.google.com/spreadsheets/d/1gvTMYAnm7v1yG1BKWFtr0DnaTsq59oW9dwWvFgq6hs0/edit?usp=sharing"",""แพร่!I100"")"),2)</f>
        <v>2</v>
      </c>
      <c r="W24" s="181">
        <f ca="1">IFERROR(__xludf.DUMMYFUNCTION("IMPORTRANGE(""https://docs.google.com/spreadsheets/d/1gvTMYAnm7v1yG1BKWFtr0DnaTsq59oW9dwWvFgq6hs0/edit?usp=sharing"",""แพร่!J99"")"),10)</f>
        <v>10</v>
      </c>
      <c r="X24" s="185">
        <f t="shared" ca="1" si="12"/>
        <v>100</v>
      </c>
      <c r="Y24" s="186">
        <f ca="1">IFERROR(__xludf.DUMMYFUNCTION("IMPORTRANGE(""https://docs.google.com/spreadsheets/d/1gvTMYAnm7v1yG1BKWFtr0DnaTsq59oW9dwWvFgq6hs0/edit?usp=sharing"",""แพร่!J100"")"),0)</f>
        <v>0</v>
      </c>
      <c r="Z24" s="185">
        <f t="shared" ca="1" si="13"/>
        <v>0</v>
      </c>
      <c r="AA24" s="180">
        <f ca="1">IFERROR(__xludf.DUMMYFUNCTION("IMPORTRANGE(""https://docs.google.com/spreadsheets/d/1gvTMYAnm7v1yG1BKWFtr0DnaTsq59oW9dwWvFgq6hs0/edit?usp=sharing"",""แพร่!I102"")"),30)</f>
        <v>30</v>
      </c>
      <c r="AB24" s="180">
        <f ca="1">IFERROR(__xludf.DUMMYFUNCTION("IMPORTRANGE(""https://docs.google.com/spreadsheets/d/1gvTMYAnm7v1yG1BKWFtr0DnaTsq59oW9dwWvFgq6hs0/edit?usp=sharing"",""แพร่!I103"")"),10)</f>
        <v>10</v>
      </c>
      <c r="AC24" s="181">
        <f ca="1">IFERROR(__xludf.DUMMYFUNCTION("IMPORTRANGE(""https://docs.google.com/spreadsheets/d/1gvTMYAnm7v1yG1BKWFtr0DnaTsq59oW9dwWvFgq6hs0/edit?usp=sharing"",""แพร่!J102"")"),30)</f>
        <v>30</v>
      </c>
      <c r="AD24" s="181">
        <f ca="1">IFERROR(__xludf.DUMMYFUNCTION("IMPORTRANGE(""https://docs.google.com/spreadsheets/d/1gvTMYAnm7v1yG1BKWFtr0DnaTsq59oW9dwWvFgq6hs0/edit?usp=sharing"",""แพร่!J103"")"),10)</f>
        <v>10</v>
      </c>
      <c r="AE24" s="181">
        <f ca="1">IFERROR(__xludf.DUMMYFUNCTION("IMPORTRANGE(""https://docs.google.com/spreadsheets/d/1gvTMYAnm7v1yG1BKWFtr0DnaTsq59oW9dwWvFgq6hs0/edit?usp=sharing"",""แพร่!J104"")"),10)</f>
        <v>10</v>
      </c>
      <c r="AF24" s="180">
        <f ca="1">IFERROR(__xludf.DUMMYFUNCTION("IMPORTRANGE(""https://docs.google.com/spreadsheets/d/1gvTMYAnm7v1yG1BKWFtr0DnaTsq59oW9dwWvFgq6hs0/edit?usp=sharing"",""แพร่!I106"")"),1)</f>
        <v>1</v>
      </c>
      <c r="AG24" s="181">
        <f ca="1">IFERROR(__xludf.DUMMYFUNCTION("IMPORTRANGE(""https://docs.google.com/spreadsheets/d/1gvTMYAnm7v1yG1BKWFtr0DnaTsq59oW9dwWvFgq6hs0/edit?usp=sharing"",""แพร่!J106"")"),0)</f>
        <v>0</v>
      </c>
      <c r="AH24" s="181">
        <f ca="1">IFERROR(__xludf.DUMMYFUNCTION("IMPORTRANGE(""https://docs.google.com/spreadsheets/d/1gvTMYAnm7v1yG1BKWFtr0DnaTsq59oW9dwWvFgq6hs0/edit?usp=sharing"",""แพร่!J107"")"),0)</f>
        <v>0</v>
      </c>
      <c r="AI24" s="180">
        <f ca="1">IFERROR(__xludf.DUMMYFUNCTION("IMPORTRANGE(""https://docs.google.com/spreadsheets/d/1gvTMYAnm7v1yG1BKWFtr0DnaTsq59oW9dwWvFgq6hs0/edit?usp=sharing"",""แพร่!I109"")"),1)</f>
        <v>1</v>
      </c>
      <c r="AJ24" s="181">
        <f ca="1">IFERROR(__xludf.DUMMYFUNCTION("IMPORTRANGE(""https://docs.google.com/spreadsheets/d/1gvTMYAnm7v1yG1BKWFtr0DnaTsq59oW9dwWvFgq6hs0/edit?usp=sharing"",""แพร่!J109"")"),0)</f>
        <v>0</v>
      </c>
      <c r="AK24" s="181">
        <f ca="1">IFERROR(__xludf.DUMMYFUNCTION("IMPORTRANGE(""https://docs.google.com/spreadsheets/d/1gvTMYAnm7v1yG1BKWFtr0DnaTsq59oW9dwWvFgq6hs0/edit?usp=sharing"",""แพร่!J110"")"),0)</f>
        <v>0</v>
      </c>
      <c r="AL24" s="180">
        <f ca="1">IFERROR(__xludf.DUMMYFUNCTION("IMPORTRANGE(""https://docs.google.com/spreadsheets/d/1gvTMYAnm7v1yG1BKWFtr0DnaTsq59oW9dwWvFgq6hs0/edit?usp=sharing"",""แพร่!I111"")"),10)</f>
        <v>10</v>
      </c>
      <c r="AM24" s="180">
        <f ca="1">IFERROR(__xludf.DUMMYFUNCTION("IMPORTRANGE(""https://docs.google.com/spreadsheets/d/1gvTMYAnm7v1yG1BKWFtr0DnaTsq59oW9dwWvFgq6hs0/edit?usp=sharing"",""แพร่!I112"")"),2)</f>
        <v>2</v>
      </c>
      <c r="AN24" s="181">
        <f ca="1">IFERROR(__xludf.DUMMYFUNCTION("IMPORTRANGE(""https://docs.google.com/spreadsheets/d/1gvTMYAnm7v1yG1BKWFtr0DnaTsq59oW9dwWvFgq6hs0/edit?usp=sharing"",""แพร่!J111"")"),0)</f>
        <v>0</v>
      </c>
      <c r="AO24" s="181">
        <f t="shared" ca="1" si="15"/>
        <v>0</v>
      </c>
      <c r="AP24" s="181">
        <f ca="1">IFERROR(__xludf.DUMMYFUNCTION("IMPORTRANGE(""https://docs.google.com/spreadsheets/d/1gvTMYAnm7v1yG1BKWFtr0DnaTsq59oW9dwWvFgq6hs0/edit?usp=sharing"",""แพร่!J112"")"),0)</f>
        <v>0</v>
      </c>
      <c r="AQ24" s="183">
        <f t="shared" ca="1" si="16"/>
        <v>0</v>
      </c>
      <c r="AR24" s="180">
        <f ca="1">IFERROR(__xludf.DUMMYFUNCTION("IMPORTRANGE(""https://docs.google.com/spreadsheets/d/1gvTMYAnm7v1yG1BKWFtr0DnaTsq59oW9dwWvFgq6hs0/edit?usp=sharing"",""แพร่!I113"")"),10)</f>
        <v>10</v>
      </c>
      <c r="AS24" s="180">
        <f ca="1">IFERROR(__xludf.DUMMYFUNCTION("IMPORTRANGE(""https://docs.google.com/spreadsheets/d/1gvTMYAnm7v1yG1BKWFtr0DnaTsq59oW9dwWvFgq6hs0/edit?usp=sharing"",""แพร่!J113"")"),0)</f>
        <v>0</v>
      </c>
      <c r="AT24" s="180">
        <f ca="1">IFERROR(__xludf.DUMMYFUNCTION("IMPORTRANGE(""https://docs.google.com/spreadsheets/d/1gvTMYAnm7v1yG1BKWFtr0DnaTsq59oW9dwWvFgq6hs0/edit?usp=sharing"",""แพร่!J114"")"),0)</f>
        <v>0</v>
      </c>
      <c r="AU24" s="180">
        <f ca="1">IFERROR(__xludf.DUMMYFUNCTION("IMPORTRANGE(""https://docs.google.com/spreadsheets/d/1gvTMYAnm7v1yG1BKWFtr0DnaTsq59oW9dwWvFgq6hs0/edit?usp=sharing"",""แพร่!I115"")"),1)</f>
        <v>1</v>
      </c>
      <c r="AV24" s="181">
        <f ca="1">IFERROR(__xludf.DUMMYFUNCTION("IMPORTRANGE(""https://docs.google.com/spreadsheets/d/1gvTMYAnm7v1yG1BKWFtr0DnaTsq59oW9dwWvFgq6hs0/edit?usp=sharing"",""แพร่!J115"")"),0)</f>
        <v>0</v>
      </c>
      <c r="AW24" s="183">
        <f t="shared" ca="1" si="18"/>
        <v>0</v>
      </c>
      <c r="AX24" s="180">
        <f ca="1">IFERROR(__xludf.DUMMYFUNCTION("IMPORTRANGE(""https://docs.google.com/spreadsheets/d/1gvTMYAnm7v1yG1BKWFtr0DnaTsq59oW9dwWvFgq6hs0/edit?usp=sharing"",""แพร่!I116"")"),1)</f>
        <v>1</v>
      </c>
      <c r="AY24" s="181">
        <f ca="1">IFERROR(__xludf.DUMMYFUNCTION("IMPORTRANGE(""https://docs.google.com/spreadsheets/d/1gvTMYAnm7v1yG1BKWFtr0DnaTsq59oW9dwWvFgq6hs0/edit?usp=sharing"",""แพร่!J116"")"),0)</f>
        <v>0</v>
      </c>
      <c r="AZ24" s="183">
        <f t="shared" ca="1" si="20"/>
        <v>0</v>
      </c>
    </row>
    <row r="25" spans="1:52" ht="24" customHeight="1" x14ac:dyDescent="0.3">
      <c r="A25" s="176">
        <v>12</v>
      </c>
      <c r="B25" s="177" t="s">
        <v>47</v>
      </c>
      <c r="C25" s="178">
        <f t="shared" ca="1" si="0"/>
        <v>235620</v>
      </c>
      <c r="D25" s="179">
        <f t="shared" ca="1" si="42"/>
        <v>235620</v>
      </c>
      <c r="E25" s="180">
        <f ca="1">IFERROR(__xludf.DUMMYFUNCTION("IMPORTRANGE(""https://docs.google.com/spreadsheets/d/1MeEWN-I1oV_STSDYn1IFDPWt_1FKiwhDph83XaGc0o0/edit?usp=sharing"",""งบพรบ!AR25"")"),159300)</f>
        <v>159300</v>
      </c>
      <c r="F25" s="180">
        <f ca="1">IFERROR(__xludf.DUMMYFUNCTION("IMPORTRANGE(""https://docs.google.com/spreadsheets/d/1MeEWN-I1oV_STSDYn1IFDPWt_1FKiwhDph83XaGc0o0/edit?usp=sharing"",""งบพรบ!AS25"")"),76320)</f>
        <v>76320</v>
      </c>
      <c r="G25" s="180">
        <f ca="1">IFERROR(__xludf.DUMMYFUNCTION("IMPORTRANGE(""https://docs.google.com/spreadsheets/d/1MeEWN-I1oV_STSDYn1IFDPWt_1FKiwhDph83XaGc0o0/edit?usp=sharing"",""งบพรบ!AT25"")"),0)</f>
        <v>0</v>
      </c>
      <c r="H25" s="180">
        <f ca="1">IFERROR(__xludf.DUMMYFUNCTION("IMPORTRANGE(""https://docs.google.com/spreadsheets/d/1MeEWN-I1oV_STSDYn1IFDPWt_1FKiwhDph83XaGc0o0/edit?usp=sharing"",""งบพรบ!AV25"")"),186795)</f>
        <v>186795</v>
      </c>
      <c r="I25" s="180">
        <f ca="1">IFERROR(__xludf.DUMMYFUNCTION("IMPORTRANGE(""https://docs.google.com/spreadsheets/d/1MeEWN-I1oV_STSDYn1IFDPWt_1FKiwhDph83XaGc0o0/edit?usp=sharing"",""งบพรบ!AW25"")"),0)</f>
        <v>0</v>
      </c>
      <c r="J25" s="180">
        <f t="shared" ca="1" si="3"/>
        <v>127243.4</v>
      </c>
      <c r="K25" s="187">
        <f t="shared" ca="1" si="4"/>
        <v>54.003649944826414</v>
      </c>
      <c r="L25" s="180">
        <f ca="1">IFERROR(__xludf.DUMMYFUNCTION("IMPORTRANGE(""https://docs.google.com/spreadsheets/d/1MeEWN-I1oV_STSDYn1IFDPWt_1FKiwhDph83XaGc0o0/edit?usp=sharing"",""งบพรบ!AX25"")"),127243.4)</f>
        <v>127243.4</v>
      </c>
      <c r="M25" s="183">
        <f t="shared" ca="1" si="5"/>
        <v>54.003649944826414</v>
      </c>
      <c r="N25" s="183">
        <f t="shared" ca="1" si="6"/>
        <v>68.119275141197576</v>
      </c>
      <c r="O25" s="184">
        <f ca="1">IFERROR(__xludf.DUMMYFUNCTION("IMPORTRANGE(""https://docs.google.com/spreadsheets/d/1MeEWN-I1oV_STSDYn1IFDPWt_1FKiwhDph83XaGc0o0/edit?usp=sharing"",""งบพรบ!AY25"")"),0)</f>
        <v>0</v>
      </c>
      <c r="P25" s="184">
        <f t="shared" ca="1" si="36"/>
        <v>0</v>
      </c>
      <c r="Q25" s="183">
        <f t="shared" ca="1" si="8"/>
        <v>0</v>
      </c>
      <c r="R25" s="181">
        <f ca="1">IFERROR(__xludf.DUMMYFUNCTION("IMPORTRANGE(""https://docs.google.com/spreadsheets/d/1Wbcosgy-Xa1xXUArJSOenub6EfZHUSzc_bpJFWwQUf0/edit?usp=sharing"",""แม่ฮ่องสอน!I98"")"),90)</f>
        <v>90</v>
      </c>
      <c r="S25" s="181">
        <f ca="1">IFERROR(__xludf.DUMMYFUNCTION("IMPORTRANGE(""https://docs.google.com/spreadsheets/d/1Wbcosgy-Xa1xXUArJSOenub6EfZHUSzc_bpJFWwQUf0/edit?usp=sharing"",""แม่ฮ่องสอน!J98"")"),0)</f>
        <v>0</v>
      </c>
      <c r="T25" s="181">
        <f t="shared" ca="1" si="10"/>
        <v>0</v>
      </c>
      <c r="U25" s="181">
        <f ca="1">IFERROR(__xludf.DUMMYFUNCTION("IMPORTRANGE(""https://docs.google.com/spreadsheets/d/1Wbcosgy-Xa1xXUArJSOenub6EfZHUSzc_bpJFWwQUf0/edit?usp=sharing"",""แม่ฮ่องสอน!I99"")"),30)</f>
        <v>30</v>
      </c>
      <c r="V25" s="181">
        <f ca="1">IFERROR(__xludf.DUMMYFUNCTION("IMPORTRANGE(""https://docs.google.com/spreadsheets/d/1Wbcosgy-Xa1xXUArJSOenub6EfZHUSzc_bpJFWwQUf0/edit?usp=sharing"",""แม่ฮ่องสอน!I100"")"),0)</f>
        <v>0</v>
      </c>
      <c r="W25" s="181">
        <f ca="1">IFERROR(__xludf.DUMMYFUNCTION("IMPORTRANGE(""https://docs.google.com/spreadsheets/d/1Wbcosgy-Xa1xXUArJSOenub6EfZHUSzc_bpJFWwQUf0/edit?usp=sharing"",""แม่ฮ่องสอน!J99"")"),0)</f>
        <v>0</v>
      </c>
      <c r="X25" s="185">
        <f t="shared" ca="1" si="12"/>
        <v>0</v>
      </c>
      <c r="Y25" s="186">
        <f ca="1">IFERROR(__xludf.DUMMYFUNCTION("IMPORTRANGE(""https://docs.google.com/spreadsheets/d/1Wbcosgy-Xa1xXUArJSOenub6EfZHUSzc_bpJFWwQUf0/edit?usp=sharing"",""แม่ฮ่องสอน!J100"")"),0)</f>
        <v>0</v>
      </c>
      <c r="Z25" s="185">
        <f t="shared" ca="1" si="13"/>
        <v>0</v>
      </c>
      <c r="AA25" s="180">
        <f ca="1">IFERROR(__xludf.DUMMYFUNCTION("IMPORTRANGE(""https://docs.google.com/spreadsheets/d/1Wbcosgy-Xa1xXUArJSOenub6EfZHUSzc_bpJFWwQUf0/edit?usp=sharing"",""แม่ฮ่องสอน!I102"")"),90)</f>
        <v>90</v>
      </c>
      <c r="AB25" s="180">
        <f ca="1">IFERROR(__xludf.DUMMYFUNCTION("IMPORTRANGE(""https://docs.google.com/spreadsheets/d/1Wbcosgy-Xa1xXUArJSOenub6EfZHUSzc_bpJFWwQUf0/edit?usp=sharing"",""แม่ฮ่องสอน!I103"")"),30)</f>
        <v>30</v>
      </c>
      <c r="AC25" s="181">
        <f ca="1">IFERROR(__xludf.DUMMYFUNCTION("IMPORTRANGE(""https://docs.google.com/spreadsheets/d/1Wbcosgy-Xa1xXUArJSOenub6EfZHUSzc_bpJFWwQUf0/edit?usp=sharing"",""แม่ฮ่องสอน!J102"")"),0)</f>
        <v>0</v>
      </c>
      <c r="AD25" s="181">
        <f ca="1">IFERROR(__xludf.DUMMYFUNCTION("IMPORTRANGE(""https://docs.google.com/spreadsheets/d/1Wbcosgy-Xa1xXUArJSOenub6EfZHUSzc_bpJFWwQUf0/edit?usp=sharing"",""แม่ฮ่องสอน!J103"")"),0)</f>
        <v>0</v>
      </c>
      <c r="AE25" s="181">
        <f ca="1">IFERROR(__xludf.DUMMYFUNCTION("IMPORTRANGE(""https://docs.google.com/spreadsheets/d/1Wbcosgy-Xa1xXUArJSOenub6EfZHUSzc_bpJFWwQUf0/edit?usp=sharing"",""แม่ฮ่องสอน!J104"")"),0)</f>
        <v>0</v>
      </c>
      <c r="AF25" s="180">
        <f ca="1">IFERROR(__xludf.DUMMYFUNCTION("IMPORTRANGE(""https://docs.google.com/spreadsheets/d/1Wbcosgy-Xa1xXUArJSOenub6EfZHUSzc_bpJFWwQUf0/edit?usp=sharing"",""แม่ฮ่องสอน!I106"")"),0)</f>
        <v>0</v>
      </c>
      <c r="AG25" s="181">
        <f ca="1">IFERROR(__xludf.DUMMYFUNCTION("IMPORTRANGE(""https://docs.google.com/spreadsheets/d/1Wbcosgy-Xa1xXUArJSOenub6EfZHUSzc_bpJFWwQUf0/edit?usp=sharing"",""แม่ฮ่องสอน!J106"")"),0)</f>
        <v>0</v>
      </c>
      <c r="AH25" s="181">
        <f ca="1">IFERROR(__xludf.DUMMYFUNCTION("IMPORTRANGE(""https://docs.google.com/spreadsheets/d/1Wbcosgy-Xa1xXUArJSOenub6EfZHUSzc_bpJFWwQUf0/edit?usp=sharing"",""แม่ฮ่องสอน!J107"")"),0)</f>
        <v>0</v>
      </c>
      <c r="AI25" s="180">
        <f ca="1">IFERROR(__xludf.DUMMYFUNCTION("IMPORTRANGE(""https://docs.google.com/spreadsheets/d/1Wbcosgy-Xa1xXUArJSOenub6EfZHUSzc_bpJFWwQUf0/edit?usp=sharing"",""แม่ฮ่องสอน!I109"")"),0)</f>
        <v>0</v>
      </c>
      <c r="AJ25" s="181">
        <f ca="1">IFERROR(__xludf.DUMMYFUNCTION("IMPORTRANGE(""https://docs.google.com/spreadsheets/d/1Wbcosgy-Xa1xXUArJSOenub6EfZHUSzc_bpJFWwQUf0/edit?usp=sharing"",""แม่ฮ่องสอน!J109"")"),0)</f>
        <v>0</v>
      </c>
      <c r="AK25" s="181">
        <f ca="1">IFERROR(__xludf.DUMMYFUNCTION("IMPORTRANGE(""https://docs.google.com/spreadsheets/d/1Wbcosgy-Xa1xXUArJSOenub6EfZHUSzc_bpJFWwQUf0/edit?usp=sharing"",""แม่ฮ่องสอน!J110"")"),0)</f>
        <v>0</v>
      </c>
      <c r="AL25" s="180">
        <f ca="1">IFERROR(__xludf.DUMMYFUNCTION("IMPORTRANGE(""https://docs.google.com/spreadsheets/d/1Wbcosgy-Xa1xXUArJSOenub6EfZHUSzc_bpJFWwQUf0/edit?usp=sharing"",""แม่ฮ่องสอน!I111"")"),30)</f>
        <v>30</v>
      </c>
      <c r="AM25" s="180">
        <f ca="1">IFERROR(__xludf.DUMMYFUNCTION("IMPORTRANGE(""https://docs.google.com/spreadsheets/d/1Wbcosgy-Xa1xXUArJSOenub6EfZHUSzc_bpJFWwQUf0/edit?usp=sharing"",""แม่ฮ่องสอน!I112"")"),0)</f>
        <v>0</v>
      </c>
      <c r="AN25" s="181">
        <f ca="1">IFERROR(__xludf.DUMMYFUNCTION("IMPORTRANGE(""https://docs.google.com/spreadsheets/d/1Wbcosgy-Xa1xXUArJSOenub6EfZHUSzc_bpJFWwQUf0/edit?usp=sharing"",""แม่ฮ่องสอน!J111"")"),0)</f>
        <v>0</v>
      </c>
      <c r="AO25" s="181">
        <f t="shared" ca="1" si="15"/>
        <v>0</v>
      </c>
      <c r="AP25" s="181">
        <f ca="1">IFERROR(__xludf.DUMMYFUNCTION("IMPORTRANGE(""https://docs.google.com/spreadsheets/d/1Wbcosgy-Xa1xXUArJSOenub6EfZHUSzc_bpJFWwQUf0/edit?usp=sharing"",""แม่ฮ่องสอน!J112"")"),0)</f>
        <v>0</v>
      </c>
      <c r="AQ25" s="183">
        <f t="shared" ca="1" si="16"/>
        <v>0</v>
      </c>
      <c r="AR25" s="180">
        <f ca="1">IFERROR(__xludf.DUMMYFUNCTION("IMPORTRANGE(""https://docs.google.com/spreadsheets/d/1Wbcosgy-Xa1xXUArJSOenub6EfZHUSzc_bpJFWwQUf0/edit?usp=sharing"",""แม่ฮ่องสอน!I113"")"),30)</f>
        <v>30</v>
      </c>
      <c r="AS25" s="180">
        <f ca="1">IFERROR(__xludf.DUMMYFUNCTION("IMPORTRANGE(""https://docs.google.com/spreadsheets/d/1Wbcosgy-Xa1xXUArJSOenub6EfZHUSzc_bpJFWwQUf0/edit?usp=sharing"",""แม่ฮ่องสอน!J113"")"),0)</f>
        <v>0</v>
      </c>
      <c r="AT25" s="180">
        <f ca="1">IFERROR(__xludf.DUMMYFUNCTION("IMPORTRANGE(""https://docs.google.com/spreadsheets/d/1Wbcosgy-Xa1xXUArJSOenub6EfZHUSzc_bpJFWwQUf0/edit?usp=sharing"",""แม่ฮ่องสอน!J114"")"),0)</f>
        <v>0</v>
      </c>
      <c r="AU25" s="180">
        <f ca="1">IFERROR(__xludf.DUMMYFUNCTION("IMPORTRANGE(""https://docs.google.com/spreadsheets/d/1Wbcosgy-Xa1xXUArJSOenub6EfZHUSzc_bpJFWwQUf0/edit?usp=sharing"",""แม่ฮ่องสอน!I115"")"),0)</f>
        <v>0</v>
      </c>
      <c r="AV25" s="181">
        <f ca="1">IFERROR(__xludf.DUMMYFUNCTION("IMPORTRANGE(""https://docs.google.com/spreadsheets/d/1Wbcosgy-Xa1xXUArJSOenub6EfZHUSzc_bpJFWwQUf0/edit?usp=sharing"",""แม่ฮ่องสอน!J115"")"),0)</f>
        <v>0</v>
      </c>
      <c r="AW25" s="183">
        <f t="shared" ca="1" si="18"/>
        <v>0</v>
      </c>
      <c r="AX25" s="180">
        <f ca="1">IFERROR(__xludf.DUMMYFUNCTION("IMPORTRANGE(""https://docs.google.com/spreadsheets/d/1Wbcosgy-Xa1xXUArJSOenub6EfZHUSzc_bpJFWwQUf0/edit?usp=sharing"",""แม่ฮ่องสอน!I116"")"),0)</f>
        <v>0</v>
      </c>
      <c r="AY25" s="181">
        <f ca="1">IFERROR(__xludf.DUMMYFUNCTION("IMPORTRANGE(""https://docs.google.com/spreadsheets/d/1Wbcosgy-Xa1xXUArJSOenub6EfZHUSzc_bpJFWwQUf0/edit?usp=sharing"",""แม่ฮ่องสอน!J116"")"),0)</f>
        <v>0</v>
      </c>
      <c r="AZ25" s="183">
        <f t="shared" ca="1" si="20"/>
        <v>0</v>
      </c>
    </row>
    <row r="26" spans="1:52" ht="24" customHeight="1" x14ac:dyDescent="0.3">
      <c r="A26" s="176">
        <v>13</v>
      </c>
      <c r="B26" s="177" t="s">
        <v>48</v>
      </c>
      <c r="C26" s="178">
        <f t="shared" ca="1" si="0"/>
        <v>86040</v>
      </c>
      <c r="D26" s="179">
        <f t="shared" ca="1" si="42"/>
        <v>86040</v>
      </c>
      <c r="E26" s="180">
        <f ca="1">IFERROR(__xludf.DUMMYFUNCTION("IMPORTRANGE(""https://docs.google.com/spreadsheets/d/1MeEWN-I1oV_STSDYn1IFDPWt_1FKiwhDph83XaGc0o0/edit?usp=sharing"",""งบพรบ!AR26"")"),0)</f>
        <v>0</v>
      </c>
      <c r="F26" s="180">
        <f ca="1">IFERROR(__xludf.DUMMYFUNCTION("IMPORTRANGE(""https://docs.google.com/spreadsheets/d/1MeEWN-I1oV_STSDYn1IFDPWt_1FKiwhDph83XaGc0o0/edit?usp=sharing"",""งบพรบ!AS26"")"),86040)</f>
        <v>86040</v>
      </c>
      <c r="G26" s="180">
        <f ca="1">IFERROR(__xludf.DUMMYFUNCTION("IMPORTRANGE(""https://docs.google.com/spreadsheets/d/1MeEWN-I1oV_STSDYn1IFDPWt_1FKiwhDph83XaGc0o0/edit?usp=sharing"",""งบพรบ!AT26"")"),0)</f>
        <v>0</v>
      </c>
      <c r="H26" s="180">
        <f ca="1">IFERROR(__xludf.DUMMYFUNCTION("IMPORTRANGE(""https://docs.google.com/spreadsheets/d/1MeEWN-I1oV_STSDYn1IFDPWt_1FKiwhDph83XaGc0o0/edit?usp=sharing"",""งบพรบ!AV26"")"),23840)</f>
        <v>23840</v>
      </c>
      <c r="I26" s="180">
        <f ca="1">IFERROR(__xludf.DUMMYFUNCTION("IMPORTRANGE(""https://docs.google.com/spreadsheets/d/1MeEWN-I1oV_STSDYn1IFDPWt_1FKiwhDph83XaGc0o0/edit?usp=sharing"",""งบพรบ!AW26"")"),0)</f>
        <v>0</v>
      </c>
      <c r="J26" s="180">
        <f t="shared" ca="1" si="3"/>
        <v>16115</v>
      </c>
      <c r="K26" s="187">
        <f t="shared" ca="1" si="4"/>
        <v>18.729660622966062</v>
      </c>
      <c r="L26" s="180">
        <f ca="1">IFERROR(__xludf.DUMMYFUNCTION("IMPORTRANGE(""https://docs.google.com/spreadsheets/d/1MeEWN-I1oV_STSDYn1IFDPWt_1FKiwhDph83XaGc0o0/edit?usp=sharing"",""งบพรบ!AX26"")"),16115)</f>
        <v>16115</v>
      </c>
      <c r="M26" s="183">
        <f t="shared" ca="1" si="5"/>
        <v>18.729660622966062</v>
      </c>
      <c r="N26" s="183">
        <f t="shared" ca="1" si="6"/>
        <v>67.59647651006712</v>
      </c>
      <c r="O26" s="184">
        <f ca="1">IFERROR(__xludf.DUMMYFUNCTION("IMPORTRANGE(""https://docs.google.com/spreadsheets/d/1MeEWN-I1oV_STSDYn1IFDPWt_1FKiwhDph83XaGc0o0/edit?usp=sharing"",""งบพรบ!AY26"")"),0)</f>
        <v>0</v>
      </c>
      <c r="P26" s="184">
        <f t="shared" ca="1" si="36"/>
        <v>0</v>
      </c>
      <c r="Q26" s="183">
        <f t="shared" ca="1" si="8"/>
        <v>0</v>
      </c>
      <c r="R26" s="181">
        <f ca="1">IFERROR(__xludf.DUMMYFUNCTION("IMPORTRANGE(""https://docs.google.com/spreadsheets/d/1p7ERhsr0qZeSn-KSOdeHS9r0heI-lHtkcn2OH7hP0jQ/edit?usp=sharing"",""ลำปาง!I98"")"),30)</f>
        <v>30</v>
      </c>
      <c r="S26" s="181">
        <f ca="1">IFERROR(__xludf.DUMMYFUNCTION("IMPORTRANGE(""https://docs.google.com/spreadsheets/d/1p7ERhsr0qZeSn-KSOdeHS9r0heI-lHtkcn2OH7hP0jQ/edit?usp=sharing"",""ลำปาง!J98"")"),30)</f>
        <v>30</v>
      </c>
      <c r="T26" s="181">
        <f t="shared" ca="1" si="10"/>
        <v>100</v>
      </c>
      <c r="U26" s="181">
        <f ca="1">IFERROR(__xludf.DUMMYFUNCTION("IMPORTRANGE(""https://docs.google.com/spreadsheets/d/1p7ERhsr0qZeSn-KSOdeHS9r0heI-lHtkcn2OH7hP0jQ/edit?usp=sharing"",""ลำปาง!I99"")"),10)</f>
        <v>10</v>
      </c>
      <c r="V26" s="181">
        <f ca="1">IFERROR(__xludf.DUMMYFUNCTION("IMPORTRANGE(""https://docs.google.com/spreadsheets/d/1p7ERhsr0qZeSn-KSOdeHS9r0heI-lHtkcn2OH7hP0jQ/edit?usp=sharing"",""ลำปาง!I100"")"),2)</f>
        <v>2</v>
      </c>
      <c r="W26" s="181">
        <f ca="1">IFERROR(__xludf.DUMMYFUNCTION("IMPORTRANGE(""https://docs.google.com/spreadsheets/d/1p7ERhsr0qZeSn-KSOdeHS9r0heI-lHtkcn2OH7hP0jQ/edit?usp=sharing"",""ลำปาง!J99"")"),10)</f>
        <v>10</v>
      </c>
      <c r="X26" s="185">
        <f t="shared" ca="1" si="12"/>
        <v>100</v>
      </c>
      <c r="Y26" s="186">
        <f ca="1">IFERROR(__xludf.DUMMYFUNCTION("IMPORTRANGE(""https://docs.google.com/spreadsheets/d/1p7ERhsr0qZeSn-KSOdeHS9r0heI-lHtkcn2OH7hP0jQ/edit?usp=sharing"",""ลำปาง!J100"")"),0)</f>
        <v>0</v>
      </c>
      <c r="Z26" s="185">
        <f t="shared" ca="1" si="13"/>
        <v>0</v>
      </c>
      <c r="AA26" s="180">
        <f ca="1">IFERROR(__xludf.DUMMYFUNCTION("IMPORTRANGE(""https://docs.google.com/spreadsheets/d/1p7ERhsr0qZeSn-KSOdeHS9r0heI-lHtkcn2OH7hP0jQ/edit?usp=sharing"",""ลำปาง!I102"")"),30)</f>
        <v>30</v>
      </c>
      <c r="AB26" s="180">
        <f ca="1">IFERROR(__xludf.DUMMYFUNCTION("IMPORTRANGE(""https://docs.google.com/spreadsheets/d/1p7ERhsr0qZeSn-KSOdeHS9r0heI-lHtkcn2OH7hP0jQ/edit?usp=sharing"",""ลำปาง!I103"")"),10)</f>
        <v>10</v>
      </c>
      <c r="AC26" s="181">
        <f ca="1">IFERROR(__xludf.DUMMYFUNCTION("IMPORTRANGE(""https://docs.google.com/spreadsheets/d/1p7ERhsr0qZeSn-KSOdeHS9r0heI-lHtkcn2OH7hP0jQ/edit?usp=sharing"",""ลำปาง!J102"")"),30)</f>
        <v>30</v>
      </c>
      <c r="AD26" s="181">
        <f ca="1">IFERROR(__xludf.DUMMYFUNCTION("IMPORTRANGE(""https://docs.google.com/spreadsheets/d/1p7ERhsr0qZeSn-KSOdeHS9r0heI-lHtkcn2OH7hP0jQ/edit?usp=sharing"",""ลำปาง!J103"")"),10)</f>
        <v>10</v>
      </c>
      <c r="AE26" s="181">
        <f ca="1">IFERROR(__xludf.DUMMYFUNCTION("IMPORTRANGE(""https://docs.google.com/spreadsheets/d/1p7ERhsr0qZeSn-KSOdeHS9r0heI-lHtkcn2OH7hP0jQ/edit?usp=sharing"",""ลำปาง!J104"")"),10)</f>
        <v>10</v>
      </c>
      <c r="AF26" s="180">
        <f ca="1">IFERROR(__xludf.DUMMYFUNCTION("IMPORTRANGE(""https://docs.google.com/spreadsheets/d/1p7ERhsr0qZeSn-KSOdeHS9r0heI-lHtkcn2OH7hP0jQ/edit?usp=sharing"",""ลำปาง!I106"")"),1)</f>
        <v>1</v>
      </c>
      <c r="AG26" s="181">
        <f ca="1">IFERROR(__xludf.DUMMYFUNCTION("IMPORTRANGE(""https://docs.google.com/spreadsheets/d/1p7ERhsr0qZeSn-KSOdeHS9r0heI-lHtkcn2OH7hP0jQ/edit?usp=sharing"",""ลำปาง!J106"")"),0)</f>
        <v>0</v>
      </c>
      <c r="AH26" s="181">
        <f ca="1">IFERROR(__xludf.DUMMYFUNCTION("IMPORTRANGE(""https://docs.google.com/spreadsheets/d/1p7ERhsr0qZeSn-KSOdeHS9r0heI-lHtkcn2OH7hP0jQ/edit?usp=sharing"",""ลำปาง!J107"")"),0)</f>
        <v>0</v>
      </c>
      <c r="AI26" s="180">
        <f ca="1">IFERROR(__xludf.DUMMYFUNCTION("IMPORTRANGE(""https://docs.google.com/spreadsheets/d/1p7ERhsr0qZeSn-KSOdeHS9r0heI-lHtkcn2OH7hP0jQ/edit?usp=sharing"",""ลำปาง!I109"")"),1)</f>
        <v>1</v>
      </c>
      <c r="AJ26" s="181">
        <f ca="1">IFERROR(__xludf.DUMMYFUNCTION("IMPORTRANGE(""https://docs.google.com/spreadsheets/d/1p7ERhsr0qZeSn-KSOdeHS9r0heI-lHtkcn2OH7hP0jQ/edit?usp=sharing"",""ลำปาง!J109"")"),0)</f>
        <v>0</v>
      </c>
      <c r="AK26" s="181">
        <f ca="1">IFERROR(__xludf.DUMMYFUNCTION("IMPORTRANGE(""https://docs.google.com/spreadsheets/d/1p7ERhsr0qZeSn-KSOdeHS9r0heI-lHtkcn2OH7hP0jQ/edit?usp=sharing"",""ลำปาง!J110"")"),0)</f>
        <v>0</v>
      </c>
      <c r="AL26" s="180">
        <f ca="1">IFERROR(__xludf.DUMMYFUNCTION("IMPORTRANGE(""https://docs.google.com/spreadsheets/d/1p7ERhsr0qZeSn-KSOdeHS9r0heI-lHtkcn2OH7hP0jQ/edit?usp=sharing"",""ลำปาง!I111"")"),10)</f>
        <v>10</v>
      </c>
      <c r="AM26" s="180">
        <f ca="1">IFERROR(__xludf.DUMMYFUNCTION("IMPORTRANGE(""https://docs.google.com/spreadsheets/d/1p7ERhsr0qZeSn-KSOdeHS9r0heI-lHtkcn2OH7hP0jQ/edit?usp=sharing"",""ลำปาง!I112"")"),2)</f>
        <v>2</v>
      </c>
      <c r="AN26" s="181">
        <f ca="1">IFERROR(__xludf.DUMMYFUNCTION("IMPORTRANGE(""https://docs.google.com/spreadsheets/d/1p7ERhsr0qZeSn-KSOdeHS9r0heI-lHtkcn2OH7hP0jQ/edit?usp=sharing"",""ลำปาง!J111"")"),0)</f>
        <v>0</v>
      </c>
      <c r="AO26" s="181">
        <f t="shared" ca="1" si="15"/>
        <v>0</v>
      </c>
      <c r="AP26" s="181">
        <f ca="1">IFERROR(__xludf.DUMMYFUNCTION("IMPORTRANGE(""https://docs.google.com/spreadsheets/d/1p7ERhsr0qZeSn-KSOdeHS9r0heI-lHtkcn2OH7hP0jQ/edit?usp=sharing"",""ลำปาง!J112"")"),0)</f>
        <v>0</v>
      </c>
      <c r="AQ26" s="183">
        <f t="shared" ca="1" si="16"/>
        <v>0</v>
      </c>
      <c r="AR26" s="180">
        <f ca="1">IFERROR(__xludf.DUMMYFUNCTION("IMPORTRANGE(""https://docs.google.com/spreadsheets/d/1p7ERhsr0qZeSn-KSOdeHS9r0heI-lHtkcn2OH7hP0jQ/edit?usp=sharing"",""ลำปาง!I113"")"),10)</f>
        <v>10</v>
      </c>
      <c r="AS26" s="180">
        <f ca="1">IFERROR(__xludf.DUMMYFUNCTION("IMPORTRANGE(""https://docs.google.com/spreadsheets/d/1p7ERhsr0qZeSn-KSOdeHS9r0heI-lHtkcn2OH7hP0jQ/edit?usp=sharing"",""ลำปาง!J113"")"),0)</f>
        <v>0</v>
      </c>
      <c r="AT26" s="180">
        <f ca="1">IFERROR(__xludf.DUMMYFUNCTION("IMPORTRANGE(""https://docs.google.com/spreadsheets/d/1p7ERhsr0qZeSn-KSOdeHS9r0heI-lHtkcn2OH7hP0jQ/edit?usp=sharing"",""ลำปาง!J114"")"),0)</f>
        <v>0</v>
      </c>
      <c r="AU26" s="180">
        <f ca="1">IFERROR(__xludf.DUMMYFUNCTION("IMPORTRANGE(""https://docs.google.com/spreadsheets/d/1p7ERhsr0qZeSn-KSOdeHS9r0heI-lHtkcn2OH7hP0jQ/edit?usp=sharing"",""ลำปาง!I115"")"),1)</f>
        <v>1</v>
      </c>
      <c r="AV26" s="181">
        <f ca="1">IFERROR(__xludf.DUMMYFUNCTION("IMPORTRANGE(""https://docs.google.com/spreadsheets/d/1p7ERhsr0qZeSn-KSOdeHS9r0heI-lHtkcn2OH7hP0jQ/edit?usp=sharing"",""ลำปาง!J115"")"),0)</f>
        <v>0</v>
      </c>
      <c r="AW26" s="183">
        <f t="shared" ca="1" si="18"/>
        <v>0</v>
      </c>
      <c r="AX26" s="180">
        <f ca="1">IFERROR(__xludf.DUMMYFUNCTION("IMPORTRANGE(""https://docs.google.com/spreadsheets/d/1p7ERhsr0qZeSn-KSOdeHS9r0heI-lHtkcn2OH7hP0jQ/edit?usp=sharing"",""ลำปาง!I116"")"),1)</f>
        <v>1</v>
      </c>
      <c r="AY26" s="181">
        <f ca="1">IFERROR(__xludf.DUMMYFUNCTION("IMPORTRANGE(""https://docs.google.com/spreadsheets/d/1p7ERhsr0qZeSn-KSOdeHS9r0heI-lHtkcn2OH7hP0jQ/edit?usp=sharing"",""ลำปาง!J116"")"),0)</f>
        <v>0</v>
      </c>
      <c r="AZ26" s="183">
        <f t="shared" ca="1" si="20"/>
        <v>0</v>
      </c>
    </row>
    <row r="27" spans="1:52" ht="24" customHeight="1" x14ac:dyDescent="0.3">
      <c r="A27" s="176">
        <v>14</v>
      </c>
      <c r="B27" s="177" t="s">
        <v>49</v>
      </c>
      <c r="C27" s="178">
        <f t="shared" ca="1" si="0"/>
        <v>116140</v>
      </c>
      <c r="D27" s="179">
        <f t="shared" ca="1" si="42"/>
        <v>116140</v>
      </c>
      <c r="E27" s="180">
        <f ca="1">IFERROR(__xludf.DUMMYFUNCTION("IMPORTRANGE(""https://docs.google.com/spreadsheets/d/1MeEWN-I1oV_STSDYn1IFDPWt_1FKiwhDph83XaGc0o0/edit?usp=sharing"",""งบพรบ!AR27"")"),0)</f>
        <v>0</v>
      </c>
      <c r="F27" s="180">
        <f ca="1">IFERROR(__xludf.DUMMYFUNCTION("IMPORTRANGE(""https://docs.google.com/spreadsheets/d/1MeEWN-I1oV_STSDYn1IFDPWt_1FKiwhDph83XaGc0o0/edit?usp=sharing"",""งบพรบ!AS27"")"),116140)</f>
        <v>116140</v>
      </c>
      <c r="G27" s="180">
        <f ca="1">IFERROR(__xludf.DUMMYFUNCTION("IMPORTRANGE(""https://docs.google.com/spreadsheets/d/1MeEWN-I1oV_STSDYn1IFDPWt_1FKiwhDph83XaGc0o0/edit?usp=sharing"",""งบพรบ!AT27"")"),0)</f>
        <v>0</v>
      </c>
      <c r="H27" s="180">
        <f ca="1">IFERROR(__xludf.DUMMYFUNCTION("IMPORTRANGE(""https://docs.google.com/spreadsheets/d/1MeEWN-I1oV_STSDYn1IFDPWt_1FKiwhDph83XaGc0o0/edit?usp=sharing"",""งบพรบ!AV27"")"),52090)</f>
        <v>52090</v>
      </c>
      <c r="I27" s="180">
        <f ca="1">IFERROR(__xludf.DUMMYFUNCTION("IMPORTRANGE(""https://docs.google.com/spreadsheets/d/1MeEWN-I1oV_STSDYn1IFDPWt_1FKiwhDph83XaGc0o0/edit?usp=sharing"",""งบพรบ!AW27"")"),0)</f>
        <v>0</v>
      </c>
      <c r="J27" s="180">
        <f t="shared" ca="1" si="3"/>
        <v>27594.87</v>
      </c>
      <c r="K27" s="187">
        <f t="shared" ca="1" si="4"/>
        <v>23.76000516617875</v>
      </c>
      <c r="L27" s="180">
        <f ca="1">IFERROR(__xludf.DUMMYFUNCTION("IMPORTRANGE(""https://docs.google.com/spreadsheets/d/1MeEWN-I1oV_STSDYn1IFDPWt_1FKiwhDph83XaGc0o0/edit?usp=sharing"",""งบพรบ!AX27"")"),27594.87)</f>
        <v>27594.87</v>
      </c>
      <c r="M27" s="183">
        <f t="shared" ca="1" si="5"/>
        <v>23.76000516617875</v>
      </c>
      <c r="N27" s="183">
        <f t="shared" ca="1" si="6"/>
        <v>52.975369552697252</v>
      </c>
      <c r="O27" s="184">
        <f ca="1">IFERROR(__xludf.DUMMYFUNCTION("IMPORTRANGE(""https://docs.google.com/spreadsheets/d/1MeEWN-I1oV_STSDYn1IFDPWt_1FKiwhDph83XaGc0o0/edit?usp=sharing"",""งบพรบ!AY27"")"),0)</f>
        <v>0</v>
      </c>
      <c r="P27" s="184">
        <f t="shared" ca="1" si="36"/>
        <v>0</v>
      </c>
      <c r="Q27" s="183">
        <f t="shared" ca="1" si="8"/>
        <v>0</v>
      </c>
      <c r="R27" s="181">
        <f ca="1">IFERROR(__xludf.DUMMYFUNCTION("IMPORTRANGE(""https://docs.google.com/spreadsheets/d/1-uUXvimVhiU2U0bMN-xi2te0tS4X7DI2GLPnMjzl8cA/edit?usp=sharing"",""ลำพูน!I98"")"),30)</f>
        <v>30</v>
      </c>
      <c r="S27" s="181">
        <f ca="1">IFERROR(__xludf.DUMMYFUNCTION("IMPORTRANGE(""https://docs.google.com/spreadsheets/d/1-uUXvimVhiU2U0bMN-xi2te0tS4X7DI2GLPnMjzl8cA/edit?usp=sharing"",""ลำพูน!J98"")"),30)</f>
        <v>30</v>
      </c>
      <c r="T27" s="181">
        <f t="shared" ca="1" si="10"/>
        <v>100</v>
      </c>
      <c r="U27" s="181">
        <f ca="1">IFERROR(__xludf.DUMMYFUNCTION("IMPORTRANGE(""https://docs.google.com/spreadsheets/d/1-uUXvimVhiU2U0bMN-xi2te0tS4X7DI2GLPnMjzl8cA/edit?usp=sharing"",""ลำพูน!I99"")"),10)</f>
        <v>10</v>
      </c>
      <c r="V27" s="181">
        <f ca="1">IFERROR(__xludf.DUMMYFUNCTION("IMPORTRANGE(""https://docs.google.com/spreadsheets/d/1-uUXvimVhiU2U0bMN-xi2te0tS4X7DI2GLPnMjzl8cA/edit?usp=sharing"",""ลำพูน!I100"")"),3)</f>
        <v>3</v>
      </c>
      <c r="W27" s="181">
        <f ca="1">IFERROR(__xludf.DUMMYFUNCTION("IMPORTRANGE(""https://docs.google.com/spreadsheets/d/1-uUXvimVhiU2U0bMN-xi2te0tS4X7DI2GLPnMjzl8cA/edit?usp=sharing"",""ลำพูน!J99"")"),10)</f>
        <v>10</v>
      </c>
      <c r="X27" s="185">
        <f t="shared" ca="1" si="12"/>
        <v>100</v>
      </c>
      <c r="Y27" s="186">
        <f ca="1">IFERROR(__xludf.DUMMYFUNCTION("IMPORTRANGE(""https://docs.google.com/spreadsheets/d/1-uUXvimVhiU2U0bMN-xi2te0tS4X7DI2GLPnMjzl8cA/edit?usp=sharing"",""ลำพูน!J100"")"),0)</f>
        <v>0</v>
      </c>
      <c r="Z27" s="185">
        <f t="shared" ca="1" si="13"/>
        <v>0</v>
      </c>
      <c r="AA27" s="180">
        <f ca="1">IFERROR(__xludf.DUMMYFUNCTION("IMPORTRANGE(""https://docs.google.com/spreadsheets/d/1-uUXvimVhiU2U0bMN-xi2te0tS4X7DI2GLPnMjzl8cA/edit?usp=sharing"",""ลำพูน!I102"")"),30)</f>
        <v>30</v>
      </c>
      <c r="AB27" s="180">
        <f ca="1">IFERROR(__xludf.DUMMYFUNCTION("IMPORTRANGE(""https://docs.google.com/spreadsheets/d/1-uUXvimVhiU2U0bMN-xi2te0tS4X7DI2GLPnMjzl8cA/edit?usp=sharing"",""ลำพูน!I103"")"),10)</f>
        <v>10</v>
      </c>
      <c r="AC27" s="181">
        <f ca="1">IFERROR(__xludf.DUMMYFUNCTION("IMPORTRANGE(""https://docs.google.com/spreadsheets/d/1-uUXvimVhiU2U0bMN-xi2te0tS4X7DI2GLPnMjzl8cA/edit?usp=sharing"",""ลำพูน!J102"")"),30)</f>
        <v>30</v>
      </c>
      <c r="AD27" s="181">
        <f ca="1">IFERROR(__xludf.DUMMYFUNCTION("IMPORTRANGE(""https://docs.google.com/spreadsheets/d/1-uUXvimVhiU2U0bMN-xi2te0tS4X7DI2GLPnMjzl8cA/edit?usp=sharing"",""ลำพูน!J103"")"),10)</f>
        <v>10</v>
      </c>
      <c r="AE27" s="181">
        <f ca="1">IFERROR(__xludf.DUMMYFUNCTION("IMPORTRANGE(""https://docs.google.com/spreadsheets/d/1-uUXvimVhiU2U0bMN-xi2te0tS4X7DI2GLPnMjzl8cA/edit?usp=sharing"",""ลำพูน!J104"")"),10)</f>
        <v>10</v>
      </c>
      <c r="AF27" s="180">
        <f ca="1">IFERROR(__xludf.DUMMYFUNCTION("IMPORTRANGE(""https://docs.google.com/spreadsheets/d/1-uUXvimVhiU2U0bMN-xi2te0tS4X7DI2GLPnMjzl8cA/edit?usp=sharing"",""ลำพูน!I106"")"),1)</f>
        <v>1</v>
      </c>
      <c r="AG27" s="181">
        <f ca="1">IFERROR(__xludf.DUMMYFUNCTION("IMPORTRANGE(""https://docs.google.com/spreadsheets/d/1-uUXvimVhiU2U0bMN-xi2te0tS4X7DI2GLPnMjzl8cA/edit?usp=sharing"",""ลำพูน!J106"")"),1)</f>
        <v>1</v>
      </c>
      <c r="AH27" s="181">
        <f ca="1">IFERROR(__xludf.DUMMYFUNCTION("IMPORTRANGE(""https://docs.google.com/spreadsheets/d/1-uUXvimVhiU2U0bMN-xi2te0tS4X7DI2GLPnMjzl8cA/edit?usp=sharing"",""ลำพูน!J107"")"),0)</f>
        <v>0</v>
      </c>
      <c r="AI27" s="180">
        <f ca="1">IFERROR(__xludf.DUMMYFUNCTION("IMPORTRANGE(""https://docs.google.com/spreadsheets/d/1-uUXvimVhiU2U0bMN-xi2te0tS4X7DI2GLPnMjzl8cA/edit?usp=sharing"",""ลำพูน!I109"")"),2)</f>
        <v>2</v>
      </c>
      <c r="AJ27" s="181">
        <f ca="1">IFERROR(__xludf.DUMMYFUNCTION("IMPORTRANGE(""https://docs.google.com/spreadsheets/d/1-uUXvimVhiU2U0bMN-xi2te0tS4X7DI2GLPnMjzl8cA/edit?usp=sharing"",""ลำพูน!J109"")"),2)</f>
        <v>2</v>
      </c>
      <c r="AK27" s="181">
        <f ca="1">IFERROR(__xludf.DUMMYFUNCTION("IMPORTRANGE(""https://docs.google.com/spreadsheets/d/1-uUXvimVhiU2U0bMN-xi2te0tS4X7DI2GLPnMjzl8cA/edit?usp=sharing"",""ลำพูน!J110"")"),0)</f>
        <v>0</v>
      </c>
      <c r="AL27" s="180">
        <f ca="1">IFERROR(__xludf.DUMMYFUNCTION("IMPORTRANGE(""https://docs.google.com/spreadsheets/d/1-uUXvimVhiU2U0bMN-xi2te0tS4X7DI2GLPnMjzl8cA/edit?usp=sharing"",""ลำพูน!I111"")"),10)</f>
        <v>10</v>
      </c>
      <c r="AM27" s="180">
        <f ca="1">IFERROR(__xludf.DUMMYFUNCTION("IMPORTRANGE(""https://docs.google.com/spreadsheets/d/1-uUXvimVhiU2U0bMN-xi2te0tS4X7DI2GLPnMjzl8cA/edit?usp=sharing"",""ลำพูน!I112"")"),3)</f>
        <v>3</v>
      </c>
      <c r="AN27" s="181">
        <f ca="1">IFERROR(__xludf.DUMMYFUNCTION("IMPORTRANGE(""https://docs.google.com/spreadsheets/d/1-uUXvimVhiU2U0bMN-xi2te0tS4X7DI2GLPnMjzl8cA/edit?usp=sharing"",""ลำพูน!J111"")"),0)</f>
        <v>0</v>
      </c>
      <c r="AO27" s="181">
        <f t="shared" ca="1" si="15"/>
        <v>0</v>
      </c>
      <c r="AP27" s="181">
        <f ca="1">IFERROR(__xludf.DUMMYFUNCTION("IMPORTRANGE(""https://docs.google.com/spreadsheets/d/1-uUXvimVhiU2U0bMN-xi2te0tS4X7DI2GLPnMjzl8cA/edit?usp=sharing"",""ลำพูน!J112"")"),0)</f>
        <v>0</v>
      </c>
      <c r="AQ27" s="183">
        <f t="shared" ca="1" si="16"/>
        <v>0</v>
      </c>
      <c r="AR27" s="180">
        <f ca="1">IFERROR(__xludf.DUMMYFUNCTION("IMPORTRANGE(""https://docs.google.com/spreadsheets/d/1-uUXvimVhiU2U0bMN-xi2te0tS4X7DI2GLPnMjzl8cA/edit?usp=sharing"",""ลำพูน!I113"")"),10)</f>
        <v>10</v>
      </c>
      <c r="AS27" s="180">
        <f ca="1">IFERROR(__xludf.DUMMYFUNCTION("IMPORTRANGE(""https://docs.google.com/spreadsheets/d/1-uUXvimVhiU2U0bMN-xi2te0tS4X7DI2GLPnMjzl8cA/edit?usp=sharing"",""ลำพูน!J113"")"),0)</f>
        <v>0</v>
      </c>
      <c r="AT27" s="180">
        <f ca="1">IFERROR(__xludf.DUMMYFUNCTION("IMPORTRANGE(""https://docs.google.com/spreadsheets/d/1-uUXvimVhiU2U0bMN-xi2te0tS4X7DI2GLPnMjzl8cA/edit?usp=sharing"",""ลำพูน!J114"")"),0)</f>
        <v>0</v>
      </c>
      <c r="AU27" s="180">
        <f ca="1">IFERROR(__xludf.DUMMYFUNCTION("IMPORTRANGE(""https://docs.google.com/spreadsheets/d/1-uUXvimVhiU2U0bMN-xi2te0tS4X7DI2GLPnMjzl8cA/edit?usp=sharing"",""ลำพูน!I115"")"),1)</f>
        <v>1</v>
      </c>
      <c r="AV27" s="181">
        <f ca="1">IFERROR(__xludf.DUMMYFUNCTION("IMPORTRANGE(""https://docs.google.com/spreadsheets/d/1-uUXvimVhiU2U0bMN-xi2te0tS4X7DI2GLPnMjzl8cA/edit?usp=sharing"",""ลำพูน!J115"")"),0)</f>
        <v>0</v>
      </c>
      <c r="AW27" s="183">
        <f t="shared" ca="1" si="18"/>
        <v>0</v>
      </c>
      <c r="AX27" s="180">
        <f ca="1">IFERROR(__xludf.DUMMYFUNCTION("IMPORTRANGE(""https://docs.google.com/spreadsheets/d/1-uUXvimVhiU2U0bMN-xi2te0tS4X7DI2GLPnMjzl8cA/edit?usp=sharing"",""ลำพูน!I116"")"),2)</f>
        <v>2</v>
      </c>
      <c r="AY27" s="181">
        <f ca="1">IFERROR(__xludf.DUMMYFUNCTION("IMPORTRANGE(""https://docs.google.com/spreadsheets/d/1-uUXvimVhiU2U0bMN-xi2te0tS4X7DI2GLPnMjzl8cA/edit?usp=sharing"",""ลำพูน!J116"")"),0)</f>
        <v>0</v>
      </c>
      <c r="AZ27" s="183">
        <f t="shared" ca="1" si="20"/>
        <v>0</v>
      </c>
    </row>
    <row r="28" spans="1:52" ht="24" customHeight="1" x14ac:dyDescent="0.3">
      <c r="A28" s="176">
        <v>15</v>
      </c>
      <c r="B28" s="177" t="s">
        <v>50</v>
      </c>
      <c r="C28" s="178">
        <f t="shared" ca="1" si="0"/>
        <v>136720</v>
      </c>
      <c r="D28" s="179">
        <f t="shared" ca="1" si="42"/>
        <v>136720</v>
      </c>
      <c r="E28" s="180">
        <f ca="1">IFERROR(__xludf.DUMMYFUNCTION("IMPORTRANGE(""https://docs.google.com/spreadsheets/d/1MeEWN-I1oV_STSDYn1IFDPWt_1FKiwhDph83XaGc0o0/edit?usp=sharing"",""งบพรบ!AR28"")"),0)</f>
        <v>0</v>
      </c>
      <c r="F28" s="180">
        <f ca="1">IFERROR(__xludf.DUMMYFUNCTION("IMPORTRANGE(""https://docs.google.com/spreadsheets/d/1MeEWN-I1oV_STSDYn1IFDPWt_1FKiwhDph83XaGc0o0/edit?usp=sharing"",""งบพรบ!AS28"")"),136720)</f>
        <v>136720</v>
      </c>
      <c r="G28" s="180">
        <f ca="1">IFERROR(__xludf.DUMMYFUNCTION("IMPORTRANGE(""https://docs.google.com/spreadsheets/d/1MeEWN-I1oV_STSDYn1IFDPWt_1FKiwhDph83XaGc0o0/edit?usp=sharing"",""งบพรบ!AT28"")"),0)</f>
        <v>0</v>
      </c>
      <c r="H28" s="180">
        <f ca="1">IFERROR(__xludf.DUMMYFUNCTION("IMPORTRANGE(""https://docs.google.com/spreadsheets/d/1MeEWN-I1oV_STSDYn1IFDPWt_1FKiwhDph83XaGc0o0/edit?usp=sharing"",""งบพรบ!AV28"")"),68520)</f>
        <v>68520</v>
      </c>
      <c r="I28" s="180">
        <f ca="1">IFERROR(__xludf.DUMMYFUNCTION("IMPORTRANGE(""https://docs.google.com/spreadsheets/d/1MeEWN-I1oV_STSDYn1IFDPWt_1FKiwhDph83XaGc0o0/edit?usp=sharing"",""งบพรบ!AW28"")"),0)</f>
        <v>0</v>
      </c>
      <c r="J28" s="180">
        <f t="shared" ca="1" si="3"/>
        <v>65520</v>
      </c>
      <c r="K28" s="187">
        <f t="shared" ca="1" si="4"/>
        <v>47.922761849034522</v>
      </c>
      <c r="L28" s="180">
        <f ca="1">IFERROR(__xludf.DUMMYFUNCTION("IMPORTRANGE(""https://docs.google.com/spreadsheets/d/1MeEWN-I1oV_STSDYn1IFDPWt_1FKiwhDph83XaGc0o0/edit?usp=sharing"",""งบพรบ!AX28"")"),65520)</f>
        <v>65520</v>
      </c>
      <c r="M28" s="183">
        <f t="shared" ca="1" si="5"/>
        <v>47.922761849034522</v>
      </c>
      <c r="N28" s="183">
        <f t="shared" ca="1" si="6"/>
        <v>95.621716287215406</v>
      </c>
      <c r="O28" s="184">
        <f ca="1">IFERROR(__xludf.DUMMYFUNCTION("IMPORTRANGE(""https://docs.google.com/spreadsheets/d/1MeEWN-I1oV_STSDYn1IFDPWt_1FKiwhDph83XaGc0o0/edit?usp=sharing"",""งบพรบ!AY28"")"),0)</f>
        <v>0</v>
      </c>
      <c r="P28" s="184">
        <f t="shared" ca="1" si="36"/>
        <v>0</v>
      </c>
      <c r="Q28" s="183">
        <f t="shared" ca="1" si="8"/>
        <v>0</v>
      </c>
      <c r="R28" s="181">
        <f ca="1">IFERROR(__xludf.DUMMYFUNCTION("IMPORTRANGE(""https://docs.google.com/spreadsheets/d/17HrOaa5pBUI1onckFfumXB8xlg35qb2uBAFfF1D-Myo/edit?usp=sharing"",""สุโขทัย!I98"")"),90)</f>
        <v>90</v>
      </c>
      <c r="S28" s="181">
        <f ca="1">IFERROR(__xludf.DUMMYFUNCTION("IMPORTRANGE(""https://docs.google.com/spreadsheets/d/17HrOaa5pBUI1onckFfumXB8xlg35qb2uBAFfF1D-Myo/edit?usp=sharing"",""สุโขทัย!J98"")"),0)</f>
        <v>0</v>
      </c>
      <c r="T28" s="181">
        <f t="shared" ca="1" si="10"/>
        <v>0</v>
      </c>
      <c r="U28" s="181">
        <f ca="1">IFERROR(__xludf.DUMMYFUNCTION("IMPORTRANGE(""https://docs.google.com/spreadsheets/d/17HrOaa5pBUI1onckFfumXB8xlg35qb2uBAFfF1D-Myo/edit?usp=sharing"",""สุโขทัย!I99"")"),30)</f>
        <v>30</v>
      </c>
      <c r="V28" s="181">
        <f ca="1">IFERROR(__xludf.DUMMYFUNCTION("IMPORTRANGE(""https://docs.google.com/spreadsheets/d/17HrOaa5pBUI1onckFfumXB8xlg35qb2uBAFfF1D-Myo/edit?usp=sharing"",""สุโขทัย!I100"")"),2)</f>
        <v>2</v>
      </c>
      <c r="W28" s="181">
        <f ca="1">IFERROR(__xludf.DUMMYFUNCTION("IMPORTRANGE(""https://docs.google.com/spreadsheets/d/17HrOaa5pBUI1onckFfumXB8xlg35qb2uBAFfF1D-Myo/edit?usp=sharing"",""สุโขทัย!J99"")"),30)</f>
        <v>30</v>
      </c>
      <c r="X28" s="185">
        <f t="shared" ca="1" si="12"/>
        <v>100</v>
      </c>
      <c r="Y28" s="186">
        <f ca="1">IFERROR(__xludf.DUMMYFUNCTION("IMPORTRANGE(""https://docs.google.com/spreadsheets/d/17HrOaa5pBUI1onckFfumXB8xlg35qb2uBAFfF1D-Myo/edit?usp=sharing"",""สุโขทัย!J100"")"),0)</f>
        <v>0</v>
      </c>
      <c r="Z28" s="185">
        <f t="shared" ca="1" si="13"/>
        <v>0</v>
      </c>
      <c r="AA28" s="180">
        <f ca="1">IFERROR(__xludf.DUMMYFUNCTION("IMPORTRANGE(""https://docs.google.com/spreadsheets/d/17HrOaa5pBUI1onckFfumXB8xlg35qb2uBAFfF1D-Myo/edit?usp=sharing"",""สุโขทัย!I102"")"),90)</f>
        <v>90</v>
      </c>
      <c r="AB28" s="180">
        <f ca="1">IFERROR(__xludf.DUMMYFUNCTION("IMPORTRANGE(""https://docs.google.com/spreadsheets/d/17HrOaa5pBUI1onckFfumXB8xlg35qb2uBAFfF1D-Myo/edit?usp=sharing"",""สุโขทัย!I103"")"),30)</f>
        <v>30</v>
      </c>
      <c r="AC28" s="181">
        <f ca="1">IFERROR(__xludf.DUMMYFUNCTION("IMPORTRANGE(""https://docs.google.com/spreadsheets/d/17HrOaa5pBUI1onckFfumXB8xlg35qb2uBAFfF1D-Myo/edit?usp=sharing"",""สุโขทัย!J102"")"),0)</f>
        <v>0</v>
      </c>
      <c r="AD28" s="181">
        <f ca="1">IFERROR(__xludf.DUMMYFUNCTION("IMPORTRANGE(""https://docs.google.com/spreadsheets/d/17HrOaa5pBUI1onckFfumXB8xlg35qb2uBAFfF1D-Myo/edit?usp=sharing"",""สุโขทัย!J103"")"),30)</f>
        <v>30</v>
      </c>
      <c r="AE28" s="181">
        <f ca="1">IFERROR(__xludf.DUMMYFUNCTION("IMPORTRANGE(""https://docs.google.com/spreadsheets/d/17HrOaa5pBUI1onckFfumXB8xlg35qb2uBAFfF1D-Myo/edit?usp=sharing"",""สุโขทัย!J104"")"),30)</f>
        <v>30</v>
      </c>
      <c r="AF28" s="180">
        <f ca="1">IFERROR(__xludf.DUMMYFUNCTION("IMPORTRANGE(""https://docs.google.com/spreadsheets/d/17HrOaa5pBUI1onckFfumXB8xlg35qb2uBAFfF1D-Myo/edit?usp=sharing"",""สุโขทัย!I106"")"),1)</f>
        <v>1</v>
      </c>
      <c r="AG28" s="181">
        <f ca="1">IFERROR(__xludf.DUMMYFUNCTION("IMPORTRANGE(""https://docs.google.com/spreadsheets/d/17HrOaa5pBUI1onckFfumXB8xlg35qb2uBAFfF1D-Myo/edit?usp=sharing"",""สุโขทัย!J106"")"),0)</f>
        <v>0</v>
      </c>
      <c r="AH28" s="181">
        <f ca="1">IFERROR(__xludf.DUMMYFUNCTION("IMPORTRANGE(""https://docs.google.com/spreadsheets/d/17HrOaa5pBUI1onckFfumXB8xlg35qb2uBAFfF1D-Myo/edit?usp=sharing"",""สุโขทัย!J107"")"),0)</f>
        <v>0</v>
      </c>
      <c r="AI28" s="180">
        <f ca="1">IFERROR(__xludf.DUMMYFUNCTION("IMPORTRANGE(""https://docs.google.com/spreadsheets/d/17HrOaa5pBUI1onckFfumXB8xlg35qb2uBAFfF1D-Myo/edit?usp=sharing"",""สุโขทัย!I109"")"),1)</f>
        <v>1</v>
      </c>
      <c r="AJ28" s="181">
        <f ca="1">IFERROR(__xludf.DUMMYFUNCTION("IMPORTRANGE(""https://docs.google.com/spreadsheets/d/17HrOaa5pBUI1onckFfumXB8xlg35qb2uBAFfF1D-Myo/edit?usp=sharing"",""สุโขทัย!J109"")"),0)</f>
        <v>0</v>
      </c>
      <c r="AK28" s="181">
        <f ca="1">IFERROR(__xludf.DUMMYFUNCTION("IMPORTRANGE(""https://docs.google.com/spreadsheets/d/17HrOaa5pBUI1onckFfumXB8xlg35qb2uBAFfF1D-Myo/edit?usp=sharing"",""สุโขทัย!J110"")"),0)</f>
        <v>0</v>
      </c>
      <c r="AL28" s="180">
        <f ca="1">IFERROR(__xludf.DUMMYFUNCTION("IMPORTRANGE(""https://docs.google.com/spreadsheets/d/17HrOaa5pBUI1onckFfumXB8xlg35qb2uBAFfF1D-Myo/edit?usp=sharing"",""สุโขทัย!I111"")"),30)</f>
        <v>30</v>
      </c>
      <c r="AM28" s="180">
        <f ca="1">IFERROR(__xludf.DUMMYFUNCTION("IMPORTRANGE(""https://docs.google.com/spreadsheets/d/17HrOaa5pBUI1onckFfumXB8xlg35qb2uBAFfF1D-Myo/edit?usp=sharing"",""สุโขทัย!I112"")"),2)</f>
        <v>2</v>
      </c>
      <c r="AN28" s="181">
        <f ca="1">IFERROR(__xludf.DUMMYFUNCTION("IMPORTRANGE(""https://docs.google.com/spreadsheets/d/17HrOaa5pBUI1onckFfumXB8xlg35qb2uBAFfF1D-Myo/edit?usp=sharing"",""สุโขทัย!J111"")"),0)</f>
        <v>0</v>
      </c>
      <c r="AO28" s="181">
        <f t="shared" ca="1" si="15"/>
        <v>0</v>
      </c>
      <c r="AP28" s="181">
        <f ca="1">IFERROR(__xludf.DUMMYFUNCTION("IMPORTRANGE(""https://docs.google.com/spreadsheets/d/17HrOaa5pBUI1onckFfumXB8xlg35qb2uBAFfF1D-Myo/edit?usp=sharing"",""สุโขทัย!J112"")"),0)</f>
        <v>0</v>
      </c>
      <c r="AQ28" s="183">
        <f t="shared" ca="1" si="16"/>
        <v>0</v>
      </c>
      <c r="AR28" s="180">
        <f ca="1">IFERROR(__xludf.DUMMYFUNCTION("IMPORTRANGE(""https://docs.google.com/spreadsheets/d/17HrOaa5pBUI1onckFfumXB8xlg35qb2uBAFfF1D-Myo/edit?usp=sharing"",""สุโขทัย!I113"")"),30)</f>
        <v>30</v>
      </c>
      <c r="AS28" s="180">
        <f ca="1">IFERROR(__xludf.DUMMYFUNCTION("IMPORTRANGE(""https://docs.google.com/spreadsheets/d/17HrOaa5pBUI1onckFfumXB8xlg35qb2uBAFfF1D-Myo/edit?usp=sharing"",""สุโขทัย!J113"")"),0)</f>
        <v>0</v>
      </c>
      <c r="AT28" s="180">
        <f ca="1">IFERROR(__xludf.DUMMYFUNCTION("IMPORTRANGE(""https://docs.google.com/spreadsheets/d/17HrOaa5pBUI1onckFfumXB8xlg35qb2uBAFfF1D-Myo/edit?usp=sharing"",""สุโขทัย!J114"")"),0)</f>
        <v>0</v>
      </c>
      <c r="AU28" s="180">
        <f ca="1">IFERROR(__xludf.DUMMYFUNCTION("IMPORTRANGE(""https://docs.google.com/spreadsheets/d/17HrOaa5pBUI1onckFfumXB8xlg35qb2uBAFfF1D-Myo/edit?usp=sharing"",""สุโขทัย!I115"")"),1)</f>
        <v>1</v>
      </c>
      <c r="AV28" s="181">
        <f ca="1">IFERROR(__xludf.DUMMYFUNCTION("IMPORTRANGE(""https://docs.google.com/spreadsheets/d/17HrOaa5pBUI1onckFfumXB8xlg35qb2uBAFfF1D-Myo/edit?usp=sharing"",""สุโขทัย!J115"")"),0)</f>
        <v>0</v>
      </c>
      <c r="AW28" s="183">
        <f t="shared" ca="1" si="18"/>
        <v>0</v>
      </c>
      <c r="AX28" s="180">
        <f ca="1">IFERROR(__xludf.DUMMYFUNCTION("IMPORTRANGE(""https://docs.google.com/spreadsheets/d/17HrOaa5pBUI1onckFfumXB8xlg35qb2uBAFfF1D-Myo/edit?usp=sharing"",""สุโขทัย!I116"")"),1)</f>
        <v>1</v>
      </c>
      <c r="AY28" s="181">
        <f ca="1">IFERROR(__xludf.DUMMYFUNCTION("IMPORTRANGE(""https://docs.google.com/spreadsheets/d/17HrOaa5pBUI1onckFfumXB8xlg35qb2uBAFfF1D-Myo/edit?usp=sharing"",""สุโขทัย!J116"")"),0)</f>
        <v>0</v>
      </c>
      <c r="AZ28" s="183">
        <f t="shared" ca="1" si="20"/>
        <v>0</v>
      </c>
    </row>
    <row r="29" spans="1:52" ht="24" customHeight="1" x14ac:dyDescent="0.3">
      <c r="A29" s="176">
        <v>16</v>
      </c>
      <c r="B29" s="177" t="s">
        <v>51</v>
      </c>
      <c r="C29" s="178">
        <f t="shared" ca="1" si="0"/>
        <v>86040</v>
      </c>
      <c r="D29" s="179">
        <f t="shared" ca="1" si="42"/>
        <v>86040</v>
      </c>
      <c r="E29" s="180">
        <f ca="1">IFERROR(__xludf.DUMMYFUNCTION("IMPORTRANGE(""https://docs.google.com/spreadsheets/d/1MeEWN-I1oV_STSDYn1IFDPWt_1FKiwhDph83XaGc0o0/edit?usp=sharing"",""งบพรบ!AR29"")"),0)</f>
        <v>0</v>
      </c>
      <c r="F29" s="180">
        <f ca="1">IFERROR(__xludf.DUMMYFUNCTION("IMPORTRANGE(""https://docs.google.com/spreadsheets/d/1MeEWN-I1oV_STSDYn1IFDPWt_1FKiwhDph83XaGc0o0/edit?usp=sharing"",""งบพรบ!AS29"")"),86040)</f>
        <v>86040</v>
      </c>
      <c r="G29" s="180">
        <f ca="1">IFERROR(__xludf.DUMMYFUNCTION("IMPORTRANGE(""https://docs.google.com/spreadsheets/d/1MeEWN-I1oV_STSDYn1IFDPWt_1FKiwhDph83XaGc0o0/edit?usp=sharing"",""งบพรบ!AT29"")"),0)</f>
        <v>0</v>
      </c>
      <c r="H29" s="180">
        <f ca="1">IFERROR(__xludf.DUMMYFUNCTION("IMPORTRANGE(""https://docs.google.com/spreadsheets/d/1MeEWN-I1oV_STSDYn1IFDPWt_1FKiwhDph83XaGc0o0/edit?usp=sharing"",""งบพรบ!AV29"")"),23840)</f>
        <v>23840</v>
      </c>
      <c r="I29" s="180">
        <f ca="1">IFERROR(__xludf.DUMMYFUNCTION("IMPORTRANGE(""https://docs.google.com/spreadsheets/d/1MeEWN-I1oV_STSDYn1IFDPWt_1FKiwhDph83XaGc0o0/edit?usp=sharing"",""งบพรบ!AW29"")"),0)</f>
        <v>0</v>
      </c>
      <c r="J29" s="180">
        <f t="shared" ca="1" si="3"/>
        <v>22800</v>
      </c>
      <c r="K29" s="187">
        <f t="shared" ca="1" si="4"/>
        <v>26.499302649930264</v>
      </c>
      <c r="L29" s="180">
        <f ca="1">IFERROR(__xludf.DUMMYFUNCTION("IMPORTRANGE(""https://docs.google.com/spreadsheets/d/1MeEWN-I1oV_STSDYn1IFDPWt_1FKiwhDph83XaGc0o0/edit?usp=sharing"",""งบพรบ!AX29"")"),22800)</f>
        <v>22800</v>
      </c>
      <c r="M29" s="183">
        <f t="shared" ca="1" si="5"/>
        <v>26.499302649930264</v>
      </c>
      <c r="N29" s="183">
        <f t="shared" ca="1" si="6"/>
        <v>95.637583892617457</v>
      </c>
      <c r="O29" s="184">
        <f ca="1">IFERROR(__xludf.DUMMYFUNCTION("IMPORTRANGE(""https://docs.google.com/spreadsheets/d/1MeEWN-I1oV_STSDYn1IFDPWt_1FKiwhDph83XaGc0o0/edit?usp=sharing"",""งบพรบ!AY29"")"),0)</f>
        <v>0</v>
      </c>
      <c r="P29" s="184">
        <f t="shared" ca="1" si="36"/>
        <v>0</v>
      </c>
      <c r="Q29" s="183">
        <f t="shared" ca="1" si="8"/>
        <v>0</v>
      </c>
      <c r="R29" s="181">
        <f ca="1">IFERROR(__xludf.DUMMYFUNCTION("IMPORTRANGE(""https://docs.google.com/spreadsheets/d/1ubs5cl16eYL9gHbdHTJtmtYb9MGzHBs7CAphn8kNCgM/edit?usp=sharing"",""อุตรดิตถ์!I98"")"),30)</f>
        <v>30</v>
      </c>
      <c r="S29" s="181">
        <f ca="1">IFERROR(__xludf.DUMMYFUNCTION("IMPORTRANGE(""https://docs.google.com/spreadsheets/d/1ubs5cl16eYL9gHbdHTJtmtYb9MGzHBs7CAphn8kNCgM/edit?usp=sharing"",""อุตรดิตถ์!J98"")"),30)</f>
        <v>30</v>
      </c>
      <c r="T29" s="181">
        <f t="shared" ca="1" si="10"/>
        <v>100</v>
      </c>
      <c r="U29" s="181">
        <f ca="1">IFERROR(__xludf.DUMMYFUNCTION("IMPORTRANGE(""https://docs.google.com/spreadsheets/d/1ubs5cl16eYL9gHbdHTJtmtYb9MGzHBs7CAphn8kNCgM/edit?usp=sharing"",""อุตรดิตถ์!I99"")"),10)</f>
        <v>10</v>
      </c>
      <c r="V29" s="181">
        <f ca="1">IFERROR(__xludf.DUMMYFUNCTION("IMPORTRANGE(""https://docs.google.com/spreadsheets/d/1ubs5cl16eYL9gHbdHTJtmtYb9MGzHBs7CAphn8kNCgM/edit?usp=sharing"",""อุตรดิตถ์!I100"")"),2)</f>
        <v>2</v>
      </c>
      <c r="W29" s="181">
        <f ca="1">IFERROR(__xludf.DUMMYFUNCTION("IMPORTRANGE(""https://docs.google.com/spreadsheets/d/1ubs5cl16eYL9gHbdHTJtmtYb9MGzHBs7CAphn8kNCgM/edit?usp=sharing"",""อุตรดิตถ์!J99"")"),10)</f>
        <v>10</v>
      </c>
      <c r="X29" s="185">
        <f t="shared" ca="1" si="12"/>
        <v>100</v>
      </c>
      <c r="Y29" s="186">
        <f ca="1">IFERROR(__xludf.DUMMYFUNCTION("IMPORTRANGE(""https://docs.google.com/spreadsheets/d/1ubs5cl16eYL9gHbdHTJtmtYb9MGzHBs7CAphn8kNCgM/edit?usp=sharing"",""อุตรดิตถ์!J100"")"),0)</f>
        <v>0</v>
      </c>
      <c r="Z29" s="185">
        <f t="shared" ca="1" si="13"/>
        <v>0</v>
      </c>
      <c r="AA29" s="180">
        <f ca="1">IFERROR(__xludf.DUMMYFUNCTION("IMPORTRANGE(""https://docs.google.com/spreadsheets/d/1ubs5cl16eYL9gHbdHTJtmtYb9MGzHBs7CAphn8kNCgM/edit?usp=sharing"",""อุตรดิตถ์!I102"")"),30)</f>
        <v>30</v>
      </c>
      <c r="AB29" s="180">
        <f ca="1">IFERROR(__xludf.DUMMYFUNCTION("IMPORTRANGE(""https://docs.google.com/spreadsheets/d/1ubs5cl16eYL9gHbdHTJtmtYb9MGzHBs7CAphn8kNCgM/edit?usp=sharing"",""อุตรดิตถ์!I103"")"),10)</f>
        <v>10</v>
      </c>
      <c r="AC29" s="181">
        <f ca="1">IFERROR(__xludf.DUMMYFUNCTION("IMPORTRANGE(""https://docs.google.com/spreadsheets/d/1ubs5cl16eYL9gHbdHTJtmtYb9MGzHBs7CAphn8kNCgM/edit?usp=sharing"",""อุตรดิตถ์!J102"")"),30)</f>
        <v>30</v>
      </c>
      <c r="AD29" s="181">
        <f ca="1">IFERROR(__xludf.DUMMYFUNCTION("IMPORTRANGE(""https://docs.google.com/spreadsheets/d/1ubs5cl16eYL9gHbdHTJtmtYb9MGzHBs7CAphn8kNCgM/edit?usp=sharing"",""อุตรดิตถ์!J103"")"),10)</f>
        <v>10</v>
      </c>
      <c r="AE29" s="181">
        <f ca="1">IFERROR(__xludf.DUMMYFUNCTION("IMPORTRANGE(""https://docs.google.com/spreadsheets/d/1ubs5cl16eYL9gHbdHTJtmtYb9MGzHBs7CAphn8kNCgM/edit?usp=sharing"",""อุตรดิตถ์!J104"")"),10)</f>
        <v>10</v>
      </c>
      <c r="AF29" s="180">
        <f ca="1">IFERROR(__xludf.DUMMYFUNCTION("IMPORTRANGE(""https://docs.google.com/spreadsheets/d/1ubs5cl16eYL9gHbdHTJtmtYb9MGzHBs7CAphn8kNCgM/edit?usp=sharing"",""อุตรดิตถ์!I106"")"),1)</f>
        <v>1</v>
      </c>
      <c r="AG29" s="181">
        <f ca="1">IFERROR(__xludf.DUMMYFUNCTION("IMPORTRANGE(""https://docs.google.com/spreadsheets/d/1ubs5cl16eYL9gHbdHTJtmtYb9MGzHBs7CAphn8kNCgM/edit?usp=sharing"",""อุตรดิตถ์!J106"")"),0)</f>
        <v>0</v>
      </c>
      <c r="AH29" s="181">
        <f ca="1">IFERROR(__xludf.DUMMYFUNCTION("IMPORTRANGE(""https://docs.google.com/spreadsheets/d/1ubs5cl16eYL9gHbdHTJtmtYb9MGzHBs7CAphn8kNCgM/edit?usp=sharing"",""อุตรดิตถ์!J107"")"),0)</f>
        <v>0</v>
      </c>
      <c r="AI29" s="180">
        <f ca="1">IFERROR(__xludf.DUMMYFUNCTION("IMPORTRANGE(""https://docs.google.com/spreadsheets/d/1ubs5cl16eYL9gHbdHTJtmtYb9MGzHBs7CAphn8kNCgM/edit?usp=sharing"",""อุตรดิตถ์!I109"")"),1)</f>
        <v>1</v>
      </c>
      <c r="AJ29" s="181">
        <f ca="1">IFERROR(__xludf.DUMMYFUNCTION("IMPORTRANGE(""https://docs.google.com/spreadsheets/d/1ubs5cl16eYL9gHbdHTJtmtYb9MGzHBs7CAphn8kNCgM/edit?usp=sharing"",""อุตรดิตถ์!J109"")"),0)</f>
        <v>0</v>
      </c>
      <c r="AK29" s="181">
        <f ca="1">IFERROR(__xludf.DUMMYFUNCTION("IMPORTRANGE(""https://docs.google.com/spreadsheets/d/1ubs5cl16eYL9gHbdHTJtmtYb9MGzHBs7CAphn8kNCgM/edit?usp=sharing"",""อุตรดิตถ์!J110"")"),0)</f>
        <v>0</v>
      </c>
      <c r="AL29" s="180">
        <f ca="1">IFERROR(__xludf.DUMMYFUNCTION("IMPORTRANGE(""https://docs.google.com/spreadsheets/d/1ubs5cl16eYL9gHbdHTJtmtYb9MGzHBs7CAphn8kNCgM/edit?usp=sharing"",""อุตรดิตถ์!I111"")"),10)</f>
        <v>10</v>
      </c>
      <c r="AM29" s="180">
        <f ca="1">IFERROR(__xludf.DUMMYFUNCTION("IMPORTRANGE(""https://docs.google.com/spreadsheets/d/1ubs5cl16eYL9gHbdHTJtmtYb9MGzHBs7CAphn8kNCgM/edit?usp=sharing"",""อุตรดิตถ์!I112"")"),2)</f>
        <v>2</v>
      </c>
      <c r="AN29" s="181">
        <f ca="1">IFERROR(__xludf.DUMMYFUNCTION("IMPORTRANGE(""https://docs.google.com/spreadsheets/d/1ubs5cl16eYL9gHbdHTJtmtYb9MGzHBs7CAphn8kNCgM/edit?usp=sharing"",""อุตรดิตถ์!J111"")"),0)</f>
        <v>0</v>
      </c>
      <c r="AO29" s="181">
        <f t="shared" ca="1" si="15"/>
        <v>0</v>
      </c>
      <c r="AP29" s="181">
        <f ca="1">IFERROR(__xludf.DUMMYFUNCTION("IMPORTRANGE(""https://docs.google.com/spreadsheets/d/1ubs5cl16eYL9gHbdHTJtmtYb9MGzHBs7CAphn8kNCgM/edit?usp=sharing"",""อุตรดิตถ์!J112"")"),0)</f>
        <v>0</v>
      </c>
      <c r="AQ29" s="183">
        <f t="shared" ca="1" si="16"/>
        <v>0</v>
      </c>
      <c r="AR29" s="180">
        <f ca="1">IFERROR(__xludf.DUMMYFUNCTION("IMPORTRANGE(""https://docs.google.com/spreadsheets/d/1ubs5cl16eYL9gHbdHTJtmtYb9MGzHBs7CAphn8kNCgM/edit?usp=sharing"",""อุตรดิตถ์!I113"")"),10)</f>
        <v>10</v>
      </c>
      <c r="AS29" s="180">
        <f ca="1">IFERROR(__xludf.DUMMYFUNCTION("IMPORTRANGE(""https://docs.google.com/spreadsheets/d/1ubs5cl16eYL9gHbdHTJtmtYb9MGzHBs7CAphn8kNCgM/edit?usp=sharing"",""อุตรดิตถ์!J113"")"),0)</f>
        <v>0</v>
      </c>
      <c r="AT29" s="180">
        <f ca="1">IFERROR(__xludf.DUMMYFUNCTION("IMPORTRANGE(""https://docs.google.com/spreadsheets/d/1ubs5cl16eYL9gHbdHTJtmtYb9MGzHBs7CAphn8kNCgM/edit?usp=sharing"",""อุตรดิตถ์!J114"")"),0)</f>
        <v>0</v>
      </c>
      <c r="AU29" s="180">
        <f ca="1">IFERROR(__xludf.DUMMYFUNCTION("IMPORTRANGE(""https://docs.google.com/spreadsheets/d/1ubs5cl16eYL9gHbdHTJtmtYb9MGzHBs7CAphn8kNCgM/edit?usp=sharing"",""อุตรดิตถ์!I115"")"),1)</f>
        <v>1</v>
      </c>
      <c r="AV29" s="181">
        <f ca="1">IFERROR(__xludf.DUMMYFUNCTION("IMPORTRANGE(""https://docs.google.com/spreadsheets/d/1ubs5cl16eYL9gHbdHTJtmtYb9MGzHBs7CAphn8kNCgM/edit?usp=sharing"",""อุตรดิตถ์!J115"")"),0)</f>
        <v>0</v>
      </c>
      <c r="AW29" s="183">
        <f t="shared" ca="1" si="18"/>
        <v>0</v>
      </c>
      <c r="AX29" s="180">
        <f ca="1">IFERROR(__xludf.DUMMYFUNCTION("IMPORTRANGE(""https://docs.google.com/spreadsheets/d/1ubs5cl16eYL9gHbdHTJtmtYb9MGzHBs7CAphn8kNCgM/edit?usp=sharing"",""อุตรดิตถ์!I116"")"),1)</f>
        <v>1</v>
      </c>
      <c r="AY29" s="181">
        <f ca="1">IFERROR(__xludf.DUMMYFUNCTION("IMPORTRANGE(""https://docs.google.com/spreadsheets/d/1ubs5cl16eYL9gHbdHTJtmtYb9MGzHBs7CAphn8kNCgM/edit?usp=sharing"",""อุตรดิตถ์!J116"")"),0)</f>
        <v>0</v>
      </c>
      <c r="AZ29" s="183">
        <f t="shared" ca="1" si="20"/>
        <v>0</v>
      </c>
    </row>
    <row r="30" spans="1:52" ht="24" customHeight="1" x14ac:dyDescent="0.3">
      <c r="A30" s="188">
        <v>17</v>
      </c>
      <c r="B30" s="189" t="s">
        <v>52</v>
      </c>
      <c r="C30" s="190">
        <f t="shared" ca="1" si="0"/>
        <v>111180</v>
      </c>
      <c r="D30" s="191">
        <f t="shared" ca="1" si="42"/>
        <v>111180</v>
      </c>
      <c r="E30" s="192">
        <f ca="1">IFERROR(__xludf.DUMMYFUNCTION("IMPORTRANGE(""https://docs.google.com/spreadsheets/d/1MeEWN-I1oV_STSDYn1IFDPWt_1FKiwhDph83XaGc0o0/edit?usp=sharing"",""งบพรบ!AR30"")"),0)</f>
        <v>0</v>
      </c>
      <c r="F30" s="192">
        <f ca="1">IFERROR(__xludf.DUMMYFUNCTION("IMPORTRANGE(""https://docs.google.com/spreadsheets/d/1MeEWN-I1oV_STSDYn1IFDPWt_1FKiwhDph83XaGc0o0/edit?usp=sharing"",""งบพรบ!AS30"")"),111180)</f>
        <v>111180</v>
      </c>
      <c r="G30" s="192">
        <f ca="1">IFERROR(__xludf.DUMMYFUNCTION("IMPORTRANGE(""https://docs.google.com/spreadsheets/d/1MeEWN-I1oV_STSDYn1IFDPWt_1FKiwhDph83XaGc0o0/edit?usp=sharing"",""งบพรบ!AT30"")"),0)</f>
        <v>0</v>
      </c>
      <c r="H30" s="192">
        <f ca="1">IFERROR(__xludf.DUMMYFUNCTION("IMPORTRANGE(""https://docs.google.com/spreadsheets/d/1MeEWN-I1oV_STSDYn1IFDPWt_1FKiwhDph83XaGc0o0/edit?usp=sharing"",""งบพรบ!AV30"")"),45980)</f>
        <v>45980</v>
      </c>
      <c r="I30" s="192">
        <f ca="1">IFERROR(__xludf.DUMMYFUNCTION("IMPORTRANGE(""https://docs.google.com/spreadsheets/d/1MeEWN-I1oV_STSDYn1IFDPWt_1FKiwhDph83XaGc0o0/edit?usp=sharing"",""งบพรบ!AW30"")"),0)</f>
        <v>0</v>
      </c>
      <c r="J30" s="192">
        <f t="shared" ca="1" si="3"/>
        <v>40005</v>
      </c>
      <c r="K30" s="193">
        <f t="shared" ca="1" si="4"/>
        <v>35.982191041554238</v>
      </c>
      <c r="L30" s="192">
        <f ca="1">IFERROR(__xludf.DUMMYFUNCTION("IMPORTRANGE(""https://docs.google.com/spreadsheets/d/1MeEWN-I1oV_STSDYn1IFDPWt_1FKiwhDph83XaGc0o0/edit?usp=sharing"",""งบพรบ!AX30"")"),40005)</f>
        <v>40005</v>
      </c>
      <c r="M30" s="194">
        <f t="shared" ca="1" si="5"/>
        <v>35.982191041554238</v>
      </c>
      <c r="N30" s="194">
        <f t="shared" ca="1" si="6"/>
        <v>87.005219660722048</v>
      </c>
      <c r="O30" s="195">
        <f ca="1">IFERROR(__xludf.DUMMYFUNCTION("IMPORTRANGE(""https://docs.google.com/spreadsheets/d/1MeEWN-I1oV_STSDYn1IFDPWt_1FKiwhDph83XaGc0o0/edit?usp=sharing"",""งบพรบ!AY30"")"),0)</f>
        <v>0</v>
      </c>
      <c r="P30" s="195">
        <f t="shared" ca="1" si="36"/>
        <v>0</v>
      </c>
      <c r="Q30" s="194">
        <f t="shared" ca="1" si="8"/>
        <v>0</v>
      </c>
      <c r="R30" s="196">
        <f ca="1">IFERROR(__xludf.DUMMYFUNCTION("IMPORTRANGE(""https://docs.google.com/spreadsheets/d/1kII0BjS6CtVrBvI8IrytgPdxDrlyQDyigzMsohRtDMs/edit?usp=sharing"",""อุทัยธานี!I98"")"),60)</f>
        <v>60</v>
      </c>
      <c r="S30" s="196">
        <f ca="1">IFERROR(__xludf.DUMMYFUNCTION("IMPORTRANGE(""https://docs.google.com/spreadsheets/d/1kII0BjS6CtVrBvI8IrytgPdxDrlyQDyigzMsohRtDMs/edit?usp=sharing"",""อุทัยธานี!J98"")"),150)</f>
        <v>150</v>
      </c>
      <c r="T30" s="196">
        <f t="shared" ca="1" si="10"/>
        <v>250</v>
      </c>
      <c r="U30" s="196">
        <f ca="1">IFERROR(__xludf.DUMMYFUNCTION("IMPORTRANGE(""https://docs.google.com/spreadsheets/d/1kII0BjS6CtVrBvI8IrytgPdxDrlyQDyigzMsohRtDMs/edit?usp=sharing"",""อุทัยธานี!I99"")"),20)</f>
        <v>20</v>
      </c>
      <c r="V30" s="196">
        <f ca="1">IFERROR(__xludf.DUMMYFUNCTION("IMPORTRANGE(""https://docs.google.com/spreadsheets/d/1kII0BjS6CtVrBvI8IrytgPdxDrlyQDyigzMsohRtDMs/edit?usp=sharing"",""อุทัยธานี!I100"")"),2)</f>
        <v>2</v>
      </c>
      <c r="W30" s="196">
        <f ca="1">IFERROR(__xludf.DUMMYFUNCTION("IMPORTRANGE(""https://docs.google.com/spreadsheets/d/1kII0BjS6CtVrBvI8IrytgPdxDrlyQDyigzMsohRtDMs/edit?usp=sharing"",""อุทัยธานี!J99"")"),60)</f>
        <v>60</v>
      </c>
      <c r="X30" s="197">
        <f t="shared" ca="1" si="12"/>
        <v>300</v>
      </c>
      <c r="Y30" s="198">
        <f ca="1">IFERROR(__xludf.DUMMYFUNCTION("IMPORTRANGE(""https://docs.google.com/spreadsheets/d/1kII0BjS6CtVrBvI8IrytgPdxDrlyQDyigzMsohRtDMs/edit?usp=sharing"",""อุทัยธานี!J100"")"),2)</f>
        <v>2</v>
      </c>
      <c r="Z30" s="197">
        <f t="shared" ca="1" si="13"/>
        <v>100</v>
      </c>
      <c r="AA30" s="192">
        <f ca="1">IFERROR(__xludf.DUMMYFUNCTION("IMPORTRANGE(""https://docs.google.com/spreadsheets/d/1kII0BjS6CtVrBvI8IrytgPdxDrlyQDyigzMsohRtDMs/edit?usp=sharing"",""อุทัยธานี!I102"")"),60)</f>
        <v>60</v>
      </c>
      <c r="AB30" s="192">
        <f ca="1">IFERROR(__xludf.DUMMYFUNCTION("IMPORTRANGE(""https://docs.google.com/spreadsheets/d/1kII0BjS6CtVrBvI8IrytgPdxDrlyQDyigzMsohRtDMs/edit?usp=sharing"",""อุทัยธานี!I103"")"),20)</f>
        <v>20</v>
      </c>
      <c r="AC30" s="196">
        <f ca="1">IFERROR(__xludf.DUMMYFUNCTION("IMPORTRANGE(""https://docs.google.com/spreadsheets/d/1kII0BjS6CtVrBvI8IrytgPdxDrlyQDyigzMsohRtDMs/edit?usp=sharing"",""อุทัยธานี!J102"")"),150)</f>
        <v>150</v>
      </c>
      <c r="AD30" s="196">
        <f ca="1">IFERROR(__xludf.DUMMYFUNCTION("IMPORTRANGE(""https://docs.google.com/spreadsheets/d/1kII0BjS6CtVrBvI8IrytgPdxDrlyQDyigzMsohRtDMs/edit?usp=sharing"",""อุทัยธานี!J103"")"),20)</f>
        <v>20</v>
      </c>
      <c r="AE30" s="196">
        <f ca="1">IFERROR(__xludf.DUMMYFUNCTION("IMPORTRANGE(""https://docs.google.com/spreadsheets/d/1kII0BjS6CtVrBvI8IrytgPdxDrlyQDyigzMsohRtDMs/edit?usp=sharing"",""อุทัยธานี!J104"")"),60)</f>
        <v>60</v>
      </c>
      <c r="AF30" s="192">
        <f ca="1">IFERROR(__xludf.DUMMYFUNCTION("IMPORTRANGE(""https://docs.google.com/spreadsheets/d/1kII0BjS6CtVrBvI8IrytgPdxDrlyQDyigzMsohRtDMs/edit?usp=sharing"",""อุทัยธานี!I106"")"),1)</f>
        <v>1</v>
      </c>
      <c r="AG30" s="196">
        <f ca="1">IFERROR(__xludf.DUMMYFUNCTION("IMPORTRANGE(""https://docs.google.com/spreadsheets/d/1kII0BjS6CtVrBvI8IrytgPdxDrlyQDyigzMsohRtDMs/edit?usp=sharing"",""อุทัยธานี!J106"")"),1)</f>
        <v>1</v>
      </c>
      <c r="AH30" s="196">
        <f ca="1">IFERROR(__xludf.DUMMYFUNCTION("IMPORTRANGE(""https://docs.google.com/spreadsheets/d/1kII0BjS6CtVrBvI8IrytgPdxDrlyQDyigzMsohRtDMs/edit?usp=sharing"",""อุทัยธานี!J107"")"),1)</f>
        <v>1</v>
      </c>
      <c r="AI30" s="192">
        <f ca="1">IFERROR(__xludf.DUMMYFUNCTION("IMPORTRANGE(""https://docs.google.com/spreadsheets/d/1kII0BjS6CtVrBvI8IrytgPdxDrlyQDyigzMsohRtDMs/edit?usp=sharing"",""อุทัยธานี!I109"")"),1)</f>
        <v>1</v>
      </c>
      <c r="AJ30" s="196">
        <f ca="1">IFERROR(__xludf.DUMMYFUNCTION("IMPORTRANGE(""https://docs.google.com/spreadsheets/d/1kII0BjS6CtVrBvI8IrytgPdxDrlyQDyigzMsohRtDMs/edit?usp=sharing"",""อุทัยธานี!J109"")"),1)</f>
        <v>1</v>
      </c>
      <c r="AK30" s="196">
        <f ca="1">IFERROR(__xludf.DUMMYFUNCTION("IMPORTRANGE(""https://docs.google.com/spreadsheets/d/1kII0BjS6CtVrBvI8IrytgPdxDrlyQDyigzMsohRtDMs/edit?usp=sharing"",""อุทัยธานี!J110"")"),1)</f>
        <v>1</v>
      </c>
      <c r="AL30" s="192">
        <f ca="1">IFERROR(__xludf.DUMMYFUNCTION("IMPORTRANGE(""https://docs.google.com/spreadsheets/d/1kII0BjS6CtVrBvI8IrytgPdxDrlyQDyigzMsohRtDMs/edit?usp=sharing"",""อุทัยธานี!I111"")"),20)</f>
        <v>20</v>
      </c>
      <c r="AM30" s="192">
        <f ca="1">IFERROR(__xludf.DUMMYFUNCTION("IMPORTRANGE(""https://docs.google.com/spreadsheets/d/1kII0BjS6CtVrBvI8IrytgPdxDrlyQDyigzMsohRtDMs/edit?usp=sharing"",""อุทัยธานี!I112"")"),2)</f>
        <v>2</v>
      </c>
      <c r="AN30" s="196">
        <f ca="1">IFERROR(__xludf.DUMMYFUNCTION("IMPORTRANGE(""https://docs.google.com/spreadsheets/d/1kII0BjS6CtVrBvI8IrytgPdxDrlyQDyigzMsohRtDMs/edit?usp=sharing"",""อุทัยธานี!J111"")"),0)</f>
        <v>0</v>
      </c>
      <c r="AO30" s="196">
        <f t="shared" ca="1" si="15"/>
        <v>0</v>
      </c>
      <c r="AP30" s="196">
        <f ca="1">IFERROR(__xludf.DUMMYFUNCTION("IMPORTRANGE(""https://docs.google.com/spreadsheets/d/1kII0BjS6CtVrBvI8IrytgPdxDrlyQDyigzMsohRtDMs/edit?usp=sharing"",""อุทัยธานี!J112"")"),0)</f>
        <v>0</v>
      </c>
      <c r="AQ30" s="194">
        <f t="shared" ca="1" si="16"/>
        <v>0</v>
      </c>
      <c r="AR30" s="192">
        <f ca="1">IFERROR(__xludf.DUMMYFUNCTION("IMPORTRANGE(""https://docs.google.com/spreadsheets/d/1kII0BjS6CtVrBvI8IrytgPdxDrlyQDyigzMsohRtDMs/edit?usp=sharing"",""อุทัยธานี!I113"")"),20)</f>
        <v>20</v>
      </c>
      <c r="AS30" s="192">
        <f ca="1">IFERROR(__xludf.DUMMYFUNCTION("IMPORTRANGE(""https://docs.google.com/spreadsheets/d/1kII0BjS6CtVrBvI8IrytgPdxDrlyQDyigzMsohRtDMs/edit?usp=sharing"",""อุทัยธานี!J113"")"),0)</f>
        <v>0</v>
      </c>
      <c r="AT30" s="192">
        <f ca="1">IFERROR(__xludf.DUMMYFUNCTION("IMPORTRANGE(""https://docs.google.com/spreadsheets/d/1kII0BjS6CtVrBvI8IrytgPdxDrlyQDyigzMsohRtDMs/edit?usp=sharing"",""อุทัยธานี!J114"")"),0)</f>
        <v>0</v>
      </c>
      <c r="AU30" s="192">
        <f ca="1">IFERROR(__xludf.DUMMYFUNCTION("IMPORTRANGE(""https://docs.google.com/spreadsheets/d/1kII0BjS6CtVrBvI8IrytgPdxDrlyQDyigzMsohRtDMs/edit?usp=sharing"",""อุทัยธานี!I115"")"),1)</f>
        <v>1</v>
      </c>
      <c r="AV30" s="196">
        <f ca="1">IFERROR(__xludf.DUMMYFUNCTION("IMPORTRANGE(""https://docs.google.com/spreadsheets/d/1kII0BjS6CtVrBvI8IrytgPdxDrlyQDyigzMsohRtDMs/edit?usp=sharing"",""อุทัยธานี!J115"")"),0)</f>
        <v>0</v>
      </c>
      <c r="AW30" s="194">
        <f t="shared" ca="1" si="18"/>
        <v>0</v>
      </c>
      <c r="AX30" s="192">
        <f ca="1">IFERROR(__xludf.DUMMYFUNCTION("IMPORTRANGE(""https://docs.google.com/spreadsheets/d/1kII0BjS6CtVrBvI8IrytgPdxDrlyQDyigzMsohRtDMs/edit?usp=sharing"",""อุทัยธานี!I116"")"),1)</f>
        <v>1</v>
      </c>
      <c r="AY30" s="196">
        <f ca="1">IFERROR(__xludf.DUMMYFUNCTION("IMPORTRANGE(""https://docs.google.com/spreadsheets/d/1kII0BjS6CtVrBvI8IrytgPdxDrlyQDyigzMsohRtDMs/edit?usp=sharing"",""อุทัยธานี!J116"")"),0)</f>
        <v>0</v>
      </c>
      <c r="AZ30" s="194">
        <f t="shared" ca="1" si="20"/>
        <v>0</v>
      </c>
    </row>
    <row r="31" spans="1:52" ht="21" customHeight="1" x14ac:dyDescent="0.3">
      <c r="A31" s="396" t="s">
        <v>53</v>
      </c>
      <c r="B31" s="397"/>
      <c r="C31" s="158">
        <f t="shared" ca="1" si="0"/>
        <v>2299260</v>
      </c>
      <c r="D31" s="158">
        <f t="shared" ref="D31:I31" ca="1" si="43">SUM(D32:D51)</f>
        <v>2299260</v>
      </c>
      <c r="E31" s="158">
        <f t="shared" ca="1" si="43"/>
        <v>623700</v>
      </c>
      <c r="F31" s="158">
        <f t="shared" ca="1" si="43"/>
        <v>1675560</v>
      </c>
      <c r="G31" s="158">
        <f t="shared" ca="1" si="43"/>
        <v>0</v>
      </c>
      <c r="H31" s="158">
        <f t="shared" ca="1" si="43"/>
        <v>1378960</v>
      </c>
      <c r="I31" s="158">
        <f t="shared" ca="1" si="43"/>
        <v>0</v>
      </c>
      <c r="J31" s="158">
        <f t="shared" ca="1" si="3"/>
        <v>749638.78</v>
      </c>
      <c r="K31" s="159">
        <f t="shared" ca="1" si="4"/>
        <v>32.603480250167443</v>
      </c>
      <c r="L31" s="158">
        <f ca="1">SUM(L32:L51)</f>
        <v>749638.78</v>
      </c>
      <c r="M31" s="160">
        <f t="shared" ca="1" si="5"/>
        <v>32.603480250167443</v>
      </c>
      <c r="N31" s="160">
        <f t="shared" ca="1" si="6"/>
        <v>54.362619655392471</v>
      </c>
      <c r="O31" s="161">
        <f ca="1">SUM(O32:O51)</f>
        <v>0</v>
      </c>
      <c r="P31" s="161">
        <f t="shared" ca="1" si="36"/>
        <v>0</v>
      </c>
      <c r="Q31" s="160">
        <f t="shared" ca="1" si="8"/>
        <v>0</v>
      </c>
      <c r="R31" s="158">
        <f t="shared" ref="R31:S31" ca="1" si="44">SUM(R32:R51)</f>
        <v>795</v>
      </c>
      <c r="S31" s="158">
        <f t="shared" ca="1" si="44"/>
        <v>480</v>
      </c>
      <c r="T31" s="158">
        <f t="shared" ca="1" si="10"/>
        <v>60.377358490566039</v>
      </c>
      <c r="U31" s="158">
        <f t="shared" ref="U31:W31" ca="1" si="45">SUM(U32:U51)</f>
        <v>265</v>
      </c>
      <c r="V31" s="158">
        <f t="shared" ca="1" si="45"/>
        <v>33</v>
      </c>
      <c r="W31" s="158">
        <f t="shared" ca="1" si="45"/>
        <v>160</v>
      </c>
      <c r="X31" s="160">
        <f t="shared" ca="1" si="12"/>
        <v>60.377358490566039</v>
      </c>
      <c r="Y31" s="161">
        <f ca="1">SUM(Y32:Y51)</f>
        <v>6</v>
      </c>
      <c r="Z31" s="160">
        <f t="shared" ca="1" si="13"/>
        <v>18.181818181818183</v>
      </c>
      <c r="AA31" s="158">
        <f t="shared" ref="AA31:AN31" ca="1" si="46">SUM(AA32:AA51)</f>
        <v>795</v>
      </c>
      <c r="AB31" s="158">
        <f t="shared" ca="1" si="46"/>
        <v>265</v>
      </c>
      <c r="AC31" s="158">
        <f t="shared" ca="1" si="46"/>
        <v>480</v>
      </c>
      <c r="AD31" s="158">
        <f t="shared" ca="1" si="46"/>
        <v>170</v>
      </c>
      <c r="AE31" s="158">
        <f t="shared" ca="1" si="46"/>
        <v>160</v>
      </c>
      <c r="AF31" s="158">
        <f t="shared" ca="1" si="46"/>
        <v>18</v>
      </c>
      <c r="AG31" s="158">
        <f t="shared" ca="1" si="46"/>
        <v>3</v>
      </c>
      <c r="AH31" s="158">
        <f t="shared" ca="1" si="46"/>
        <v>3</v>
      </c>
      <c r="AI31" s="158">
        <f t="shared" ca="1" si="46"/>
        <v>15</v>
      </c>
      <c r="AJ31" s="158">
        <f t="shared" ca="1" si="46"/>
        <v>3</v>
      </c>
      <c r="AK31" s="158">
        <f t="shared" ca="1" si="46"/>
        <v>3</v>
      </c>
      <c r="AL31" s="158">
        <f t="shared" ca="1" si="46"/>
        <v>265</v>
      </c>
      <c r="AM31" s="158">
        <f t="shared" ca="1" si="46"/>
        <v>33</v>
      </c>
      <c r="AN31" s="158">
        <f t="shared" ca="1" si="46"/>
        <v>0</v>
      </c>
      <c r="AO31" s="158">
        <f t="shared" ca="1" si="15"/>
        <v>0</v>
      </c>
      <c r="AP31" s="158">
        <f ca="1">SUM(AP32:AP51)</f>
        <v>0</v>
      </c>
      <c r="AQ31" s="160">
        <f t="shared" ca="1" si="16"/>
        <v>0</v>
      </c>
      <c r="AR31" s="158">
        <f t="shared" ref="AR31:AV31" ca="1" si="47">SUM(AR32:AR51)</f>
        <v>265</v>
      </c>
      <c r="AS31" s="158">
        <f t="shared" ca="1" si="47"/>
        <v>0</v>
      </c>
      <c r="AT31" s="158">
        <f t="shared" ca="1" si="47"/>
        <v>0</v>
      </c>
      <c r="AU31" s="158">
        <f t="shared" ca="1" si="47"/>
        <v>18</v>
      </c>
      <c r="AV31" s="158">
        <f t="shared" ca="1" si="47"/>
        <v>0</v>
      </c>
      <c r="AW31" s="160">
        <f t="shared" ca="1" si="18"/>
        <v>0</v>
      </c>
      <c r="AX31" s="158">
        <f t="shared" ref="AX31:AY31" ca="1" si="48">SUM(AX32:AX51)</f>
        <v>15</v>
      </c>
      <c r="AY31" s="158">
        <f t="shared" ca="1" si="48"/>
        <v>0</v>
      </c>
      <c r="AZ31" s="160">
        <f t="shared" ca="1" si="20"/>
        <v>0</v>
      </c>
    </row>
    <row r="32" spans="1:52" ht="21" customHeight="1" x14ac:dyDescent="0.3">
      <c r="A32" s="176">
        <v>1</v>
      </c>
      <c r="B32" s="177" t="s">
        <v>54</v>
      </c>
      <c r="C32" s="178">
        <f t="shared" ca="1" si="0"/>
        <v>56040</v>
      </c>
      <c r="D32" s="179">
        <f t="shared" ref="D32:D51" ca="1" si="49">+E32+F32</f>
        <v>56040</v>
      </c>
      <c r="E32" s="180">
        <f ca="1">IFERROR(__xludf.DUMMYFUNCTION("IMPORTRANGE(""https://docs.google.com/spreadsheets/d/1MeEWN-I1oV_STSDYn1IFDPWt_1FKiwhDph83XaGc0o0/edit?usp=sharing"",""งบพรบ!AR32"")"),0)</f>
        <v>0</v>
      </c>
      <c r="F32" s="180">
        <f ca="1">IFERROR(__xludf.DUMMYFUNCTION("IMPORTRANGE(""https://docs.google.com/spreadsheets/d/1MeEWN-I1oV_STSDYn1IFDPWt_1FKiwhDph83XaGc0o0/edit?usp=sharing"",""งบพรบ!AS32"")"),56040)</f>
        <v>56040</v>
      </c>
      <c r="G32" s="181">
        <f ca="1">IFERROR(__xludf.DUMMYFUNCTION("IMPORTRANGE(""https://docs.google.com/spreadsheets/d/1MeEWN-I1oV_STSDYn1IFDPWt_1FKiwhDph83XaGc0o0/edit?usp=sharing"",""งบพรบ!AT32"")"),0)</f>
        <v>0</v>
      </c>
      <c r="H32" s="181">
        <f ca="1">IFERROR(__xludf.DUMMYFUNCTION("IMPORTRANGE(""https://docs.google.com/spreadsheets/d/1MeEWN-I1oV_STSDYn1IFDPWt_1FKiwhDph83XaGc0o0/edit?usp=sharing"",""งบพรบ!AV32"")"),23440)</f>
        <v>23440</v>
      </c>
      <c r="I32" s="181">
        <f ca="1">IFERROR(__xludf.DUMMYFUNCTION("IMPORTRANGE(""https://docs.google.com/spreadsheets/d/1MeEWN-I1oV_STSDYn1IFDPWt_1FKiwhDph83XaGc0o0/edit?usp=sharing"",""งบพรบ!AW32"")"),0)</f>
        <v>0</v>
      </c>
      <c r="J32" s="181">
        <f t="shared" ca="1" si="3"/>
        <v>21180.3</v>
      </c>
      <c r="K32" s="182">
        <f t="shared" ca="1" si="4"/>
        <v>37.79496788008565</v>
      </c>
      <c r="L32" s="181">
        <f ca="1">IFERROR(__xludf.DUMMYFUNCTION("IMPORTRANGE(""https://docs.google.com/spreadsheets/d/1MeEWN-I1oV_STSDYn1IFDPWt_1FKiwhDph83XaGc0o0/edit?usp=sharing"",""งบพรบ!AX32"")"),21180.3)</f>
        <v>21180.3</v>
      </c>
      <c r="M32" s="183">
        <f t="shared" ca="1" si="5"/>
        <v>37.79496788008565</v>
      </c>
      <c r="N32" s="183">
        <f t="shared" ca="1" si="6"/>
        <v>90.359641638225256</v>
      </c>
      <c r="O32" s="184">
        <f ca="1">IFERROR(__xludf.DUMMYFUNCTION("IMPORTRANGE(""https://docs.google.com/spreadsheets/d/1MeEWN-I1oV_STSDYn1IFDPWt_1FKiwhDph83XaGc0o0/edit?usp=sharing"",""งบพรบ!AY32"")"),0)</f>
        <v>0</v>
      </c>
      <c r="P32" s="184">
        <f t="shared" ca="1" si="36"/>
        <v>0</v>
      </c>
      <c r="Q32" s="183">
        <f t="shared" ca="1" si="8"/>
        <v>0</v>
      </c>
      <c r="R32" s="181">
        <f ca="1">IFERROR(__xludf.DUMMYFUNCTION("IMPORTRANGE(""https://docs.google.com/spreadsheets/d/1fb2B9NLcpJgjIieIJvenUTNPn0TimZDUi0OtYeiSQ_s/edit?usp=sharing"",""กาฬสินธุ์!I98"")"),30)</f>
        <v>30</v>
      </c>
      <c r="S32" s="181">
        <f ca="1">IFERROR(__xludf.DUMMYFUNCTION("IMPORTRANGE(""https://docs.google.com/spreadsheets/d/1fb2B9NLcpJgjIieIJvenUTNPn0TimZDUi0OtYeiSQ_s/edit?usp=sharing"",""กาฬสินธุ์!J98"")"),30)</f>
        <v>30</v>
      </c>
      <c r="T32" s="181">
        <f t="shared" ca="1" si="10"/>
        <v>100</v>
      </c>
      <c r="U32" s="181">
        <f ca="1">IFERROR(__xludf.DUMMYFUNCTION("IMPORTRANGE(""https://docs.google.com/spreadsheets/d/1fb2B9NLcpJgjIieIJvenUTNPn0TimZDUi0OtYeiSQ_s/edit?usp=sharing"",""กาฬสินธุ์!I99"")"),10)</f>
        <v>10</v>
      </c>
      <c r="V32" s="181">
        <f ca="1">IFERROR(__xludf.DUMMYFUNCTION("IMPORTRANGE(""https://docs.google.com/spreadsheets/d/1fb2B9NLcpJgjIieIJvenUTNPn0TimZDUi0OtYeiSQ_s/edit?usp=sharing"",""กาฬสินธุ์!I100"")"),1)</f>
        <v>1</v>
      </c>
      <c r="W32" s="181">
        <f ca="1">IFERROR(__xludf.DUMMYFUNCTION("IMPORTRANGE(""https://docs.google.com/spreadsheets/d/1fb2B9NLcpJgjIieIJvenUTNPn0TimZDUi0OtYeiSQ_s/edit?usp=sharing"",""กาฬสินธุ์!J99"")"),10)</f>
        <v>10</v>
      </c>
      <c r="X32" s="185">
        <f t="shared" ca="1" si="12"/>
        <v>100</v>
      </c>
      <c r="Y32" s="186">
        <f ca="1">IFERROR(__xludf.DUMMYFUNCTION("IMPORTRANGE(""https://docs.google.com/spreadsheets/d/1fb2B9NLcpJgjIieIJvenUTNPn0TimZDUi0OtYeiSQ_s/edit?usp=sharing"",""กาฬสินธุ์!J100"")"),0)</f>
        <v>0</v>
      </c>
      <c r="Z32" s="185">
        <f t="shared" ca="1" si="13"/>
        <v>0</v>
      </c>
      <c r="AA32" s="180">
        <f ca="1">IFERROR(__xludf.DUMMYFUNCTION("IMPORTRANGE(""https://docs.google.com/spreadsheets/d/1fb2B9NLcpJgjIieIJvenUTNPn0TimZDUi0OtYeiSQ_s/edit?usp=sharing"",""กาฬสินธุ์!I102"")"),30)</f>
        <v>30</v>
      </c>
      <c r="AB32" s="180">
        <f ca="1">IFERROR(__xludf.DUMMYFUNCTION("IMPORTRANGE(""https://docs.google.com/spreadsheets/d/1fb2B9NLcpJgjIieIJvenUTNPn0TimZDUi0OtYeiSQ_s/edit?usp=sharing"",""กาฬสินธุ์!I103"")"),10)</f>
        <v>10</v>
      </c>
      <c r="AC32" s="181">
        <f ca="1">IFERROR(__xludf.DUMMYFUNCTION("IMPORTRANGE(""https://docs.google.com/spreadsheets/d/1fb2B9NLcpJgjIieIJvenUTNPn0TimZDUi0OtYeiSQ_s/edit?usp=sharing"",""กาฬสินธุ์!J102"")"),30)</f>
        <v>30</v>
      </c>
      <c r="AD32" s="181">
        <f ca="1">IFERROR(__xludf.DUMMYFUNCTION("IMPORTRANGE(""https://docs.google.com/spreadsheets/d/1fb2B9NLcpJgjIieIJvenUTNPn0TimZDUi0OtYeiSQ_s/edit?usp=sharing"",""กาฬสินธุ์!J103"")"),10)</f>
        <v>10</v>
      </c>
      <c r="AE32" s="181">
        <f ca="1">IFERROR(__xludf.DUMMYFUNCTION("IMPORTRANGE(""https://docs.google.com/spreadsheets/d/1fb2B9NLcpJgjIieIJvenUTNPn0TimZDUi0OtYeiSQ_s/edit?usp=sharing"",""กาฬสินธุ์!J104"")"),10)</f>
        <v>10</v>
      </c>
      <c r="AF32" s="180">
        <f ca="1">IFERROR(__xludf.DUMMYFUNCTION("IMPORTRANGE(""https://docs.google.com/spreadsheets/d/1fb2B9NLcpJgjIieIJvenUTNPn0TimZDUi0OtYeiSQ_s/edit?usp=sharing"",""กาฬสินธุ์!I106"")"),1)</f>
        <v>1</v>
      </c>
      <c r="AG32" s="181">
        <f ca="1">IFERROR(__xludf.DUMMYFUNCTION("IMPORTRANGE(""https://docs.google.com/spreadsheets/d/1fb2B9NLcpJgjIieIJvenUTNPn0TimZDUi0OtYeiSQ_s/edit?usp=sharing"",""กาฬสินธุ์!J106"")"),0)</f>
        <v>0</v>
      </c>
      <c r="AH32" s="181">
        <f ca="1">IFERROR(__xludf.DUMMYFUNCTION("IMPORTRANGE(""https://docs.google.com/spreadsheets/d/1fb2B9NLcpJgjIieIJvenUTNPn0TimZDUi0OtYeiSQ_s/edit?usp=sharing"",""กาฬสินธุ์!J107"")"),0)</f>
        <v>0</v>
      </c>
      <c r="AI32" s="180">
        <f ca="1">IFERROR(__xludf.DUMMYFUNCTION("IMPORTRANGE(""https://docs.google.com/spreadsheets/d/1fb2B9NLcpJgjIieIJvenUTNPn0TimZDUi0OtYeiSQ_s/edit?usp=sharing"",""กาฬสินธุ์!I109"")"),0)</f>
        <v>0</v>
      </c>
      <c r="AJ32" s="181">
        <f ca="1">IFERROR(__xludf.DUMMYFUNCTION("IMPORTRANGE(""https://docs.google.com/spreadsheets/d/1fb2B9NLcpJgjIieIJvenUTNPn0TimZDUi0OtYeiSQ_s/edit?usp=sharing"",""กาฬสินธุ์!J109"")"),0)</f>
        <v>0</v>
      </c>
      <c r="AK32" s="181">
        <f ca="1">IFERROR(__xludf.DUMMYFUNCTION("IMPORTRANGE(""https://docs.google.com/spreadsheets/d/1fb2B9NLcpJgjIieIJvenUTNPn0TimZDUi0OtYeiSQ_s/edit?usp=sharing"",""กาฬสินธุ์!J110"")"),0)</f>
        <v>0</v>
      </c>
      <c r="AL32" s="180">
        <f ca="1">IFERROR(__xludf.DUMMYFUNCTION("IMPORTRANGE(""https://docs.google.com/spreadsheets/d/1fb2B9NLcpJgjIieIJvenUTNPn0TimZDUi0OtYeiSQ_s/edit?usp=sharing"",""กาฬสินธุ์!I111"")"),10)</f>
        <v>10</v>
      </c>
      <c r="AM32" s="180">
        <f ca="1">IFERROR(__xludf.DUMMYFUNCTION("IMPORTRANGE(""https://docs.google.com/spreadsheets/d/1fb2B9NLcpJgjIieIJvenUTNPn0TimZDUi0OtYeiSQ_s/edit?usp=sharing"",""กาฬสินธุ์!I112"")"),1)</f>
        <v>1</v>
      </c>
      <c r="AN32" s="181">
        <f ca="1">IFERROR(__xludf.DUMMYFUNCTION("IMPORTRANGE(""https://docs.google.com/spreadsheets/d/1fb2B9NLcpJgjIieIJvenUTNPn0TimZDUi0OtYeiSQ_s/edit?usp=sharing"",""กาฬสินธุ์!J111"")"),0)</f>
        <v>0</v>
      </c>
      <c r="AO32" s="181">
        <f t="shared" ca="1" si="15"/>
        <v>0</v>
      </c>
      <c r="AP32" s="181">
        <f ca="1">IFERROR(__xludf.DUMMYFUNCTION("IMPORTRANGE(""https://docs.google.com/spreadsheets/d/1fb2B9NLcpJgjIieIJvenUTNPn0TimZDUi0OtYeiSQ_s/edit?usp=sharing"",""กาฬสินธุ์!J112"")"),0)</f>
        <v>0</v>
      </c>
      <c r="AQ32" s="183">
        <f t="shared" ca="1" si="16"/>
        <v>0</v>
      </c>
      <c r="AR32" s="180">
        <f ca="1">IFERROR(__xludf.DUMMYFUNCTION("IMPORTRANGE(""https://docs.google.com/spreadsheets/d/1fb2B9NLcpJgjIieIJvenUTNPn0TimZDUi0OtYeiSQ_s/edit?usp=sharing"",""กาฬสินธุ์!I113"")"),10)</f>
        <v>10</v>
      </c>
      <c r="AS32" s="180">
        <f ca="1">IFERROR(__xludf.DUMMYFUNCTION("IMPORTRANGE(""https://docs.google.com/spreadsheets/d/1fb2B9NLcpJgjIieIJvenUTNPn0TimZDUi0OtYeiSQ_s/edit?usp=sharing"",""กาฬสินธุ์!J113"")"),0)</f>
        <v>0</v>
      </c>
      <c r="AT32" s="180">
        <f ca="1">IFERROR(__xludf.DUMMYFUNCTION("IMPORTRANGE(""https://docs.google.com/spreadsheets/d/1fb2B9NLcpJgjIieIJvenUTNPn0TimZDUi0OtYeiSQ_s/edit?usp=sharing"",""กาฬสินธุ์!J114"")"),0)</f>
        <v>0</v>
      </c>
      <c r="AU32" s="180">
        <f ca="1">IFERROR(__xludf.DUMMYFUNCTION("IMPORTRANGE(""https://docs.google.com/spreadsheets/d/1fb2B9NLcpJgjIieIJvenUTNPn0TimZDUi0OtYeiSQ_s/edit?usp=sharing"",""กาฬสินธุ์!I115"")"),1)</f>
        <v>1</v>
      </c>
      <c r="AV32" s="181">
        <f ca="1">IFERROR(__xludf.DUMMYFUNCTION("IMPORTRANGE(""https://docs.google.com/spreadsheets/d/1fb2B9NLcpJgjIieIJvenUTNPn0TimZDUi0OtYeiSQ_s/edit?usp=sharing"",""กาฬสินธุ์!J115"")"),0)</f>
        <v>0</v>
      </c>
      <c r="AW32" s="183">
        <f t="shared" ca="1" si="18"/>
        <v>0</v>
      </c>
      <c r="AX32" s="180">
        <f ca="1">IFERROR(__xludf.DUMMYFUNCTION("IMPORTRANGE(""https://docs.google.com/spreadsheets/d/1fb2B9NLcpJgjIieIJvenUTNPn0TimZDUi0OtYeiSQ_s/edit?usp=sharing"",""กาฬสินธุ์!I116"")"),0)</f>
        <v>0</v>
      </c>
      <c r="AY32" s="181">
        <f ca="1">IFERROR(__xludf.DUMMYFUNCTION("IMPORTRANGE(""https://docs.google.com/spreadsheets/d/1fb2B9NLcpJgjIieIJvenUTNPn0TimZDUi0OtYeiSQ_s/edit?usp=sharing"",""กาฬสินธุ์!J116"")"),0)</f>
        <v>0</v>
      </c>
      <c r="AZ32" s="183">
        <f t="shared" ca="1" si="20"/>
        <v>0</v>
      </c>
    </row>
    <row r="33" spans="1:52" ht="21" customHeight="1" x14ac:dyDescent="0.3">
      <c r="A33" s="176">
        <v>2</v>
      </c>
      <c r="B33" s="177" t="s">
        <v>55</v>
      </c>
      <c r="C33" s="178">
        <f t="shared" ca="1" si="0"/>
        <v>111180</v>
      </c>
      <c r="D33" s="179">
        <f t="shared" ca="1" si="49"/>
        <v>111180</v>
      </c>
      <c r="E33" s="180">
        <f ca="1">IFERROR(__xludf.DUMMYFUNCTION("IMPORTRANGE(""https://docs.google.com/spreadsheets/d/1MeEWN-I1oV_STSDYn1IFDPWt_1FKiwhDph83XaGc0o0/edit?usp=sharing"",""งบพรบ!AR33"")"),0)</f>
        <v>0</v>
      </c>
      <c r="F33" s="180">
        <f ca="1">IFERROR(__xludf.DUMMYFUNCTION("IMPORTRANGE(""https://docs.google.com/spreadsheets/d/1MeEWN-I1oV_STSDYn1IFDPWt_1FKiwhDph83XaGc0o0/edit?usp=sharing"",""งบพรบ!AS33"")"),111180)</f>
        <v>111180</v>
      </c>
      <c r="G33" s="180">
        <f ca="1">IFERROR(__xludf.DUMMYFUNCTION("IMPORTRANGE(""https://docs.google.com/spreadsheets/d/1MeEWN-I1oV_STSDYn1IFDPWt_1FKiwhDph83XaGc0o0/edit?usp=sharing"",""งบพรบ!AT33"")"),0)</f>
        <v>0</v>
      </c>
      <c r="H33" s="180">
        <f ca="1">IFERROR(__xludf.DUMMYFUNCTION("IMPORTRANGE(""https://docs.google.com/spreadsheets/d/1MeEWN-I1oV_STSDYn1IFDPWt_1FKiwhDph83XaGc0o0/edit?usp=sharing"",""งบพรบ!AV33"")"),101480)</f>
        <v>101480</v>
      </c>
      <c r="I33" s="180">
        <f ca="1">IFERROR(__xludf.DUMMYFUNCTION("IMPORTRANGE(""https://docs.google.com/spreadsheets/d/1MeEWN-I1oV_STSDYn1IFDPWt_1FKiwhDph83XaGc0o0/edit?usp=sharing"",""งบพรบ!AW33"")"),0)</f>
        <v>0</v>
      </c>
      <c r="J33" s="180">
        <f t="shared" ca="1" si="3"/>
        <v>65847.88</v>
      </c>
      <c r="K33" s="187">
        <f t="shared" ca="1" si="4"/>
        <v>59.22637164957726</v>
      </c>
      <c r="L33" s="180">
        <f ca="1">IFERROR(__xludf.DUMMYFUNCTION("IMPORTRANGE(""https://docs.google.com/spreadsheets/d/1MeEWN-I1oV_STSDYn1IFDPWt_1FKiwhDph83XaGc0o0/edit?usp=sharing"",""งบพรบ!AX33"")"),65847.88)</f>
        <v>65847.88</v>
      </c>
      <c r="M33" s="183">
        <f t="shared" ca="1" si="5"/>
        <v>59.22637164957726</v>
      </c>
      <c r="N33" s="183">
        <f t="shared" ca="1" si="6"/>
        <v>64.887544343713046</v>
      </c>
      <c r="O33" s="184">
        <f ca="1">IFERROR(__xludf.DUMMYFUNCTION("IMPORTRANGE(""https://docs.google.com/spreadsheets/d/1MeEWN-I1oV_STSDYn1IFDPWt_1FKiwhDph83XaGc0o0/edit?usp=sharing"",""งบพรบ!AY33"")"),0)</f>
        <v>0</v>
      </c>
      <c r="P33" s="184">
        <f t="shared" ca="1" si="36"/>
        <v>0</v>
      </c>
      <c r="Q33" s="183">
        <f t="shared" ca="1" si="8"/>
        <v>0</v>
      </c>
      <c r="R33" s="181">
        <f ca="1">IFERROR(__xludf.DUMMYFUNCTION("IMPORTRANGE(""https://docs.google.com/spreadsheets/d/1SaMnqrwRGmFYNR0MhpWmHuL5niYUd5E7vDq8X7whAlI/edit?usp=sharing"",""ขอนแก่น!I98"")"),60)</f>
        <v>60</v>
      </c>
      <c r="S33" s="181">
        <f ca="1">IFERROR(__xludf.DUMMYFUNCTION("IMPORTRANGE(""https://docs.google.com/spreadsheets/d/1SaMnqrwRGmFYNR0MhpWmHuL5niYUd5E7vDq8X7whAlI/edit?usp=sharing"",""ขอนแก่น!J98"")"),60)</f>
        <v>60</v>
      </c>
      <c r="T33" s="181">
        <f t="shared" ca="1" si="10"/>
        <v>100</v>
      </c>
      <c r="U33" s="181">
        <f ca="1">IFERROR(__xludf.DUMMYFUNCTION("IMPORTRANGE(""https://docs.google.com/spreadsheets/d/1SaMnqrwRGmFYNR0MhpWmHuL5niYUd5E7vDq8X7whAlI/edit?usp=sharing"",""ขอนแก่น!I99"")"),20)</f>
        <v>20</v>
      </c>
      <c r="V33" s="181">
        <f ca="1">IFERROR(__xludf.DUMMYFUNCTION("IMPORTRANGE(""https://docs.google.com/spreadsheets/d/1SaMnqrwRGmFYNR0MhpWmHuL5niYUd5E7vDq8X7whAlI/edit?usp=sharing"",""ขอนแก่น!I100"")"),2)</f>
        <v>2</v>
      </c>
      <c r="W33" s="181">
        <f ca="1">IFERROR(__xludf.DUMMYFUNCTION("IMPORTRANGE(""https://docs.google.com/spreadsheets/d/1SaMnqrwRGmFYNR0MhpWmHuL5niYUd5E7vDq8X7whAlI/edit?usp=sharing"",""ขอนแก่น!J99"")"),20)</f>
        <v>20</v>
      </c>
      <c r="X33" s="185">
        <f t="shared" ca="1" si="12"/>
        <v>100</v>
      </c>
      <c r="Y33" s="186">
        <f ca="1">IFERROR(__xludf.DUMMYFUNCTION("IMPORTRANGE(""https://docs.google.com/spreadsheets/d/1SaMnqrwRGmFYNR0MhpWmHuL5niYUd5E7vDq8X7whAlI/edit?usp=sharing"",""ขอนแก่น!J100"")"),1)</f>
        <v>1</v>
      </c>
      <c r="Z33" s="185">
        <f t="shared" ca="1" si="13"/>
        <v>50</v>
      </c>
      <c r="AA33" s="180">
        <f ca="1">IFERROR(__xludf.DUMMYFUNCTION("IMPORTRANGE(""https://docs.google.com/spreadsheets/d/1SaMnqrwRGmFYNR0MhpWmHuL5niYUd5E7vDq8X7whAlI/edit?usp=sharing"",""ขอนแก่น!I102"")"),60)</f>
        <v>60</v>
      </c>
      <c r="AB33" s="180">
        <f ca="1">IFERROR(__xludf.DUMMYFUNCTION("IMPORTRANGE(""https://docs.google.com/spreadsheets/d/1SaMnqrwRGmFYNR0MhpWmHuL5niYUd5E7vDq8X7whAlI/edit?usp=sharing"",""ขอนแก่น!I103"")"),20)</f>
        <v>20</v>
      </c>
      <c r="AC33" s="181">
        <f ca="1">IFERROR(__xludf.DUMMYFUNCTION("IMPORTRANGE(""https://docs.google.com/spreadsheets/d/1SaMnqrwRGmFYNR0MhpWmHuL5niYUd5E7vDq8X7whAlI/edit?usp=sharing"",""ขอนแก่น!J102"")"),60)</f>
        <v>60</v>
      </c>
      <c r="AD33" s="181">
        <f ca="1">IFERROR(__xludf.DUMMYFUNCTION("IMPORTRANGE(""https://docs.google.com/spreadsheets/d/1SaMnqrwRGmFYNR0MhpWmHuL5niYUd5E7vDq8X7whAlI/edit?usp=sharing"",""ขอนแก่น!J103"")"),20)</f>
        <v>20</v>
      </c>
      <c r="AE33" s="181">
        <f ca="1">IFERROR(__xludf.DUMMYFUNCTION("IMPORTRANGE(""https://docs.google.com/spreadsheets/d/1SaMnqrwRGmFYNR0MhpWmHuL5niYUd5E7vDq8X7whAlI/edit?usp=sharing"",""ขอนแก่น!J104"")"),20)</f>
        <v>20</v>
      </c>
      <c r="AF33" s="180">
        <f ca="1">IFERROR(__xludf.DUMMYFUNCTION("IMPORTRANGE(""https://docs.google.com/spreadsheets/d/1SaMnqrwRGmFYNR0MhpWmHuL5niYUd5E7vDq8X7whAlI/edit?usp=sharing"",""ขอนแก่น!I106"")"),1)</f>
        <v>1</v>
      </c>
      <c r="AG33" s="181">
        <f ca="1">IFERROR(__xludf.DUMMYFUNCTION("IMPORTRANGE(""https://docs.google.com/spreadsheets/d/1SaMnqrwRGmFYNR0MhpWmHuL5niYUd5E7vDq8X7whAlI/edit?usp=sharing"",""ขอนแก่น!J106"")"),1)</f>
        <v>1</v>
      </c>
      <c r="AH33" s="181">
        <f ca="1">IFERROR(__xludf.DUMMYFUNCTION("IMPORTRANGE(""https://docs.google.com/spreadsheets/d/1SaMnqrwRGmFYNR0MhpWmHuL5niYUd5E7vDq8X7whAlI/edit?usp=sharing"",""ขอนแก่น!J107"")"),1)</f>
        <v>1</v>
      </c>
      <c r="AI33" s="180">
        <f ca="1">IFERROR(__xludf.DUMMYFUNCTION("IMPORTRANGE(""https://docs.google.com/spreadsheets/d/1SaMnqrwRGmFYNR0MhpWmHuL5niYUd5E7vDq8X7whAlI/edit?usp=sharing"",""ขอนแก่น!I109"")"),1)</f>
        <v>1</v>
      </c>
      <c r="AJ33" s="181">
        <f ca="1">IFERROR(__xludf.DUMMYFUNCTION("IMPORTRANGE(""https://docs.google.com/spreadsheets/d/1SaMnqrwRGmFYNR0MhpWmHuL5niYUd5E7vDq8X7whAlI/edit?usp=sharing"",""ขอนแก่น!J109"")"),0)</f>
        <v>0</v>
      </c>
      <c r="AK33" s="181">
        <f ca="1">IFERROR(__xludf.DUMMYFUNCTION("IMPORTRANGE(""https://docs.google.com/spreadsheets/d/1SaMnqrwRGmFYNR0MhpWmHuL5niYUd5E7vDq8X7whAlI/edit?usp=sharing"",""ขอนแก่น!J110"")"),0)</f>
        <v>0</v>
      </c>
      <c r="AL33" s="180">
        <f ca="1">IFERROR(__xludf.DUMMYFUNCTION("IMPORTRANGE(""https://docs.google.com/spreadsheets/d/1SaMnqrwRGmFYNR0MhpWmHuL5niYUd5E7vDq8X7whAlI/edit?usp=sharing"",""ขอนแก่น!I111"")"),20)</f>
        <v>20</v>
      </c>
      <c r="AM33" s="180">
        <f ca="1">IFERROR(__xludf.DUMMYFUNCTION("IMPORTRANGE(""https://docs.google.com/spreadsheets/d/1SaMnqrwRGmFYNR0MhpWmHuL5niYUd5E7vDq8X7whAlI/edit?usp=sharing"",""ขอนแก่น!I112"")"),2)</f>
        <v>2</v>
      </c>
      <c r="AN33" s="181">
        <f ca="1">IFERROR(__xludf.DUMMYFUNCTION("IMPORTRANGE(""https://docs.google.com/spreadsheets/d/1SaMnqrwRGmFYNR0MhpWmHuL5niYUd5E7vDq8X7whAlI/edit?usp=sharing"",""ขอนแก่น!J111"")"),0)</f>
        <v>0</v>
      </c>
      <c r="AO33" s="181">
        <f t="shared" ca="1" si="15"/>
        <v>0</v>
      </c>
      <c r="AP33" s="181">
        <f ca="1">IFERROR(__xludf.DUMMYFUNCTION("IMPORTRANGE(""https://docs.google.com/spreadsheets/d/1SaMnqrwRGmFYNR0MhpWmHuL5niYUd5E7vDq8X7whAlI/edit?usp=sharing"",""ขอนแก่น!J112"")"),0)</f>
        <v>0</v>
      </c>
      <c r="AQ33" s="183">
        <f t="shared" ca="1" si="16"/>
        <v>0</v>
      </c>
      <c r="AR33" s="180">
        <f ca="1">IFERROR(__xludf.DUMMYFUNCTION("IMPORTRANGE(""https://docs.google.com/spreadsheets/d/1SaMnqrwRGmFYNR0MhpWmHuL5niYUd5E7vDq8X7whAlI/edit?usp=sharing"",""ขอนแก่น!I113"")"),20)</f>
        <v>20</v>
      </c>
      <c r="AS33" s="180">
        <f ca="1">IFERROR(__xludf.DUMMYFUNCTION("IMPORTRANGE(""https://docs.google.com/spreadsheets/d/1SaMnqrwRGmFYNR0MhpWmHuL5niYUd5E7vDq8X7whAlI/edit?usp=sharing"",""ขอนแก่น!J113"")"),0)</f>
        <v>0</v>
      </c>
      <c r="AT33" s="180">
        <f ca="1">IFERROR(__xludf.DUMMYFUNCTION("IMPORTRANGE(""https://docs.google.com/spreadsheets/d/1SaMnqrwRGmFYNR0MhpWmHuL5niYUd5E7vDq8X7whAlI/edit?usp=sharing"",""ขอนแก่น!J114"")"),0)</f>
        <v>0</v>
      </c>
      <c r="AU33" s="180">
        <f ca="1">IFERROR(__xludf.DUMMYFUNCTION("IMPORTRANGE(""https://docs.google.com/spreadsheets/d/1SaMnqrwRGmFYNR0MhpWmHuL5niYUd5E7vDq8X7whAlI/edit?usp=sharing"",""ขอนแก่น!I115"")"),1)</f>
        <v>1</v>
      </c>
      <c r="AV33" s="181">
        <f ca="1">IFERROR(__xludf.DUMMYFUNCTION("IMPORTRANGE(""https://docs.google.com/spreadsheets/d/1SaMnqrwRGmFYNR0MhpWmHuL5niYUd5E7vDq8X7whAlI/edit?usp=sharing"",""ขอนแก่น!J115"")"),0)</f>
        <v>0</v>
      </c>
      <c r="AW33" s="183">
        <f t="shared" ca="1" si="18"/>
        <v>0</v>
      </c>
      <c r="AX33" s="180">
        <f ca="1">IFERROR(__xludf.DUMMYFUNCTION("IMPORTRANGE(""https://docs.google.com/spreadsheets/d/1SaMnqrwRGmFYNR0MhpWmHuL5niYUd5E7vDq8X7whAlI/edit?usp=sharing"",""ขอนแก่น!I116"")"),1)</f>
        <v>1</v>
      </c>
      <c r="AY33" s="181">
        <f ca="1">IFERROR(__xludf.DUMMYFUNCTION("IMPORTRANGE(""https://docs.google.com/spreadsheets/d/1SaMnqrwRGmFYNR0MhpWmHuL5niYUd5E7vDq8X7whAlI/edit?usp=sharing"",""ขอนแก่น!J116"")"),0)</f>
        <v>0</v>
      </c>
      <c r="AZ33" s="183">
        <f t="shared" ca="1" si="20"/>
        <v>0</v>
      </c>
    </row>
    <row r="34" spans="1:52" ht="21" customHeight="1" x14ac:dyDescent="0.3">
      <c r="A34" s="176">
        <v>3</v>
      </c>
      <c r="B34" s="177" t="s">
        <v>56</v>
      </c>
      <c r="C34" s="178">
        <f t="shared" ca="1" si="0"/>
        <v>31200</v>
      </c>
      <c r="D34" s="179">
        <f t="shared" ca="1" si="49"/>
        <v>31200</v>
      </c>
      <c r="E34" s="180">
        <f ca="1">IFERROR(__xludf.DUMMYFUNCTION("IMPORTRANGE(""https://docs.google.com/spreadsheets/d/1MeEWN-I1oV_STSDYn1IFDPWt_1FKiwhDph83XaGc0o0/edit?usp=sharing"",""งบพรบ!AR34"")"),0)</f>
        <v>0</v>
      </c>
      <c r="F34" s="180">
        <f ca="1">IFERROR(__xludf.DUMMYFUNCTION("IMPORTRANGE(""https://docs.google.com/spreadsheets/d/1MeEWN-I1oV_STSDYn1IFDPWt_1FKiwhDph83XaGc0o0/edit?usp=sharing"",""งบพรบ!AS34"")"),31200)</f>
        <v>31200</v>
      </c>
      <c r="G34" s="180">
        <f ca="1">IFERROR(__xludf.DUMMYFUNCTION("IMPORTRANGE(""https://docs.google.com/spreadsheets/d/1MeEWN-I1oV_STSDYn1IFDPWt_1FKiwhDph83XaGc0o0/edit?usp=sharing"",""งบพรบ!AT34"")"),0)</f>
        <v>0</v>
      </c>
      <c r="H34" s="180">
        <f ca="1">IFERROR(__xludf.DUMMYFUNCTION("IMPORTRANGE(""https://docs.google.com/spreadsheets/d/1MeEWN-I1oV_STSDYn1IFDPWt_1FKiwhDph83XaGc0o0/edit?usp=sharing"",""งบพรบ!AV34"")"),29350)</f>
        <v>29350</v>
      </c>
      <c r="I34" s="180">
        <f ca="1">IFERROR(__xludf.DUMMYFUNCTION("IMPORTRANGE(""https://docs.google.com/spreadsheets/d/1MeEWN-I1oV_STSDYn1IFDPWt_1FKiwhDph83XaGc0o0/edit?usp=sharing"",""งบพรบ!AW34"")"),0)</f>
        <v>0</v>
      </c>
      <c r="J34" s="180">
        <f t="shared" ca="1" si="3"/>
        <v>19893</v>
      </c>
      <c r="K34" s="187">
        <f t="shared" ca="1" si="4"/>
        <v>63.759615384615387</v>
      </c>
      <c r="L34" s="180">
        <f ca="1">IFERROR(__xludf.DUMMYFUNCTION("IMPORTRANGE(""https://docs.google.com/spreadsheets/d/1MeEWN-I1oV_STSDYn1IFDPWt_1FKiwhDph83XaGc0o0/edit?usp=sharing"",""งบพรบ!AX34"")"),19893)</f>
        <v>19893</v>
      </c>
      <c r="M34" s="183">
        <f t="shared" ca="1" si="5"/>
        <v>63.759615384615387</v>
      </c>
      <c r="N34" s="183">
        <f t="shared" ca="1" si="6"/>
        <v>67.778534923339009</v>
      </c>
      <c r="O34" s="184">
        <f ca="1">IFERROR(__xludf.DUMMYFUNCTION("IMPORTRANGE(""https://docs.google.com/spreadsheets/d/1MeEWN-I1oV_STSDYn1IFDPWt_1FKiwhDph83XaGc0o0/edit?usp=sharing"",""งบพรบ!AY34"")"),0)</f>
        <v>0</v>
      </c>
      <c r="P34" s="184">
        <f t="shared" ca="1" si="36"/>
        <v>0</v>
      </c>
      <c r="Q34" s="183">
        <f t="shared" ca="1" si="8"/>
        <v>0</v>
      </c>
      <c r="R34" s="181">
        <f ca="1">IFERROR(__xludf.DUMMYFUNCTION("IMPORTRANGE(""https://docs.google.com/spreadsheets/d/1xQzEtGHhTTgxHh6YUkKY1P4dRyjVhS74dGswLfAASA4/edit?usp=sharing"",""ชัยภูมิ!I98"")"),0)</f>
        <v>0</v>
      </c>
      <c r="S34" s="181">
        <f ca="1">IFERROR(__xludf.DUMMYFUNCTION("IMPORTRANGE(""https://docs.google.com/spreadsheets/d/1xQzEtGHhTTgxHh6YUkKY1P4dRyjVhS74dGswLfAASA4/edit?usp=sharing"",""ชัยภูมิ!J98"")"),0)</f>
        <v>0</v>
      </c>
      <c r="T34" s="181">
        <f t="shared" ca="1" si="10"/>
        <v>0</v>
      </c>
      <c r="U34" s="181">
        <f ca="1">IFERROR(__xludf.DUMMYFUNCTION("IMPORTRANGE(""https://docs.google.com/spreadsheets/d/1xQzEtGHhTTgxHh6YUkKY1P4dRyjVhS74dGswLfAASA4/edit?usp=sharing"",""ชัยภูมิ!I99"")"),0)</f>
        <v>0</v>
      </c>
      <c r="V34" s="181">
        <f ca="1">IFERROR(__xludf.DUMMYFUNCTION("IMPORTRANGE(""https://docs.google.com/spreadsheets/d/1xQzEtGHhTTgxHh6YUkKY1P4dRyjVhS74dGswLfAASA4/edit?usp=sharing"",""ชัยภูมิ!I100"")"),1)</f>
        <v>1</v>
      </c>
      <c r="W34" s="181">
        <f ca="1">IFERROR(__xludf.DUMMYFUNCTION("IMPORTRANGE(""https://docs.google.com/spreadsheets/d/1xQzEtGHhTTgxHh6YUkKY1P4dRyjVhS74dGswLfAASA4/edit?usp=sharing"",""ชัยภูมิ!J99"")"),0)</f>
        <v>0</v>
      </c>
      <c r="X34" s="185">
        <f t="shared" ca="1" si="12"/>
        <v>0</v>
      </c>
      <c r="Y34" s="186">
        <f ca="1">IFERROR(__xludf.DUMMYFUNCTION("IMPORTRANGE(""https://docs.google.com/spreadsheets/d/1xQzEtGHhTTgxHh6YUkKY1P4dRyjVhS74dGswLfAASA4/edit?usp=sharing"",""ชัยภูมิ!J100"")"),0)</f>
        <v>0</v>
      </c>
      <c r="Z34" s="185">
        <f t="shared" ca="1" si="13"/>
        <v>0</v>
      </c>
      <c r="AA34" s="180">
        <f ca="1">IFERROR(__xludf.DUMMYFUNCTION("IMPORTRANGE(""https://docs.google.com/spreadsheets/d/1xQzEtGHhTTgxHh6YUkKY1P4dRyjVhS74dGswLfAASA4/edit?usp=sharing"",""ชัยภูมิ!I102"")"),0)</f>
        <v>0</v>
      </c>
      <c r="AB34" s="180">
        <f ca="1">IFERROR(__xludf.DUMMYFUNCTION("IMPORTRANGE(""https://docs.google.com/spreadsheets/d/1xQzEtGHhTTgxHh6YUkKY1P4dRyjVhS74dGswLfAASA4/edit?usp=sharing"",""ชัยภูมิ!I103"")"),0)</f>
        <v>0</v>
      </c>
      <c r="AC34" s="181">
        <f ca="1">IFERROR(__xludf.DUMMYFUNCTION("IMPORTRANGE(""https://docs.google.com/spreadsheets/d/1xQzEtGHhTTgxHh6YUkKY1P4dRyjVhS74dGswLfAASA4/edit?usp=sharing"",""ชัยภูมิ!J102"")"),0)</f>
        <v>0</v>
      </c>
      <c r="AD34" s="181">
        <f ca="1">IFERROR(__xludf.DUMMYFUNCTION("IMPORTRANGE(""https://docs.google.com/spreadsheets/d/1xQzEtGHhTTgxHh6YUkKY1P4dRyjVhS74dGswLfAASA4/edit?usp=sharing"",""ชัยภูมิ!J103"")"),0)</f>
        <v>0</v>
      </c>
      <c r="AE34" s="181">
        <f ca="1">IFERROR(__xludf.DUMMYFUNCTION("IMPORTRANGE(""https://docs.google.com/spreadsheets/d/1xQzEtGHhTTgxHh6YUkKY1P4dRyjVhS74dGswLfAASA4/edit?usp=sharing"",""ชัยภูมิ!J104"")"),0)</f>
        <v>0</v>
      </c>
      <c r="AF34" s="180">
        <f ca="1">IFERROR(__xludf.DUMMYFUNCTION("IMPORTRANGE(""https://docs.google.com/spreadsheets/d/1xQzEtGHhTTgxHh6YUkKY1P4dRyjVhS74dGswLfAASA4/edit?usp=sharing"",""ชัยภูมิ!I106"")"),0)</f>
        <v>0</v>
      </c>
      <c r="AG34" s="181">
        <f ca="1">IFERROR(__xludf.DUMMYFUNCTION("IMPORTRANGE(""https://docs.google.com/spreadsheets/d/1xQzEtGHhTTgxHh6YUkKY1P4dRyjVhS74dGswLfAASA4/edit?usp=sharing"",""ชัยภูมิ!J106"")"),0)</f>
        <v>0</v>
      </c>
      <c r="AH34" s="181">
        <f ca="1">IFERROR(__xludf.DUMMYFUNCTION("IMPORTRANGE(""https://docs.google.com/spreadsheets/d/1xQzEtGHhTTgxHh6YUkKY1P4dRyjVhS74dGswLfAASA4/edit?usp=sharing"",""ชัยภูมิ!J107"")"),0)</f>
        <v>0</v>
      </c>
      <c r="AI34" s="180">
        <f ca="1">IFERROR(__xludf.DUMMYFUNCTION("IMPORTRANGE(""https://docs.google.com/spreadsheets/d/1xQzEtGHhTTgxHh6YUkKY1P4dRyjVhS74dGswLfAASA4/edit?usp=sharing"",""ชัยภูมิ!I109"")"),1)</f>
        <v>1</v>
      </c>
      <c r="AJ34" s="181" t="str">
        <f ca="1">IFERROR(__xludf.DUMMYFUNCTION("IMPORTRANGE(""https://docs.google.com/spreadsheets/d/1xQzEtGHhTTgxHh6YUkKY1P4dRyjVhS74dGswLfAASA4/edit?usp=sharing"",""ชัยภูมิ!J109"")"),"")</f>
        <v/>
      </c>
      <c r="AK34" s="181">
        <f ca="1">IFERROR(__xludf.DUMMYFUNCTION("IMPORTRANGE(""https://docs.google.com/spreadsheets/d/1xQzEtGHhTTgxHh6YUkKY1P4dRyjVhS74dGswLfAASA4/edit?usp=sharing"",""ชัยภูมิ!J110"")"),0)</f>
        <v>0</v>
      </c>
      <c r="AL34" s="180">
        <f ca="1">IFERROR(__xludf.DUMMYFUNCTION("IMPORTRANGE(""https://docs.google.com/spreadsheets/d/1xQzEtGHhTTgxHh6YUkKY1P4dRyjVhS74dGswLfAASA4/edit?usp=sharing"",""ชัยภูมิ!I111"")"),0)</f>
        <v>0</v>
      </c>
      <c r="AM34" s="180">
        <f ca="1">IFERROR(__xludf.DUMMYFUNCTION("IMPORTRANGE(""https://docs.google.com/spreadsheets/d/1xQzEtGHhTTgxHh6YUkKY1P4dRyjVhS74dGswLfAASA4/edit?usp=sharing"",""ชัยภูมิ!I112"")"),1)</f>
        <v>1</v>
      </c>
      <c r="AN34" s="181">
        <f ca="1">IFERROR(__xludf.DUMMYFUNCTION("IMPORTRANGE(""https://docs.google.com/spreadsheets/d/1xQzEtGHhTTgxHh6YUkKY1P4dRyjVhS74dGswLfAASA4/edit?usp=sharing"",""ชัยภูมิ!J111"")"),0)</f>
        <v>0</v>
      </c>
      <c r="AO34" s="181">
        <f t="shared" ca="1" si="15"/>
        <v>0</v>
      </c>
      <c r="AP34" s="181">
        <f ca="1">IFERROR(__xludf.DUMMYFUNCTION("IMPORTRANGE(""https://docs.google.com/spreadsheets/d/1xQzEtGHhTTgxHh6YUkKY1P4dRyjVhS74dGswLfAASA4/edit?usp=sharing"",""ชัยภูมิ!J112"")"),0)</f>
        <v>0</v>
      </c>
      <c r="AQ34" s="183">
        <f t="shared" ca="1" si="16"/>
        <v>0</v>
      </c>
      <c r="AR34" s="180">
        <f ca="1">IFERROR(__xludf.DUMMYFUNCTION("IMPORTRANGE(""https://docs.google.com/spreadsheets/d/1xQzEtGHhTTgxHh6YUkKY1P4dRyjVhS74dGswLfAASA4/edit?usp=sharing"",""ชัยภูมิ!I113"")"),0)</f>
        <v>0</v>
      </c>
      <c r="AS34" s="180">
        <f ca="1">IFERROR(__xludf.DUMMYFUNCTION("IMPORTRANGE(""https://docs.google.com/spreadsheets/d/1xQzEtGHhTTgxHh6YUkKY1P4dRyjVhS74dGswLfAASA4/edit?usp=sharing"",""ชัยภูมิ!J113"")"),0)</f>
        <v>0</v>
      </c>
      <c r="AT34" s="180">
        <f ca="1">IFERROR(__xludf.DUMMYFUNCTION("IMPORTRANGE(""https://docs.google.com/spreadsheets/d/1xQzEtGHhTTgxHh6YUkKY1P4dRyjVhS74dGswLfAASA4/edit?usp=sharing"",""ชัยภูมิ!J114"")"),0)</f>
        <v>0</v>
      </c>
      <c r="AU34" s="180">
        <f ca="1">IFERROR(__xludf.DUMMYFUNCTION("IMPORTRANGE(""https://docs.google.com/spreadsheets/d/1xQzEtGHhTTgxHh6YUkKY1P4dRyjVhS74dGswLfAASA4/edit?usp=sharing"",""ชัยภูมิ!I115"")"),0)</f>
        <v>0</v>
      </c>
      <c r="AV34" s="181">
        <f ca="1">IFERROR(__xludf.DUMMYFUNCTION("IMPORTRANGE(""https://docs.google.com/spreadsheets/d/1xQzEtGHhTTgxHh6YUkKY1P4dRyjVhS74dGswLfAASA4/edit?usp=sharing"",""ชัยภูมิ!J115"")"),0)</f>
        <v>0</v>
      </c>
      <c r="AW34" s="183">
        <f t="shared" ca="1" si="18"/>
        <v>0</v>
      </c>
      <c r="AX34" s="180">
        <f ca="1">IFERROR(__xludf.DUMMYFUNCTION("IMPORTRANGE(""https://docs.google.com/spreadsheets/d/1xQzEtGHhTTgxHh6YUkKY1P4dRyjVhS74dGswLfAASA4/edit?usp=sharing"",""ชัยภูมิ!I116"")"),1)</f>
        <v>1</v>
      </c>
      <c r="AY34" s="181">
        <f ca="1">IFERROR(__xludf.DUMMYFUNCTION("IMPORTRANGE(""https://docs.google.com/spreadsheets/d/1xQzEtGHhTTgxHh6YUkKY1P4dRyjVhS74dGswLfAASA4/edit?usp=sharing"",""ชัยภูมิ!J116"")"),0)</f>
        <v>0</v>
      </c>
      <c r="AZ34" s="183">
        <f t="shared" ca="1" si="20"/>
        <v>0</v>
      </c>
    </row>
    <row r="35" spans="1:52" ht="21" customHeight="1" x14ac:dyDescent="0.3">
      <c r="A35" s="176">
        <v>4</v>
      </c>
      <c r="B35" s="177" t="s">
        <v>57</v>
      </c>
      <c r="C35" s="178">
        <f t="shared" ca="1" si="0"/>
        <v>85840</v>
      </c>
      <c r="D35" s="179">
        <f t="shared" ca="1" si="49"/>
        <v>85840</v>
      </c>
      <c r="E35" s="180">
        <f ca="1">IFERROR(__xludf.DUMMYFUNCTION("IMPORTRANGE(""https://docs.google.com/spreadsheets/d/1MeEWN-I1oV_STSDYn1IFDPWt_1FKiwhDph83XaGc0o0/edit?usp=sharing"",""งบพรบ!AR35"")"),0)</f>
        <v>0</v>
      </c>
      <c r="F35" s="180">
        <f ca="1">IFERROR(__xludf.DUMMYFUNCTION("IMPORTRANGE(""https://docs.google.com/spreadsheets/d/1MeEWN-I1oV_STSDYn1IFDPWt_1FKiwhDph83XaGc0o0/edit?usp=sharing"",""งบพรบ!AS35"")"),85840)</f>
        <v>85840</v>
      </c>
      <c r="G35" s="180">
        <f ca="1">IFERROR(__xludf.DUMMYFUNCTION("IMPORTRANGE(""https://docs.google.com/spreadsheets/d/1MeEWN-I1oV_STSDYn1IFDPWt_1FKiwhDph83XaGc0o0/edit?usp=sharing"",""งบพรบ!AT35"")"),0)</f>
        <v>0</v>
      </c>
      <c r="H35" s="180">
        <f ca="1">IFERROR(__xludf.DUMMYFUNCTION("IMPORTRANGE(""https://docs.google.com/spreadsheets/d/1MeEWN-I1oV_STSDYn1IFDPWt_1FKiwhDph83XaGc0o0/edit?usp=sharing"",""งบพรบ!AV35"")"),23640)</f>
        <v>23640</v>
      </c>
      <c r="I35" s="180">
        <f ca="1">IFERROR(__xludf.DUMMYFUNCTION("IMPORTRANGE(""https://docs.google.com/spreadsheets/d/1MeEWN-I1oV_STSDYn1IFDPWt_1FKiwhDph83XaGc0o0/edit?usp=sharing"",""งบพรบ!AW35"")"),0)</f>
        <v>0</v>
      </c>
      <c r="J35" s="180">
        <f t="shared" ca="1" si="3"/>
        <v>21820</v>
      </c>
      <c r="K35" s="187">
        <f t="shared" ca="1" si="4"/>
        <v>25.419384902143523</v>
      </c>
      <c r="L35" s="180">
        <f ca="1">IFERROR(__xludf.DUMMYFUNCTION("IMPORTRANGE(""https://docs.google.com/spreadsheets/d/1MeEWN-I1oV_STSDYn1IFDPWt_1FKiwhDph83XaGc0o0/edit?usp=sharing"",""งบพรบ!AX35"")"),21820)</f>
        <v>21820</v>
      </c>
      <c r="M35" s="183">
        <f t="shared" ca="1" si="5"/>
        <v>25.419384902143523</v>
      </c>
      <c r="N35" s="183">
        <f t="shared" ca="1" si="6"/>
        <v>92.301184433164124</v>
      </c>
      <c r="O35" s="184">
        <f ca="1">IFERROR(__xludf.DUMMYFUNCTION("IMPORTRANGE(""https://docs.google.com/spreadsheets/d/1MeEWN-I1oV_STSDYn1IFDPWt_1FKiwhDph83XaGc0o0/edit?usp=sharing"",""งบพรบ!AY35"")"),0)</f>
        <v>0</v>
      </c>
      <c r="P35" s="184">
        <f t="shared" ca="1" si="36"/>
        <v>0</v>
      </c>
      <c r="Q35" s="183">
        <f t="shared" ca="1" si="8"/>
        <v>0</v>
      </c>
      <c r="R35" s="181">
        <f ca="1">IFERROR(__xludf.DUMMYFUNCTION("IMPORTRANGE(""https://docs.google.com/spreadsheets/d/1EXMBoBxU3OFbjT2TRpneM33qFjqDzrKmn9ydcflfI0o/edit?usp=sharing"",""นครพนม!I98"")"),30)</f>
        <v>30</v>
      </c>
      <c r="S35" s="181">
        <f ca="1">IFERROR(__xludf.DUMMYFUNCTION("IMPORTRANGE(""https://docs.google.com/spreadsheets/d/1EXMBoBxU3OFbjT2TRpneM33qFjqDzrKmn9ydcflfI0o/edit?usp=sharing"",""นครพนม!J98"")"),30)</f>
        <v>30</v>
      </c>
      <c r="T35" s="181">
        <f t="shared" ca="1" si="10"/>
        <v>100</v>
      </c>
      <c r="U35" s="181">
        <f ca="1">IFERROR(__xludf.DUMMYFUNCTION("IMPORTRANGE(""https://docs.google.com/spreadsheets/d/1EXMBoBxU3OFbjT2TRpneM33qFjqDzrKmn9ydcflfI0o/edit?usp=sharing"",""นครพนม!I99"")"),10)</f>
        <v>10</v>
      </c>
      <c r="V35" s="181">
        <f ca="1">IFERROR(__xludf.DUMMYFUNCTION("IMPORTRANGE(""https://docs.google.com/spreadsheets/d/1EXMBoBxU3OFbjT2TRpneM33qFjqDzrKmn9ydcflfI0o/edit?usp=sharing"",""นครพนม!I100"")"),2)</f>
        <v>2</v>
      </c>
      <c r="W35" s="181">
        <f ca="1">IFERROR(__xludf.DUMMYFUNCTION("IMPORTRANGE(""https://docs.google.com/spreadsheets/d/1EXMBoBxU3OFbjT2TRpneM33qFjqDzrKmn9ydcflfI0o/edit?usp=sharing"",""นครพนม!J99"")"),10)</f>
        <v>10</v>
      </c>
      <c r="X35" s="185">
        <f t="shared" ca="1" si="12"/>
        <v>100</v>
      </c>
      <c r="Y35" s="186">
        <f ca="1">IFERROR(__xludf.DUMMYFUNCTION("IMPORTRANGE(""https://docs.google.com/spreadsheets/d/1EXMBoBxU3OFbjT2TRpneM33qFjqDzrKmn9ydcflfI0o/edit?usp=sharing"",""นครพนม!J100"")"),0)</f>
        <v>0</v>
      </c>
      <c r="Z35" s="185">
        <f t="shared" ca="1" si="13"/>
        <v>0</v>
      </c>
      <c r="AA35" s="180">
        <f ca="1">IFERROR(__xludf.DUMMYFUNCTION("IMPORTRANGE(""https://docs.google.com/spreadsheets/d/1EXMBoBxU3OFbjT2TRpneM33qFjqDzrKmn9ydcflfI0o/edit?usp=sharing"",""นครพนม!I102"")"),30)</f>
        <v>30</v>
      </c>
      <c r="AB35" s="180">
        <f ca="1">IFERROR(__xludf.DUMMYFUNCTION("IMPORTRANGE(""https://docs.google.com/spreadsheets/d/1EXMBoBxU3OFbjT2TRpneM33qFjqDzrKmn9ydcflfI0o/edit?usp=sharing"",""นครพนม!I103"")"),10)</f>
        <v>10</v>
      </c>
      <c r="AC35" s="181">
        <f ca="1">IFERROR(__xludf.DUMMYFUNCTION("IMPORTRANGE(""https://docs.google.com/spreadsheets/d/1EXMBoBxU3OFbjT2TRpneM33qFjqDzrKmn9ydcflfI0o/edit?usp=sharing"",""นครพนม!J102"")"),30)</f>
        <v>30</v>
      </c>
      <c r="AD35" s="181">
        <f ca="1">IFERROR(__xludf.DUMMYFUNCTION("IMPORTRANGE(""https://docs.google.com/spreadsheets/d/1EXMBoBxU3OFbjT2TRpneM33qFjqDzrKmn9ydcflfI0o/edit?usp=sharing"",""นครพนม!J103"")"),10)</f>
        <v>10</v>
      </c>
      <c r="AE35" s="181">
        <f ca="1">IFERROR(__xludf.DUMMYFUNCTION("IMPORTRANGE(""https://docs.google.com/spreadsheets/d/1EXMBoBxU3OFbjT2TRpneM33qFjqDzrKmn9ydcflfI0o/edit?usp=sharing"",""นครพนม!J104"")"),10)</f>
        <v>10</v>
      </c>
      <c r="AF35" s="180">
        <f ca="1">IFERROR(__xludf.DUMMYFUNCTION("IMPORTRANGE(""https://docs.google.com/spreadsheets/d/1EXMBoBxU3OFbjT2TRpneM33qFjqDzrKmn9ydcflfI0o/edit?usp=sharing"",""นครพนม!I106"")"),1)</f>
        <v>1</v>
      </c>
      <c r="AG35" s="181">
        <f ca="1">IFERROR(__xludf.DUMMYFUNCTION("IMPORTRANGE(""https://docs.google.com/spreadsheets/d/1EXMBoBxU3OFbjT2TRpneM33qFjqDzrKmn9ydcflfI0o/edit?usp=sharing"",""นครพนม!J106"")"),0)</f>
        <v>0</v>
      </c>
      <c r="AH35" s="181">
        <f ca="1">IFERROR(__xludf.DUMMYFUNCTION("IMPORTRANGE(""https://docs.google.com/spreadsheets/d/1EXMBoBxU3OFbjT2TRpneM33qFjqDzrKmn9ydcflfI0o/edit?usp=sharing"",""นครพนม!J107"")"),0)</f>
        <v>0</v>
      </c>
      <c r="AI35" s="180">
        <f ca="1">IFERROR(__xludf.DUMMYFUNCTION("IMPORTRANGE(""https://docs.google.com/spreadsheets/d/1EXMBoBxU3OFbjT2TRpneM33qFjqDzrKmn9ydcflfI0o/edit?usp=sharing"",""นครพนม!I109"")"),1)</f>
        <v>1</v>
      </c>
      <c r="AJ35" s="181">
        <f ca="1">IFERROR(__xludf.DUMMYFUNCTION("IMPORTRANGE(""https://docs.google.com/spreadsheets/d/1EXMBoBxU3OFbjT2TRpneM33qFjqDzrKmn9ydcflfI0o/edit?usp=sharing"",""นครพนม!J109"")"),0)</f>
        <v>0</v>
      </c>
      <c r="AK35" s="181">
        <f ca="1">IFERROR(__xludf.DUMMYFUNCTION("IMPORTRANGE(""https://docs.google.com/spreadsheets/d/1EXMBoBxU3OFbjT2TRpneM33qFjqDzrKmn9ydcflfI0o/edit?usp=sharing"",""นครพนม!J110"")"),0)</f>
        <v>0</v>
      </c>
      <c r="AL35" s="180">
        <f ca="1">IFERROR(__xludf.DUMMYFUNCTION("IMPORTRANGE(""https://docs.google.com/spreadsheets/d/1EXMBoBxU3OFbjT2TRpneM33qFjqDzrKmn9ydcflfI0o/edit?usp=sharing"",""นครพนม!I111"")"),10)</f>
        <v>10</v>
      </c>
      <c r="AM35" s="180">
        <f ca="1">IFERROR(__xludf.DUMMYFUNCTION("IMPORTRANGE(""https://docs.google.com/spreadsheets/d/1EXMBoBxU3OFbjT2TRpneM33qFjqDzrKmn9ydcflfI0o/edit?usp=sharing"",""นครพนม!I112"")"),2)</f>
        <v>2</v>
      </c>
      <c r="AN35" s="181">
        <f ca="1">IFERROR(__xludf.DUMMYFUNCTION("IMPORTRANGE(""https://docs.google.com/spreadsheets/d/1EXMBoBxU3OFbjT2TRpneM33qFjqDzrKmn9ydcflfI0o/edit?usp=sharing"",""นครพนม!J111"")"),0)</f>
        <v>0</v>
      </c>
      <c r="AO35" s="181">
        <f t="shared" ca="1" si="15"/>
        <v>0</v>
      </c>
      <c r="AP35" s="181">
        <f ca="1">IFERROR(__xludf.DUMMYFUNCTION("IMPORTRANGE(""https://docs.google.com/spreadsheets/d/1EXMBoBxU3OFbjT2TRpneM33qFjqDzrKmn9ydcflfI0o/edit?usp=sharing"",""นครพนม!J112"")"),0)</f>
        <v>0</v>
      </c>
      <c r="AQ35" s="183">
        <f t="shared" ca="1" si="16"/>
        <v>0</v>
      </c>
      <c r="AR35" s="180">
        <f ca="1">IFERROR(__xludf.DUMMYFUNCTION("IMPORTRANGE(""https://docs.google.com/spreadsheets/d/1EXMBoBxU3OFbjT2TRpneM33qFjqDzrKmn9ydcflfI0o/edit?usp=sharing"",""นครพนม!I113"")"),10)</f>
        <v>10</v>
      </c>
      <c r="AS35" s="180">
        <f ca="1">IFERROR(__xludf.DUMMYFUNCTION("IMPORTRANGE(""https://docs.google.com/spreadsheets/d/1EXMBoBxU3OFbjT2TRpneM33qFjqDzrKmn9ydcflfI0o/edit?usp=sharing"",""นครพนม!J113"")"),0)</f>
        <v>0</v>
      </c>
      <c r="AT35" s="180">
        <f ca="1">IFERROR(__xludf.DUMMYFUNCTION("IMPORTRANGE(""https://docs.google.com/spreadsheets/d/1EXMBoBxU3OFbjT2TRpneM33qFjqDzrKmn9ydcflfI0o/edit?usp=sharing"",""นครพนม!J114"")"),0)</f>
        <v>0</v>
      </c>
      <c r="AU35" s="180">
        <f ca="1">IFERROR(__xludf.DUMMYFUNCTION("IMPORTRANGE(""https://docs.google.com/spreadsheets/d/1EXMBoBxU3OFbjT2TRpneM33qFjqDzrKmn9ydcflfI0o/edit?usp=sharing"",""นครพนม!I115"")"),1)</f>
        <v>1</v>
      </c>
      <c r="AV35" s="181">
        <f ca="1">IFERROR(__xludf.DUMMYFUNCTION("IMPORTRANGE(""https://docs.google.com/spreadsheets/d/1EXMBoBxU3OFbjT2TRpneM33qFjqDzrKmn9ydcflfI0o/edit?usp=sharing"",""นครพนม!J115"")"),0)</f>
        <v>0</v>
      </c>
      <c r="AW35" s="183">
        <f t="shared" ca="1" si="18"/>
        <v>0</v>
      </c>
      <c r="AX35" s="180">
        <f ca="1">IFERROR(__xludf.DUMMYFUNCTION("IMPORTRANGE(""https://docs.google.com/spreadsheets/d/1EXMBoBxU3OFbjT2TRpneM33qFjqDzrKmn9ydcflfI0o/edit?usp=sharing"",""นครพนม!I116"")"),1)</f>
        <v>1</v>
      </c>
      <c r="AY35" s="181">
        <f ca="1">IFERROR(__xludf.DUMMYFUNCTION("IMPORTRANGE(""https://docs.google.com/spreadsheets/d/1EXMBoBxU3OFbjT2TRpneM33qFjqDzrKmn9ydcflfI0o/edit?usp=sharing"",""นครพนม!J116"")"),0)</f>
        <v>0</v>
      </c>
      <c r="AZ35" s="183">
        <f t="shared" ca="1" si="20"/>
        <v>0</v>
      </c>
    </row>
    <row r="36" spans="1:52" ht="21" customHeight="1" x14ac:dyDescent="0.3">
      <c r="A36" s="176">
        <v>5</v>
      </c>
      <c r="B36" s="177" t="s">
        <v>58</v>
      </c>
      <c r="C36" s="178">
        <f t="shared" ca="1" si="0"/>
        <v>63900</v>
      </c>
      <c r="D36" s="179">
        <f t="shared" ca="1" si="49"/>
        <v>63900</v>
      </c>
      <c r="E36" s="180">
        <f ca="1">IFERROR(__xludf.DUMMYFUNCTION("IMPORTRANGE(""https://docs.google.com/spreadsheets/d/1MeEWN-I1oV_STSDYn1IFDPWt_1FKiwhDph83XaGc0o0/edit?usp=sharing"",""งบพรบ!AR36"")"),0)</f>
        <v>0</v>
      </c>
      <c r="F36" s="180">
        <f ca="1">IFERROR(__xludf.DUMMYFUNCTION("IMPORTRANGE(""https://docs.google.com/spreadsheets/d/1MeEWN-I1oV_STSDYn1IFDPWt_1FKiwhDph83XaGc0o0/edit?usp=sharing"",""งบพรบ!AS36"")"),63900)</f>
        <v>63900</v>
      </c>
      <c r="G36" s="180">
        <f ca="1">IFERROR(__xludf.DUMMYFUNCTION("IMPORTRANGE(""https://docs.google.com/spreadsheets/d/1MeEWN-I1oV_STSDYn1IFDPWt_1FKiwhDph83XaGc0o0/edit?usp=sharing"",""งบพรบ!AT36"")"),0)</f>
        <v>0</v>
      </c>
      <c r="H36" s="180">
        <f ca="1">IFERROR(__xludf.DUMMYFUNCTION("IMPORTRANGE(""https://docs.google.com/spreadsheets/d/1MeEWN-I1oV_STSDYn1IFDPWt_1FKiwhDph83XaGc0o0/edit?usp=sharing"",""งบพรบ!AV36"")"),56400)</f>
        <v>56400</v>
      </c>
      <c r="I36" s="180">
        <f ca="1">IFERROR(__xludf.DUMMYFUNCTION("IMPORTRANGE(""https://docs.google.com/spreadsheets/d/1MeEWN-I1oV_STSDYn1IFDPWt_1FKiwhDph83XaGc0o0/edit?usp=sharing"",""งบพรบ!AW36"")"),0)</f>
        <v>0</v>
      </c>
      <c r="J36" s="180">
        <f t="shared" ca="1" si="3"/>
        <v>53600</v>
      </c>
      <c r="K36" s="187">
        <f t="shared" ca="1" si="4"/>
        <v>83.881064162754299</v>
      </c>
      <c r="L36" s="180">
        <f ca="1">IFERROR(__xludf.DUMMYFUNCTION("IMPORTRANGE(""https://docs.google.com/spreadsheets/d/1MeEWN-I1oV_STSDYn1IFDPWt_1FKiwhDph83XaGc0o0/edit?usp=sharing"",""งบพรบ!AX36"")"),53600)</f>
        <v>53600</v>
      </c>
      <c r="M36" s="183">
        <f t="shared" ca="1" si="5"/>
        <v>83.881064162754299</v>
      </c>
      <c r="N36" s="183">
        <f t="shared" ca="1" si="6"/>
        <v>95.035460992907801</v>
      </c>
      <c r="O36" s="184">
        <f ca="1">IFERROR(__xludf.DUMMYFUNCTION("IMPORTRANGE(""https://docs.google.com/spreadsheets/d/1MeEWN-I1oV_STSDYn1IFDPWt_1FKiwhDph83XaGc0o0/edit?usp=sharing"",""งบพรบ!AY36"")"),0)</f>
        <v>0</v>
      </c>
      <c r="P36" s="184">
        <f t="shared" ca="1" si="36"/>
        <v>0</v>
      </c>
      <c r="Q36" s="183">
        <f t="shared" ca="1" si="8"/>
        <v>0</v>
      </c>
      <c r="R36" s="181">
        <f ca="1">IFERROR(__xludf.DUMMYFUNCTION("IMPORTRANGE(""https://docs.google.com/spreadsheets/d/1bDQrolntRWtHumK8W-x-HXKntwxB9S3sF5aDeRS66Ko/edit?usp=sharing"",""นครราชสีมา!I98"")"),75)</f>
        <v>75</v>
      </c>
      <c r="S36" s="181">
        <f ca="1">IFERROR(__xludf.DUMMYFUNCTION("IMPORTRANGE(""https://docs.google.com/spreadsheets/d/1bDQrolntRWtHumK8W-x-HXKntwxB9S3sF5aDeRS66Ko/edit?usp=sharing"",""นครราชสีมา!J98"")"),75)</f>
        <v>75</v>
      </c>
      <c r="T36" s="181">
        <f t="shared" ca="1" si="10"/>
        <v>100</v>
      </c>
      <c r="U36" s="181">
        <f ca="1">IFERROR(__xludf.DUMMYFUNCTION("IMPORTRANGE(""https://docs.google.com/spreadsheets/d/1bDQrolntRWtHumK8W-x-HXKntwxB9S3sF5aDeRS66Ko/edit?usp=sharing"",""นครราชสีมา!I99"")"),25)</f>
        <v>25</v>
      </c>
      <c r="V36" s="181">
        <f ca="1">IFERROR(__xludf.DUMMYFUNCTION("IMPORTRANGE(""https://docs.google.com/spreadsheets/d/1bDQrolntRWtHumK8W-x-HXKntwxB9S3sF5aDeRS66Ko/edit?usp=sharing"",""นครราชสีมา!I100"")"),0)</f>
        <v>0</v>
      </c>
      <c r="W36" s="181">
        <f ca="1">IFERROR(__xludf.DUMMYFUNCTION("IMPORTRANGE(""https://docs.google.com/spreadsheets/d/1bDQrolntRWtHumK8W-x-HXKntwxB9S3sF5aDeRS66Ko/edit?usp=sharing"",""นครราชสีมา!J99"")"),25)</f>
        <v>25</v>
      </c>
      <c r="X36" s="185">
        <f t="shared" ca="1" si="12"/>
        <v>100</v>
      </c>
      <c r="Y36" s="186">
        <f ca="1">IFERROR(__xludf.DUMMYFUNCTION("IMPORTRANGE(""https://docs.google.com/spreadsheets/d/1bDQrolntRWtHumK8W-x-HXKntwxB9S3sF5aDeRS66Ko/edit?usp=sharing"",""นครราชสีมา!J100"")"),0)</f>
        <v>0</v>
      </c>
      <c r="Z36" s="185">
        <f t="shared" ca="1" si="13"/>
        <v>0</v>
      </c>
      <c r="AA36" s="180">
        <f ca="1">IFERROR(__xludf.DUMMYFUNCTION("IMPORTRANGE(""https://docs.google.com/spreadsheets/d/1bDQrolntRWtHumK8W-x-HXKntwxB9S3sF5aDeRS66Ko/edit?usp=sharing"",""นครราชสีมา!I102"")"),75)</f>
        <v>75</v>
      </c>
      <c r="AB36" s="180">
        <f ca="1">IFERROR(__xludf.DUMMYFUNCTION("IMPORTRANGE(""https://docs.google.com/spreadsheets/d/1bDQrolntRWtHumK8W-x-HXKntwxB9S3sF5aDeRS66Ko/edit?usp=sharing"",""นครราชสีมา!I103"")"),25)</f>
        <v>25</v>
      </c>
      <c r="AC36" s="181">
        <f ca="1">IFERROR(__xludf.DUMMYFUNCTION("IMPORTRANGE(""https://docs.google.com/spreadsheets/d/1bDQrolntRWtHumK8W-x-HXKntwxB9S3sF5aDeRS66Ko/edit?usp=sharing"",""นครราชสีมา!J102"")"),75)</f>
        <v>75</v>
      </c>
      <c r="AD36" s="181">
        <f ca="1">IFERROR(__xludf.DUMMYFUNCTION("IMPORTRANGE(""https://docs.google.com/spreadsheets/d/1bDQrolntRWtHumK8W-x-HXKntwxB9S3sF5aDeRS66Ko/edit?usp=sharing"",""นครราชสีมา!J103"")"),25)</f>
        <v>25</v>
      </c>
      <c r="AE36" s="181">
        <f ca="1">IFERROR(__xludf.DUMMYFUNCTION("IMPORTRANGE(""https://docs.google.com/spreadsheets/d/1bDQrolntRWtHumK8W-x-HXKntwxB9S3sF5aDeRS66Ko/edit?usp=sharing"",""นครราชสีมา!J104"")"),25)</f>
        <v>25</v>
      </c>
      <c r="AF36" s="180">
        <f ca="1">IFERROR(__xludf.DUMMYFUNCTION("IMPORTRANGE(""https://docs.google.com/spreadsheets/d/1bDQrolntRWtHumK8W-x-HXKntwxB9S3sF5aDeRS66Ko/edit?usp=sharing"",""นครราชสีมา!I106"")"),0)</f>
        <v>0</v>
      </c>
      <c r="AG36" s="181">
        <f ca="1">IFERROR(__xludf.DUMMYFUNCTION("IMPORTRANGE(""https://docs.google.com/spreadsheets/d/1bDQrolntRWtHumK8W-x-HXKntwxB9S3sF5aDeRS66Ko/edit?usp=sharing"",""นครราชสีมา!J106"")"),0)</f>
        <v>0</v>
      </c>
      <c r="AH36" s="181">
        <f ca="1">IFERROR(__xludf.DUMMYFUNCTION("IMPORTRANGE(""https://docs.google.com/spreadsheets/d/1bDQrolntRWtHumK8W-x-HXKntwxB9S3sF5aDeRS66Ko/edit?usp=sharing"",""นครราชสีมา!J107"")"),0)</f>
        <v>0</v>
      </c>
      <c r="AI36" s="180">
        <f ca="1">IFERROR(__xludf.DUMMYFUNCTION("IMPORTRANGE(""https://docs.google.com/spreadsheets/d/1bDQrolntRWtHumK8W-x-HXKntwxB9S3sF5aDeRS66Ko/edit?usp=sharing"",""นครราชสีมา!I109"")"),0)</f>
        <v>0</v>
      </c>
      <c r="AJ36" s="181">
        <f ca="1">IFERROR(__xludf.DUMMYFUNCTION("IMPORTRANGE(""https://docs.google.com/spreadsheets/d/1bDQrolntRWtHumK8W-x-HXKntwxB9S3sF5aDeRS66Ko/edit?usp=sharing"",""นครราชสีมา!J109"")"),0)</f>
        <v>0</v>
      </c>
      <c r="AK36" s="181">
        <f ca="1">IFERROR(__xludf.DUMMYFUNCTION("IMPORTRANGE(""https://docs.google.com/spreadsheets/d/1bDQrolntRWtHumK8W-x-HXKntwxB9S3sF5aDeRS66Ko/edit?usp=sharing"",""นครราชสีมา!J110"")"),0)</f>
        <v>0</v>
      </c>
      <c r="AL36" s="180">
        <f ca="1">IFERROR(__xludf.DUMMYFUNCTION("IMPORTRANGE(""https://docs.google.com/spreadsheets/d/1bDQrolntRWtHumK8W-x-HXKntwxB9S3sF5aDeRS66Ko/edit?usp=sharing"",""นครราชสีมา!I111"")"),25)</f>
        <v>25</v>
      </c>
      <c r="AM36" s="180">
        <f ca="1">IFERROR(__xludf.DUMMYFUNCTION("IMPORTRANGE(""https://docs.google.com/spreadsheets/d/1bDQrolntRWtHumK8W-x-HXKntwxB9S3sF5aDeRS66Ko/edit?usp=sharing"",""นครราชสีมา!I112"")"),0)</f>
        <v>0</v>
      </c>
      <c r="AN36" s="181">
        <f ca="1">IFERROR(__xludf.DUMMYFUNCTION("IMPORTRANGE(""https://docs.google.com/spreadsheets/d/1bDQrolntRWtHumK8W-x-HXKntwxB9S3sF5aDeRS66Ko/edit?usp=sharing"",""นครราชสีมา!J111"")"),0)</f>
        <v>0</v>
      </c>
      <c r="AO36" s="181">
        <f t="shared" ca="1" si="15"/>
        <v>0</v>
      </c>
      <c r="AP36" s="181">
        <f ca="1">IFERROR(__xludf.DUMMYFUNCTION("IMPORTRANGE(""https://docs.google.com/spreadsheets/d/1bDQrolntRWtHumK8W-x-HXKntwxB9S3sF5aDeRS66Ko/edit?usp=sharing"",""นครราชสีมา!J112"")"),0)</f>
        <v>0</v>
      </c>
      <c r="AQ36" s="183">
        <f t="shared" ca="1" si="16"/>
        <v>0</v>
      </c>
      <c r="AR36" s="180">
        <f ca="1">IFERROR(__xludf.DUMMYFUNCTION("IMPORTRANGE(""https://docs.google.com/spreadsheets/d/1bDQrolntRWtHumK8W-x-HXKntwxB9S3sF5aDeRS66Ko/edit?usp=sharing"",""นครราชสีมา!I113"")"),25)</f>
        <v>25</v>
      </c>
      <c r="AS36" s="180">
        <f ca="1">IFERROR(__xludf.DUMMYFUNCTION("IMPORTRANGE(""https://docs.google.com/spreadsheets/d/1bDQrolntRWtHumK8W-x-HXKntwxB9S3sF5aDeRS66Ko/edit?usp=sharing"",""นครราชสีมา!J113"")"),0)</f>
        <v>0</v>
      </c>
      <c r="AT36" s="180">
        <f ca="1">IFERROR(__xludf.DUMMYFUNCTION("IMPORTRANGE(""https://docs.google.com/spreadsheets/d/1bDQrolntRWtHumK8W-x-HXKntwxB9S3sF5aDeRS66Ko/edit?usp=sharing"",""นครราชสีมา!J114"")"),0)</f>
        <v>0</v>
      </c>
      <c r="AU36" s="180">
        <f ca="1">IFERROR(__xludf.DUMMYFUNCTION("IMPORTRANGE(""https://docs.google.com/spreadsheets/d/1bDQrolntRWtHumK8W-x-HXKntwxB9S3sF5aDeRS66Ko/edit?usp=sharing"",""นครราชสีมา!I115"")"),0)</f>
        <v>0</v>
      </c>
      <c r="AV36" s="181">
        <f ca="1">IFERROR(__xludf.DUMMYFUNCTION("IMPORTRANGE(""https://docs.google.com/spreadsheets/d/1bDQrolntRWtHumK8W-x-HXKntwxB9S3sF5aDeRS66Ko/edit?usp=sharing"",""นครราชสีมา!J115"")"),0)</f>
        <v>0</v>
      </c>
      <c r="AW36" s="183">
        <f t="shared" ca="1" si="18"/>
        <v>0</v>
      </c>
      <c r="AX36" s="180">
        <f ca="1">IFERROR(__xludf.DUMMYFUNCTION("IMPORTRANGE(""https://docs.google.com/spreadsheets/d/1bDQrolntRWtHumK8W-x-HXKntwxB9S3sF5aDeRS66Ko/edit?usp=sharing"",""นครราชสีมา!I116"")"),0)</f>
        <v>0</v>
      </c>
      <c r="AY36" s="181">
        <f ca="1">IFERROR(__xludf.DUMMYFUNCTION("IMPORTRANGE(""https://docs.google.com/spreadsheets/d/1bDQrolntRWtHumK8W-x-HXKntwxB9S3sF5aDeRS66Ko/edit?usp=sharing"",""นครราชสีมา!J116"")"),0)</f>
        <v>0</v>
      </c>
      <c r="AZ36" s="183">
        <f t="shared" ca="1" si="20"/>
        <v>0</v>
      </c>
    </row>
    <row r="37" spans="1:52" ht="21" customHeight="1" x14ac:dyDescent="0.3">
      <c r="A37" s="176">
        <v>6</v>
      </c>
      <c r="B37" s="177" t="s">
        <v>59</v>
      </c>
      <c r="C37" s="178">
        <f t="shared" ca="1" si="0"/>
        <v>115640</v>
      </c>
      <c r="D37" s="179">
        <f t="shared" ca="1" si="49"/>
        <v>115640</v>
      </c>
      <c r="E37" s="180">
        <f ca="1">IFERROR(__xludf.DUMMYFUNCTION("IMPORTRANGE(""https://docs.google.com/spreadsheets/d/1MeEWN-I1oV_STSDYn1IFDPWt_1FKiwhDph83XaGc0o0/edit?usp=sharing"",""งบพรบ!AR37"")"),0)</f>
        <v>0</v>
      </c>
      <c r="F37" s="180">
        <f ca="1">IFERROR(__xludf.DUMMYFUNCTION("IMPORTRANGE(""https://docs.google.com/spreadsheets/d/1MeEWN-I1oV_STSDYn1IFDPWt_1FKiwhDph83XaGc0o0/edit?usp=sharing"",""งบพรบ!AS37"")"),115640)</f>
        <v>115640</v>
      </c>
      <c r="G37" s="180">
        <f ca="1">IFERROR(__xludf.DUMMYFUNCTION("IMPORTRANGE(""https://docs.google.com/spreadsheets/d/1MeEWN-I1oV_STSDYn1IFDPWt_1FKiwhDph83XaGc0o0/edit?usp=sharing"",""งบพรบ!AT37"")"),0)</f>
        <v>0</v>
      </c>
      <c r="H37" s="180">
        <f ca="1">IFERROR(__xludf.DUMMYFUNCTION("IMPORTRANGE(""https://docs.google.com/spreadsheets/d/1MeEWN-I1oV_STSDYn1IFDPWt_1FKiwhDph83XaGc0o0/edit?usp=sharing"",""งบพรบ!AV37"")"),51590)</f>
        <v>51590</v>
      </c>
      <c r="I37" s="180">
        <f ca="1">IFERROR(__xludf.DUMMYFUNCTION("IMPORTRANGE(""https://docs.google.com/spreadsheets/d/1MeEWN-I1oV_STSDYn1IFDPWt_1FKiwhDph83XaGc0o0/edit?usp=sharing"",""งบพรบ!AW37"")"),0)</f>
        <v>0</v>
      </c>
      <c r="J37" s="180">
        <f t="shared" ca="1" si="3"/>
        <v>0</v>
      </c>
      <c r="K37" s="187">
        <f t="shared" ca="1" si="4"/>
        <v>0</v>
      </c>
      <c r="L37" s="180">
        <f ca="1">IFERROR(__xludf.DUMMYFUNCTION("IMPORTRANGE(""https://docs.google.com/spreadsheets/d/1MeEWN-I1oV_STSDYn1IFDPWt_1FKiwhDph83XaGc0o0/edit?usp=sharing"",""งบพรบ!AX37"")"),0)</f>
        <v>0</v>
      </c>
      <c r="M37" s="183">
        <f t="shared" ca="1" si="5"/>
        <v>0</v>
      </c>
      <c r="N37" s="183">
        <f t="shared" ca="1" si="6"/>
        <v>0</v>
      </c>
      <c r="O37" s="184">
        <f ca="1">IFERROR(__xludf.DUMMYFUNCTION("IMPORTRANGE(""https://docs.google.com/spreadsheets/d/1MeEWN-I1oV_STSDYn1IFDPWt_1FKiwhDph83XaGc0o0/edit?usp=sharing"",""งบพรบ!AY37"")"),0)</f>
        <v>0</v>
      </c>
      <c r="P37" s="184">
        <f t="shared" ca="1" si="36"/>
        <v>0</v>
      </c>
      <c r="Q37" s="183">
        <f t="shared" ca="1" si="8"/>
        <v>0</v>
      </c>
      <c r="R37" s="181">
        <f ca="1">IFERROR(__xludf.DUMMYFUNCTION("IMPORTRANGE(""https://docs.google.com/spreadsheets/d/1_MzZ-2gVPiCW-d2VcafoCmFJQTSrZ6SQyFcMqRRQQ2w/edit?usp=sharing"",""บึงกาฬ!I98"")"),30)</f>
        <v>30</v>
      </c>
      <c r="S37" s="181">
        <f ca="1">IFERROR(__xludf.DUMMYFUNCTION("IMPORTRANGE(""https://docs.google.com/spreadsheets/d/1_MzZ-2gVPiCW-d2VcafoCmFJQTSrZ6SQyFcMqRRQQ2w/edit?usp=sharing"",""บึงกาฬ!J98"")"),0)</f>
        <v>0</v>
      </c>
      <c r="T37" s="181">
        <f t="shared" ca="1" si="10"/>
        <v>0</v>
      </c>
      <c r="U37" s="181">
        <f ca="1">IFERROR(__xludf.DUMMYFUNCTION("IMPORTRANGE(""https://docs.google.com/spreadsheets/d/1_MzZ-2gVPiCW-d2VcafoCmFJQTSrZ6SQyFcMqRRQQ2w/edit?usp=sharing"",""บึงกาฬ!I99"")"),10)</f>
        <v>10</v>
      </c>
      <c r="V37" s="181">
        <f ca="1">IFERROR(__xludf.DUMMYFUNCTION("IMPORTRANGE(""https://docs.google.com/spreadsheets/d/1_MzZ-2gVPiCW-d2VcafoCmFJQTSrZ6SQyFcMqRRQQ2w/edit?usp=sharing"",""บึงกาฬ!I100"")"),3)</f>
        <v>3</v>
      </c>
      <c r="W37" s="181">
        <f ca="1">IFERROR(__xludf.DUMMYFUNCTION("IMPORTRANGE(""https://docs.google.com/spreadsheets/d/1_MzZ-2gVPiCW-d2VcafoCmFJQTSrZ6SQyFcMqRRQQ2w/edit?usp=sharing"",""บึงกาฬ!J99"")"),0)</f>
        <v>0</v>
      </c>
      <c r="X37" s="185">
        <f t="shared" ca="1" si="12"/>
        <v>0</v>
      </c>
      <c r="Y37" s="186">
        <f ca="1">IFERROR(__xludf.DUMMYFUNCTION("IMPORTRANGE(""https://docs.google.com/spreadsheets/d/1_MzZ-2gVPiCW-d2VcafoCmFJQTSrZ6SQyFcMqRRQQ2w/edit?usp=sharing"",""บึงกาฬ!J100"")"),0)</f>
        <v>0</v>
      </c>
      <c r="Z37" s="185">
        <f t="shared" ca="1" si="13"/>
        <v>0</v>
      </c>
      <c r="AA37" s="180">
        <f ca="1">IFERROR(__xludf.DUMMYFUNCTION("IMPORTRANGE(""https://docs.google.com/spreadsheets/d/1_MzZ-2gVPiCW-d2VcafoCmFJQTSrZ6SQyFcMqRRQQ2w/edit?usp=sharing"",""บึงกาฬ!I102"")"),30)</f>
        <v>30</v>
      </c>
      <c r="AB37" s="180">
        <f ca="1">IFERROR(__xludf.DUMMYFUNCTION("IMPORTRANGE(""https://docs.google.com/spreadsheets/d/1_MzZ-2gVPiCW-d2VcafoCmFJQTSrZ6SQyFcMqRRQQ2w/edit?usp=sharing"",""บึงกาฬ!I103"")"),10)</f>
        <v>10</v>
      </c>
      <c r="AC37" s="181">
        <f ca="1">IFERROR(__xludf.DUMMYFUNCTION("IMPORTRANGE(""https://docs.google.com/spreadsheets/d/1_MzZ-2gVPiCW-d2VcafoCmFJQTSrZ6SQyFcMqRRQQ2w/edit?usp=sharing"",""บึงกาฬ!J102"")"),0)</f>
        <v>0</v>
      </c>
      <c r="AD37" s="181">
        <f ca="1">IFERROR(__xludf.DUMMYFUNCTION("IMPORTRANGE(""https://docs.google.com/spreadsheets/d/1_MzZ-2gVPiCW-d2VcafoCmFJQTSrZ6SQyFcMqRRQQ2w/edit?usp=sharing"",""บึงกาฬ!J103"")"),0)</f>
        <v>0</v>
      </c>
      <c r="AE37" s="181">
        <f ca="1">IFERROR(__xludf.DUMMYFUNCTION("IMPORTRANGE(""https://docs.google.com/spreadsheets/d/1_MzZ-2gVPiCW-d2VcafoCmFJQTSrZ6SQyFcMqRRQQ2w/edit?usp=sharing"",""บึงกาฬ!J104"")"),0)</f>
        <v>0</v>
      </c>
      <c r="AF37" s="180">
        <f ca="1">IFERROR(__xludf.DUMMYFUNCTION("IMPORTRANGE(""https://docs.google.com/spreadsheets/d/1_MzZ-2gVPiCW-d2VcafoCmFJQTSrZ6SQyFcMqRRQQ2w/edit?usp=sharing"",""บึงกาฬ!I106"")"),2)</f>
        <v>2</v>
      </c>
      <c r="AG37" s="181">
        <f ca="1">IFERROR(__xludf.DUMMYFUNCTION("IMPORTRANGE(""https://docs.google.com/spreadsheets/d/1_MzZ-2gVPiCW-d2VcafoCmFJQTSrZ6SQyFcMqRRQQ2w/edit?usp=sharing"",""บึงกาฬ!J106"")"),0)</f>
        <v>0</v>
      </c>
      <c r="AH37" s="181">
        <f ca="1">IFERROR(__xludf.DUMMYFUNCTION("IMPORTRANGE(""https://docs.google.com/spreadsheets/d/1_MzZ-2gVPiCW-d2VcafoCmFJQTSrZ6SQyFcMqRRQQ2w/edit?usp=sharing"",""บึงกาฬ!J107"")"),0)</f>
        <v>0</v>
      </c>
      <c r="AI37" s="180">
        <f ca="1">IFERROR(__xludf.DUMMYFUNCTION("IMPORTRANGE(""https://docs.google.com/spreadsheets/d/1_MzZ-2gVPiCW-d2VcafoCmFJQTSrZ6SQyFcMqRRQQ2w/edit?usp=sharing"",""บึงกาฬ!I109"")"),1)</f>
        <v>1</v>
      </c>
      <c r="AJ37" s="181">
        <f ca="1">IFERROR(__xludf.DUMMYFUNCTION("IMPORTRANGE(""https://docs.google.com/spreadsheets/d/1_MzZ-2gVPiCW-d2VcafoCmFJQTSrZ6SQyFcMqRRQQ2w/edit?usp=sharing"",""บึงกาฬ!J109"")"),0)</f>
        <v>0</v>
      </c>
      <c r="AK37" s="181">
        <f ca="1">IFERROR(__xludf.DUMMYFUNCTION("IMPORTRANGE(""https://docs.google.com/spreadsheets/d/1_MzZ-2gVPiCW-d2VcafoCmFJQTSrZ6SQyFcMqRRQQ2w/edit?usp=sharing"",""บึงกาฬ!J110"")"),0)</f>
        <v>0</v>
      </c>
      <c r="AL37" s="180">
        <f ca="1">IFERROR(__xludf.DUMMYFUNCTION("IMPORTRANGE(""https://docs.google.com/spreadsheets/d/1_MzZ-2gVPiCW-d2VcafoCmFJQTSrZ6SQyFcMqRRQQ2w/edit?usp=sharing"",""บึงกาฬ!I111"")"),10)</f>
        <v>10</v>
      </c>
      <c r="AM37" s="180">
        <f ca="1">IFERROR(__xludf.DUMMYFUNCTION("IMPORTRANGE(""https://docs.google.com/spreadsheets/d/1_MzZ-2gVPiCW-d2VcafoCmFJQTSrZ6SQyFcMqRRQQ2w/edit?usp=sharing"",""บึงกาฬ!I112"")"),3)</f>
        <v>3</v>
      </c>
      <c r="AN37" s="181">
        <f ca="1">IFERROR(__xludf.DUMMYFUNCTION("IMPORTRANGE(""https://docs.google.com/spreadsheets/d/1_MzZ-2gVPiCW-d2VcafoCmFJQTSrZ6SQyFcMqRRQQ2w/edit?usp=sharing"",""บึงกาฬ!J111"")"),0)</f>
        <v>0</v>
      </c>
      <c r="AO37" s="181">
        <f t="shared" ca="1" si="15"/>
        <v>0</v>
      </c>
      <c r="AP37" s="181">
        <f ca="1">IFERROR(__xludf.DUMMYFUNCTION("IMPORTRANGE(""https://docs.google.com/spreadsheets/d/1_MzZ-2gVPiCW-d2VcafoCmFJQTSrZ6SQyFcMqRRQQ2w/edit?usp=sharing"",""บึงกาฬ!J112"")"),0)</f>
        <v>0</v>
      </c>
      <c r="AQ37" s="183">
        <f t="shared" ca="1" si="16"/>
        <v>0</v>
      </c>
      <c r="AR37" s="180">
        <f ca="1">IFERROR(__xludf.DUMMYFUNCTION("IMPORTRANGE(""https://docs.google.com/spreadsheets/d/1_MzZ-2gVPiCW-d2VcafoCmFJQTSrZ6SQyFcMqRRQQ2w/edit?usp=sharing"",""บึงกาฬ!I113"")"),10)</f>
        <v>10</v>
      </c>
      <c r="AS37" s="180">
        <f ca="1">IFERROR(__xludf.DUMMYFUNCTION("IMPORTRANGE(""https://docs.google.com/spreadsheets/d/1_MzZ-2gVPiCW-d2VcafoCmFJQTSrZ6SQyFcMqRRQQ2w/edit?usp=sharing"",""บึงกาฬ!J113"")"),0)</f>
        <v>0</v>
      </c>
      <c r="AT37" s="180">
        <f ca="1">IFERROR(__xludf.DUMMYFUNCTION("IMPORTRANGE(""https://docs.google.com/spreadsheets/d/1_MzZ-2gVPiCW-d2VcafoCmFJQTSrZ6SQyFcMqRRQQ2w/edit?usp=sharing"",""บึงกาฬ!J114"")"),0)</f>
        <v>0</v>
      </c>
      <c r="AU37" s="180">
        <f ca="1">IFERROR(__xludf.DUMMYFUNCTION("IMPORTRANGE(""https://docs.google.com/spreadsheets/d/1_MzZ-2gVPiCW-d2VcafoCmFJQTSrZ6SQyFcMqRRQQ2w/edit?usp=sharing"",""บึงกาฬ!I115"")"),2)</f>
        <v>2</v>
      </c>
      <c r="AV37" s="181">
        <f ca="1">IFERROR(__xludf.DUMMYFUNCTION("IMPORTRANGE(""https://docs.google.com/spreadsheets/d/1_MzZ-2gVPiCW-d2VcafoCmFJQTSrZ6SQyFcMqRRQQ2w/edit?usp=sharing"",""บึงกาฬ!J115"")"),0)</f>
        <v>0</v>
      </c>
      <c r="AW37" s="183">
        <f t="shared" ca="1" si="18"/>
        <v>0</v>
      </c>
      <c r="AX37" s="180">
        <f ca="1">IFERROR(__xludf.DUMMYFUNCTION("IMPORTRANGE(""https://docs.google.com/spreadsheets/d/1_MzZ-2gVPiCW-d2VcafoCmFJQTSrZ6SQyFcMqRRQQ2w/edit?usp=sharing"",""บึงกาฬ!I116"")"),1)</f>
        <v>1</v>
      </c>
      <c r="AY37" s="181">
        <f ca="1">IFERROR(__xludf.DUMMYFUNCTION("IMPORTRANGE(""https://docs.google.com/spreadsheets/d/1_MzZ-2gVPiCW-d2VcafoCmFJQTSrZ6SQyFcMqRRQQ2w/edit?usp=sharing"",""บึงกาฬ!J116"")"),0)</f>
        <v>0</v>
      </c>
      <c r="AZ37" s="183">
        <f t="shared" ca="1" si="20"/>
        <v>0</v>
      </c>
    </row>
    <row r="38" spans="1:52" ht="21" customHeight="1" x14ac:dyDescent="0.3">
      <c r="A38" s="176">
        <v>7</v>
      </c>
      <c r="B38" s="177" t="s">
        <v>60</v>
      </c>
      <c r="C38" s="178">
        <f t="shared" ca="1" si="0"/>
        <v>31200</v>
      </c>
      <c r="D38" s="179">
        <f t="shared" ca="1" si="49"/>
        <v>31200</v>
      </c>
      <c r="E38" s="180">
        <f ca="1">IFERROR(__xludf.DUMMYFUNCTION("IMPORTRANGE(""https://docs.google.com/spreadsheets/d/1MeEWN-I1oV_STSDYn1IFDPWt_1FKiwhDph83XaGc0o0/edit?usp=sharing"",""งบพรบ!AR38"")"),0)</f>
        <v>0</v>
      </c>
      <c r="F38" s="180">
        <f ca="1">IFERROR(__xludf.DUMMYFUNCTION("IMPORTRANGE(""https://docs.google.com/spreadsheets/d/1MeEWN-I1oV_STSDYn1IFDPWt_1FKiwhDph83XaGc0o0/edit?usp=sharing"",""งบพรบ!AS38"")"),31200)</f>
        <v>31200</v>
      </c>
      <c r="G38" s="180">
        <f ca="1">IFERROR(__xludf.DUMMYFUNCTION("IMPORTRANGE(""https://docs.google.com/spreadsheets/d/1MeEWN-I1oV_STSDYn1IFDPWt_1FKiwhDph83XaGc0o0/edit?usp=sharing"",""งบพรบ!AT38"")"),0)</f>
        <v>0</v>
      </c>
      <c r="H38" s="180">
        <f ca="1">IFERROR(__xludf.DUMMYFUNCTION("IMPORTRANGE(""https://docs.google.com/spreadsheets/d/1MeEWN-I1oV_STSDYn1IFDPWt_1FKiwhDph83XaGc0o0/edit?usp=sharing"",""งบพรบ!AV38"")"),29350)</f>
        <v>29350</v>
      </c>
      <c r="I38" s="180">
        <f ca="1">IFERROR(__xludf.DUMMYFUNCTION("IMPORTRANGE(""https://docs.google.com/spreadsheets/d/1MeEWN-I1oV_STSDYn1IFDPWt_1FKiwhDph83XaGc0o0/edit?usp=sharing"",""งบพรบ!AW38"")"),0)</f>
        <v>0</v>
      </c>
      <c r="J38" s="180">
        <f t="shared" ca="1" si="3"/>
        <v>29065</v>
      </c>
      <c r="K38" s="187">
        <f t="shared" ca="1" si="4"/>
        <v>93.157051282051285</v>
      </c>
      <c r="L38" s="180">
        <f ca="1">IFERROR(__xludf.DUMMYFUNCTION("IMPORTRANGE(""https://docs.google.com/spreadsheets/d/1MeEWN-I1oV_STSDYn1IFDPWt_1FKiwhDph83XaGc0o0/edit?usp=sharing"",""งบพรบ!AX38"")"),29065)</f>
        <v>29065</v>
      </c>
      <c r="M38" s="183">
        <f t="shared" ca="1" si="5"/>
        <v>93.157051282051285</v>
      </c>
      <c r="N38" s="183">
        <f t="shared" ca="1" si="6"/>
        <v>99.028960817717206</v>
      </c>
      <c r="O38" s="184">
        <f ca="1">IFERROR(__xludf.DUMMYFUNCTION("IMPORTRANGE(""https://docs.google.com/spreadsheets/d/1MeEWN-I1oV_STSDYn1IFDPWt_1FKiwhDph83XaGc0o0/edit?usp=sharing"",""งบพรบ!AY38"")"),0)</f>
        <v>0</v>
      </c>
      <c r="P38" s="184">
        <f t="shared" ca="1" si="36"/>
        <v>0</v>
      </c>
      <c r="Q38" s="183">
        <f t="shared" ca="1" si="8"/>
        <v>0</v>
      </c>
      <c r="R38" s="181">
        <f ca="1">IFERROR(__xludf.DUMMYFUNCTION("IMPORTRANGE(""https://docs.google.com/spreadsheets/d/1B3lPpzOuaNwVItLwLEZYl_qEblfcx7dRnbRkAw0l-pE/edit?usp=sharing"",""บุรีรัมย์!I98"")"),0)</f>
        <v>0</v>
      </c>
      <c r="S38" s="181">
        <f ca="1">IFERROR(__xludf.DUMMYFUNCTION("IMPORTRANGE(""https://docs.google.com/spreadsheets/d/1B3lPpzOuaNwVItLwLEZYl_qEblfcx7dRnbRkAw0l-pE/edit?usp=sharing"",""บุรีรัมย์!J98"")"),0)</f>
        <v>0</v>
      </c>
      <c r="T38" s="181">
        <f t="shared" ca="1" si="10"/>
        <v>0</v>
      </c>
      <c r="U38" s="181">
        <f ca="1">IFERROR(__xludf.DUMMYFUNCTION("IMPORTRANGE(""https://docs.google.com/spreadsheets/d/1B3lPpzOuaNwVItLwLEZYl_qEblfcx7dRnbRkAw0l-pE/edit?usp=sharing"",""บุรีรัมย์!I99"")"),0)</f>
        <v>0</v>
      </c>
      <c r="V38" s="181">
        <f ca="1">IFERROR(__xludf.DUMMYFUNCTION("IMPORTRANGE(""https://docs.google.com/spreadsheets/d/1B3lPpzOuaNwVItLwLEZYl_qEblfcx7dRnbRkAw0l-pE/edit?usp=sharing"",""บุรีรัมย์!I100"")"),1)</f>
        <v>1</v>
      </c>
      <c r="W38" s="181">
        <f ca="1">IFERROR(__xludf.DUMMYFUNCTION("IMPORTRANGE(""https://docs.google.com/spreadsheets/d/1B3lPpzOuaNwVItLwLEZYl_qEblfcx7dRnbRkAw0l-pE/edit?usp=sharing"",""บุรีรัมย์!J99"")"),0)</f>
        <v>0</v>
      </c>
      <c r="X38" s="185">
        <f t="shared" ca="1" si="12"/>
        <v>0</v>
      </c>
      <c r="Y38" s="186">
        <f ca="1">IFERROR(__xludf.DUMMYFUNCTION("IMPORTRANGE(""https://docs.google.com/spreadsheets/d/1B3lPpzOuaNwVItLwLEZYl_qEblfcx7dRnbRkAw0l-pE/edit?usp=sharing"",""บุรีรัมย์!J100"")"),1)</f>
        <v>1</v>
      </c>
      <c r="Z38" s="185">
        <f t="shared" ca="1" si="13"/>
        <v>100</v>
      </c>
      <c r="AA38" s="181">
        <f ca="1">IFERROR(__xludf.DUMMYFUNCTION("IMPORTRANGE(""https://docs.google.com/spreadsheets/d/1B3lPpzOuaNwVItLwLEZYl_qEblfcx7dRnbRkAw0l-pE/edit?usp=sharing"",""บุรีรัมย์!I102"")"),0)</f>
        <v>0</v>
      </c>
      <c r="AB38" s="181">
        <f ca="1">IFERROR(__xludf.DUMMYFUNCTION("IMPORTRANGE(""https://docs.google.com/spreadsheets/d/1B3lPpzOuaNwVItLwLEZYl_qEblfcx7dRnbRkAw0l-pE/edit?usp=sharing"",""บุรีรัมย์!I103"")"),0)</f>
        <v>0</v>
      </c>
      <c r="AC38" s="181">
        <f ca="1">IFERROR(__xludf.DUMMYFUNCTION("IMPORTRANGE(""https://docs.google.com/spreadsheets/d/1B3lPpzOuaNwVItLwLEZYl_qEblfcx7dRnbRkAw0l-pE/edit?usp=sharing"",""บุรีรัมย์!J102"")"),0)</f>
        <v>0</v>
      </c>
      <c r="AD38" s="181">
        <f ca="1">IFERROR(__xludf.DUMMYFUNCTION("IMPORTRANGE(""https://docs.google.com/spreadsheets/d/1B3lPpzOuaNwVItLwLEZYl_qEblfcx7dRnbRkAw0l-pE/edit?usp=sharing"",""บุรีรัมย์!J103"")"),0)</f>
        <v>0</v>
      </c>
      <c r="AE38" s="181">
        <f ca="1">IFERROR(__xludf.DUMMYFUNCTION("IMPORTRANGE(""https://docs.google.com/spreadsheets/d/1B3lPpzOuaNwVItLwLEZYl_qEblfcx7dRnbRkAw0l-pE/edit?usp=sharing"",""บุรีรัมย์!J104"")"),0)</f>
        <v>0</v>
      </c>
      <c r="AF38" s="181">
        <f ca="1">IFERROR(__xludf.DUMMYFUNCTION("IMPORTRANGE(""https://docs.google.com/spreadsheets/d/1B3lPpzOuaNwVItLwLEZYl_qEblfcx7dRnbRkAw0l-pE/edit?usp=sharing"",""บุรีรัมย์!I106"")"),0)</f>
        <v>0</v>
      </c>
      <c r="AG38" s="181">
        <f ca="1">IFERROR(__xludf.DUMMYFUNCTION("IMPORTRANGE(""https://docs.google.com/spreadsheets/d/1B3lPpzOuaNwVItLwLEZYl_qEblfcx7dRnbRkAw0l-pE/edit?usp=sharing"",""บุรีรัมย์!J106"")"),0)</f>
        <v>0</v>
      </c>
      <c r="AH38" s="181">
        <f ca="1">IFERROR(__xludf.DUMMYFUNCTION("IMPORTRANGE(""https://docs.google.com/spreadsheets/d/1B3lPpzOuaNwVItLwLEZYl_qEblfcx7dRnbRkAw0l-pE/edit?usp=sharing"",""บุรีรัมย์!J107"")"),0)</f>
        <v>0</v>
      </c>
      <c r="AI38" s="181">
        <f ca="1">IFERROR(__xludf.DUMMYFUNCTION("IMPORTRANGE(""https://docs.google.com/spreadsheets/d/1B3lPpzOuaNwVItLwLEZYl_qEblfcx7dRnbRkAw0l-pE/edit?usp=sharing"",""บุรีรัมย์!I109"")"),1)</f>
        <v>1</v>
      </c>
      <c r="AJ38" s="181">
        <f ca="1">IFERROR(__xludf.DUMMYFUNCTION("IMPORTRANGE(""https://docs.google.com/spreadsheets/d/1B3lPpzOuaNwVItLwLEZYl_qEblfcx7dRnbRkAw0l-pE/edit?usp=sharing"",""บุรีรัมย์!J109"")"),1)</f>
        <v>1</v>
      </c>
      <c r="AK38" s="181">
        <f ca="1">IFERROR(__xludf.DUMMYFUNCTION("IMPORTRANGE(""https://docs.google.com/spreadsheets/d/1B3lPpzOuaNwVItLwLEZYl_qEblfcx7dRnbRkAw0l-pE/edit?usp=sharing"",""บุรีรัมย์!J110"")"),1)</f>
        <v>1</v>
      </c>
      <c r="AL38" s="181">
        <f ca="1">IFERROR(__xludf.DUMMYFUNCTION("IMPORTRANGE(""https://docs.google.com/spreadsheets/d/1B3lPpzOuaNwVItLwLEZYl_qEblfcx7dRnbRkAw0l-pE/edit?usp=sharing"",""บุรีรัมย์!I111"")"),0)</f>
        <v>0</v>
      </c>
      <c r="AM38" s="181">
        <f ca="1">IFERROR(__xludf.DUMMYFUNCTION("IMPORTRANGE(""https://docs.google.com/spreadsheets/d/1B3lPpzOuaNwVItLwLEZYl_qEblfcx7dRnbRkAw0l-pE/edit?usp=sharing"",""บุรีรัมย์!I112"")"),1)</f>
        <v>1</v>
      </c>
      <c r="AN38" s="181">
        <f ca="1">IFERROR(__xludf.DUMMYFUNCTION("IMPORTRANGE(""https://docs.google.com/spreadsheets/d/1B3lPpzOuaNwVItLwLEZYl_qEblfcx7dRnbRkAw0l-pE/edit?usp=sharing"",""บุรีรัมย์!J111"")"),0)</f>
        <v>0</v>
      </c>
      <c r="AO38" s="181">
        <f t="shared" ca="1" si="15"/>
        <v>0</v>
      </c>
      <c r="AP38" s="181">
        <f ca="1">IFERROR(__xludf.DUMMYFUNCTION("IMPORTRANGE(""https://docs.google.com/spreadsheets/d/1B3lPpzOuaNwVItLwLEZYl_qEblfcx7dRnbRkAw0l-pE/edit?usp=sharing"",""บุรีรัมย์!J112"")"),0)</f>
        <v>0</v>
      </c>
      <c r="AQ38" s="185">
        <f t="shared" ca="1" si="16"/>
        <v>0</v>
      </c>
      <c r="AR38" s="181">
        <f ca="1">IFERROR(__xludf.DUMMYFUNCTION("IMPORTRANGE(""https://docs.google.com/spreadsheets/d/1B3lPpzOuaNwVItLwLEZYl_qEblfcx7dRnbRkAw0l-pE/edit?usp=sharing"",""บุรีรัมย์!I113"")"),0)</f>
        <v>0</v>
      </c>
      <c r="AS38" s="181">
        <f ca="1">IFERROR(__xludf.DUMMYFUNCTION("IMPORTRANGE(""https://docs.google.com/spreadsheets/d/1B3lPpzOuaNwVItLwLEZYl_qEblfcx7dRnbRkAw0l-pE/edit?usp=sharing"",""บุรีรัมย์!J113"")"),0)</f>
        <v>0</v>
      </c>
      <c r="AT38" s="181">
        <f ca="1">IFERROR(__xludf.DUMMYFUNCTION("IMPORTRANGE(""https://docs.google.com/spreadsheets/d/1B3lPpzOuaNwVItLwLEZYl_qEblfcx7dRnbRkAw0l-pE/edit?usp=sharing"",""บุรีรัมย์!J114"")"),0)</f>
        <v>0</v>
      </c>
      <c r="AU38" s="181">
        <f ca="1">IFERROR(__xludf.DUMMYFUNCTION("IMPORTRANGE(""https://docs.google.com/spreadsheets/d/1B3lPpzOuaNwVItLwLEZYl_qEblfcx7dRnbRkAw0l-pE/edit?usp=sharing"",""บุรีรัมย์!I115"")"),0)</f>
        <v>0</v>
      </c>
      <c r="AV38" s="181">
        <f ca="1">IFERROR(__xludf.DUMMYFUNCTION("IMPORTRANGE(""https://docs.google.com/spreadsheets/d/1B3lPpzOuaNwVItLwLEZYl_qEblfcx7dRnbRkAw0l-pE/edit?usp=sharing"",""บุรีรัมย์!J115"")"),0)</f>
        <v>0</v>
      </c>
      <c r="AW38" s="185">
        <f t="shared" ca="1" si="18"/>
        <v>0</v>
      </c>
      <c r="AX38" s="181">
        <f ca="1">IFERROR(__xludf.DUMMYFUNCTION("IMPORTRANGE(""https://docs.google.com/spreadsheets/d/1B3lPpzOuaNwVItLwLEZYl_qEblfcx7dRnbRkAw0l-pE/edit?usp=sharing"",""บุรีรัมย์!I116"")"),1)</f>
        <v>1</v>
      </c>
      <c r="AY38" s="181">
        <f ca="1">IFERROR(__xludf.DUMMYFUNCTION("IMPORTRANGE(""https://docs.google.com/spreadsheets/d/1B3lPpzOuaNwVItLwLEZYl_qEblfcx7dRnbRkAw0l-pE/edit?usp=sharing"",""บุรีรัมย์!J116"")"),0)</f>
        <v>0</v>
      </c>
      <c r="AZ38" s="185">
        <f t="shared" ca="1" si="20"/>
        <v>0</v>
      </c>
    </row>
    <row r="39" spans="1:52" ht="21" customHeight="1" x14ac:dyDescent="0.3">
      <c r="A39" s="176">
        <v>8</v>
      </c>
      <c r="B39" s="177" t="s">
        <v>61</v>
      </c>
      <c r="C39" s="178">
        <f t="shared" ca="1" si="0"/>
        <v>110880</v>
      </c>
      <c r="D39" s="179">
        <f t="shared" ca="1" si="49"/>
        <v>110880</v>
      </c>
      <c r="E39" s="180">
        <f ca="1">IFERROR(__xludf.DUMMYFUNCTION("IMPORTRANGE(""https://docs.google.com/spreadsheets/d/1MeEWN-I1oV_STSDYn1IFDPWt_1FKiwhDph83XaGc0o0/edit?usp=sharing"",""งบพรบ!AR39"")"),0)</f>
        <v>0</v>
      </c>
      <c r="F39" s="180">
        <f ca="1">IFERROR(__xludf.DUMMYFUNCTION("IMPORTRANGE(""https://docs.google.com/spreadsheets/d/1MeEWN-I1oV_STSDYn1IFDPWt_1FKiwhDph83XaGc0o0/edit?usp=sharing"",""งบพรบ!AS39"")"),110880)</f>
        <v>110880</v>
      </c>
      <c r="G39" s="180">
        <f ca="1">IFERROR(__xludf.DUMMYFUNCTION("IMPORTRANGE(""https://docs.google.com/spreadsheets/d/1MeEWN-I1oV_STSDYn1IFDPWt_1FKiwhDph83XaGc0o0/edit?usp=sharing"",""งบพรบ!AT39"")"),0)</f>
        <v>0</v>
      </c>
      <c r="H39" s="180">
        <f ca="1">IFERROR(__xludf.DUMMYFUNCTION("IMPORTRANGE(""https://docs.google.com/spreadsheets/d/1MeEWN-I1oV_STSDYn1IFDPWt_1FKiwhDph83XaGc0o0/edit?usp=sharing"",""งบพรบ!AV39"")"),73430)</f>
        <v>73430</v>
      </c>
      <c r="I39" s="180">
        <f ca="1">IFERROR(__xludf.DUMMYFUNCTION("IMPORTRANGE(""https://docs.google.com/spreadsheets/d/1MeEWN-I1oV_STSDYn1IFDPWt_1FKiwhDph83XaGc0o0/edit?usp=sharing"",""งบพรบ!AW39"")"),0)</f>
        <v>0</v>
      </c>
      <c r="J39" s="180">
        <f t="shared" ca="1" si="3"/>
        <v>40406</v>
      </c>
      <c r="K39" s="187">
        <f t="shared" ca="1" si="4"/>
        <v>36.441197691197694</v>
      </c>
      <c r="L39" s="180">
        <f ca="1">IFERROR(__xludf.DUMMYFUNCTION("IMPORTRANGE(""https://docs.google.com/spreadsheets/d/1MeEWN-I1oV_STSDYn1IFDPWt_1FKiwhDph83XaGc0o0/edit?usp=sharing"",""งบพรบ!AX39"")"),40406)</f>
        <v>40406</v>
      </c>
      <c r="M39" s="183">
        <f t="shared" ca="1" si="5"/>
        <v>36.441197691197694</v>
      </c>
      <c r="N39" s="183">
        <f t="shared" ca="1" si="6"/>
        <v>55.026555903581645</v>
      </c>
      <c r="O39" s="184">
        <f ca="1">IFERROR(__xludf.DUMMYFUNCTION("IMPORTRANGE(""https://docs.google.com/spreadsheets/d/1MeEWN-I1oV_STSDYn1IFDPWt_1FKiwhDph83XaGc0o0/edit?usp=sharing"",""งบพรบ!AY39"")"),0)</f>
        <v>0</v>
      </c>
      <c r="P39" s="184">
        <f t="shared" ca="1" si="36"/>
        <v>0</v>
      </c>
      <c r="Q39" s="183">
        <f t="shared" ca="1" si="8"/>
        <v>0</v>
      </c>
      <c r="R39" s="181">
        <f ca="1">IFERROR(__xludf.DUMMYFUNCTION("IMPORTRANGE(""https://docs.google.com/spreadsheets/d/19GOkiOqnzYbevLYWrMk4qFOXe3rX14BkSA8X-mq-a40/edit?usp=sharing"",""มหาสารคาม!I98"")"),60)</f>
        <v>60</v>
      </c>
      <c r="S39" s="181">
        <f ca="1">IFERROR(__xludf.DUMMYFUNCTION("IMPORTRANGE(""https://docs.google.com/spreadsheets/d/19GOkiOqnzYbevLYWrMk4qFOXe3rX14BkSA8X-mq-a40/edit?usp=sharing"",""มหาสารคาม!J98"")"),60)</f>
        <v>60</v>
      </c>
      <c r="T39" s="181">
        <f t="shared" ca="1" si="10"/>
        <v>100</v>
      </c>
      <c r="U39" s="181">
        <f ca="1">IFERROR(__xludf.DUMMYFUNCTION("IMPORTRANGE(""https://docs.google.com/spreadsheets/d/19GOkiOqnzYbevLYWrMk4qFOXe3rX14BkSA8X-mq-a40/edit?usp=sharing"",""มหาสารคาม!I99"")"),20)</f>
        <v>20</v>
      </c>
      <c r="V39" s="181">
        <f ca="1">IFERROR(__xludf.DUMMYFUNCTION("IMPORTRANGE(""https://docs.google.com/spreadsheets/d/19GOkiOqnzYbevLYWrMk4qFOXe3rX14BkSA8X-mq-a40/edit?usp=sharing"",""มหาสารคาม!I100"")"),2)</f>
        <v>2</v>
      </c>
      <c r="W39" s="181">
        <f ca="1">IFERROR(__xludf.DUMMYFUNCTION("IMPORTRANGE(""https://docs.google.com/spreadsheets/d/19GOkiOqnzYbevLYWrMk4qFOXe3rX14BkSA8X-mq-a40/edit?usp=sharing"",""มหาสารคาม!J99"")"),20)</f>
        <v>20</v>
      </c>
      <c r="X39" s="185">
        <f t="shared" ca="1" si="12"/>
        <v>100</v>
      </c>
      <c r="Y39" s="186">
        <f ca="1">IFERROR(__xludf.DUMMYFUNCTION("IMPORTRANGE(""https://docs.google.com/spreadsheets/d/19GOkiOqnzYbevLYWrMk4qFOXe3rX14BkSA8X-mq-a40/edit?usp=sharing"",""มหาสารคาม!J100"")"),2)</f>
        <v>2</v>
      </c>
      <c r="Z39" s="185">
        <f t="shared" ca="1" si="13"/>
        <v>100</v>
      </c>
      <c r="AA39" s="181">
        <f ca="1">IFERROR(__xludf.DUMMYFUNCTION("IMPORTRANGE(""https://docs.google.com/spreadsheets/d/19GOkiOqnzYbevLYWrMk4qFOXe3rX14BkSA8X-mq-a40/edit?usp=sharing"",""มหาสารคาม!I102"")"),60)</f>
        <v>60</v>
      </c>
      <c r="AB39" s="181">
        <f ca="1">IFERROR(__xludf.DUMMYFUNCTION("IMPORTRANGE(""https://docs.google.com/spreadsheets/d/19GOkiOqnzYbevLYWrMk4qFOXe3rX14BkSA8X-mq-a40/edit?usp=sharing"",""มหาสารคาม!I103"")"),20)</f>
        <v>20</v>
      </c>
      <c r="AC39" s="181">
        <f ca="1">IFERROR(__xludf.DUMMYFUNCTION("IMPORTRANGE(""https://docs.google.com/spreadsheets/d/19GOkiOqnzYbevLYWrMk4qFOXe3rX14BkSA8X-mq-a40/edit?usp=sharing"",""มหาสารคาม!J102"")"),60)</f>
        <v>60</v>
      </c>
      <c r="AD39" s="181">
        <f ca="1">IFERROR(__xludf.DUMMYFUNCTION("IMPORTRANGE(""https://docs.google.com/spreadsheets/d/19GOkiOqnzYbevLYWrMk4qFOXe3rX14BkSA8X-mq-a40/edit?usp=sharing"",""มหาสารคาม!J103"")"),20)</f>
        <v>20</v>
      </c>
      <c r="AE39" s="181">
        <f ca="1">IFERROR(__xludf.DUMMYFUNCTION("IMPORTRANGE(""https://docs.google.com/spreadsheets/d/19GOkiOqnzYbevLYWrMk4qFOXe3rX14BkSA8X-mq-a40/edit?usp=sharing"",""มหาสารคาม!J104"")"),20)</f>
        <v>20</v>
      </c>
      <c r="AF39" s="181">
        <f ca="1">IFERROR(__xludf.DUMMYFUNCTION("IMPORTRANGE(""https://docs.google.com/spreadsheets/d/19GOkiOqnzYbevLYWrMk4qFOXe3rX14BkSA8X-mq-a40/edit?usp=sharing"",""มหาสารคาม!I106"")"),1)</f>
        <v>1</v>
      </c>
      <c r="AG39" s="181">
        <f ca="1">IFERROR(__xludf.DUMMYFUNCTION("IMPORTRANGE(""https://docs.google.com/spreadsheets/d/19GOkiOqnzYbevLYWrMk4qFOXe3rX14BkSA8X-mq-a40/edit?usp=sharing"",""มหาสารคาม!J106"")"),1)</f>
        <v>1</v>
      </c>
      <c r="AH39" s="181">
        <f ca="1">IFERROR(__xludf.DUMMYFUNCTION("IMPORTRANGE(""https://docs.google.com/spreadsheets/d/19GOkiOqnzYbevLYWrMk4qFOXe3rX14BkSA8X-mq-a40/edit?usp=sharing"",""มหาสารคาม!J107"")"),1)</f>
        <v>1</v>
      </c>
      <c r="AI39" s="181">
        <f ca="1">IFERROR(__xludf.DUMMYFUNCTION("IMPORTRANGE(""https://docs.google.com/spreadsheets/d/19GOkiOqnzYbevLYWrMk4qFOXe3rX14BkSA8X-mq-a40/edit?usp=sharing"",""มหาสารคาม!I109"")"),1)</f>
        <v>1</v>
      </c>
      <c r="AJ39" s="181">
        <f ca="1">IFERROR(__xludf.DUMMYFUNCTION("IMPORTRANGE(""https://docs.google.com/spreadsheets/d/19GOkiOqnzYbevLYWrMk4qFOXe3rX14BkSA8X-mq-a40/edit?usp=sharing"",""มหาสารคาม!J109"")"),1)</f>
        <v>1</v>
      </c>
      <c r="AK39" s="181">
        <f ca="1">IFERROR(__xludf.DUMMYFUNCTION("IMPORTRANGE(""https://docs.google.com/spreadsheets/d/19GOkiOqnzYbevLYWrMk4qFOXe3rX14BkSA8X-mq-a40/edit?usp=sharing"",""มหาสารคาม!J110"")"),1)</f>
        <v>1</v>
      </c>
      <c r="AL39" s="181">
        <f ca="1">IFERROR(__xludf.DUMMYFUNCTION("IMPORTRANGE(""https://docs.google.com/spreadsheets/d/19GOkiOqnzYbevLYWrMk4qFOXe3rX14BkSA8X-mq-a40/edit?usp=sharing"",""มหาสารคาม!I111"")"),20)</f>
        <v>20</v>
      </c>
      <c r="AM39" s="181">
        <f ca="1">IFERROR(__xludf.DUMMYFUNCTION("IMPORTRANGE(""https://docs.google.com/spreadsheets/d/19GOkiOqnzYbevLYWrMk4qFOXe3rX14BkSA8X-mq-a40/edit?usp=sharing"",""มหาสารคาม!I112"")"),2)</f>
        <v>2</v>
      </c>
      <c r="AN39" s="181">
        <f ca="1">IFERROR(__xludf.DUMMYFUNCTION("IMPORTRANGE(""https://docs.google.com/spreadsheets/d/19GOkiOqnzYbevLYWrMk4qFOXe3rX14BkSA8X-mq-a40/edit?usp=sharing"",""มหาสารคาม!J111"")"),0)</f>
        <v>0</v>
      </c>
      <c r="AO39" s="181">
        <f t="shared" ca="1" si="15"/>
        <v>0</v>
      </c>
      <c r="AP39" s="181">
        <f ca="1">IFERROR(__xludf.DUMMYFUNCTION("IMPORTRANGE(""https://docs.google.com/spreadsheets/d/19GOkiOqnzYbevLYWrMk4qFOXe3rX14BkSA8X-mq-a40/edit?usp=sharing"",""มหาสารคาม!J112"")"),0)</f>
        <v>0</v>
      </c>
      <c r="AQ39" s="185">
        <f t="shared" ca="1" si="16"/>
        <v>0</v>
      </c>
      <c r="AR39" s="181">
        <f ca="1">IFERROR(__xludf.DUMMYFUNCTION("IMPORTRANGE(""https://docs.google.com/spreadsheets/d/19GOkiOqnzYbevLYWrMk4qFOXe3rX14BkSA8X-mq-a40/edit?usp=sharing"",""มหาสารคาม!I113"")"),20)</f>
        <v>20</v>
      </c>
      <c r="AS39" s="181">
        <f ca="1">IFERROR(__xludf.DUMMYFUNCTION("IMPORTRANGE(""https://docs.google.com/spreadsheets/d/19GOkiOqnzYbevLYWrMk4qFOXe3rX14BkSA8X-mq-a40/edit?usp=sharing"",""มหาสารคาม!J113"")"),0)</f>
        <v>0</v>
      </c>
      <c r="AT39" s="181">
        <f ca="1">IFERROR(__xludf.DUMMYFUNCTION("IMPORTRANGE(""https://docs.google.com/spreadsheets/d/19GOkiOqnzYbevLYWrMk4qFOXe3rX14BkSA8X-mq-a40/edit?usp=sharing"",""มหาสารคาม!J114"")"),0)</f>
        <v>0</v>
      </c>
      <c r="AU39" s="181">
        <f ca="1">IFERROR(__xludf.DUMMYFUNCTION("IMPORTRANGE(""https://docs.google.com/spreadsheets/d/19GOkiOqnzYbevLYWrMk4qFOXe3rX14BkSA8X-mq-a40/edit?usp=sharing"",""มหาสารคาม!I115"")"),1)</f>
        <v>1</v>
      </c>
      <c r="AV39" s="181">
        <f ca="1">IFERROR(__xludf.DUMMYFUNCTION("IMPORTRANGE(""https://docs.google.com/spreadsheets/d/19GOkiOqnzYbevLYWrMk4qFOXe3rX14BkSA8X-mq-a40/edit?usp=sharing"",""มหาสารคาม!J115"")"),0)</f>
        <v>0</v>
      </c>
      <c r="AW39" s="185">
        <f t="shared" ca="1" si="18"/>
        <v>0</v>
      </c>
      <c r="AX39" s="181">
        <f ca="1">IFERROR(__xludf.DUMMYFUNCTION("IMPORTRANGE(""https://docs.google.com/spreadsheets/d/19GOkiOqnzYbevLYWrMk4qFOXe3rX14BkSA8X-mq-a40/edit?usp=sharing"",""มหาสารคาม!I116"")"),1)</f>
        <v>1</v>
      </c>
      <c r="AY39" s="181">
        <f ca="1">IFERROR(__xludf.DUMMYFUNCTION("IMPORTRANGE(""https://docs.google.com/spreadsheets/d/19GOkiOqnzYbevLYWrMk4qFOXe3rX14BkSA8X-mq-a40/edit?usp=sharing"",""มหาสารคาม!J116"")"),0)</f>
        <v>0</v>
      </c>
      <c r="AZ39" s="185">
        <f t="shared" ca="1" si="20"/>
        <v>0</v>
      </c>
    </row>
    <row r="40" spans="1:52" ht="21" customHeight="1" x14ac:dyDescent="0.3">
      <c r="A40" s="176">
        <v>9</v>
      </c>
      <c r="B40" s="177" t="s">
        <v>62</v>
      </c>
      <c r="C40" s="178">
        <f t="shared" ca="1" si="0"/>
        <v>86340</v>
      </c>
      <c r="D40" s="179">
        <f t="shared" ca="1" si="49"/>
        <v>86340</v>
      </c>
      <c r="E40" s="180">
        <f ca="1">IFERROR(__xludf.DUMMYFUNCTION("IMPORTRANGE(""https://docs.google.com/spreadsheets/d/1MeEWN-I1oV_STSDYn1IFDPWt_1FKiwhDph83XaGc0o0/edit?usp=sharing"",""งบพรบ!AR40"")"),0)</f>
        <v>0</v>
      </c>
      <c r="F40" s="180">
        <f ca="1">IFERROR(__xludf.DUMMYFUNCTION("IMPORTRANGE(""https://docs.google.com/spreadsheets/d/1MeEWN-I1oV_STSDYn1IFDPWt_1FKiwhDph83XaGc0o0/edit?usp=sharing"",""งบพรบ!AS40"")"),86340)</f>
        <v>86340</v>
      </c>
      <c r="G40" s="180">
        <f ca="1">IFERROR(__xludf.DUMMYFUNCTION("IMPORTRANGE(""https://docs.google.com/spreadsheets/d/1MeEWN-I1oV_STSDYn1IFDPWt_1FKiwhDph83XaGc0o0/edit?usp=sharing"",""งบพรบ!AT40"")"),0)</f>
        <v>0</v>
      </c>
      <c r="H40" s="180">
        <f ca="1">IFERROR(__xludf.DUMMYFUNCTION("IMPORTRANGE(""https://docs.google.com/spreadsheets/d/1MeEWN-I1oV_STSDYn1IFDPWt_1FKiwhDph83XaGc0o0/edit?usp=sharing"",""งบพรบ!AV40"")"),24140)</f>
        <v>24140</v>
      </c>
      <c r="I40" s="180">
        <f ca="1">IFERROR(__xludf.DUMMYFUNCTION("IMPORTRANGE(""https://docs.google.com/spreadsheets/d/1MeEWN-I1oV_STSDYn1IFDPWt_1FKiwhDph83XaGc0o0/edit?usp=sharing"",""งบพรบ!AW40"")"),0)</f>
        <v>0</v>
      </c>
      <c r="J40" s="180">
        <f t="shared" ca="1" si="3"/>
        <v>0</v>
      </c>
      <c r="K40" s="187">
        <f t="shared" ca="1" si="4"/>
        <v>0</v>
      </c>
      <c r="L40" s="180">
        <f ca="1">IFERROR(__xludf.DUMMYFUNCTION("IMPORTRANGE(""https://docs.google.com/spreadsheets/d/1MeEWN-I1oV_STSDYn1IFDPWt_1FKiwhDph83XaGc0o0/edit?usp=sharing"",""งบพรบ!AX40"")"),0)</f>
        <v>0</v>
      </c>
      <c r="M40" s="183">
        <f t="shared" ca="1" si="5"/>
        <v>0</v>
      </c>
      <c r="N40" s="183">
        <f t="shared" ca="1" si="6"/>
        <v>0</v>
      </c>
      <c r="O40" s="184">
        <f ca="1">IFERROR(__xludf.DUMMYFUNCTION("IMPORTRANGE(""https://docs.google.com/spreadsheets/d/1MeEWN-I1oV_STSDYn1IFDPWt_1FKiwhDph83XaGc0o0/edit?usp=sharing"",""งบพรบ!AY40"")"),0)</f>
        <v>0</v>
      </c>
      <c r="P40" s="184">
        <f t="shared" ca="1" si="36"/>
        <v>0</v>
      </c>
      <c r="Q40" s="183">
        <f t="shared" ca="1" si="8"/>
        <v>0</v>
      </c>
      <c r="R40" s="181">
        <f ca="1">IFERROR(__xludf.DUMMYFUNCTION("IMPORTRANGE(""https://docs.google.com/spreadsheets/d/1uMKqWwuNQ-TCKboGA3Bb1qXb5uj2-faACNUINCz8PN4/edit?usp=sharing"",""มุกดาหาร!I98"")"),30)</f>
        <v>30</v>
      </c>
      <c r="S40" s="181">
        <f ca="1">IFERROR(__xludf.DUMMYFUNCTION("IMPORTRANGE(""https://docs.google.com/spreadsheets/d/1uMKqWwuNQ-TCKboGA3Bb1qXb5uj2-faACNUINCz8PN4/edit?usp=sharing"",""มุกดาหาร!J98"")"),0)</f>
        <v>0</v>
      </c>
      <c r="T40" s="181">
        <f t="shared" ca="1" si="10"/>
        <v>0</v>
      </c>
      <c r="U40" s="181">
        <f ca="1">IFERROR(__xludf.DUMMYFUNCTION("IMPORTRANGE(""https://docs.google.com/spreadsheets/d/1uMKqWwuNQ-TCKboGA3Bb1qXb5uj2-faACNUINCz8PN4/edit?usp=sharing"",""มุกดาหาร!I99"")"),10)</f>
        <v>10</v>
      </c>
      <c r="V40" s="181">
        <f ca="1">IFERROR(__xludf.DUMMYFUNCTION("IMPORTRANGE(""https://docs.google.com/spreadsheets/d/1uMKqWwuNQ-TCKboGA3Bb1qXb5uj2-faACNUINCz8PN4/edit?usp=sharing"",""มุกดาหาร!I100"")"),2)</f>
        <v>2</v>
      </c>
      <c r="W40" s="181">
        <f ca="1">IFERROR(__xludf.DUMMYFUNCTION("IMPORTRANGE(""https://docs.google.com/spreadsheets/d/1uMKqWwuNQ-TCKboGA3Bb1qXb5uj2-faACNUINCz8PN4/edit?usp=sharing"",""มุกดาหาร!J99"")"),0)</f>
        <v>0</v>
      </c>
      <c r="X40" s="185">
        <f t="shared" ca="1" si="12"/>
        <v>0</v>
      </c>
      <c r="Y40" s="186">
        <f ca="1">IFERROR(__xludf.DUMMYFUNCTION("IMPORTRANGE(""https://docs.google.com/spreadsheets/d/1uMKqWwuNQ-TCKboGA3Bb1qXb5uj2-faACNUINCz8PN4/edit?usp=sharing"",""มุกดาหาร!J100"")"),0)</f>
        <v>0</v>
      </c>
      <c r="Z40" s="185">
        <f t="shared" ca="1" si="13"/>
        <v>0</v>
      </c>
      <c r="AA40" s="181">
        <f ca="1">IFERROR(__xludf.DUMMYFUNCTION("IMPORTRANGE(""https://docs.google.com/spreadsheets/d/1uMKqWwuNQ-TCKboGA3Bb1qXb5uj2-faACNUINCz8PN4/edit?usp=sharing"",""มุกดาหาร!I102"")"),30)</f>
        <v>30</v>
      </c>
      <c r="AB40" s="181">
        <f ca="1">IFERROR(__xludf.DUMMYFUNCTION("IMPORTRANGE(""https://docs.google.com/spreadsheets/d/1uMKqWwuNQ-TCKboGA3Bb1qXb5uj2-faACNUINCz8PN4/edit?usp=sharing"",""มุกดาหาร!I103"")"),10)</f>
        <v>10</v>
      </c>
      <c r="AC40" s="181">
        <f ca="1">IFERROR(__xludf.DUMMYFUNCTION("IMPORTRANGE(""https://docs.google.com/spreadsheets/d/1uMKqWwuNQ-TCKboGA3Bb1qXb5uj2-faACNUINCz8PN4/edit?usp=sharing"",""มุกดาหาร!J102"")"),0)</f>
        <v>0</v>
      </c>
      <c r="AD40" s="181">
        <f ca="1">IFERROR(__xludf.DUMMYFUNCTION("IMPORTRANGE(""https://docs.google.com/spreadsheets/d/1uMKqWwuNQ-TCKboGA3Bb1qXb5uj2-faACNUINCz8PN4/edit?usp=sharing"",""มุกดาหาร!J103"")"),0)</f>
        <v>0</v>
      </c>
      <c r="AE40" s="181">
        <f ca="1">IFERROR(__xludf.DUMMYFUNCTION("IMPORTRANGE(""https://docs.google.com/spreadsheets/d/1uMKqWwuNQ-TCKboGA3Bb1qXb5uj2-faACNUINCz8PN4/edit?usp=sharing"",""มุกดาหาร!J104"")"),0)</f>
        <v>0</v>
      </c>
      <c r="AF40" s="181">
        <f ca="1">IFERROR(__xludf.DUMMYFUNCTION("IMPORTRANGE(""https://docs.google.com/spreadsheets/d/1uMKqWwuNQ-TCKboGA3Bb1qXb5uj2-faACNUINCz8PN4/edit?usp=sharing"",""มุกดาหาร!I106"")"),1)</f>
        <v>1</v>
      </c>
      <c r="AG40" s="181">
        <f ca="1">IFERROR(__xludf.DUMMYFUNCTION("IMPORTRANGE(""https://docs.google.com/spreadsheets/d/1uMKqWwuNQ-TCKboGA3Bb1qXb5uj2-faACNUINCz8PN4/edit?usp=sharing"",""มุกดาหาร!J106"")"),0)</f>
        <v>0</v>
      </c>
      <c r="AH40" s="181">
        <f ca="1">IFERROR(__xludf.DUMMYFUNCTION("IMPORTRANGE(""https://docs.google.com/spreadsheets/d/1uMKqWwuNQ-TCKboGA3Bb1qXb5uj2-faACNUINCz8PN4/edit?usp=sharing"",""มุกดาหาร!J107"")"),0)</f>
        <v>0</v>
      </c>
      <c r="AI40" s="181">
        <f ca="1">IFERROR(__xludf.DUMMYFUNCTION("IMPORTRANGE(""https://docs.google.com/spreadsheets/d/1uMKqWwuNQ-TCKboGA3Bb1qXb5uj2-faACNUINCz8PN4/edit?usp=sharing"",""มุกดาหาร!I109"")"),1)</f>
        <v>1</v>
      </c>
      <c r="AJ40" s="181" t="str">
        <f ca="1">IFERROR(__xludf.DUMMYFUNCTION("IMPORTRANGE(""https://docs.google.com/spreadsheets/d/1uMKqWwuNQ-TCKboGA3Bb1qXb5uj2-faACNUINCz8PN4/edit?usp=sharing"",""มุกดาหาร!J109"")"),"")</f>
        <v/>
      </c>
      <c r="AK40" s="181">
        <f ca="1">IFERROR(__xludf.DUMMYFUNCTION("IMPORTRANGE(""https://docs.google.com/spreadsheets/d/1uMKqWwuNQ-TCKboGA3Bb1qXb5uj2-faACNUINCz8PN4/edit?usp=sharing"",""มุกดาหาร!J110"")"),0)</f>
        <v>0</v>
      </c>
      <c r="AL40" s="181">
        <f ca="1">IFERROR(__xludf.DUMMYFUNCTION("IMPORTRANGE(""https://docs.google.com/spreadsheets/d/1uMKqWwuNQ-TCKboGA3Bb1qXb5uj2-faACNUINCz8PN4/edit?usp=sharing"",""มุกดาหาร!I111"")"),10)</f>
        <v>10</v>
      </c>
      <c r="AM40" s="181">
        <f ca="1">IFERROR(__xludf.DUMMYFUNCTION("IMPORTRANGE(""https://docs.google.com/spreadsheets/d/1uMKqWwuNQ-TCKboGA3Bb1qXb5uj2-faACNUINCz8PN4/edit?usp=sharing"",""มุกดาหาร!I112"")"),2)</f>
        <v>2</v>
      </c>
      <c r="AN40" s="181">
        <f ca="1">IFERROR(__xludf.DUMMYFUNCTION("IMPORTRANGE(""https://docs.google.com/spreadsheets/d/1uMKqWwuNQ-TCKboGA3Bb1qXb5uj2-faACNUINCz8PN4/edit?usp=sharing"",""มุกดาหาร!J111"")"),0)</f>
        <v>0</v>
      </c>
      <c r="AO40" s="181">
        <f t="shared" ca="1" si="15"/>
        <v>0</v>
      </c>
      <c r="AP40" s="181">
        <f ca="1">IFERROR(__xludf.DUMMYFUNCTION("IMPORTRANGE(""https://docs.google.com/spreadsheets/d/1uMKqWwuNQ-TCKboGA3Bb1qXb5uj2-faACNUINCz8PN4/edit?usp=sharing"",""มุกดาหาร!J112"")"),0)</f>
        <v>0</v>
      </c>
      <c r="AQ40" s="185">
        <f t="shared" ca="1" si="16"/>
        <v>0</v>
      </c>
      <c r="AR40" s="181">
        <f ca="1">IFERROR(__xludf.DUMMYFUNCTION("IMPORTRANGE(""https://docs.google.com/spreadsheets/d/1uMKqWwuNQ-TCKboGA3Bb1qXb5uj2-faACNUINCz8PN4/edit?usp=sharing"",""มุกดาหาร!I113"")"),10)</f>
        <v>10</v>
      </c>
      <c r="AS40" s="181">
        <f ca="1">IFERROR(__xludf.DUMMYFUNCTION("IMPORTRANGE(""https://docs.google.com/spreadsheets/d/1uMKqWwuNQ-TCKboGA3Bb1qXb5uj2-faACNUINCz8PN4/edit?usp=sharing"",""มุกดาหาร!J113"")"),0)</f>
        <v>0</v>
      </c>
      <c r="AT40" s="181">
        <f ca="1">IFERROR(__xludf.DUMMYFUNCTION("IMPORTRANGE(""https://docs.google.com/spreadsheets/d/1uMKqWwuNQ-TCKboGA3Bb1qXb5uj2-faACNUINCz8PN4/edit?usp=sharing"",""มุกดาหาร!J114"")"),0)</f>
        <v>0</v>
      </c>
      <c r="AU40" s="181">
        <f ca="1">IFERROR(__xludf.DUMMYFUNCTION("IMPORTRANGE(""https://docs.google.com/spreadsheets/d/1uMKqWwuNQ-TCKboGA3Bb1qXb5uj2-faACNUINCz8PN4/edit?usp=sharing"",""มุกดาหาร!I115"")"),1)</f>
        <v>1</v>
      </c>
      <c r="AV40" s="181">
        <f ca="1">IFERROR(__xludf.DUMMYFUNCTION("IMPORTRANGE(""https://docs.google.com/spreadsheets/d/1uMKqWwuNQ-TCKboGA3Bb1qXb5uj2-faACNUINCz8PN4/edit?usp=sharing"",""มุกดาหาร!J115"")"),0)</f>
        <v>0</v>
      </c>
      <c r="AW40" s="185">
        <f t="shared" ca="1" si="18"/>
        <v>0</v>
      </c>
      <c r="AX40" s="181">
        <f ca="1">IFERROR(__xludf.DUMMYFUNCTION("IMPORTRANGE(""https://docs.google.com/spreadsheets/d/1uMKqWwuNQ-TCKboGA3Bb1qXb5uj2-faACNUINCz8PN4/edit?usp=sharing"",""มุกดาหาร!I116"")"),1)</f>
        <v>1</v>
      </c>
      <c r="AY40" s="181">
        <f ca="1">IFERROR(__xludf.DUMMYFUNCTION("IMPORTRANGE(""https://docs.google.com/spreadsheets/d/1uMKqWwuNQ-TCKboGA3Bb1qXb5uj2-faACNUINCz8PN4/edit?usp=sharing"",""มุกดาหาร!J116"")"),0)</f>
        <v>0</v>
      </c>
      <c r="AZ40" s="185">
        <f t="shared" ca="1" si="20"/>
        <v>0</v>
      </c>
    </row>
    <row r="41" spans="1:52" ht="21" customHeight="1" x14ac:dyDescent="0.3">
      <c r="A41" s="176">
        <v>10</v>
      </c>
      <c r="B41" s="177" t="s">
        <v>63</v>
      </c>
      <c r="C41" s="178">
        <f t="shared" ca="1" si="0"/>
        <v>111880</v>
      </c>
      <c r="D41" s="179">
        <f t="shared" ca="1" si="49"/>
        <v>111880</v>
      </c>
      <c r="E41" s="180">
        <f ca="1">IFERROR(__xludf.DUMMYFUNCTION("IMPORTRANGE(""https://docs.google.com/spreadsheets/d/1MeEWN-I1oV_STSDYn1IFDPWt_1FKiwhDph83XaGc0o0/edit?usp=sharing"",""งบพรบ!AR41"")"),0)</f>
        <v>0</v>
      </c>
      <c r="F41" s="180">
        <f ca="1">IFERROR(__xludf.DUMMYFUNCTION("IMPORTRANGE(""https://docs.google.com/spreadsheets/d/1MeEWN-I1oV_STSDYn1IFDPWt_1FKiwhDph83XaGc0o0/edit?usp=sharing"",""งบพรบ!AS41"")"),111880)</f>
        <v>111880</v>
      </c>
      <c r="G41" s="180">
        <f ca="1">IFERROR(__xludf.DUMMYFUNCTION("IMPORTRANGE(""https://docs.google.com/spreadsheets/d/1MeEWN-I1oV_STSDYn1IFDPWt_1FKiwhDph83XaGc0o0/edit?usp=sharing"",""งบพรบ!AT41"")"),0)</f>
        <v>0</v>
      </c>
      <c r="H41" s="180">
        <f ca="1">IFERROR(__xludf.DUMMYFUNCTION("IMPORTRANGE(""https://docs.google.com/spreadsheets/d/1MeEWN-I1oV_STSDYn1IFDPWt_1FKiwhDph83XaGc0o0/edit?usp=sharing"",""งบพรบ!AV41"")"),46680)</f>
        <v>46680</v>
      </c>
      <c r="I41" s="180">
        <f ca="1">IFERROR(__xludf.DUMMYFUNCTION("IMPORTRANGE(""https://docs.google.com/spreadsheets/d/1MeEWN-I1oV_STSDYn1IFDPWt_1FKiwhDph83XaGc0o0/edit?usp=sharing"",""งบพรบ!AW41"")"),0)</f>
        <v>0</v>
      </c>
      <c r="J41" s="180">
        <f t="shared" ca="1" si="3"/>
        <v>43040</v>
      </c>
      <c r="K41" s="187">
        <f t="shared" ca="1" si="4"/>
        <v>38.469789059706827</v>
      </c>
      <c r="L41" s="180">
        <f ca="1">IFERROR(__xludf.DUMMYFUNCTION("IMPORTRANGE(""https://docs.google.com/spreadsheets/d/1MeEWN-I1oV_STSDYn1IFDPWt_1FKiwhDph83XaGc0o0/edit?usp=sharing"",""งบพรบ!AX41"")"),43040)</f>
        <v>43040</v>
      </c>
      <c r="M41" s="183">
        <f t="shared" ca="1" si="5"/>
        <v>38.469789059706827</v>
      </c>
      <c r="N41" s="183">
        <f t="shared" ca="1" si="6"/>
        <v>92.202227934875751</v>
      </c>
      <c r="O41" s="184">
        <f ca="1">IFERROR(__xludf.DUMMYFUNCTION("IMPORTRANGE(""https://docs.google.com/spreadsheets/d/1MeEWN-I1oV_STSDYn1IFDPWt_1FKiwhDph83XaGc0o0/edit?usp=sharing"",""งบพรบ!AY41"")"),0)</f>
        <v>0</v>
      </c>
      <c r="P41" s="184">
        <f t="shared" ca="1" si="36"/>
        <v>0</v>
      </c>
      <c r="Q41" s="183">
        <f t="shared" ca="1" si="8"/>
        <v>0</v>
      </c>
      <c r="R41" s="181">
        <f ca="1">IFERROR(__xludf.DUMMYFUNCTION("IMPORTRANGE(""https://docs.google.com/spreadsheets/d/1oKaccgDdQABndOzGr688Dbfxb_V3YcF67VqEPBtdzsc/edit?usp=sharing"",""ยโสธร!I98"")"),60)</f>
        <v>60</v>
      </c>
      <c r="S41" s="181">
        <f ca="1">IFERROR(__xludf.DUMMYFUNCTION("IMPORTRANGE(""https://docs.google.com/spreadsheets/d/1oKaccgDdQABndOzGr688Dbfxb_V3YcF67VqEPBtdzsc/edit?usp=sharing"",""ยโสธร!J98"")"),60)</f>
        <v>60</v>
      </c>
      <c r="T41" s="181">
        <f t="shared" ca="1" si="10"/>
        <v>100</v>
      </c>
      <c r="U41" s="181">
        <f ca="1">IFERROR(__xludf.DUMMYFUNCTION("IMPORTRANGE(""https://docs.google.com/spreadsheets/d/1oKaccgDdQABndOzGr688Dbfxb_V3YcF67VqEPBtdzsc/edit?usp=sharing"",""ยโสธร!I99"")"),20)</f>
        <v>20</v>
      </c>
      <c r="V41" s="181">
        <f ca="1">IFERROR(__xludf.DUMMYFUNCTION("IMPORTRANGE(""https://docs.google.com/spreadsheets/d/1oKaccgDdQABndOzGr688Dbfxb_V3YcF67VqEPBtdzsc/edit?usp=sharing"",""ยโสธร!I100"")"),2)</f>
        <v>2</v>
      </c>
      <c r="W41" s="181">
        <f ca="1">IFERROR(__xludf.DUMMYFUNCTION("IMPORTRANGE(""https://docs.google.com/spreadsheets/d/1oKaccgDdQABndOzGr688Dbfxb_V3YcF67VqEPBtdzsc/edit?usp=sharing"",""ยโสธร!J99"")"),20)</f>
        <v>20</v>
      </c>
      <c r="X41" s="185">
        <f t="shared" ca="1" si="12"/>
        <v>100</v>
      </c>
      <c r="Y41" s="186">
        <f ca="1">IFERROR(__xludf.DUMMYFUNCTION("IMPORTRANGE(""https://docs.google.com/spreadsheets/d/1oKaccgDdQABndOzGr688Dbfxb_V3YcF67VqEPBtdzsc/edit?usp=sharing"",""ยโสธร!J100"")"),0)</f>
        <v>0</v>
      </c>
      <c r="Z41" s="185">
        <f t="shared" ca="1" si="13"/>
        <v>0</v>
      </c>
      <c r="AA41" s="181">
        <f ca="1">IFERROR(__xludf.DUMMYFUNCTION("IMPORTRANGE(""https://docs.google.com/spreadsheets/d/1oKaccgDdQABndOzGr688Dbfxb_V3YcF67VqEPBtdzsc/edit?usp=sharing"",""ยโสธร!I102"")"),60)</f>
        <v>60</v>
      </c>
      <c r="AB41" s="181">
        <f ca="1">IFERROR(__xludf.DUMMYFUNCTION("IMPORTRANGE(""https://docs.google.com/spreadsheets/d/1oKaccgDdQABndOzGr688Dbfxb_V3YcF67VqEPBtdzsc/edit?usp=sharing"",""ยโสธร!I103"")"),20)</f>
        <v>20</v>
      </c>
      <c r="AC41" s="181">
        <f ca="1">IFERROR(__xludf.DUMMYFUNCTION("IMPORTRANGE(""https://docs.google.com/spreadsheets/d/1oKaccgDdQABndOzGr688Dbfxb_V3YcF67VqEPBtdzsc/edit?usp=sharing"",""ยโสธร!J102"")"),60)</f>
        <v>60</v>
      </c>
      <c r="AD41" s="181">
        <f ca="1">IFERROR(__xludf.DUMMYFUNCTION("IMPORTRANGE(""https://docs.google.com/spreadsheets/d/1oKaccgDdQABndOzGr688Dbfxb_V3YcF67VqEPBtdzsc/edit?usp=sharing"",""ยโสธร!J103"")"),20)</f>
        <v>20</v>
      </c>
      <c r="AE41" s="181">
        <f ca="1">IFERROR(__xludf.DUMMYFUNCTION("IMPORTRANGE(""https://docs.google.com/spreadsheets/d/1oKaccgDdQABndOzGr688Dbfxb_V3YcF67VqEPBtdzsc/edit?usp=sharing"",""ยโสธร!J104"")"),20)</f>
        <v>20</v>
      </c>
      <c r="AF41" s="181">
        <f ca="1">IFERROR(__xludf.DUMMYFUNCTION("IMPORTRANGE(""https://docs.google.com/spreadsheets/d/1oKaccgDdQABndOzGr688Dbfxb_V3YcF67VqEPBtdzsc/edit?usp=sharing"",""ยโสธร!I106"")"),1)</f>
        <v>1</v>
      </c>
      <c r="AG41" s="181">
        <f ca="1">IFERROR(__xludf.DUMMYFUNCTION("IMPORTRANGE(""https://docs.google.com/spreadsheets/d/1oKaccgDdQABndOzGr688Dbfxb_V3YcF67VqEPBtdzsc/edit?usp=sharing"",""ยโสธร!J106"")"),0)</f>
        <v>0</v>
      </c>
      <c r="AH41" s="181">
        <f ca="1">IFERROR(__xludf.DUMMYFUNCTION("IMPORTRANGE(""https://docs.google.com/spreadsheets/d/1oKaccgDdQABndOzGr688Dbfxb_V3YcF67VqEPBtdzsc/edit?usp=sharing"",""ยโสธร!J107"")"),0)</f>
        <v>0</v>
      </c>
      <c r="AI41" s="181">
        <f ca="1">IFERROR(__xludf.DUMMYFUNCTION("IMPORTRANGE(""https://docs.google.com/spreadsheets/d/1oKaccgDdQABndOzGr688Dbfxb_V3YcF67VqEPBtdzsc/edit?usp=sharing"",""ยโสธร!I109"")"),1)</f>
        <v>1</v>
      </c>
      <c r="AJ41" s="181">
        <f ca="1">IFERROR(__xludf.DUMMYFUNCTION("IMPORTRANGE(""https://docs.google.com/spreadsheets/d/1oKaccgDdQABndOzGr688Dbfxb_V3YcF67VqEPBtdzsc/edit?usp=sharing"",""ยโสธร!J109"")"),0)</f>
        <v>0</v>
      </c>
      <c r="AK41" s="181">
        <f ca="1">IFERROR(__xludf.DUMMYFUNCTION("IMPORTRANGE(""https://docs.google.com/spreadsheets/d/1oKaccgDdQABndOzGr688Dbfxb_V3YcF67VqEPBtdzsc/edit?usp=sharing"",""ยโสธร!J110"")"),0)</f>
        <v>0</v>
      </c>
      <c r="AL41" s="181">
        <f ca="1">IFERROR(__xludf.DUMMYFUNCTION("IMPORTRANGE(""https://docs.google.com/spreadsheets/d/1oKaccgDdQABndOzGr688Dbfxb_V3YcF67VqEPBtdzsc/edit?usp=sharing"",""ยโสธร!I111"")"),20)</f>
        <v>20</v>
      </c>
      <c r="AM41" s="181">
        <f ca="1">IFERROR(__xludf.DUMMYFUNCTION("IMPORTRANGE(""https://docs.google.com/spreadsheets/d/1oKaccgDdQABndOzGr688Dbfxb_V3YcF67VqEPBtdzsc/edit?usp=sharing"",""ยโสธร!I112"")"),2)</f>
        <v>2</v>
      </c>
      <c r="AN41" s="181">
        <f ca="1">IFERROR(__xludf.DUMMYFUNCTION("IMPORTRANGE(""https://docs.google.com/spreadsheets/d/1oKaccgDdQABndOzGr688Dbfxb_V3YcF67VqEPBtdzsc/edit?usp=sharing"",""ยโสธร!J111"")"),0)</f>
        <v>0</v>
      </c>
      <c r="AO41" s="181">
        <f t="shared" ca="1" si="15"/>
        <v>0</v>
      </c>
      <c r="AP41" s="181">
        <f ca="1">IFERROR(__xludf.DUMMYFUNCTION("IMPORTRANGE(""https://docs.google.com/spreadsheets/d/1oKaccgDdQABndOzGr688Dbfxb_V3YcF67VqEPBtdzsc/edit?usp=sharing"",""ยโสธร!J112"")"),0)</f>
        <v>0</v>
      </c>
      <c r="AQ41" s="185">
        <f t="shared" ca="1" si="16"/>
        <v>0</v>
      </c>
      <c r="AR41" s="181">
        <f ca="1">IFERROR(__xludf.DUMMYFUNCTION("IMPORTRANGE(""https://docs.google.com/spreadsheets/d/1oKaccgDdQABndOzGr688Dbfxb_V3YcF67VqEPBtdzsc/edit?usp=sharing"",""ยโสธร!I113"")"),20)</f>
        <v>20</v>
      </c>
      <c r="AS41" s="181">
        <f ca="1">IFERROR(__xludf.DUMMYFUNCTION("IMPORTRANGE(""https://docs.google.com/spreadsheets/d/1oKaccgDdQABndOzGr688Dbfxb_V3YcF67VqEPBtdzsc/edit?usp=sharing"",""ยโสธร!J113"")"),0)</f>
        <v>0</v>
      </c>
      <c r="AT41" s="181">
        <f ca="1">IFERROR(__xludf.DUMMYFUNCTION("IMPORTRANGE(""https://docs.google.com/spreadsheets/d/1oKaccgDdQABndOzGr688Dbfxb_V3YcF67VqEPBtdzsc/edit?usp=sharing"",""ยโสธร!J114"")"),0)</f>
        <v>0</v>
      </c>
      <c r="AU41" s="181">
        <f ca="1">IFERROR(__xludf.DUMMYFUNCTION("IMPORTRANGE(""https://docs.google.com/spreadsheets/d/1oKaccgDdQABndOzGr688Dbfxb_V3YcF67VqEPBtdzsc/edit?usp=sharing"",""ยโสธร!I115"")"),1)</f>
        <v>1</v>
      </c>
      <c r="AV41" s="181">
        <f ca="1">IFERROR(__xludf.DUMMYFUNCTION("IMPORTRANGE(""https://docs.google.com/spreadsheets/d/1oKaccgDdQABndOzGr688Dbfxb_V3YcF67VqEPBtdzsc/edit?usp=sharing"",""ยโสธร!J115"")"),0)</f>
        <v>0</v>
      </c>
      <c r="AW41" s="185">
        <f t="shared" ca="1" si="18"/>
        <v>0</v>
      </c>
      <c r="AX41" s="181">
        <f ca="1">IFERROR(__xludf.DUMMYFUNCTION("IMPORTRANGE(""https://docs.google.com/spreadsheets/d/1oKaccgDdQABndOzGr688Dbfxb_V3YcF67VqEPBtdzsc/edit?usp=sharing"",""ยโสธร!I116"")"),1)</f>
        <v>1</v>
      </c>
      <c r="AY41" s="181">
        <f ca="1">IFERROR(__xludf.DUMMYFUNCTION("IMPORTRANGE(""https://docs.google.com/spreadsheets/d/1oKaccgDdQABndOzGr688Dbfxb_V3YcF67VqEPBtdzsc/edit?usp=sharing"",""ยโสธร!J116"")"),0)</f>
        <v>0</v>
      </c>
      <c r="AZ41" s="185">
        <f t="shared" ca="1" si="20"/>
        <v>0</v>
      </c>
    </row>
    <row r="42" spans="1:52" ht="21" customHeight="1" x14ac:dyDescent="0.3">
      <c r="A42" s="176">
        <v>11</v>
      </c>
      <c r="B42" s="177" t="s">
        <v>64</v>
      </c>
      <c r="C42" s="178">
        <f t="shared" ca="1" si="0"/>
        <v>269660</v>
      </c>
      <c r="D42" s="179">
        <f t="shared" ca="1" si="49"/>
        <v>269660</v>
      </c>
      <c r="E42" s="180">
        <f ca="1">IFERROR(__xludf.DUMMYFUNCTION("IMPORTRANGE(""https://docs.google.com/spreadsheets/d/1MeEWN-I1oV_STSDYn1IFDPWt_1FKiwhDph83XaGc0o0/edit?usp=sharing"",""งบพรบ!AR42"")"),170700)</f>
        <v>170700</v>
      </c>
      <c r="F42" s="180">
        <f ca="1">IFERROR(__xludf.DUMMYFUNCTION("IMPORTRANGE(""https://docs.google.com/spreadsheets/d/1MeEWN-I1oV_STSDYn1IFDPWt_1FKiwhDph83XaGc0o0/edit?usp=sharing"",""งบพรบ!AS42"")"),98960)</f>
        <v>98960</v>
      </c>
      <c r="G42" s="180">
        <f ca="1">IFERROR(__xludf.DUMMYFUNCTION("IMPORTRANGE(""https://docs.google.com/spreadsheets/d/1MeEWN-I1oV_STSDYn1IFDPWt_1FKiwhDph83XaGc0o0/edit?usp=sharing"",""งบพรบ!AT42"")"),0)</f>
        <v>0</v>
      </c>
      <c r="H42" s="180">
        <f ca="1">IFERROR(__xludf.DUMMYFUNCTION("IMPORTRANGE(""https://docs.google.com/spreadsheets/d/1MeEWN-I1oV_STSDYn1IFDPWt_1FKiwhDph83XaGc0o0/edit?usp=sharing"",""งบพรบ!AV42"")"),163310)</f>
        <v>163310</v>
      </c>
      <c r="I42" s="180">
        <f ca="1">IFERROR(__xludf.DUMMYFUNCTION("IMPORTRANGE(""https://docs.google.com/spreadsheets/d/1MeEWN-I1oV_STSDYn1IFDPWt_1FKiwhDph83XaGc0o0/edit?usp=sharing"",""งบพรบ!AW42"")"),0)</f>
        <v>0</v>
      </c>
      <c r="J42" s="180">
        <f t="shared" ca="1" si="3"/>
        <v>74452.600000000006</v>
      </c>
      <c r="K42" s="187">
        <f t="shared" ca="1" si="4"/>
        <v>27.609804939553516</v>
      </c>
      <c r="L42" s="180">
        <f ca="1">IFERROR(__xludf.DUMMYFUNCTION("IMPORTRANGE(""https://docs.google.com/spreadsheets/d/1MeEWN-I1oV_STSDYn1IFDPWt_1FKiwhDph83XaGc0o0/edit?usp=sharing"",""งบพรบ!AX42"")"),74452.6)</f>
        <v>74452.600000000006</v>
      </c>
      <c r="M42" s="183">
        <f t="shared" ca="1" si="5"/>
        <v>27.609804939553516</v>
      </c>
      <c r="N42" s="183">
        <f t="shared" ca="1" si="6"/>
        <v>45.589737309411554</v>
      </c>
      <c r="O42" s="184">
        <f ca="1">IFERROR(__xludf.DUMMYFUNCTION("IMPORTRANGE(""https://docs.google.com/spreadsheets/d/1MeEWN-I1oV_STSDYn1IFDPWt_1FKiwhDph83XaGc0o0/edit?usp=sharing"",""งบพรบ!AY42"")"),0)</f>
        <v>0</v>
      </c>
      <c r="P42" s="184">
        <f t="shared" ca="1" si="36"/>
        <v>0</v>
      </c>
      <c r="Q42" s="183">
        <f t="shared" ca="1" si="8"/>
        <v>0</v>
      </c>
      <c r="R42" s="181">
        <f ca="1">IFERROR(__xludf.DUMMYFUNCTION("IMPORTRANGE(""https://docs.google.com/spreadsheets/d/1BRgc8xKpxZ0PX-gauieMVkV_IOxKSotf0yW8MabGprQ/edit?usp=sharing"",""ร้อยเอ็ด!I98"")"),45)</f>
        <v>45</v>
      </c>
      <c r="S42" s="181">
        <f ca="1">IFERROR(__xludf.DUMMYFUNCTION("IMPORTRANGE(""https://docs.google.com/spreadsheets/d/1BRgc8xKpxZ0PX-gauieMVkV_IOxKSotf0yW8MabGprQ/edit?usp=sharing"",""ร้อยเอ็ด!J98"")"),45)</f>
        <v>45</v>
      </c>
      <c r="T42" s="181">
        <f t="shared" ca="1" si="10"/>
        <v>100</v>
      </c>
      <c r="U42" s="181">
        <f ca="1">IFERROR(__xludf.DUMMYFUNCTION("IMPORTRANGE(""https://docs.google.com/spreadsheets/d/1BRgc8xKpxZ0PX-gauieMVkV_IOxKSotf0yW8MabGprQ/edit?usp=sharing"",""ร้อยเอ็ด!I99"")"),15)</f>
        <v>15</v>
      </c>
      <c r="V42" s="181">
        <f ca="1">IFERROR(__xludf.DUMMYFUNCTION("IMPORTRANGE(""https://docs.google.com/spreadsheets/d/1BRgc8xKpxZ0PX-gauieMVkV_IOxKSotf0yW8MabGprQ/edit?usp=sharing"",""ร้อยเอ็ด!I100"")"),2)</f>
        <v>2</v>
      </c>
      <c r="W42" s="181">
        <f ca="1">IFERROR(__xludf.DUMMYFUNCTION("IMPORTRANGE(""https://docs.google.com/spreadsheets/d/1BRgc8xKpxZ0PX-gauieMVkV_IOxKSotf0yW8MabGprQ/edit?usp=sharing"",""ร้อยเอ็ด!J99"")"),15)</f>
        <v>15</v>
      </c>
      <c r="X42" s="185">
        <f t="shared" ca="1" si="12"/>
        <v>100</v>
      </c>
      <c r="Y42" s="186">
        <f ca="1">IFERROR(__xludf.DUMMYFUNCTION("IMPORTRANGE(""https://docs.google.com/spreadsheets/d/1BRgc8xKpxZ0PX-gauieMVkV_IOxKSotf0yW8MabGprQ/edit?usp=sharing"",""ร้อยเอ็ด!J100"")"),2)</f>
        <v>2</v>
      </c>
      <c r="Z42" s="185">
        <f t="shared" ca="1" si="13"/>
        <v>100</v>
      </c>
      <c r="AA42" s="180">
        <f ca="1">IFERROR(__xludf.DUMMYFUNCTION("IMPORTRANGE(""https://docs.google.com/spreadsheets/d/1BRgc8xKpxZ0PX-gauieMVkV_IOxKSotf0yW8MabGprQ/edit?usp=sharing"",""ร้อยเอ็ด!I102"")"),45)</f>
        <v>45</v>
      </c>
      <c r="AB42" s="180">
        <f ca="1">IFERROR(__xludf.DUMMYFUNCTION("IMPORTRANGE(""https://docs.google.com/spreadsheets/d/1BRgc8xKpxZ0PX-gauieMVkV_IOxKSotf0yW8MabGprQ/edit?usp=sharing"",""ร้อยเอ็ด!I103"")"),15)</f>
        <v>15</v>
      </c>
      <c r="AC42" s="181">
        <f ca="1">IFERROR(__xludf.DUMMYFUNCTION("IMPORTRANGE(""https://docs.google.com/spreadsheets/d/1BRgc8xKpxZ0PX-gauieMVkV_IOxKSotf0yW8MabGprQ/edit?usp=sharing"",""ร้อยเอ็ด!J102"")"),45)</f>
        <v>45</v>
      </c>
      <c r="AD42" s="181">
        <f ca="1">IFERROR(__xludf.DUMMYFUNCTION("IMPORTRANGE(""https://docs.google.com/spreadsheets/d/1BRgc8xKpxZ0PX-gauieMVkV_IOxKSotf0yW8MabGprQ/edit?usp=sharing"",""ร้อยเอ็ด!J103"")"),15)</f>
        <v>15</v>
      </c>
      <c r="AE42" s="181">
        <f ca="1">IFERROR(__xludf.DUMMYFUNCTION("IMPORTRANGE(""https://docs.google.com/spreadsheets/d/1BRgc8xKpxZ0PX-gauieMVkV_IOxKSotf0yW8MabGprQ/edit?usp=sharing"",""ร้อยเอ็ด!J104"")"),15)</f>
        <v>15</v>
      </c>
      <c r="AF42" s="180">
        <f ca="1">IFERROR(__xludf.DUMMYFUNCTION("IMPORTRANGE(""https://docs.google.com/spreadsheets/d/1BRgc8xKpxZ0PX-gauieMVkV_IOxKSotf0yW8MabGprQ/edit?usp=sharing"",""ร้อยเอ็ด!I106"")"),1)</f>
        <v>1</v>
      </c>
      <c r="AG42" s="181">
        <f ca="1">IFERROR(__xludf.DUMMYFUNCTION("IMPORTRANGE(""https://docs.google.com/spreadsheets/d/1BRgc8xKpxZ0PX-gauieMVkV_IOxKSotf0yW8MabGprQ/edit?usp=sharing"",""ร้อยเอ็ด!J106"")"),1)</f>
        <v>1</v>
      </c>
      <c r="AH42" s="181">
        <f ca="1">IFERROR(__xludf.DUMMYFUNCTION("IMPORTRANGE(""https://docs.google.com/spreadsheets/d/1BRgc8xKpxZ0PX-gauieMVkV_IOxKSotf0yW8MabGprQ/edit?usp=sharing"",""ร้อยเอ็ด!J107"")"),1)</f>
        <v>1</v>
      </c>
      <c r="AI42" s="180">
        <f ca="1">IFERROR(__xludf.DUMMYFUNCTION("IMPORTRANGE(""https://docs.google.com/spreadsheets/d/1BRgc8xKpxZ0PX-gauieMVkV_IOxKSotf0yW8MabGprQ/edit?usp=sharing"",""ร้อยเอ็ด!I109"")"),1)</f>
        <v>1</v>
      </c>
      <c r="AJ42" s="181">
        <f ca="1">IFERROR(__xludf.DUMMYFUNCTION("IMPORTRANGE(""https://docs.google.com/spreadsheets/d/1BRgc8xKpxZ0PX-gauieMVkV_IOxKSotf0yW8MabGprQ/edit?usp=sharing"",""ร้อยเอ็ด!J109"")"),1)</f>
        <v>1</v>
      </c>
      <c r="AK42" s="181">
        <f ca="1">IFERROR(__xludf.DUMMYFUNCTION("IMPORTRANGE(""https://docs.google.com/spreadsheets/d/1BRgc8xKpxZ0PX-gauieMVkV_IOxKSotf0yW8MabGprQ/edit?usp=sharing"",""ร้อยเอ็ด!J110"")"),1)</f>
        <v>1</v>
      </c>
      <c r="AL42" s="180">
        <f ca="1">IFERROR(__xludf.DUMMYFUNCTION("IMPORTRANGE(""https://docs.google.com/spreadsheets/d/1BRgc8xKpxZ0PX-gauieMVkV_IOxKSotf0yW8MabGprQ/edit?usp=sharing"",""ร้อยเอ็ด!I111"")"),15)</f>
        <v>15</v>
      </c>
      <c r="AM42" s="180">
        <f ca="1">IFERROR(__xludf.DUMMYFUNCTION("IMPORTRANGE(""https://docs.google.com/spreadsheets/d/1BRgc8xKpxZ0PX-gauieMVkV_IOxKSotf0yW8MabGprQ/edit?usp=sharing"",""ร้อยเอ็ด!I112"")"),2)</f>
        <v>2</v>
      </c>
      <c r="AN42" s="181">
        <f ca="1">IFERROR(__xludf.DUMMYFUNCTION("IMPORTRANGE(""https://docs.google.com/spreadsheets/d/1BRgc8xKpxZ0PX-gauieMVkV_IOxKSotf0yW8MabGprQ/edit?usp=sharing"",""ร้อยเอ็ด!J111"")"),0)</f>
        <v>0</v>
      </c>
      <c r="AO42" s="181">
        <f t="shared" ca="1" si="15"/>
        <v>0</v>
      </c>
      <c r="AP42" s="181">
        <f ca="1">IFERROR(__xludf.DUMMYFUNCTION("IMPORTRANGE(""https://docs.google.com/spreadsheets/d/1BRgc8xKpxZ0PX-gauieMVkV_IOxKSotf0yW8MabGprQ/edit?usp=sharing"",""ร้อยเอ็ด!J112"")"),0)</f>
        <v>0</v>
      </c>
      <c r="AQ42" s="183">
        <f t="shared" ca="1" si="16"/>
        <v>0</v>
      </c>
      <c r="AR42" s="180">
        <f ca="1">IFERROR(__xludf.DUMMYFUNCTION("IMPORTRANGE(""https://docs.google.com/spreadsheets/d/1BRgc8xKpxZ0PX-gauieMVkV_IOxKSotf0yW8MabGprQ/edit?usp=sharing"",""ร้อยเอ็ด!I113"")"),15)</f>
        <v>15</v>
      </c>
      <c r="AS42" s="180">
        <f ca="1">IFERROR(__xludf.DUMMYFUNCTION("IMPORTRANGE(""https://docs.google.com/spreadsheets/d/1BRgc8xKpxZ0PX-gauieMVkV_IOxKSotf0yW8MabGprQ/edit?usp=sharing"",""ร้อยเอ็ด!J113"")"),0)</f>
        <v>0</v>
      </c>
      <c r="AT42" s="180">
        <f ca="1">IFERROR(__xludf.DUMMYFUNCTION("IMPORTRANGE(""https://docs.google.com/spreadsheets/d/1BRgc8xKpxZ0PX-gauieMVkV_IOxKSotf0yW8MabGprQ/edit?usp=sharing"",""ร้อยเอ็ด!J114"")"),0)</f>
        <v>0</v>
      </c>
      <c r="AU42" s="180">
        <f ca="1">IFERROR(__xludf.DUMMYFUNCTION("IMPORTRANGE(""https://docs.google.com/spreadsheets/d/1BRgc8xKpxZ0PX-gauieMVkV_IOxKSotf0yW8MabGprQ/edit?usp=sharing"",""ร้อยเอ็ด!I115"")"),1)</f>
        <v>1</v>
      </c>
      <c r="AV42" s="181">
        <f ca="1">IFERROR(__xludf.DUMMYFUNCTION("IMPORTRANGE(""https://docs.google.com/spreadsheets/d/1BRgc8xKpxZ0PX-gauieMVkV_IOxKSotf0yW8MabGprQ/edit?usp=sharing"",""ร้อยเอ็ด!J115"")"),0)</f>
        <v>0</v>
      </c>
      <c r="AW42" s="183">
        <f t="shared" ca="1" si="18"/>
        <v>0</v>
      </c>
      <c r="AX42" s="180">
        <f ca="1">IFERROR(__xludf.DUMMYFUNCTION("IMPORTRANGE(""https://docs.google.com/spreadsheets/d/1BRgc8xKpxZ0PX-gauieMVkV_IOxKSotf0yW8MabGprQ/edit?usp=sharing"",""ร้อยเอ็ด!I116"")"),1)</f>
        <v>1</v>
      </c>
      <c r="AY42" s="181">
        <f ca="1">IFERROR(__xludf.DUMMYFUNCTION("IMPORTRANGE(""https://docs.google.com/spreadsheets/d/1BRgc8xKpxZ0PX-gauieMVkV_IOxKSotf0yW8MabGprQ/edit?usp=sharing"",""ร้อยเอ็ด!J116"")"),0)</f>
        <v>0</v>
      </c>
      <c r="AZ42" s="183">
        <f t="shared" ca="1" si="20"/>
        <v>0</v>
      </c>
    </row>
    <row r="43" spans="1:52" ht="21" customHeight="1" x14ac:dyDescent="0.3">
      <c r="A43" s="176">
        <v>12</v>
      </c>
      <c r="B43" s="177" t="s">
        <v>65</v>
      </c>
      <c r="C43" s="178">
        <f t="shared" ca="1" si="0"/>
        <v>509040</v>
      </c>
      <c r="D43" s="179">
        <f t="shared" ca="1" si="49"/>
        <v>509040</v>
      </c>
      <c r="E43" s="180">
        <f ca="1">IFERROR(__xludf.DUMMYFUNCTION("IMPORTRANGE(""https://docs.google.com/spreadsheets/d/1MeEWN-I1oV_STSDYn1IFDPWt_1FKiwhDph83XaGc0o0/edit?usp=sharing"",""งบพรบ!AR43"")"),453000)</f>
        <v>453000</v>
      </c>
      <c r="F43" s="180">
        <f ca="1">IFERROR(__xludf.DUMMYFUNCTION("IMPORTRANGE(""https://docs.google.com/spreadsheets/d/1MeEWN-I1oV_STSDYn1IFDPWt_1FKiwhDph83XaGc0o0/edit?usp=sharing"",""งบพรบ!AS43"")"),56040)</f>
        <v>56040</v>
      </c>
      <c r="G43" s="180">
        <f ca="1">IFERROR(__xludf.DUMMYFUNCTION("IMPORTRANGE(""https://docs.google.com/spreadsheets/d/1MeEWN-I1oV_STSDYn1IFDPWt_1FKiwhDph83XaGc0o0/edit?usp=sharing"",""งบพรบ!AT43"")"),0)</f>
        <v>0</v>
      </c>
      <c r="H43" s="180">
        <f ca="1">IFERROR(__xludf.DUMMYFUNCTION("IMPORTRANGE(""https://docs.google.com/spreadsheets/d/1MeEWN-I1oV_STSDYn1IFDPWt_1FKiwhDph83XaGc0o0/edit?usp=sharing"",""งบพรบ!AV43"")"),384440)</f>
        <v>384440</v>
      </c>
      <c r="I43" s="180">
        <f ca="1">IFERROR(__xludf.DUMMYFUNCTION("IMPORTRANGE(""https://docs.google.com/spreadsheets/d/1MeEWN-I1oV_STSDYn1IFDPWt_1FKiwhDph83XaGc0o0/edit?usp=sharing"",""งบพรบ!AW43"")"),0)</f>
        <v>0</v>
      </c>
      <c r="J43" s="180">
        <f t="shared" ca="1" si="3"/>
        <v>185919</v>
      </c>
      <c r="K43" s="187">
        <f t="shared" ca="1" si="4"/>
        <v>36.523455917020271</v>
      </c>
      <c r="L43" s="180">
        <f ca="1">IFERROR(__xludf.DUMMYFUNCTION("IMPORTRANGE(""https://docs.google.com/spreadsheets/d/1MeEWN-I1oV_STSDYn1IFDPWt_1FKiwhDph83XaGc0o0/edit?usp=sharing"",""งบพรบ!AX43"")"),185919)</f>
        <v>185919</v>
      </c>
      <c r="M43" s="183">
        <f t="shared" ca="1" si="5"/>
        <v>36.523455917020271</v>
      </c>
      <c r="N43" s="183">
        <f t="shared" ca="1" si="6"/>
        <v>48.360992612631357</v>
      </c>
      <c r="O43" s="184">
        <f ca="1">IFERROR(__xludf.DUMMYFUNCTION("IMPORTRANGE(""https://docs.google.com/spreadsheets/d/1MeEWN-I1oV_STSDYn1IFDPWt_1FKiwhDph83XaGc0o0/edit?usp=sharing"",""งบพรบ!AY43"")"),0)</f>
        <v>0</v>
      </c>
      <c r="P43" s="184">
        <f t="shared" ca="1" si="36"/>
        <v>0</v>
      </c>
      <c r="Q43" s="183">
        <f t="shared" ca="1" si="8"/>
        <v>0</v>
      </c>
      <c r="R43" s="181">
        <f ca="1">IFERROR(__xludf.DUMMYFUNCTION("IMPORTRANGE(""https://docs.google.com/spreadsheets/d/1IdolZc-dfdgMwAm_KZxYJl1sUOcIgnbGQzbWOlddedo/edit?usp=sharing"",""เลย!I98"")"),30)</f>
        <v>30</v>
      </c>
      <c r="S43" s="181">
        <f ca="1">IFERROR(__xludf.DUMMYFUNCTION("IMPORTRANGE(""https://docs.google.com/spreadsheets/d/1IdolZc-dfdgMwAm_KZxYJl1sUOcIgnbGQzbWOlddedo/edit?usp=sharing"",""เลย!J98"")"),0)</f>
        <v>0</v>
      </c>
      <c r="T43" s="181">
        <f t="shared" ca="1" si="10"/>
        <v>0</v>
      </c>
      <c r="U43" s="181">
        <f ca="1">IFERROR(__xludf.DUMMYFUNCTION("IMPORTRANGE(""https://docs.google.com/spreadsheets/d/1IdolZc-dfdgMwAm_KZxYJl1sUOcIgnbGQzbWOlddedo/edit?usp=sharing"",""เลย!I99"")"),10)</f>
        <v>10</v>
      </c>
      <c r="V43" s="181">
        <f ca="1">IFERROR(__xludf.DUMMYFUNCTION("IMPORTRANGE(""https://docs.google.com/spreadsheets/d/1IdolZc-dfdgMwAm_KZxYJl1sUOcIgnbGQzbWOlddedo/edit?usp=sharing"",""เลย!I100"")"),1)</f>
        <v>1</v>
      </c>
      <c r="W43" s="181">
        <f ca="1">IFERROR(__xludf.DUMMYFUNCTION("IMPORTRANGE(""https://docs.google.com/spreadsheets/d/1IdolZc-dfdgMwAm_KZxYJl1sUOcIgnbGQzbWOlddedo/edit?usp=sharing"",""เลย!J99"")"),0)</f>
        <v>0</v>
      </c>
      <c r="X43" s="185">
        <f t="shared" ca="1" si="12"/>
        <v>0</v>
      </c>
      <c r="Y43" s="186">
        <f ca="1">IFERROR(__xludf.DUMMYFUNCTION("IMPORTRANGE(""https://docs.google.com/spreadsheets/d/1IdolZc-dfdgMwAm_KZxYJl1sUOcIgnbGQzbWOlddedo/edit?usp=sharing"",""เลย!J100"")"),0)</f>
        <v>0</v>
      </c>
      <c r="Z43" s="185">
        <f t="shared" ca="1" si="13"/>
        <v>0</v>
      </c>
      <c r="AA43" s="180">
        <f ca="1">IFERROR(__xludf.DUMMYFUNCTION("IMPORTRANGE(""https://docs.google.com/spreadsheets/d/1IdolZc-dfdgMwAm_KZxYJl1sUOcIgnbGQzbWOlddedo/edit?usp=sharing"",""เลย!I102"")"),30)</f>
        <v>30</v>
      </c>
      <c r="AB43" s="180">
        <f ca="1">IFERROR(__xludf.DUMMYFUNCTION("IMPORTRANGE(""https://docs.google.com/spreadsheets/d/1IdolZc-dfdgMwAm_KZxYJl1sUOcIgnbGQzbWOlddedo/edit?usp=sharing"",""เลย!I103"")"),10)</f>
        <v>10</v>
      </c>
      <c r="AC43" s="181">
        <f ca="1">IFERROR(__xludf.DUMMYFUNCTION("IMPORTRANGE(""https://docs.google.com/spreadsheets/d/1IdolZc-dfdgMwAm_KZxYJl1sUOcIgnbGQzbWOlddedo/edit?usp=sharing"",""เลย!J102"")"),0)</f>
        <v>0</v>
      </c>
      <c r="AD43" s="181">
        <f ca="1">IFERROR(__xludf.DUMMYFUNCTION("IMPORTRANGE(""https://docs.google.com/spreadsheets/d/1IdolZc-dfdgMwAm_KZxYJl1sUOcIgnbGQzbWOlddedo/edit?usp=sharing"",""เลย!J103"")"),0)</f>
        <v>0</v>
      </c>
      <c r="AE43" s="181">
        <f ca="1">IFERROR(__xludf.DUMMYFUNCTION("IMPORTRANGE(""https://docs.google.com/spreadsheets/d/1IdolZc-dfdgMwAm_KZxYJl1sUOcIgnbGQzbWOlddedo/edit?usp=sharing"",""เลย!J104"")"),0)</f>
        <v>0</v>
      </c>
      <c r="AF43" s="180">
        <f ca="1">IFERROR(__xludf.DUMMYFUNCTION("IMPORTRANGE(""https://docs.google.com/spreadsheets/d/1IdolZc-dfdgMwAm_KZxYJl1sUOcIgnbGQzbWOlddedo/edit?usp=sharing"",""เลย!I106"")"),1)</f>
        <v>1</v>
      </c>
      <c r="AG43" s="181">
        <f ca="1">IFERROR(__xludf.DUMMYFUNCTION("IMPORTRANGE(""https://docs.google.com/spreadsheets/d/1IdolZc-dfdgMwAm_KZxYJl1sUOcIgnbGQzbWOlddedo/edit?usp=sharing"",""เลย!J106"")"),0)</f>
        <v>0</v>
      </c>
      <c r="AH43" s="181">
        <f ca="1">IFERROR(__xludf.DUMMYFUNCTION("IMPORTRANGE(""https://docs.google.com/spreadsheets/d/1IdolZc-dfdgMwAm_KZxYJl1sUOcIgnbGQzbWOlddedo/edit?usp=sharing"",""เลย!J107"")"),0)</f>
        <v>0</v>
      </c>
      <c r="AI43" s="180">
        <f ca="1">IFERROR(__xludf.DUMMYFUNCTION("IMPORTRANGE(""https://docs.google.com/spreadsheets/d/1IdolZc-dfdgMwAm_KZxYJl1sUOcIgnbGQzbWOlddedo/edit?usp=sharing"",""เลย!I109"")"),0)</f>
        <v>0</v>
      </c>
      <c r="AJ43" s="181">
        <f ca="1">IFERROR(__xludf.DUMMYFUNCTION("IMPORTRANGE(""https://docs.google.com/spreadsheets/d/1IdolZc-dfdgMwAm_KZxYJl1sUOcIgnbGQzbWOlddedo/edit?usp=sharing"",""เลย!J109"")"),0)</f>
        <v>0</v>
      </c>
      <c r="AK43" s="181">
        <f ca="1">IFERROR(__xludf.DUMMYFUNCTION("IMPORTRANGE(""https://docs.google.com/spreadsheets/d/1IdolZc-dfdgMwAm_KZxYJl1sUOcIgnbGQzbWOlddedo/edit?usp=sharing"",""เลย!J110"")"),0)</f>
        <v>0</v>
      </c>
      <c r="AL43" s="180">
        <f ca="1">IFERROR(__xludf.DUMMYFUNCTION("IMPORTRANGE(""https://docs.google.com/spreadsheets/d/1IdolZc-dfdgMwAm_KZxYJl1sUOcIgnbGQzbWOlddedo/edit?usp=sharing"",""เลย!I111"")"),10)</f>
        <v>10</v>
      </c>
      <c r="AM43" s="180">
        <f ca="1">IFERROR(__xludf.DUMMYFUNCTION("IMPORTRANGE(""https://docs.google.com/spreadsheets/d/1IdolZc-dfdgMwAm_KZxYJl1sUOcIgnbGQzbWOlddedo/edit?usp=sharing"",""เลย!I112"")"),1)</f>
        <v>1</v>
      </c>
      <c r="AN43" s="181">
        <f ca="1">IFERROR(__xludf.DUMMYFUNCTION("IMPORTRANGE(""https://docs.google.com/spreadsheets/d/1IdolZc-dfdgMwAm_KZxYJl1sUOcIgnbGQzbWOlddedo/edit?usp=sharing"",""เลย!J111"")"),0)</f>
        <v>0</v>
      </c>
      <c r="AO43" s="181">
        <f t="shared" ca="1" si="15"/>
        <v>0</v>
      </c>
      <c r="AP43" s="181">
        <f ca="1">IFERROR(__xludf.DUMMYFUNCTION("IMPORTRANGE(""https://docs.google.com/spreadsheets/d/1IdolZc-dfdgMwAm_KZxYJl1sUOcIgnbGQzbWOlddedo/edit?usp=sharing"",""เลย!J112"")"),0)</f>
        <v>0</v>
      </c>
      <c r="AQ43" s="183">
        <f t="shared" ca="1" si="16"/>
        <v>0</v>
      </c>
      <c r="AR43" s="180">
        <f ca="1">IFERROR(__xludf.DUMMYFUNCTION("IMPORTRANGE(""https://docs.google.com/spreadsheets/d/1IdolZc-dfdgMwAm_KZxYJl1sUOcIgnbGQzbWOlddedo/edit?usp=sharing"",""เลย!I113"")"),10)</f>
        <v>10</v>
      </c>
      <c r="AS43" s="180">
        <f ca="1">IFERROR(__xludf.DUMMYFUNCTION("IMPORTRANGE(""https://docs.google.com/spreadsheets/d/1IdolZc-dfdgMwAm_KZxYJl1sUOcIgnbGQzbWOlddedo/edit?usp=sharing"",""เลย!J113"")"),0)</f>
        <v>0</v>
      </c>
      <c r="AT43" s="180">
        <f ca="1">IFERROR(__xludf.DUMMYFUNCTION("IMPORTRANGE(""https://docs.google.com/spreadsheets/d/1IdolZc-dfdgMwAm_KZxYJl1sUOcIgnbGQzbWOlddedo/edit?usp=sharing"",""เลย!J114"")"),0)</f>
        <v>0</v>
      </c>
      <c r="AU43" s="180">
        <f ca="1">IFERROR(__xludf.DUMMYFUNCTION("IMPORTRANGE(""https://docs.google.com/spreadsheets/d/1IdolZc-dfdgMwAm_KZxYJl1sUOcIgnbGQzbWOlddedo/edit?usp=sharing"",""เลย!I115"")"),1)</f>
        <v>1</v>
      </c>
      <c r="AV43" s="181">
        <f ca="1">IFERROR(__xludf.DUMMYFUNCTION("IMPORTRANGE(""https://docs.google.com/spreadsheets/d/1IdolZc-dfdgMwAm_KZxYJl1sUOcIgnbGQzbWOlddedo/edit?usp=sharing"",""เลย!J115"")"),0)</f>
        <v>0</v>
      </c>
      <c r="AW43" s="183">
        <f t="shared" ca="1" si="18"/>
        <v>0</v>
      </c>
      <c r="AX43" s="180">
        <f ca="1">IFERROR(__xludf.DUMMYFUNCTION("IMPORTRANGE(""https://docs.google.com/spreadsheets/d/1IdolZc-dfdgMwAm_KZxYJl1sUOcIgnbGQzbWOlddedo/edit?usp=sharing"",""เลย!I116"")"),0)</f>
        <v>0</v>
      </c>
      <c r="AY43" s="181">
        <f ca="1">IFERROR(__xludf.DUMMYFUNCTION("IMPORTRANGE(""https://docs.google.com/spreadsheets/d/1IdolZc-dfdgMwAm_KZxYJl1sUOcIgnbGQzbWOlddedo/edit?usp=sharing"",""เลย!J116"")"),0)</f>
        <v>0</v>
      </c>
      <c r="AZ43" s="183">
        <f t="shared" ca="1" si="20"/>
        <v>0</v>
      </c>
    </row>
    <row r="44" spans="1:52" ht="21" customHeight="1" x14ac:dyDescent="0.3">
      <c r="A44" s="176">
        <v>13</v>
      </c>
      <c r="B44" s="177" t="s">
        <v>66</v>
      </c>
      <c r="C44" s="178">
        <f t="shared" ca="1" si="0"/>
        <v>38860</v>
      </c>
      <c r="D44" s="179">
        <f t="shared" ca="1" si="49"/>
        <v>38860</v>
      </c>
      <c r="E44" s="180">
        <f ca="1">IFERROR(__xludf.DUMMYFUNCTION("IMPORTRANGE(""https://docs.google.com/spreadsheets/d/1MeEWN-I1oV_STSDYn1IFDPWt_1FKiwhDph83XaGc0o0/edit?usp=sharing"",""งบพรบ!AR44"")"),0)</f>
        <v>0</v>
      </c>
      <c r="F44" s="180">
        <f ca="1">IFERROR(__xludf.DUMMYFUNCTION("IMPORTRANGE(""https://docs.google.com/spreadsheets/d/1MeEWN-I1oV_STSDYn1IFDPWt_1FKiwhDph83XaGc0o0/edit?usp=sharing"",""งบพรบ!AS44"")"),38860)</f>
        <v>38860</v>
      </c>
      <c r="G44" s="180">
        <f ca="1">IFERROR(__xludf.DUMMYFUNCTION("IMPORTRANGE(""https://docs.google.com/spreadsheets/d/1MeEWN-I1oV_STSDYn1IFDPWt_1FKiwhDph83XaGc0o0/edit?usp=sharing"",""งบพรบ!AT44"")"),0)</f>
        <v>0</v>
      </c>
      <c r="H44" s="180">
        <f ca="1">IFERROR(__xludf.DUMMYFUNCTION("IMPORTRANGE(""https://docs.google.com/spreadsheets/d/1MeEWN-I1oV_STSDYn1IFDPWt_1FKiwhDph83XaGc0o0/edit?usp=sharing"",""งบพรบ!AV44"")"),34360)</f>
        <v>34360</v>
      </c>
      <c r="I44" s="180">
        <f ca="1">IFERROR(__xludf.DUMMYFUNCTION("IMPORTRANGE(""https://docs.google.com/spreadsheets/d/1MeEWN-I1oV_STSDYn1IFDPWt_1FKiwhDph83XaGc0o0/edit?usp=sharing"",""งบพรบ!AW44"")"),0)</f>
        <v>0</v>
      </c>
      <c r="J44" s="180">
        <f t="shared" ca="1" si="3"/>
        <v>32770</v>
      </c>
      <c r="K44" s="187">
        <f t="shared" ca="1" si="4"/>
        <v>84.328358208955223</v>
      </c>
      <c r="L44" s="180">
        <f ca="1">IFERROR(__xludf.DUMMYFUNCTION("IMPORTRANGE(""https://docs.google.com/spreadsheets/d/1MeEWN-I1oV_STSDYn1IFDPWt_1FKiwhDph83XaGc0o0/edit?usp=sharing"",""งบพรบ!AX44"")"),32770)</f>
        <v>32770</v>
      </c>
      <c r="M44" s="183">
        <f t="shared" ca="1" si="5"/>
        <v>84.328358208955223</v>
      </c>
      <c r="N44" s="183">
        <f t="shared" ca="1" si="6"/>
        <v>95.372526193247964</v>
      </c>
      <c r="O44" s="184">
        <f ca="1">IFERROR(__xludf.DUMMYFUNCTION("IMPORTRANGE(""https://docs.google.com/spreadsheets/d/1MeEWN-I1oV_STSDYn1IFDPWt_1FKiwhDph83XaGc0o0/edit?usp=sharing"",""งบพรบ!AY44"")"),0)</f>
        <v>0</v>
      </c>
      <c r="P44" s="184">
        <f t="shared" ca="1" si="36"/>
        <v>0</v>
      </c>
      <c r="Q44" s="183">
        <f t="shared" ca="1" si="8"/>
        <v>0</v>
      </c>
      <c r="R44" s="181">
        <f ca="1">IFERROR(__xludf.DUMMYFUNCTION("IMPORTRANGE(""https://docs.google.com/spreadsheets/d/1tZ0nmtGuIRCaGAMXHlQU8EpR9LOAJvyKfc4f7EFmE34/edit?usp=sharing"",""ศรีสะเกษ!I98"")"),45)</f>
        <v>45</v>
      </c>
      <c r="S44" s="181">
        <f ca="1">IFERROR(__xludf.DUMMYFUNCTION("IMPORTRANGE(""https://docs.google.com/spreadsheets/d/1tZ0nmtGuIRCaGAMXHlQU8EpR9LOAJvyKfc4f7EFmE34/edit?usp=sharing"",""ศรีสะเกษ!J98"")"),45)</f>
        <v>45</v>
      </c>
      <c r="T44" s="181">
        <f t="shared" ca="1" si="10"/>
        <v>100</v>
      </c>
      <c r="U44" s="181">
        <f ca="1">IFERROR(__xludf.DUMMYFUNCTION("IMPORTRANGE(""https://docs.google.com/spreadsheets/d/1tZ0nmtGuIRCaGAMXHlQU8EpR9LOAJvyKfc4f7EFmE34/edit?usp=sharing"",""ศรีสะเกษ!I99"")"),15)</f>
        <v>15</v>
      </c>
      <c r="V44" s="181">
        <f ca="1">IFERROR(__xludf.DUMMYFUNCTION("IMPORTRANGE(""https://docs.google.com/spreadsheets/d/1tZ0nmtGuIRCaGAMXHlQU8EpR9LOAJvyKfc4f7EFmE34/edit?usp=sharing"",""ศรีสะเกษ!I100"")"),0)</f>
        <v>0</v>
      </c>
      <c r="W44" s="181">
        <f ca="1">IFERROR(__xludf.DUMMYFUNCTION("IMPORTRANGE(""https://docs.google.com/spreadsheets/d/1tZ0nmtGuIRCaGAMXHlQU8EpR9LOAJvyKfc4f7EFmE34/edit?usp=sharing"",""ศรีสะเกษ!J99"")"),15)</f>
        <v>15</v>
      </c>
      <c r="X44" s="185">
        <f t="shared" ca="1" si="12"/>
        <v>100</v>
      </c>
      <c r="Y44" s="186">
        <f ca="1">IFERROR(__xludf.DUMMYFUNCTION("IMPORTRANGE(""https://docs.google.com/spreadsheets/d/1tZ0nmtGuIRCaGAMXHlQU8EpR9LOAJvyKfc4f7EFmE34/edit?usp=sharing"",""ศรีสะเกษ!J100"")"),0)</f>
        <v>0</v>
      </c>
      <c r="Z44" s="185">
        <f t="shared" ca="1" si="13"/>
        <v>0</v>
      </c>
      <c r="AA44" s="180">
        <f ca="1">IFERROR(__xludf.DUMMYFUNCTION("IMPORTRANGE(""https://docs.google.com/spreadsheets/d/1tZ0nmtGuIRCaGAMXHlQU8EpR9LOAJvyKfc4f7EFmE34/edit?usp=sharing"",""ศรีสะเกษ!I102"")"),45)</f>
        <v>45</v>
      </c>
      <c r="AB44" s="180">
        <f ca="1">IFERROR(__xludf.DUMMYFUNCTION("IMPORTRANGE(""https://docs.google.com/spreadsheets/d/1tZ0nmtGuIRCaGAMXHlQU8EpR9LOAJvyKfc4f7EFmE34/edit?usp=sharing"",""ศรีสะเกษ!I103"")"),15)</f>
        <v>15</v>
      </c>
      <c r="AC44" s="181">
        <f ca="1">IFERROR(__xludf.DUMMYFUNCTION("IMPORTRANGE(""https://docs.google.com/spreadsheets/d/1tZ0nmtGuIRCaGAMXHlQU8EpR9LOAJvyKfc4f7EFmE34/edit?usp=sharing"",""ศรีสะเกษ!J102"")"),45)</f>
        <v>45</v>
      </c>
      <c r="AD44" s="181">
        <f ca="1">IFERROR(__xludf.DUMMYFUNCTION("IMPORTRANGE(""https://docs.google.com/spreadsheets/d/1tZ0nmtGuIRCaGAMXHlQU8EpR9LOAJvyKfc4f7EFmE34/edit?usp=sharing"",""ศรีสะเกษ!J103"")"),15)</f>
        <v>15</v>
      </c>
      <c r="AE44" s="181">
        <f ca="1">IFERROR(__xludf.DUMMYFUNCTION("IMPORTRANGE(""https://docs.google.com/spreadsheets/d/1tZ0nmtGuIRCaGAMXHlQU8EpR9LOAJvyKfc4f7EFmE34/edit?usp=sharing"",""ศรีสะเกษ!J104"")"),15)</f>
        <v>15</v>
      </c>
      <c r="AF44" s="180">
        <f ca="1">IFERROR(__xludf.DUMMYFUNCTION("IMPORTRANGE(""https://docs.google.com/spreadsheets/d/1tZ0nmtGuIRCaGAMXHlQU8EpR9LOAJvyKfc4f7EFmE34/edit?usp=sharing"",""ศรีสะเกษ!I106"")"),0)</f>
        <v>0</v>
      </c>
      <c r="AG44" s="181">
        <f ca="1">IFERROR(__xludf.DUMMYFUNCTION("IMPORTRANGE(""https://docs.google.com/spreadsheets/d/1tZ0nmtGuIRCaGAMXHlQU8EpR9LOAJvyKfc4f7EFmE34/edit?usp=sharing"",""ศรีสะเกษ!J106"")"),0)</f>
        <v>0</v>
      </c>
      <c r="AH44" s="181">
        <f ca="1">IFERROR(__xludf.DUMMYFUNCTION("IMPORTRANGE(""https://docs.google.com/spreadsheets/d/1tZ0nmtGuIRCaGAMXHlQU8EpR9LOAJvyKfc4f7EFmE34/edit?usp=sharing"",""ศรีสะเกษ!J107"")"),0)</f>
        <v>0</v>
      </c>
      <c r="AI44" s="180">
        <f ca="1">IFERROR(__xludf.DUMMYFUNCTION("IMPORTRANGE(""https://docs.google.com/spreadsheets/d/1tZ0nmtGuIRCaGAMXHlQU8EpR9LOAJvyKfc4f7EFmE34/edit?usp=sharing"",""ศรีสะเกษ!I109"")"),0)</f>
        <v>0</v>
      </c>
      <c r="AJ44" s="181">
        <f ca="1">IFERROR(__xludf.DUMMYFUNCTION("IMPORTRANGE(""https://docs.google.com/spreadsheets/d/1tZ0nmtGuIRCaGAMXHlQU8EpR9LOAJvyKfc4f7EFmE34/edit?usp=sharing"",""ศรีสะเกษ!J109"")"),0)</f>
        <v>0</v>
      </c>
      <c r="AK44" s="181">
        <f ca="1">IFERROR(__xludf.DUMMYFUNCTION("IMPORTRANGE(""https://docs.google.com/spreadsheets/d/1tZ0nmtGuIRCaGAMXHlQU8EpR9LOAJvyKfc4f7EFmE34/edit?usp=sharing"",""ศรีสะเกษ!J110"")"),0)</f>
        <v>0</v>
      </c>
      <c r="AL44" s="180">
        <f ca="1">IFERROR(__xludf.DUMMYFUNCTION("IMPORTRANGE(""https://docs.google.com/spreadsheets/d/1tZ0nmtGuIRCaGAMXHlQU8EpR9LOAJvyKfc4f7EFmE34/edit?usp=sharing"",""ศรีสะเกษ!I111"")"),15)</f>
        <v>15</v>
      </c>
      <c r="AM44" s="180">
        <f ca="1">IFERROR(__xludf.DUMMYFUNCTION("IMPORTRANGE(""https://docs.google.com/spreadsheets/d/1tZ0nmtGuIRCaGAMXHlQU8EpR9LOAJvyKfc4f7EFmE34/edit?usp=sharing"",""ศรีสะเกษ!I112"")"),0)</f>
        <v>0</v>
      </c>
      <c r="AN44" s="181">
        <f ca="1">IFERROR(__xludf.DUMMYFUNCTION("IMPORTRANGE(""https://docs.google.com/spreadsheets/d/1tZ0nmtGuIRCaGAMXHlQU8EpR9LOAJvyKfc4f7EFmE34/edit?usp=sharing"",""ศรีสะเกษ!J111"")"),0)</f>
        <v>0</v>
      </c>
      <c r="AO44" s="181">
        <f t="shared" ca="1" si="15"/>
        <v>0</v>
      </c>
      <c r="AP44" s="181">
        <f ca="1">IFERROR(__xludf.DUMMYFUNCTION("IMPORTRANGE(""https://docs.google.com/spreadsheets/d/1tZ0nmtGuIRCaGAMXHlQU8EpR9LOAJvyKfc4f7EFmE34/edit?usp=sharing"",""ศรีสะเกษ!J112"")"),0)</f>
        <v>0</v>
      </c>
      <c r="AQ44" s="183">
        <f t="shared" ca="1" si="16"/>
        <v>0</v>
      </c>
      <c r="AR44" s="180">
        <f ca="1">IFERROR(__xludf.DUMMYFUNCTION("IMPORTRANGE(""https://docs.google.com/spreadsheets/d/1tZ0nmtGuIRCaGAMXHlQU8EpR9LOAJvyKfc4f7EFmE34/edit?usp=sharing"",""ศรีสะเกษ!I113"")"),15)</f>
        <v>15</v>
      </c>
      <c r="AS44" s="180" t="str">
        <f ca="1">IFERROR(__xludf.DUMMYFUNCTION("IMPORTRANGE(""https://docs.google.com/spreadsheets/d/1tZ0nmtGuIRCaGAMXHlQU8EpR9LOAJvyKfc4f7EFmE34/edit?usp=sharing"",""ศรีสะเกษ!J113"")"),"")</f>
        <v/>
      </c>
      <c r="AT44" s="180">
        <f ca="1">IFERROR(__xludf.DUMMYFUNCTION("IMPORTRANGE(""https://docs.google.com/spreadsheets/d/1tZ0nmtGuIRCaGAMXHlQU8EpR9LOAJvyKfc4f7EFmE34/edit?usp=sharing"",""ศรีสะเกษ!J114"")"),0)</f>
        <v>0</v>
      </c>
      <c r="AU44" s="180">
        <f ca="1">IFERROR(__xludf.DUMMYFUNCTION("IMPORTRANGE(""https://docs.google.com/spreadsheets/d/1tZ0nmtGuIRCaGAMXHlQU8EpR9LOAJvyKfc4f7EFmE34/edit?usp=sharing"",""ศรีสะเกษ!I115"")"),0)</f>
        <v>0</v>
      </c>
      <c r="AV44" s="181">
        <f ca="1">IFERROR(__xludf.DUMMYFUNCTION("IMPORTRANGE(""https://docs.google.com/spreadsheets/d/1tZ0nmtGuIRCaGAMXHlQU8EpR9LOAJvyKfc4f7EFmE34/edit?usp=sharing"",""ศรีสะเกษ!J115"")"),0)</f>
        <v>0</v>
      </c>
      <c r="AW44" s="183">
        <f t="shared" ca="1" si="18"/>
        <v>0</v>
      </c>
      <c r="AX44" s="180">
        <f ca="1">IFERROR(__xludf.DUMMYFUNCTION("IMPORTRANGE(""https://docs.google.com/spreadsheets/d/1tZ0nmtGuIRCaGAMXHlQU8EpR9LOAJvyKfc4f7EFmE34/edit?usp=sharing"",""ศรีสะเกษ!I116"")"),0)</f>
        <v>0</v>
      </c>
      <c r="AY44" s="181">
        <f ca="1">IFERROR(__xludf.DUMMYFUNCTION("IMPORTRANGE(""https://docs.google.com/spreadsheets/d/1tZ0nmtGuIRCaGAMXHlQU8EpR9LOAJvyKfc4f7EFmE34/edit?usp=sharing"",""ศรีสะเกษ!J116"")"),0)</f>
        <v>0</v>
      </c>
      <c r="AZ44" s="183">
        <f t="shared" ca="1" si="20"/>
        <v>0</v>
      </c>
    </row>
    <row r="45" spans="1:52" ht="21" customHeight="1" x14ac:dyDescent="0.3">
      <c r="A45" s="176">
        <v>14</v>
      </c>
      <c r="B45" s="177" t="s">
        <v>67</v>
      </c>
      <c r="C45" s="178">
        <f t="shared" ca="1" si="0"/>
        <v>111180</v>
      </c>
      <c r="D45" s="179">
        <f t="shared" ca="1" si="49"/>
        <v>111180</v>
      </c>
      <c r="E45" s="180">
        <f ca="1">IFERROR(__xludf.DUMMYFUNCTION("IMPORTRANGE(""https://docs.google.com/spreadsheets/d/1MeEWN-I1oV_STSDYn1IFDPWt_1FKiwhDph83XaGc0o0/edit?usp=sharing"",""งบพรบ!AR45"")"),0)</f>
        <v>0</v>
      </c>
      <c r="F45" s="180">
        <f ca="1">IFERROR(__xludf.DUMMYFUNCTION("IMPORTRANGE(""https://docs.google.com/spreadsheets/d/1MeEWN-I1oV_STSDYn1IFDPWt_1FKiwhDph83XaGc0o0/edit?usp=sharing"",""งบพรบ!AS45"")"),111180)</f>
        <v>111180</v>
      </c>
      <c r="G45" s="180">
        <f ca="1">IFERROR(__xludf.DUMMYFUNCTION("IMPORTRANGE(""https://docs.google.com/spreadsheets/d/1MeEWN-I1oV_STSDYn1IFDPWt_1FKiwhDph83XaGc0o0/edit?usp=sharing"",""งบพรบ!AT45"")"),0)</f>
        <v>0</v>
      </c>
      <c r="H45" s="180">
        <f ca="1">IFERROR(__xludf.DUMMYFUNCTION("IMPORTRANGE(""https://docs.google.com/spreadsheets/d/1MeEWN-I1oV_STSDYn1IFDPWt_1FKiwhDph83XaGc0o0/edit?usp=sharing"",""งบพรบ!AV45"")"),45980)</f>
        <v>45980</v>
      </c>
      <c r="I45" s="180">
        <f ca="1">IFERROR(__xludf.DUMMYFUNCTION("IMPORTRANGE(""https://docs.google.com/spreadsheets/d/1MeEWN-I1oV_STSDYn1IFDPWt_1FKiwhDph83XaGc0o0/edit?usp=sharing"",""งบพรบ!AW45"")"),0)</f>
        <v>0</v>
      </c>
      <c r="J45" s="180">
        <f t="shared" ca="1" si="3"/>
        <v>0</v>
      </c>
      <c r="K45" s="187">
        <f t="shared" ca="1" si="4"/>
        <v>0</v>
      </c>
      <c r="L45" s="180">
        <f ca="1">IFERROR(__xludf.DUMMYFUNCTION("IMPORTRANGE(""https://docs.google.com/spreadsheets/d/1MeEWN-I1oV_STSDYn1IFDPWt_1FKiwhDph83XaGc0o0/edit?usp=sharing"",""งบพรบ!AX45"")"),0)</f>
        <v>0</v>
      </c>
      <c r="M45" s="183">
        <f t="shared" ca="1" si="5"/>
        <v>0</v>
      </c>
      <c r="N45" s="183">
        <f t="shared" ca="1" si="6"/>
        <v>0</v>
      </c>
      <c r="O45" s="184">
        <f ca="1">IFERROR(__xludf.DUMMYFUNCTION("IMPORTRANGE(""https://docs.google.com/spreadsheets/d/1MeEWN-I1oV_STSDYn1IFDPWt_1FKiwhDph83XaGc0o0/edit?usp=sharing"",""งบพรบ!AY45"")"),0)</f>
        <v>0</v>
      </c>
      <c r="P45" s="184">
        <f t="shared" ca="1" si="36"/>
        <v>0</v>
      </c>
      <c r="Q45" s="183">
        <f t="shared" ca="1" si="8"/>
        <v>0</v>
      </c>
      <c r="R45" s="181">
        <f ca="1">IFERROR(__xludf.DUMMYFUNCTION("IMPORTRANGE(""https://docs.google.com/spreadsheets/d/1QC8psz9w0f9IVE9Xuc2FT_btkaOzZbbUSgYObpBuetM/edit?usp=sharing"",""สกลนคร!I98"")"),60)</f>
        <v>60</v>
      </c>
      <c r="S45" s="181">
        <f ca="1">IFERROR(__xludf.DUMMYFUNCTION("IMPORTRANGE(""https://docs.google.com/spreadsheets/d/1QC8psz9w0f9IVE9Xuc2FT_btkaOzZbbUSgYObpBuetM/edit?usp=sharing"",""สกลนคร!J98"")"),0)</f>
        <v>0</v>
      </c>
      <c r="T45" s="181">
        <f t="shared" ca="1" si="10"/>
        <v>0</v>
      </c>
      <c r="U45" s="181">
        <f ca="1">IFERROR(__xludf.DUMMYFUNCTION("IMPORTRANGE(""https://docs.google.com/spreadsheets/d/1QC8psz9w0f9IVE9Xuc2FT_btkaOzZbbUSgYObpBuetM/edit?usp=sharing"",""สกลนคร!I99"")"),20)</f>
        <v>20</v>
      </c>
      <c r="V45" s="181">
        <f ca="1">IFERROR(__xludf.DUMMYFUNCTION("IMPORTRANGE(""https://docs.google.com/spreadsheets/d/1QC8psz9w0f9IVE9Xuc2FT_btkaOzZbbUSgYObpBuetM/edit?usp=sharing"",""สกลนคร!I100"")"),2)</f>
        <v>2</v>
      </c>
      <c r="W45" s="181">
        <f ca="1">IFERROR(__xludf.DUMMYFUNCTION("IMPORTRANGE(""https://docs.google.com/spreadsheets/d/1QC8psz9w0f9IVE9Xuc2FT_btkaOzZbbUSgYObpBuetM/edit?usp=sharing"",""สกลนคร!J99"")"),0)</f>
        <v>0</v>
      </c>
      <c r="X45" s="185">
        <f t="shared" ca="1" si="12"/>
        <v>0</v>
      </c>
      <c r="Y45" s="186">
        <f ca="1">IFERROR(__xludf.DUMMYFUNCTION("IMPORTRANGE(""https://docs.google.com/spreadsheets/d/1QC8psz9w0f9IVE9Xuc2FT_btkaOzZbbUSgYObpBuetM/edit?usp=sharing"",""สกลนคร!J100"")"),0)</f>
        <v>0</v>
      </c>
      <c r="Z45" s="185">
        <f t="shared" ca="1" si="13"/>
        <v>0</v>
      </c>
      <c r="AA45" s="180">
        <f ca="1">IFERROR(__xludf.DUMMYFUNCTION("IMPORTRANGE(""https://docs.google.com/spreadsheets/d/1QC8psz9w0f9IVE9Xuc2FT_btkaOzZbbUSgYObpBuetM/edit?usp=sharing"",""สกลนคร!I102"")"),60)</f>
        <v>60</v>
      </c>
      <c r="AB45" s="180">
        <f ca="1">IFERROR(__xludf.DUMMYFUNCTION("IMPORTRANGE(""https://docs.google.com/spreadsheets/d/1QC8psz9w0f9IVE9Xuc2FT_btkaOzZbbUSgYObpBuetM/edit?usp=sharing"",""สกลนคร!I103"")"),20)</f>
        <v>20</v>
      </c>
      <c r="AC45" s="181">
        <f ca="1">IFERROR(__xludf.DUMMYFUNCTION("IMPORTRANGE(""https://docs.google.com/spreadsheets/d/1QC8psz9w0f9IVE9Xuc2FT_btkaOzZbbUSgYObpBuetM/edit?usp=sharing"",""สกลนคร!J102"")"),0)</f>
        <v>0</v>
      </c>
      <c r="AD45" s="181">
        <f ca="1">IFERROR(__xludf.DUMMYFUNCTION("IMPORTRANGE(""https://docs.google.com/spreadsheets/d/1QC8psz9w0f9IVE9Xuc2FT_btkaOzZbbUSgYObpBuetM/edit?usp=sharing"",""สกลนคร!J103"")"),0)</f>
        <v>0</v>
      </c>
      <c r="AE45" s="181">
        <f ca="1">IFERROR(__xludf.DUMMYFUNCTION("IMPORTRANGE(""https://docs.google.com/spreadsheets/d/1QC8psz9w0f9IVE9Xuc2FT_btkaOzZbbUSgYObpBuetM/edit?usp=sharing"",""สกลนคร!J104"")"),0)</f>
        <v>0</v>
      </c>
      <c r="AF45" s="180">
        <f ca="1">IFERROR(__xludf.DUMMYFUNCTION("IMPORTRANGE(""https://docs.google.com/spreadsheets/d/1QC8psz9w0f9IVE9Xuc2FT_btkaOzZbbUSgYObpBuetM/edit?usp=sharing"",""สกลนคร!I106"")"),1)</f>
        <v>1</v>
      </c>
      <c r="AG45" s="181">
        <f ca="1">IFERROR(__xludf.DUMMYFUNCTION("IMPORTRANGE(""https://docs.google.com/spreadsheets/d/1QC8psz9w0f9IVE9Xuc2FT_btkaOzZbbUSgYObpBuetM/edit?usp=sharing"",""สกลนคร!J106"")"),0)</f>
        <v>0</v>
      </c>
      <c r="AH45" s="181">
        <f ca="1">IFERROR(__xludf.DUMMYFUNCTION("IMPORTRANGE(""https://docs.google.com/spreadsheets/d/1QC8psz9w0f9IVE9Xuc2FT_btkaOzZbbUSgYObpBuetM/edit?usp=sharing"",""สกลนคร!J107"")"),0)</f>
        <v>0</v>
      </c>
      <c r="AI45" s="180">
        <f ca="1">IFERROR(__xludf.DUMMYFUNCTION("IMPORTRANGE(""https://docs.google.com/spreadsheets/d/1QC8psz9w0f9IVE9Xuc2FT_btkaOzZbbUSgYObpBuetM/edit?usp=sharing"",""สกลนคร!I109"")"),1)</f>
        <v>1</v>
      </c>
      <c r="AJ45" s="181">
        <f ca="1">IFERROR(__xludf.DUMMYFUNCTION("IMPORTRANGE(""https://docs.google.com/spreadsheets/d/1QC8psz9w0f9IVE9Xuc2FT_btkaOzZbbUSgYObpBuetM/edit?usp=sharing"",""สกลนคร!J109"")"),0)</f>
        <v>0</v>
      </c>
      <c r="AK45" s="181">
        <f ca="1">IFERROR(__xludf.DUMMYFUNCTION("IMPORTRANGE(""https://docs.google.com/spreadsheets/d/1QC8psz9w0f9IVE9Xuc2FT_btkaOzZbbUSgYObpBuetM/edit?usp=sharing"",""สกลนคร!J110"")"),0)</f>
        <v>0</v>
      </c>
      <c r="AL45" s="180">
        <f ca="1">IFERROR(__xludf.DUMMYFUNCTION("IMPORTRANGE(""https://docs.google.com/spreadsheets/d/1QC8psz9w0f9IVE9Xuc2FT_btkaOzZbbUSgYObpBuetM/edit?usp=sharing"",""สกลนคร!I111"")"),20)</f>
        <v>20</v>
      </c>
      <c r="AM45" s="180">
        <f ca="1">IFERROR(__xludf.DUMMYFUNCTION("IMPORTRANGE(""https://docs.google.com/spreadsheets/d/1QC8psz9w0f9IVE9Xuc2FT_btkaOzZbbUSgYObpBuetM/edit?usp=sharing"",""สกลนคร!I112"")"),2)</f>
        <v>2</v>
      </c>
      <c r="AN45" s="181">
        <f ca="1">IFERROR(__xludf.DUMMYFUNCTION("IMPORTRANGE(""https://docs.google.com/spreadsheets/d/1QC8psz9w0f9IVE9Xuc2FT_btkaOzZbbUSgYObpBuetM/edit?usp=sharing"",""สกลนคร!J111"")"),0)</f>
        <v>0</v>
      </c>
      <c r="AO45" s="181">
        <f t="shared" ca="1" si="15"/>
        <v>0</v>
      </c>
      <c r="AP45" s="181">
        <f ca="1">IFERROR(__xludf.DUMMYFUNCTION("IMPORTRANGE(""https://docs.google.com/spreadsheets/d/1QC8psz9w0f9IVE9Xuc2FT_btkaOzZbbUSgYObpBuetM/edit?usp=sharing"",""สกลนคร!J112"")"),0)</f>
        <v>0</v>
      </c>
      <c r="AQ45" s="183">
        <f t="shared" ca="1" si="16"/>
        <v>0</v>
      </c>
      <c r="AR45" s="180">
        <f ca="1">IFERROR(__xludf.DUMMYFUNCTION("IMPORTRANGE(""https://docs.google.com/spreadsheets/d/1QC8psz9w0f9IVE9Xuc2FT_btkaOzZbbUSgYObpBuetM/edit?usp=sharing"",""สกลนคร!I113"")"),20)</f>
        <v>20</v>
      </c>
      <c r="AS45" s="180">
        <f ca="1">IFERROR(__xludf.DUMMYFUNCTION("IMPORTRANGE(""https://docs.google.com/spreadsheets/d/1QC8psz9w0f9IVE9Xuc2FT_btkaOzZbbUSgYObpBuetM/edit?usp=sharing"",""สกลนคร!J113"")"),0)</f>
        <v>0</v>
      </c>
      <c r="AT45" s="180">
        <f ca="1">IFERROR(__xludf.DUMMYFUNCTION("IMPORTRANGE(""https://docs.google.com/spreadsheets/d/1QC8psz9w0f9IVE9Xuc2FT_btkaOzZbbUSgYObpBuetM/edit?usp=sharing"",""สกลนคร!J114"")"),0)</f>
        <v>0</v>
      </c>
      <c r="AU45" s="180">
        <f ca="1">IFERROR(__xludf.DUMMYFUNCTION("IMPORTRANGE(""https://docs.google.com/spreadsheets/d/1QC8psz9w0f9IVE9Xuc2FT_btkaOzZbbUSgYObpBuetM/edit?usp=sharing"",""สกลนคร!I115"")"),1)</f>
        <v>1</v>
      </c>
      <c r="AV45" s="181">
        <f ca="1">IFERROR(__xludf.DUMMYFUNCTION("IMPORTRANGE(""https://docs.google.com/spreadsheets/d/1QC8psz9w0f9IVE9Xuc2FT_btkaOzZbbUSgYObpBuetM/edit?usp=sharing"",""สกลนคร!J115"")"),0)</f>
        <v>0</v>
      </c>
      <c r="AW45" s="183">
        <f t="shared" ca="1" si="18"/>
        <v>0</v>
      </c>
      <c r="AX45" s="180">
        <f ca="1">IFERROR(__xludf.DUMMYFUNCTION("IMPORTRANGE(""https://docs.google.com/spreadsheets/d/1QC8psz9w0f9IVE9Xuc2FT_btkaOzZbbUSgYObpBuetM/edit?usp=sharing"",""สกลนคร!I116"")"),1)</f>
        <v>1</v>
      </c>
      <c r="AY45" s="181">
        <f ca="1">IFERROR(__xludf.DUMMYFUNCTION("IMPORTRANGE(""https://docs.google.com/spreadsheets/d/1QC8psz9w0f9IVE9Xuc2FT_btkaOzZbbUSgYObpBuetM/edit?usp=sharing"",""สกลนคร!J116"")"),0)</f>
        <v>0</v>
      </c>
      <c r="AZ45" s="183">
        <f t="shared" ca="1" si="20"/>
        <v>0</v>
      </c>
    </row>
    <row r="46" spans="1:52" ht="21" customHeight="1" x14ac:dyDescent="0.3">
      <c r="A46" s="176">
        <v>15</v>
      </c>
      <c r="B46" s="177" t="s">
        <v>68</v>
      </c>
      <c r="C46" s="178">
        <f t="shared" ca="1" si="0"/>
        <v>98760</v>
      </c>
      <c r="D46" s="179">
        <f t="shared" ca="1" si="49"/>
        <v>98760</v>
      </c>
      <c r="E46" s="180">
        <f ca="1">IFERROR(__xludf.DUMMYFUNCTION("IMPORTRANGE(""https://docs.google.com/spreadsheets/d/1MeEWN-I1oV_STSDYn1IFDPWt_1FKiwhDph83XaGc0o0/edit?usp=sharing"",""งบพรบ!AR46"")"),0)</f>
        <v>0</v>
      </c>
      <c r="F46" s="180">
        <f ca="1">IFERROR(__xludf.DUMMYFUNCTION("IMPORTRANGE(""https://docs.google.com/spreadsheets/d/1MeEWN-I1oV_STSDYn1IFDPWt_1FKiwhDph83XaGc0o0/edit?usp=sharing"",""งบพรบ!AS46"")"),98760)</f>
        <v>98760</v>
      </c>
      <c r="G46" s="180">
        <f ca="1">IFERROR(__xludf.DUMMYFUNCTION("IMPORTRANGE(""https://docs.google.com/spreadsheets/d/1MeEWN-I1oV_STSDYn1IFDPWt_1FKiwhDph83XaGc0o0/edit?usp=sharing"",""งบพรบ!AT46"")"),0)</f>
        <v>0</v>
      </c>
      <c r="H46" s="180">
        <f ca="1">IFERROR(__xludf.DUMMYFUNCTION("IMPORTRANGE(""https://docs.google.com/spreadsheets/d/1MeEWN-I1oV_STSDYn1IFDPWt_1FKiwhDph83XaGc0o0/edit?usp=sharing"",""งบพรบ!AV46"")"),35060)</f>
        <v>35060</v>
      </c>
      <c r="I46" s="180">
        <f ca="1">IFERROR(__xludf.DUMMYFUNCTION("IMPORTRANGE(""https://docs.google.com/spreadsheets/d/1MeEWN-I1oV_STSDYn1IFDPWt_1FKiwhDph83XaGc0o0/edit?usp=sharing"",""งบพรบ!AW46"")"),0)</f>
        <v>0</v>
      </c>
      <c r="J46" s="180">
        <f t="shared" ca="1" si="3"/>
        <v>26160</v>
      </c>
      <c r="K46" s="187">
        <f t="shared" ca="1" si="4"/>
        <v>26.488456865127581</v>
      </c>
      <c r="L46" s="180">
        <f ca="1">IFERROR(__xludf.DUMMYFUNCTION("IMPORTRANGE(""https://docs.google.com/spreadsheets/d/1MeEWN-I1oV_STSDYn1IFDPWt_1FKiwhDph83XaGc0o0/edit?usp=sharing"",""งบพรบ!AX46"")"),26160)</f>
        <v>26160</v>
      </c>
      <c r="M46" s="183">
        <f t="shared" ca="1" si="5"/>
        <v>26.488456865127581</v>
      </c>
      <c r="N46" s="183">
        <f t="shared" ca="1" si="6"/>
        <v>74.614945807187681</v>
      </c>
      <c r="O46" s="184">
        <f ca="1">IFERROR(__xludf.DUMMYFUNCTION("IMPORTRANGE(""https://docs.google.com/spreadsheets/d/1MeEWN-I1oV_STSDYn1IFDPWt_1FKiwhDph83XaGc0o0/edit?usp=sharing"",""งบพรบ!AY46"")"),0)</f>
        <v>0</v>
      </c>
      <c r="P46" s="184">
        <f t="shared" ca="1" si="36"/>
        <v>0</v>
      </c>
      <c r="Q46" s="183">
        <f t="shared" ca="1" si="8"/>
        <v>0</v>
      </c>
      <c r="R46" s="181">
        <f ca="1">IFERROR(__xludf.DUMMYFUNCTION("IMPORTRANGE(""https://docs.google.com/spreadsheets/d/1wPdvRbu02d33MYVlbsCnyTiZpefEBs9NNktAnT1HZvw/edit?usp=sharing"",""สุรินทร์!I98"")"),45)</f>
        <v>45</v>
      </c>
      <c r="S46" s="181">
        <f ca="1">IFERROR(__xludf.DUMMYFUNCTION("IMPORTRANGE(""https://docs.google.com/spreadsheets/d/1wPdvRbu02d33MYVlbsCnyTiZpefEBs9NNktAnT1HZvw/edit?usp=sharing"",""สุรินทร์!J98"")"),0)</f>
        <v>0</v>
      </c>
      <c r="T46" s="181">
        <f t="shared" ca="1" si="10"/>
        <v>0</v>
      </c>
      <c r="U46" s="181">
        <f ca="1">IFERROR(__xludf.DUMMYFUNCTION("IMPORTRANGE(""https://docs.google.com/spreadsheets/d/1wPdvRbu02d33MYVlbsCnyTiZpefEBs9NNktAnT1HZvw/edit?usp=sharing"",""สุรินทร์!I99"")"),15)</f>
        <v>15</v>
      </c>
      <c r="V46" s="181">
        <f ca="1">IFERROR(__xludf.DUMMYFUNCTION("IMPORTRANGE(""https://docs.google.com/spreadsheets/d/1wPdvRbu02d33MYVlbsCnyTiZpefEBs9NNktAnT1HZvw/edit?usp=sharing"",""สุรินทร์!I100"")"),2)</f>
        <v>2</v>
      </c>
      <c r="W46" s="181">
        <f ca="1">IFERROR(__xludf.DUMMYFUNCTION("IMPORTRANGE(""https://docs.google.com/spreadsheets/d/1wPdvRbu02d33MYVlbsCnyTiZpefEBs9NNktAnT1HZvw/edit?usp=sharing"",""สุรินทร์!J99"")"),0)</f>
        <v>0</v>
      </c>
      <c r="X46" s="185">
        <f t="shared" ca="1" si="12"/>
        <v>0</v>
      </c>
      <c r="Y46" s="186">
        <f ca="1">IFERROR(__xludf.DUMMYFUNCTION("IMPORTRANGE(""https://docs.google.com/spreadsheets/d/1wPdvRbu02d33MYVlbsCnyTiZpefEBs9NNktAnT1HZvw/edit?usp=sharing"",""สุรินทร์!J100"")"),0)</f>
        <v>0</v>
      </c>
      <c r="Z46" s="185">
        <f t="shared" ca="1" si="13"/>
        <v>0</v>
      </c>
      <c r="AA46" s="180">
        <f ca="1">IFERROR(__xludf.DUMMYFUNCTION("IMPORTRANGE(""https://docs.google.com/spreadsheets/d/1wPdvRbu02d33MYVlbsCnyTiZpefEBs9NNktAnT1HZvw/edit?usp=sharing"",""สุรินทร์!I102"")"),45)</f>
        <v>45</v>
      </c>
      <c r="AB46" s="180">
        <f ca="1">IFERROR(__xludf.DUMMYFUNCTION("IMPORTRANGE(""https://docs.google.com/spreadsheets/d/1wPdvRbu02d33MYVlbsCnyTiZpefEBs9NNktAnT1HZvw/edit?usp=sharing"",""สุรินทร์!I103"")"),15)</f>
        <v>15</v>
      </c>
      <c r="AC46" s="181">
        <f ca="1">IFERROR(__xludf.DUMMYFUNCTION("IMPORTRANGE(""https://docs.google.com/spreadsheets/d/1wPdvRbu02d33MYVlbsCnyTiZpefEBs9NNktAnT1HZvw/edit?usp=sharing"",""สุรินทร์!J102"")"),0)</f>
        <v>0</v>
      </c>
      <c r="AD46" s="181">
        <f ca="1">IFERROR(__xludf.DUMMYFUNCTION("IMPORTRANGE(""https://docs.google.com/spreadsheets/d/1wPdvRbu02d33MYVlbsCnyTiZpefEBs9NNktAnT1HZvw/edit?usp=sharing"",""สุรินทร์!J103"")"),0)</f>
        <v>0</v>
      </c>
      <c r="AE46" s="181">
        <f ca="1">IFERROR(__xludf.DUMMYFUNCTION("IMPORTRANGE(""https://docs.google.com/spreadsheets/d/1wPdvRbu02d33MYVlbsCnyTiZpefEBs9NNktAnT1HZvw/edit?usp=sharing"",""สุรินทร์!J104"")"),0)</f>
        <v>0</v>
      </c>
      <c r="AF46" s="180">
        <f ca="1">IFERROR(__xludf.DUMMYFUNCTION("IMPORTRANGE(""https://docs.google.com/spreadsheets/d/1wPdvRbu02d33MYVlbsCnyTiZpefEBs9NNktAnT1HZvw/edit?usp=sharing"",""สุรินทร์!I106"")"),1)</f>
        <v>1</v>
      </c>
      <c r="AG46" s="181">
        <f ca="1">IFERROR(__xludf.DUMMYFUNCTION("IMPORTRANGE(""https://docs.google.com/spreadsheets/d/1wPdvRbu02d33MYVlbsCnyTiZpefEBs9NNktAnT1HZvw/edit?usp=sharing"",""สุรินทร์!J106"")"),0)</f>
        <v>0</v>
      </c>
      <c r="AH46" s="181">
        <f ca="1">IFERROR(__xludf.DUMMYFUNCTION("IMPORTRANGE(""https://docs.google.com/spreadsheets/d/1wPdvRbu02d33MYVlbsCnyTiZpefEBs9NNktAnT1HZvw/edit?usp=sharing"",""สุรินทร์!J107"")"),0)</f>
        <v>0</v>
      </c>
      <c r="AI46" s="180">
        <f ca="1">IFERROR(__xludf.DUMMYFUNCTION("IMPORTRANGE(""https://docs.google.com/spreadsheets/d/1wPdvRbu02d33MYVlbsCnyTiZpefEBs9NNktAnT1HZvw/edit?usp=sharing"",""สุรินทร์!I109"")"),1)</f>
        <v>1</v>
      </c>
      <c r="AJ46" s="181">
        <f ca="1">IFERROR(__xludf.DUMMYFUNCTION("IMPORTRANGE(""https://docs.google.com/spreadsheets/d/1wPdvRbu02d33MYVlbsCnyTiZpefEBs9NNktAnT1HZvw/edit?usp=sharing"",""สุรินทร์!J109"")"),0)</f>
        <v>0</v>
      </c>
      <c r="AK46" s="181">
        <f ca="1">IFERROR(__xludf.DUMMYFUNCTION("IMPORTRANGE(""https://docs.google.com/spreadsheets/d/1wPdvRbu02d33MYVlbsCnyTiZpefEBs9NNktAnT1HZvw/edit?usp=sharing"",""สุรินทร์!J110"")"),0)</f>
        <v>0</v>
      </c>
      <c r="AL46" s="180">
        <f ca="1">IFERROR(__xludf.DUMMYFUNCTION("IMPORTRANGE(""https://docs.google.com/spreadsheets/d/1wPdvRbu02d33MYVlbsCnyTiZpefEBs9NNktAnT1HZvw/edit?usp=sharing"",""สุรินทร์!I111"")"),15)</f>
        <v>15</v>
      </c>
      <c r="AM46" s="180">
        <f ca="1">IFERROR(__xludf.DUMMYFUNCTION("IMPORTRANGE(""https://docs.google.com/spreadsheets/d/1wPdvRbu02d33MYVlbsCnyTiZpefEBs9NNktAnT1HZvw/edit?usp=sharing"",""สุรินทร์!I112"")"),2)</f>
        <v>2</v>
      </c>
      <c r="AN46" s="181">
        <f ca="1">IFERROR(__xludf.DUMMYFUNCTION("IMPORTRANGE(""https://docs.google.com/spreadsheets/d/1wPdvRbu02d33MYVlbsCnyTiZpefEBs9NNktAnT1HZvw/edit?usp=sharing"",""สุรินทร์!J111"")"),0)</f>
        <v>0</v>
      </c>
      <c r="AO46" s="181">
        <f t="shared" ca="1" si="15"/>
        <v>0</v>
      </c>
      <c r="AP46" s="181">
        <f ca="1">IFERROR(__xludf.DUMMYFUNCTION("IMPORTRANGE(""https://docs.google.com/spreadsheets/d/1wPdvRbu02d33MYVlbsCnyTiZpefEBs9NNktAnT1HZvw/edit?usp=sharing"",""สุรินทร์!J112"")"),0)</f>
        <v>0</v>
      </c>
      <c r="AQ46" s="183">
        <f t="shared" ca="1" si="16"/>
        <v>0</v>
      </c>
      <c r="AR46" s="180">
        <f ca="1">IFERROR(__xludf.DUMMYFUNCTION("IMPORTRANGE(""https://docs.google.com/spreadsheets/d/1wPdvRbu02d33MYVlbsCnyTiZpefEBs9NNktAnT1HZvw/edit?usp=sharing"",""สุรินทร์!I113"")"),15)</f>
        <v>15</v>
      </c>
      <c r="AS46" s="180">
        <f ca="1">IFERROR(__xludf.DUMMYFUNCTION("IMPORTRANGE(""https://docs.google.com/spreadsheets/d/1wPdvRbu02d33MYVlbsCnyTiZpefEBs9NNktAnT1HZvw/edit?usp=sharing"",""สุรินทร์!J113"")"),0)</f>
        <v>0</v>
      </c>
      <c r="AT46" s="180">
        <f ca="1">IFERROR(__xludf.DUMMYFUNCTION("IMPORTRANGE(""https://docs.google.com/spreadsheets/d/1wPdvRbu02d33MYVlbsCnyTiZpefEBs9NNktAnT1HZvw/edit?usp=sharing"",""สุรินทร์!J114"")"),0)</f>
        <v>0</v>
      </c>
      <c r="AU46" s="180">
        <f ca="1">IFERROR(__xludf.DUMMYFUNCTION("IMPORTRANGE(""https://docs.google.com/spreadsheets/d/1wPdvRbu02d33MYVlbsCnyTiZpefEBs9NNktAnT1HZvw/edit?usp=sharing"",""สุรินทร์!I115"")"),1)</f>
        <v>1</v>
      </c>
      <c r="AV46" s="181">
        <f ca="1">IFERROR(__xludf.DUMMYFUNCTION("IMPORTRANGE(""https://docs.google.com/spreadsheets/d/1wPdvRbu02d33MYVlbsCnyTiZpefEBs9NNktAnT1HZvw/edit?usp=sharing"",""สุรินทร์!J115"")"),0)</f>
        <v>0</v>
      </c>
      <c r="AW46" s="183">
        <f t="shared" ca="1" si="18"/>
        <v>0</v>
      </c>
      <c r="AX46" s="180">
        <f ca="1">IFERROR(__xludf.DUMMYFUNCTION("IMPORTRANGE(""https://docs.google.com/spreadsheets/d/1wPdvRbu02d33MYVlbsCnyTiZpefEBs9NNktAnT1HZvw/edit?usp=sharing"",""สุรินทร์!I116"")"),1)</f>
        <v>1</v>
      </c>
      <c r="AY46" s="181">
        <f ca="1">IFERROR(__xludf.DUMMYFUNCTION("IMPORTRANGE(""https://docs.google.com/spreadsheets/d/1wPdvRbu02d33MYVlbsCnyTiZpefEBs9NNktAnT1HZvw/edit?usp=sharing"",""สุรินทร์!J116"")"),0)</f>
        <v>0</v>
      </c>
      <c r="AZ46" s="183">
        <f t="shared" ca="1" si="20"/>
        <v>0</v>
      </c>
    </row>
    <row r="47" spans="1:52" ht="21" customHeight="1" x14ac:dyDescent="0.3">
      <c r="A47" s="176">
        <v>16</v>
      </c>
      <c r="B47" s="177" t="s">
        <v>69</v>
      </c>
      <c r="C47" s="178">
        <f t="shared" ca="1" si="0"/>
        <v>140780</v>
      </c>
      <c r="D47" s="179">
        <f t="shared" ca="1" si="49"/>
        <v>140780</v>
      </c>
      <c r="E47" s="180">
        <f ca="1">IFERROR(__xludf.DUMMYFUNCTION("IMPORTRANGE(""https://docs.google.com/spreadsheets/d/1MeEWN-I1oV_STSDYn1IFDPWt_1FKiwhDph83XaGc0o0/edit?usp=sharing"",""งบพรบ!AR47"")"),0)</f>
        <v>0</v>
      </c>
      <c r="F47" s="180">
        <f ca="1">IFERROR(__xludf.DUMMYFUNCTION("IMPORTRANGE(""https://docs.google.com/spreadsheets/d/1MeEWN-I1oV_STSDYn1IFDPWt_1FKiwhDph83XaGc0o0/edit?usp=sharing"",""งบพรบ!AS47"")"),140780)</f>
        <v>140780</v>
      </c>
      <c r="G47" s="180">
        <f ca="1">IFERROR(__xludf.DUMMYFUNCTION("IMPORTRANGE(""https://docs.google.com/spreadsheets/d/1MeEWN-I1oV_STSDYn1IFDPWt_1FKiwhDph83XaGc0o0/edit?usp=sharing"",""งบพรบ!AT47"")"),0)</f>
        <v>0</v>
      </c>
      <c r="H47" s="180">
        <f ca="1">IFERROR(__xludf.DUMMYFUNCTION("IMPORTRANGE(""https://docs.google.com/spreadsheets/d/1MeEWN-I1oV_STSDYn1IFDPWt_1FKiwhDph83XaGc0o0/edit?usp=sharing"",""งบพรบ!AV47"")"),73730)</f>
        <v>73730</v>
      </c>
      <c r="I47" s="180">
        <f ca="1">IFERROR(__xludf.DUMMYFUNCTION("IMPORTRANGE(""https://docs.google.com/spreadsheets/d/1MeEWN-I1oV_STSDYn1IFDPWt_1FKiwhDph83XaGc0o0/edit?usp=sharing"",""งบพรบ!AW47"")"),0)</f>
        <v>0</v>
      </c>
      <c r="J47" s="180">
        <f t="shared" ca="1" si="3"/>
        <v>8025</v>
      </c>
      <c r="K47" s="187">
        <f t="shared" ca="1" si="4"/>
        <v>5.7003835772126719</v>
      </c>
      <c r="L47" s="180">
        <f ca="1">IFERROR(__xludf.DUMMYFUNCTION("IMPORTRANGE(""https://docs.google.com/spreadsheets/d/1MeEWN-I1oV_STSDYn1IFDPWt_1FKiwhDph83XaGc0o0/edit?usp=sharing"",""งบพรบ!AX47"")"),8025)</f>
        <v>8025</v>
      </c>
      <c r="M47" s="183">
        <f t="shared" ca="1" si="5"/>
        <v>5.7003835772126719</v>
      </c>
      <c r="N47" s="183">
        <f t="shared" ca="1" si="6"/>
        <v>10.884307608843075</v>
      </c>
      <c r="O47" s="184">
        <f ca="1">IFERROR(__xludf.DUMMYFUNCTION("IMPORTRANGE(""https://docs.google.com/spreadsheets/d/1MeEWN-I1oV_STSDYn1IFDPWt_1FKiwhDph83XaGc0o0/edit?usp=sharing"",""งบพรบ!AY47"")"),0)</f>
        <v>0</v>
      </c>
      <c r="P47" s="184">
        <f t="shared" ca="1" si="36"/>
        <v>0</v>
      </c>
      <c r="Q47" s="183">
        <f t="shared" ca="1" si="8"/>
        <v>0</v>
      </c>
      <c r="R47" s="181">
        <f ca="1">IFERROR(__xludf.DUMMYFUNCTION("IMPORTRANGE(""https://docs.google.com/spreadsheets/d/1GVExpf-Exi_2gmuqTYH28fseTB9MoKPXWcXCbSt_YrM/edit?usp=sharing"",""หนองคาย!I98"")"),60)</f>
        <v>60</v>
      </c>
      <c r="S47" s="181">
        <f ca="1">IFERROR(__xludf.DUMMYFUNCTION("IMPORTRANGE(""https://docs.google.com/spreadsheets/d/1GVExpf-Exi_2gmuqTYH28fseTB9MoKPXWcXCbSt_YrM/edit?usp=sharing"",""หนองคาย!J98"")"),0)</f>
        <v>0</v>
      </c>
      <c r="T47" s="181">
        <f t="shared" ca="1" si="10"/>
        <v>0</v>
      </c>
      <c r="U47" s="181">
        <f ca="1">IFERROR(__xludf.DUMMYFUNCTION("IMPORTRANGE(""https://docs.google.com/spreadsheets/d/1GVExpf-Exi_2gmuqTYH28fseTB9MoKPXWcXCbSt_YrM/edit?usp=sharing"",""หนองคาย!I99"")"),20)</f>
        <v>20</v>
      </c>
      <c r="V47" s="181">
        <f ca="1">IFERROR(__xludf.DUMMYFUNCTION("IMPORTRANGE(""https://docs.google.com/spreadsheets/d/1GVExpf-Exi_2gmuqTYH28fseTB9MoKPXWcXCbSt_YrM/edit?usp=sharing"",""หนองคาย!I100"")"),3)</f>
        <v>3</v>
      </c>
      <c r="W47" s="181">
        <f ca="1">IFERROR(__xludf.DUMMYFUNCTION("IMPORTRANGE(""https://docs.google.com/spreadsheets/d/1GVExpf-Exi_2gmuqTYH28fseTB9MoKPXWcXCbSt_YrM/edit?usp=sharing"",""หนองคาย!J99"")"),0)</f>
        <v>0</v>
      </c>
      <c r="X47" s="185">
        <f t="shared" ca="1" si="12"/>
        <v>0</v>
      </c>
      <c r="Y47" s="186">
        <f ca="1">IFERROR(__xludf.DUMMYFUNCTION("IMPORTRANGE(""https://docs.google.com/spreadsheets/d/1GVExpf-Exi_2gmuqTYH28fseTB9MoKPXWcXCbSt_YrM/edit?usp=sharing"",""หนองคาย!J100"")"),0)</f>
        <v>0</v>
      </c>
      <c r="Z47" s="185">
        <f t="shared" ca="1" si="13"/>
        <v>0</v>
      </c>
      <c r="AA47" s="180">
        <f ca="1">IFERROR(__xludf.DUMMYFUNCTION("IMPORTRANGE(""https://docs.google.com/spreadsheets/d/1GVExpf-Exi_2gmuqTYH28fseTB9MoKPXWcXCbSt_YrM/edit?usp=sharing"",""หนองคาย!I102"")"),60)</f>
        <v>60</v>
      </c>
      <c r="AB47" s="180">
        <f ca="1">IFERROR(__xludf.DUMMYFUNCTION("IMPORTRANGE(""https://docs.google.com/spreadsheets/d/1GVExpf-Exi_2gmuqTYH28fseTB9MoKPXWcXCbSt_YrM/edit?usp=sharing"",""หนองคาย!I103"")"),20)</f>
        <v>20</v>
      </c>
      <c r="AC47" s="181">
        <f ca="1">IFERROR(__xludf.DUMMYFUNCTION("IMPORTRANGE(""https://docs.google.com/spreadsheets/d/1GVExpf-Exi_2gmuqTYH28fseTB9MoKPXWcXCbSt_YrM/edit?usp=sharing"",""หนองคาย!J102"")"),0)</f>
        <v>0</v>
      </c>
      <c r="AD47" s="181">
        <f ca="1">IFERROR(__xludf.DUMMYFUNCTION("IMPORTRANGE(""https://docs.google.com/spreadsheets/d/1GVExpf-Exi_2gmuqTYH28fseTB9MoKPXWcXCbSt_YrM/edit?usp=sharing"",""หนองคาย!J103"")"),0)</f>
        <v>0</v>
      </c>
      <c r="AE47" s="181">
        <f ca="1">IFERROR(__xludf.DUMMYFUNCTION("IMPORTRANGE(""https://docs.google.com/spreadsheets/d/1GVExpf-Exi_2gmuqTYH28fseTB9MoKPXWcXCbSt_YrM/edit?usp=sharing"",""หนองคาย!J104"")"),0)</f>
        <v>0</v>
      </c>
      <c r="AF47" s="180">
        <f ca="1">IFERROR(__xludf.DUMMYFUNCTION("IMPORTRANGE(""https://docs.google.com/spreadsheets/d/1GVExpf-Exi_2gmuqTYH28fseTB9MoKPXWcXCbSt_YrM/edit?usp=sharing"",""หนองคาย!I106"")"),2)</f>
        <v>2</v>
      </c>
      <c r="AG47" s="181">
        <f ca="1">IFERROR(__xludf.DUMMYFUNCTION("IMPORTRANGE(""https://docs.google.com/spreadsheets/d/1GVExpf-Exi_2gmuqTYH28fseTB9MoKPXWcXCbSt_YrM/edit?usp=sharing"",""หนองคาย!J106"")"),0)</f>
        <v>0</v>
      </c>
      <c r="AH47" s="181">
        <f ca="1">IFERROR(__xludf.DUMMYFUNCTION("IMPORTRANGE(""https://docs.google.com/spreadsheets/d/1GVExpf-Exi_2gmuqTYH28fseTB9MoKPXWcXCbSt_YrM/edit?usp=sharing"",""หนองคาย!J107"")"),0)</f>
        <v>0</v>
      </c>
      <c r="AI47" s="180">
        <f ca="1">IFERROR(__xludf.DUMMYFUNCTION("IMPORTRANGE(""https://docs.google.com/spreadsheets/d/1GVExpf-Exi_2gmuqTYH28fseTB9MoKPXWcXCbSt_YrM/edit?usp=sharing"",""หนองคาย!I109"")"),1)</f>
        <v>1</v>
      </c>
      <c r="AJ47" s="181">
        <f ca="1">IFERROR(__xludf.DUMMYFUNCTION("IMPORTRANGE(""https://docs.google.com/spreadsheets/d/1GVExpf-Exi_2gmuqTYH28fseTB9MoKPXWcXCbSt_YrM/edit?usp=sharing"",""หนองคาย!J109"")"),0)</f>
        <v>0</v>
      </c>
      <c r="AK47" s="181">
        <f ca="1">IFERROR(__xludf.DUMMYFUNCTION("IMPORTRANGE(""https://docs.google.com/spreadsheets/d/1GVExpf-Exi_2gmuqTYH28fseTB9MoKPXWcXCbSt_YrM/edit?usp=sharing"",""หนองคาย!J110"")"),0)</f>
        <v>0</v>
      </c>
      <c r="AL47" s="180">
        <f ca="1">IFERROR(__xludf.DUMMYFUNCTION("IMPORTRANGE(""https://docs.google.com/spreadsheets/d/1GVExpf-Exi_2gmuqTYH28fseTB9MoKPXWcXCbSt_YrM/edit?usp=sharing"",""หนองคาย!I111"")"),20)</f>
        <v>20</v>
      </c>
      <c r="AM47" s="180">
        <f ca="1">IFERROR(__xludf.DUMMYFUNCTION("IMPORTRANGE(""https://docs.google.com/spreadsheets/d/1GVExpf-Exi_2gmuqTYH28fseTB9MoKPXWcXCbSt_YrM/edit?usp=sharing"",""หนองคาย!I112"")"),3)</f>
        <v>3</v>
      </c>
      <c r="AN47" s="181">
        <f ca="1">IFERROR(__xludf.DUMMYFUNCTION("IMPORTRANGE(""https://docs.google.com/spreadsheets/d/1GVExpf-Exi_2gmuqTYH28fseTB9MoKPXWcXCbSt_YrM/edit?usp=sharing"",""หนองคาย!J111"")"),0)</f>
        <v>0</v>
      </c>
      <c r="AO47" s="181">
        <f t="shared" ca="1" si="15"/>
        <v>0</v>
      </c>
      <c r="AP47" s="181">
        <f ca="1">IFERROR(__xludf.DUMMYFUNCTION("IMPORTRANGE(""https://docs.google.com/spreadsheets/d/1GVExpf-Exi_2gmuqTYH28fseTB9MoKPXWcXCbSt_YrM/edit?usp=sharing"",""หนองคาย!J112"")"),0)</f>
        <v>0</v>
      </c>
      <c r="AQ47" s="183">
        <f t="shared" ca="1" si="16"/>
        <v>0</v>
      </c>
      <c r="AR47" s="180">
        <f ca="1">IFERROR(__xludf.DUMMYFUNCTION("IMPORTRANGE(""https://docs.google.com/spreadsheets/d/1GVExpf-Exi_2gmuqTYH28fseTB9MoKPXWcXCbSt_YrM/edit?usp=sharing"",""หนองคาย!I113"")"),20)</f>
        <v>20</v>
      </c>
      <c r="AS47" s="180">
        <f ca="1">IFERROR(__xludf.DUMMYFUNCTION("IMPORTRANGE(""https://docs.google.com/spreadsheets/d/1GVExpf-Exi_2gmuqTYH28fseTB9MoKPXWcXCbSt_YrM/edit?usp=sharing"",""หนองคาย!J113"")"),0)</f>
        <v>0</v>
      </c>
      <c r="AT47" s="180">
        <f ca="1">IFERROR(__xludf.DUMMYFUNCTION("IMPORTRANGE(""https://docs.google.com/spreadsheets/d/1GVExpf-Exi_2gmuqTYH28fseTB9MoKPXWcXCbSt_YrM/edit?usp=sharing"",""หนองคาย!J114"")"),0)</f>
        <v>0</v>
      </c>
      <c r="AU47" s="180">
        <f ca="1">IFERROR(__xludf.DUMMYFUNCTION("IMPORTRANGE(""https://docs.google.com/spreadsheets/d/1GVExpf-Exi_2gmuqTYH28fseTB9MoKPXWcXCbSt_YrM/edit?usp=sharing"",""หนองคาย!I115"")"),2)</f>
        <v>2</v>
      </c>
      <c r="AV47" s="181">
        <f ca="1">IFERROR(__xludf.DUMMYFUNCTION("IMPORTRANGE(""https://docs.google.com/spreadsheets/d/1GVExpf-Exi_2gmuqTYH28fseTB9MoKPXWcXCbSt_YrM/edit?usp=sharing"",""หนองคาย!J115"")"),0)</f>
        <v>0</v>
      </c>
      <c r="AW47" s="183">
        <f t="shared" ca="1" si="18"/>
        <v>0</v>
      </c>
      <c r="AX47" s="180">
        <f ca="1">IFERROR(__xludf.DUMMYFUNCTION("IMPORTRANGE(""https://docs.google.com/spreadsheets/d/1GVExpf-Exi_2gmuqTYH28fseTB9MoKPXWcXCbSt_YrM/edit?usp=sharing"",""หนองคาย!I116"")"),1)</f>
        <v>1</v>
      </c>
      <c r="AY47" s="181">
        <f ca="1">IFERROR(__xludf.DUMMYFUNCTION("IMPORTRANGE(""https://docs.google.com/spreadsheets/d/1GVExpf-Exi_2gmuqTYH28fseTB9MoKPXWcXCbSt_YrM/edit?usp=sharing"",""หนองคาย!J116"")"),0)</f>
        <v>0</v>
      </c>
      <c r="AZ47" s="183">
        <f t="shared" ca="1" si="20"/>
        <v>0</v>
      </c>
    </row>
    <row r="48" spans="1:52" ht="21" customHeight="1" x14ac:dyDescent="0.3">
      <c r="A48" s="176">
        <v>17</v>
      </c>
      <c r="B48" s="177" t="s">
        <v>70</v>
      </c>
      <c r="C48" s="178">
        <f t="shared" ca="1" si="0"/>
        <v>86040</v>
      </c>
      <c r="D48" s="179">
        <f t="shared" ca="1" si="49"/>
        <v>86040</v>
      </c>
      <c r="E48" s="180">
        <f ca="1">IFERROR(__xludf.DUMMYFUNCTION("IMPORTRANGE(""https://docs.google.com/spreadsheets/d/1MeEWN-I1oV_STSDYn1IFDPWt_1FKiwhDph83XaGc0o0/edit?usp=sharing"",""งบพรบ!AR48"")"),0)</f>
        <v>0</v>
      </c>
      <c r="F48" s="180">
        <f ca="1">IFERROR(__xludf.DUMMYFUNCTION("IMPORTRANGE(""https://docs.google.com/spreadsheets/d/1MeEWN-I1oV_STSDYn1IFDPWt_1FKiwhDph83XaGc0o0/edit?usp=sharing"",""งบพรบ!AS48"")"),86040)</f>
        <v>86040</v>
      </c>
      <c r="G48" s="180">
        <f ca="1">IFERROR(__xludf.DUMMYFUNCTION("IMPORTRANGE(""https://docs.google.com/spreadsheets/d/1MeEWN-I1oV_STSDYn1IFDPWt_1FKiwhDph83XaGc0o0/edit?usp=sharing"",""งบพรบ!AT48"")"),0)</f>
        <v>0</v>
      </c>
      <c r="H48" s="180">
        <f ca="1">IFERROR(__xludf.DUMMYFUNCTION("IMPORTRANGE(""https://docs.google.com/spreadsheets/d/1MeEWN-I1oV_STSDYn1IFDPWt_1FKiwhDph83XaGc0o0/edit?usp=sharing"",""งบพรบ!AV48"")"),23840)</f>
        <v>23840</v>
      </c>
      <c r="I48" s="180">
        <f ca="1">IFERROR(__xludf.DUMMYFUNCTION("IMPORTRANGE(""https://docs.google.com/spreadsheets/d/1MeEWN-I1oV_STSDYn1IFDPWt_1FKiwhDph83XaGc0o0/edit?usp=sharing"",""งบพรบ!AW48"")"),0)</f>
        <v>0</v>
      </c>
      <c r="J48" s="180">
        <f t="shared" ca="1" si="3"/>
        <v>19980</v>
      </c>
      <c r="K48" s="187">
        <f t="shared" ca="1" si="4"/>
        <v>23.221757322175733</v>
      </c>
      <c r="L48" s="180">
        <f ca="1">IFERROR(__xludf.DUMMYFUNCTION("IMPORTRANGE(""https://docs.google.com/spreadsheets/d/1MeEWN-I1oV_STSDYn1IFDPWt_1FKiwhDph83XaGc0o0/edit?usp=sharing"",""งบพรบ!AX48"")"),19980)</f>
        <v>19980</v>
      </c>
      <c r="M48" s="183">
        <f t="shared" ca="1" si="5"/>
        <v>23.221757322175733</v>
      </c>
      <c r="N48" s="183">
        <f t="shared" ca="1" si="6"/>
        <v>83.808724832214764</v>
      </c>
      <c r="O48" s="184">
        <f ca="1">IFERROR(__xludf.DUMMYFUNCTION("IMPORTRANGE(""https://docs.google.com/spreadsheets/d/1MeEWN-I1oV_STSDYn1IFDPWt_1FKiwhDph83XaGc0o0/edit?usp=sharing"",""งบพรบ!AY48"")"),0)</f>
        <v>0</v>
      </c>
      <c r="P48" s="184">
        <f t="shared" ca="1" si="36"/>
        <v>0</v>
      </c>
      <c r="Q48" s="183">
        <f t="shared" ca="1" si="8"/>
        <v>0</v>
      </c>
      <c r="R48" s="181">
        <f ca="1">IFERROR(__xludf.DUMMYFUNCTION("IMPORTRANGE(""https://docs.google.com/spreadsheets/d/16UeMz0UgOB5BZcoxP75eYGcLFtGYRn9GoesD4OX9m5U/edit?usp=sharing"",""หนองบัวลำภู!I98"")"),30)</f>
        <v>30</v>
      </c>
      <c r="S48" s="199">
        <f ca="1">IFERROR(__xludf.DUMMYFUNCTION("IMPORTRANGE(""https://docs.google.com/spreadsheets/d/16UeMz0UgOB5BZcoxP75eYGcLFtGYRn9GoesD4OX9m5U/edit?usp=sharing"",""หนองบัวลำภู!J98"")"),0)</f>
        <v>0</v>
      </c>
      <c r="T48" s="181">
        <f t="shared" ca="1" si="10"/>
        <v>0</v>
      </c>
      <c r="U48" s="181">
        <f ca="1">IFERROR(__xludf.DUMMYFUNCTION("IMPORTRANGE(""https://docs.google.com/spreadsheets/d/16UeMz0UgOB5BZcoxP75eYGcLFtGYRn9GoesD4OX9m5U/edit?usp=sharing"",""หนองบัวลำภู!I99"")"),10)</f>
        <v>10</v>
      </c>
      <c r="V48" s="181">
        <f ca="1">IFERROR(__xludf.DUMMYFUNCTION("IMPORTRANGE(""https://docs.google.com/spreadsheets/d/16UeMz0UgOB5BZcoxP75eYGcLFtGYRn9GoesD4OX9m5U/edit?usp=sharing"",""หนองบัวลำภู!I100"")"),2)</f>
        <v>2</v>
      </c>
      <c r="W48" s="181">
        <f ca="1">IFERROR(__xludf.DUMMYFUNCTION("IMPORTRANGE(""https://docs.google.com/spreadsheets/d/16UeMz0UgOB5BZcoxP75eYGcLFtGYRn9GoesD4OX9m5U/edit?usp=sharing"",""หนองบัวลำภู!J99"")"),0)</f>
        <v>0</v>
      </c>
      <c r="X48" s="185">
        <f t="shared" ca="1" si="12"/>
        <v>0</v>
      </c>
      <c r="Y48" s="186">
        <f ca="1">IFERROR(__xludf.DUMMYFUNCTION("IMPORTRANGE(""https://docs.google.com/spreadsheets/d/16UeMz0UgOB5BZcoxP75eYGcLFtGYRn9GoesD4OX9m5U/edit?usp=sharing"",""หนองบัวลำภู!J100"")"),0)</f>
        <v>0</v>
      </c>
      <c r="Z48" s="185">
        <f t="shared" ca="1" si="13"/>
        <v>0</v>
      </c>
      <c r="AA48" s="180">
        <f ca="1">IFERROR(__xludf.DUMMYFUNCTION("IMPORTRANGE(""https://docs.google.com/spreadsheets/d/16UeMz0UgOB5BZcoxP75eYGcLFtGYRn9GoesD4OX9m5U/edit?usp=sharing"",""หนองบัวลำภู!I102"")"),30)</f>
        <v>30</v>
      </c>
      <c r="AB48" s="180">
        <f ca="1">IFERROR(__xludf.DUMMYFUNCTION("IMPORTRANGE(""https://docs.google.com/spreadsheets/d/16UeMz0UgOB5BZcoxP75eYGcLFtGYRn9GoesD4OX9m5U/edit?usp=sharing"",""หนองบัวลำภู!I103"")"),10)</f>
        <v>10</v>
      </c>
      <c r="AC48" s="199" t="str">
        <f ca="1">IFERROR(__xludf.DUMMYFUNCTION("IMPORTRANGE(""https://docs.google.com/spreadsheets/d/16UeMz0UgOB5BZcoxP75eYGcLFtGYRn9GoesD4OX9m5U/edit?usp=sharing"",""หนองบัวลำภู!J102"")"),"")</f>
        <v/>
      </c>
      <c r="AD48" s="181">
        <f ca="1">IFERROR(__xludf.DUMMYFUNCTION("IMPORTRANGE(""https://docs.google.com/spreadsheets/d/16UeMz0UgOB5BZcoxP75eYGcLFtGYRn9GoesD4OX9m5U/edit?usp=sharing"",""หนองบัวลำภู!J103"")"),10)</f>
        <v>10</v>
      </c>
      <c r="AE48" s="181">
        <f ca="1">IFERROR(__xludf.DUMMYFUNCTION("IMPORTRANGE(""https://docs.google.com/spreadsheets/d/16UeMz0UgOB5BZcoxP75eYGcLFtGYRn9GoesD4OX9m5U/edit?usp=sharing"",""หนองบัวลำภู!J104"")"),0)</f>
        <v>0</v>
      </c>
      <c r="AF48" s="180">
        <f ca="1">IFERROR(__xludf.DUMMYFUNCTION("IMPORTRANGE(""https://docs.google.com/spreadsheets/d/16UeMz0UgOB5BZcoxP75eYGcLFtGYRn9GoesD4OX9m5U/edit?usp=sharing"",""หนองบัวลำภู!I106"")"),1)</f>
        <v>1</v>
      </c>
      <c r="AG48" s="181">
        <f ca="1">IFERROR(__xludf.DUMMYFUNCTION("IMPORTRANGE(""https://docs.google.com/spreadsheets/d/16UeMz0UgOB5BZcoxP75eYGcLFtGYRn9GoesD4OX9m5U/edit?usp=sharing"",""หนองบัวลำภู!J106"")"),0)</f>
        <v>0</v>
      </c>
      <c r="AH48" s="181">
        <f ca="1">IFERROR(__xludf.DUMMYFUNCTION("IMPORTRANGE(""https://docs.google.com/spreadsheets/d/16UeMz0UgOB5BZcoxP75eYGcLFtGYRn9GoesD4OX9m5U/edit?usp=sharing"",""หนองบัวลำภู!J107"")"),0)</f>
        <v>0</v>
      </c>
      <c r="AI48" s="180">
        <f ca="1">IFERROR(__xludf.DUMMYFUNCTION("IMPORTRANGE(""https://docs.google.com/spreadsheets/d/16UeMz0UgOB5BZcoxP75eYGcLFtGYRn9GoesD4OX9m5U/edit?usp=sharing"",""หนองบัวลำภู!I109"")"),1)</f>
        <v>1</v>
      </c>
      <c r="AJ48" s="181">
        <f ca="1">IFERROR(__xludf.DUMMYFUNCTION("IMPORTRANGE(""https://docs.google.com/spreadsheets/d/16UeMz0UgOB5BZcoxP75eYGcLFtGYRn9GoesD4OX9m5U/edit?usp=sharing"",""หนองบัวลำภู!J109"")"),0)</f>
        <v>0</v>
      </c>
      <c r="AK48" s="181">
        <f ca="1">IFERROR(__xludf.DUMMYFUNCTION("IMPORTRANGE(""https://docs.google.com/spreadsheets/d/16UeMz0UgOB5BZcoxP75eYGcLFtGYRn9GoesD4OX9m5U/edit?usp=sharing"",""หนองบัวลำภู!J110"")"),0)</f>
        <v>0</v>
      </c>
      <c r="AL48" s="180">
        <f ca="1">IFERROR(__xludf.DUMMYFUNCTION("IMPORTRANGE(""https://docs.google.com/spreadsheets/d/16UeMz0UgOB5BZcoxP75eYGcLFtGYRn9GoesD4OX9m5U/edit?usp=sharing"",""หนองบัวลำภู!I111"")"),10)</f>
        <v>10</v>
      </c>
      <c r="AM48" s="180">
        <f ca="1">IFERROR(__xludf.DUMMYFUNCTION("IMPORTRANGE(""https://docs.google.com/spreadsheets/d/16UeMz0UgOB5BZcoxP75eYGcLFtGYRn9GoesD4OX9m5U/edit?usp=sharing"",""หนองบัวลำภู!I112"")"),2)</f>
        <v>2</v>
      </c>
      <c r="AN48" s="181">
        <f ca="1">IFERROR(__xludf.DUMMYFUNCTION("IMPORTRANGE(""https://docs.google.com/spreadsheets/d/16UeMz0UgOB5BZcoxP75eYGcLFtGYRn9GoesD4OX9m5U/edit?usp=sharing"",""หนองบัวลำภู!J111"")"),0)</f>
        <v>0</v>
      </c>
      <c r="AO48" s="181">
        <f t="shared" ca="1" si="15"/>
        <v>0</v>
      </c>
      <c r="AP48" s="181">
        <f ca="1">IFERROR(__xludf.DUMMYFUNCTION("IMPORTRANGE(""https://docs.google.com/spreadsheets/d/16UeMz0UgOB5BZcoxP75eYGcLFtGYRn9GoesD4OX9m5U/edit?usp=sharing"",""หนองบัวลำภู!J112"")"),0)</f>
        <v>0</v>
      </c>
      <c r="AQ48" s="183">
        <f t="shared" ca="1" si="16"/>
        <v>0</v>
      </c>
      <c r="AR48" s="180">
        <f ca="1">IFERROR(__xludf.DUMMYFUNCTION("IMPORTRANGE(""https://docs.google.com/spreadsheets/d/16UeMz0UgOB5BZcoxP75eYGcLFtGYRn9GoesD4OX9m5U/edit?usp=sharing"",""หนองบัวลำภู!I113"")"),10)</f>
        <v>10</v>
      </c>
      <c r="AS48" s="180">
        <f ca="1">IFERROR(__xludf.DUMMYFUNCTION("IMPORTRANGE(""https://docs.google.com/spreadsheets/d/16UeMz0UgOB5BZcoxP75eYGcLFtGYRn9GoesD4OX9m5U/edit?usp=sharing"",""หนองบัวลำภู!J113"")"),0)</f>
        <v>0</v>
      </c>
      <c r="AT48" s="180">
        <f ca="1">IFERROR(__xludf.DUMMYFUNCTION("IMPORTRANGE(""https://docs.google.com/spreadsheets/d/16UeMz0UgOB5BZcoxP75eYGcLFtGYRn9GoesD4OX9m5U/edit?usp=sharing"",""หนองบัวลำภู!J114"")"),0)</f>
        <v>0</v>
      </c>
      <c r="AU48" s="180">
        <f ca="1">IFERROR(__xludf.DUMMYFUNCTION("IMPORTRANGE(""https://docs.google.com/spreadsheets/d/16UeMz0UgOB5BZcoxP75eYGcLFtGYRn9GoesD4OX9m5U/edit?usp=sharing"",""หนองบัวลำภู!I115"")"),1)</f>
        <v>1</v>
      </c>
      <c r="AV48" s="181">
        <f ca="1">IFERROR(__xludf.DUMMYFUNCTION("IMPORTRANGE(""https://docs.google.com/spreadsheets/d/16UeMz0UgOB5BZcoxP75eYGcLFtGYRn9GoesD4OX9m5U/edit?usp=sharing"",""หนองบัวลำภู!J115"")"),0)</f>
        <v>0</v>
      </c>
      <c r="AW48" s="183">
        <f t="shared" ca="1" si="18"/>
        <v>0</v>
      </c>
      <c r="AX48" s="180">
        <f ca="1">IFERROR(__xludf.DUMMYFUNCTION("IMPORTRANGE(""https://docs.google.com/spreadsheets/d/16UeMz0UgOB5BZcoxP75eYGcLFtGYRn9GoesD4OX9m5U/edit?usp=sharing"",""หนองบัวลำภู!I116"")"),1)</f>
        <v>1</v>
      </c>
      <c r="AY48" s="181">
        <f ca="1">IFERROR(__xludf.DUMMYFUNCTION("IMPORTRANGE(""https://docs.google.com/spreadsheets/d/16UeMz0UgOB5BZcoxP75eYGcLFtGYRn9GoesD4OX9m5U/edit?usp=sharing"",""หนองบัวลำภู!J116"")"),0)</f>
        <v>0</v>
      </c>
      <c r="AZ48" s="183">
        <f t="shared" ca="1" si="20"/>
        <v>0</v>
      </c>
    </row>
    <row r="49" spans="1:52" ht="21" customHeight="1" x14ac:dyDescent="0.3">
      <c r="A49" s="176">
        <v>18</v>
      </c>
      <c r="B49" s="177" t="s">
        <v>71</v>
      </c>
      <c r="C49" s="178">
        <f t="shared" ca="1" si="0"/>
        <v>56040</v>
      </c>
      <c r="D49" s="179">
        <f t="shared" ca="1" si="49"/>
        <v>56040</v>
      </c>
      <c r="E49" s="180">
        <f ca="1">IFERROR(__xludf.DUMMYFUNCTION("IMPORTRANGE(""https://docs.google.com/spreadsheets/d/1MeEWN-I1oV_STSDYn1IFDPWt_1FKiwhDph83XaGc0o0/edit?usp=sharing"",""งบพรบ!AR49"")"),0)</f>
        <v>0</v>
      </c>
      <c r="F49" s="180">
        <f ca="1">IFERROR(__xludf.DUMMYFUNCTION("IMPORTRANGE(""https://docs.google.com/spreadsheets/d/1MeEWN-I1oV_STSDYn1IFDPWt_1FKiwhDph83XaGc0o0/edit?usp=sharing"",""งบพรบ!AS49"")"),56040)</f>
        <v>56040</v>
      </c>
      <c r="G49" s="180">
        <f ca="1">IFERROR(__xludf.DUMMYFUNCTION("IMPORTRANGE(""https://docs.google.com/spreadsheets/d/1MeEWN-I1oV_STSDYn1IFDPWt_1FKiwhDph83XaGc0o0/edit?usp=sharing"",""งบพรบ!AT49"")"),0)</f>
        <v>0</v>
      </c>
      <c r="H49" s="180">
        <f ca="1">IFERROR(__xludf.DUMMYFUNCTION("IMPORTRANGE(""https://docs.google.com/spreadsheets/d/1MeEWN-I1oV_STSDYn1IFDPWt_1FKiwhDph83XaGc0o0/edit?usp=sharing"",""งบพรบ!AV49"")"),44340)</f>
        <v>44340</v>
      </c>
      <c r="I49" s="180">
        <f ca="1">IFERROR(__xludf.DUMMYFUNCTION("IMPORTRANGE(""https://docs.google.com/spreadsheets/d/1MeEWN-I1oV_STSDYn1IFDPWt_1FKiwhDph83XaGc0o0/edit?usp=sharing"",""งบพรบ!AW49"")"),0)</f>
        <v>0</v>
      </c>
      <c r="J49" s="180">
        <f t="shared" ca="1" si="3"/>
        <v>44180</v>
      </c>
      <c r="K49" s="187">
        <f t="shared" ca="1" si="4"/>
        <v>78.836545324768025</v>
      </c>
      <c r="L49" s="180">
        <f ca="1">IFERROR(__xludf.DUMMYFUNCTION("IMPORTRANGE(""https://docs.google.com/spreadsheets/d/1MeEWN-I1oV_STSDYn1IFDPWt_1FKiwhDph83XaGc0o0/edit?usp=sharing"",""งบพรบ!AX49"")"),44180)</f>
        <v>44180</v>
      </c>
      <c r="M49" s="183">
        <f t="shared" ca="1" si="5"/>
        <v>78.836545324768025</v>
      </c>
      <c r="N49" s="183">
        <f t="shared" ca="1" si="6"/>
        <v>99.639152007216964</v>
      </c>
      <c r="O49" s="184">
        <f ca="1">IFERROR(__xludf.DUMMYFUNCTION("IMPORTRANGE(""https://docs.google.com/spreadsheets/d/1MeEWN-I1oV_STSDYn1IFDPWt_1FKiwhDph83XaGc0o0/edit?usp=sharing"",""งบพรบ!AY49"")"),0)</f>
        <v>0</v>
      </c>
      <c r="P49" s="184">
        <f t="shared" ca="1" si="36"/>
        <v>0</v>
      </c>
      <c r="Q49" s="183">
        <f t="shared" ca="1" si="8"/>
        <v>0</v>
      </c>
      <c r="R49" s="181">
        <f ca="1">IFERROR(__xludf.DUMMYFUNCTION("IMPORTRANGE(""https://docs.google.com/spreadsheets/d/1uUP8Zo1-qaJLuIkRU0qlwLSE3DHkbdrrj2JGJiWBQZE/edit?usp=sharing"",""อำนาจเจริญ!I98"")"),30)</f>
        <v>30</v>
      </c>
      <c r="S49" s="181">
        <f ca="1">IFERROR(__xludf.DUMMYFUNCTION("IMPORTRANGE(""https://docs.google.com/spreadsheets/d/1uUP8Zo1-qaJLuIkRU0qlwLSE3DHkbdrrj2JGJiWBQZE/edit?usp=sharing"",""อำนาจเจริญ!J98"")"),30)</f>
        <v>30</v>
      </c>
      <c r="T49" s="181">
        <f t="shared" ca="1" si="10"/>
        <v>100</v>
      </c>
      <c r="U49" s="181">
        <f ca="1">IFERROR(__xludf.DUMMYFUNCTION("IMPORTRANGE(""https://docs.google.com/spreadsheets/d/1uUP8Zo1-qaJLuIkRU0qlwLSE3DHkbdrrj2JGJiWBQZE/edit?usp=sharing"",""อำนาจเจริญ!I99"")"),10)</f>
        <v>10</v>
      </c>
      <c r="V49" s="181">
        <f ca="1">IFERROR(__xludf.DUMMYFUNCTION("IMPORTRANGE(""https://docs.google.com/spreadsheets/d/1uUP8Zo1-qaJLuIkRU0qlwLSE3DHkbdrrj2JGJiWBQZE/edit?usp=sharing"",""อำนาจเจริญ!I100"")"),1)</f>
        <v>1</v>
      </c>
      <c r="W49" s="181">
        <f ca="1">IFERROR(__xludf.DUMMYFUNCTION("IMPORTRANGE(""https://docs.google.com/spreadsheets/d/1uUP8Zo1-qaJLuIkRU0qlwLSE3DHkbdrrj2JGJiWBQZE/edit?usp=sharing"",""อำนาจเจริญ!J99"")"),10)</f>
        <v>10</v>
      </c>
      <c r="X49" s="185">
        <f t="shared" ca="1" si="12"/>
        <v>100</v>
      </c>
      <c r="Y49" s="186">
        <f ca="1">IFERROR(__xludf.DUMMYFUNCTION("IMPORTRANGE(""https://docs.google.com/spreadsheets/d/1uUP8Zo1-qaJLuIkRU0qlwLSE3DHkbdrrj2JGJiWBQZE/edit?usp=sharing"",""อำนาจเจริญ!J100"")"),0)</f>
        <v>0</v>
      </c>
      <c r="Z49" s="185">
        <f t="shared" ca="1" si="13"/>
        <v>0</v>
      </c>
      <c r="AA49" s="180">
        <f ca="1">IFERROR(__xludf.DUMMYFUNCTION("IMPORTRANGE(""https://docs.google.com/spreadsheets/d/1uUP8Zo1-qaJLuIkRU0qlwLSE3DHkbdrrj2JGJiWBQZE/edit?usp=sharing"",""อำนาจเจริญ!I102"")"),30)</f>
        <v>30</v>
      </c>
      <c r="AB49" s="180">
        <f ca="1">IFERROR(__xludf.DUMMYFUNCTION("IMPORTRANGE(""https://docs.google.com/spreadsheets/d/1uUP8Zo1-qaJLuIkRU0qlwLSE3DHkbdrrj2JGJiWBQZE/edit?usp=sharing"",""อำนาจเจริญ!I103"")"),10)</f>
        <v>10</v>
      </c>
      <c r="AC49" s="181">
        <f ca="1">IFERROR(__xludf.DUMMYFUNCTION("IMPORTRANGE(""https://docs.google.com/spreadsheets/d/1uUP8Zo1-qaJLuIkRU0qlwLSE3DHkbdrrj2JGJiWBQZE/edit?usp=sharing"",""อำนาจเจริญ!J102"")"),30)</f>
        <v>30</v>
      </c>
      <c r="AD49" s="181">
        <f ca="1">IFERROR(__xludf.DUMMYFUNCTION("IMPORTRANGE(""https://docs.google.com/spreadsheets/d/1uUP8Zo1-qaJLuIkRU0qlwLSE3DHkbdrrj2JGJiWBQZE/edit?usp=sharing"",""อำนาจเจริญ!J103"")"),10)</f>
        <v>10</v>
      </c>
      <c r="AE49" s="181">
        <f ca="1">IFERROR(__xludf.DUMMYFUNCTION("IMPORTRANGE(""https://docs.google.com/spreadsheets/d/1uUP8Zo1-qaJLuIkRU0qlwLSE3DHkbdrrj2JGJiWBQZE/edit?usp=sharing"",""อำนาจเจริญ!J104"")"),10)</f>
        <v>10</v>
      </c>
      <c r="AF49" s="180">
        <f ca="1">IFERROR(__xludf.DUMMYFUNCTION("IMPORTRANGE(""https://docs.google.com/spreadsheets/d/1uUP8Zo1-qaJLuIkRU0qlwLSE3DHkbdrrj2JGJiWBQZE/edit?usp=sharing"",""อำนาจเจริญ!I106"")"),1)</f>
        <v>1</v>
      </c>
      <c r="AG49" s="181">
        <f ca="1">IFERROR(__xludf.DUMMYFUNCTION("IMPORTRANGE(""https://docs.google.com/spreadsheets/d/1uUP8Zo1-qaJLuIkRU0qlwLSE3DHkbdrrj2JGJiWBQZE/edit?usp=sharing"",""อำนาจเจริญ!J106"")"),0)</f>
        <v>0</v>
      </c>
      <c r="AH49" s="181">
        <f ca="1">IFERROR(__xludf.DUMMYFUNCTION("IMPORTRANGE(""https://docs.google.com/spreadsheets/d/1uUP8Zo1-qaJLuIkRU0qlwLSE3DHkbdrrj2JGJiWBQZE/edit?usp=sharing"",""อำนาจเจริญ!J107"")"),0)</f>
        <v>0</v>
      </c>
      <c r="AI49" s="180">
        <f ca="1">IFERROR(__xludf.DUMMYFUNCTION("IMPORTRANGE(""https://docs.google.com/spreadsheets/d/1uUP8Zo1-qaJLuIkRU0qlwLSE3DHkbdrrj2JGJiWBQZE/edit?usp=sharing"",""อำนาจเจริญ!I109"")"),0)</f>
        <v>0</v>
      </c>
      <c r="AJ49" s="181">
        <f ca="1">IFERROR(__xludf.DUMMYFUNCTION("IMPORTRANGE(""https://docs.google.com/spreadsheets/d/1uUP8Zo1-qaJLuIkRU0qlwLSE3DHkbdrrj2JGJiWBQZE/edit?usp=sharing"",""อำนาจเจริญ!J109"")"),0)</f>
        <v>0</v>
      </c>
      <c r="AK49" s="181">
        <f ca="1">IFERROR(__xludf.DUMMYFUNCTION("IMPORTRANGE(""https://docs.google.com/spreadsheets/d/1uUP8Zo1-qaJLuIkRU0qlwLSE3DHkbdrrj2JGJiWBQZE/edit?usp=sharing"",""อำนาจเจริญ!J110"")"),0)</f>
        <v>0</v>
      </c>
      <c r="AL49" s="180">
        <f ca="1">IFERROR(__xludf.DUMMYFUNCTION("IMPORTRANGE(""https://docs.google.com/spreadsheets/d/1uUP8Zo1-qaJLuIkRU0qlwLSE3DHkbdrrj2JGJiWBQZE/edit?usp=sharing"",""อำนาจเจริญ!I111"")"),10)</f>
        <v>10</v>
      </c>
      <c r="AM49" s="180">
        <f ca="1">IFERROR(__xludf.DUMMYFUNCTION("IMPORTRANGE(""https://docs.google.com/spreadsheets/d/1uUP8Zo1-qaJLuIkRU0qlwLSE3DHkbdrrj2JGJiWBQZE/edit?usp=sharing"",""อำนาจเจริญ!I112"")"),1)</f>
        <v>1</v>
      </c>
      <c r="AN49" s="181">
        <f ca="1">IFERROR(__xludf.DUMMYFUNCTION("IMPORTRANGE(""https://docs.google.com/spreadsheets/d/1uUP8Zo1-qaJLuIkRU0qlwLSE3DHkbdrrj2JGJiWBQZE/edit?usp=sharing"",""อำนาจเจริญ!J111"")"),0)</f>
        <v>0</v>
      </c>
      <c r="AO49" s="181">
        <f t="shared" ca="1" si="15"/>
        <v>0</v>
      </c>
      <c r="AP49" s="181">
        <f ca="1">IFERROR(__xludf.DUMMYFUNCTION("IMPORTRANGE(""https://docs.google.com/spreadsheets/d/1uUP8Zo1-qaJLuIkRU0qlwLSE3DHkbdrrj2JGJiWBQZE/edit?usp=sharing"",""อำนาจเจริญ!J112"")"),0)</f>
        <v>0</v>
      </c>
      <c r="AQ49" s="183">
        <f t="shared" ca="1" si="16"/>
        <v>0</v>
      </c>
      <c r="AR49" s="180">
        <f ca="1">IFERROR(__xludf.DUMMYFUNCTION("IMPORTRANGE(""https://docs.google.com/spreadsheets/d/1uUP8Zo1-qaJLuIkRU0qlwLSE3DHkbdrrj2JGJiWBQZE/edit?usp=sharing"",""อำนาจเจริญ!I113"")"),10)</f>
        <v>10</v>
      </c>
      <c r="AS49" s="180">
        <f ca="1">IFERROR(__xludf.DUMMYFUNCTION("IMPORTRANGE(""https://docs.google.com/spreadsheets/d/1uUP8Zo1-qaJLuIkRU0qlwLSE3DHkbdrrj2JGJiWBQZE/edit?usp=sharing"",""อำนาจเจริญ!J113"")"),0)</f>
        <v>0</v>
      </c>
      <c r="AT49" s="180">
        <f ca="1">IFERROR(__xludf.DUMMYFUNCTION("IMPORTRANGE(""https://docs.google.com/spreadsheets/d/1uUP8Zo1-qaJLuIkRU0qlwLSE3DHkbdrrj2JGJiWBQZE/edit?usp=sharing"",""อำนาจเจริญ!J114"")"),0)</f>
        <v>0</v>
      </c>
      <c r="AU49" s="180">
        <f ca="1">IFERROR(__xludf.DUMMYFUNCTION("IMPORTRANGE(""https://docs.google.com/spreadsheets/d/1uUP8Zo1-qaJLuIkRU0qlwLSE3DHkbdrrj2JGJiWBQZE/edit?usp=sharing"",""อำนาจเจริญ!I115"")"),1)</f>
        <v>1</v>
      </c>
      <c r="AV49" s="181">
        <f ca="1">IFERROR(__xludf.DUMMYFUNCTION("IMPORTRANGE(""https://docs.google.com/spreadsheets/d/1uUP8Zo1-qaJLuIkRU0qlwLSE3DHkbdrrj2JGJiWBQZE/edit?usp=sharing"",""อำนาจเจริญ!J115"")"),0)</f>
        <v>0</v>
      </c>
      <c r="AW49" s="183">
        <f t="shared" ca="1" si="18"/>
        <v>0</v>
      </c>
      <c r="AX49" s="180">
        <f ca="1">IFERROR(__xludf.DUMMYFUNCTION("IMPORTRANGE(""https://docs.google.com/spreadsheets/d/1uUP8Zo1-qaJLuIkRU0qlwLSE3DHkbdrrj2JGJiWBQZE/edit?usp=sharing"",""อำนาจเจริญ!I116"")"),0)</f>
        <v>0</v>
      </c>
      <c r="AY49" s="181">
        <f ca="1">IFERROR(__xludf.DUMMYFUNCTION("IMPORTRANGE(""https://docs.google.com/spreadsheets/d/1uUP8Zo1-qaJLuIkRU0qlwLSE3DHkbdrrj2JGJiWBQZE/edit?usp=sharing"",""อำนาจเจริญ!J116"")"),0)</f>
        <v>0</v>
      </c>
      <c r="AZ49" s="183">
        <f t="shared" ca="1" si="20"/>
        <v>0</v>
      </c>
    </row>
    <row r="50" spans="1:52" ht="21" customHeight="1" x14ac:dyDescent="0.3">
      <c r="A50" s="176">
        <v>19</v>
      </c>
      <c r="B50" s="177" t="s">
        <v>72</v>
      </c>
      <c r="C50" s="178">
        <f t="shared" ca="1" si="0"/>
        <v>85840</v>
      </c>
      <c r="D50" s="179">
        <f t="shared" ca="1" si="49"/>
        <v>85840</v>
      </c>
      <c r="E50" s="180">
        <f ca="1">IFERROR(__xludf.DUMMYFUNCTION("IMPORTRANGE(""https://docs.google.com/spreadsheets/d/1MeEWN-I1oV_STSDYn1IFDPWt_1FKiwhDph83XaGc0o0/edit?usp=sharing"",""งบพรบ!AR50"")"),0)</f>
        <v>0</v>
      </c>
      <c r="F50" s="180">
        <f ca="1">IFERROR(__xludf.DUMMYFUNCTION("IMPORTRANGE(""https://docs.google.com/spreadsheets/d/1MeEWN-I1oV_STSDYn1IFDPWt_1FKiwhDph83XaGc0o0/edit?usp=sharing"",""งบพรบ!AS50"")"),85840)</f>
        <v>85840</v>
      </c>
      <c r="G50" s="180">
        <f ca="1">IFERROR(__xludf.DUMMYFUNCTION("IMPORTRANGE(""https://docs.google.com/spreadsheets/d/1MeEWN-I1oV_STSDYn1IFDPWt_1FKiwhDph83XaGc0o0/edit?usp=sharing"",""งบพรบ!AT50"")"),0)</f>
        <v>0</v>
      </c>
      <c r="H50" s="180">
        <f ca="1">IFERROR(__xludf.DUMMYFUNCTION("IMPORTRANGE(""https://docs.google.com/spreadsheets/d/1MeEWN-I1oV_STSDYn1IFDPWt_1FKiwhDph83XaGc0o0/edit?usp=sharing"",""งบพรบ!AV50"")"),79140)</f>
        <v>79140</v>
      </c>
      <c r="I50" s="180">
        <f ca="1">IFERROR(__xludf.DUMMYFUNCTION("IMPORTRANGE(""https://docs.google.com/spreadsheets/d/1MeEWN-I1oV_STSDYn1IFDPWt_1FKiwhDph83XaGc0o0/edit?usp=sharing"",""งบพรบ!AW50"")"),0)</f>
        <v>0</v>
      </c>
      <c r="J50" s="180">
        <f t="shared" ca="1" si="3"/>
        <v>35340</v>
      </c>
      <c r="K50" s="187">
        <f t="shared" ca="1" si="4"/>
        <v>41.169617893755827</v>
      </c>
      <c r="L50" s="180">
        <f ca="1">IFERROR(__xludf.DUMMYFUNCTION("IMPORTRANGE(""https://docs.google.com/spreadsheets/d/1MeEWN-I1oV_STSDYn1IFDPWt_1FKiwhDph83XaGc0o0/edit?usp=sharing"",""งบพรบ!AX50"")"),35340)</f>
        <v>35340</v>
      </c>
      <c r="M50" s="183">
        <f t="shared" ca="1" si="5"/>
        <v>41.169617893755827</v>
      </c>
      <c r="N50" s="183">
        <f t="shared" ca="1" si="6"/>
        <v>44.655041698256255</v>
      </c>
      <c r="O50" s="184">
        <f ca="1">IFERROR(__xludf.DUMMYFUNCTION("IMPORTRANGE(""https://docs.google.com/spreadsheets/d/1MeEWN-I1oV_STSDYn1IFDPWt_1FKiwhDph83XaGc0o0/edit?usp=sharing"",""งบพรบ!AY50"")"),0)</f>
        <v>0</v>
      </c>
      <c r="P50" s="184">
        <f t="shared" ca="1" si="36"/>
        <v>0</v>
      </c>
      <c r="Q50" s="183">
        <f t="shared" ca="1" si="8"/>
        <v>0</v>
      </c>
      <c r="R50" s="181">
        <f ca="1">IFERROR(__xludf.DUMMYFUNCTION("IMPORTRANGE(""https://docs.google.com/spreadsheets/d/1hb_taSOHanzRjqfzWPiFo8yiT83VV1L7vvUCLhOiHKc/edit?usp=sharing"",""อุดรธานี!I98"")"),30)</f>
        <v>30</v>
      </c>
      <c r="S50" s="181">
        <f ca="1">IFERROR(__xludf.DUMMYFUNCTION("IMPORTRANGE(""https://docs.google.com/spreadsheets/d/1hb_taSOHanzRjqfzWPiFo8yiT83VV1L7vvUCLhOiHKc/edit?usp=sharing"",""อุดรธานี!J98"")"),0)</f>
        <v>0</v>
      </c>
      <c r="T50" s="181">
        <f t="shared" ca="1" si="10"/>
        <v>0</v>
      </c>
      <c r="U50" s="181">
        <f ca="1">IFERROR(__xludf.DUMMYFUNCTION("IMPORTRANGE(""https://docs.google.com/spreadsheets/d/1hb_taSOHanzRjqfzWPiFo8yiT83VV1L7vvUCLhOiHKc/edit?usp=sharing"",""อุดรธานี!I99"")"),10)</f>
        <v>10</v>
      </c>
      <c r="V50" s="181">
        <f ca="1">IFERROR(__xludf.DUMMYFUNCTION("IMPORTRANGE(""https://docs.google.com/spreadsheets/d/1hb_taSOHanzRjqfzWPiFo8yiT83VV1L7vvUCLhOiHKc/edit?usp=sharing"",""อุดรธานี!I100"")"),2)</f>
        <v>2</v>
      </c>
      <c r="W50" s="181">
        <f ca="1">IFERROR(__xludf.DUMMYFUNCTION("IMPORTRANGE(""https://docs.google.com/spreadsheets/d/1hb_taSOHanzRjqfzWPiFo8yiT83VV1L7vvUCLhOiHKc/edit?usp=sharing"",""อุดรธานี!J99"")"),0)</f>
        <v>0</v>
      </c>
      <c r="X50" s="185">
        <f t="shared" ca="1" si="12"/>
        <v>0</v>
      </c>
      <c r="Y50" s="186">
        <f ca="1">IFERROR(__xludf.DUMMYFUNCTION("IMPORTRANGE(""https://docs.google.com/spreadsheets/d/1hb_taSOHanzRjqfzWPiFo8yiT83VV1L7vvUCLhOiHKc/edit?usp=sharing"",""อุดรธานี!J100"")"),0)</f>
        <v>0</v>
      </c>
      <c r="Z50" s="185">
        <f t="shared" ca="1" si="13"/>
        <v>0</v>
      </c>
      <c r="AA50" s="180">
        <f ca="1">IFERROR(__xludf.DUMMYFUNCTION("IMPORTRANGE(""https://docs.google.com/spreadsheets/d/1hb_taSOHanzRjqfzWPiFo8yiT83VV1L7vvUCLhOiHKc/edit?usp=sharing"",""อุดรธานี!I102"")"),30)</f>
        <v>30</v>
      </c>
      <c r="AB50" s="180">
        <f ca="1">IFERROR(__xludf.DUMMYFUNCTION("IMPORTRANGE(""https://docs.google.com/spreadsheets/d/1hb_taSOHanzRjqfzWPiFo8yiT83VV1L7vvUCLhOiHKc/edit?usp=sharing"",""อุดรธานี!I103"")"),10)</f>
        <v>10</v>
      </c>
      <c r="AC50" s="181">
        <f ca="1">IFERROR(__xludf.DUMMYFUNCTION("IMPORTRANGE(""https://docs.google.com/spreadsheets/d/1hb_taSOHanzRjqfzWPiFo8yiT83VV1L7vvUCLhOiHKc/edit?usp=sharing"",""อุดรธานี!J102"")"),0)</f>
        <v>0</v>
      </c>
      <c r="AD50" s="181">
        <f ca="1">IFERROR(__xludf.DUMMYFUNCTION("IMPORTRANGE(""https://docs.google.com/spreadsheets/d/1hb_taSOHanzRjqfzWPiFo8yiT83VV1L7vvUCLhOiHKc/edit?usp=sharing"",""อุดรธานี!J103"")"),0)</f>
        <v>0</v>
      </c>
      <c r="AE50" s="181">
        <f ca="1">IFERROR(__xludf.DUMMYFUNCTION("IMPORTRANGE(""https://docs.google.com/spreadsheets/d/1hb_taSOHanzRjqfzWPiFo8yiT83VV1L7vvUCLhOiHKc/edit?usp=sharing"",""อุดรธานี!J104"")"),0)</f>
        <v>0</v>
      </c>
      <c r="AF50" s="180">
        <f ca="1">IFERROR(__xludf.DUMMYFUNCTION("IMPORTRANGE(""https://docs.google.com/spreadsheets/d/1hb_taSOHanzRjqfzWPiFo8yiT83VV1L7vvUCLhOiHKc/edit?usp=sharing"",""อุดรธานี!I106"")"),1)</f>
        <v>1</v>
      </c>
      <c r="AG50" s="181">
        <f ca="1">IFERROR(__xludf.DUMMYFUNCTION("IMPORTRANGE(""https://docs.google.com/spreadsheets/d/1hb_taSOHanzRjqfzWPiFo8yiT83VV1L7vvUCLhOiHKc/edit?usp=sharing"",""อุดรธานี!J106"")"),0)</f>
        <v>0</v>
      </c>
      <c r="AH50" s="181">
        <f ca="1">IFERROR(__xludf.DUMMYFUNCTION("IMPORTRANGE(""https://docs.google.com/spreadsheets/d/1hb_taSOHanzRjqfzWPiFo8yiT83VV1L7vvUCLhOiHKc/edit?usp=sharing"",""อุดรธานี!J107"")"),0)</f>
        <v>0</v>
      </c>
      <c r="AI50" s="180">
        <f ca="1">IFERROR(__xludf.DUMMYFUNCTION("IMPORTRANGE(""https://docs.google.com/spreadsheets/d/1hb_taSOHanzRjqfzWPiFo8yiT83VV1L7vvUCLhOiHKc/edit?usp=sharing"",""อุดรธานี!I109"")"),1)</f>
        <v>1</v>
      </c>
      <c r="AJ50" s="181">
        <f ca="1">IFERROR(__xludf.DUMMYFUNCTION("IMPORTRANGE(""https://docs.google.com/spreadsheets/d/1hb_taSOHanzRjqfzWPiFo8yiT83VV1L7vvUCLhOiHKc/edit?usp=sharing"",""อุดรธานี!J109"")"),0)</f>
        <v>0</v>
      </c>
      <c r="AK50" s="181">
        <f ca="1">IFERROR(__xludf.DUMMYFUNCTION("IMPORTRANGE(""https://docs.google.com/spreadsheets/d/1hb_taSOHanzRjqfzWPiFo8yiT83VV1L7vvUCLhOiHKc/edit?usp=sharing"",""อุดรธานี!J110"")"),0)</f>
        <v>0</v>
      </c>
      <c r="AL50" s="180">
        <f ca="1">IFERROR(__xludf.DUMMYFUNCTION("IMPORTRANGE(""https://docs.google.com/spreadsheets/d/1hb_taSOHanzRjqfzWPiFo8yiT83VV1L7vvUCLhOiHKc/edit?usp=sharing"",""อุดรธานี!I111"")"),10)</f>
        <v>10</v>
      </c>
      <c r="AM50" s="180">
        <f ca="1">IFERROR(__xludf.DUMMYFUNCTION("IMPORTRANGE(""https://docs.google.com/spreadsheets/d/1hb_taSOHanzRjqfzWPiFo8yiT83VV1L7vvUCLhOiHKc/edit?usp=sharing"",""อุดรธานี!I112"")"),2)</f>
        <v>2</v>
      </c>
      <c r="AN50" s="181">
        <f ca="1">IFERROR(__xludf.DUMMYFUNCTION("IMPORTRANGE(""https://docs.google.com/spreadsheets/d/1hb_taSOHanzRjqfzWPiFo8yiT83VV1L7vvUCLhOiHKc/edit?usp=sharing"",""อุดรธานี!J111"")"),0)</f>
        <v>0</v>
      </c>
      <c r="AO50" s="181">
        <f t="shared" ca="1" si="15"/>
        <v>0</v>
      </c>
      <c r="AP50" s="181">
        <f ca="1">IFERROR(__xludf.DUMMYFUNCTION("IMPORTRANGE(""https://docs.google.com/spreadsheets/d/1hb_taSOHanzRjqfzWPiFo8yiT83VV1L7vvUCLhOiHKc/edit?usp=sharing"",""อุดรธานี!J112"")"),0)</f>
        <v>0</v>
      </c>
      <c r="AQ50" s="183">
        <f t="shared" ca="1" si="16"/>
        <v>0</v>
      </c>
      <c r="AR50" s="180">
        <f ca="1">IFERROR(__xludf.DUMMYFUNCTION("IMPORTRANGE(""https://docs.google.com/spreadsheets/d/1hb_taSOHanzRjqfzWPiFo8yiT83VV1L7vvUCLhOiHKc/edit?usp=sharing"",""อุดรธานี!I113"")"),10)</f>
        <v>10</v>
      </c>
      <c r="AS50" s="180">
        <f ca="1">IFERROR(__xludf.DUMMYFUNCTION("IMPORTRANGE(""https://docs.google.com/spreadsheets/d/1hb_taSOHanzRjqfzWPiFo8yiT83VV1L7vvUCLhOiHKc/edit?usp=sharing"",""อุดรธานี!J113"")"),0)</f>
        <v>0</v>
      </c>
      <c r="AT50" s="180">
        <f ca="1">IFERROR(__xludf.DUMMYFUNCTION("IMPORTRANGE(""https://docs.google.com/spreadsheets/d/1hb_taSOHanzRjqfzWPiFo8yiT83VV1L7vvUCLhOiHKc/edit?usp=sharing"",""อุดรธานี!J114"")"),0)</f>
        <v>0</v>
      </c>
      <c r="AU50" s="180">
        <f ca="1">IFERROR(__xludf.DUMMYFUNCTION("IMPORTRANGE(""https://docs.google.com/spreadsheets/d/1hb_taSOHanzRjqfzWPiFo8yiT83VV1L7vvUCLhOiHKc/edit?usp=sharing"",""อุดรธานี!I115"")"),1)</f>
        <v>1</v>
      </c>
      <c r="AV50" s="181">
        <f ca="1">IFERROR(__xludf.DUMMYFUNCTION("IMPORTRANGE(""https://docs.google.com/spreadsheets/d/1hb_taSOHanzRjqfzWPiFo8yiT83VV1L7vvUCLhOiHKc/edit?usp=sharing"",""อุดรธานี!J115"")"),0)</f>
        <v>0</v>
      </c>
      <c r="AW50" s="183">
        <f t="shared" ca="1" si="18"/>
        <v>0</v>
      </c>
      <c r="AX50" s="180">
        <f ca="1">IFERROR(__xludf.DUMMYFUNCTION("IMPORTRANGE(""https://docs.google.com/spreadsheets/d/1hb_taSOHanzRjqfzWPiFo8yiT83VV1L7vvUCLhOiHKc/edit?usp=sharing"",""อุดรธานี!I116"")"),1)</f>
        <v>1</v>
      </c>
      <c r="AY50" s="181">
        <f ca="1">IFERROR(__xludf.DUMMYFUNCTION("IMPORTRANGE(""https://docs.google.com/spreadsheets/d/1hb_taSOHanzRjqfzWPiFo8yiT83VV1L7vvUCLhOiHKc/edit?usp=sharing"",""อุดรธานี!J116"")"),0)</f>
        <v>0</v>
      </c>
      <c r="AZ50" s="183">
        <f t="shared" ca="1" si="20"/>
        <v>0</v>
      </c>
    </row>
    <row r="51" spans="1:52" ht="21" customHeight="1" x14ac:dyDescent="0.3">
      <c r="A51" s="188">
        <v>20</v>
      </c>
      <c r="B51" s="189" t="s">
        <v>73</v>
      </c>
      <c r="C51" s="190">
        <f t="shared" ca="1" si="0"/>
        <v>98960</v>
      </c>
      <c r="D51" s="191">
        <f t="shared" ca="1" si="49"/>
        <v>98960</v>
      </c>
      <c r="E51" s="192">
        <f ca="1">IFERROR(__xludf.DUMMYFUNCTION("IMPORTRANGE(""https://docs.google.com/spreadsheets/d/1MeEWN-I1oV_STSDYn1IFDPWt_1FKiwhDph83XaGc0o0/edit?usp=sharing"",""งบพรบ!AR51"")"),0)</f>
        <v>0</v>
      </c>
      <c r="F51" s="192">
        <f ca="1">IFERROR(__xludf.DUMMYFUNCTION("IMPORTRANGE(""https://docs.google.com/spreadsheets/d/1MeEWN-I1oV_STSDYn1IFDPWt_1FKiwhDph83XaGc0o0/edit?usp=sharing"",""งบพรบ!AS51"")"),98960)</f>
        <v>98960</v>
      </c>
      <c r="G51" s="192">
        <f ca="1">IFERROR(__xludf.DUMMYFUNCTION("IMPORTRANGE(""https://docs.google.com/spreadsheets/d/1MeEWN-I1oV_STSDYn1IFDPWt_1FKiwhDph83XaGc0o0/edit?usp=sharing"",""งบพรบ!AT51"")"),0)</f>
        <v>0</v>
      </c>
      <c r="H51" s="192">
        <f ca="1">IFERROR(__xludf.DUMMYFUNCTION("IMPORTRANGE(""https://docs.google.com/spreadsheets/d/1MeEWN-I1oV_STSDYn1IFDPWt_1FKiwhDph83XaGc0o0/edit?usp=sharing"",""งบพรบ!AV51"")"),35260)</f>
        <v>35260</v>
      </c>
      <c r="I51" s="192">
        <f ca="1">IFERROR(__xludf.DUMMYFUNCTION("IMPORTRANGE(""https://docs.google.com/spreadsheets/d/1MeEWN-I1oV_STSDYn1IFDPWt_1FKiwhDph83XaGc0o0/edit?usp=sharing"",""งบพรบ!AW51"")"),0)</f>
        <v>0</v>
      </c>
      <c r="J51" s="192">
        <f t="shared" ca="1" si="3"/>
        <v>27960</v>
      </c>
      <c r="K51" s="193">
        <f t="shared" ca="1" si="4"/>
        <v>28.253839935327406</v>
      </c>
      <c r="L51" s="192">
        <f ca="1">IFERROR(__xludf.DUMMYFUNCTION("IMPORTRANGE(""https://docs.google.com/spreadsheets/d/1MeEWN-I1oV_STSDYn1IFDPWt_1FKiwhDph83XaGc0o0/edit?usp=sharing"",""งบพรบ!AX51"")"),27960)</f>
        <v>27960</v>
      </c>
      <c r="M51" s="194">
        <f t="shared" ca="1" si="5"/>
        <v>28.253839935327406</v>
      </c>
      <c r="N51" s="194">
        <f t="shared" ca="1" si="6"/>
        <v>79.296653431650597</v>
      </c>
      <c r="O51" s="195">
        <f ca="1">IFERROR(__xludf.DUMMYFUNCTION("IMPORTRANGE(""https://docs.google.com/spreadsheets/d/1MeEWN-I1oV_STSDYn1IFDPWt_1FKiwhDph83XaGc0o0/edit?usp=sharing"",""งบพรบ!AY51"")"),0)</f>
        <v>0</v>
      </c>
      <c r="P51" s="195">
        <f t="shared" ca="1" si="36"/>
        <v>0</v>
      </c>
      <c r="Q51" s="194">
        <f t="shared" ca="1" si="8"/>
        <v>0</v>
      </c>
      <c r="R51" s="196">
        <f ca="1">IFERROR(__xludf.DUMMYFUNCTION("IMPORTRANGE(""https://docs.google.com/spreadsheets/d/17IOkEwkUd63EGNfyNDnM5de9YlZ7rwzTiW6-dokVjKI/edit?usp=sharing"",""อุบลราชธานี!I98"")"),45)</f>
        <v>45</v>
      </c>
      <c r="S51" s="457">
        <f ca="1">IFERROR(__xludf.DUMMYFUNCTION("IMPORTRANGE(""https://docs.google.com/spreadsheets/d/17IOkEwkUd63EGNfyNDnM5de9YlZ7rwzTiW6-dokVjKI/edit?usp=sharing"",""อุบลราชธานี!J98"")"),45)</f>
        <v>45</v>
      </c>
      <c r="T51" s="196">
        <f t="shared" ca="1" si="10"/>
        <v>100</v>
      </c>
      <c r="U51" s="196">
        <f ca="1">IFERROR(__xludf.DUMMYFUNCTION("IMPORTRANGE(""https://docs.google.com/spreadsheets/d/17IOkEwkUd63EGNfyNDnM5de9YlZ7rwzTiW6-dokVjKI/edit?usp=sharing"",""อุบลราชธานี!I99"")"),15)</f>
        <v>15</v>
      </c>
      <c r="V51" s="196">
        <f ca="1">IFERROR(__xludf.DUMMYFUNCTION("IMPORTRANGE(""https://docs.google.com/spreadsheets/d/17IOkEwkUd63EGNfyNDnM5de9YlZ7rwzTiW6-dokVjKI/edit?usp=sharing"",""อุบลราชธานี!I100"")"),2)</f>
        <v>2</v>
      </c>
      <c r="W51" s="457">
        <f ca="1">IFERROR(__xludf.DUMMYFUNCTION("IMPORTRANGE(""https://docs.google.com/spreadsheets/d/17IOkEwkUd63EGNfyNDnM5de9YlZ7rwzTiW6-dokVjKI/edit?usp=sharing"",""อุบลราชธานี!J99"")"),15)</f>
        <v>15</v>
      </c>
      <c r="X51" s="197">
        <f t="shared" ca="1" si="12"/>
        <v>100</v>
      </c>
      <c r="Y51" s="198">
        <f ca="1">IFERROR(__xludf.DUMMYFUNCTION("IMPORTRANGE(""https://docs.google.com/spreadsheets/d/17IOkEwkUd63EGNfyNDnM5de9YlZ7rwzTiW6-dokVjKI/edit?usp=sharing"",""อุบลราชธานี!J100"")"),0)</f>
        <v>0</v>
      </c>
      <c r="Z51" s="197">
        <f t="shared" ca="1" si="13"/>
        <v>0</v>
      </c>
      <c r="AA51" s="192">
        <f ca="1">IFERROR(__xludf.DUMMYFUNCTION("IMPORTRANGE(""https://docs.google.com/spreadsheets/d/17IOkEwkUd63EGNfyNDnM5de9YlZ7rwzTiW6-dokVjKI/edit?usp=sharing"",""อุบลราชธานี!I102"")"),45)</f>
        <v>45</v>
      </c>
      <c r="AB51" s="192">
        <f ca="1">IFERROR(__xludf.DUMMYFUNCTION("IMPORTRANGE(""https://docs.google.com/spreadsheets/d/17IOkEwkUd63EGNfyNDnM5de9YlZ7rwzTiW6-dokVjKI/edit?usp=sharing"",""อุบลราชธานี!I103"")"),15)</f>
        <v>15</v>
      </c>
      <c r="AC51" s="457">
        <f ca="1">IFERROR(__xludf.DUMMYFUNCTION("IMPORTRANGE(""https://docs.google.com/spreadsheets/d/17IOkEwkUd63EGNfyNDnM5de9YlZ7rwzTiW6-dokVjKI/edit?usp=sharing"",""อุบลราชธานี!J102"")"),45)</f>
        <v>45</v>
      </c>
      <c r="AD51" s="457">
        <f ca="1">IFERROR(__xludf.DUMMYFUNCTION("IMPORTRANGE(""https://docs.google.com/spreadsheets/d/17IOkEwkUd63EGNfyNDnM5de9YlZ7rwzTiW6-dokVjKI/edit?usp=sharing"",""อุบลราชธานี!J103"")"),15)</f>
        <v>15</v>
      </c>
      <c r="AE51" s="457">
        <f ca="1">IFERROR(__xludf.DUMMYFUNCTION("IMPORTRANGE(""https://docs.google.com/spreadsheets/d/17IOkEwkUd63EGNfyNDnM5de9YlZ7rwzTiW6-dokVjKI/edit?usp=sharing"",""อุบลราชธานี!J104"")"),15)</f>
        <v>15</v>
      </c>
      <c r="AF51" s="192">
        <f ca="1">IFERROR(__xludf.DUMMYFUNCTION("IMPORTRANGE(""https://docs.google.com/spreadsheets/d/17IOkEwkUd63EGNfyNDnM5de9YlZ7rwzTiW6-dokVjKI/edit?usp=sharing"",""อุบลราชธานี!I106"")"),1)</f>
        <v>1</v>
      </c>
      <c r="AG51" s="455">
        <f ca="1">IFERROR(__xludf.DUMMYFUNCTION("IMPORTRANGE(""https://docs.google.com/spreadsheets/d/17IOkEwkUd63EGNfyNDnM5de9YlZ7rwzTiW6-dokVjKI/edit?usp=sharing"",""อุบลราชธานี!J106"")"),0)</f>
        <v>0</v>
      </c>
      <c r="AH51" s="455">
        <f ca="1">IFERROR(__xludf.DUMMYFUNCTION("IMPORTRANGE(""https://docs.google.com/spreadsheets/d/17IOkEwkUd63EGNfyNDnM5de9YlZ7rwzTiW6-dokVjKI/edit?usp=sharing"",""อุบลราชธานี!J107"")"),0)</f>
        <v>0</v>
      </c>
      <c r="AI51" s="192">
        <f ca="1">IFERROR(__xludf.DUMMYFUNCTION("IMPORTRANGE(""https://docs.google.com/spreadsheets/d/17IOkEwkUd63EGNfyNDnM5de9YlZ7rwzTiW6-dokVjKI/edit?usp=sharing"",""อุบลราชธานี!I109"")"),1)</f>
        <v>1</v>
      </c>
      <c r="AJ51" s="455">
        <f ca="1">IFERROR(__xludf.DUMMYFUNCTION("IMPORTRANGE(""https://docs.google.com/spreadsheets/d/17IOkEwkUd63EGNfyNDnM5de9YlZ7rwzTiW6-dokVjKI/edit?usp=sharing"",""อุบลราชธานี!J109"")"),0)</f>
        <v>0</v>
      </c>
      <c r="AK51" s="455">
        <f ca="1">IFERROR(__xludf.DUMMYFUNCTION("IMPORTRANGE(""https://docs.google.com/spreadsheets/d/17IOkEwkUd63EGNfyNDnM5de9YlZ7rwzTiW6-dokVjKI/edit?usp=sharing"",""อุบลราชธานี!J110"")"),0)</f>
        <v>0</v>
      </c>
      <c r="AL51" s="192">
        <f ca="1">IFERROR(__xludf.DUMMYFUNCTION("IMPORTRANGE(""https://docs.google.com/spreadsheets/d/17IOkEwkUd63EGNfyNDnM5de9YlZ7rwzTiW6-dokVjKI/edit?usp=sharing"",""อุบลราชธานี!I111"")"),15)</f>
        <v>15</v>
      </c>
      <c r="AM51" s="192">
        <f ca="1">IFERROR(__xludf.DUMMYFUNCTION("IMPORTRANGE(""https://docs.google.com/spreadsheets/d/17IOkEwkUd63EGNfyNDnM5de9YlZ7rwzTiW6-dokVjKI/edit?usp=sharing"",""อุบลราชธานี!I112"")"),2)</f>
        <v>2</v>
      </c>
      <c r="AN51" s="200">
        <f ca="1">IFERROR(__xludf.DUMMYFUNCTION("IMPORTRANGE(""https://docs.google.com/spreadsheets/d/17IOkEwkUd63EGNfyNDnM5de9YlZ7rwzTiW6-dokVjKI/edit?usp=sharing"",""อุบลราชธานี!J111"")"),0)</f>
        <v>0</v>
      </c>
      <c r="AO51" s="196">
        <f t="shared" ca="1" si="15"/>
        <v>0</v>
      </c>
      <c r="AP51" s="196">
        <f ca="1">IFERROR(__xludf.DUMMYFUNCTION("IMPORTRANGE(""https://docs.google.com/spreadsheets/d/17IOkEwkUd63EGNfyNDnM5de9YlZ7rwzTiW6-dokVjKI/edit?usp=sharing"",""อุบลราชธานี!J112"")"),0)</f>
        <v>0</v>
      </c>
      <c r="AQ51" s="194">
        <f t="shared" ca="1" si="16"/>
        <v>0</v>
      </c>
      <c r="AR51" s="192">
        <f ca="1">IFERROR(__xludf.DUMMYFUNCTION("IMPORTRANGE(""https://docs.google.com/spreadsheets/d/17IOkEwkUd63EGNfyNDnM5de9YlZ7rwzTiW6-dokVjKI/edit?usp=sharing"",""อุบลราชธานี!I113"")"),15)</f>
        <v>15</v>
      </c>
      <c r="AS51" s="456">
        <f ca="1">IFERROR(__xludf.DUMMYFUNCTION("IMPORTRANGE(""https://docs.google.com/spreadsheets/d/17IOkEwkUd63EGNfyNDnM5de9YlZ7rwzTiW6-dokVjKI/edit?usp=sharing"",""อุบลราชธานี!J113"")"),0)</f>
        <v>0</v>
      </c>
      <c r="AT51" s="456">
        <f ca="1">IFERROR(__xludf.DUMMYFUNCTION("IMPORTRANGE(""https://docs.google.com/spreadsheets/d/17IOkEwkUd63EGNfyNDnM5de9YlZ7rwzTiW6-dokVjKI/edit?usp=sharing"",""อุบลราชธานี!J114"")"),0)</f>
        <v>0</v>
      </c>
      <c r="AU51" s="192">
        <f ca="1">IFERROR(__xludf.DUMMYFUNCTION("IMPORTRANGE(""https://docs.google.com/spreadsheets/d/17IOkEwkUd63EGNfyNDnM5de9YlZ7rwzTiW6-dokVjKI/edit?usp=sharing"",""อุบลราชธานี!I115"")"),1)</f>
        <v>1</v>
      </c>
      <c r="AV51" s="455">
        <f ca="1">IFERROR(__xludf.DUMMYFUNCTION("IMPORTRANGE(""https://docs.google.com/spreadsheets/d/17IOkEwkUd63EGNfyNDnM5de9YlZ7rwzTiW6-dokVjKI/edit?usp=sharing"",""อุบลราชธานี!J115"")"),0)</f>
        <v>0</v>
      </c>
      <c r="AW51" s="194">
        <f t="shared" ca="1" si="18"/>
        <v>0</v>
      </c>
      <c r="AX51" s="192">
        <f ca="1">IFERROR(__xludf.DUMMYFUNCTION("IMPORTRANGE(""https://docs.google.com/spreadsheets/d/17IOkEwkUd63EGNfyNDnM5de9YlZ7rwzTiW6-dokVjKI/edit?usp=sharing"",""อุบลราชธานี!I116"")"),1)</f>
        <v>1</v>
      </c>
      <c r="AY51" s="455">
        <f ca="1">IFERROR(__xludf.DUMMYFUNCTION("IMPORTRANGE(""https://docs.google.com/spreadsheets/d/17IOkEwkUd63EGNfyNDnM5de9YlZ7rwzTiW6-dokVjKI/edit?usp=sharing"",""อุบลราชธานี!J116"")"),0)</f>
        <v>0</v>
      </c>
      <c r="AZ51" s="194">
        <f t="shared" ca="1" si="20"/>
        <v>0</v>
      </c>
    </row>
    <row r="52" spans="1:52" ht="21" customHeight="1" x14ac:dyDescent="0.3">
      <c r="A52" s="398" t="s">
        <v>74</v>
      </c>
      <c r="B52" s="397"/>
      <c r="C52" s="158">
        <f t="shared" ca="1" si="0"/>
        <v>3424660</v>
      </c>
      <c r="D52" s="158">
        <f t="shared" ref="D52:I52" ca="1" si="50">SUM(D53:D73)</f>
        <v>3424660</v>
      </c>
      <c r="E52" s="158">
        <f t="shared" ca="1" si="50"/>
        <v>1724200</v>
      </c>
      <c r="F52" s="158">
        <f t="shared" ca="1" si="50"/>
        <v>1700460</v>
      </c>
      <c r="G52" s="158">
        <f t="shared" ca="1" si="50"/>
        <v>0</v>
      </c>
      <c r="H52" s="158">
        <f t="shared" ca="1" si="50"/>
        <v>2281815</v>
      </c>
      <c r="I52" s="158">
        <f t="shared" ca="1" si="50"/>
        <v>0</v>
      </c>
      <c r="J52" s="158">
        <f t="shared" ca="1" si="3"/>
        <v>1150922.1400000001</v>
      </c>
      <c r="K52" s="159">
        <f t="shared" ca="1" si="4"/>
        <v>33.606902291030352</v>
      </c>
      <c r="L52" s="158">
        <f ca="1">SUM(L53:L73)</f>
        <v>1150922.1400000001</v>
      </c>
      <c r="M52" s="160">
        <f t="shared" ca="1" si="5"/>
        <v>33.606902291030352</v>
      </c>
      <c r="N52" s="160">
        <f t="shared" ca="1" si="6"/>
        <v>50.438889217574612</v>
      </c>
      <c r="O52" s="161">
        <f ca="1">SUM(O53:O73)</f>
        <v>0</v>
      </c>
      <c r="P52" s="161">
        <f t="shared" ca="1" si="36"/>
        <v>0</v>
      </c>
      <c r="Q52" s="160">
        <f t="shared" ca="1" si="8"/>
        <v>0</v>
      </c>
      <c r="R52" s="158">
        <f t="shared" ref="R52:S52" ca="1" si="51">SUM(R53:R73)</f>
        <v>645</v>
      </c>
      <c r="S52" s="158">
        <f t="shared" ca="1" si="51"/>
        <v>480</v>
      </c>
      <c r="T52" s="158">
        <f t="shared" ca="1" si="10"/>
        <v>74.418604651162795</v>
      </c>
      <c r="U52" s="158">
        <f t="shared" ref="U52:W52" ca="1" si="52">SUM(U53:U73)</f>
        <v>215</v>
      </c>
      <c r="V52" s="158">
        <f t="shared" ca="1" si="52"/>
        <v>38</v>
      </c>
      <c r="W52" s="158">
        <f t="shared" ca="1" si="52"/>
        <v>90</v>
      </c>
      <c r="X52" s="160">
        <f t="shared" ca="1" si="12"/>
        <v>41.860465116279073</v>
      </c>
      <c r="Y52" s="161">
        <f ca="1">SUM(Y53:Y73)</f>
        <v>5</v>
      </c>
      <c r="Z52" s="160">
        <f t="shared" ca="1" si="13"/>
        <v>13.157894736842104</v>
      </c>
      <c r="AA52" s="158">
        <f t="shared" ref="AA52:AN52" ca="1" si="53">SUM(AA53:AA73)</f>
        <v>645</v>
      </c>
      <c r="AB52" s="158">
        <f t="shared" ca="1" si="53"/>
        <v>215</v>
      </c>
      <c r="AC52" s="158">
        <f t="shared" ca="1" si="53"/>
        <v>480</v>
      </c>
      <c r="AD52" s="158">
        <f t="shared" ca="1" si="53"/>
        <v>180</v>
      </c>
      <c r="AE52" s="158">
        <f t="shared" ca="1" si="53"/>
        <v>90</v>
      </c>
      <c r="AF52" s="158">
        <f t="shared" ca="1" si="53"/>
        <v>17</v>
      </c>
      <c r="AG52" s="158">
        <f t="shared" ca="1" si="53"/>
        <v>1</v>
      </c>
      <c r="AH52" s="158">
        <f t="shared" ca="1" si="53"/>
        <v>1</v>
      </c>
      <c r="AI52" s="158">
        <f t="shared" ca="1" si="53"/>
        <v>21</v>
      </c>
      <c r="AJ52" s="158">
        <f t="shared" ca="1" si="53"/>
        <v>4</v>
      </c>
      <c r="AK52" s="158">
        <f t="shared" ca="1" si="53"/>
        <v>4</v>
      </c>
      <c r="AL52" s="158">
        <f t="shared" ca="1" si="53"/>
        <v>215</v>
      </c>
      <c r="AM52" s="158">
        <f t="shared" ca="1" si="53"/>
        <v>38</v>
      </c>
      <c r="AN52" s="158">
        <f t="shared" ca="1" si="53"/>
        <v>15</v>
      </c>
      <c r="AO52" s="158">
        <f t="shared" ca="1" si="15"/>
        <v>6.9767441860465116</v>
      </c>
      <c r="AP52" s="158">
        <f ca="1">SUM(AP53:AP73)</f>
        <v>1</v>
      </c>
      <c r="AQ52" s="160">
        <f t="shared" ca="1" si="16"/>
        <v>2.6315789473684212</v>
      </c>
      <c r="AR52" s="158">
        <f t="shared" ref="AR52:AV52" ca="1" si="54">SUM(AR53:AR73)</f>
        <v>215</v>
      </c>
      <c r="AS52" s="158">
        <f t="shared" ca="1" si="54"/>
        <v>15</v>
      </c>
      <c r="AT52" s="158">
        <f t="shared" ca="1" si="54"/>
        <v>15</v>
      </c>
      <c r="AU52" s="158">
        <f t="shared" ca="1" si="54"/>
        <v>17</v>
      </c>
      <c r="AV52" s="158">
        <f t="shared" ca="1" si="54"/>
        <v>0</v>
      </c>
      <c r="AW52" s="160">
        <f t="shared" ca="1" si="18"/>
        <v>0</v>
      </c>
      <c r="AX52" s="158">
        <f t="shared" ref="AX52:AY52" ca="1" si="55">SUM(AX53:AX73)</f>
        <v>21</v>
      </c>
      <c r="AY52" s="158">
        <f t="shared" ca="1" si="55"/>
        <v>1</v>
      </c>
      <c r="AZ52" s="160">
        <f t="shared" ca="1" si="20"/>
        <v>4.7619047619047619</v>
      </c>
    </row>
    <row r="53" spans="1:52" ht="21" customHeight="1" x14ac:dyDescent="0.3">
      <c r="A53" s="176">
        <v>1</v>
      </c>
      <c r="B53" s="177" t="s">
        <v>75</v>
      </c>
      <c r="C53" s="178">
        <f t="shared" ca="1" si="0"/>
        <v>86340</v>
      </c>
      <c r="D53" s="179">
        <f t="shared" ref="D53:D73" ca="1" si="56">+E53+F53</f>
        <v>86340</v>
      </c>
      <c r="E53" s="180">
        <f ca="1">IFERROR(__xludf.DUMMYFUNCTION("IMPORTRANGE(""https://docs.google.com/spreadsheets/d/1MeEWN-I1oV_STSDYn1IFDPWt_1FKiwhDph83XaGc0o0/edit?usp=sharing"",""งบพรบ!AR53"")"),0)</f>
        <v>0</v>
      </c>
      <c r="F53" s="180">
        <f ca="1">IFERROR(__xludf.DUMMYFUNCTION("IMPORTRANGE(""https://docs.google.com/spreadsheets/d/1MeEWN-I1oV_STSDYn1IFDPWt_1FKiwhDph83XaGc0o0/edit?usp=sharing"",""งบพรบ!AS53"")"),86340)</f>
        <v>86340</v>
      </c>
      <c r="G53" s="181">
        <f ca="1">IFERROR(__xludf.DUMMYFUNCTION("IMPORTRANGE(""https://docs.google.com/spreadsheets/d/1MeEWN-I1oV_STSDYn1IFDPWt_1FKiwhDph83XaGc0o0/edit?usp=sharing"",""งบพรบ!AT53"")"),0)</f>
        <v>0</v>
      </c>
      <c r="H53" s="181">
        <f ca="1">IFERROR(__xludf.DUMMYFUNCTION("IMPORTRANGE(""https://docs.google.com/spreadsheets/d/1MeEWN-I1oV_STSDYn1IFDPWt_1FKiwhDph83XaGc0o0/edit?usp=sharing"",""งบพรบ!AV53"")"),24140)</f>
        <v>24140</v>
      </c>
      <c r="I53" s="181">
        <f ca="1">IFERROR(__xludf.DUMMYFUNCTION("IMPORTRANGE(""https://docs.google.com/spreadsheets/d/1MeEWN-I1oV_STSDYn1IFDPWt_1FKiwhDph83XaGc0o0/edit?usp=sharing"",""งบพรบ!AW53"")"),0)</f>
        <v>0</v>
      </c>
      <c r="J53" s="181">
        <f t="shared" ca="1" si="3"/>
        <v>0</v>
      </c>
      <c r="K53" s="182">
        <f t="shared" ca="1" si="4"/>
        <v>0</v>
      </c>
      <c r="L53" s="181">
        <f ca="1">IFERROR(__xludf.DUMMYFUNCTION("IMPORTRANGE(""https://docs.google.com/spreadsheets/d/1MeEWN-I1oV_STSDYn1IFDPWt_1FKiwhDph83XaGc0o0/edit?usp=sharing"",""งบพรบ!AX53"")"),0)</f>
        <v>0</v>
      </c>
      <c r="M53" s="183">
        <f t="shared" ca="1" si="5"/>
        <v>0</v>
      </c>
      <c r="N53" s="183">
        <f t="shared" ca="1" si="6"/>
        <v>0</v>
      </c>
      <c r="O53" s="184">
        <f ca="1">IFERROR(__xludf.DUMMYFUNCTION("IMPORTRANGE(""https://docs.google.com/spreadsheets/d/1MeEWN-I1oV_STSDYn1IFDPWt_1FKiwhDph83XaGc0o0/edit?usp=sharing"",""งบพรบ!AY53"")"),0)</f>
        <v>0</v>
      </c>
      <c r="P53" s="184">
        <f t="shared" ca="1" si="36"/>
        <v>0</v>
      </c>
      <c r="Q53" s="183">
        <f t="shared" ca="1" si="8"/>
        <v>0</v>
      </c>
      <c r="R53" s="181">
        <f ca="1">IFERROR(__xludf.DUMMYFUNCTION("IMPORTRANGE(""https://docs.google.com/spreadsheets/d/1hKO5uv94SSRZWOvrh72HRcpyoEQF9TsE_Cvxl77XNU4/edit?usp=sharing"",""กาญจนบุรี!I98"")"),30)</f>
        <v>30</v>
      </c>
      <c r="S53" s="181">
        <f ca="1">IFERROR(__xludf.DUMMYFUNCTION("IMPORTRANGE(""https://docs.google.com/spreadsheets/d/1hKO5uv94SSRZWOvrh72HRcpyoEQF9TsE_Cvxl77XNU4/edit?usp=sharing"",""กาญจนบุรี!J98"")"),0)</f>
        <v>0</v>
      </c>
      <c r="T53" s="181">
        <f t="shared" ca="1" si="10"/>
        <v>0</v>
      </c>
      <c r="U53" s="181">
        <f ca="1">IFERROR(__xludf.DUMMYFUNCTION("IMPORTRANGE(""https://docs.google.com/spreadsheets/d/1hKO5uv94SSRZWOvrh72HRcpyoEQF9TsE_Cvxl77XNU4/edit?usp=sharing"",""กาญจนบุรี!I99"")"),10)</f>
        <v>10</v>
      </c>
      <c r="V53" s="181">
        <f ca="1">IFERROR(__xludf.DUMMYFUNCTION("IMPORTRANGE(""https://docs.google.com/spreadsheets/d/1hKO5uv94SSRZWOvrh72HRcpyoEQF9TsE_Cvxl77XNU4/edit?usp=sharing"",""กาญจนบุรี!I100"")"),2)</f>
        <v>2</v>
      </c>
      <c r="W53" s="181">
        <f ca="1">IFERROR(__xludf.DUMMYFUNCTION("IMPORTRANGE(""https://docs.google.com/spreadsheets/d/1hKO5uv94SSRZWOvrh72HRcpyoEQF9TsE_Cvxl77XNU4/edit?usp=sharing"",""กาญจนบุรี!J99"")"),0)</f>
        <v>0</v>
      </c>
      <c r="X53" s="185">
        <f t="shared" ca="1" si="12"/>
        <v>0</v>
      </c>
      <c r="Y53" s="186">
        <f ca="1">IFERROR(__xludf.DUMMYFUNCTION("IMPORTRANGE(""https://docs.google.com/spreadsheets/d/1hKO5uv94SSRZWOvrh72HRcpyoEQF9TsE_Cvxl77XNU4/edit?usp=sharing"",""กาญจนบุรี!J100"")"),0)</f>
        <v>0</v>
      </c>
      <c r="Z53" s="185">
        <f t="shared" ca="1" si="13"/>
        <v>0</v>
      </c>
      <c r="AA53" s="180">
        <f ca="1">IFERROR(__xludf.DUMMYFUNCTION("IMPORTRANGE(""https://docs.google.com/spreadsheets/d/1hKO5uv94SSRZWOvrh72HRcpyoEQF9TsE_Cvxl77XNU4/edit?usp=sharing"",""กาญจนบุรี!I102"")"),30)</f>
        <v>30</v>
      </c>
      <c r="AB53" s="180">
        <f ca="1">IFERROR(__xludf.DUMMYFUNCTION("IMPORTRANGE(""https://docs.google.com/spreadsheets/d/1hKO5uv94SSRZWOvrh72HRcpyoEQF9TsE_Cvxl77XNU4/edit?usp=sharing"",""กาญจนบุรี!I103"")"),10)</f>
        <v>10</v>
      </c>
      <c r="AC53" s="181">
        <f ca="1">IFERROR(__xludf.DUMMYFUNCTION("IMPORTRANGE(""https://docs.google.com/spreadsheets/d/1hKO5uv94SSRZWOvrh72HRcpyoEQF9TsE_Cvxl77XNU4/edit?usp=sharing"",""กาญจนบุรี!J102"")"),0)</f>
        <v>0</v>
      </c>
      <c r="AD53" s="181">
        <f ca="1">IFERROR(__xludf.DUMMYFUNCTION("IMPORTRANGE(""https://docs.google.com/spreadsheets/d/1hKO5uv94SSRZWOvrh72HRcpyoEQF9TsE_Cvxl77XNU4/edit?usp=sharing"",""กาญจนบุรี!J103"")"),0)</f>
        <v>0</v>
      </c>
      <c r="AE53" s="181">
        <f ca="1">IFERROR(__xludf.DUMMYFUNCTION("IMPORTRANGE(""https://docs.google.com/spreadsheets/d/1hKO5uv94SSRZWOvrh72HRcpyoEQF9TsE_Cvxl77XNU4/edit?usp=sharing"",""กาญจนบุรี!J104"")"),0)</f>
        <v>0</v>
      </c>
      <c r="AF53" s="180">
        <f ca="1">IFERROR(__xludf.DUMMYFUNCTION("IMPORTRANGE(""https://docs.google.com/spreadsheets/d/1hKO5uv94SSRZWOvrh72HRcpyoEQF9TsE_Cvxl77XNU4/edit?usp=sharing"",""กาญจนบุรี!I106"")"),1)</f>
        <v>1</v>
      </c>
      <c r="AG53" s="181">
        <f ca="1">IFERROR(__xludf.DUMMYFUNCTION("IMPORTRANGE(""https://docs.google.com/spreadsheets/d/1hKO5uv94SSRZWOvrh72HRcpyoEQF9TsE_Cvxl77XNU4/edit?usp=sharing"",""กาญจนบุรี!J106"")"),0)</f>
        <v>0</v>
      </c>
      <c r="AH53" s="181">
        <f ca="1">IFERROR(__xludf.DUMMYFUNCTION("IMPORTRANGE(""https://docs.google.com/spreadsheets/d/1hKO5uv94SSRZWOvrh72HRcpyoEQF9TsE_Cvxl77XNU4/edit?usp=sharing"",""กาญจนบุรี!J107"")"),0)</f>
        <v>0</v>
      </c>
      <c r="AI53" s="180">
        <f ca="1">IFERROR(__xludf.DUMMYFUNCTION("IMPORTRANGE(""https://docs.google.com/spreadsheets/d/1hKO5uv94SSRZWOvrh72HRcpyoEQF9TsE_Cvxl77XNU4/edit?usp=sharing"",""กาญจนบุรี!I109"")"),1)</f>
        <v>1</v>
      </c>
      <c r="AJ53" s="181">
        <f ca="1">IFERROR(__xludf.DUMMYFUNCTION("IMPORTRANGE(""https://docs.google.com/spreadsheets/d/1hKO5uv94SSRZWOvrh72HRcpyoEQF9TsE_Cvxl77XNU4/edit?usp=sharing"",""กาญจนบุรี!J109"")"),0)</f>
        <v>0</v>
      </c>
      <c r="AK53" s="181">
        <f ca="1">IFERROR(__xludf.DUMMYFUNCTION("IMPORTRANGE(""https://docs.google.com/spreadsheets/d/1hKO5uv94SSRZWOvrh72HRcpyoEQF9TsE_Cvxl77XNU4/edit?usp=sharing"",""กาญจนบุรี!J110"")"),0)</f>
        <v>0</v>
      </c>
      <c r="AL53" s="180">
        <f ca="1">IFERROR(__xludf.DUMMYFUNCTION("IMPORTRANGE(""https://docs.google.com/spreadsheets/d/1hKO5uv94SSRZWOvrh72HRcpyoEQF9TsE_Cvxl77XNU4/edit?usp=sharing"",""กาญจนบุรี!I111"")"),10)</f>
        <v>10</v>
      </c>
      <c r="AM53" s="180">
        <f ca="1">IFERROR(__xludf.DUMMYFUNCTION("IMPORTRANGE(""https://docs.google.com/spreadsheets/d/1hKO5uv94SSRZWOvrh72HRcpyoEQF9TsE_Cvxl77XNU4/edit?usp=sharing"",""กาญจนบุรี!I112"")"),2)</f>
        <v>2</v>
      </c>
      <c r="AN53" s="181">
        <f ca="1">IFERROR(__xludf.DUMMYFUNCTION("IMPORTRANGE(""https://docs.google.com/spreadsheets/d/1hKO5uv94SSRZWOvrh72HRcpyoEQF9TsE_Cvxl77XNU4/edit?usp=sharing"",""กาญจนบุรี!J111"")"),0)</f>
        <v>0</v>
      </c>
      <c r="AO53" s="181">
        <f t="shared" ca="1" si="15"/>
        <v>0</v>
      </c>
      <c r="AP53" s="181">
        <f ca="1">IFERROR(__xludf.DUMMYFUNCTION("IMPORTRANGE(""https://docs.google.com/spreadsheets/d/1hKO5uv94SSRZWOvrh72HRcpyoEQF9TsE_Cvxl77XNU4/edit?usp=sharing"",""กาญจนบุรี!J112"")"),0)</f>
        <v>0</v>
      </c>
      <c r="AQ53" s="183">
        <f t="shared" ca="1" si="16"/>
        <v>0</v>
      </c>
      <c r="AR53" s="180">
        <f ca="1">IFERROR(__xludf.DUMMYFUNCTION("IMPORTRANGE(""https://docs.google.com/spreadsheets/d/1hKO5uv94SSRZWOvrh72HRcpyoEQF9TsE_Cvxl77XNU4/edit?usp=sharing"",""กาญจนบุรี!I113"")"),10)</f>
        <v>10</v>
      </c>
      <c r="AS53" s="180">
        <f ca="1">IFERROR(__xludf.DUMMYFUNCTION("IMPORTRANGE(""https://docs.google.com/spreadsheets/d/1hKO5uv94SSRZWOvrh72HRcpyoEQF9TsE_Cvxl77XNU4/edit?usp=sharing"",""กาญจนบุรี!J113"")"),0)</f>
        <v>0</v>
      </c>
      <c r="AT53" s="180">
        <f ca="1">IFERROR(__xludf.DUMMYFUNCTION("IMPORTRANGE(""https://docs.google.com/spreadsheets/d/1hKO5uv94SSRZWOvrh72HRcpyoEQF9TsE_Cvxl77XNU4/edit?usp=sharing"",""กาญจนบุรี!J114"")"),0)</f>
        <v>0</v>
      </c>
      <c r="AU53" s="180">
        <f ca="1">IFERROR(__xludf.DUMMYFUNCTION("IMPORTRANGE(""https://docs.google.com/spreadsheets/d/1hKO5uv94SSRZWOvrh72HRcpyoEQF9TsE_Cvxl77XNU4/edit?usp=sharing"",""กาญจนบุรี!I115"")"),1)</f>
        <v>1</v>
      </c>
      <c r="AV53" s="181">
        <f ca="1">IFERROR(__xludf.DUMMYFUNCTION("IMPORTRANGE(""https://docs.google.com/spreadsheets/d/1hKO5uv94SSRZWOvrh72HRcpyoEQF9TsE_Cvxl77XNU4/edit?usp=sharing"",""กาญจนบุรี!J115"")"),0)</f>
        <v>0</v>
      </c>
      <c r="AW53" s="183">
        <f t="shared" ca="1" si="18"/>
        <v>0</v>
      </c>
      <c r="AX53" s="180">
        <f ca="1">IFERROR(__xludf.DUMMYFUNCTION("IMPORTRANGE(""https://docs.google.com/spreadsheets/d/1hKO5uv94SSRZWOvrh72HRcpyoEQF9TsE_Cvxl77XNU4/edit?usp=sharing"",""กาญจนบุรี!I116"")"),1)</f>
        <v>1</v>
      </c>
      <c r="AY53" s="181">
        <f ca="1">IFERROR(__xludf.DUMMYFUNCTION("IMPORTRANGE(""https://docs.google.com/spreadsheets/d/1hKO5uv94SSRZWOvrh72HRcpyoEQF9TsE_Cvxl77XNU4/edit?usp=sharing"",""กาญจนบุรี!J116"")"),0)</f>
        <v>0</v>
      </c>
      <c r="AZ53" s="183">
        <f t="shared" ca="1" si="20"/>
        <v>0</v>
      </c>
    </row>
    <row r="54" spans="1:52" ht="21" customHeight="1" x14ac:dyDescent="0.3">
      <c r="A54" s="176">
        <v>2</v>
      </c>
      <c r="B54" s="177" t="s">
        <v>76</v>
      </c>
      <c r="C54" s="178">
        <f t="shared" ca="1" si="0"/>
        <v>378840</v>
      </c>
      <c r="D54" s="179">
        <f t="shared" ca="1" si="56"/>
        <v>378840</v>
      </c>
      <c r="E54" s="180">
        <f ca="1">IFERROR(__xludf.DUMMYFUNCTION("IMPORTRANGE(""https://docs.google.com/spreadsheets/d/1MeEWN-I1oV_STSDYn1IFDPWt_1FKiwhDph83XaGc0o0/edit?usp=sharing"",""งบพรบ!AR54"")"),293000)</f>
        <v>293000</v>
      </c>
      <c r="F54" s="180">
        <f ca="1">IFERROR(__xludf.DUMMYFUNCTION("IMPORTRANGE(""https://docs.google.com/spreadsheets/d/1MeEWN-I1oV_STSDYn1IFDPWt_1FKiwhDph83XaGc0o0/edit?usp=sharing"",""งบพรบ!AS54"")"),85840)</f>
        <v>85840</v>
      </c>
      <c r="G54" s="180">
        <f ca="1">IFERROR(__xludf.DUMMYFUNCTION("IMPORTRANGE(""https://docs.google.com/spreadsheets/d/1MeEWN-I1oV_STSDYn1IFDPWt_1FKiwhDph83XaGc0o0/edit?usp=sharing"",""งบพรบ!AT54"")"),0)</f>
        <v>0</v>
      </c>
      <c r="H54" s="180">
        <f ca="1">IFERROR(__xludf.DUMMYFUNCTION("IMPORTRANGE(""https://docs.google.com/spreadsheets/d/1MeEWN-I1oV_STSDYn1IFDPWt_1FKiwhDph83XaGc0o0/edit?usp=sharing"",""งบพรบ!AV54"")"),240140)</f>
        <v>240140</v>
      </c>
      <c r="I54" s="180">
        <f ca="1">IFERROR(__xludf.DUMMYFUNCTION("IMPORTRANGE(""https://docs.google.com/spreadsheets/d/1MeEWN-I1oV_STSDYn1IFDPWt_1FKiwhDph83XaGc0o0/edit?usp=sharing"",""งบพรบ!AW54"")"),0)</f>
        <v>0</v>
      </c>
      <c r="J54" s="180">
        <f t="shared" ca="1" si="3"/>
        <v>138139</v>
      </c>
      <c r="K54" s="187">
        <f t="shared" ca="1" si="4"/>
        <v>36.463678597824938</v>
      </c>
      <c r="L54" s="180">
        <f ca="1">IFERROR(__xludf.DUMMYFUNCTION("IMPORTRANGE(""https://docs.google.com/spreadsheets/d/1MeEWN-I1oV_STSDYn1IFDPWt_1FKiwhDph83XaGc0o0/edit?usp=sharing"",""งบพรบ!AX54"")"),138139)</f>
        <v>138139</v>
      </c>
      <c r="M54" s="183">
        <f t="shared" ca="1" si="5"/>
        <v>36.463678597824938</v>
      </c>
      <c r="N54" s="183">
        <f t="shared" ca="1" si="6"/>
        <v>57.524360789539436</v>
      </c>
      <c r="O54" s="184">
        <f ca="1">IFERROR(__xludf.DUMMYFUNCTION("IMPORTRANGE(""https://docs.google.com/spreadsheets/d/1MeEWN-I1oV_STSDYn1IFDPWt_1FKiwhDph83XaGc0o0/edit?usp=sharing"",""งบพรบ!AY54"")"),0)</f>
        <v>0</v>
      </c>
      <c r="P54" s="184">
        <f t="shared" ca="1" si="36"/>
        <v>0</v>
      </c>
      <c r="Q54" s="183">
        <f t="shared" ca="1" si="8"/>
        <v>0</v>
      </c>
      <c r="R54" s="181">
        <f ca="1">IFERROR(__xludf.DUMMYFUNCTION("IMPORTRANGE(""https://docs.google.com/spreadsheets/d/1njBaP_xXd-Uotvo2D9zb01TTCFkLJLDK97Tk1l9Qux0/edit?usp=sharing"",""จันทบุรี!I98"")"),30)</f>
        <v>30</v>
      </c>
      <c r="S54" s="181">
        <f ca="1">IFERROR(__xludf.DUMMYFUNCTION("IMPORTRANGE(""https://docs.google.com/spreadsheets/d/1njBaP_xXd-Uotvo2D9zb01TTCFkLJLDK97Tk1l9Qux0/edit?usp=sharing"",""จันทบุรี!J98"")"),0)</f>
        <v>0</v>
      </c>
      <c r="T54" s="181">
        <f t="shared" ca="1" si="10"/>
        <v>0</v>
      </c>
      <c r="U54" s="181">
        <f ca="1">IFERROR(__xludf.DUMMYFUNCTION("IMPORTRANGE(""https://docs.google.com/spreadsheets/d/1njBaP_xXd-Uotvo2D9zb01TTCFkLJLDK97Tk1l9Qux0/edit?usp=sharing"",""จันทบุรี!I99"")"),10)</f>
        <v>10</v>
      </c>
      <c r="V54" s="181">
        <f ca="1">IFERROR(__xludf.DUMMYFUNCTION("IMPORTRANGE(""https://docs.google.com/spreadsheets/d/1njBaP_xXd-Uotvo2D9zb01TTCFkLJLDK97Tk1l9Qux0/edit?usp=sharing"",""จันทบุรี!I100"")"),2)</f>
        <v>2</v>
      </c>
      <c r="W54" s="181">
        <f ca="1">IFERROR(__xludf.DUMMYFUNCTION("IMPORTRANGE(""https://docs.google.com/spreadsheets/d/1njBaP_xXd-Uotvo2D9zb01TTCFkLJLDK97Tk1l9Qux0/edit?usp=sharing"",""จันทบุรี!J99"")"),0)</f>
        <v>0</v>
      </c>
      <c r="X54" s="185">
        <f t="shared" ca="1" si="12"/>
        <v>0</v>
      </c>
      <c r="Y54" s="186">
        <f ca="1">IFERROR(__xludf.DUMMYFUNCTION("IMPORTRANGE(""https://docs.google.com/spreadsheets/d/1njBaP_xXd-Uotvo2D9zb01TTCFkLJLDK97Tk1l9Qux0/edit?usp=sharing"",""จันทบุรี!J100"")"),0)</f>
        <v>0</v>
      </c>
      <c r="Z54" s="185">
        <f t="shared" ca="1" si="13"/>
        <v>0</v>
      </c>
      <c r="AA54" s="180">
        <f ca="1">IFERROR(__xludf.DUMMYFUNCTION("IMPORTRANGE(""https://docs.google.com/spreadsheets/d/1njBaP_xXd-Uotvo2D9zb01TTCFkLJLDK97Tk1l9Qux0/edit?usp=sharing"",""จันทบุรี!I102"")"),30)</f>
        <v>30</v>
      </c>
      <c r="AB54" s="180">
        <f ca="1">IFERROR(__xludf.DUMMYFUNCTION("IMPORTRANGE(""https://docs.google.com/spreadsheets/d/1njBaP_xXd-Uotvo2D9zb01TTCFkLJLDK97Tk1l9Qux0/edit?usp=sharing"",""จันทบุรี!I103"")"),10)</f>
        <v>10</v>
      </c>
      <c r="AC54" s="181">
        <f ca="1">IFERROR(__xludf.DUMMYFUNCTION("IMPORTRANGE(""https://docs.google.com/spreadsheets/d/1njBaP_xXd-Uotvo2D9zb01TTCFkLJLDK97Tk1l9Qux0/edit?usp=sharing"",""จันทบุรี!J102"")"),0)</f>
        <v>0</v>
      </c>
      <c r="AD54" s="181">
        <f ca="1">IFERROR(__xludf.DUMMYFUNCTION("IMPORTRANGE(""https://docs.google.com/spreadsheets/d/1njBaP_xXd-Uotvo2D9zb01TTCFkLJLDK97Tk1l9Qux0/edit?usp=sharing"",""จันทบุรี!J103"")"),0)</f>
        <v>0</v>
      </c>
      <c r="AE54" s="181">
        <f ca="1">IFERROR(__xludf.DUMMYFUNCTION("IMPORTRANGE(""https://docs.google.com/spreadsheets/d/1njBaP_xXd-Uotvo2D9zb01TTCFkLJLDK97Tk1l9Qux0/edit?usp=sharing"",""จันทบุรี!J104"")"),0)</f>
        <v>0</v>
      </c>
      <c r="AF54" s="180">
        <f ca="1">IFERROR(__xludf.DUMMYFUNCTION("IMPORTRANGE(""https://docs.google.com/spreadsheets/d/1njBaP_xXd-Uotvo2D9zb01TTCFkLJLDK97Tk1l9Qux0/edit?usp=sharing"",""จันทบุรี!I106"")"),1)</f>
        <v>1</v>
      </c>
      <c r="AG54" s="181">
        <f ca="1">IFERROR(__xludf.DUMMYFUNCTION("IMPORTRANGE(""https://docs.google.com/spreadsheets/d/1njBaP_xXd-Uotvo2D9zb01TTCFkLJLDK97Tk1l9Qux0/edit?usp=sharing"",""จันทบุรี!J106"")"),0)</f>
        <v>0</v>
      </c>
      <c r="AH54" s="181">
        <f ca="1">IFERROR(__xludf.DUMMYFUNCTION("IMPORTRANGE(""https://docs.google.com/spreadsheets/d/1njBaP_xXd-Uotvo2D9zb01TTCFkLJLDK97Tk1l9Qux0/edit?usp=sharing"",""จันทบุรี!J107"")"),0)</f>
        <v>0</v>
      </c>
      <c r="AI54" s="180">
        <f ca="1">IFERROR(__xludf.DUMMYFUNCTION("IMPORTRANGE(""https://docs.google.com/spreadsheets/d/1njBaP_xXd-Uotvo2D9zb01TTCFkLJLDK97Tk1l9Qux0/edit?usp=sharing"",""จันทบุรี!I109"")"),1)</f>
        <v>1</v>
      </c>
      <c r="AJ54" s="181">
        <f ca="1">IFERROR(__xludf.DUMMYFUNCTION("IMPORTRANGE(""https://docs.google.com/spreadsheets/d/1njBaP_xXd-Uotvo2D9zb01TTCFkLJLDK97Tk1l9Qux0/edit?usp=sharing"",""จันทบุรี!J109"")"),0)</f>
        <v>0</v>
      </c>
      <c r="AK54" s="181">
        <f ca="1">IFERROR(__xludf.DUMMYFUNCTION("IMPORTRANGE(""https://docs.google.com/spreadsheets/d/1njBaP_xXd-Uotvo2D9zb01TTCFkLJLDK97Tk1l9Qux0/edit?usp=sharing"",""จันทบุรี!J110"")"),0)</f>
        <v>0</v>
      </c>
      <c r="AL54" s="180">
        <f ca="1">IFERROR(__xludf.DUMMYFUNCTION("IMPORTRANGE(""https://docs.google.com/spreadsheets/d/1njBaP_xXd-Uotvo2D9zb01TTCFkLJLDK97Tk1l9Qux0/edit?usp=sharing"",""จันทบุรี!I111"")"),10)</f>
        <v>10</v>
      </c>
      <c r="AM54" s="180">
        <f ca="1">IFERROR(__xludf.DUMMYFUNCTION("IMPORTRANGE(""https://docs.google.com/spreadsheets/d/1njBaP_xXd-Uotvo2D9zb01TTCFkLJLDK97Tk1l9Qux0/edit?usp=sharing"",""จันทบุรี!I112"")"),2)</f>
        <v>2</v>
      </c>
      <c r="AN54" s="181">
        <f ca="1">IFERROR(__xludf.DUMMYFUNCTION("IMPORTRANGE(""https://docs.google.com/spreadsheets/d/1njBaP_xXd-Uotvo2D9zb01TTCFkLJLDK97Tk1l9Qux0/edit?usp=sharing"",""จันทบุรี!J111"")"),0)</f>
        <v>0</v>
      </c>
      <c r="AO54" s="181">
        <f t="shared" ca="1" si="15"/>
        <v>0</v>
      </c>
      <c r="AP54" s="181">
        <f ca="1">IFERROR(__xludf.DUMMYFUNCTION("IMPORTRANGE(""https://docs.google.com/spreadsheets/d/1njBaP_xXd-Uotvo2D9zb01TTCFkLJLDK97Tk1l9Qux0/edit?usp=sharing"",""จันทบุรี!J112"")"),0)</f>
        <v>0</v>
      </c>
      <c r="AQ54" s="183">
        <f t="shared" ca="1" si="16"/>
        <v>0</v>
      </c>
      <c r="AR54" s="180">
        <f ca="1">IFERROR(__xludf.DUMMYFUNCTION("IMPORTRANGE(""https://docs.google.com/spreadsheets/d/1njBaP_xXd-Uotvo2D9zb01TTCFkLJLDK97Tk1l9Qux0/edit?usp=sharing"",""จันทบุรี!I113"")"),10)</f>
        <v>10</v>
      </c>
      <c r="AS54" s="180">
        <f ca="1">IFERROR(__xludf.DUMMYFUNCTION("IMPORTRANGE(""https://docs.google.com/spreadsheets/d/1njBaP_xXd-Uotvo2D9zb01TTCFkLJLDK97Tk1l9Qux0/edit?usp=sharing"",""จันทบุรี!J113"")"),0)</f>
        <v>0</v>
      </c>
      <c r="AT54" s="180">
        <f ca="1">IFERROR(__xludf.DUMMYFUNCTION("IMPORTRANGE(""https://docs.google.com/spreadsheets/d/1njBaP_xXd-Uotvo2D9zb01TTCFkLJLDK97Tk1l9Qux0/edit?usp=sharing"",""จันทบุรี!J114"")"),0)</f>
        <v>0</v>
      </c>
      <c r="AU54" s="180">
        <f ca="1">IFERROR(__xludf.DUMMYFUNCTION("IMPORTRANGE(""https://docs.google.com/spreadsheets/d/1njBaP_xXd-Uotvo2D9zb01TTCFkLJLDK97Tk1l9Qux0/edit?usp=sharing"",""จันทบุรี!I115"")"),1)</f>
        <v>1</v>
      </c>
      <c r="AV54" s="181">
        <f ca="1">IFERROR(__xludf.DUMMYFUNCTION("IMPORTRANGE(""https://docs.google.com/spreadsheets/d/1njBaP_xXd-Uotvo2D9zb01TTCFkLJLDK97Tk1l9Qux0/edit?usp=sharing"",""จันทบุรี!J115"")"),0)</f>
        <v>0</v>
      </c>
      <c r="AW54" s="183">
        <f t="shared" ca="1" si="18"/>
        <v>0</v>
      </c>
      <c r="AX54" s="180">
        <f ca="1">IFERROR(__xludf.DUMMYFUNCTION("IMPORTRANGE(""https://docs.google.com/spreadsheets/d/1njBaP_xXd-Uotvo2D9zb01TTCFkLJLDK97Tk1l9Qux0/edit?usp=sharing"",""จันทบุรี!I116"")"),1)</f>
        <v>1</v>
      </c>
      <c r="AY54" s="181">
        <f ca="1">IFERROR(__xludf.DUMMYFUNCTION("IMPORTRANGE(""https://docs.google.com/spreadsheets/d/1njBaP_xXd-Uotvo2D9zb01TTCFkLJLDK97Tk1l9Qux0/edit?usp=sharing"",""จันทบุรี!J116"")"),0)</f>
        <v>0</v>
      </c>
      <c r="AZ54" s="183">
        <f t="shared" ca="1" si="20"/>
        <v>0</v>
      </c>
    </row>
    <row r="55" spans="1:52" ht="21" customHeight="1" x14ac:dyDescent="0.3">
      <c r="A55" s="176">
        <v>3</v>
      </c>
      <c r="B55" s="177" t="s">
        <v>77</v>
      </c>
      <c r="C55" s="178">
        <f t="shared" ca="1" si="0"/>
        <v>85840</v>
      </c>
      <c r="D55" s="179">
        <f t="shared" ca="1" si="56"/>
        <v>85840</v>
      </c>
      <c r="E55" s="180">
        <f ca="1">IFERROR(__xludf.DUMMYFUNCTION("IMPORTRANGE(""https://docs.google.com/spreadsheets/d/1MeEWN-I1oV_STSDYn1IFDPWt_1FKiwhDph83XaGc0o0/edit?usp=sharing"",""งบพรบ!AR55"")"),0)</f>
        <v>0</v>
      </c>
      <c r="F55" s="180">
        <f ca="1">IFERROR(__xludf.DUMMYFUNCTION("IMPORTRANGE(""https://docs.google.com/spreadsheets/d/1MeEWN-I1oV_STSDYn1IFDPWt_1FKiwhDph83XaGc0o0/edit?usp=sharing"",""งบพรบ!AS55"")"),85840)</f>
        <v>85840</v>
      </c>
      <c r="G55" s="180">
        <f ca="1">IFERROR(__xludf.DUMMYFUNCTION("IMPORTRANGE(""https://docs.google.com/spreadsheets/d/1MeEWN-I1oV_STSDYn1IFDPWt_1FKiwhDph83XaGc0o0/edit?usp=sharing"",""งบพรบ!AT55"")"),0)</f>
        <v>0</v>
      </c>
      <c r="H55" s="180">
        <f ca="1">IFERROR(__xludf.DUMMYFUNCTION("IMPORTRANGE(""https://docs.google.com/spreadsheets/d/1MeEWN-I1oV_STSDYn1IFDPWt_1FKiwhDph83XaGc0o0/edit?usp=sharing"",""งบพรบ!AV55"")"),23640)</f>
        <v>23640</v>
      </c>
      <c r="I55" s="180">
        <f ca="1">IFERROR(__xludf.DUMMYFUNCTION("IMPORTRANGE(""https://docs.google.com/spreadsheets/d/1MeEWN-I1oV_STSDYn1IFDPWt_1FKiwhDph83XaGc0o0/edit?usp=sharing"",""งบพรบ!AW55"")"),0)</f>
        <v>0</v>
      </c>
      <c r="J55" s="180">
        <f t="shared" ca="1" si="3"/>
        <v>21840</v>
      </c>
      <c r="K55" s="187">
        <f t="shared" ca="1" si="4"/>
        <v>25.442684063373719</v>
      </c>
      <c r="L55" s="180">
        <f ca="1">IFERROR(__xludf.DUMMYFUNCTION("IMPORTRANGE(""https://docs.google.com/spreadsheets/d/1MeEWN-I1oV_STSDYn1IFDPWt_1FKiwhDph83XaGc0o0/edit?usp=sharing"",""งบพรบ!AX55"")"),21840)</f>
        <v>21840</v>
      </c>
      <c r="M55" s="183">
        <f t="shared" ca="1" si="5"/>
        <v>25.442684063373719</v>
      </c>
      <c r="N55" s="183">
        <f t="shared" ca="1" si="6"/>
        <v>92.385786802030452</v>
      </c>
      <c r="O55" s="184">
        <f ca="1">IFERROR(__xludf.DUMMYFUNCTION("IMPORTRANGE(""https://docs.google.com/spreadsheets/d/1MeEWN-I1oV_STSDYn1IFDPWt_1FKiwhDph83XaGc0o0/edit?usp=sharing"",""งบพรบ!AY55"")"),0)</f>
        <v>0</v>
      </c>
      <c r="P55" s="184">
        <f t="shared" ca="1" si="36"/>
        <v>0</v>
      </c>
      <c r="Q55" s="183">
        <f t="shared" ca="1" si="8"/>
        <v>0</v>
      </c>
      <c r="R55" s="181">
        <f ca="1">IFERROR(__xludf.DUMMYFUNCTION("IMPORTRANGE(""https://docs.google.com/spreadsheets/d/14xp6qUzrGFnUk_qnc1eEmfiaNRd4_grkhpfQH_46fa8/edit?usp=sharing"",""ฉะเชิงเทรา!I98"")"),30)</f>
        <v>30</v>
      </c>
      <c r="S55" s="181">
        <f ca="1">IFERROR(__xludf.DUMMYFUNCTION("IMPORTRANGE(""https://docs.google.com/spreadsheets/d/14xp6qUzrGFnUk_qnc1eEmfiaNRd4_grkhpfQH_46fa8/edit?usp=sharing"",""ฉะเชิงเทรา!J98"")"),0)</f>
        <v>0</v>
      </c>
      <c r="T55" s="181">
        <f t="shared" ca="1" si="10"/>
        <v>0</v>
      </c>
      <c r="U55" s="181">
        <f ca="1">IFERROR(__xludf.DUMMYFUNCTION("IMPORTRANGE(""https://docs.google.com/spreadsheets/d/14xp6qUzrGFnUk_qnc1eEmfiaNRd4_grkhpfQH_46fa8/edit?usp=sharing"",""ฉะเชิงเทรา!I99"")"),10)</f>
        <v>10</v>
      </c>
      <c r="V55" s="181">
        <f ca="1">IFERROR(__xludf.DUMMYFUNCTION("IMPORTRANGE(""https://docs.google.com/spreadsheets/d/14xp6qUzrGFnUk_qnc1eEmfiaNRd4_grkhpfQH_46fa8/edit?usp=sharing"",""ฉะเชิงเทรา!I100"")"),2)</f>
        <v>2</v>
      </c>
      <c r="W55" s="181">
        <f ca="1">IFERROR(__xludf.DUMMYFUNCTION("IMPORTRANGE(""https://docs.google.com/spreadsheets/d/14xp6qUzrGFnUk_qnc1eEmfiaNRd4_grkhpfQH_46fa8/edit?usp=sharing"",""ฉะเชิงเทรา!J99"")"),0)</f>
        <v>0</v>
      </c>
      <c r="X55" s="185">
        <f t="shared" ca="1" si="12"/>
        <v>0</v>
      </c>
      <c r="Y55" s="186">
        <f ca="1">IFERROR(__xludf.DUMMYFUNCTION("IMPORTRANGE(""https://docs.google.com/spreadsheets/d/14xp6qUzrGFnUk_qnc1eEmfiaNRd4_grkhpfQH_46fa8/edit?usp=sharing"",""ฉะเชิงเทรา!J100"")"),0)</f>
        <v>0</v>
      </c>
      <c r="Z55" s="185">
        <f t="shared" ca="1" si="13"/>
        <v>0</v>
      </c>
      <c r="AA55" s="180">
        <f ca="1">IFERROR(__xludf.DUMMYFUNCTION("IMPORTRANGE(""https://docs.google.com/spreadsheets/d/14xp6qUzrGFnUk_qnc1eEmfiaNRd4_grkhpfQH_46fa8/edit?usp=sharing"",""ฉะเชิงเทรา!I102"")"),30)</f>
        <v>30</v>
      </c>
      <c r="AB55" s="180">
        <f ca="1">IFERROR(__xludf.DUMMYFUNCTION("IMPORTRANGE(""https://docs.google.com/spreadsheets/d/14xp6qUzrGFnUk_qnc1eEmfiaNRd4_grkhpfQH_46fa8/edit?usp=sharing"",""ฉะเชิงเทรา!I103"")"),10)</f>
        <v>10</v>
      </c>
      <c r="AC55" s="181">
        <f ca="1">IFERROR(__xludf.DUMMYFUNCTION("IMPORTRANGE(""https://docs.google.com/spreadsheets/d/14xp6qUzrGFnUk_qnc1eEmfiaNRd4_grkhpfQH_46fa8/edit?usp=sharing"",""ฉะเชิงเทรา!J102"")"),0)</f>
        <v>0</v>
      </c>
      <c r="AD55" s="181">
        <f ca="1">IFERROR(__xludf.DUMMYFUNCTION("IMPORTRANGE(""https://docs.google.com/spreadsheets/d/14xp6qUzrGFnUk_qnc1eEmfiaNRd4_grkhpfQH_46fa8/edit?usp=sharing"",""ฉะเชิงเทรา!J103"")"),10)</f>
        <v>10</v>
      </c>
      <c r="AE55" s="181">
        <f ca="1">IFERROR(__xludf.DUMMYFUNCTION("IMPORTRANGE(""https://docs.google.com/spreadsheets/d/14xp6qUzrGFnUk_qnc1eEmfiaNRd4_grkhpfQH_46fa8/edit?usp=sharing"",""ฉะเชิงเทรา!J104"")"),0)</f>
        <v>0</v>
      </c>
      <c r="AF55" s="180">
        <f ca="1">IFERROR(__xludf.DUMMYFUNCTION("IMPORTRANGE(""https://docs.google.com/spreadsheets/d/14xp6qUzrGFnUk_qnc1eEmfiaNRd4_grkhpfQH_46fa8/edit?usp=sharing"",""ฉะเชิงเทรา!I106"")"),1)</f>
        <v>1</v>
      </c>
      <c r="AG55" s="181">
        <f ca="1">IFERROR(__xludf.DUMMYFUNCTION("IMPORTRANGE(""https://docs.google.com/spreadsheets/d/14xp6qUzrGFnUk_qnc1eEmfiaNRd4_grkhpfQH_46fa8/edit?usp=sharing"",""ฉะเชิงเทรา!J106"")"),0)</f>
        <v>0</v>
      </c>
      <c r="AH55" s="181">
        <f ca="1">IFERROR(__xludf.DUMMYFUNCTION("IMPORTRANGE(""https://docs.google.com/spreadsheets/d/14xp6qUzrGFnUk_qnc1eEmfiaNRd4_grkhpfQH_46fa8/edit?usp=sharing"",""ฉะเชิงเทรา!J107"")"),0)</f>
        <v>0</v>
      </c>
      <c r="AI55" s="180">
        <f ca="1">IFERROR(__xludf.DUMMYFUNCTION("IMPORTRANGE(""https://docs.google.com/spreadsheets/d/14xp6qUzrGFnUk_qnc1eEmfiaNRd4_grkhpfQH_46fa8/edit?usp=sharing"",""ฉะเชิงเทรา!I109"")"),1)</f>
        <v>1</v>
      </c>
      <c r="AJ55" s="181">
        <f ca="1">IFERROR(__xludf.DUMMYFUNCTION("IMPORTRANGE(""https://docs.google.com/spreadsheets/d/14xp6qUzrGFnUk_qnc1eEmfiaNRd4_grkhpfQH_46fa8/edit?usp=sharing"",""ฉะเชิงเทรา!J109"")"),0)</f>
        <v>0</v>
      </c>
      <c r="AK55" s="181">
        <f ca="1">IFERROR(__xludf.DUMMYFUNCTION("IMPORTRANGE(""https://docs.google.com/spreadsheets/d/14xp6qUzrGFnUk_qnc1eEmfiaNRd4_grkhpfQH_46fa8/edit?usp=sharing"",""ฉะเชิงเทรา!J110"")"),0)</f>
        <v>0</v>
      </c>
      <c r="AL55" s="180">
        <f ca="1">IFERROR(__xludf.DUMMYFUNCTION("IMPORTRANGE(""https://docs.google.com/spreadsheets/d/14xp6qUzrGFnUk_qnc1eEmfiaNRd4_grkhpfQH_46fa8/edit?usp=sharing"",""ฉะเชิงเทรา!I111"")"),10)</f>
        <v>10</v>
      </c>
      <c r="AM55" s="180">
        <f ca="1">IFERROR(__xludf.DUMMYFUNCTION("IMPORTRANGE(""https://docs.google.com/spreadsheets/d/14xp6qUzrGFnUk_qnc1eEmfiaNRd4_grkhpfQH_46fa8/edit?usp=sharing"",""ฉะเชิงเทรา!I112"")"),2)</f>
        <v>2</v>
      </c>
      <c r="AN55" s="181">
        <f ca="1">IFERROR(__xludf.DUMMYFUNCTION("IMPORTRANGE(""https://docs.google.com/spreadsheets/d/14xp6qUzrGFnUk_qnc1eEmfiaNRd4_grkhpfQH_46fa8/edit?usp=sharing"",""ฉะเชิงเทรา!J111"")"),0)</f>
        <v>0</v>
      </c>
      <c r="AO55" s="181">
        <f t="shared" ca="1" si="15"/>
        <v>0</v>
      </c>
      <c r="AP55" s="181">
        <f ca="1">IFERROR(__xludf.DUMMYFUNCTION("IMPORTRANGE(""https://docs.google.com/spreadsheets/d/14xp6qUzrGFnUk_qnc1eEmfiaNRd4_grkhpfQH_46fa8/edit?usp=sharing"",""ฉะเชิงเทรา!J112"")"),0)</f>
        <v>0</v>
      </c>
      <c r="AQ55" s="183">
        <f t="shared" ca="1" si="16"/>
        <v>0</v>
      </c>
      <c r="AR55" s="180">
        <f ca="1">IFERROR(__xludf.DUMMYFUNCTION("IMPORTRANGE(""https://docs.google.com/spreadsheets/d/14xp6qUzrGFnUk_qnc1eEmfiaNRd4_grkhpfQH_46fa8/edit?usp=sharing"",""ฉะเชิงเทรา!I113"")"),10)</f>
        <v>10</v>
      </c>
      <c r="AS55" s="180">
        <f ca="1">IFERROR(__xludf.DUMMYFUNCTION("IMPORTRANGE(""https://docs.google.com/spreadsheets/d/14xp6qUzrGFnUk_qnc1eEmfiaNRd4_grkhpfQH_46fa8/edit?usp=sharing"",""ฉะเชิงเทรา!J113"")"),0)</f>
        <v>0</v>
      </c>
      <c r="AT55" s="180">
        <f ca="1">IFERROR(__xludf.DUMMYFUNCTION("IMPORTRANGE(""https://docs.google.com/spreadsheets/d/14xp6qUzrGFnUk_qnc1eEmfiaNRd4_grkhpfQH_46fa8/edit?usp=sharing"",""ฉะเชิงเทรา!J114"")"),0)</f>
        <v>0</v>
      </c>
      <c r="AU55" s="180">
        <f ca="1">IFERROR(__xludf.DUMMYFUNCTION("IMPORTRANGE(""https://docs.google.com/spreadsheets/d/14xp6qUzrGFnUk_qnc1eEmfiaNRd4_grkhpfQH_46fa8/edit?usp=sharing"",""ฉะเชิงเทรา!I115"")"),1)</f>
        <v>1</v>
      </c>
      <c r="AV55" s="181">
        <f ca="1">IFERROR(__xludf.DUMMYFUNCTION("IMPORTRANGE(""https://docs.google.com/spreadsheets/d/14xp6qUzrGFnUk_qnc1eEmfiaNRd4_grkhpfQH_46fa8/edit?usp=sharing"",""ฉะเชิงเทรา!J115"")"),0)</f>
        <v>0</v>
      </c>
      <c r="AW55" s="183">
        <f t="shared" ca="1" si="18"/>
        <v>0</v>
      </c>
      <c r="AX55" s="180">
        <f ca="1">IFERROR(__xludf.DUMMYFUNCTION("IMPORTRANGE(""https://docs.google.com/spreadsheets/d/14xp6qUzrGFnUk_qnc1eEmfiaNRd4_grkhpfQH_46fa8/edit?usp=sharing"",""ฉะเชิงเทรา!I116"")"),1)</f>
        <v>1</v>
      </c>
      <c r="AY55" s="181">
        <f ca="1">IFERROR(__xludf.DUMMYFUNCTION("IMPORTRANGE(""https://docs.google.com/spreadsheets/d/14xp6qUzrGFnUk_qnc1eEmfiaNRd4_grkhpfQH_46fa8/edit?usp=sharing"",""ฉะเชิงเทรา!J116"")"),0)</f>
        <v>0</v>
      </c>
      <c r="AZ55" s="183">
        <f t="shared" ca="1" si="20"/>
        <v>0</v>
      </c>
    </row>
    <row r="56" spans="1:52" ht="21" customHeight="1" x14ac:dyDescent="0.3">
      <c r="A56" s="176">
        <v>4</v>
      </c>
      <c r="B56" s="177" t="s">
        <v>78</v>
      </c>
      <c r="C56" s="178">
        <f t="shared" ca="1" si="0"/>
        <v>31200</v>
      </c>
      <c r="D56" s="179">
        <f t="shared" ca="1" si="56"/>
        <v>31200</v>
      </c>
      <c r="E56" s="180">
        <f ca="1">IFERROR(__xludf.DUMMYFUNCTION("IMPORTRANGE(""https://docs.google.com/spreadsheets/d/1MeEWN-I1oV_STSDYn1IFDPWt_1FKiwhDph83XaGc0o0/edit?usp=sharing"",""งบพรบ!AR56"")"),0)</f>
        <v>0</v>
      </c>
      <c r="F56" s="180">
        <f ca="1">IFERROR(__xludf.DUMMYFUNCTION("IMPORTRANGE(""https://docs.google.com/spreadsheets/d/1MeEWN-I1oV_STSDYn1IFDPWt_1FKiwhDph83XaGc0o0/edit?usp=sharing"",""งบพรบ!AS56"")"),31200)</f>
        <v>31200</v>
      </c>
      <c r="G56" s="180">
        <f ca="1">IFERROR(__xludf.DUMMYFUNCTION("IMPORTRANGE(""https://docs.google.com/spreadsheets/d/1MeEWN-I1oV_STSDYn1IFDPWt_1FKiwhDph83XaGc0o0/edit?usp=sharing"",""งบพรบ!AT56"")"),0)</f>
        <v>0</v>
      </c>
      <c r="H56" s="180">
        <f ca="1">IFERROR(__xludf.DUMMYFUNCTION("IMPORTRANGE(""https://docs.google.com/spreadsheets/d/1MeEWN-I1oV_STSDYn1IFDPWt_1FKiwhDph83XaGc0o0/edit?usp=sharing"",""งบพรบ!AV56"")"),36955)</f>
        <v>36955</v>
      </c>
      <c r="I56" s="180">
        <f ca="1">IFERROR(__xludf.DUMMYFUNCTION("IMPORTRANGE(""https://docs.google.com/spreadsheets/d/1MeEWN-I1oV_STSDYn1IFDPWt_1FKiwhDph83XaGc0o0/edit?usp=sharing"",""งบพรบ!AW56"")"),0)</f>
        <v>0</v>
      </c>
      <c r="J56" s="180">
        <f t="shared" ca="1" si="3"/>
        <v>8345</v>
      </c>
      <c r="K56" s="187">
        <f t="shared" ca="1" si="4"/>
        <v>26.746794871794872</v>
      </c>
      <c r="L56" s="180">
        <f ca="1">IFERROR(__xludf.DUMMYFUNCTION("IMPORTRANGE(""https://docs.google.com/spreadsheets/d/1MeEWN-I1oV_STSDYn1IFDPWt_1FKiwhDph83XaGc0o0/edit?usp=sharing"",""งบพรบ!AX56"")"),8345)</f>
        <v>8345</v>
      </c>
      <c r="M56" s="183">
        <f t="shared" ca="1" si="5"/>
        <v>26.746794871794872</v>
      </c>
      <c r="N56" s="183">
        <f t="shared" ca="1" si="6"/>
        <v>22.581518062508458</v>
      </c>
      <c r="O56" s="184">
        <f ca="1">IFERROR(__xludf.DUMMYFUNCTION("IMPORTRANGE(""https://docs.google.com/spreadsheets/d/1MeEWN-I1oV_STSDYn1IFDPWt_1FKiwhDph83XaGc0o0/edit?usp=sharing"",""งบพรบ!AY56"")"),0)</f>
        <v>0</v>
      </c>
      <c r="P56" s="184">
        <f t="shared" ca="1" si="36"/>
        <v>0</v>
      </c>
      <c r="Q56" s="183">
        <f t="shared" ca="1" si="8"/>
        <v>0</v>
      </c>
      <c r="R56" s="181">
        <f ca="1">IFERROR(__xludf.DUMMYFUNCTION("IMPORTRANGE(""https://docs.google.com/spreadsheets/d/1_Zwps30dlVa-pZFsorjVf1Pil6WXwzCsJU0U2whO3NI/edit?usp=sharing"",""ชลบุรี!I98"")"),0)</f>
        <v>0</v>
      </c>
      <c r="S56" s="181">
        <f ca="1">IFERROR(__xludf.DUMMYFUNCTION("IMPORTRANGE(""https://docs.google.com/spreadsheets/d/1_Zwps30dlVa-pZFsorjVf1Pil6WXwzCsJU0U2whO3NI/edit?usp=sharing"",""ชลบุรี!J98"")"),0)</f>
        <v>0</v>
      </c>
      <c r="T56" s="181">
        <f t="shared" ca="1" si="10"/>
        <v>0</v>
      </c>
      <c r="U56" s="181">
        <f ca="1">IFERROR(__xludf.DUMMYFUNCTION("IMPORTRANGE(""https://docs.google.com/spreadsheets/d/1_Zwps30dlVa-pZFsorjVf1Pil6WXwzCsJU0U2whO3NI/edit?usp=sharing"",""ชลบุรี!I99"")"),0)</f>
        <v>0</v>
      </c>
      <c r="V56" s="181">
        <f ca="1">IFERROR(__xludf.DUMMYFUNCTION("IMPORTRANGE(""https://docs.google.com/spreadsheets/d/1_Zwps30dlVa-pZFsorjVf1Pil6WXwzCsJU0U2whO3NI/edit?usp=sharing"",""ชลบุรี!I100"")"),1)</f>
        <v>1</v>
      </c>
      <c r="W56" s="181">
        <f ca="1">IFERROR(__xludf.DUMMYFUNCTION("IMPORTRANGE(""https://docs.google.com/spreadsheets/d/1_Zwps30dlVa-pZFsorjVf1Pil6WXwzCsJU0U2whO3NI/edit?usp=sharing"",""ชลบุรี!J99"")"),0)</f>
        <v>0</v>
      </c>
      <c r="X56" s="185">
        <f t="shared" ca="1" si="12"/>
        <v>0</v>
      </c>
      <c r="Y56" s="186">
        <f ca="1">IFERROR(__xludf.DUMMYFUNCTION("IMPORTRANGE(""https://docs.google.com/spreadsheets/d/1_Zwps30dlVa-pZFsorjVf1Pil6WXwzCsJU0U2whO3NI/edit?usp=sharing"",""ชลบุรี!J100"")"),0)</f>
        <v>0</v>
      </c>
      <c r="Z56" s="185">
        <f t="shared" ca="1" si="13"/>
        <v>0</v>
      </c>
      <c r="AA56" s="180">
        <f ca="1">IFERROR(__xludf.DUMMYFUNCTION("IMPORTRANGE(""https://docs.google.com/spreadsheets/d/1_Zwps30dlVa-pZFsorjVf1Pil6WXwzCsJU0U2whO3NI/edit?usp=sharing"",""ชลบุรี!I102"")"),0)</f>
        <v>0</v>
      </c>
      <c r="AB56" s="180">
        <f ca="1">IFERROR(__xludf.DUMMYFUNCTION("IMPORTRANGE(""https://docs.google.com/spreadsheets/d/1_Zwps30dlVa-pZFsorjVf1Pil6WXwzCsJU0U2whO3NI/edit?usp=sharing"",""ชลบุรี!I103"")"),0)</f>
        <v>0</v>
      </c>
      <c r="AC56" s="181">
        <f ca="1">IFERROR(__xludf.DUMMYFUNCTION("IMPORTRANGE(""https://docs.google.com/spreadsheets/d/1_Zwps30dlVa-pZFsorjVf1Pil6WXwzCsJU0U2whO3NI/edit?usp=sharing"",""ชลบุรี!J102"")"),0)</f>
        <v>0</v>
      </c>
      <c r="AD56" s="181">
        <f ca="1">IFERROR(__xludf.DUMMYFUNCTION("IMPORTRANGE(""https://docs.google.com/spreadsheets/d/1_Zwps30dlVa-pZFsorjVf1Pil6WXwzCsJU0U2whO3NI/edit?usp=sharing"",""ชลบุรี!J103"")"),0)</f>
        <v>0</v>
      </c>
      <c r="AE56" s="181">
        <f ca="1">IFERROR(__xludf.DUMMYFUNCTION("IMPORTRANGE(""https://docs.google.com/spreadsheets/d/1_Zwps30dlVa-pZFsorjVf1Pil6WXwzCsJU0U2whO3NI/edit?usp=sharing"",""ชลบุรี!J104"")"),0)</f>
        <v>0</v>
      </c>
      <c r="AF56" s="180">
        <f ca="1">IFERROR(__xludf.DUMMYFUNCTION("IMPORTRANGE(""https://docs.google.com/spreadsheets/d/1_Zwps30dlVa-pZFsorjVf1Pil6WXwzCsJU0U2whO3NI/edit?usp=sharing"",""ชลบุรี!I106"")"),0)</f>
        <v>0</v>
      </c>
      <c r="AG56" s="181">
        <f ca="1">IFERROR(__xludf.DUMMYFUNCTION("IMPORTRANGE(""https://docs.google.com/spreadsheets/d/1_Zwps30dlVa-pZFsorjVf1Pil6WXwzCsJU0U2whO3NI/edit?usp=sharing"",""ชลบุรี!J106"")"),0)</f>
        <v>0</v>
      </c>
      <c r="AH56" s="181">
        <f ca="1">IFERROR(__xludf.DUMMYFUNCTION("IMPORTRANGE(""https://docs.google.com/spreadsheets/d/1_Zwps30dlVa-pZFsorjVf1Pil6WXwzCsJU0U2whO3NI/edit?usp=sharing"",""ชลบุรี!J107"")"),0)</f>
        <v>0</v>
      </c>
      <c r="AI56" s="180">
        <f ca="1">IFERROR(__xludf.DUMMYFUNCTION("IMPORTRANGE(""https://docs.google.com/spreadsheets/d/1_Zwps30dlVa-pZFsorjVf1Pil6WXwzCsJU0U2whO3NI/edit?usp=sharing"",""ชลบุรี!I109"")"),1)</f>
        <v>1</v>
      </c>
      <c r="AJ56" s="181">
        <f ca="1">IFERROR(__xludf.DUMMYFUNCTION("IMPORTRANGE(""https://docs.google.com/spreadsheets/d/1_Zwps30dlVa-pZFsorjVf1Pil6WXwzCsJU0U2whO3NI/edit?usp=sharing"",""ชลบุรี!J109"")"),0)</f>
        <v>0</v>
      </c>
      <c r="AK56" s="181">
        <f ca="1">IFERROR(__xludf.DUMMYFUNCTION("IMPORTRANGE(""https://docs.google.com/spreadsheets/d/1_Zwps30dlVa-pZFsorjVf1Pil6WXwzCsJU0U2whO3NI/edit?usp=sharing"",""ชลบุรี!J110"")"),0)</f>
        <v>0</v>
      </c>
      <c r="AL56" s="180">
        <f ca="1">IFERROR(__xludf.DUMMYFUNCTION("IMPORTRANGE(""https://docs.google.com/spreadsheets/d/1_Zwps30dlVa-pZFsorjVf1Pil6WXwzCsJU0U2whO3NI/edit?usp=sharing"",""ชลบุรี!I111"")"),0)</f>
        <v>0</v>
      </c>
      <c r="AM56" s="180">
        <f ca="1">IFERROR(__xludf.DUMMYFUNCTION("IMPORTRANGE(""https://docs.google.com/spreadsheets/d/1_Zwps30dlVa-pZFsorjVf1Pil6WXwzCsJU0U2whO3NI/edit?usp=sharing"",""ชลบุรี!I112"")"),1)</f>
        <v>1</v>
      </c>
      <c r="AN56" s="181">
        <f ca="1">IFERROR(__xludf.DUMMYFUNCTION("IMPORTRANGE(""https://docs.google.com/spreadsheets/d/1_Zwps30dlVa-pZFsorjVf1Pil6WXwzCsJU0U2whO3NI/edit?usp=sharing"",""ชลบุรี!J111"")"),0)</f>
        <v>0</v>
      </c>
      <c r="AO56" s="181">
        <f t="shared" ca="1" si="15"/>
        <v>0</v>
      </c>
      <c r="AP56" s="181">
        <f ca="1">IFERROR(__xludf.DUMMYFUNCTION("IMPORTRANGE(""https://docs.google.com/spreadsheets/d/1_Zwps30dlVa-pZFsorjVf1Pil6WXwzCsJU0U2whO3NI/edit?usp=sharing"",""ชลบุรี!J112"")"),0)</f>
        <v>0</v>
      </c>
      <c r="AQ56" s="183">
        <f t="shared" ca="1" si="16"/>
        <v>0</v>
      </c>
      <c r="AR56" s="180">
        <f ca="1">IFERROR(__xludf.DUMMYFUNCTION("IMPORTRANGE(""https://docs.google.com/spreadsheets/d/1_Zwps30dlVa-pZFsorjVf1Pil6WXwzCsJU0U2whO3NI/edit?usp=sharing"",""ชลบุรี!I113"")"),0)</f>
        <v>0</v>
      </c>
      <c r="AS56" s="180">
        <f ca="1">IFERROR(__xludf.DUMMYFUNCTION("IMPORTRANGE(""https://docs.google.com/spreadsheets/d/1_Zwps30dlVa-pZFsorjVf1Pil6WXwzCsJU0U2whO3NI/edit?usp=sharing"",""ชลบุรี!J113"")"),0)</f>
        <v>0</v>
      </c>
      <c r="AT56" s="180">
        <f ca="1">IFERROR(__xludf.DUMMYFUNCTION("IMPORTRANGE(""https://docs.google.com/spreadsheets/d/1_Zwps30dlVa-pZFsorjVf1Pil6WXwzCsJU0U2whO3NI/edit?usp=sharing"",""ชลบุรี!J114"")"),0)</f>
        <v>0</v>
      </c>
      <c r="AU56" s="180">
        <f ca="1">IFERROR(__xludf.DUMMYFUNCTION("IMPORTRANGE(""https://docs.google.com/spreadsheets/d/1_Zwps30dlVa-pZFsorjVf1Pil6WXwzCsJU0U2whO3NI/edit?usp=sharing"",""ชลบุรี!I115"")"),0)</f>
        <v>0</v>
      </c>
      <c r="AV56" s="181">
        <f ca="1">IFERROR(__xludf.DUMMYFUNCTION("IMPORTRANGE(""https://docs.google.com/spreadsheets/d/1_Zwps30dlVa-pZFsorjVf1Pil6WXwzCsJU0U2whO3NI/edit?usp=sharing"",""ชลบุรี!J115"")"),0)</f>
        <v>0</v>
      </c>
      <c r="AW56" s="183">
        <f t="shared" ca="1" si="18"/>
        <v>0</v>
      </c>
      <c r="AX56" s="180">
        <f ca="1">IFERROR(__xludf.DUMMYFUNCTION("IMPORTRANGE(""https://docs.google.com/spreadsheets/d/1_Zwps30dlVa-pZFsorjVf1Pil6WXwzCsJU0U2whO3NI/edit?usp=sharing"",""ชลบุรี!I116"")"),1)</f>
        <v>1</v>
      </c>
      <c r="AY56" s="181">
        <f ca="1">IFERROR(__xludf.DUMMYFUNCTION("IMPORTRANGE(""https://docs.google.com/spreadsheets/d/1_Zwps30dlVa-pZFsorjVf1Pil6WXwzCsJU0U2whO3NI/edit?usp=sharing"",""ชลบุรี!J116"")"),0)</f>
        <v>0</v>
      </c>
      <c r="AZ56" s="183">
        <f t="shared" ca="1" si="20"/>
        <v>0</v>
      </c>
    </row>
    <row r="57" spans="1:52" ht="21" customHeight="1" x14ac:dyDescent="0.3">
      <c r="A57" s="176">
        <v>5</v>
      </c>
      <c r="B57" s="177" t="s">
        <v>79</v>
      </c>
      <c r="C57" s="178">
        <f t="shared" ca="1" si="0"/>
        <v>136220</v>
      </c>
      <c r="D57" s="179">
        <f t="shared" ca="1" si="56"/>
        <v>136220</v>
      </c>
      <c r="E57" s="180">
        <f ca="1">IFERROR(__xludf.DUMMYFUNCTION("IMPORTRANGE(""https://docs.google.com/spreadsheets/d/1MeEWN-I1oV_STSDYn1IFDPWt_1FKiwhDph83XaGc0o0/edit?usp=sharing"",""งบพรบ!AR57"")"),0)</f>
        <v>0</v>
      </c>
      <c r="F57" s="180">
        <f ca="1">IFERROR(__xludf.DUMMYFUNCTION("IMPORTRANGE(""https://docs.google.com/spreadsheets/d/1MeEWN-I1oV_STSDYn1IFDPWt_1FKiwhDph83XaGc0o0/edit?usp=sharing"",""งบพรบ!AS57"")"),136220)</f>
        <v>136220</v>
      </c>
      <c r="G57" s="180">
        <f ca="1">IFERROR(__xludf.DUMMYFUNCTION("IMPORTRANGE(""https://docs.google.com/spreadsheets/d/1MeEWN-I1oV_STSDYn1IFDPWt_1FKiwhDph83XaGc0o0/edit?usp=sharing"",""งบพรบ!AT57"")"),0)</f>
        <v>0</v>
      </c>
      <c r="H57" s="180">
        <f ca="1">IFERROR(__xludf.DUMMYFUNCTION("IMPORTRANGE(""https://docs.google.com/spreadsheets/d/1MeEWN-I1oV_STSDYn1IFDPWt_1FKiwhDph83XaGc0o0/edit?usp=sharing"",""งบพรบ!AV57"")"),68020)</f>
        <v>68020</v>
      </c>
      <c r="I57" s="180">
        <f ca="1">IFERROR(__xludf.DUMMYFUNCTION("IMPORTRANGE(""https://docs.google.com/spreadsheets/d/1MeEWN-I1oV_STSDYn1IFDPWt_1FKiwhDph83XaGc0o0/edit?usp=sharing"",""งบพรบ!AW57"")"),0)</f>
        <v>0</v>
      </c>
      <c r="J57" s="180">
        <f t="shared" ca="1" si="3"/>
        <v>65520</v>
      </c>
      <c r="K57" s="187">
        <f t="shared" ca="1" si="4"/>
        <v>48.098663926002054</v>
      </c>
      <c r="L57" s="180">
        <f ca="1">IFERROR(__xludf.DUMMYFUNCTION("IMPORTRANGE(""https://docs.google.com/spreadsheets/d/1MeEWN-I1oV_STSDYn1IFDPWt_1FKiwhDph83XaGc0o0/edit?usp=sharing"",""งบพรบ!AX57"")"),65520)</f>
        <v>65520</v>
      </c>
      <c r="M57" s="183">
        <f t="shared" ca="1" si="5"/>
        <v>48.098663926002054</v>
      </c>
      <c r="N57" s="183">
        <f t="shared" ca="1" si="6"/>
        <v>96.324610408703322</v>
      </c>
      <c r="O57" s="184">
        <f ca="1">IFERROR(__xludf.DUMMYFUNCTION("IMPORTRANGE(""https://docs.google.com/spreadsheets/d/1MeEWN-I1oV_STSDYn1IFDPWt_1FKiwhDph83XaGc0o0/edit?usp=sharing"",""งบพรบ!AY57"")"),0)</f>
        <v>0</v>
      </c>
      <c r="P57" s="184">
        <f t="shared" ca="1" si="36"/>
        <v>0</v>
      </c>
      <c r="Q57" s="183">
        <f t="shared" ca="1" si="8"/>
        <v>0</v>
      </c>
      <c r="R57" s="181">
        <f ca="1">IFERROR(__xludf.DUMMYFUNCTION("IMPORTRANGE(""https://docs.google.com/spreadsheets/d/1xAsT4sUbBlom7l0acStESh_15nvjZcXjZM7fK5uZSq8/edit?usp=sharing"",""ชัยนาท!I98"")"),90)</f>
        <v>90</v>
      </c>
      <c r="S57" s="181">
        <f ca="1">IFERROR(__xludf.DUMMYFUNCTION("IMPORTRANGE(""https://docs.google.com/spreadsheets/d/1xAsT4sUbBlom7l0acStESh_15nvjZcXjZM7fK5uZSq8/edit?usp=sharing"",""ชัยนาท!J98"")"),90)</f>
        <v>90</v>
      </c>
      <c r="T57" s="181">
        <f t="shared" ca="1" si="10"/>
        <v>100</v>
      </c>
      <c r="U57" s="181">
        <f ca="1">IFERROR(__xludf.DUMMYFUNCTION("IMPORTRANGE(""https://docs.google.com/spreadsheets/d/1xAsT4sUbBlom7l0acStESh_15nvjZcXjZM7fK5uZSq8/edit?usp=sharing"",""ชัยนาท!I99"")"),30)</f>
        <v>30</v>
      </c>
      <c r="V57" s="181">
        <f ca="1">IFERROR(__xludf.DUMMYFUNCTION("IMPORTRANGE(""https://docs.google.com/spreadsheets/d/1xAsT4sUbBlom7l0acStESh_15nvjZcXjZM7fK5uZSq8/edit?usp=sharing"",""ชัยนาท!I100"")"),2)</f>
        <v>2</v>
      </c>
      <c r="W57" s="181">
        <f ca="1">IFERROR(__xludf.DUMMYFUNCTION("IMPORTRANGE(""https://docs.google.com/spreadsheets/d/1xAsT4sUbBlom7l0acStESh_15nvjZcXjZM7fK5uZSq8/edit?usp=sharing"",""ชัยนาท!J99"")"),0)</f>
        <v>0</v>
      </c>
      <c r="X57" s="185">
        <f t="shared" ca="1" si="12"/>
        <v>0</v>
      </c>
      <c r="Y57" s="186">
        <f ca="1">IFERROR(__xludf.DUMMYFUNCTION("IMPORTRANGE(""https://docs.google.com/spreadsheets/d/1xAsT4sUbBlom7l0acStESh_15nvjZcXjZM7fK5uZSq8/edit?usp=sharing"",""ชัยนาท!J100"")"),0)</f>
        <v>0</v>
      </c>
      <c r="Z57" s="185">
        <f t="shared" ca="1" si="13"/>
        <v>0</v>
      </c>
      <c r="AA57" s="180">
        <f ca="1">IFERROR(__xludf.DUMMYFUNCTION("IMPORTRANGE(""https://docs.google.com/spreadsheets/d/1xAsT4sUbBlom7l0acStESh_15nvjZcXjZM7fK5uZSq8/edit?usp=sharing"",""ชัยนาท!I102"")"),90)</f>
        <v>90</v>
      </c>
      <c r="AB57" s="180">
        <f ca="1">IFERROR(__xludf.DUMMYFUNCTION("IMPORTRANGE(""https://docs.google.com/spreadsheets/d/1xAsT4sUbBlom7l0acStESh_15nvjZcXjZM7fK5uZSq8/edit?usp=sharing"",""ชัยนาท!I103"")"),30)</f>
        <v>30</v>
      </c>
      <c r="AC57" s="181">
        <f ca="1">IFERROR(__xludf.DUMMYFUNCTION("IMPORTRANGE(""https://docs.google.com/spreadsheets/d/1xAsT4sUbBlom7l0acStESh_15nvjZcXjZM7fK5uZSq8/edit?usp=sharing"",""ชัยนาท!J102"")"),90)</f>
        <v>90</v>
      </c>
      <c r="AD57" s="181">
        <f ca="1">IFERROR(__xludf.DUMMYFUNCTION("IMPORTRANGE(""https://docs.google.com/spreadsheets/d/1xAsT4sUbBlom7l0acStESh_15nvjZcXjZM7fK5uZSq8/edit?usp=sharing"",""ชัยนาท!J103"")"),30)</f>
        <v>30</v>
      </c>
      <c r="AE57" s="181" t="str">
        <f ca="1">IFERROR(__xludf.DUMMYFUNCTION("IMPORTRANGE(""https://docs.google.com/spreadsheets/d/1xAsT4sUbBlom7l0acStESh_15nvjZcXjZM7fK5uZSq8/edit?usp=sharing"",""ชัยนาท!J104"")"),"")</f>
        <v/>
      </c>
      <c r="AF57" s="180">
        <f ca="1">IFERROR(__xludf.DUMMYFUNCTION("IMPORTRANGE(""https://docs.google.com/spreadsheets/d/1xAsT4sUbBlom7l0acStESh_15nvjZcXjZM7fK5uZSq8/edit?usp=sharing"",""ชัยนาท!I106"")"),1)</f>
        <v>1</v>
      </c>
      <c r="AG57" s="181">
        <f ca="1">IFERROR(__xludf.DUMMYFUNCTION("IMPORTRANGE(""https://docs.google.com/spreadsheets/d/1xAsT4sUbBlom7l0acStESh_15nvjZcXjZM7fK5uZSq8/edit?usp=sharing"",""ชัยนาท!J106"")"),0)</f>
        <v>0</v>
      </c>
      <c r="AH57" s="181">
        <f ca="1">IFERROR(__xludf.DUMMYFUNCTION("IMPORTRANGE(""https://docs.google.com/spreadsheets/d/1xAsT4sUbBlom7l0acStESh_15nvjZcXjZM7fK5uZSq8/edit?usp=sharing"",""ชัยนาท!J107"")"),0)</f>
        <v>0</v>
      </c>
      <c r="AI57" s="180">
        <f ca="1">IFERROR(__xludf.DUMMYFUNCTION("IMPORTRANGE(""https://docs.google.com/spreadsheets/d/1xAsT4sUbBlom7l0acStESh_15nvjZcXjZM7fK5uZSq8/edit?usp=sharing"",""ชัยนาท!I109"")"),1)</f>
        <v>1</v>
      </c>
      <c r="AJ57" s="181">
        <f ca="1">IFERROR(__xludf.DUMMYFUNCTION("IMPORTRANGE(""https://docs.google.com/spreadsheets/d/1xAsT4sUbBlom7l0acStESh_15nvjZcXjZM7fK5uZSq8/edit?usp=sharing"",""ชัยนาท!J109"")"),0)</f>
        <v>0</v>
      </c>
      <c r="AK57" s="181">
        <f ca="1">IFERROR(__xludf.DUMMYFUNCTION("IMPORTRANGE(""https://docs.google.com/spreadsheets/d/1xAsT4sUbBlom7l0acStESh_15nvjZcXjZM7fK5uZSq8/edit?usp=sharing"",""ชัยนาท!J110"")"),0)</f>
        <v>0</v>
      </c>
      <c r="AL57" s="180">
        <f ca="1">IFERROR(__xludf.DUMMYFUNCTION("IMPORTRANGE(""https://docs.google.com/spreadsheets/d/1xAsT4sUbBlom7l0acStESh_15nvjZcXjZM7fK5uZSq8/edit?usp=sharing"",""ชัยนาท!I111"")"),30)</f>
        <v>30</v>
      </c>
      <c r="AM57" s="180">
        <f ca="1">IFERROR(__xludf.DUMMYFUNCTION("IMPORTRANGE(""https://docs.google.com/spreadsheets/d/1xAsT4sUbBlom7l0acStESh_15nvjZcXjZM7fK5uZSq8/edit?usp=sharing"",""ชัยนาท!I112"")"),2)</f>
        <v>2</v>
      </c>
      <c r="AN57" s="181">
        <f ca="1">IFERROR(__xludf.DUMMYFUNCTION("IMPORTRANGE(""https://docs.google.com/spreadsheets/d/1xAsT4sUbBlom7l0acStESh_15nvjZcXjZM7fK5uZSq8/edit?usp=sharing"",""ชัยนาท!J111"")"),0)</f>
        <v>0</v>
      </c>
      <c r="AO57" s="181">
        <f t="shared" ca="1" si="15"/>
        <v>0</v>
      </c>
      <c r="AP57" s="181">
        <f ca="1">IFERROR(__xludf.DUMMYFUNCTION("IMPORTRANGE(""https://docs.google.com/spreadsheets/d/1xAsT4sUbBlom7l0acStESh_15nvjZcXjZM7fK5uZSq8/edit?usp=sharing"",""ชัยนาท!J112"")"),0)</f>
        <v>0</v>
      </c>
      <c r="AQ57" s="183">
        <f t="shared" ca="1" si="16"/>
        <v>0</v>
      </c>
      <c r="AR57" s="180">
        <f ca="1">IFERROR(__xludf.DUMMYFUNCTION("IMPORTRANGE(""https://docs.google.com/spreadsheets/d/1xAsT4sUbBlom7l0acStESh_15nvjZcXjZM7fK5uZSq8/edit?usp=sharing"",""ชัยนาท!I113"")"),30)</f>
        <v>30</v>
      </c>
      <c r="AS57" s="180">
        <f ca="1">IFERROR(__xludf.DUMMYFUNCTION("IMPORTRANGE(""https://docs.google.com/spreadsheets/d/1xAsT4sUbBlom7l0acStESh_15nvjZcXjZM7fK5uZSq8/edit?usp=sharing"",""ชัยนาท!J113"")"),0)</f>
        <v>0</v>
      </c>
      <c r="AT57" s="180">
        <f ca="1">IFERROR(__xludf.DUMMYFUNCTION("IMPORTRANGE(""https://docs.google.com/spreadsheets/d/1xAsT4sUbBlom7l0acStESh_15nvjZcXjZM7fK5uZSq8/edit?usp=sharing"",""ชัยนาท!J114"")"),0)</f>
        <v>0</v>
      </c>
      <c r="AU57" s="180">
        <f ca="1">IFERROR(__xludf.DUMMYFUNCTION("IMPORTRANGE(""https://docs.google.com/spreadsheets/d/1xAsT4sUbBlom7l0acStESh_15nvjZcXjZM7fK5uZSq8/edit?usp=sharing"",""ชัยนาท!I115"")"),1)</f>
        <v>1</v>
      </c>
      <c r="AV57" s="181">
        <f ca="1">IFERROR(__xludf.DUMMYFUNCTION("IMPORTRANGE(""https://docs.google.com/spreadsheets/d/1xAsT4sUbBlom7l0acStESh_15nvjZcXjZM7fK5uZSq8/edit?usp=sharing"",""ชัยนาท!J115"")"),0)</f>
        <v>0</v>
      </c>
      <c r="AW57" s="183">
        <f t="shared" ca="1" si="18"/>
        <v>0</v>
      </c>
      <c r="AX57" s="180">
        <f ca="1">IFERROR(__xludf.DUMMYFUNCTION("IMPORTRANGE(""https://docs.google.com/spreadsheets/d/1xAsT4sUbBlom7l0acStESh_15nvjZcXjZM7fK5uZSq8/edit?usp=sharing"",""ชัยนาท!I116"")"),1)</f>
        <v>1</v>
      </c>
      <c r="AY57" s="181">
        <f ca="1">IFERROR(__xludf.DUMMYFUNCTION("IMPORTRANGE(""https://docs.google.com/spreadsheets/d/1xAsT4sUbBlom7l0acStESh_15nvjZcXjZM7fK5uZSq8/edit?usp=sharing"",""ชัยนาท!J116"")"),0)</f>
        <v>0</v>
      </c>
      <c r="AZ57" s="183">
        <f t="shared" ca="1" si="20"/>
        <v>0</v>
      </c>
    </row>
    <row r="58" spans="1:52" ht="21" customHeight="1" x14ac:dyDescent="0.3">
      <c r="A58" s="176">
        <v>6</v>
      </c>
      <c r="B58" s="177" t="s">
        <v>80</v>
      </c>
      <c r="C58" s="178">
        <f t="shared" ca="1" si="0"/>
        <v>372140</v>
      </c>
      <c r="D58" s="179">
        <f t="shared" ca="1" si="56"/>
        <v>372140</v>
      </c>
      <c r="E58" s="180">
        <f ca="1">IFERROR(__xludf.DUMMYFUNCTION("IMPORTRANGE(""https://docs.google.com/spreadsheets/d/1MeEWN-I1oV_STSDYn1IFDPWt_1FKiwhDph83XaGc0o0/edit?usp=sharing"",""งบพรบ!AR58"")"),286300)</f>
        <v>286300</v>
      </c>
      <c r="F58" s="180">
        <f ca="1">IFERROR(__xludf.DUMMYFUNCTION("IMPORTRANGE(""https://docs.google.com/spreadsheets/d/1MeEWN-I1oV_STSDYn1IFDPWt_1FKiwhDph83XaGc0o0/edit?usp=sharing"",""งบพรบ!AS58"")"),85840)</f>
        <v>85840</v>
      </c>
      <c r="G58" s="180">
        <f ca="1">IFERROR(__xludf.DUMMYFUNCTION("IMPORTRANGE(""https://docs.google.com/spreadsheets/d/1MeEWN-I1oV_STSDYn1IFDPWt_1FKiwhDph83XaGc0o0/edit?usp=sharing"",""งบพรบ!AT58"")"),0)</f>
        <v>0</v>
      </c>
      <c r="H58" s="180">
        <f ca="1">IFERROR(__xludf.DUMMYFUNCTION("IMPORTRANGE(""https://docs.google.com/spreadsheets/d/1MeEWN-I1oV_STSDYn1IFDPWt_1FKiwhDph83XaGc0o0/edit?usp=sharing"",""งบพรบ!AV58"")"),290590)</f>
        <v>290590</v>
      </c>
      <c r="I58" s="180">
        <f ca="1">IFERROR(__xludf.DUMMYFUNCTION("IMPORTRANGE(""https://docs.google.com/spreadsheets/d/1MeEWN-I1oV_STSDYn1IFDPWt_1FKiwhDph83XaGc0o0/edit?usp=sharing"",""งบพรบ!AW58"")"),0)</f>
        <v>0</v>
      </c>
      <c r="J58" s="180">
        <f t="shared" ca="1" si="3"/>
        <v>149299</v>
      </c>
      <c r="K58" s="187">
        <f t="shared" ca="1" si="4"/>
        <v>40.11904122104584</v>
      </c>
      <c r="L58" s="180">
        <f ca="1">IFERROR(__xludf.DUMMYFUNCTION("IMPORTRANGE(""https://docs.google.com/spreadsheets/d/1MeEWN-I1oV_STSDYn1IFDPWt_1FKiwhDph83XaGc0o0/edit?usp=sharing"",""งบพรบ!AX58"")"),149299)</f>
        <v>149299</v>
      </c>
      <c r="M58" s="183">
        <f t="shared" ca="1" si="5"/>
        <v>40.11904122104584</v>
      </c>
      <c r="N58" s="183">
        <f t="shared" ca="1" si="6"/>
        <v>51.377886369111117</v>
      </c>
      <c r="O58" s="184">
        <f ca="1">IFERROR(__xludf.DUMMYFUNCTION("IMPORTRANGE(""https://docs.google.com/spreadsheets/d/1MeEWN-I1oV_STSDYn1IFDPWt_1FKiwhDph83XaGc0o0/edit?usp=sharing"",""งบพรบ!AY58"")"),0)</f>
        <v>0</v>
      </c>
      <c r="P58" s="184">
        <f t="shared" ca="1" si="36"/>
        <v>0</v>
      </c>
      <c r="Q58" s="183">
        <f t="shared" ca="1" si="8"/>
        <v>0</v>
      </c>
      <c r="R58" s="181">
        <f ca="1">IFERROR(__xludf.DUMMYFUNCTION("IMPORTRANGE(""https://docs.google.com/spreadsheets/d/1vWPVBOAaZ6mHSI8yf95DNqHwTJ1cpeFsvqt6cxV34QA/edit?usp=sharing"",""ตราด!I98"")"),30)</f>
        <v>30</v>
      </c>
      <c r="S58" s="181">
        <f ca="1">IFERROR(__xludf.DUMMYFUNCTION("IMPORTRANGE(""https://docs.google.com/spreadsheets/d/1vWPVBOAaZ6mHSI8yf95DNqHwTJ1cpeFsvqt6cxV34QA/edit?usp=sharing"",""ตราด!J98"")"),30)</f>
        <v>30</v>
      </c>
      <c r="T58" s="181">
        <f t="shared" ca="1" si="10"/>
        <v>100</v>
      </c>
      <c r="U58" s="181">
        <f ca="1">IFERROR(__xludf.DUMMYFUNCTION("IMPORTRANGE(""https://docs.google.com/spreadsheets/d/1vWPVBOAaZ6mHSI8yf95DNqHwTJ1cpeFsvqt6cxV34QA/edit?usp=sharing"",""ตราด!I99"")"),10)</f>
        <v>10</v>
      </c>
      <c r="V58" s="181">
        <f ca="1">IFERROR(__xludf.DUMMYFUNCTION("IMPORTRANGE(""https://docs.google.com/spreadsheets/d/1vWPVBOAaZ6mHSI8yf95DNqHwTJ1cpeFsvqt6cxV34QA/edit?usp=sharing"",""ตราด!I100"")"),2)</f>
        <v>2</v>
      </c>
      <c r="W58" s="181">
        <f ca="1">IFERROR(__xludf.DUMMYFUNCTION("IMPORTRANGE(""https://docs.google.com/spreadsheets/d/1vWPVBOAaZ6mHSI8yf95DNqHwTJ1cpeFsvqt6cxV34QA/edit?usp=sharing"",""ตราด!J99"")"),0)</f>
        <v>0</v>
      </c>
      <c r="X58" s="185">
        <f t="shared" ca="1" si="12"/>
        <v>0</v>
      </c>
      <c r="Y58" s="186">
        <f ca="1">IFERROR(__xludf.DUMMYFUNCTION("IMPORTRANGE(""https://docs.google.com/spreadsheets/d/1vWPVBOAaZ6mHSI8yf95DNqHwTJ1cpeFsvqt6cxV34QA/edit?usp=sharing"",""ตราด!J100"")"),1)</f>
        <v>1</v>
      </c>
      <c r="Z58" s="185">
        <f t="shared" ca="1" si="13"/>
        <v>50</v>
      </c>
      <c r="AA58" s="180">
        <f ca="1">IFERROR(__xludf.DUMMYFUNCTION("IMPORTRANGE(""https://docs.google.com/spreadsheets/d/1vWPVBOAaZ6mHSI8yf95DNqHwTJ1cpeFsvqt6cxV34QA/edit?usp=sharing"",""ตราด!I102"")"),30)</f>
        <v>30</v>
      </c>
      <c r="AB58" s="180">
        <f ca="1">IFERROR(__xludf.DUMMYFUNCTION("IMPORTRANGE(""https://docs.google.com/spreadsheets/d/1vWPVBOAaZ6mHSI8yf95DNqHwTJ1cpeFsvqt6cxV34QA/edit?usp=sharing"",""ตราด!I103"")"),10)</f>
        <v>10</v>
      </c>
      <c r="AC58" s="181">
        <f ca="1">IFERROR(__xludf.DUMMYFUNCTION("IMPORTRANGE(""https://docs.google.com/spreadsheets/d/1vWPVBOAaZ6mHSI8yf95DNqHwTJ1cpeFsvqt6cxV34QA/edit?usp=sharing"",""ตราด!J102"")"),30)</f>
        <v>30</v>
      </c>
      <c r="AD58" s="181">
        <f ca="1">IFERROR(__xludf.DUMMYFUNCTION("IMPORTRANGE(""https://docs.google.com/spreadsheets/d/1vWPVBOAaZ6mHSI8yf95DNqHwTJ1cpeFsvqt6cxV34QA/edit?usp=sharing"",""ตราด!J103"")"),10)</f>
        <v>10</v>
      </c>
      <c r="AE58" s="181">
        <f ca="1">IFERROR(__xludf.DUMMYFUNCTION("IMPORTRANGE(""https://docs.google.com/spreadsheets/d/1vWPVBOAaZ6mHSI8yf95DNqHwTJ1cpeFsvqt6cxV34QA/edit?usp=sharing"",""ตราด!J104"")"),0)</f>
        <v>0</v>
      </c>
      <c r="AF58" s="180">
        <f ca="1">IFERROR(__xludf.DUMMYFUNCTION("IMPORTRANGE(""https://docs.google.com/spreadsheets/d/1vWPVBOAaZ6mHSI8yf95DNqHwTJ1cpeFsvqt6cxV34QA/edit?usp=sharing"",""ตราด!I106"")"),1)</f>
        <v>1</v>
      </c>
      <c r="AG58" s="181">
        <f ca="1">IFERROR(__xludf.DUMMYFUNCTION("IMPORTRANGE(""https://docs.google.com/spreadsheets/d/1vWPVBOAaZ6mHSI8yf95DNqHwTJ1cpeFsvqt6cxV34QA/edit?usp=sharing"",""ตราด!J106"")"),1)</f>
        <v>1</v>
      </c>
      <c r="AH58" s="181">
        <f ca="1">IFERROR(__xludf.DUMMYFUNCTION("IMPORTRANGE(""https://docs.google.com/spreadsheets/d/1vWPVBOAaZ6mHSI8yf95DNqHwTJ1cpeFsvqt6cxV34QA/edit?usp=sharing"",""ตราด!J107"")"),1)</f>
        <v>1</v>
      </c>
      <c r="AI58" s="180">
        <f ca="1">IFERROR(__xludf.DUMMYFUNCTION("IMPORTRANGE(""https://docs.google.com/spreadsheets/d/1vWPVBOAaZ6mHSI8yf95DNqHwTJ1cpeFsvqt6cxV34QA/edit?usp=sharing"",""ตราด!I109"")"),1)</f>
        <v>1</v>
      </c>
      <c r="AJ58" s="181">
        <f ca="1">IFERROR(__xludf.DUMMYFUNCTION("IMPORTRANGE(""https://docs.google.com/spreadsheets/d/1vWPVBOAaZ6mHSI8yf95DNqHwTJ1cpeFsvqt6cxV34QA/edit?usp=sharing"",""ตราด!J109"")"),0)</f>
        <v>0</v>
      </c>
      <c r="AK58" s="181">
        <f ca="1">IFERROR(__xludf.DUMMYFUNCTION("IMPORTRANGE(""https://docs.google.com/spreadsheets/d/1vWPVBOAaZ6mHSI8yf95DNqHwTJ1cpeFsvqt6cxV34QA/edit?usp=sharing"",""ตราด!J110"")"),0)</f>
        <v>0</v>
      </c>
      <c r="AL58" s="180">
        <f ca="1">IFERROR(__xludf.DUMMYFUNCTION("IMPORTRANGE(""https://docs.google.com/spreadsheets/d/1vWPVBOAaZ6mHSI8yf95DNqHwTJ1cpeFsvqt6cxV34QA/edit?usp=sharing"",""ตราด!I111"")"),10)</f>
        <v>10</v>
      </c>
      <c r="AM58" s="180">
        <f ca="1">IFERROR(__xludf.DUMMYFUNCTION("IMPORTRANGE(""https://docs.google.com/spreadsheets/d/1vWPVBOAaZ6mHSI8yf95DNqHwTJ1cpeFsvqt6cxV34QA/edit?usp=sharing"",""ตราด!I112"")"),2)</f>
        <v>2</v>
      </c>
      <c r="AN58" s="181">
        <f ca="1">IFERROR(__xludf.DUMMYFUNCTION("IMPORTRANGE(""https://docs.google.com/spreadsheets/d/1vWPVBOAaZ6mHSI8yf95DNqHwTJ1cpeFsvqt6cxV34QA/edit?usp=sharing"",""ตราด!J111"")"),0)</f>
        <v>0</v>
      </c>
      <c r="AO58" s="181">
        <f t="shared" ca="1" si="15"/>
        <v>0</v>
      </c>
      <c r="AP58" s="181">
        <f ca="1">IFERROR(__xludf.DUMMYFUNCTION("IMPORTRANGE(""https://docs.google.com/spreadsheets/d/1vWPVBOAaZ6mHSI8yf95DNqHwTJ1cpeFsvqt6cxV34QA/edit?usp=sharing"",""ตราด!J112"")"),0)</f>
        <v>0</v>
      </c>
      <c r="AQ58" s="183">
        <f t="shared" ca="1" si="16"/>
        <v>0</v>
      </c>
      <c r="AR58" s="180">
        <f ca="1">IFERROR(__xludf.DUMMYFUNCTION("IMPORTRANGE(""https://docs.google.com/spreadsheets/d/1vWPVBOAaZ6mHSI8yf95DNqHwTJ1cpeFsvqt6cxV34QA/edit?usp=sharing"",""ตราด!I113"")"),10)</f>
        <v>10</v>
      </c>
      <c r="AS58" s="180">
        <f ca="1">IFERROR(__xludf.DUMMYFUNCTION("IMPORTRANGE(""https://docs.google.com/spreadsheets/d/1vWPVBOAaZ6mHSI8yf95DNqHwTJ1cpeFsvqt6cxV34QA/edit?usp=sharing"",""ตราด!J113"")"),0)</f>
        <v>0</v>
      </c>
      <c r="AT58" s="180">
        <f ca="1">IFERROR(__xludf.DUMMYFUNCTION("IMPORTRANGE(""https://docs.google.com/spreadsheets/d/1vWPVBOAaZ6mHSI8yf95DNqHwTJ1cpeFsvqt6cxV34QA/edit?usp=sharing"",""ตราด!J114"")"),0)</f>
        <v>0</v>
      </c>
      <c r="AU58" s="180">
        <f ca="1">IFERROR(__xludf.DUMMYFUNCTION("IMPORTRANGE(""https://docs.google.com/spreadsheets/d/1vWPVBOAaZ6mHSI8yf95DNqHwTJ1cpeFsvqt6cxV34QA/edit?usp=sharing"",""ตราด!I115"")"),1)</f>
        <v>1</v>
      </c>
      <c r="AV58" s="181">
        <f ca="1">IFERROR(__xludf.DUMMYFUNCTION("IMPORTRANGE(""https://docs.google.com/spreadsheets/d/1vWPVBOAaZ6mHSI8yf95DNqHwTJ1cpeFsvqt6cxV34QA/edit?usp=sharing"",""ตราด!J115"")"),0)</f>
        <v>0</v>
      </c>
      <c r="AW58" s="183">
        <f t="shared" ca="1" si="18"/>
        <v>0</v>
      </c>
      <c r="AX58" s="180">
        <f ca="1">IFERROR(__xludf.DUMMYFUNCTION("IMPORTRANGE(""https://docs.google.com/spreadsheets/d/1vWPVBOAaZ6mHSI8yf95DNqHwTJ1cpeFsvqt6cxV34QA/edit?usp=sharing"",""ตราด!I116"")"),1)</f>
        <v>1</v>
      </c>
      <c r="AY58" s="181">
        <f ca="1">IFERROR(__xludf.DUMMYFUNCTION("IMPORTRANGE(""https://docs.google.com/spreadsheets/d/1vWPVBOAaZ6mHSI8yf95DNqHwTJ1cpeFsvqt6cxV34QA/edit?usp=sharing"",""ตราด!J116"")"),0)</f>
        <v>0</v>
      </c>
      <c r="AZ58" s="183">
        <f t="shared" ca="1" si="20"/>
        <v>0</v>
      </c>
    </row>
    <row r="59" spans="1:52" ht="21" customHeight="1" x14ac:dyDescent="0.3">
      <c r="A59" s="176">
        <v>7</v>
      </c>
      <c r="B59" s="177" t="s">
        <v>81</v>
      </c>
      <c r="C59" s="178">
        <f t="shared" ca="1" si="0"/>
        <v>115940</v>
      </c>
      <c r="D59" s="179">
        <f t="shared" ca="1" si="56"/>
        <v>115940</v>
      </c>
      <c r="E59" s="180">
        <f ca="1">IFERROR(__xludf.DUMMYFUNCTION("IMPORTRANGE(""https://docs.google.com/spreadsheets/d/1MeEWN-I1oV_STSDYn1IFDPWt_1FKiwhDph83XaGc0o0/edit?usp=sharing"",""งบพรบ!AR59"")"),0)</f>
        <v>0</v>
      </c>
      <c r="F59" s="180">
        <f ca="1">IFERROR(__xludf.DUMMYFUNCTION("IMPORTRANGE(""https://docs.google.com/spreadsheets/d/1MeEWN-I1oV_STSDYn1IFDPWt_1FKiwhDph83XaGc0o0/edit?usp=sharing"",""งบพรบ!AS59"")"),115940)</f>
        <v>115940</v>
      </c>
      <c r="G59" s="180">
        <f ca="1">IFERROR(__xludf.DUMMYFUNCTION("IMPORTRANGE(""https://docs.google.com/spreadsheets/d/1MeEWN-I1oV_STSDYn1IFDPWt_1FKiwhDph83XaGc0o0/edit?usp=sharing"",""งบพรบ!AT59"")"),0)</f>
        <v>0</v>
      </c>
      <c r="H59" s="180">
        <f ca="1">IFERROR(__xludf.DUMMYFUNCTION("IMPORTRANGE(""https://docs.google.com/spreadsheets/d/1MeEWN-I1oV_STSDYn1IFDPWt_1FKiwhDph83XaGc0o0/edit?usp=sharing"",""งบพรบ!AV59"")"),117490)</f>
        <v>117490</v>
      </c>
      <c r="I59" s="180">
        <f ca="1">IFERROR(__xludf.DUMMYFUNCTION("IMPORTRANGE(""https://docs.google.com/spreadsheets/d/1MeEWN-I1oV_STSDYn1IFDPWt_1FKiwhDph83XaGc0o0/edit?usp=sharing"",""งบพรบ!AW59"")"),0)</f>
        <v>0</v>
      </c>
      <c r="J59" s="180">
        <f t="shared" ca="1" si="3"/>
        <v>5920</v>
      </c>
      <c r="K59" s="187">
        <f t="shared" ca="1" si="4"/>
        <v>5.1060893565637402</v>
      </c>
      <c r="L59" s="180">
        <f ca="1">IFERROR(__xludf.DUMMYFUNCTION("IMPORTRANGE(""https://docs.google.com/spreadsheets/d/1MeEWN-I1oV_STSDYn1IFDPWt_1FKiwhDph83XaGc0o0/edit?usp=sharing"",""งบพรบ!AX59"")"),5920)</f>
        <v>5920</v>
      </c>
      <c r="M59" s="183">
        <f t="shared" ca="1" si="5"/>
        <v>5.1060893565637402</v>
      </c>
      <c r="N59" s="183">
        <f t="shared" ca="1" si="6"/>
        <v>5.0387267001446929</v>
      </c>
      <c r="O59" s="184">
        <f ca="1">IFERROR(__xludf.DUMMYFUNCTION("IMPORTRANGE(""https://docs.google.com/spreadsheets/d/1MeEWN-I1oV_STSDYn1IFDPWt_1FKiwhDph83XaGc0o0/edit?usp=sharing"",""งบพรบ!AY59"")"),0)</f>
        <v>0</v>
      </c>
      <c r="P59" s="184">
        <f t="shared" ca="1" si="36"/>
        <v>0</v>
      </c>
      <c r="Q59" s="183">
        <f t="shared" ca="1" si="8"/>
        <v>0</v>
      </c>
      <c r="R59" s="181">
        <f ca="1">IFERROR(__xludf.DUMMYFUNCTION("IMPORTRANGE(""https://docs.google.com/spreadsheets/d/1phaeSb9lTGgzDpbvVqI9hfmOQQzUom07-HEvpbARzEg/edit?usp=sharing"",""นครนายก!I98"")"),30)</f>
        <v>30</v>
      </c>
      <c r="S59" s="181">
        <f ca="1">IFERROR(__xludf.DUMMYFUNCTION("IMPORTRANGE(""https://docs.google.com/spreadsheets/d/1phaeSb9lTGgzDpbvVqI9hfmOQQzUom07-HEvpbARzEg/edit?usp=sharing"",""นครนายก!J98"")"),0)</f>
        <v>0</v>
      </c>
      <c r="T59" s="181">
        <f t="shared" ca="1" si="10"/>
        <v>0</v>
      </c>
      <c r="U59" s="181">
        <f ca="1">IFERROR(__xludf.DUMMYFUNCTION("IMPORTRANGE(""https://docs.google.com/spreadsheets/d/1phaeSb9lTGgzDpbvVqI9hfmOQQzUom07-HEvpbARzEg/edit?usp=sharing"",""นครนายก!I99"")"),10)</f>
        <v>10</v>
      </c>
      <c r="V59" s="181">
        <f ca="1">IFERROR(__xludf.DUMMYFUNCTION("IMPORTRANGE(""https://docs.google.com/spreadsheets/d/1phaeSb9lTGgzDpbvVqI9hfmOQQzUom07-HEvpbARzEg/edit?usp=sharing"",""นครนายก!I100"")"),3)</f>
        <v>3</v>
      </c>
      <c r="W59" s="181">
        <f ca="1">IFERROR(__xludf.DUMMYFUNCTION("IMPORTRANGE(""https://docs.google.com/spreadsheets/d/1phaeSb9lTGgzDpbvVqI9hfmOQQzUom07-HEvpbARzEg/edit?usp=sharing"",""นครนายก!J99"")"),0)</f>
        <v>0</v>
      </c>
      <c r="X59" s="185">
        <f t="shared" ca="1" si="12"/>
        <v>0</v>
      </c>
      <c r="Y59" s="186">
        <f ca="1">IFERROR(__xludf.DUMMYFUNCTION("IMPORTRANGE(""https://docs.google.com/spreadsheets/d/1phaeSb9lTGgzDpbvVqI9hfmOQQzUom07-HEvpbARzEg/edit?usp=sharing"",""นครนายก!J100"")"),0)</f>
        <v>0</v>
      </c>
      <c r="Z59" s="185">
        <f t="shared" ca="1" si="13"/>
        <v>0</v>
      </c>
      <c r="AA59" s="180">
        <f ca="1">IFERROR(__xludf.DUMMYFUNCTION("IMPORTRANGE(""https://docs.google.com/spreadsheets/d/1phaeSb9lTGgzDpbvVqI9hfmOQQzUom07-HEvpbARzEg/edit?usp=sharing"",""นครนายก!I102"")"),30)</f>
        <v>30</v>
      </c>
      <c r="AB59" s="180">
        <f ca="1">IFERROR(__xludf.DUMMYFUNCTION("IMPORTRANGE(""https://docs.google.com/spreadsheets/d/1phaeSb9lTGgzDpbvVqI9hfmOQQzUom07-HEvpbARzEg/edit?usp=sharing"",""นครนายก!I103"")"),10)</f>
        <v>10</v>
      </c>
      <c r="AC59" s="181">
        <f ca="1">IFERROR(__xludf.DUMMYFUNCTION("IMPORTRANGE(""https://docs.google.com/spreadsheets/d/1phaeSb9lTGgzDpbvVqI9hfmOQQzUom07-HEvpbARzEg/edit?usp=sharing"",""นครนายก!J102"")"),0)</f>
        <v>0</v>
      </c>
      <c r="AD59" s="181">
        <f ca="1">IFERROR(__xludf.DUMMYFUNCTION("IMPORTRANGE(""https://docs.google.com/spreadsheets/d/1phaeSb9lTGgzDpbvVqI9hfmOQQzUom07-HEvpbARzEg/edit?usp=sharing"",""นครนายก!J103"")"),10)</f>
        <v>10</v>
      </c>
      <c r="AE59" s="181">
        <f ca="1">IFERROR(__xludf.DUMMYFUNCTION("IMPORTRANGE(""https://docs.google.com/spreadsheets/d/1phaeSb9lTGgzDpbvVqI9hfmOQQzUom07-HEvpbARzEg/edit?usp=sharing"",""นครนายก!J104"")"),0)</f>
        <v>0</v>
      </c>
      <c r="AF59" s="180">
        <f ca="1">IFERROR(__xludf.DUMMYFUNCTION("IMPORTRANGE(""https://docs.google.com/spreadsheets/d/1phaeSb9lTGgzDpbvVqI9hfmOQQzUom07-HEvpbARzEg/edit?usp=sharing"",""นครนายก!I106"")"),2)</f>
        <v>2</v>
      </c>
      <c r="AG59" s="181">
        <f ca="1">IFERROR(__xludf.DUMMYFUNCTION("IMPORTRANGE(""https://docs.google.com/spreadsheets/d/1phaeSb9lTGgzDpbvVqI9hfmOQQzUom07-HEvpbARzEg/edit?usp=sharing"",""นครนายก!J106"")"),0)</f>
        <v>0</v>
      </c>
      <c r="AH59" s="181">
        <f ca="1">IFERROR(__xludf.DUMMYFUNCTION("IMPORTRANGE(""https://docs.google.com/spreadsheets/d/1phaeSb9lTGgzDpbvVqI9hfmOQQzUom07-HEvpbARzEg/edit?usp=sharing"",""นครนายก!J107"")"),0)</f>
        <v>0</v>
      </c>
      <c r="AI59" s="180">
        <f ca="1">IFERROR(__xludf.DUMMYFUNCTION("IMPORTRANGE(""https://docs.google.com/spreadsheets/d/1phaeSb9lTGgzDpbvVqI9hfmOQQzUom07-HEvpbARzEg/edit?usp=sharing"",""นครนายก!I109"")"),1)</f>
        <v>1</v>
      </c>
      <c r="AJ59" s="181">
        <f ca="1">IFERROR(__xludf.DUMMYFUNCTION("IMPORTRANGE(""https://docs.google.com/spreadsheets/d/1phaeSb9lTGgzDpbvVqI9hfmOQQzUom07-HEvpbARzEg/edit?usp=sharing"",""นครนายก!J109"")"),0)</f>
        <v>0</v>
      </c>
      <c r="AK59" s="181">
        <f ca="1">IFERROR(__xludf.DUMMYFUNCTION("IMPORTRANGE(""https://docs.google.com/spreadsheets/d/1phaeSb9lTGgzDpbvVqI9hfmOQQzUom07-HEvpbARzEg/edit?usp=sharing"",""นครนายก!J110"")"),0)</f>
        <v>0</v>
      </c>
      <c r="AL59" s="180">
        <f ca="1">IFERROR(__xludf.DUMMYFUNCTION("IMPORTRANGE(""https://docs.google.com/spreadsheets/d/1phaeSb9lTGgzDpbvVqI9hfmOQQzUom07-HEvpbARzEg/edit?usp=sharing"",""นครนายก!I111"")"),10)</f>
        <v>10</v>
      </c>
      <c r="AM59" s="180">
        <f ca="1">IFERROR(__xludf.DUMMYFUNCTION("IMPORTRANGE(""https://docs.google.com/spreadsheets/d/1phaeSb9lTGgzDpbvVqI9hfmOQQzUom07-HEvpbARzEg/edit?usp=sharing"",""นครนายก!I112"")"),3)</f>
        <v>3</v>
      </c>
      <c r="AN59" s="181">
        <f ca="1">IFERROR(__xludf.DUMMYFUNCTION("IMPORTRANGE(""https://docs.google.com/spreadsheets/d/1phaeSb9lTGgzDpbvVqI9hfmOQQzUom07-HEvpbARzEg/edit?usp=sharing"",""นครนายก!J111"")"),0)</f>
        <v>0</v>
      </c>
      <c r="AO59" s="181">
        <f t="shared" ca="1" si="15"/>
        <v>0</v>
      </c>
      <c r="AP59" s="181">
        <f ca="1">IFERROR(__xludf.DUMMYFUNCTION("IMPORTRANGE(""https://docs.google.com/spreadsheets/d/1phaeSb9lTGgzDpbvVqI9hfmOQQzUom07-HEvpbARzEg/edit?usp=sharing"",""นครนายก!J112"")"),0)</f>
        <v>0</v>
      </c>
      <c r="AQ59" s="183">
        <f t="shared" ca="1" si="16"/>
        <v>0</v>
      </c>
      <c r="AR59" s="180">
        <f ca="1">IFERROR(__xludf.DUMMYFUNCTION("IMPORTRANGE(""https://docs.google.com/spreadsheets/d/1phaeSb9lTGgzDpbvVqI9hfmOQQzUom07-HEvpbARzEg/edit?usp=sharing"",""นครนายก!I113"")"),10)</f>
        <v>10</v>
      </c>
      <c r="AS59" s="180">
        <f ca="1">IFERROR(__xludf.DUMMYFUNCTION("IMPORTRANGE(""https://docs.google.com/spreadsheets/d/1phaeSb9lTGgzDpbvVqI9hfmOQQzUom07-HEvpbARzEg/edit?usp=sharing"",""นครนายก!J113"")"),0)</f>
        <v>0</v>
      </c>
      <c r="AT59" s="180">
        <f ca="1">IFERROR(__xludf.DUMMYFUNCTION("IMPORTRANGE(""https://docs.google.com/spreadsheets/d/1phaeSb9lTGgzDpbvVqI9hfmOQQzUom07-HEvpbARzEg/edit?usp=sharing"",""นครนายก!J114"")"),0)</f>
        <v>0</v>
      </c>
      <c r="AU59" s="180">
        <f ca="1">IFERROR(__xludf.DUMMYFUNCTION("IMPORTRANGE(""https://docs.google.com/spreadsheets/d/1phaeSb9lTGgzDpbvVqI9hfmOQQzUom07-HEvpbARzEg/edit?usp=sharing"",""นครนายก!I115"")"),2)</f>
        <v>2</v>
      </c>
      <c r="AV59" s="181">
        <f ca="1">IFERROR(__xludf.DUMMYFUNCTION("IMPORTRANGE(""https://docs.google.com/spreadsheets/d/1phaeSb9lTGgzDpbvVqI9hfmOQQzUom07-HEvpbARzEg/edit?usp=sharing"",""นครนายก!J115"")"),0)</f>
        <v>0</v>
      </c>
      <c r="AW59" s="183">
        <f t="shared" ca="1" si="18"/>
        <v>0</v>
      </c>
      <c r="AX59" s="180">
        <f ca="1">IFERROR(__xludf.DUMMYFUNCTION("IMPORTRANGE(""https://docs.google.com/spreadsheets/d/1phaeSb9lTGgzDpbvVqI9hfmOQQzUom07-HEvpbARzEg/edit?usp=sharing"",""นครนายก!I116"")"),1)</f>
        <v>1</v>
      </c>
      <c r="AY59" s="181">
        <f ca="1">IFERROR(__xludf.DUMMYFUNCTION("IMPORTRANGE(""https://docs.google.com/spreadsheets/d/1phaeSb9lTGgzDpbvVqI9hfmOQQzUom07-HEvpbARzEg/edit?usp=sharing"",""นครนายก!J116"")"),0)</f>
        <v>0</v>
      </c>
      <c r="AZ59" s="183">
        <f t="shared" ca="1" si="20"/>
        <v>0</v>
      </c>
    </row>
    <row r="60" spans="1:52" ht="21" customHeight="1" x14ac:dyDescent="0.3">
      <c r="A60" s="176">
        <v>8</v>
      </c>
      <c r="B60" s="177" t="s">
        <v>82</v>
      </c>
      <c r="C60" s="178">
        <f t="shared" ca="1" si="0"/>
        <v>199040</v>
      </c>
      <c r="D60" s="179">
        <f t="shared" ca="1" si="56"/>
        <v>199040</v>
      </c>
      <c r="E60" s="180">
        <f ca="1">IFERROR(__xludf.DUMMYFUNCTION("IMPORTRANGE(""https://docs.google.com/spreadsheets/d/1MeEWN-I1oV_STSDYn1IFDPWt_1FKiwhDph83XaGc0o0/edit?usp=sharing"",""งบพรบ!AR60"")"),143000)</f>
        <v>143000</v>
      </c>
      <c r="F60" s="180">
        <f ca="1">IFERROR(__xludf.DUMMYFUNCTION("IMPORTRANGE(""https://docs.google.com/spreadsheets/d/1MeEWN-I1oV_STSDYn1IFDPWt_1FKiwhDph83XaGc0o0/edit?usp=sharing"",""งบพรบ!AS60"")"),56040)</f>
        <v>56040</v>
      </c>
      <c r="G60" s="180">
        <f ca="1">IFERROR(__xludf.DUMMYFUNCTION("IMPORTRANGE(""https://docs.google.com/spreadsheets/d/1MeEWN-I1oV_STSDYn1IFDPWt_1FKiwhDph83XaGc0o0/edit?usp=sharing"",""งบพรบ!AT60"")"),0)</f>
        <v>0</v>
      </c>
      <c r="H60" s="180">
        <f ca="1">IFERROR(__xludf.DUMMYFUNCTION("IMPORTRANGE(""https://docs.google.com/spreadsheets/d/1MeEWN-I1oV_STSDYn1IFDPWt_1FKiwhDph83XaGc0o0/edit?usp=sharing"",""งบพรบ!AV60"")"),127440)</f>
        <v>127440</v>
      </c>
      <c r="I60" s="180">
        <f ca="1">IFERROR(__xludf.DUMMYFUNCTION("IMPORTRANGE(""https://docs.google.com/spreadsheets/d/1MeEWN-I1oV_STSDYn1IFDPWt_1FKiwhDph83XaGc0o0/edit?usp=sharing"",""งบพรบ!AW60"")"),0)</f>
        <v>0</v>
      </c>
      <c r="J60" s="180">
        <f t="shared" ca="1" si="3"/>
        <v>66240</v>
      </c>
      <c r="K60" s="187">
        <f t="shared" ca="1" si="4"/>
        <v>33.279742765273312</v>
      </c>
      <c r="L60" s="180">
        <f ca="1">IFERROR(__xludf.DUMMYFUNCTION("IMPORTRANGE(""https://docs.google.com/spreadsheets/d/1MeEWN-I1oV_STSDYn1IFDPWt_1FKiwhDph83XaGc0o0/edit?usp=sharing"",""งบพรบ!AX60"")"),66240)</f>
        <v>66240</v>
      </c>
      <c r="M60" s="183">
        <f t="shared" ca="1" si="5"/>
        <v>33.279742765273312</v>
      </c>
      <c r="N60" s="183">
        <f t="shared" ca="1" si="6"/>
        <v>51.977401129943502</v>
      </c>
      <c r="O60" s="184">
        <f ca="1">IFERROR(__xludf.DUMMYFUNCTION("IMPORTRANGE(""https://docs.google.com/spreadsheets/d/1MeEWN-I1oV_STSDYn1IFDPWt_1FKiwhDph83XaGc0o0/edit?usp=sharing"",""งบพรบ!AY60"")"),0)</f>
        <v>0</v>
      </c>
      <c r="P60" s="184">
        <f t="shared" ca="1" si="36"/>
        <v>0</v>
      </c>
      <c r="Q60" s="183">
        <f t="shared" ca="1" si="8"/>
        <v>0</v>
      </c>
      <c r="R60" s="181">
        <f ca="1">IFERROR(__xludf.DUMMYFUNCTION("IMPORTRANGE(""https://docs.google.com/spreadsheets/d/1tpwhWwkqkBeiSWCcfB5f2fbwPRbM9hHOEDSDHpl2MIc/edit?usp=sharing"",""นครปฐม!I98"")"),30)</f>
        <v>30</v>
      </c>
      <c r="S60" s="181">
        <f ca="1">IFERROR(__xludf.DUMMYFUNCTION("IMPORTRANGE(""https://docs.google.com/spreadsheets/d/1tpwhWwkqkBeiSWCcfB5f2fbwPRbM9hHOEDSDHpl2MIc/edit?usp=sharing"",""นครปฐม!J98"")"),30)</f>
        <v>30</v>
      </c>
      <c r="T60" s="181">
        <f t="shared" ca="1" si="10"/>
        <v>100</v>
      </c>
      <c r="U60" s="181">
        <f ca="1">IFERROR(__xludf.DUMMYFUNCTION("IMPORTRANGE(""https://docs.google.com/spreadsheets/d/1tpwhWwkqkBeiSWCcfB5f2fbwPRbM9hHOEDSDHpl2MIc/edit?usp=sharing"",""นครปฐม!I99"")"),10)</f>
        <v>10</v>
      </c>
      <c r="V60" s="181">
        <f ca="1">IFERROR(__xludf.DUMMYFUNCTION("IMPORTRANGE(""https://docs.google.com/spreadsheets/d/1tpwhWwkqkBeiSWCcfB5f2fbwPRbM9hHOEDSDHpl2MIc/edit?usp=sharing"",""นครปฐม!I100"")"),1)</f>
        <v>1</v>
      </c>
      <c r="W60" s="181">
        <f ca="1">IFERROR(__xludf.DUMMYFUNCTION("IMPORTRANGE(""https://docs.google.com/spreadsheets/d/1tpwhWwkqkBeiSWCcfB5f2fbwPRbM9hHOEDSDHpl2MIc/edit?usp=sharing"",""นครปฐม!J99"")"),10)</f>
        <v>10</v>
      </c>
      <c r="X60" s="185">
        <f t="shared" ca="1" si="12"/>
        <v>100</v>
      </c>
      <c r="Y60" s="186">
        <f ca="1">IFERROR(__xludf.DUMMYFUNCTION("IMPORTRANGE(""https://docs.google.com/spreadsheets/d/1tpwhWwkqkBeiSWCcfB5f2fbwPRbM9hHOEDSDHpl2MIc/edit?usp=sharing"",""นครปฐม!J100"")"),0)</f>
        <v>0</v>
      </c>
      <c r="Z60" s="185">
        <f t="shared" ca="1" si="13"/>
        <v>0</v>
      </c>
      <c r="AA60" s="180">
        <f ca="1">IFERROR(__xludf.DUMMYFUNCTION("IMPORTRANGE(""https://docs.google.com/spreadsheets/d/1tpwhWwkqkBeiSWCcfB5f2fbwPRbM9hHOEDSDHpl2MIc/edit?usp=sharing"",""นครปฐม!I102"")"),30)</f>
        <v>30</v>
      </c>
      <c r="AB60" s="180">
        <f ca="1">IFERROR(__xludf.DUMMYFUNCTION("IMPORTRANGE(""https://docs.google.com/spreadsheets/d/1tpwhWwkqkBeiSWCcfB5f2fbwPRbM9hHOEDSDHpl2MIc/edit?usp=sharing"",""นครปฐม!I103"")"),10)</f>
        <v>10</v>
      </c>
      <c r="AC60" s="181">
        <f ca="1">IFERROR(__xludf.DUMMYFUNCTION("IMPORTRANGE(""https://docs.google.com/spreadsheets/d/1tpwhWwkqkBeiSWCcfB5f2fbwPRbM9hHOEDSDHpl2MIc/edit?usp=sharing"",""นครปฐม!J102"")"),30)</f>
        <v>30</v>
      </c>
      <c r="AD60" s="181">
        <f ca="1">IFERROR(__xludf.DUMMYFUNCTION("IMPORTRANGE(""https://docs.google.com/spreadsheets/d/1tpwhWwkqkBeiSWCcfB5f2fbwPRbM9hHOEDSDHpl2MIc/edit?usp=sharing"",""นครปฐม!J103"")"),10)</f>
        <v>10</v>
      </c>
      <c r="AE60" s="181">
        <f ca="1">IFERROR(__xludf.DUMMYFUNCTION("IMPORTRANGE(""https://docs.google.com/spreadsheets/d/1tpwhWwkqkBeiSWCcfB5f2fbwPRbM9hHOEDSDHpl2MIc/edit?usp=sharing"",""นครปฐม!J104"")"),10)</f>
        <v>10</v>
      </c>
      <c r="AF60" s="180">
        <f ca="1">IFERROR(__xludf.DUMMYFUNCTION("IMPORTRANGE(""https://docs.google.com/spreadsheets/d/1tpwhWwkqkBeiSWCcfB5f2fbwPRbM9hHOEDSDHpl2MIc/edit?usp=sharing"",""นครปฐม!I106"")"),0)</f>
        <v>0</v>
      </c>
      <c r="AG60" s="181">
        <f ca="1">IFERROR(__xludf.DUMMYFUNCTION("IMPORTRANGE(""https://docs.google.com/spreadsheets/d/1tpwhWwkqkBeiSWCcfB5f2fbwPRbM9hHOEDSDHpl2MIc/edit?usp=sharing"",""นครปฐม!J106"")"),0)</f>
        <v>0</v>
      </c>
      <c r="AH60" s="181">
        <f ca="1">IFERROR(__xludf.DUMMYFUNCTION("IMPORTRANGE(""https://docs.google.com/spreadsheets/d/1tpwhWwkqkBeiSWCcfB5f2fbwPRbM9hHOEDSDHpl2MIc/edit?usp=sharing"",""นครปฐม!J107"")"),0)</f>
        <v>0</v>
      </c>
      <c r="AI60" s="180">
        <f ca="1">IFERROR(__xludf.DUMMYFUNCTION("IMPORTRANGE(""https://docs.google.com/spreadsheets/d/1tpwhWwkqkBeiSWCcfB5f2fbwPRbM9hHOEDSDHpl2MIc/edit?usp=sharing"",""นครปฐม!I109"")"),1)</f>
        <v>1</v>
      </c>
      <c r="AJ60" s="181">
        <f ca="1">IFERROR(__xludf.DUMMYFUNCTION("IMPORTRANGE(""https://docs.google.com/spreadsheets/d/1tpwhWwkqkBeiSWCcfB5f2fbwPRbM9hHOEDSDHpl2MIc/edit?usp=sharing"",""นครปฐม!J109"")"),0)</f>
        <v>0</v>
      </c>
      <c r="AK60" s="181">
        <f ca="1">IFERROR(__xludf.DUMMYFUNCTION("IMPORTRANGE(""https://docs.google.com/spreadsheets/d/1tpwhWwkqkBeiSWCcfB5f2fbwPRbM9hHOEDSDHpl2MIc/edit?usp=sharing"",""นครปฐม!J110"")"),0)</f>
        <v>0</v>
      </c>
      <c r="AL60" s="180">
        <f ca="1">IFERROR(__xludf.DUMMYFUNCTION("IMPORTRANGE(""https://docs.google.com/spreadsheets/d/1tpwhWwkqkBeiSWCcfB5f2fbwPRbM9hHOEDSDHpl2MIc/edit?usp=sharing"",""นครปฐม!I111"")"),10)</f>
        <v>10</v>
      </c>
      <c r="AM60" s="180">
        <f ca="1">IFERROR(__xludf.DUMMYFUNCTION("IMPORTRANGE(""https://docs.google.com/spreadsheets/d/1tpwhWwkqkBeiSWCcfB5f2fbwPRbM9hHOEDSDHpl2MIc/edit?usp=sharing"",""นครปฐม!I112"")"),1)</f>
        <v>1</v>
      </c>
      <c r="AN60" s="181">
        <f ca="1">IFERROR(__xludf.DUMMYFUNCTION("IMPORTRANGE(""https://docs.google.com/spreadsheets/d/1tpwhWwkqkBeiSWCcfB5f2fbwPRbM9hHOEDSDHpl2MIc/edit?usp=sharing"",""นครปฐม!J111"")"),0)</f>
        <v>0</v>
      </c>
      <c r="AO60" s="181">
        <f t="shared" ca="1" si="15"/>
        <v>0</v>
      </c>
      <c r="AP60" s="181">
        <f ca="1">IFERROR(__xludf.DUMMYFUNCTION("IMPORTRANGE(""https://docs.google.com/spreadsheets/d/1tpwhWwkqkBeiSWCcfB5f2fbwPRbM9hHOEDSDHpl2MIc/edit?usp=sharing"",""นครปฐม!J112"")"),0)</f>
        <v>0</v>
      </c>
      <c r="AQ60" s="183">
        <f t="shared" ca="1" si="16"/>
        <v>0</v>
      </c>
      <c r="AR60" s="180">
        <f ca="1">IFERROR(__xludf.DUMMYFUNCTION("IMPORTRANGE(""https://docs.google.com/spreadsheets/d/1tpwhWwkqkBeiSWCcfB5f2fbwPRbM9hHOEDSDHpl2MIc/edit?usp=sharing"",""นครปฐม!I113"")"),10)</f>
        <v>10</v>
      </c>
      <c r="AS60" s="180">
        <f ca="1">IFERROR(__xludf.DUMMYFUNCTION("IMPORTRANGE(""https://docs.google.com/spreadsheets/d/1tpwhWwkqkBeiSWCcfB5f2fbwPRbM9hHOEDSDHpl2MIc/edit?usp=sharing"",""นครปฐม!J113"")"),0)</f>
        <v>0</v>
      </c>
      <c r="AT60" s="180">
        <f ca="1">IFERROR(__xludf.DUMMYFUNCTION("IMPORTRANGE(""https://docs.google.com/spreadsheets/d/1tpwhWwkqkBeiSWCcfB5f2fbwPRbM9hHOEDSDHpl2MIc/edit?usp=sharing"",""นครปฐม!J114"")"),0)</f>
        <v>0</v>
      </c>
      <c r="AU60" s="180">
        <f ca="1">IFERROR(__xludf.DUMMYFUNCTION("IMPORTRANGE(""https://docs.google.com/spreadsheets/d/1tpwhWwkqkBeiSWCcfB5f2fbwPRbM9hHOEDSDHpl2MIc/edit?usp=sharing"",""นครปฐม!I115"")"),0)</f>
        <v>0</v>
      </c>
      <c r="AV60" s="181">
        <f ca="1">IFERROR(__xludf.DUMMYFUNCTION("IMPORTRANGE(""https://docs.google.com/spreadsheets/d/1tpwhWwkqkBeiSWCcfB5f2fbwPRbM9hHOEDSDHpl2MIc/edit?usp=sharing"",""นครปฐม!J115"")"),0)</f>
        <v>0</v>
      </c>
      <c r="AW60" s="183">
        <f t="shared" ca="1" si="18"/>
        <v>0</v>
      </c>
      <c r="AX60" s="180">
        <f ca="1">IFERROR(__xludf.DUMMYFUNCTION("IMPORTRANGE(""https://docs.google.com/spreadsheets/d/1tpwhWwkqkBeiSWCcfB5f2fbwPRbM9hHOEDSDHpl2MIc/edit?usp=sharing"",""นครปฐม!I116"")"),1)</f>
        <v>1</v>
      </c>
      <c r="AY60" s="181">
        <f ca="1">IFERROR(__xludf.DUMMYFUNCTION("IMPORTRANGE(""https://docs.google.com/spreadsheets/d/1tpwhWwkqkBeiSWCcfB5f2fbwPRbM9hHOEDSDHpl2MIc/edit?usp=sharing"",""นครปฐม!J116"")"),0)</f>
        <v>0</v>
      </c>
      <c r="AZ60" s="183">
        <f t="shared" ca="1" si="20"/>
        <v>0</v>
      </c>
    </row>
    <row r="61" spans="1:52" ht="21" customHeight="1" x14ac:dyDescent="0.3">
      <c r="A61" s="176">
        <v>9</v>
      </c>
      <c r="B61" s="177" t="s">
        <v>83</v>
      </c>
      <c r="C61" s="178">
        <f t="shared" ca="1" si="0"/>
        <v>86040</v>
      </c>
      <c r="D61" s="179">
        <f t="shared" ca="1" si="56"/>
        <v>86040</v>
      </c>
      <c r="E61" s="180">
        <f ca="1">IFERROR(__xludf.DUMMYFUNCTION("IMPORTRANGE(""https://docs.google.com/spreadsheets/d/1MeEWN-I1oV_STSDYn1IFDPWt_1FKiwhDph83XaGc0o0/edit?usp=sharing"",""งบพรบ!AR61"")"),0)</f>
        <v>0</v>
      </c>
      <c r="F61" s="180">
        <f ca="1">IFERROR(__xludf.DUMMYFUNCTION("IMPORTRANGE(""https://docs.google.com/spreadsheets/d/1MeEWN-I1oV_STSDYn1IFDPWt_1FKiwhDph83XaGc0o0/edit?usp=sharing"",""งบพรบ!AS61"")"),86040)</f>
        <v>86040</v>
      </c>
      <c r="G61" s="180">
        <f ca="1">IFERROR(__xludf.DUMMYFUNCTION("IMPORTRANGE(""https://docs.google.com/spreadsheets/d/1MeEWN-I1oV_STSDYn1IFDPWt_1FKiwhDph83XaGc0o0/edit?usp=sharing"",""งบพรบ!AT61"")"),0)</f>
        <v>0</v>
      </c>
      <c r="H61" s="180">
        <f ca="1">IFERROR(__xludf.DUMMYFUNCTION("IMPORTRANGE(""https://docs.google.com/spreadsheets/d/1MeEWN-I1oV_STSDYn1IFDPWt_1FKiwhDph83XaGc0o0/edit?usp=sharing"",""งบพรบ!AV61"")"),23840)</f>
        <v>23840</v>
      </c>
      <c r="I61" s="180">
        <f ca="1">IFERROR(__xludf.DUMMYFUNCTION("IMPORTRANGE(""https://docs.google.com/spreadsheets/d/1MeEWN-I1oV_STSDYn1IFDPWt_1FKiwhDph83XaGc0o0/edit?usp=sharing"",""งบพรบ!AW61"")"),0)</f>
        <v>0</v>
      </c>
      <c r="J61" s="180">
        <f t="shared" ca="1" si="3"/>
        <v>9370</v>
      </c>
      <c r="K61" s="187">
        <f t="shared" ca="1" si="4"/>
        <v>10.890283589028359</v>
      </c>
      <c r="L61" s="180">
        <f ca="1">IFERROR(__xludf.DUMMYFUNCTION("IMPORTRANGE(""https://docs.google.com/spreadsheets/d/1MeEWN-I1oV_STSDYn1IFDPWt_1FKiwhDph83XaGc0o0/edit?usp=sharing"",""งบพรบ!AX61"")"),9370)</f>
        <v>9370</v>
      </c>
      <c r="M61" s="183">
        <f t="shared" ca="1" si="5"/>
        <v>10.890283589028359</v>
      </c>
      <c r="N61" s="183">
        <f t="shared" ca="1" si="6"/>
        <v>39.303691275167786</v>
      </c>
      <c r="O61" s="184">
        <f ca="1">IFERROR(__xludf.DUMMYFUNCTION("IMPORTRANGE(""https://docs.google.com/spreadsheets/d/1MeEWN-I1oV_STSDYn1IFDPWt_1FKiwhDph83XaGc0o0/edit?usp=sharing"",""งบพรบ!AY61"")"),0)</f>
        <v>0</v>
      </c>
      <c r="P61" s="184">
        <f t="shared" ca="1" si="36"/>
        <v>0</v>
      </c>
      <c r="Q61" s="183">
        <f t="shared" ca="1" si="8"/>
        <v>0</v>
      </c>
      <c r="R61" s="181">
        <f ca="1">IFERROR(__xludf.DUMMYFUNCTION("IMPORTRANGE(""https://docs.google.com/spreadsheets/d/1fJJCVBkBnhriyv0Cp5ZFMr0I_yrfdEITNpb4zILJgUQ/edit?usp=sharing"",""ปทุมธานี!I98"")"),30)</f>
        <v>30</v>
      </c>
      <c r="S61" s="181">
        <f ca="1">IFERROR(__xludf.DUMMYFUNCTION("IMPORTRANGE(""https://docs.google.com/spreadsheets/d/1fJJCVBkBnhriyv0Cp5ZFMr0I_yrfdEITNpb4zILJgUQ/edit?usp=sharing"",""ปทุมธานี!J98"")"),30)</f>
        <v>30</v>
      </c>
      <c r="T61" s="181">
        <f t="shared" ca="1" si="10"/>
        <v>100</v>
      </c>
      <c r="U61" s="181">
        <f ca="1">IFERROR(__xludf.DUMMYFUNCTION("IMPORTRANGE(""https://docs.google.com/spreadsheets/d/1fJJCVBkBnhriyv0Cp5ZFMr0I_yrfdEITNpb4zILJgUQ/edit?usp=sharing"",""ปทุมธานี!I99"")"),10)</f>
        <v>10</v>
      </c>
      <c r="V61" s="181">
        <f ca="1">IFERROR(__xludf.DUMMYFUNCTION("IMPORTRANGE(""https://docs.google.com/spreadsheets/d/1fJJCVBkBnhriyv0Cp5ZFMr0I_yrfdEITNpb4zILJgUQ/edit?usp=sharing"",""ปทุมธานี!I100"")"),2)</f>
        <v>2</v>
      </c>
      <c r="W61" s="181">
        <f ca="1">IFERROR(__xludf.DUMMYFUNCTION("IMPORTRANGE(""https://docs.google.com/spreadsheets/d/1fJJCVBkBnhriyv0Cp5ZFMr0I_yrfdEITNpb4zILJgUQ/edit?usp=sharing"",""ปทุมธานี!J99"")"),10)</f>
        <v>10</v>
      </c>
      <c r="X61" s="185">
        <f t="shared" ca="1" si="12"/>
        <v>100</v>
      </c>
      <c r="Y61" s="186">
        <f ca="1">IFERROR(__xludf.DUMMYFUNCTION("IMPORTRANGE(""https://docs.google.com/spreadsheets/d/1fJJCVBkBnhriyv0Cp5ZFMr0I_yrfdEITNpb4zILJgUQ/edit?usp=sharing"",""ปทุมธานี!J100"")"),0)</f>
        <v>0</v>
      </c>
      <c r="Z61" s="185">
        <f t="shared" ca="1" si="13"/>
        <v>0</v>
      </c>
      <c r="AA61" s="180">
        <f ca="1">IFERROR(__xludf.DUMMYFUNCTION("IMPORTRANGE(""https://docs.google.com/spreadsheets/d/1fJJCVBkBnhriyv0Cp5ZFMr0I_yrfdEITNpb4zILJgUQ/edit?usp=sharing"",""ปทุมธานี!I102"")"),30)</f>
        <v>30</v>
      </c>
      <c r="AB61" s="180">
        <f ca="1">IFERROR(__xludf.DUMMYFUNCTION("IMPORTRANGE(""https://docs.google.com/spreadsheets/d/1fJJCVBkBnhriyv0Cp5ZFMr0I_yrfdEITNpb4zILJgUQ/edit?usp=sharing"",""ปทุมธานี!I103"")"),10)</f>
        <v>10</v>
      </c>
      <c r="AC61" s="181">
        <f ca="1">IFERROR(__xludf.DUMMYFUNCTION("IMPORTRANGE(""https://docs.google.com/spreadsheets/d/1fJJCVBkBnhriyv0Cp5ZFMr0I_yrfdEITNpb4zILJgUQ/edit?usp=sharing"",""ปทุมธานี!J102"")"),30)</f>
        <v>30</v>
      </c>
      <c r="AD61" s="181">
        <f ca="1">IFERROR(__xludf.DUMMYFUNCTION("IMPORTRANGE(""https://docs.google.com/spreadsheets/d/1fJJCVBkBnhriyv0Cp5ZFMr0I_yrfdEITNpb4zILJgUQ/edit?usp=sharing"",""ปทุมธานี!J103"")"),10)</f>
        <v>10</v>
      </c>
      <c r="AE61" s="181">
        <f ca="1">IFERROR(__xludf.DUMMYFUNCTION("IMPORTRANGE(""https://docs.google.com/spreadsheets/d/1fJJCVBkBnhriyv0Cp5ZFMr0I_yrfdEITNpb4zILJgUQ/edit?usp=sharing"",""ปทุมธานี!J104"")"),10)</f>
        <v>10</v>
      </c>
      <c r="AF61" s="180">
        <f ca="1">IFERROR(__xludf.DUMMYFUNCTION("IMPORTRANGE(""https://docs.google.com/spreadsheets/d/1fJJCVBkBnhriyv0Cp5ZFMr0I_yrfdEITNpb4zILJgUQ/edit?usp=sharing"",""ปทุมธานี!I106"")"),1)</f>
        <v>1</v>
      </c>
      <c r="AG61" s="181">
        <f ca="1">IFERROR(__xludf.DUMMYFUNCTION("IMPORTRANGE(""https://docs.google.com/spreadsheets/d/1fJJCVBkBnhriyv0Cp5ZFMr0I_yrfdEITNpb4zILJgUQ/edit?usp=sharing"",""ปทุมธานี!J106"")"),0)</f>
        <v>0</v>
      </c>
      <c r="AH61" s="181">
        <f ca="1">IFERROR(__xludf.DUMMYFUNCTION("IMPORTRANGE(""https://docs.google.com/spreadsheets/d/1fJJCVBkBnhriyv0Cp5ZFMr0I_yrfdEITNpb4zILJgUQ/edit?usp=sharing"",""ปทุมธานี!J107"")"),0)</f>
        <v>0</v>
      </c>
      <c r="AI61" s="180">
        <f ca="1">IFERROR(__xludf.DUMMYFUNCTION("IMPORTRANGE(""https://docs.google.com/spreadsheets/d/1fJJCVBkBnhriyv0Cp5ZFMr0I_yrfdEITNpb4zILJgUQ/edit?usp=sharing"",""ปทุมธานี!I109"")"),1)</f>
        <v>1</v>
      </c>
      <c r="AJ61" s="181">
        <f ca="1">IFERROR(__xludf.DUMMYFUNCTION("IMPORTRANGE(""https://docs.google.com/spreadsheets/d/1fJJCVBkBnhriyv0Cp5ZFMr0I_yrfdEITNpb4zILJgUQ/edit?usp=sharing"",""ปทุมธานี!J109"")"),0)</f>
        <v>0</v>
      </c>
      <c r="AK61" s="181">
        <f ca="1">IFERROR(__xludf.DUMMYFUNCTION("IMPORTRANGE(""https://docs.google.com/spreadsheets/d/1fJJCVBkBnhriyv0Cp5ZFMr0I_yrfdEITNpb4zILJgUQ/edit?usp=sharing"",""ปทุมธานี!J110"")"),0)</f>
        <v>0</v>
      </c>
      <c r="AL61" s="180">
        <f ca="1">IFERROR(__xludf.DUMMYFUNCTION("IMPORTRANGE(""https://docs.google.com/spreadsheets/d/1fJJCVBkBnhriyv0Cp5ZFMr0I_yrfdEITNpb4zILJgUQ/edit?usp=sharing"",""ปทุมธานี!I111"")"),10)</f>
        <v>10</v>
      </c>
      <c r="AM61" s="180">
        <f ca="1">IFERROR(__xludf.DUMMYFUNCTION("IMPORTRANGE(""https://docs.google.com/spreadsheets/d/1fJJCVBkBnhriyv0Cp5ZFMr0I_yrfdEITNpb4zILJgUQ/edit?usp=sharing"",""ปทุมธานี!I112"")"),2)</f>
        <v>2</v>
      </c>
      <c r="AN61" s="181">
        <f ca="1">IFERROR(__xludf.DUMMYFUNCTION("IMPORTRANGE(""https://docs.google.com/spreadsheets/d/1fJJCVBkBnhriyv0Cp5ZFMr0I_yrfdEITNpb4zILJgUQ/edit?usp=sharing"",""ปทุมธานี!J111"")"),0)</f>
        <v>0</v>
      </c>
      <c r="AO61" s="181">
        <f t="shared" ca="1" si="15"/>
        <v>0</v>
      </c>
      <c r="AP61" s="181">
        <f ca="1">IFERROR(__xludf.DUMMYFUNCTION("IMPORTRANGE(""https://docs.google.com/spreadsheets/d/1fJJCVBkBnhriyv0Cp5ZFMr0I_yrfdEITNpb4zILJgUQ/edit?usp=sharing"",""ปทุมธานี!J112"")"),0)</f>
        <v>0</v>
      </c>
      <c r="AQ61" s="183">
        <f t="shared" ca="1" si="16"/>
        <v>0</v>
      </c>
      <c r="AR61" s="180">
        <f ca="1">IFERROR(__xludf.DUMMYFUNCTION("IMPORTRANGE(""https://docs.google.com/spreadsheets/d/1fJJCVBkBnhriyv0Cp5ZFMr0I_yrfdEITNpb4zILJgUQ/edit?usp=sharing"",""ปทุมธานี!I113"")"),10)</f>
        <v>10</v>
      </c>
      <c r="AS61" s="180">
        <f ca="1">IFERROR(__xludf.DUMMYFUNCTION("IMPORTRANGE(""https://docs.google.com/spreadsheets/d/1fJJCVBkBnhriyv0Cp5ZFMr0I_yrfdEITNpb4zILJgUQ/edit?usp=sharing"",""ปทุมธานี!J113"")"),0)</f>
        <v>0</v>
      </c>
      <c r="AT61" s="180">
        <f ca="1">IFERROR(__xludf.DUMMYFUNCTION("IMPORTRANGE(""https://docs.google.com/spreadsheets/d/1fJJCVBkBnhriyv0Cp5ZFMr0I_yrfdEITNpb4zILJgUQ/edit?usp=sharing"",""ปทุมธานี!J114"")"),0)</f>
        <v>0</v>
      </c>
      <c r="AU61" s="180">
        <f ca="1">IFERROR(__xludf.DUMMYFUNCTION("IMPORTRANGE(""https://docs.google.com/spreadsheets/d/1fJJCVBkBnhriyv0Cp5ZFMr0I_yrfdEITNpb4zILJgUQ/edit?usp=sharing"",""ปทุมธานี!I115"")"),1)</f>
        <v>1</v>
      </c>
      <c r="AV61" s="181">
        <f ca="1">IFERROR(__xludf.DUMMYFUNCTION("IMPORTRANGE(""https://docs.google.com/spreadsheets/d/1fJJCVBkBnhriyv0Cp5ZFMr0I_yrfdEITNpb4zILJgUQ/edit?usp=sharing"",""ปทุมธานี!J115"")"),0)</f>
        <v>0</v>
      </c>
      <c r="AW61" s="183">
        <f t="shared" ca="1" si="18"/>
        <v>0</v>
      </c>
      <c r="AX61" s="180">
        <f ca="1">IFERROR(__xludf.DUMMYFUNCTION("IMPORTRANGE(""https://docs.google.com/spreadsheets/d/1fJJCVBkBnhriyv0Cp5ZFMr0I_yrfdEITNpb4zILJgUQ/edit?usp=sharing"",""ปทุมธานี!I116"")"),1)</f>
        <v>1</v>
      </c>
      <c r="AY61" s="181">
        <f ca="1">IFERROR(__xludf.DUMMYFUNCTION("IMPORTRANGE(""https://docs.google.com/spreadsheets/d/1fJJCVBkBnhriyv0Cp5ZFMr0I_yrfdEITNpb4zILJgUQ/edit?usp=sharing"",""ปทุมธานี!J116"")"),0)</f>
        <v>0</v>
      </c>
      <c r="AZ61" s="183">
        <f t="shared" ca="1" si="20"/>
        <v>0</v>
      </c>
    </row>
    <row r="62" spans="1:52" ht="21" customHeight="1" x14ac:dyDescent="0.3">
      <c r="A62" s="176">
        <v>10</v>
      </c>
      <c r="B62" s="177" t="s">
        <v>84</v>
      </c>
      <c r="C62" s="178">
        <f t="shared" ca="1" si="0"/>
        <v>174200</v>
      </c>
      <c r="D62" s="179">
        <f t="shared" ca="1" si="56"/>
        <v>174200</v>
      </c>
      <c r="E62" s="180">
        <f ca="1">IFERROR(__xludf.DUMMYFUNCTION("IMPORTRANGE(""https://docs.google.com/spreadsheets/d/1MeEWN-I1oV_STSDYn1IFDPWt_1FKiwhDph83XaGc0o0/edit?usp=sharing"",""งบพรบ!AR62"")"),143000)</f>
        <v>143000</v>
      </c>
      <c r="F62" s="180">
        <f ca="1">IFERROR(__xludf.DUMMYFUNCTION("IMPORTRANGE(""https://docs.google.com/spreadsheets/d/1MeEWN-I1oV_STSDYn1IFDPWt_1FKiwhDph83XaGc0o0/edit?usp=sharing"",""งบพรบ!AS62"")"),31200)</f>
        <v>31200</v>
      </c>
      <c r="G62" s="180">
        <f ca="1">IFERROR(__xludf.DUMMYFUNCTION("IMPORTRANGE(""https://docs.google.com/spreadsheets/d/1MeEWN-I1oV_STSDYn1IFDPWt_1FKiwhDph83XaGc0o0/edit?usp=sharing"",""งบพรบ!AT62"")"),0)</f>
        <v>0</v>
      </c>
      <c r="H62" s="180">
        <f ca="1">IFERROR(__xludf.DUMMYFUNCTION("IMPORTRANGE(""https://docs.google.com/spreadsheets/d/1MeEWN-I1oV_STSDYn1IFDPWt_1FKiwhDph83XaGc0o0/edit?usp=sharing"",""งบพรบ!AV62"")"),133350)</f>
        <v>133350</v>
      </c>
      <c r="I62" s="180">
        <f ca="1">IFERROR(__xludf.DUMMYFUNCTION("IMPORTRANGE(""https://docs.google.com/spreadsheets/d/1MeEWN-I1oV_STSDYn1IFDPWt_1FKiwhDph83XaGc0o0/edit?usp=sharing"",""งบพรบ!AW62"")"),0)</f>
        <v>0</v>
      </c>
      <c r="J62" s="180">
        <f t="shared" ca="1" si="3"/>
        <v>67340</v>
      </c>
      <c r="K62" s="187">
        <f t="shared" ca="1" si="4"/>
        <v>38.656716417910445</v>
      </c>
      <c r="L62" s="180">
        <f ca="1">IFERROR(__xludf.DUMMYFUNCTION("IMPORTRANGE(""https://docs.google.com/spreadsheets/d/1MeEWN-I1oV_STSDYn1IFDPWt_1FKiwhDph83XaGc0o0/edit?usp=sharing"",""งบพรบ!AX62"")"),67340)</f>
        <v>67340</v>
      </c>
      <c r="M62" s="183">
        <f t="shared" ca="1" si="5"/>
        <v>38.656716417910445</v>
      </c>
      <c r="N62" s="183">
        <f t="shared" ca="1" si="6"/>
        <v>50.498687664041995</v>
      </c>
      <c r="O62" s="184">
        <f ca="1">IFERROR(__xludf.DUMMYFUNCTION("IMPORTRANGE(""https://docs.google.com/spreadsheets/d/1MeEWN-I1oV_STSDYn1IFDPWt_1FKiwhDph83XaGc0o0/edit?usp=sharing"",""งบพรบ!AY62"")"),0)</f>
        <v>0</v>
      </c>
      <c r="P62" s="184">
        <f t="shared" ca="1" si="36"/>
        <v>0</v>
      </c>
      <c r="Q62" s="183">
        <f t="shared" ca="1" si="8"/>
        <v>0</v>
      </c>
      <c r="R62" s="181">
        <f ca="1">IFERROR(__xludf.DUMMYFUNCTION("IMPORTRANGE(""https://docs.google.com/spreadsheets/d/1W5Jj_S0gYw6wSO7QcMI02YgyOBDKYgmm0NSUk-AQEac/edit?usp=sharing"",""ประจวบคีรีขันธ์!I98"")"),0)</f>
        <v>0</v>
      </c>
      <c r="S62" s="181">
        <f ca="1">IFERROR(__xludf.DUMMYFUNCTION("IMPORTRANGE(""https://docs.google.com/spreadsheets/d/1W5Jj_S0gYw6wSO7QcMI02YgyOBDKYgmm0NSUk-AQEac/edit?usp=sharing"",""ประจวบคีรีขันธ์!J98"")"),0)</f>
        <v>0</v>
      </c>
      <c r="T62" s="181">
        <f t="shared" ca="1" si="10"/>
        <v>0</v>
      </c>
      <c r="U62" s="181">
        <f ca="1">IFERROR(__xludf.DUMMYFUNCTION("IMPORTRANGE(""https://docs.google.com/spreadsheets/d/1W5Jj_S0gYw6wSO7QcMI02YgyOBDKYgmm0NSUk-AQEac/edit?usp=sharing"",""ประจวบคีรีขันธ์!I99"")"),0)</f>
        <v>0</v>
      </c>
      <c r="V62" s="181">
        <f ca="1">IFERROR(__xludf.DUMMYFUNCTION("IMPORTRANGE(""https://docs.google.com/spreadsheets/d/1W5Jj_S0gYw6wSO7QcMI02YgyOBDKYgmm0NSUk-AQEac/edit?usp=sharing"",""ประจวบคีรีขันธ์!I100"")"),1)</f>
        <v>1</v>
      </c>
      <c r="W62" s="181">
        <f ca="1">IFERROR(__xludf.DUMMYFUNCTION("IMPORTRANGE(""https://docs.google.com/spreadsheets/d/1W5Jj_S0gYw6wSO7QcMI02YgyOBDKYgmm0NSUk-AQEac/edit?usp=sharing"",""ประจวบคีรีขันธ์!J99"")"),0)</f>
        <v>0</v>
      </c>
      <c r="X62" s="185">
        <f t="shared" ca="1" si="12"/>
        <v>0</v>
      </c>
      <c r="Y62" s="186">
        <f ca="1">IFERROR(__xludf.DUMMYFUNCTION("IMPORTRANGE(""https://docs.google.com/spreadsheets/d/1W5Jj_S0gYw6wSO7QcMI02YgyOBDKYgmm0NSUk-AQEac/edit?usp=sharing"",""ประจวบคีรีขันธ์!J100"")"),1)</f>
        <v>1</v>
      </c>
      <c r="Z62" s="185">
        <f t="shared" ca="1" si="13"/>
        <v>100</v>
      </c>
      <c r="AA62" s="180">
        <f ca="1">IFERROR(__xludf.DUMMYFUNCTION("IMPORTRANGE(""https://docs.google.com/spreadsheets/d/1W5Jj_S0gYw6wSO7QcMI02YgyOBDKYgmm0NSUk-AQEac/edit?usp=sharing"",""ประจวบคีรีขันธ์!I102"")"),0)</f>
        <v>0</v>
      </c>
      <c r="AB62" s="180">
        <f ca="1">IFERROR(__xludf.DUMMYFUNCTION("IMPORTRANGE(""https://docs.google.com/spreadsheets/d/1W5Jj_S0gYw6wSO7QcMI02YgyOBDKYgmm0NSUk-AQEac/edit?usp=sharing"",""ประจวบคีรีขันธ์!I103"")"),0)</f>
        <v>0</v>
      </c>
      <c r="AC62" s="181">
        <f ca="1">IFERROR(__xludf.DUMMYFUNCTION("IMPORTRANGE(""https://docs.google.com/spreadsheets/d/1W5Jj_S0gYw6wSO7QcMI02YgyOBDKYgmm0NSUk-AQEac/edit?usp=sharing"",""ประจวบคีรีขันธ์!J102"")"),0)</f>
        <v>0</v>
      </c>
      <c r="AD62" s="181">
        <f ca="1">IFERROR(__xludf.DUMMYFUNCTION("IMPORTRANGE(""https://docs.google.com/spreadsheets/d/1W5Jj_S0gYw6wSO7QcMI02YgyOBDKYgmm0NSUk-AQEac/edit?usp=sharing"",""ประจวบคีรีขันธ์!J103"")"),0)</f>
        <v>0</v>
      </c>
      <c r="AE62" s="181">
        <f ca="1">IFERROR(__xludf.DUMMYFUNCTION("IMPORTRANGE(""https://docs.google.com/spreadsheets/d/1W5Jj_S0gYw6wSO7QcMI02YgyOBDKYgmm0NSUk-AQEac/edit?usp=sharing"",""ประจวบคีรีขันธ์!J104"")"),0)</f>
        <v>0</v>
      </c>
      <c r="AF62" s="180">
        <f ca="1">IFERROR(__xludf.DUMMYFUNCTION("IMPORTRANGE(""https://docs.google.com/spreadsheets/d/1W5Jj_S0gYw6wSO7QcMI02YgyOBDKYgmm0NSUk-AQEac/edit?usp=sharing"",""ประจวบคีรีขันธ์!I106"")"),0)</f>
        <v>0</v>
      </c>
      <c r="AG62" s="181">
        <f ca="1">IFERROR(__xludf.DUMMYFUNCTION("IMPORTRANGE(""https://docs.google.com/spreadsheets/d/1W5Jj_S0gYw6wSO7QcMI02YgyOBDKYgmm0NSUk-AQEac/edit?usp=sharing"",""ประจวบคีรีขันธ์!J106"")"),0)</f>
        <v>0</v>
      </c>
      <c r="AH62" s="181">
        <f ca="1">IFERROR(__xludf.DUMMYFUNCTION("IMPORTRANGE(""https://docs.google.com/spreadsheets/d/1W5Jj_S0gYw6wSO7QcMI02YgyOBDKYgmm0NSUk-AQEac/edit?usp=sharing"",""ประจวบคีรีขันธ์!J107"")"),0)</f>
        <v>0</v>
      </c>
      <c r="AI62" s="180">
        <f ca="1">IFERROR(__xludf.DUMMYFUNCTION("IMPORTRANGE(""https://docs.google.com/spreadsheets/d/1W5Jj_S0gYw6wSO7QcMI02YgyOBDKYgmm0NSUk-AQEac/edit?usp=sharing"",""ประจวบคีรีขันธ์!I109"")"),1)</f>
        <v>1</v>
      </c>
      <c r="AJ62" s="181">
        <f ca="1">IFERROR(__xludf.DUMMYFUNCTION("IMPORTRANGE(""https://docs.google.com/spreadsheets/d/1W5Jj_S0gYw6wSO7QcMI02YgyOBDKYgmm0NSUk-AQEac/edit?usp=sharing"",""ประจวบคีรีขันธ์!J109"")"),1)</f>
        <v>1</v>
      </c>
      <c r="AK62" s="181">
        <f ca="1">IFERROR(__xludf.DUMMYFUNCTION("IMPORTRANGE(""https://docs.google.com/spreadsheets/d/1W5Jj_S0gYw6wSO7QcMI02YgyOBDKYgmm0NSUk-AQEac/edit?usp=sharing"",""ประจวบคีรีขันธ์!J110"")"),1)</f>
        <v>1</v>
      </c>
      <c r="AL62" s="180">
        <f ca="1">IFERROR(__xludf.DUMMYFUNCTION("IMPORTRANGE(""https://docs.google.com/spreadsheets/d/1W5Jj_S0gYw6wSO7QcMI02YgyOBDKYgmm0NSUk-AQEac/edit?usp=sharing"",""ประจวบคีรีขันธ์!I111"")"),0)</f>
        <v>0</v>
      </c>
      <c r="AM62" s="180">
        <f ca="1">IFERROR(__xludf.DUMMYFUNCTION("IMPORTRANGE(""https://docs.google.com/spreadsheets/d/1W5Jj_S0gYw6wSO7QcMI02YgyOBDKYgmm0NSUk-AQEac/edit?usp=sharing"",""ประจวบคีรีขันธ์!I112"")"),1)</f>
        <v>1</v>
      </c>
      <c r="AN62" s="181">
        <f ca="1">IFERROR(__xludf.DUMMYFUNCTION("IMPORTRANGE(""https://docs.google.com/spreadsheets/d/1W5Jj_S0gYw6wSO7QcMI02YgyOBDKYgmm0NSUk-AQEac/edit?usp=sharing"",""ประจวบคีรีขันธ์!J111"")"),0)</f>
        <v>0</v>
      </c>
      <c r="AO62" s="181">
        <f t="shared" ca="1" si="15"/>
        <v>0</v>
      </c>
      <c r="AP62" s="181">
        <f ca="1">IFERROR(__xludf.DUMMYFUNCTION("IMPORTRANGE(""https://docs.google.com/spreadsheets/d/1W5Jj_S0gYw6wSO7QcMI02YgyOBDKYgmm0NSUk-AQEac/edit?usp=sharing"",""ประจวบคีรีขันธ์!J112"")"),0)</f>
        <v>0</v>
      </c>
      <c r="AQ62" s="183">
        <f t="shared" ca="1" si="16"/>
        <v>0</v>
      </c>
      <c r="AR62" s="180">
        <f ca="1">IFERROR(__xludf.DUMMYFUNCTION("IMPORTRANGE(""https://docs.google.com/spreadsheets/d/1W5Jj_S0gYw6wSO7QcMI02YgyOBDKYgmm0NSUk-AQEac/edit?usp=sharing"",""ประจวบคีรีขันธ์!I113"")"),0)</f>
        <v>0</v>
      </c>
      <c r="AS62" s="180">
        <f ca="1">IFERROR(__xludf.DUMMYFUNCTION("IMPORTRANGE(""https://docs.google.com/spreadsheets/d/1W5Jj_S0gYw6wSO7QcMI02YgyOBDKYgmm0NSUk-AQEac/edit?usp=sharing"",""ประจวบคีรีขันธ์!J113"")"),0)</f>
        <v>0</v>
      </c>
      <c r="AT62" s="180">
        <f ca="1">IFERROR(__xludf.DUMMYFUNCTION("IMPORTRANGE(""https://docs.google.com/spreadsheets/d/1W5Jj_S0gYw6wSO7QcMI02YgyOBDKYgmm0NSUk-AQEac/edit?usp=sharing"",""ประจวบคีรีขันธ์!J114"")"),0)</f>
        <v>0</v>
      </c>
      <c r="AU62" s="180">
        <f ca="1">IFERROR(__xludf.DUMMYFUNCTION("IMPORTRANGE(""https://docs.google.com/spreadsheets/d/1W5Jj_S0gYw6wSO7QcMI02YgyOBDKYgmm0NSUk-AQEac/edit?usp=sharing"",""ประจวบคีรีขันธ์!I115"")"),0)</f>
        <v>0</v>
      </c>
      <c r="AV62" s="181">
        <f ca="1">IFERROR(__xludf.DUMMYFUNCTION("IMPORTRANGE(""https://docs.google.com/spreadsheets/d/1W5Jj_S0gYw6wSO7QcMI02YgyOBDKYgmm0NSUk-AQEac/edit?usp=sharing"",""ประจวบคีรีขันธ์!J115"")"),0)</f>
        <v>0</v>
      </c>
      <c r="AW62" s="183">
        <f t="shared" ca="1" si="18"/>
        <v>0</v>
      </c>
      <c r="AX62" s="180">
        <f ca="1">IFERROR(__xludf.DUMMYFUNCTION("IMPORTRANGE(""https://docs.google.com/spreadsheets/d/1W5Jj_S0gYw6wSO7QcMI02YgyOBDKYgmm0NSUk-AQEac/edit?usp=sharing"",""ประจวบคีรีขันธ์!I116"")"),1)</f>
        <v>1</v>
      </c>
      <c r="AY62" s="181">
        <f ca="1">IFERROR(__xludf.DUMMYFUNCTION("IMPORTRANGE(""https://docs.google.com/spreadsheets/d/1W5Jj_S0gYw6wSO7QcMI02YgyOBDKYgmm0NSUk-AQEac/edit?usp=sharing"",""ประจวบคีรีขันธ์!J116"")"),0)</f>
        <v>0</v>
      </c>
      <c r="AZ62" s="183">
        <f t="shared" ca="1" si="20"/>
        <v>0</v>
      </c>
    </row>
    <row r="63" spans="1:52" ht="21" customHeight="1" x14ac:dyDescent="0.3">
      <c r="A63" s="176">
        <v>11</v>
      </c>
      <c r="B63" s="177" t="s">
        <v>85</v>
      </c>
      <c r="C63" s="178">
        <f t="shared" ca="1" si="0"/>
        <v>85840</v>
      </c>
      <c r="D63" s="179">
        <f t="shared" ca="1" si="56"/>
        <v>85840</v>
      </c>
      <c r="E63" s="180">
        <f ca="1">IFERROR(__xludf.DUMMYFUNCTION("IMPORTRANGE(""https://docs.google.com/spreadsheets/d/1MeEWN-I1oV_STSDYn1IFDPWt_1FKiwhDph83XaGc0o0/edit?usp=sharing"",""งบพรบ!AR63"")"),0)</f>
        <v>0</v>
      </c>
      <c r="F63" s="180">
        <f ca="1">IFERROR(__xludf.DUMMYFUNCTION("IMPORTRANGE(""https://docs.google.com/spreadsheets/d/1MeEWN-I1oV_STSDYn1IFDPWt_1FKiwhDph83XaGc0o0/edit?usp=sharing"",""งบพรบ!AS63"")"),85840)</f>
        <v>85840</v>
      </c>
      <c r="G63" s="180">
        <f ca="1">IFERROR(__xludf.DUMMYFUNCTION("IMPORTRANGE(""https://docs.google.com/spreadsheets/d/1MeEWN-I1oV_STSDYn1IFDPWt_1FKiwhDph83XaGc0o0/edit?usp=sharing"",""งบพรบ!AT63"")"),0)</f>
        <v>0</v>
      </c>
      <c r="H63" s="180">
        <f ca="1">IFERROR(__xludf.DUMMYFUNCTION("IMPORTRANGE(""https://docs.google.com/spreadsheets/d/1MeEWN-I1oV_STSDYn1IFDPWt_1FKiwhDph83XaGc0o0/edit?usp=sharing"",""งบพรบ!AV63"")"),34440)</f>
        <v>34440</v>
      </c>
      <c r="I63" s="180">
        <f ca="1">IFERROR(__xludf.DUMMYFUNCTION("IMPORTRANGE(""https://docs.google.com/spreadsheets/d/1MeEWN-I1oV_STSDYn1IFDPWt_1FKiwhDph83XaGc0o0/edit?usp=sharing"",""งบพรบ!AW63"")"),0)</f>
        <v>0</v>
      </c>
      <c r="J63" s="180">
        <f t="shared" ca="1" si="3"/>
        <v>31760</v>
      </c>
      <c r="K63" s="187">
        <f t="shared" ca="1" si="4"/>
        <v>36.999068033550792</v>
      </c>
      <c r="L63" s="180">
        <f ca="1">IFERROR(__xludf.DUMMYFUNCTION("IMPORTRANGE(""https://docs.google.com/spreadsheets/d/1MeEWN-I1oV_STSDYn1IFDPWt_1FKiwhDph83XaGc0o0/edit?usp=sharing"",""งบพรบ!AX63"")"),31760)</f>
        <v>31760</v>
      </c>
      <c r="M63" s="183">
        <f t="shared" ca="1" si="5"/>
        <v>36.999068033550792</v>
      </c>
      <c r="N63" s="183">
        <f t="shared" ca="1" si="6"/>
        <v>92.218350754936125</v>
      </c>
      <c r="O63" s="184">
        <f ca="1">IFERROR(__xludf.DUMMYFUNCTION("IMPORTRANGE(""https://docs.google.com/spreadsheets/d/1MeEWN-I1oV_STSDYn1IFDPWt_1FKiwhDph83XaGc0o0/edit?usp=sharing"",""งบพรบ!AY63"")"),0)</f>
        <v>0</v>
      </c>
      <c r="P63" s="184">
        <f t="shared" ca="1" si="36"/>
        <v>0</v>
      </c>
      <c r="Q63" s="183">
        <f t="shared" ca="1" si="8"/>
        <v>0</v>
      </c>
      <c r="R63" s="181">
        <f ca="1">IFERROR(__xludf.DUMMYFUNCTION("IMPORTRANGE(""https://docs.google.com/spreadsheets/d/1nYxRXgnCfTXtqUY1otYuTlnrzE0Tn-Y0YRsW5pkRVqo/edit?usp=sharing"",""ปราจีนบุรี!I98"")"),30)</f>
        <v>30</v>
      </c>
      <c r="S63" s="181">
        <f ca="1">IFERROR(__xludf.DUMMYFUNCTION("IMPORTRANGE(""https://docs.google.com/spreadsheets/d/1nYxRXgnCfTXtqUY1otYuTlnrzE0Tn-Y0YRsW5pkRVqo/edit?usp=sharing"",""ปราจีนบุรี!J98"")"),30)</f>
        <v>30</v>
      </c>
      <c r="T63" s="181">
        <f t="shared" ca="1" si="10"/>
        <v>100</v>
      </c>
      <c r="U63" s="181">
        <f ca="1">IFERROR(__xludf.DUMMYFUNCTION("IMPORTRANGE(""https://docs.google.com/spreadsheets/d/1nYxRXgnCfTXtqUY1otYuTlnrzE0Tn-Y0YRsW5pkRVqo/edit?usp=sharing"",""ปราจีนบุรี!I99"")"),10)</f>
        <v>10</v>
      </c>
      <c r="V63" s="181">
        <f ca="1">IFERROR(__xludf.DUMMYFUNCTION("IMPORTRANGE(""https://docs.google.com/spreadsheets/d/1nYxRXgnCfTXtqUY1otYuTlnrzE0Tn-Y0YRsW5pkRVqo/edit?usp=sharing"",""ปราจีนบุรี!I100"")"),2)</f>
        <v>2</v>
      </c>
      <c r="W63" s="181">
        <f ca="1">IFERROR(__xludf.DUMMYFUNCTION("IMPORTRANGE(""https://docs.google.com/spreadsheets/d/1nYxRXgnCfTXtqUY1otYuTlnrzE0Tn-Y0YRsW5pkRVqo/edit?usp=sharing"",""ปราจีนบุรี!J99"")"),10)</f>
        <v>10</v>
      </c>
      <c r="X63" s="185">
        <f t="shared" ca="1" si="12"/>
        <v>100</v>
      </c>
      <c r="Y63" s="186">
        <f ca="1">IFERROR(__xludf.DUMMYFUNCTION("IMPORTRANGE(""https://docs.google.com/spreadsheets/d/1nYxRXgnCfTXtqUY1otYuTlnrzE0Tn-Y0YRsW5pkRVqo/edit?usp=sharing"",""ปราจีนบุรี!J100"")"),0)</f>
        <v>0</v>
      </c>
      <c r="Z63" s="185">
        <f t="shared" ca="1" si="13"/>
        <v>0</v>
      </c>
      <c r="AA63" s="180">
        <f ca="1">IFERROR(__xludf.DUMMYFUNCTION("IMPORTRANGE(""https://docs.google.com/spreadsheets/d/1nYxRXgnCfTXtqUY1otYuTlnrzE0Tn-Y0YRsW5pkRVqo/edit?usp=sharing"",""ปราจีนบุรี!I102"")"),30)</f>
        <v>30</v>
      </c>
      <c r="AB63" s="180">
        <f ca="1">IFERROR(__xludf.DUMMYFUNCTION("IMPORTRANGE(""https://docs.google.com/spreadsheets/d/1nYxRXgnCfTXtqUY1otYuTlnrzE0Tn-Y0YRsW5pkRVqo/edit?usp=sharing"",""ปราจีนบุรี!I103"")"),10)</f>
        <v>10</v>
      </c>
      <c r="AC63" s="181">
        <f ca="1">IFERROR(__xludf.DUMMYFUNCTION("IMPORTRANGE(""https://docs.google.com/spreadsheets/d/1nYxRXgnCfTXtqUY1otYuTlnrzE0Tn-Y0YRsW5pkRVqo/edit?usp=sharing"",""ปราจีนบุรี!J102"")"),30)</f>
        <v>30</v>
      </c>
      <c r="AD63" s="181">
        <f ca="1">IFERROR(__xludf.DUMMYFUNCTION("IMPORTRANGE(""https://docs.google.com/spreadsheets/d/1nYxRXgnCfTXtqUY1otYuTlnrzE0Tn-Y0YRsW5pkRVqo/edit?usp=sharing"",""ปราจีนบุรี!J103"")"),10)</f>
        <v>10</v>
      </c>
      <c r="AE63" s="181">
        <f ca="1">IFERROR(__xludf.DUMMYFUNCTION("IMPORTRANGE(""https://docs.google.com/spreadsheets/d/1nYxRXgnCfTXtqUY1otYuTlnrzE0Tn-Y0YRsW5pkRVqo/edit?usp=sharing"",""ปราจีนบุรี!J104"")"),10)</f>
        <v>10</v>
      </c>
      <c r="AF63" s="180">
        <f ca="1">IFERROR(__xludf.DUMMYFUNCTION("IMPORTRANGE(""https://docs.google.com/spreadsheets/d/1nYxRXgnCfTXtqUY1otYuTlnrzE0Tn-Y0YRsW5pkRVqo/edit?usp=sharing"",""ปราจีนบุรี!I106"")"),1)</f>
        <v>1</v>
      </c>
      <c r="AG63" s="181">
        <f ca="1">IFERROR(__xludf.DUMMYFUNCTION("IMPORTRANGE(""https://docs.google.com/spreadsheets/d/1nYxRXgnCfTXtqUY1otYuTlnrzE0Tn-Y0YRsW5pkRVqo/edit?usp=sharing"",""ปราจีนบุรี!J106"")"),0)</f>
        <v>0</v>
      </c>
      <c r="AH63" s="181">
        <f ca="1">IFERROR(__xludf.DUMMYFUNCTION("IMPORTRANGE(""https://docs.google.com/spreadsheets/d/1nYxRXgnCfTXtqUY1otYuTlnrzE0Tn-Y0YRsW5pkRVqo/edit?usp=sharing"",""ปราจีนบุรี!J107"")"),0)</f>
        <v>0</v>
      </c>
      <c r="AI63" s="180">
        <f ca="1">IFERROR(__xludf.DUMMYFUNCTION("IMPORTRANGE(""https://docs.google.com/spreadsheets/d/1nYxRXgnCfTXtqUY1otYuTlnrzE0Tn-Y0YRsW5pkRVqo/edit?usp=sharing"",""ปราจีนบุรี!I109"")"),1)</f>
        <v>1</v>
      </c>
      <c r="AJ63" s="181">
        <f ca="1">IFERROR(__xludf.DUMMYFUNCTION("IMPORTRANGE(""https://docs.google.com/spreadsheets/d/1nYxRXgnCfTXtqUY1otYuTlnrzE0Tn-Y0YRsW5pkRVqo/edit?usp=sharing"",""ปราจีนบุรี!J109"")"),0)</f>
        <v>0</v>
      </c>
      <c r="AK63" s="181">
        <f ca="1">IFERROR(__xludf.DUMMYFUNCTION("IMPORTRANGE(""https://docs.google.com/spreadsheets/d/1nYxRXgnCfTXtqUY1otYuTlnrzE0Tn-Y0YRsW5pkRVqo/edit?usp=sharing"",""ปราจีนบุรี!J110"")"),0)</f>
        <v>0</v>
      </c>
      <c r="AL63" s="180">
        <f ca="1">IFERROR(__xludf.DUMMYFUNCTION("IMPORTRANGE(""https://docs.google.com/spreadsheets/d/1nYxRXgnCfTXtqUY1otYuTlnrzE0Tn-Y0YRsW5pkRVqo/edit?usp=sharing"",""ปราจีนบุรี!I111"")"),10)</f>
        <v>10</v>
      </c>
      <c r="AM63" s="180">
        <f ca="1">IFERROR(__xludf.DUMMYFUNCTION("IMPORTRANGE(""https://docs.google.com/spreadsheets/d/1nYxRXgnCfTXtqUY1otYuTlnrzE0Tn-Y0YRsW5pkRVqo/edit?usp=sharing"",""ปราจีนบุรี!I112"")"),2)</f>
        <v>2</v>
      </c>
      <c r="AN63" s="181">
        <f ca="1">IFERROR(__xludf.DUMMYFUNCTION("IMPORTRANGE(""https://docs.google.com/spreadsheets/d/1nYxRXgnCfTXtqUY1otYuTlnrzE0Tn-Y0YRsW5pkRVqo/edit?usp=sharing"",""ปราจีนบุรี!J111"")"),0)</f>
        <v>0</v>
      </c>
      <c r="AO63" s="181">
        <f t="shared" ca="1" si="15"/>
        <v>0</v>
      </c>
      <c r="AP63" s="181">
        <f ca="1">IFERROR(__xludf.DUMMYFUNCTION("IMPORTRANGE(""https://docs.google.com/spreadsheets/d/1nYxRXgnCfTXtqUY1otYuTlnrzE0Tn-Y0YRsW5pkRVqo/edit?usp=sharing"",""ปราจีนบุรี!J112"")"),0)</f>
        <v>0</v>
      </c>
      <c r="AQ63" s="183">
        <f t="shared" ca="1" si="16"/>
        <v>0</v>
      </c>
      <c r="AR63" s="180">
        <f ca="1">IFERROR(__xludf.DUMMYFUNCTION("IMPORTRANGE(""https://docs.google.com/spreadsheets/d/1nYxRXgnCfTXtqUY1otYuTlnrzE0Tn-Y0YRsW5pkRVqo/edit?usp=sharing"",""ปราจีนบุรี!I113"")"),10)</f>
        <v>10</v>
      </c>
      <c r="AS63" s="180">
        <f ca="1">IFERROR(__xludf.DUMMYFUNCTION("IMPORTRANGE(""https://docs.google.com/spreadsheets/d/1nYxRXgnCfTXtqUY1otYuTlnrzE0Tn-Y0YRsW5pkRVqo/edit?usp=sharing"",""ปราจีนบุรี!J113"")"),0)</f>
        <v>0</v>
      </c>
      <c r="AT63" s="180">
        <f ca="1">IFERROR(__xludf.DUMMYFUNCTION("IMPORTRANGE(""https://docs.google.com/spreadsheets/d/1nYxRXgnCfTXtqUY1otYuTlnrzE0Tn-Y0YRsW5pkRVqo/edit?usp=sharing"",""ปราจีนบุรี!J114"")"),0)</f>
        <v>0</v>
      </c>
      <c r="AU63" s="180">
        <f ca="1">IFERROR(__xludf.DUMMYFUNCTION("IMPORTRANGE(""https://docs.google.com/spreadsheets/d/1nYxRXgnCfTXtqUY1otYuTlnrzE0Tn-Y0YRsW5pkRVqo/edit?usp=sharing"",""ปราจีนบุรี!I115"")"),1)</f>
        <v>1</v>
      </c>
      <c r="AV63" s="181">
        <f ca="1">IFERROR(__xludf.DUMMYFUNCTION("IMPORTRANGE(""https://docs.google.com/spreadsheets/d/1nYxRXgnCfTXtqUY1otYuTlnrzE0Tn-Y0YRsW5pkRVqo/edit?usp=sharing"",""ปราจีนบุรี!J115"")"),0)</f>
        <v>0</v>
      </c>
      <c r="AW63" s="183">
        <f t="shared" ca="1" si="18"/>
        <v>0</v>
      </c>
      <c r="AX63" s="180">
        <f ca="1">IFERROR(__xludf.DUMMYFUNCTION("IMPORTRANGE(""https://docs.google.com/spreadsheets/d/1nYxRXgnCfTXtqUY1otYuTlnrzE0Tn-Y0YRsW5pkRVqo/edit?usp=sharing"",""ปราจีนบุรี!I116"")"),1)</f>
        <v>1</v>
      </c>
      <c r="AY63" s="181">
        <f ca="1">IFERROR(__xludf.DUMMYFUNCTION("IMPORTRANGE(""https://docs.google.com/spreadsheets/d/1nYxRXgnCfTXtqUY1otYuTlnrzE0Tn-Y0YRsW5pkRVqo/edit?usp=sharing"",""ปราจีนบุรี!J116"")"),0)</f>
        <v>0</v>
      </c>
      <c r="AZ63" s="183">
        <f t="shared" ca="1" si="20"/>
        <v>0</v>
      </c>
    </row>
    <row r="64" spans="1:52" ht="21" customHeight="1" x14ac:dyDescent="0.3">
      <c r="A64" s="176">
        <v>12</v>
      </c>
      <c r="B64" s="177" t="s">
        <v>86</v>
      </c>
      <c r="C64" s="178">
        <f t="shared" ca="1" si="0"/>
        <v>31200</v>
      </c>
      <c r="D64" s="179">
        <f t="shared" ca="1" si="56"/>
        <v>31200</v>
      </c>
      <c r="E64" s="180">
        <f ca="1">IFERROR(__xludf.DUMMYFUNCTION("IMPORTRANGE(""https://docs.google.com/spreadsheets/d/1MeEWN-I1oV_STSDYn1IFDPWt_1FKiwhDph83XaGc0o0/edit?usp=sharing"",""งบพรบ!AR64"")"),0)</f>
        <v>0</v>
      </c>
      <c r="F64" s="180">
        <f ca="1">IFERROR(__xludf.DUMMYFUNCTION("IMPORTRANGE(""https://docs.google.com/spreadsheets/d/1MeEWN-I1oV_STSDYn1IFDPWt_1FKiwhDph83XaGc0o0/edit?usp=sharing"",""งบพรบ!AS64"")"),31200)</f>
        <v>31200</v>
      </c>
      <c r="G64" s="180">
        <f ca="1">IFERROR(__xludf.DUMMYFUNCTION("IMPORTRANGE(""https://docs.google.com/spreadsheets/d/1MeEWN-I1oV_STSDYn1IFDPWt_1FKiwhDph83XaGc0o0/edit?usp=sharing"",""งบพรบ!AT64"")"),0)</f>
        <v>0</v>
      </c>
      <c r="H64" s="180">
        <f ca="1">IFERROR(__xludf.DUMMYFUNCTION("IMPORTRANGE(""https://docs.google.com/spreadsheets/d/1MeEWN-I1oV_STSDYn1IFDPWt_1FKiwhDph83XaGc0o0/edit?usp=sharing"",""งบพรบ!AV64"")"),29350)</f>
        <v>29350</v>
      </c>
      <c r="I64" s="180">
        <f ca="1">IFERROR(__xludf.DUMMYFUNCTION("IMPORTRANGE(""https://docs.google.com/spreadsheets/d/1MeEWN-I1oV_STSDYn1IFDPWt_1FKiwhDph83XaGc0o0/edit?usp=sharing"",""งบพรบ!AW64"")"),0)</f>
        <v>0</v>
      </c>
      <c r="J64" s="180">
        <f t="shared" ca="1" si="3"/>
        <v>27750</v>
      </c>
      <c r="K64" s="187">
        <f t="shared" ca="1" si="4"/>
        <v>88.942307692307693</v>
      </c>
      <c r="L64" s="180">
        <f ca="1">IFERROR(__xludf.DUMMYFUNCTION("IMPORTRANGE(""https://docs.google.com/spreadsheets/d/1MeEWN-I1oV_STSDYn1IFDPWt_1FKiwhDph83XaGc0o0/edit?usp=sharing"",""งบพรบ!AX64"")"),27750)</f>
        <v>27750</v>
      </c>
      <c r="M64" s="183">
        <f t="shared" ca="1" si="5"/>
        <v>88.942307692307693</v>
      </c>
      <c r="N64" s="183">
        <f t="shared" ca="1" si="6"/>
        <v>94.548551959114135</v>
      </c>
      <c r="O64" s="184">
        <f ca="1">IFERROR(__xludf.DUMMYFUNCTION("IMPORTRANGE(""https://docs.google.com/spreadsheets/d/1MeEWN-I1oV_STSDYn1IFDPWt_1FKiwhDph83XaGc0o0/edit?usp=sharing"",""งบพรบ!AY64"")"),0)</f>
        <v>0</v>
      </c>
      <c r="P64" s="184">
        <f t="shared" ca="1" si="36"/>
        <v>0</v>
      </c>
      <c r="Q64" s="183">
        <f t="shared" ca="1" si="8"/>
        <v>0</v>
      </c>
      <c r="R64" s="181">
        <f ca="1">IFERROR(__xludf.DUMMYFUNCTION("IMPORTRANGE(""https://docs.google.com/spreadsheets/d/1nNHCLO8ZAXOMfQvxux7cf_hrzPAh8FAvaHq_ClKbZNo/edit?usp=sharing"",""พระนครศรีอยุธยา!I98"")"),0)</f>
        <v>0</v>
      </c>
      <c r="S64" s="181">
        <f ca="1">IFERROR(__xludf.DUMMYFUNCTION("IMPORTRANGE(""https://docs.google.com/spreadsheets/d/1nNHCLO8ZAXOMfQvxux7cf_hrzPAh8FAvaHq_ClKbZNo/edit?usp=sharing"",""พระนครศรีอยุธยา!J98"")"),0)</f>
        <v>0</v>
      </c>
      <c r="T64" s="181">
        <f t="shared" ca="1" si="10"/>
        <v>0</v>
      </c>
      <c r="U64" s="181">
        <f ca="1">IFERROR(__xludf.DUMMYFUNCTION("IMPORTRANGE(""https://docs.google.com/spreadsheets/d/1nNHCLO8ZAXOMfQvxux7cf_hrzPAh8FAvaHq_ClKbZNo/edit?usp=sharing"",""พระนครศรีอยุธยา!I99"")"),0)</f>
        <v>0</v>
      </c>
      <c r="V64" s="181">
        <f ca="1">IFERROR(__xludf.DUMMYFUNCTION("IMPORTRANGE(""https://docs.google.com/spreadsheets/d/1nNHCLO8ZAXOMfQvxux7cf_hrzPAh8FAvaHq_ClKbZNo/edit?usp=sharing"",""พระนครศรีอยุธยา!I100"")"),1)</f>
        <v>1</v>
      </c>
      <c r="W64" s="181">
        <f ca="1">IFERROR(__xludf.DUMMYFUNCTION("IMPORTRANGE(""https://docs.google.com/spreadsheets/d/1nNHCLO8ZAXOMfQvxux7cf_hrzPAh8FAvaHq_ClKbZNo/edit?usp=sharing"",""พระนครศรีอยุธยา!J99"")"),0)</f>
        <v>0</v>
      </c>
      <c r="X64" s="185">
        <f t="shared" ca="1" si="12"/>
        <v>0</v>
      </c>
      <c r="Y64" s="186">
        <f ca="1">IFERROR(__xludf.DUMMYFUNCTION("IMPORTRANGE(""https://docs.google.com/spreadsheets/d/1nNHCLO8ZAXOMfQvxux7cf_hrzPAh8FAvaHq_ClKbZNo/edit?usp=sharing"",""พระนครศรีอยุธยา!J100"")"),1)</f>
        <v>1</v>
      </c>
      <c r="Z64" s="185">
        <f t="shared" ca="1" si="13"/>
        <v>100</v>
      </c>
      <c r="AA64" s="180">
        <f ca="1">IFERROR(__xludf.DUMMYFUNCTION("IMPORTRANGE(""https://docs.google.com/spreadsheets/d/1nNHCLO8ZAXOMfQvxux7cf_hrzPAh8FAvaHq_ClKbZNo/edit?usp=sharing"",""พระนครศรีอยุธยา!I102"")"),0)</f>
        <v>0</v>
      </c>
      <c r="AB64" s="180">
        <f ca="1">IFERROR(__xludf.DUMMYFUNCTION("IMPORTRANGE(""https://docs.google.com/spreadsheets/d/1nNHCLO8ZAXOMfQvxux7cf_hrzPAh8FAvaHq_ClKbZNo/edit?usp=sharing"",""พระนครศรีอยุธยา!I103"")"),0)</f>
        <v>0</v>
      </c>
      <c r="AC64" s="181">
        <f ca="1">IFERROR(__xludf.DUMMYFUNCTION("IMPORTRANGE(""https://docs.google.com/spreadsheets/d/1nNHCLO8ZAXOMfQvxux7cf_hrzPAh8FAvaHq_ClKbZNo/edit?usp=sharing"",""พระนครศรีอยุธยา!J102"")"),0)</f>
        <v>0</v>
      </c>
      <c r="AD64" s="181">
        <f ca="1">IFERROR(__xludf.DUMMYFUNCTION("IMPORTRANGE(""https://docs.google.com/spreadsheets/d/1nNHCLO8ZAXOMfQvxux7cf_hrzPAh8FAvaHq_ClKbZNo/edit?usp=sharing"",""พระนครศรีอยุธยา!J103"")"),0)</f>
        <v>0</v>
      </c>
      <c r="AE64" s="181">
        <f ca="1">IFERROR(__xludf.DUMMYFUNCTION("IMPORTRANGE(""https://docs.google.com/spreadsheets/d/1nNHCLO8ZAXOMfQvxux7cf_hrzPAh8FAvaHq_ClKbZNo/edit?usp=sharing"",""พระนครศรีอยุธยา!J104"")"),0)</f>
        <v>0</v>
      </c>
      <c r="AF64" s="180">
        <f ca="1">IFERROR(__xludf.DUMMYFUNCTION("IMPORTRANGE(""https://docs.google.com/spreadsheets/d/1nNHCLO8ZAXOMfQvxux7cf_hrzPAh8FAvaHq_ClKbZNo/edit?usp=sharing"",""พระนครศรีอยุธยา!I106"")"),0)</f>
        <v>0</v>
      </c>
      <c r="AG64" s="181">
        <f ca="1">IFERROR(__xludf.DUMMYFUNCTION("IMPORTRANGE(""https://docs.google.com/spreadsheets/d/1nNHCLO8ZAXOMfQvxux7cf_hrzPAh8FAvaHq_ClKbZNo/edit?usp=sharing"",""พระนครศรีอยุธยา!J106"")"),0)</f>
        <v>0</v>
      </c>
      <c r="AH64" s="181">
        <f ca="1">IFERROR(__xludf.DUMMYFUNCTION("IMPORTRANGE(""https://docs.google.com/spreadsheets/d/1nNHCLO8ZAXOMfQvxux7cf_hrzPAh8FAvaHq_ClKbZNo/edit?usp=sharing"",""พระนครศรีอยุธยา!J107"")"),0)</f>
        <v>0</v>
      </c>
      <c r="AI64" s="180">
        <f ca="1">IFERROR(__xludf.DUMMYFUNCTION("IMPORTRANGE(""https://docs.google.com/spreadsheets/d/1nNHCLO8ZAXOMfQvxux7cf_hrzPAh8FAvaHq_ClKbZNo/edit?usp=sharing"",""พระนครศรีอยุธยา!I109"")"),1)</f>
        <v>1</v>
      </c>
      <c r="AJ64" s="181">
        <f ca="1">IFERROR(__xludf.DUMMYFUNCTION("IMPORTRANGE(""https://docs.google.com/spreadsheets/d/1nNHCLO8ZAXOMfQvxux7cf_hrzPAh8FAvaHq_ClKbZNo/edit?usp=sharing"",""พระนครศรีอยุธยา!J109"")"),1)</f>
        <v>1</v>
      </c>
      <c r="AK64" s="181">
        <f ca="1">IFERROR(__xludf.DUMMYFUNCTION("IMPORTRANGE(""https://docs.google.com/spreadsheets/d/1nNHCLO8ZAXOMfQvxux7cf_hrzPAh8FAvaHq_ClKbZNo/edit?usp=sharing"",""พระนครศรีอยุธยา!J110"")"),1)</f>
        <v>1</v>
      </c>
      <c r="AL64" s="180">
        <f ca="1">IFERROR(__xludf.DUMMYFUNCTION("IMPORTRANGE(""https://docs.google.com/spreadsheets/d/1nNHCLO8ZAXOMfQvxux7cf_hrzPAh8FAvaHq_ClKbZNo/edit?usp=sharing"",""พระนครศรีอยุธยา!I111"")"),0)</f>
        <v>0</v>
      </c>
      <c r="AM64" s="180">
        <f ca="1">IFERROR(__xludf.DUMMYFUNCTION("IMPORTRANGE(""https://docs.google.com/spreadsheets/d/1nNHCLO8ZAXOMfQvxux7cf_hrzPAh8FAvaHq_ClKbZNo/edit?usp=sharing"",""พระนครศรีอยุธยา!I112"")"),1)</f>
        <v>1</v>
      </c>
      <c r="AN64" s="181">
        <f ca="1">IFERROR(__xludf.DUMMYFUNCTION("IMPORTRANGE(""https://docs.google.com/spreadsheets/d/1nNHCLO8ZAXOMfQvxux7cf_hrzPAh8FAvaHq_ClKbZNo/edit?usp=sharing"",""พระนครศรีอยุธยา!J111"")"),0)</f>
        <v>0</v>
      </c>
      <c r="AO64" s="181">
        <f t="shared" ca="1" si="15"/>
        <v>0</v>
      </c>
      <c r="AP64" s="181">
        <f ca="1">IFERROR(__xludf.DUMMYFUNCTION("IMPORTRANGE(""https://docs.google.com/spreadsheets/d/1nNHCLO8ZAXOMfQvxux7cf_hrzPAh8FAvaHq_ClKbZNo/edit?usp=sharing"",""พระนครศรีอยุธยา!J112"")"),0)</f>
        <v>0</v>
      </c>
      <c r="AQ64" s="183">
        <f t="shared" ca="1" si="16"/>
        <v>0</v>
      </c>
      <c r="AR64" s="180">
        <f ca="1">IFERROR(__xludf.DUMMYFUNCTION("IMPORTRANGE(""https://docs.google.com/spreadsheets/d/1nNHCLO8ZAXOMfQvxux7cf_hrzPAh8FAvaHq_ClKbZNo/edit?usp=sharing"",""พระนครศรีอยุธยา!I113"")"),0)</f>
        <v>0</v>
      </c>
      <c r="AS64" s="180">
        <f ca="1">IFERROR(__xludf.DUMMYFUNCTION("IMPORTRANGE(""https://docs.google.com/spreadsheets/d/1nNHCLO8ZAXOMfQvxux7cf_hrzPAh8FAvaHq_ClKbZNo/edit?usp=sharing"",""พระนครศรีอยุธยา!J113"")"),0)</f>
        <v>0</v>
      </c>
      <c r="AT64" s="180">
        <f ca="1">IFERROR(__xludf.DUMMYFUNCTION("IMPORTRANGE(""https://docs.google.com/spreadsheets/d/1nNHCLO8ZAXOMfQvxux7cf_hrzPAh8FAvaHq_ClKbZNo/edit?usp=sharing"",""พระนครศรีอยุธยา!J114"")"),0)</f>
        <v>0</v>
      </c>
      <c r="AU64" s="180">
        <f ca="1">IFERROR(__xludf.DUMMYFUNCTION("IMPORTRANGE(""https://docs.google.com/spreadsheets/d/1nNHCLO8ZAXOMfQvxux7cf_hrzPAh8FAvaHq_ClKbZNo/edit?usp=sharing"",""พระนครศรีอยุธยา!I115"")"),0)</f>
        <v>0</v>
      </c>
      <c r="AV64" s="181">
        <f ca="1">IFERROR(__xludf.DUMMYFUNCTION("IMPORTRANGE(""https://docs.google.com/spreadsheets/d/1nNHCLO8ZAXOMfQvxux7cf_hrzPAh8FAvaHq_ClKbZNo/edit?usp=sharing"",""พระนครศรีอยุธยา!J115"")"),0)</f>
        <v>0</v>
      </c>
      <c r="AW64" s="183">
        <f t="shared" ca="1" si="18"/>
        <v>0</v>
      </c>
      <c r="AX64" s="180">
        <f ca="1">IFERROR(__xludf.DUMMYFUNCTION("IMPORTRANGE(""https://docs.google.com/spreadsheets/d/1nNHCLO8ZAXOMfQvxux7cf_hrzPAh8FAvaHq_ClKbZNo/edit?usp=sharing"",""พระนครศรีอยุธยา!I116"")"),1)</f>
        <v>1</v>
      </c>
      <c r="AY64" s="181">
        <f ca="1">IFERROR(__xludf.DUMMYFUNCTION("IMPORTRANGE(""https://docs.google.com/spreadsheets/d/1nNHCLO8ZAXOMfQvxux7cf_hrzPAh8FAvaHq_ClKbZNo/edit?usp=sharing"",""พระนครศรีอยุธยา!J116"")"),0)</f>
        <v>0</v>
      </c>
      <c r="AZ64" s="183">
        <f t="shared" ca="1" si="20"/>
        <v>0</v>
      </c>
    </row>
    <row r="65" spans="1:52" ht="21" customHeight="1" x14ac:dyDescent="0.3">
      <c r="A65" s="176">
        <v>13</v>
      </c>
      <c r="B65" s="177" t="s">
        <v>87</v>
      </c>
      <c r="C65" s="178">
        <f t="shared" ca="1" si="0"/>
        <v>397480</v>
      </c>
      <c r="D65" s="179">
        <f t="shared" ca="1" si="56"/>
        <v>397480</v>
      </c>
      <c r="E65" s="180">
        <f ca="1">IFERROR(__xludf.DUMMYFUNCTION("IMPORTRANGE(""https://docs.google.com/spreadsheets/d/1MeEWN-I1oV_STSDYn1IFDPWt_1FKiwhDph83XaGc0o0/edit?usp=sharing"",""งบพรบ!AR65"")"),286300)</f>
        <v>286300</v>
      </c>
      <c r="F65" s="180">
        <f ca="1">IFERROR(__xludf.DUMMYFUNCTION("IMPORTRANGE(""https://docs.google.com/spreadsheets/d/1MeEWN-I1oV_STSDYn1IFDPWt_1FKiwhDph83XaGc0o0/edit?usp=sharing"",""งบพรบ!AS65"")"),111180)</f>
        <v>111180</v>
      </c>
      <c r="G65" s="180">
        <f ca="1">IFERROR(__xludf.DUMMYFUNCTION("IMPORTRANGE(""https://docs.google.com/spreadsheets/d/1MeEWN-I1oV_STSDYn1IFDPWt_1FKiwhDph83XaGc0o0/edit?usp=sharing"",""งบพรบ!AT65"")"),0)</f>
        <v>0</v>
      </c>
      <c r="H65" s="180">
        <f ca="1">IFERROR(__xludf.DUMMYFUNCTION("IMPORTRANGE(""https://docs.google.com/spreadsheets/d/1MeEWN-I1oV_STSDYn1IFDPWt_1FKiwhDph83XaGc0o0/edit?usp=sharing"",""งบพรบ!AV65"")"),257480)</f>
        <v>257480</v>
      </c>
      <c r="I65" s="180">
        <f ca="1">IFERROR(__xludf.DUMMYFUNCTION("IMPORTRANGE(""https://docs.google.com/spreadsheets/d/1MeEWN-I1oV_STSDYn1IFDPWt_1FKiwhDph83XaGc0o0/edit?usp=sharing"",""งบพรบ!AW65"")"),0)</f>
        <v>0</v>
      </c>
      <c r="J65" s="180">
        <f t="shared" ca="1" si="3"/>
        <v>163143.14000000001</v>
      </c>
      <c r="K65" s="187">
        <f t="shared" ca="1" si="4"/>
        <v>41.044364496326864</v>
      </c>
      <c r="L65" s="180">
        <f ca="1">IFERROR(__xludf.DUMMYFUNCTION("IMPORTRANGE(""https://docs.google.com/spreadsheets/d/1MeEWN-I1oV_STSDYn1IFDPWt_1FKiwhDph83XaGc0o0/edit?usp=sharing"",""งบพรบ!AX65"")"),163143.14)</f>
        <v>163143.14000000001</v>
      </c>
      <c r="M65" s="183">
        <f t="shared" ca="1" si="5"/>
        <v>41.044364496326864</v>
      </c>
      <c r="N65" s="183">
        <f t="shared" ca="1" si="6"/>
        <v>63.361480503340076</v>
      </c>
      <c r="O65" s="184">
        <f ca="1">IFERROR(__xludf.DUMMYFUNCTION("IMPORTRANGE(""https://docs.google.com/spreadsheets/d/1MeEWN-I1oV_STSDYn1IFDPWt_1FKiwhDph83XaGc0o0/edit?usp=sharing"",""งบพรบ!AY65"")"),0)</f>
        <v>0</v>
      </c>
      <c r="P65" s="184">
        <f t="shared" ca="1" si="36"/>
        <v>0</v>
      </c>
      <c r="Q65" s="183">
        <f t="shared" ca="1" si="8"/>
        <v>0</v>
      </c>
      <c r="R65" s="181">
        <f ca="1">IFERROR(__xludf.DUMMYFUNCTION("IMPORTRANGE(""https://docs.google.com/spreadsheets/d/1CdNicvf3i6yt4tJlCePe3V1Va76wYqW0QzMzTsaGRrA/edit?usp=sharing"",""เพชรบุรี!I98"")"),60)</f>
        <v>60</v>
      </c>
      <c r="S65" s="181">
        <f ca="1">IFERROR(__xludf.DUMMYFUNCTION("IMPORTRANGE(""https://docs.google.com/spreadsheets/d/1CdNicvf3i6yt4tJlCePe3V1Va76wYqW0QzMzTsaGRrA/edit?usp=sharing"",""เพชรบุรี!J98"")"),60)</f>
        <v>60</v>
      </c>
      <c r="T65" s="181">
        <f t="shared" ca="1" si="10"/>
        <v>100</v>
      </c>
      <c r="U65" s="181">
        <f ca="1">IFERROR(__xludf.DUMMYFUNCTION("IMPORTRANGE(""https://docs.google.com/spreadsheets/d/1CdNicvf3i6yt4tJlCePe3V1Va76wYqW0QzMzTsaGRrA/edit?usp=sharing"",""เพชรบุรี!I99"")"),20)</f>
        <v>20</v>
      </c>
      <c r="V65" s="181">
        <f ca="1">IFERROR(__xludf.DUMMYFUNCTION("IMPORTRANGE(""https://docs.google.com/spreadsheets/d/1CdNicvf3i6yt4tJlCePe3V1Va76wYqW0QzMzTsaGRrA/edit?usp=sharing"",""เพชรบุรี!I100"")"),2)</f>
        <v>2</v>
      </c>
      <c r="W65" s="181">
        <f ca="1">IFERROR(__xludf.DUMMYFUNCTION("IMPORTRANGE(""https://docs.google.com/spreadsheets/d/1CdNicvf3i6yt4tJlCePe3V1Va76wYqW0QzMzTsaGRrA/edit?usp=sharing"",""เพชรบุรี!J99"")"),20)</f>
        <v>20</v>
      </c>
      <c r="X65" s="185">
        <f t="shared" ca="1" si="12"/>
        <v>100</v>
      </c>
      <c r="Y65" s="186">
        <f ca="1">IFERROR(__xludf.DUMMYFUNCTION("IMPORTRANGE(""https://docs.google.com/spreadsheets/d/1CdNicvf3i6yt4tJlCePe3V1Va76wYqW0QzMzTsaGRrA/edit?usp=sharing"",""เพชรบุรี!J100"")"),0)</f>
        <v>0</v>
      </c>
      <c r="Z65" s="185">
        <f t="shared" ca="1" si="13"/>
        <v>0</v>
      </c>
      <c r="AA65" s="180">
        <f ca="1">IFERROR(__xludf.DUMMYFUNCTION("IMPORTRANGE(""https://docs.google.com/spreadsheets/d/1CdNicvf3i6yt4tJlCePe3V1Va76wYqW0QzMzTsaGRrA/edit?usp=sharing"",""เพชรบุรี!I102"")"),60)</f>
        <v>60</v>
      </c>
      <c r="AB65" s="180">
        <f ca="1">IFERROR(__xludf.DUMMYFUNCTION("IMPORTRANGE(""https://docs.google.com/spreadsheets/d/1CdNicvf3i6yt4tJlCePe3V1Va76wYqW0QzMzTsaGRrA/edit?usp=sharing"",""เพชรบุรี!I103"")"),20)</f>
        <v>20</v>
      </c>
      <c r="AC65" s="181">
        <f ca="1">IFERROR(__xludf.DUMMYFUNCTION("IMPORTRANGE(""https://docs.google.com/spreadsheets/d/1CdNicvf3i6yt4tJlCePe3V1Va76wYqW0QzMzTsaGRrA/edit?usp=sharing"",""เพชรบุรี!J102"")"),60)</f>
        <v>60</v>
      </c>
      <c r="AD65" s="181">
        <f ca="1">IFERROR(__xludf.DUMMYFUNCTION("IMPORTRANGE(""https://docs.google.com/spreadsheets/d/1CdNicvf3i6yt4tJlCePe3V1Va76wYqW0QzMzTsaGRrA/edit?usp=sharing"",""เพชรบุรี!J103"")"),20)</f>
        <v>20</v>
      </c>
      <c r="AE65" s="181">
        <f ca="1">IFERROR(__xludf.DUMMYFUNCTION("IMPORTRANGE(""https://docs.google.com/spreadsheets/d/1CdNicvf3i6yt4tJlCePe3V1Va76wYqW0QzMzTsaGRrA/edit?usp=sharing"",""เพชรบุรี!J104"")"),20)</f>
        <v>20</v>
      </c>
      <c r="AF65" s="180">
        <f ca="1">IFERROR(__xludf.DUMMYFUNCTION("IMPORTRANGE(""https://docs.google.com/spreadsheets/d/1CdNicvf3i6yt4tJlCePe3V1Va76wYqW0QzMzTsaGRrA/edit?usp=sharing"",""เพชรบุรี!I106"")"),1)</f>
        <v>1</v>
      </c>
      <c r="AG65" s="181">
        <f ca="1">IFERROR(__xludf.DUMMYFUNCTION("IMPORTRANGE(""https://docs.google.com/spreadsheets/d/1CdNicvf3i6yt4tJlCePe3V1Va76wYqW0QzMzTsaGRrA/edit?usp=sharing"",""เพชรบุรี!J106"")"),0)</f>
        <v>0</v>
      </c>
      <c r="AH65" s="181">
        <f ca="1">IFERROR(__xludf.DUMMYFUNCTION("IMPORTRANGE(""https://docs.google.com/spreadsheets/d/1CdNicvf3i6yt4tJlCePe3V1Va76wYqW0QzMzTsaGRrA/edit?usp=sharing"",""เพชรบุรี!J107"")"),0)</f>
        <v>0</v>
      </c>
      <c r="AI65" s="180">
        <f ca="1">IFERROR(__xludf.DUMMYFUNCTION("IMPORTRANGE(""https://docs.google.com/spreadsheets/d/1CdNicvf3i6yt4tJlCePe3V1Va76wYqW0QzMzTsaGRrA/edit?usp=sharing"",""เพชรบุรี!I109"")"),1)</f>
        <v>1</v>
      </c>
      <c r="AJ65" s="181">
        <f ca="1">IFERROR(__xludf.DUMMYFUNCTION("IMPORTRANGE(""https://docs.google.com/spreadsheets/d/1CdNicvf3i6yt4tJlCePe3V1Va76wYqW0QzMzTsaGRrA/edit?usp=sharing"",""เพชรบุรี!J109"")"),0)</f>
        <v>0</v>
      </c>
      <c r="AK65" s="181">
        <f ca="1">IFERROR(__xludf.DUMMYFUNCTION("IMPORTRANGE(""https://docs.google.com/spreadsheets/d/1CdNicvf3i6yt4tJlCePe3V1Va76wYqW0QzMzTsaGRrA/edit?usp=sharing"",""เพชรบุรี!J110"")"),0)</f>
        <v>0</v>
      </c>
      <c r="AL65" s="180">
        <f ca="1">IFERROR(__xludf.DUMMYFUNCTION("IMPORTRANGE(""https://docs.google.com/spreadsheets/d/1CdNicvf3i6yt4tJlCePe3V1Va76wYqW0QzMzTsaGRrA/edit?usp=sharing"",""เพชรบุรี!I111"")"),20)</f>
        <v>20</v>
      </c>
      <c r="AM65" s="180">
        <f ca="1">IFERROR(__xludf.DUMMYFUNCTION("IMPORTRANGE(""https://docs.google.com/spreadsheets/d/1CdNicvf3i6yt4tJlCePe3V1Va76wYqW0QzMzTsaGRrA/edit?usp=sharing"",""เพชรบุรี!I112"")"),2)</f>
        <v>2</v>
      </c>
      <c r="AN65" s="181">
        <f ca="1">IFERROR(__xludf.DUMMYFUNCTION("IMPORTRANGE(""https://docs.google.com/spreadsheets/d/1CdNicvf3i6yt4tJlCePe3V1Va76wYqW0QzMzTsaGRrA/edit?usp=sharing"",""เพชรบุรี!J111"")"),0)</f>
        <v>0</v>
      </c>
      <c r="AO65" s="181">
        <f t="shared" ca="1" si="15"/>
        <v>0</v>
      </c>
      <c r="AP65" s="181">
        <f ca="1">IFERROR(__xludf.DUMMYFUNCTION("IMPORTRANGE(""https://docs.google.com/spreadsheets/d/1CdNicvf3i6yt4tJlCePe3V1Va76wYqW0QzMzTsaGRrA/edit?usp=sharing"",""เพชรบุรี!J112"")"),0)</f>
        <v>0</v>
      </c>
      <c r="AQ65" s="183">
        <f t="shared" ca="1" si="16"/>
        <v>0</v>
      </c>
      <c r="AR65" s="180">
        <f ca="1">IFERROR(__xludf.DUMMYFUNCTION("IMPORTRANGE(""https://docs.google.com/spreadsheets/d/1CdNicvf3i6yt4tJlCePe3V1Va76wYqW0QzMzTsaGRrA/edit?usp=sharing"",""เพชรบุรี!I113"")"),20)</f>
        <v>20</v>
      </c>
      <c r="AS65" s="180" t="str">
        <f ca="1">IFERROR(__xludf.DUMMYFUNCTION("IMPORTRANGE(""https://docs.google.com/spreadsheets/d/1CdNicvf3i6yt4tJlCePe3V1Va76wYqW0QzMzTsaGRrA/edit?usp=sharing"",""เพชรบุรี!J113"")"),"")</f>
        <v/>
      </c>
      <c r="AT65" s="180">
        <f ca="1">IFERROR(__xludf.DUMMYFUNCTION("IMPORTRANGE(""https://docs.google.com/spreadsheets/d/1CdNicvf3i6yt4tJlCePe3V1Va76wYqW0QzMzTsaGRrA/edit?usp=sharing"",""เพชรบุรี!J114"")"),0)</f>
        <v>0</v>
      </c>
      <c r="AU65" s="180">
        <f ca="1">IFERROR(__xludf.DUMMYFUNCTION("IMPORTRANGE(""https://docs.google.com/spreadsheets/d/1CdNicvf3i6yt4tJlCePe3V1Va76wYqW0QzMzTsaGRrA/edit?usp=sharing"",""เพชรบุรี!I115"")"),1)</f>
        <v>1</v>
      </c>
      <c r="AV65" s="181">
        <f ca="1">IFERROR(__xludf.DUMMYFUNCTION("IMPORTRANGE(""https://docs.google.com/spreadsheets/d/1CdNicvf3i6yt4tJlCePe3V1Va76wYqW0QzMzTsaGRrA/edit?usp=sharing"",""เพชรบุรี!J115"")"),0)</f>
        <v>0</v>
      </c>
      <c r="AW65" s="183">
        <f t="shared" ca="1" si="18"/>
        <v>0</v>
      </c>
      <c r="AX65" s="180">
        <f ca="1">IFERROR(__xludf.DUMMYFUNCTION("IMPORTRANGE(""https://docs.google.com/spreadsheets/d/1CdNicvf3i6yt4tJlCePe3V1Va76wYqW0QzMzTsaGRrA/edit?usp=sharing"",""เพชรบุรี!I116"")"),1)</f>
        <v>1</v>
      </c>
      <c r="AY65" s="181">
        <f ca="1">IFERROR(__xludf.DUMMYFUNCTION("IMPORTRANGE(""https://docs.google.com/spreadsheets/d/1CdNicvf3i6yt4tJlCePe3V1Va76wYqW0QzMzTsaGRrA/edit?usp=sharing"",""เพชรบุรี!J116"")"),0)</f>
        <v>0</v>
      </c>
      <c r="AZ65" s="183">
        <f t="shared" ca="1" si="20"/>
        <v>0</v>
      </c>
    </row>
    <row r="66" spans="1:52" ht="21" customHeight="1" x14ac:dyDescent="0.3">
      <c r="A66" s="176">
        <v>14</v>
      </c>
      <c r="B66" s="177" t="s">
        <v>88</v>
      </c>
      <c r="C66" s="178">
        <f t="shared" ca="1" si="0"/>
        <v>98760</v>
      </c>
      <c r="D66" s="179">
        <f t="shared" ca="1" si="56"/>
        <v>98760</v>
      </c>
      <c r="E66" s="180">
        <f ca="1">IFERROR(__xludf.DUMMYFUNCTION("IMPORTRANGE(""https://docs.google.com/spreadsheets/d/1MeEWN-I1oV_STSDYn1IFDPWt_1FKiwhDph83XaGc0o0/edit?usp=sharing"",""งบพรบ!AR66"")"),0)</f>
        <v>0</v>
      </c>
      <c r="F66" s="180">
        <f ca="1">IFERROR(__xludf.DUMMYFUNCTION("IMPORTRANGE(""https://docs.google.com/spreadsheets/d/1MeEWN-I1oV_STSDYn1IFDPWt_1FKiwhDph83XaGc0o0/edit?usp=sharing"",""งบพรบ!AS66"")"),98760)</f>
        <v>98760</v>
      </c>
      <c r="G66" s="180">
        <f ca="1">IFERROR(__xludf.DUMMYFUNCTION("IMPORTRANGE(""https://docs.google.com/spreadsheets/d/1MeEWN-I1oV_STSDYn1IFDPWt_1FKiwhDph83XaGc0o0/edit?usp=sharing"",""งบพรบ!AT66"")"),0)</f>
        <v>0</v>
      </c>
      <c r="H66" s="180">
        <f ca="1">IFERROR(__xludf.DUMMYFUNCTION("IMPORTRANGE(""https://docs.google.com/spreadsheets/d/1MeEWN-I1oV_STSDYn1IFDPWt_1FKiwhDph83XaGc0o0/edit?usp=sharing"",""งบพรบ!AV66"")"),35060)</f>
        <v>35060</v>
      </c>
      <c r="I66" s="180">
        <f ca="1">IFERROR(__xludf.DUMMYFUNCTION("IMPORTRANGE(""https://docs.google.com/spreadsheets/d/1MeEWN-I1oV_STSDYn1IFDPWt_1FKiwhDph83XaGc0o0/edit?usp=sharing"",""งบพรบ!AW66"")"),0)</f>
        <v>0</v>
      </c>
      <c r="J66" s="180">
        <f t="shared" ca="1" si="3"/>
        <v>32760</v>
      </c>
      <c r="K66" s="187">
        <f t="shared" ca="1" si="4"/>
        <v>33.171324422843256</v>
      </c>
      <c r="L66" s="180">
        <f ca="1">IFERROR(__xludf.DUMMYFUNCTION("IMPORTRANGE(""https://docs.google.com/spreadsheets/d/1MeEWN-I1oV_STSDYn1IFDPWt_1FKiwhDph83XaGc0o0/edit?usp=sharing"",""งบพรบ!AX66"")"),32760)</f>
        <v>32760</v>
      </c>
      <c r="M66" s="183">
        <f t="shared" ca="1" si="5"/>
        <v>33.171324422843256</v>
      </c>
      <c r="N66" s="183">
        <f t="shared" ca="1" si="6"/>
        <v>93.439817455790077</v>
      </c>
      <c r="O66" s="184">
        <f ca="1">IFERROR(__xludf.DUMMYFUNCTION("IMPORTRANGE(""https://docs.google.com/spreadsheets/d/1MeEWN-I1oV_STSDYn1IFDPWt_1FKiwhDph83XaGc0o0/edit?usp=sharing"",""งบพรบ!AY66"")"),0)</f>
        <v>0</v>
      </c>
      <c r="P66" s="184">
        <f t="shared" ca="1" si="36"/>
        <v>0</v>
      </c>
      <c r="Q66" s="183">
        <f t="shared" ca="1" si="8"/>
        <v>0</v>
      </c>
      <c r="R66" s="181">
        <f ca="1">IFERROR(__xludf.DUMMYFUNCTION("IMPORTRANGE(""https://docs.google.com/spreadsheets/d/1XiF77UIVHV0Kjc6xbXuOuJ10WgJYxd4p_22ngKVV5oM/edit?usp=sharing"",""ระยอง!I98"")"),45)</f>
        <v>45</v>
      </c>
      <c r="S66" s="181">
        <f ca="1">IFERROR(__xludf.DUMMYFUNCTION("IMPORTRANGE(""https://docs.google.com/spreadsheets/d/1XiF77UIVHV0Kjc6xbXuOuJ10WgJYxd4p_22ngKVV5oM/edit?usp=sharing"",""ระยอง!J98"")"),45)</f>
        <v>45</v>
      </c>
      <c r="T66" s="181">
        <f t="shared" ca="1" si="10"/>
        <v>100</v>
      </c>
      <c r="U66" s="181">
        <f ca="1">IFERROR(__xludf.DUMMYFUNCTION("IMPORTRANGE(""https://docs.google.com/spreadsheets/d/1XiF77UIVHV0Kjc6xbXuOuJ10WgJYxd4p_22ngKVV5oM/edit?usp=sharing"",""ระยอง!I99"")"),15)</f>
        <v>15</v>
      </c>
      <c r="V66" s="181">
        <f ca="1">IFERROR(__xludf.DUMMYFUNCTION("IMPORTRANGE(""https://docs.google.com/spreadsheets/d/1XiF77UIVHV0Kjc6xbXuOuJ10WgJYxd4p_22ngKVV5oM/edit?usp=sharing"",""ระยอง!I100"")"),2)</f>
        <v>2</v>
      </c>
      <c r="W66" s="181">
        <f ca="1">IFERROR(__xludf.DUMMYFUNCTION("IMPORTRANGE(""https://docs.google.com/spreadsheets/d/1XiF77UIVHV0Kjc6xbXuOuJ10WgJYxd4p_22ngKVV5oM/edit?usp=sharing"",""ระยอง!J99"")"),0)</f>
        <v>0</v>
      </c>
      <c r="X66" s="185">
        <f t="shared" ca="1" si="12"/>
        <v>0</v>
      </c>
      <c r="Y66" s="186">
        <f ca="1">IFERROR(__xludf.DUMMYFUNCTION("IMPORTRANGE(""https://docs.google.com/spreadsheets/d/1XiF77UIVHV0Kjc6xbXuOuJ10WgJYxd4p_22ngKVV5oM/edit?usp=sharing"",""ระยอง!J100"")"),0)</f>
        <v>0</v>
      </c>
      <c r="Z66" s="185">
        <f t="shared" ca="1" si="13"/>
        <v>0</v>
      </c>
      <c r="AA66" s="180">
        <f ca="1">IFERROR(__xludf.DUMMYFUNCTION("IMPORTRANGE(""https://docs.google.com/spreadsheets/d/1XiF77UIVHV0Kjc6xbXuOuJ10WgJYxd4p_22ngKVV5oM/edit?usp=sharing"",""ระยอง!I102"")"),45)</f>
        <v>45</v>
      </c>
      <c r="AB66" s="180">
        <f ca="1">IFERROR(__xludf.DUMMYFUNCTION("IMPORTRANGE(""https://docs.google.com/spreadsheets/d/1XiF77UIVHV0Kjc6xbXuOuJ10WgJYxd4p_22ngKVV5oM/edit?usp=sharing"",""ระยอง!I103"")"),15)</f>
        <v>15</v>
      </c>
      <c r="AC66" s="181">
        <f ca="1">IFERROR(__xludf.DUMMYFUNCTION("IMPORTRANGE(""https://docs.google.com/spreadsheets/d/1XiF77UIVHV0Kjc6xbXuOuJ10WgJYxd4p_22ngKVV5oM/edit?usp=sharing"",""ระยอง!J102"")"),45)</f>
        <v>45</v>
      </c>
      <c r="AD66" s="181">
        <f ca="1">IFERROR(__xludf.DUMMYFUNCTION("IMPORTRANGE(""https://docs.google.com/spreadsheets/d/1XiF77UIVHV0Kjc6xbXuOuJ10WgJYxd4p_22ngKVV5oM/edit?usp=sharing"",""ระยอง!J103"")"),15)</f>
        <v>15</v>
      </c>
      <c r="AE66" s="181">
        <f ca="1">IFERROR(__xludf.DUMMYFUNCTION("IMPORTRANGE(""https://docs.google.com/spreadsheets/d/1XiF77UIVHV0Kjc6xbXuOuJ10WgJYxd4p_22ngKVV5oM/edit?usp=sharing"",""ระยอง!J104"")"),0)</f>
        <v>0</v>
      </c>
      <c r="AF66" s="180">
        <f ca="1">IFERROR(__xludf.DUMMYFUNCTION("IMPORTRANGE(""https://docs.google.com/spreadsheets/d/1XiF77UIVHV0Kjc6xbXuOuJ10WgJYxd4p_22ngKVV5oM/edit?usp=sharing"",""ระยอง!I106"")"),1)</f>
        <v>1</v>
      </c>
      <c r="AG66" s="181">
        <f ca="1">IFERROR(__xludf.DUMMYFUNCTION("IMPORTRANGE(""https://docs.google.com/spreadsheets/d/1XiF77UIVHV0Kjc6xbXuOuJ10WgJYxd4p_22ngKVV5oM/edit?usp=sharing"",""ระยอง!J106"")"),0)</f>
        <v>0</v>
      </c>
      <c r="AH66" s="181">
        <f ca="1">IFERROR(__xludf.DUMMYFUNCTION("IMPORTRANGE(""https://docs.google.com/spreadsheets/d/1XiF77UIVHV0Kjc6xbXuOuJ10WgJYxd4p_22ngKVV5oM/edit?usp=sharing"",""ระยอง!J107"")"),0)</f>
        <v>0</v>
      </c>
      <c r="AI66" s="180">
        <f ca="1">IFERROR(__xludf.DUMMYFUNCTION("IMPORTRANGE(""https://docs.google.com/spreadsheets/d/1XiF77UIVHV0Kjc6xbXuOuJ10WgJYxd4p_22ngKVV5oM/edit?usp=sharing"",""ระยอง!I109"")"),1)</f>
        <v>1</v>
      </c>
      <c r="AJ66" s="181">
        <f ca="1">IFERROR(__xludf.DUMMYFUNCTION("IMPORTRANGE(""https://docs.google.com/spreadsheets/d/1XiF77UIVHV0Kjc6xbXuOuJ10WgJYxd4p_22ngKVV5oM/edit?usp=sharing"",""ระยอง!J109"")"),0)</f>
        <v>0</v>
      </c>
      <c r="AK66" s="181">
        <f ca="1">IFERROR(__xludf.DUMMYFUNCTION("IMPORTRANGE(""https://docs.google.com/spreadsheets/d/1XiF77UIVHV0Kjc6xbXuOuJ10WgJYxd4p_22ngKVV5oM/edit?usp=sharing"",""ระยอง!J110"")"),0)</f>
        <v>0</v>
      </c>
      <c r="AL66" s="180">
        <f ca="1">IFERROR(__xludf.DUMMYFUNCTION("IMPORTRANGE(""https://docs.google.com/spreadsheets/d/1XiF77UIVHV0Kjc6xbXuOuJ10WgJYxd4p_22ngKVV5oM/edit?usp=sharing"",""ระยอง!I111"")"),15)</f>
        <v>15</v>
      </c>
      <c r="AM66" s="180">
        <f ca="1">IFERROR(__xludf.DUMMYFUNCTION("IMPORTRANGE(""https://docs.google.com/spreadsheets/d/1XiF77UIVHV0Kjc6xbXuOuJ10WgJYxd4p_22ngKVV5oM/edit?usp=sharing"",""ระยอง!I112"")"),2)</f>
        <v>2</v>
      </c>
      <c r="AN66" s="181">
        <f ca="1">IFERROR(__xludf.DUMMYFUNCTION("IMPORTRANGE(""https://docs.google.com/spreadsheets/d/1XiF77UIVHV0Kjc6xbXuOuJ10WgJYxd4p_22ngKVV5oM/edit?usp=sharing"",""ระยอง!J111"")"),0)</f>
        <v>0</v>
      </c>
      <c r="AO66" s="181">
        <f t="shared" ca="1" si="15"/>
        <v>0</v>
      </c>
      <c r="AP66" s="181">
        <f ca="1">IFERROR(__xludf.DUMMYFUNCTION("IMPORTRANGE(""https://docs.google.com/spreadsheets/d/1XiF77UIVHV0Kjc6xbXuOuJ10WgJYxd4p_22ngKVV5oM/edit?usp=sharing"",""ระยอง!J112"")"),0)</f>
        <v>0</v>
      </c>
      <c r="AQ66" s="183">
        <f t="shared" ca="1" si="16"/>
        <v>0</v>
      </c>
      <c r="AR66" s="180">
        <f ca="1">IFERROR(__xludf.DUMMYFUNCTION("IMPORTRANGE(""https://docs.google.com/spreadsheets/d/1XiF77UIVHV0Kjc6xbXuOuJ10WgJYxd4p_22ngKVV5oM/edit?usp=sharing"",""ระยอง!I113"")"),15)</f>
        <v>15</v>
      </c>
      <c r="AS66" s="180">
        <f ca="1">IFERROR(__xludf.DUMMYFUNCTION("IMPORTRANGE(""https://docs.google.com/spreadsheets/d/1XiF77UIVHV0Kjc6xbXuOuJ10WgJYxd4p_22ngKVV5oM/edit?usp=sharing"",""ระยอง!J113"")"),0)</f>
        <v>0</v>
      </c>
      <c r="AT66" s="180">
        <f ca="1">IFERROR(__xludf.DUMMYFUNCTION("IMPORTRANGE(""https://docs.google.com/spreadsheets/d/1XiF77UIVHV0Kjc6xbXuOuJ10WgJYxd4p_22ngKVV5oM/edit?usp=sharing"",""ระยอง!J114"")"),0)</f>
        <v>0</v>
      </c>
      <c r="AU66" s="180">
        <f ca="1">IFERROR(__xludf.DUMMYFUNCTION("IMPORTRANGE(""https://docs.google.com/spreadsheets/d/1XiF77UIVHV0Kjc6xbXuOuJ10WgJYxd4p_22ngKVV5oM/edit?usp=sharing"",""ระยอง!I115"")"),1)</f>
        <v>1</v>
      </c>
      <c r="AV66" s="181">
        <f ca="1">IFERROR(__xludf.DUMMYFUNCTION("IMPORTRANGE(""https://docs.google.com/spreadsheets/d/1XiF77UIVHV0Kjc6xbXuOuJ10WgJYxd4p_22ngKVV5oM/edit?usp=sharing"",""ระยอง!J115"")"),0)</f>
        <v>0</v>
      </c>
      <c r="AW66" s="183">
        <f t="shared" ca="1" si="18"/>
        <v>0</v>
      </c>
      <c r="AX66" s="180">
        <f ca="1">IFERROR(__xludf.DUMMYFUNCTION("IMPORTRANGE(""https://docs.google.com/spreadsheets/d/1XiF77UIVHV0Kjc6xbXuOuJ10WgJYxd4p_22ngKVV5oM/edit?usp=sharing"",""ระยอง!I116"")"),1)</f>
        <v>1</v>
      </c>
      <c r="AY66" s="181">
        <f ca="1">IFERROR(__xludf.DUMMYFUNCTION("IMPORTRANGE(""https://docs.google.com/spreadsheets/d/1XiF77UIVHV0Kjc6xbXuOuJ10WgJYxd4p_22ngKVV5oM/edit?usp=sharing"",""ระยอง!J116"")"),0)</f>
        <v>0</v>
      </c>
      <c r="AZ66" s="183">
        <f t="shared" ca="1" si="20"/>
        <v>0</v>
      </c>
    </row>
    <row r="67" spans="1:52" ht="21" customHeight="1" x14ac:dyDescent="0.3">
      <c r="A67" s="176">
        <v>15</v>
      </c>
      <c r="B67" s="177" t="s">
        <v>89</v>
      </c>
      <c r="C67" s="178">
        <f t="shared" ca="1" si="0"/>
        <v>128360</v>
      </c>
      <c r="D67" s="179">
        <f t="shared" ca="1" si="56"/>
        <v>128360</v>
      </c>
      <c r="E67" s="180">
        <f ca="1">IFERROR(__xludf.DUMMYFUNCTION("IMPORTRANGE(""https://docs.google.com/spreadsheets/d/1MeEWN-I1oV_STSDYn1IFDPWt_1FKiwhDph83XaGc0o0/edit?usp=sharing"",""งบพรบ!AR67"")"),0)</f>
        <v>0</v>
      </c>
      <c r="F67" s="180">
        <f ca="1">IFERROR(__xludf.DUMMYFUNCTION("IMPORTRANGE(""https://docs.google.com/spreadsheets/d/1MeEWN-I1oV_STSDYn1IFDPWt_1FKiwhDph83XaGc0o0/edit?usp=sharing"",""งบพรบ!AS67"")"),128360)</f>
        <v>128360</v>
      </c>
      <c r="G67" s="180">
        <f ca="1">IFERROR(__xludf.DUMMYFUNCTION("IMPORTRANGE(""https://docs.google.com/spreadsheets/d/1MeEWN-I1oV_STSDYn1IFDPWt_1FKiwhDph83XaGc0o0/edit?usp=sharing"",""งบพรบ!AT67"")"),0)</f>
        <v>0</v>
      </c>
      <c r="H67" s="180">
        <f ca="1">IFERROR(__xludf.DUMMYFUNCTION("IMPORTRANGE(""https://docs.google.com/spreadsheets/d/1MeEWN-I1oV_STSDYn1IFDPWt_1FKiwhDph83XaGc0o0/edit?usp=sharing"",""งบพรบ!AV67"")"),118310)</f>
        <v>118310</v>
      </c>
      <c r="I67" s="180">
        <f ca="1">IFERROR(__xludf.DUMMYFUNCTION("IMPORTRANGE(""https://docs.google.com/spreadsheets/d/1MeEWN-I1oV_STSDYn1IFDPWt_1FKiwhDph83XaGc0o0/edit?usp=sharing"",""งบพรบ!AW67"")"),0)</f>
        <v>0</v>
      </c>
      <c r="J67" s="180">
        <f t="shared" ca="1" si="3"/>
        <v>43113.440000000002</v>
      </c>
      <c r="K67" s="187">
        <f t="shared" ca="1" si="4"/>
        <v>33.587909005920849</v>
      </c>
      <c r="L67" s="180">
        <f ca="1">IFERROR(__xludf.DUMMYFUNCTION("IMPORTRANGE(""https://docs.google.com/spreadsheets/d/1MeEWN-I1oV_STSDYn1IFDPWt_1FKiwhDph83XaGc0o0/edit?usp=sharing"",""งบพรบ!AX67"")"),43113.44)</f>
        <v>43113.440000000002</v>
      </c>
      <c r="M67" s="183">
        <f t="shared" ca="1" si="5"/>
        <v>33.587909005920849</v>
      </c>
      <c r="N67" s="183">
        <f t="shared" ca="1" si="6"/>
        <v>36.441078522525565</v>
      </c>
      <c r="O67" s="184">
        <f ca="1">IFERROR(__xludf.DUMMYFUNCTION("IMPORTRANGE(""https://docs.google.com/spreadsheets/d/1MeEWN-I1oV_STSDYn1IFDPWt_1FKiwhDph83XaGc0o0/edit?usp=sharing"",""งบพรบ!AY67"")"),0)</f>
        <v>0</v>
      </c>
      <c r="P67" s="184">
        <f t="shared" ca="1" si="36"/>
        <v>0</v>
      </c>
      <c r="Q67" s="183">
        <f t="shared" ca="1" si="8"/>
        <v>0</v>
      </c>
      <c r="R67" s="181">
        <f ca="1">IFERROR(__xludf.DUMMYFUNCTION("IMPORTRANGE(""https://docs.google.com/spreadsheets/d/1qU-W_9MCQD1pgIVXGEOjCFo9QqlmJywuebyGgaN92r8/edit?usp=sharing"",""ราชบุรี!I98"")"),45)</f>
        <v>45</v>
      </c>
      <c r="S67" s="181">
        <f ca="1">IFERROR(__xludf.DUMMYFUNCTION("IMPORTRANGE(""https://docs.google.com/spreadsheets/d/1qU-W_9MCQD1pgIVXGEOjCFo9QqlmJywuebyGgaN92r8/edit?usp=sharing"",""ราชบุรี!J98"")"),45)</f>
        <v>45</v>
      </c>
      <c r="T67" s="181">
        <f t="shared" ca="1" si="10"/>
        <v>100</v>
      </c>
      <c r="U67" s="181">
        <f ca="1">IFERROR(__xludf.DUMMYFUNCTION("IMPORTRANGE(""https://docs.google.com/spreadsheets/d/1qU-W_9MCQD1pgIVXGEOjCFo9QqlmJywuebyGgaN92r8/edit?usp=sharing"",""ราชบุรี!I99"")"),15)</f>
        <v>15</v>
      </c>
      <c r="V67" s="181">
        <f ca="1">IFERROR(__xludf.DUMMYFUNCTION("IMPORTRANGE(""https://docs.google.com/spreadsheets/d/1qU-W_9MCQD1pgIVXGEOjCFo9QqlmJywuebyGgaN92r8/edit?usp=sharing"",""ราชบุรี!I100"")"),3)</f>
        <v>3</v>
      </c>
      <c r="W67" s="181">
        <f ca="1">IFERROR(__xludf.DUMMYFUNCTION("IMPORTRANGE(""https://docs.google.com/spreadsheets/d/1qU-W_9MCQD1pgIVXGEOjCFo9QqlmJywuebyGgaN92r8/edit?usp=sharing"",""ราชบุรี!J99"")"),15)</f>
        <v>15</v>
      </c>
      <c r="X67" s="185">
        <f t="shared" ca="1" si="12"/>
        <v>100</v>
      </c>
      <c r="Y67" s="186">
        <f ca="1">IFERROR(__xludf.DUMMYFUNCTION("IMPORTRANGE(""https://docs.google.com/spreadsheets/d/1qU-W_9MCQD1pgIVXGEOjCFo9QqlmJywuebyGgaN92r8/edit?usp=sharing"",""ราชบุรี!J100"")"),0)</f>
        <v>0</v>
      </c>
      <c r="Z67" s="185">
        <f t="shared" ca="1" si="13"/>
        <v>0</v>
      </c>
      <c r="AA67" s="180">
        <f ca="1">IFERROR(__xludf.DUMMYFUNCTION("IMPORTRANGE(""https://docs.google.com/spreadsheets/d/1qU-W_9MCQD1pgIVXGEOjCFo9QqlmJywuebyGgaN92r8/edit?usp=sharing"",""ราชบุรี!I102"")"),45)</f>
        <v>45</v>
      </c>
      <c r="AB67" s="180">
        <f ca="1">IFERROR(__xludf.DUMMYFUNCTION("IMPORTRANGE(""https://docs.google.com/spreadsheets/d/1qU-W_9MCQD1pgIVXGEOjCFo9QqlmJywuebyGgaN92r8/edit?usp=sharing"",""ราชบุรี!I103"")"),15)</f>
        <v>15</v>
      </c>
      <c r="AC67" s="181">
        <f ca="1">IFERROR(__xludf.DUMMYFUNCTION("IMPORTRANGE(""https://docs.google.com/spreadsheets/d/1qU-W_9MCQD1pgIVXGEOjCFo9QqlmJywuebyGgaN92r8/edit?usp=sharing"",""ราชบุรี!J102"")"),45)</f>
        <v>45</v>
      </c>
      <c r="AD67" s="181">
        <f ca="1">IFERROR(__xludf.DUMMYFUNCTION("IMPORTRANGE(""https://docs.google.com/spreadsheets/d/1qU-W_9MCQD1pgIVXGEOjCFo9QqlmJywuebyGgaN92r8/edit?usp=sharing"",""ราชบุรี!J103"")"),15)</f>
        <v>15</v>
      </c>
      <c r="AE67" s="181">
        <f ca="1">IFERROR(__xludf.DUMMYFUNCTION("IMPORTRANGE(""https://docs.google.com/spreadsheets/d/1qU-W_9MCQD1pgIVXGEOjCFo9QqlmJywuebyGgaN92r8/edit?usp=sharing"",""ราชบุรี!J104"")"),15)</f>
        <v>15</v>
      </c>
      <c r="AF67" s="180">
        <f ca="1">IFERROR(__xludf.DUMMYFUNCTION("IMPORTRANGE(""https://docs.google.com/spreadsheets/d/1qU-W_9MCQD1pgIVXGEOjCFo9QqlmJywuebyGgaN92r8/edit?usp=sharing"",""ราชบุรี!I106"")"),2)</f>
        <v>2</v>
      </c>
      <c r="AG67" s="181">
        <f ca="1">IFERROR(__xludf.DUMMYFUNCTION("IMPORTRANGE(""https://docs.google.com/spreadsheets/d/1qU-W_9MCQD1pgIVXGEOjCFo9QqlmJywuebyGgaN92r8/edit?usp=sharing"",""ราชบุรี!J106"")"),0)</f>
        <v>0</v>
      </c>
      <c r="AH67" s="181">
        <f ca="1">IFERROR(__xludf.DUMMYFUNCTION("IMPORTRANGE(""https://docs.google.com/spreadsheets/d/1qU-W_9MCQD1pgIVXGEOjCFo9QqlmJywuebyGgaN92r8/edit?usp=sharing"",""ราชบุรี!J107"")"),0)</f>
        <v>0</v>
      </c>
      <c r="AI67" s="180">
        <f ca="1">IFERROR(__xludf.DUMMYFUNCTION("IMPORTRANGE(""https://docs.google.com/spreadsheets/d/1qU-W_9MCQD1pgIVXGEOjCFo9QqlmJywuebyGgaN92r8/edit?usp=sharing"",""ราชบุรี!I109"")"),1)</f>
        <v>1</v>
      </c>
      <c r="AJ67" s="181">
        <f ca="1">IFERROR(__xludf.DUMMYFUNCTION("IMPORTRANGE(""https://docs.google.com/spreadsheets/d/1qU-W_9MCQD1pgIVXGEOjCFo9QqlmJywuebyGgaN92r8/edit?usp=sharing"",""ราชบุรี!J109"")"),0)</f>
        <v>0</v>
      </c>
      <c r="AK67" s="181">
        <f ca="1">IFERROR(__xludf.DUMMYFUNCTION("IMPORTRANGE(""https://docs.google.com/spreadsheets/d/1qU-W_9MCQD1pgIVXGEOjCFo9QqlmJywuebyGgaN92r8/edit?usp=sharing"",""ราชบุรี!J110"")"),0)</f>
        <v>0</v>
      </c>
      <c r="AL67" s="180">
        <f ca="1">IFERROR(__xludf.DUMMYFUNCTION("IMPORTRANGE(""https://docs.google.com/spreadsheets/d/1qU-W_9MCQD1pgIVXGEOjCFo9QqlmJywuebyGgaN92r8/edit?usp=sharing"",""ราชบุรี!I111"")"),15)</f>
        <v>15</v>
      </c>
      <c r="AM67" s="180">
        <f ca="1">IFERROR(__xludf.DUMMYFUNCTION("IMPORTRANGE(""https://docs.google.com/spreadsheets/d/1qU-W_9MCQD1pgIVXGEOjCFo9QqlmJywuebyGgaN92r8/edit?usp=sharing"",""ราชบุรี!I112"")"),3)</f>
        <v>3</v>
      </c>
      <c r="AN67" s="181">
        <f ca="1">IFERROR(__xludf.DUMMYFUNCTION("IMPORTRANGE(""https://docs.google.com/spreadsheets/d/1qU-W_9MCQD1pgIVXGEOjCFo9QqlmJywuebyGgaN92r8/edit?usp=sharing"",""ราชบุรี!J111"")"),0)</f>
        <v>0</v>
      </c>
      <c r="AO67" s="181">
        <f t="shared" ca="1" si="15"/>
        <v>0</v>
      </c>
      <c r="AP67" s="181">
        <f ca="1">IFERROR(__xludf.DUMMYFUNCTION("IMPORTRANGE(""https://docs.google.com/spreadsheets/d/1qU-W_9MCQD1pgIVXGEOjCFo9QqlmJywuebyGgaN92r8/edit?usp=sharing"",""ราชบุรี!J112"")"),0)</f>
        <v>0</v>
      </c>
      <c r="AQ67" s="183">
        <f t="shared" ca="1" si="16"/>
        <v>0</v>
      </c>
      <c r="AR67" s="180">
        <f ca="1">IFERROR(__xludf.DUMMYFUNCTION("IMPORTRANGE(""https://docs.google.com/spreadsheets/d/1qU-W_9MCQD1pgIVXGEOjCFo9QqlmJywuebyGgaN92r8/edit?usp=sharing"",""ราชบุรี!I113"")"),15)</f>
        <v>15</v>
      </c>
      <c r="AS67" s="180">
        <f ca="1">IFERROR(__xludf.DUMMYFUNCTION("IMPORTRANGE(""https://docs.google.com/spreadsheets/d/1qU-W_9MCQD1pgIVXGEOjCFo9QqlmJywuebyGgaN92r8/edit?usp=sharing"",""ราชบุรี!J113"")"),0)</f>
        <v>0</v>
      </c>
      <c r="AT67" s="180">
        <f ca="1">IFERROR(__xludf.DUMMYFUNCTION("IMPORTRANGE(""https://docs.google.com/spreadsheets/d/1qU-W_9MCQD1pgIVXGEOjCFo9QqlmJywuebyGgaN92r8/edit?usp=sharing"",""ราชบุรี!J114"")"),0)</f>
        <v>0</v>
      </c>
      <c r="AU67" s="180">
        <f ca="1">IFERROR(__xludf.DUMMYFUNCTION("IMPORTRANGE(""https://docs.google.com/spreadsheets/d/1qU-W_9MCQD1pgIVXGEOjCFo9QqlmJywuebyGgaN92r8/edit?usp=sharing"",""ราชบุรี!I115"")"),2)</f>
        <v>2</v>
      </c>
      <c r="AV67" s="181">
        <f ca="1">IFERROR(__xludf.DUMMYFUNCTION("IMPORTRANGE(""https://docs.google.com/spreadsheets/d/1qU-W_9MCQD1pgIVXGEOjCFo9QqlmJywuebyGgaN92r8/edit?usp=sharing"",""ราชบุรี!J115"")"),0)</f>
        <v>0</v>
      </c>
      <c r="AW67" s="183">
        <f t="shared" ca="1" si="18"/>
        <v>0</v>
      </c>
      <c r="AX67" s="180">
        <f ca="1">IFERROR(__xludf.DUMMYFUNCTION("IMPORTRANGE(""https://docs.google.com/spreadsheets/d/1qU-W_9MCQD1pgIVXGEOjCFo9QqlmJywuebyGgaN92r8/edit?usp=sharing"",""ราชบุรี!I116"")"),1)</f>
        <v>1</v>
      </c>
      <c r="AY67" s="181">
        <f ca="1">IFERROR(__xludf.DUMMYFUNCTION("IMPORTRANGE(""https://docs.google.com/spreadsheets/d/1qU-W_9MCQD1pgIVXGEOjCFo9QqlmJywuebyGgaN92r8/edit?usp=sharing"",""ราชบุรี!J116"")"),0)</f>
        <v>0</v>
      </c>
      <c r="AZ67" s="183">
        <f t="shared" ca="1" si="20"/>
        <v>0</v>
      </c>
    </row>
    <row r="68" spans="1:52" ht="24" customHeight="1" x14ac:dyDescent="0.3">
      <c r="A68" s="176">
        <v>16</v>
      </c>
      <c r="B68" s="177" t="s">
        <v>90</v>
      </c>
      <c r="C68" s="178">
        <f t="shared" ca="1" si="0"/>
        <v>384460</v>
      </c>
      <c r="D68" s="179">
        <f t="shared" ca="1" si="56"/>
        <v>384460</v>
      </c>
      <c r="E68" s="180">
        <f ca="1">IFERROR(__xludf.DUMMYFUNCTION("IMPORTRANGE(""https://docs.google.com/spreadsheets/d/1MeEWN-I1oV_STSDYn1IFDPWt_1FKiwhDph83XaGc0o0/edit?usp=sharing"",""งบพรบ!AR68"")"),286000)</f>
        <v>286000</v>
      </c>
      <c r="F68" s="180">
        <f ca="1">IFERROR(__xludf.DUMMYFUNCTION("IMPORTRANGE(""https://docs.google.com/spreadsheets/d/1MeEWN-I1oV_STSDYn1IFDPWt_1FKiwhDph83XaGc0o0/edit?usp=sharing"",""งบพรบ!AS68"")"),98460)</f>
        <v>98460</v>
      </c>
      <c r="G68" s="180">
        <f ca="1">IFERROR(__xludf.DUMMYFUNCTION("IMPORTRANGE(""https://docs.google.com/spreadsheets/d/1MeEWN-I1oV_STSDYn1IFDPWt_1FKiwhDph83XaGc0o0/edit?usp=sharing"",""งบพรบ!AT68"")"),0)</f>
        <v>0</v>
      </c>
      <c r="H68" s="180">
        <f ca="1">IFERROR(__xludf.DUMMYFUNCTION("IMPORTRANGE(""https://docs.google.com/spreadsheets/d/1MeEWN-I1oV_STSDYn1IFDPWt_1FKiwhDph83XaGc0o0/edit?usp=sharing"",""งบพรบ!AV68"")"),298260)</f>
        <v>298260</v>
      </c>
      <c r="I68" s="180">
        <f ca="1">IFERROR(__xludf.DUMMYFUNCTION("IMPORTRANGE(""https://docs.google.com/spreadsheets/d/1MeEWN-I1oV_STSDYn1IFDPWt_1FKiwhDph83XaGc0o0/edit?usp=sharing"",""งบพรบ!AW68"")"),0)</f>
        <v>0</v>
      </c>
      <c r="J68" s="180">
        <f t="shared" ca="1" si="3"/>
        <v>123119</v>
      </c>
      <c r="K68" s="187">
        <f t="shared" ca="1" si="4"/>
        <v>32.023877646569211</v>
      </c>
      <c r="L68" s="180">
        <f ca="1">IFERROR(__xludf.DUMMYFUNCTION("IMPORTRANGE(""https://docs.google.com/spreadsheets/d/1MeEWN-I1oV_STSDYn1IFDPWt_1FKiwhDph83XaGc0o0/edit?usp=sharing"",""งบพรบ!AX68"")"),123119)</f>
        <v>123119</v>
      </c>
      <c r="M68" s="183">
        <f t="shared" ca="1" si="5"/>
        <v>32.023877646569211</v>
      </c>
      <c r="N68" s="183">
        <f t="shared" ca="1" si="6"/>
        <v>41.279085361764906</v>
      </c>
      <c r="O68" s="184">
        <f ca="1">IFERROR(__xludf.DUMMYFUNCTION("IMPORTRANGE(""https://docs.google.com/spreadsheets/d/1MeEWN-I1oV_STSDYn1IFDPWt_1FKiwhDph83XaGc0o0/edit?usp=sharing"",""งบพรบ!AY68"")"),0)</f>
        <v>0</v>
      </c>
      <c r="P68" s="184">
        <f t="shared" ca="1" si="36"/>
        <v>0</v>
      </c>
      <c r="Q68" s="183">
        <f t="shared" ca="1" si="8"/>
        <v>0</v>
      </c>
      <c r="R68" s="181">
        <f ca="1">IFERROR(__xludf.DUMMYFUNCTION("IMPORTRANGE(""https://docs.google.com/spreadsheets/d/1xYFIxIM_CspAP5Q-5Zx_V0T_Ut3cjryrjd2hss28vGk/edit?usp=sharing"",""ลพบุรี!I98"")"),45)</f>
        <v>45</v>
      </c>
      <c r="S68" s="181">
        <f ca="1">IFERROR(__xludf.DUMMYFUNCTION("IMPORTRANGE(""https://docs.google.com/spreadsheets/d/1xYFIxIM_CspAP5Q-5Zx_V0T_Ut3cjryrjd2hss28vGk/edit?usp=sharing"",""ลพบุรี!J98"")"),45)</f>
        <v>45</v>
      </c>
      <c r="T68" s="181">
        <f t="shared" ca="1" si="10"/>
        <v>100</v>
      </c>
      <c r="U68" s="181">
        <f ca="1">IFERROR(__xludf.DUMMYFUNCTION("IMPORTRANGE(""https://docs.google.com/spreadsheets/d/1xYFIxIM_CspAP5Q-5Zx_V0T_Ut3cjryrjd2hss28vGk/edit?usp=sharing"",""ลพบุรี!I99"")"),15)</f>
        <v>15</v>
      </c>
      <c r="V68" s="181">
        <f ca="1">IFERROR(__xludf.DUMMYFUNCTION("IMPORTRANGE(""https://docs.google.com/spreadsheets/d/1xYFIxIM_CspAP5Q-5Zx_V0T_Ut3cjryrjd2hss28vGk/edit?usp=sharing"",""ลพบุรี!I100"")"),2)</f>
        <v>2</v>
      </c>
      <c r="W68" s="181">
        <f ca="1">IFERROR(__xludf.DUMMYFUNCTION("IMPORTRANGE(""https://docs.google.com/spreadsheets/d/1xYFIxIM_CspAP5Q-5Zx_V0T_Ut3cjryrjd2hss28vGk/edit?usp=sharing"",""ลพบุรี!J99"")"),0)</f>
        <v>0</v>
      </c>
      <c r="X68" s="185">
        <f t="shared" ca="1" si="12"/>
        <v>0</v>
      </c>
      <c r="Y68" s="186">
        <f ca="1">IFERROR(__xludf.DUMMYFUNCTION("IMPORTRANGE(""https://docs.google.com/spreadsheets/d/1xYFIxIM_CspAP5Q-5Zx_V0T_Ut3cjryrjd2hss28vGk/edit?usp=sharing"",""ลพบุรี!J100"")"),0)</f>
        <v>0</v>
      </c>
      <c r="Z68" s="185">
        <f t="shared" ca="1" si="13"/>
        <v>0</v>
      </c>
      <c r="AA68" s="181">
        <f ca="1">IFERROR(__xludf.DUMMYFUNCTION("IMPORTRANGE(""https://docs.google.com/spreadsheets/d/1xYFIxIM_CspAP5Q-5Zx_V0T_Ut3cjryrjd2hss28vGk/edit?usp=sharing"",""ลพบุรี!I102"")"),45)</f>
        <v>45</v>
      </c>
      <c r="AB68" s="181">
        <f ca="1">IFERROR(__xludf.DUMMYFUNCTION("IMPORTRANGE(""https://docs.google.com/spreadsheets/d/1xYFIxIM_CspAP5Q-5Zx_V0T_Ut3cjryrjd2hss28vGk/edit?usp=sharing"",""ลพบุรี!I103"")"),15)</f>
        <v>15</v>
      </c>
      <c r="AC68" s="181">
        <f ca="1">IFERROR(__xludf.DUMMYFUNCTION("IMPORTRANGE(""https://docs.google.com/spreadsheets/d/1xYFIxIM_CspAP5Q-5Zx_V0T_Ut3cjryrjd2hss28vGk/edit?usp=sharing"",""ลพบุรี!J102"")"),45)</f>
        <v>45</v>
      </c>
      <c r="AD68" s="181">
        <f ca="1">IFERROR(__xludf.DUMMYFUNCTION("IMPORTRANGE(""https://docs.google.com/spreadsheets/d/1xYFIxIM_CspAP5Q-5Zx_V0T_Ut3cjryrjd2hss28vGk/edit?usp=sharing"",""ลพบุรี!J103"")"),15)</f>
        <v>15</v>
      </c>
      <c r="AE68" s="181">
        <f ca="1">IFERROR(__xludf.DUMMYFUNCTION("IMPORTRANGE(""https://docs.google.com/spreadsheets/d/1xYFIxIM_CspAP5Q-5Zx_V0T_Ut3cjryrjd2hss28vGk/edit?usp=sharing"",""ลพบุรี!J104"")"),0)</f>
        <v>0</v>
      </c>
      <c r="AF68" s="181">
        <f ca="1">IFERROR(__xludf.DUMMYFUNCTION("IMPORTRANGE(""https://docs.google.com/spreadsheets/d/1xYFIxIM_CspAP5Q-5Zx_V0T_Ut3cjryrjd2hss28vGk/edit?usp=sharing"",""ลพบุรี!I106"")"),1)</f>
        <v>1</v>
      </c>
      <c r="AG68" s="181">
        <f ca="1">IFERROR(__xludf.DUMMYFUNCTION("IMPORTRANGE(""https://docs.google.com/spreadsheets/d/1xYFIxIM_CspAP5Q-5Zx_V0T_Ut3cjryrjd2hss28vGk/edit?usp=sharing"",""ลพบุรี!J106"")"),0)</f>
        <v>0</v>
      </c>
      <c r="AH68" s="181">
        <f ca="1">IFERROR(__xludf.DUMMYFUNCTION("IMPORTRANGE(""https://docs.google.com/spreadsheets/d/1xYFIxIM_CspAP5Q-5Zx_V0T_Ut3cjryrjd2hss28vGk/edit?usp=sharing"",""ลพบุรี!J107"")"),0)</f>
        <v>0</v>
      </c>
      <c r="AI68" s="180">
        <f ca="1">IFERROR(__xludf.DUMMYFUNCTION("IMPORTRANGE(""https://docs.google.com/spreadsheets/d/1xYFIxIM_CspAP5Q-5Zx_V0T_Ut3cjryrjd2hss28vGk/edit?usp=sharing"",""ลพบุรี!I109"")"),1)</f>
        <v>1</v>
      </c>
      <c r="AJ68" s="181">
        <f ca="1">IFERROR(__xludf.DUMMYFUNCTION("IMPORTRANGE(""https://docs.google.com/spreadsheets/d/1xYFIxIM_CspAP5Q-5Zx_V0T_Ut3cjryrjd2hss28vGk/edit?usp=sharing"",""ลพบุรี!J109"")"),0)</f>
        <v>0</v>
      </c>
      <c r="AK68" s="181">
        <f ca="1">IFERROR(__xludf.DUMMYFUNCTION("IMPORTRANGE(""https://docs.google.com/spreadsheets/d/1xYFIxIM_CspAP5Q-5Zx_V0T_Ut3cjryrjd2hss28vGk/edit?usp=sharing"",""ลพบุรี!J110"")"),0)</f>
        <v>0</v>
      </c>
      <c r="AL68" s="181">
        <f ca="1">IFERROR(__xludf.DUMMYFUNCTION("IMPORTRANGE(""https://docs.google.com/spreadsheets/d/1xYFIxIM_CspAP5Q-5Zx_V0T_Ut3cjryrjd2hss28vGk/edit?usp=sharing"",""ลพบุรี!I111"")"),15)</f>
        <v>15</v>
      </c>
      <c r="AM68" s="181">
        <f ca="1">IFERROR(__xludf.DUMMYFUNCTION("IMPORTRANGE(""https://docs.google.com/spreadsheets/d/1xYFIxIM_CspAP5Q-5Zx_V0T_Ut3cjryrjd2hss28vGk/edit?usp=sharing"",""ลพบุรี!I112"")"),2)</f>
        <v>2</v>
      </c>
      <c r="AN68" s="181">
        <f ca="1">IFERROR(__xludf.DUMMYFUNCTION("IMPORTRANGE(""https://docs.google.com/spreadsheets/d/1xYFIxIM_CspAP5Q-5Zx_V0T_Ut3cjryrjd2hss28vGk/edit?usp=sharing"",""ลพบุรี!J111"")"),0)</f>
        <v>0</v>
      </c>
      <c r="AO68" s="181">
        <f t="shared" ca="1" si="15"/>
        <v>0</v>
      </c>
      <c r="AP68" s="181">
        <f ca="1">IFERROR(__xludf.DUMMYFUNCTION("IMPORTRANGE(""https://docs.google.com/spreadsheets/d/1xYFIxIM_CspAP5Q-5Zx_V0T_Ut3cjryrjd2hss28vGk/edit?usp=sharing"",""ลพบุรี!J112"")"),0)</f>
        <v>0</v>
      </c>
      <c r="AQ68" s="185">
        <f t="shared" ca="1" si="16"/>
        <v>0</v>
      </c>
      <c r="AR68" s="181">
        <f ca="1">IFERROR(__xludf.DUMMYFUNCTION("IMPORTRANGE(""https://docs.google.com/spreadsheets/d/1xYFIxIM_CspAP5Q-5Zx_V0T_Ut3cjryrjd2hss28vGk/edit?usp=sharing"",""ลพบุรี!I113"")"),15)</f>
        <v>15</v>
      </c>
      <c r="AS68" s="181">
        <f ca="1">IFERROR(__xludf.DUMMYFUNCTION("IMPORTRANGE(""https://docs.google.com/spreadsheets/d/1xYFIxIM_CspAP5Q-5Zx_V0T_Ut3cjryrjd2hss28vGk/edit?usp=sharing"",""ลพบุรี!J113"")"),0)</f>
        <v>0</v>
      </c>
      <c r="AT68" s="181">
        <f ca="1">IFERROR(__xludf.DUMMYFUNCTION("IMPORTRANGE(""https://docs.google.com/spreadsheets/d/1xYFIxIM_CspAP5Q-5Zx_V0T_Ut3cjryrjd2hss28vGk/edit?usp=sharing"",""ลพบุรี!J114"")"),0)</f>
        <v>0</v>
      </c>
      <c r="AU68" s="181">
        <f ca="1">IFERROR(__xludf.DUMMYFUNCTION("IMPORTRANGE(""https://docs.google.com/spreadsheets/d/1xYFIxIM_CspAP5Q-5Zx_V0T_Ut3cjryrjd2hss28vGk/edit?usp=sharing"",""ลพบุรี!I115"")"),1)</f>
        <v>1</v>
      </c>
      <c r="AV68" s="181">
        <f ca="1">IFERROR(__xludf.DUMMYFUNCTION("IMPORTRANGE(""https://docs.google.com/spreadsheets/d/1xYFIxIM_CspAP5Q-5Zx_V0T_Ut3cjryrjd2hss28vGk/edit?usp=sharing"",""ลพบุรี!J115"")"),0)</f>
        <v>0</v>
      </c>
      <c r="AW68" s="185">
        <f t="shared" ca="1" si="18"/>
        <v>0</v>
      </c>
      <c r="AX68" s="181">
        <f ca="1">IFERROR(__xludf.DUMMYFUNCTION("IMPORTRANGE(""https://docs.google.com/spreadsheets/d/1xYFIxIM_CspAP5Q-5Zx_V0T_Ut3cjryrjd2hss28vGk/edit?usp=sharing"",""ลพบุรี!I116"")"),1)</f>
        <v>1</v>
      </c>
      <c r="AY68" s="181">
        <f ca="1">IFERROR(__xludf.DUMMYFUNCTION("IMPORTRANGE(""https://docs.google.com/spreadsheets/d/1xYFIxIM_CspAP5Q-5Zx_V0T_Ut3cjryrjd2hss28vGk/edit?usp=sharing"",""ลพบุรี!J116"")"),0)</f>
        <v>0</v>
      </c>
      <c r="AZ68" s="185">
        <f t="shared" ca="1" si="20"/>
        <v>0</v>
      </c>
    </row>
    <row r="69" spans="1:52" ht="21" customHeight="1" x14ac:dyDescent="0.3">
      <c r="A69" s="176">
        <v>17</v>
      </c>
      <c r="B69" s="177" t="s">
        <v>91</v>
      </c>
      <c r="C69" s="178">
        <f t="shared" ca="1" si="0"/>
        <v>98960</v>
      </c>
      <c r="D69" s="179">
        <f t="shared" ca="1" si="56"/>
        <v>98960</v>
      </c>
      <c r="E69" s="180">
        <f ca="1">IFERROR(__xludf.DUMMYFUNCTION("IMPORTRANGE(""https://docs.google.com/spreadsheets/d/1MeEWN-I1oV_STSDYn1IFDPWt_1FKiwhDph83XaGc0o0/edit?usp=sharing"",""งบพรบ!AR69"")"),0)</f>
        <v>0</v>
      </c>
      <c r="F69" s="180">
        <f ca="1">IFERROR(__xludf.DUMMYFUNCTION("IMPORTRANGE(""https://docs.google.com/spreadsheets/d/1MeEWN-I1oV_STSDYn1IFDPWt_1FKiwhDph83XaGc0o0/edit?usp=sharing"",""งบพรบ!AS69"")"),98960)</f>
        <v>98960</v>
      </c>
      <c r="G69" s="180">
        <f ca="1">IFERROR(__xludf.DUMMYFUNCTION("IMPORTRANGE(""https://docs.google.com/spreadsheets/d/1MeEWN-I1oV_STSDYn1IFDPWt_1FKiwhDph83XaGc0o0/edit?usp=sharing"",""งบพรบ!AT69"")"),0)</f>
        <v>0</v>
      </c>
      <c r="H69" s="180">
        <f ca="1">IFERROR(__xludf.DUMMYFUNCTION("IMPORTRANGE(""https://docs.google.com/spreadsheets/d/1MeEWN-I1oV_STSDYn1IFDPWt_1FKiwhDph83XaGc0o0/edit?usp=sharing"",""งบพรบ!AV69"")"),35260)</f>
        <v>35260</v>
      </c>
      <c r="I69" s="180">
        <f ca="1">IFERROR(__xludf.DUMMYFUNCTION("IMPORTRANGE(""https://docs.google.com/spreadsheets/d/1MeEWN-I1oV_STSDYn1IFDPWt_1FKiwhDph83XaGc0o0/edit?usp=sharing"",""งบพรบ!AW69"")"),0)</f>
        <v>0</v>
      </c>
      <c r="J69" s="180">
        <f t="shared" ca="1" si="3"/>
        <v>0</v>
      </c>
      <c r="K69" s="187">
        <f t="shared" ca="1" si="4"/>
        <v>0</v>
      </c>
      <c r="L69" s="180">
        <f ca="1">IFERROR(__xludf.DUMMYFUNCTION("IMPORTRANGE(""https://docs.google.com/spreadsheets/d/1MeEWN-I1oV_STSDYn1IFDPWt_1FKiwhDph83XaGc0o0/edit?usp=sharing"",""งบพรบ!AX69"")"),0)</f>
        <v>0</v>
      </c>
      <c r="M69" s="183">
        <f t="shared" ca="1" si="5"/>
        <v>0</v>
      </c>
      <c r="N69" s="183">
        <f t="shared" ca="1" si="6"/>
        <v>0</v>
      </c>
      <c r="O69" s="184">
        <f ca="1">IFERROR(__xludf.DUMMYFUNCTION("IMPORTRANGE(""https://docs.google.com/spreadsheets/d/1MeEWN-I1oV_STSDYn1IFDPWt_1FKiwhDph83XaGc0o0/edit?usp=sharing"",""งบพรบ!AY69"")"),0)</f>
        <v>0</v>
      </c>
      <c r="P69" s="184">
        <f t="shared" ca="1" si="36"/>
        <v>0</v>
      </c>
      <c r="Q69" s="183">
        <f t="shared" ca="1" si="8"/>
        <v>0</v>
      </c>
      <c r="R69" s="181">
        <f ca="1">IFERROR(__xludf.DUMMYFUNCTION("IMPORTRANGE(""https://docs.google.com/spreadsheets/d/11s9m3tKsCBdPWq6syhZm27eBGbKneDLZc75co106bio/edit?usp=sharing"",""สระแก้ว!I98"")"),45)</f>
        <v>45</v>
      </c>
      <c r="S69" s="181">
        <f ca="1">IFERROR(__xludf.DUMMYFUNCTION("IMPORTRANGE(""https://docs.google.com/spreadsheets/d/11s9m3tKsCBdPWq6syhZm27eBGbKneDLZc75co106bio/edit?usp=sharing"",""สระแก้ว!J98"")"),0)</f>
        <v>0</v>
      </c>
      <c r="T69" s="181">
        <f t="shared" ca="1" si="10"/>
        <v>0</v>
      </c>
      <c r="U69" s="181">
        <f ca="1">IFERROR(__xludf.DUMMYFUNCTION("IMPORTRANGE(""https://docs.google.com/spreadsheets/d/11s9m3tKsCBdPWq6syhZm27eBGbKneDLZc75co106bio/edit?usp=sharing"",""สระแก้ว!I99"")"),15)</f>
        <v>15</v>
      </c>
      <c r="V69" s="181">
        <f ca="1">IFERROR(__xludf.DUMMYFUNCTION("IMPORTRANGE(""https://docs.google.com/spreadsheets/d/11s9m3tKsCBdPWq6syhZm27eBGbKneDLZc75co106bio/edit?usp=sharing"",""สระแก้ว!I100"")"),2)</f>
        <v>2</v>
      </c>
      <c r="W69" s="181">
        <f ca="1">IFERROR(__xludf.DUMMYFUNCTION("IMPORTRANGE(""https://docs.google.com/spreadsheets/d/11s9m3tKsCBdPWq6syhZm27eBGbKneDLZc75co106bio/edit?usp=sharing"",""สระแก้ว!J99"")"),0)</f>
        <v>0</v>
      </c>
      <c r="X69" s="185">
        <f t="shared" ca="1" si="12"/>
        <v>0</v>
      </c>
      <c r="Y69" s="186">
        <f ca="1">IFERROR(__xludf.DUMMYFUNCTION("IMPORTRANGE(""https://docs.google.com/spreadsheets/d/11s9m3tKsCBdPWq6syhZm27eBGbKneDLZc75co106bio/edit?usp=sharing"",""สระแก้ว!J100"")"),0)</f>
        <v>0</v>
      </c>
      <c r="Z69" s="185">
        <f t="shared" ca="1" si="13"/>
        <v>0</v>
      </c>
      <c r="AA69" s="180">
        <f ca="1">IFERROR(__xludf.DUMMYFUNCTION("IMPORTRANGE(""https://docs.google.com/spreadsheets/d/11s9m3tKsCBdPWq6syhZm27eBGbKneDLZc75co106bio/edit?usp=sharing"",""สระแก้ว!I102"")"),45)</f>
        <v>45</v>
      </c>
      <c r="AB69" s="180">
        <f ca="1">IFERROR(__xludf.DUMMYFUNCTION("IMPORTRANGE(""https://docs.google.com/spreadsheets/d/11s9m3tKsCBdPWq6syhZm27eBGbKneDLZc75co106bio/edit?usp=sharing"",""สระแก้ว!I103"")"),15)</f>
        <v>15</v>
      </c>
      <c r="AC69" s="181">
        <f ca="1">IFERROR(__xludf.DUMMYFUNCTION("IMPORTRANGE(""https://docs.google.com/spreadsheets/d/11s9m3tKsCBdPWq6syhZm27eBGbKneDLZc75co106bio/edit?usp=sharing"",""สระแก้ว!J102"")"),0)</f>
        <v>0</v>
      </c>
      <c r="AD69" s="181">
        <f ca="1">IFERROR(__xludf.DUMMYFUNCTION("IMPORTRANGE(""https://docs.google.com/spreadsheets/d/11s9m3tKsCBdPWq6syhZm27eBGbKneDLZc75co106bio/edit?usp=sharing"",""สระแก้ว!J103"")"),0)</f>
        <v>0</v>
      </c>
      <c r="AE69" s="181">
        <f ca="1">IFERROR(__xludf.DUMMYFUNCTION("IMPORTRANGE(""https://docs.google.com/spreadsheets/d/11s9m3tKsCBdPWq6syhZm27eBGbKneDLZc75co106bio/edit?usp=sharing"",""สระแก้ว!J104"")"),0)</f>
        <v>0</v>
      </c>
      <c r="AF69" s="180">
        <f ca="1">IFERROR(__xludf.DUMMYFUNCTION("IMPORTRANGE(""https://docs.google.com/spreadsheets/d/11s9m3tKsCBdPWq6syhZm27eBGbKneDLZc75co106bio/edit?usp=sharing"",""สระแก้ว!I106"")"),1)</f>
        <v>1</v>
      </c>
      <c r="AG69" s="181">
        <f ca="1">IFERROR(__xludf.DUMMYFUNCTION("IMPORTRANGE(""https://docs.google.com/spreadsheets/d/11s9m3tKsCBdPWq6syhZm27eBGbKneDLZc75co106bio/edit?usp=sharing"",""สระแก้ว!J106"")"),0)</f>
        <v>0</v>
      </c>
      <c r="AH69" s="181">
        <f ca="1">IFERROR(__xludf.DUMMYFUNCTION("IMPORTRANGE(""https://docs.google.com/spreadsheets/d/11s9m3tKsCBdPWq6syhZm27eBGbKneDLZc75co106bio/edit?usp=sharing"",""สระแก้ว!J107"")"),0)</f>
        <v>0</v>
      </c>
      <c r="AI69" s="180">
        <f ca="1">IFERROR(__xludf.DUMMYFUNCTION("IMPORTRANGE(""https://docs.google.com/spreadsheets/d/11s9m3tKsCBdPWq6syhZm27eBGbKneDLZc75co106bio/edit?usp=sharing"",""สระแก้ว!I109"")"),1)</f>
        <v>1</v>
      </c>
      <c r="AJ69" s="181">
        <f ca="1">IFERROR(__xludf.DUMMYFUNCTION("IMPORTRANGE(""https://docs.google.com/spreadsheets/d/11s9m3tKsCBdPWq6syhZm27eBGbKneDLZc75co106bio/edit?usp=sharing"",""สระแก้ว!J109"")"),0)</f>
        <v>0</v>
      </c>
      <c r="AK69" s="181">
        <f ca="1">IFERROR(__xludf.DUMMYFUNCTION("IMPORTRANGE(""https://docs.google.com/spreadsheets/d/11s9m3tKsCBdPWq6syhZm27eBGbKneDLZc75co106bio/edit?usp=sharing"",""สระแก้ว!J110"")"),0)</f>
        <v>0</v>
      </c>
      <c r="AL69" s="180">
        <f ca="1">IFERROR(__xludf.DUMMYFUNCTION("IMPORTRANGE(""https://docs.google.com/spreadsheets/d/11s9m3tKsCBdPWq6syhZm27eBGbKneDLZc75co106bio/edit?usp=sharing"",""สระแก้ว!I111"")"),15)</f>
        <v>15</v>
      </c>
      <c r="AM69" s="180">
        <f ca="1">IFERROR(__xludf.DUMMYFUNCTION("IMPORTRANGE(""https://docs.google.com/spreadsheets/d/11s9m3tKsCBdPWq6syhZm27eBGbKneDLZc75co106bio/edit?usp=sharing"",""สระแก้ว!I112"")"),2)</f>
        <v>2</v>
      </c>
      <c r="AN69" s="181">
        <f ca="1">IFERROR(__xludf.DUMMYFUNCTION("IMPORTRANGE(""https://docs.google.com/spreadsheets/d/11s9m3tKsCBdPWq6syhZm27eBGbKneDLZc75co106bio/edit?usp=sharing"",""สระแก้ว!J111"")"),0)</f>
        <v>0</v>
      </c>
      <c r="AO69" s="181">
        <f t="shared" ca="1" si="15"/>
        <v>0</v>
      </c>
      <c r="AP69" s="181">
        <f ca="1">IFERROR(__xludf.DUMMYFUNCTION("IMPORTRANGE(""https://docs.google.com/spreadsheets/d/11s9m3tKsCBdPWq6syhZm27eBGbKneDLZc75co106bio/edit?usp=sharing"",""สระแก้ว!J112"")"),0)</f>
        <v>0</v>
      </c>
      <c r="AQ69" s="183">
        <f t="shared" ca="1" si="16"/>
        <v>0</v>
      </c>
      <c r="AR69" s="180">
        <f ca="1">IFERROR(__xludf.DUMMYFUNCTION("IMPORTRANGE(""https://docs.google.com/spreadsheets/d/11s9m3tKsCBdPWq6syhZm27eBGbKneDLZc75co106bio/edit?usp=sharing"",""สระแก้ว!I113"")"),15)</f>
        <v>15</v>
      </c>
      <c r="AS69" s="180">
        <f ca="1">IFERROR(__xludf.DUMMYFUNCTION("IMPORTRANGE(""https://docs.google.com/spreadsheets/d/11s9m3tKsCBdPWq6syhZm27eBGbKneDLZc75co106bio/edit?usp=sharing"",""สระแก้ว!J113"")"),0)</f>
        <v>0</v>
      </c>
      <c r="AT69" s="180">
        <f ca="1">IFERROR(__xludf.DUMMYFUNCTION("IMPORTRANGE(""https://docs.google.com/spreadsheets/d/11s9m3tKsCBdPWq6syhZm27eBGbKneDLZc75co106bio/edit?usp=sharing"",""สระแก้ว!J114"")"),0)</f>
        <v>0</v>
      </c>
      <c r="AU69" s="180">
        <f ca="1">IFERROR(__xludf.DUMMYFUNCTION("IMPORTRANGE(""https://docs.google.com/spreadsheets/d/11s9m3tKsCBdPWq6syhZm27eBGbKneDLZc75co106bio/edit?usp=sharing"",""สระแก้ว!I115"")"),1)</f>
        <v>1</v>
      </c>
      <c r="AV69" s="181">
        <f ca="1">IFERROR(__xludf.DUMMYFUNCTION("IMPORTRANGE(""https://docs.google.com/spreadsheets/d/11s9m3tKsCBdPWq6syhZm27eBGbKneDLZc75co106bio/edit?usp=sharing"",""สระแก้ว!J115"")"),0)</f>
        <v>0</v>
      </c>
      <c r="AW69" s="183">
        <f t="shared" ca="1" si="18"/>
        <v>0</v>
      </c>
      <c r="AX69" s="180">
        <f ca="1">IFERROR(__xludf.DUMMYFUNCTION("IMPORTRANGE(""https://docs.google.com/spreadsheets/d/11s9m3tKsCBdPWq6syhZm27eBGbKneDLZc75co106bio/edit?usp=sharing"",""สระแก้ว!I116"")"),1)</f>
        <v>1</v>
      </c>
      <c r="AY69" s="181">
        <f ca="1">IFERROR(__xludf.DUMMYFUNCTION("IMPORTRANGE(""https://docs.google.com/spreadsheets/d/11s9m3tKsCBdPWq6syhZm27eBGbKneDLZc75co106bio/edit?usp=sharing"",""สระแก้ว!J116"")"),0)</f>
        <v>0</v>
      </c>
      <c r="AZ69" s="183">
        <f t="shared" ca="1" si="20"/>
        <v>0</v>
      </c>
    </row>
    <row r="70" spans="1:52" ht="21" customHeight="1" x14ac:dyDescent="0.3">
      <c r="A70" s="176">
        <v>18</v>
      </c>
      <c r="B70" s="177" t="s">
        <v>92</v>
      </c>
      <c r="C70" s="178">
        <f t="shared" ca="1" si="0"/>
        <v>68660</v>
      </c>
      <c r="D70" s="179">
        <f t="shared" ca="1" si="56"/>
        <v>68660</v>
      </c>
      <c r="E70" s="180">
        <f ca="1">IFERROR(__xludf.DUMMYFUNCTION("IMPORTRANGE(""https://docs.google.com/spreadsheets/d/1MeEWN-I1oV_STSDYn1IFDPWt_1FKiwhDph83XaGc0o0/edit?usp=sharing"",""งบพรบ!AR70"")"),0)</f>
        <v>0</v>
      </c>
      <c r="F70" s="180">
        <f ca="1">IFERROR(__xludf.DUMMYFUNCTION("IMPORTRANGE(""https://docs.google.com/spreadsheets/d/1MeEWN-I1oV_STSDYn1IFDPWt_1FKiwhDph83XaGc0o0/edit?usp=sharing"",""งบพรบ!AS70"")"),68660)</f>
        <v>68660</v>
      </c>
      <c r="G70" s="180">
        <f ca="1">IFERROR(__xludf.DUMMYFUNCTION("IMPORTRANGE(""https://docs.google.com/spreadsheets/d/1MeEWN-I1oV_STSDYn1IFDPWt_1FKiwhDph83XaGc0o0/edit?usp=sharing"",""งบพรบ!AT70"")"),0)</f>
        <v>0</v>
      </c>
      <c r="H70" s="180">
        <f ca="1">IFERROR(__xludf.DUMMYFUNCTION("IMPORTRANGE(""https://docs.google.com/spreadsheets/d/1MeEWN-I1oV_STSDYn1IFDPWt_1FKiwhDph83XaGc0o0/edit?usp=sharing"",""งบพรบ!AV70"")"),62310)</f>
        <v>62310</v>
      </c>
      <c r="I70" s="180">
        <f ca="1">IFERROR(__xludf.DUMMYFUNCTION("IMPORTRANGE(""https://docs.google.com/spreadsheets/d/1MeEWN-I1oV_STSDYn1IFDPWt_1FKiwhDph83XaGc0o0/edit?usp=sharing"",""งบพรบ!AW70"")"),0)</f>
        <v>0</v>
      </c>
      <c r="J70" s="180">
        <f t="shared" ca="1" si="3"/>
        <v>28395.599999999999</v>
      </c>
      <c r="K70" s="187">
        <f t="shared" ca="1" si="4"/>
        <v>41.356830760267989</v>
      </c>
      <c r="L70" s="180">
        <f ca="1">IFERROR(__xludf.DUMMYFUNCTION("IMPORTRANGE(""https://docs.google.com/spreadsheets/d/1MeEWN-I1oV_STSDYn1IFDPWt_1FKiwhDph83XaGc0o0/edit?usp=sharing"",""งบพรบ!AX70"")"),28395.6)</f>
        <v>28395.599999999999</v>
      </c>
      <c r="M70" s="183">
        <f t="shared" ca="1" si="5"/>
        <v>41.356830760267989</v>
      </c>
      <c r="N70" s="183">
        <f t="shared" ca="1" si="6"/>
        <v>45.57149735194993</v>
      </c>
      <c r="O70" s="184">
        <f ca="1">IFERROR(__xludf.DUMMYFUNCTION("IMPORTRANGE(""https://docs.google.com/spreadsheets/d/1MeEWN-I1oV_STSDYn1IFDPWt_1FKiwhDph83XaGc0o0/edit?usp=sharing"",""งบพรบ!AY70"")"),0)</f>
        <v>0</v>
      </c>
      <c r="P70" s="184">
        <f t="shared" ca="1" si="36"/>
        <v>0</v>
      </c>
      <c r="Q70" s="183">
        <f t="shared" ca="1" si="8"/>
        <v>0</v>
      </c>
      <c r="R70" s="181">
        <f ca="1">IFERROR(__xludf.DUMMYFUNCTION("IMPORTRANGE(""https://docs.google.com/spreadsheets/d/1Nn1EvsFPtXldgpgVb3Rcng2K2cls68LFQsBh2FyW0Bg/edit?usp=sharing"",""สระบุรี!I98"")"),45)</f>
        <v>45</v>
      </c>
      <c r="S70" s="181">
        <f ca="1">IFERROR(__xludf.DUMMYFUNCTION("IMPORTRANGE(""https://docs.google.com/spreadsheets/d/1Nn1EvsFPtXldgpgVb3Rcng2K2cls68LFQsBh2FyW0Bg/edit?usp=sharing"",""สระบุรี!J98"")"),45)</f>
        <v>45</v>
      </c>
      <c r="T70" s="181">
        <f t="shared" ca="1" si="10"/>
        <v>100</v>
      </c>
      <c r="U70" s="181">
        <f ca="1">IFERROR(__xludf.DUMMYFUNCTION("IMPORTRANGE(""https://docs.google.com/spreadsheets/d/1Nn1EvsFPtXldgpgVb3Rcng2K2cls68LFQsBh2FyW0Bg/edit?usp=sharing"",""สระบุรี!I99"")"),15)</f>
        <v>15</v>
      </c>
      <c r="V70" s="181">
        <f ca="1">IFERROR(__xludf.DUMMYFUNCTION("IMPORTRANGE(""https://docs.google.com/spreadsheets/d/1Nn1EvsFPtXldgpgVb3Rcng2K2cls68LFQsBh2FyW0Bg/edit?usp=sharing"",""สระบุรี!I100"")"),1)</f>
        <v>1</v>
      </c>
      <c r="W70" s="181">
        <f ca="1">IFERROR(__xludf.DUMMYFUNCTION("IMPORTRANGE(""https://docs.google.com/spreadsheets/d/1Nn1EvsFPtXldgpgVb3Rcng2K2cls68LFQsBh2FyW0Bg/edit?usp=sharing"",""สระบุรี!J99"")"),15)</f>
        <v>15</v>
      </c>
      <c r="X70" s="185">
        <f t="shared" ca="1" si="12"/>
        <v>100</v>
      </c>
      <c r="Y70" s="186">
        <f ca="1">IFERROR(__xludf.DUMMYFUNCTION("IMPORTRANGE(""https://docs.google.com/spreadsheets/d/1Nn1EvsFPtXldgpgVb3Rcng2K2cls68LFQsBh2FyW0Bg/edit?usp=sharing"",""สระบุรี!J100"")"),1)</f>
        <v>1</v>
      </c>
      <c r="Z70" s="185">
        <f t="shared" ca="1" si="13"/>
        <v>100</v>
      </c>
      <c r="AA70" s="180">
        <f ca="1">IFERROR(__xludf.DUMMYFUNCTION("IMPORTRANGE(""https://docs.google.com/spreadsheets/d/1Nn1EvsFPtXldgpgVb3Rcng2K2cls68LFQsBh2FyW0Bg/edit?usp=sharing"",""สระบุรี!I102"")"),45)</f>
        <v>45</v>
      </c>
      <c r="AB70" s="180">
        <f ca="1">IFERROR(__xludf.DUMMYFUNCTION("IMPORTRANGE(""https://docs.google.com/spreadsheets/d/1Nn1EvsFPtXldgpgVb3Rcng2K2cls68LFQsBh2FyW0Bg/edit?usp=sharing"",""สระบุรี!I103"")"),15)</f>
        <v>15</v>
      </c>
      <c r="AC70" s="181">
        <f ca="1">IFERROR(__xludf.DUMMYFUNCTION("IMPORTRANGE(""https://docs.google.com/spreadsheets/d/1Nn1EvsFPtXldgpgVb3Rcng2K2cls68LFQsBh2FyW0Bg/edit?usp=sharing"",""สระบุรี!J102"")"),45)</f>
        <v>45</v>
      </c>
      <c r="AD70" s="181">
        <f ca="1">IFERROR(__xludf.DUMMYFUNCTION("IMPORTRANGE(""https://docs.google.com/spreadsheets/d/1Nn1EvsFPtXldgpgVb3Rcng2K2cls68LFQsBh2FyW0Bg/edit?usp=sharing"",""สระบุรี!J103"")"),15)</f>
        <v>15</v>
      </c>
      <c r="AE70" s="181">
        <f ca="1">IFERROR(__xludf.DUMMYFUNCTION("IMPORTRANGE(""https://docs.google.com/spreadsheets/d/1Nn1EvsFPtXldgpgVb3Rcng2K2cls68LFQsBh2FyW0Bg/edit?usp=sharing"",""สระบุรี!J104"")"),15)</f>
        <v>15</v>
      </c>
      <c r="AF70" s="180">
        <f ca="1">IFERROR(__xludf.DUMMYFUNCTION("IMPORTRANGE(""https://docs.google.com/spreadsheets/d/1Nn1EvsFPtXldgpgVb3Rcng2K2cls68LFQsBh2FyW0Bg/edit?usp=sharing"",""สระบุรี!I106"")"),0)</f>
        <v>0</v>
      </c>
      <c r="AG70" s="181">
        <f ca="1">IFERROR(__xludf.DUMMYFUNCTION("IMPORTRANGE(""https://docs.google.com/spreadsheets/d/1Nn1EvsFPtXldgpgVb3Rcng2K2cls68LFQsBh2FyW0Bg/edit?usp=sharing"",""สระบุรี!J106"")"),0)</f>
        <v>0</v>
      </c>
      <c r="AH70" s="181">
        <f ca="1">IFERROR(__xludf.DUMMYFUNCTION("IMPORTRANGE(""https://docs.google.com/spreadsheets/d/1Nn1EvsFPtXldgpgVb3Rcng2K2cls68LFQsBh2FyW0Bg/edit?usp=sharing"",""สระบุรี!J107"")"),0)</f>
        <v>0</v>
      </c>
      <c r="AI70" s="180">
        <f ca="1">IFERROR(__xludf.DUMMYFUNCTION("IMPORTRANGE(""https://docs.google.com/spreadsheets/d/1Nn1EvsFPtXldgpgVb3Rcng2K2cls68LFQsBh2FyW0Bg/edit?usp=sharing"",""สระบุรี!I109"")"),1)</f>
        <v>1</v>
      </c>
      <c r="AJ70" s="181">
        <f ca="1">IFERROR(__xludf.DUMMYFUNCTION("IMPORTRANGE(""https://docs.google.com/spreadsheets/d/1Nn1EvsFPtXldgpgVb3Rcng2K2cls68LFQsBh2FyW0Bg/edit?usp=sharing"",""สระบุรี!J109"")"),1)</f>
        <v>1</v>
      </c>
      <c r="AK70" s="181">
        <f ca="1">IFERROR(__xludf.DUMMYFUNCTION("IMPORTRANGE(""https://docs.google.com/spreadsheets/d/1Nn1EvsFPtXldgpgVb3Rcng2K2cls68LFQsBh2FyW0Bg/edit?usp=sharing"",""สระบุรี!J110"")"),1)</f>
        <v>1</v>
      </c>
      <c r="AL70" s="180">
        <f ca="1">IFERROR(__xludf.DUMMYFUNCTION("IMPORTRANGE(""https://docs.google.com/spreadsheets/d/1Nn1EvsFPtXldgpgVb3Rcng2K2cls68LFQsBh2FyW0Bg/edit?usp=sharing"",""สระบุรี!I111"")"),15)</f>
        <v>15</v>
      </c>
      <c r="AM70" s="180">
        <f ca="1">IFERROR(__xludf.DUMMYFUNCTION("IMPORTRANGE(""https://docs.google.com/spreadsheets/d/1Nn1EvsFPtXldgpgVb3Rcng2K2cls68LFQsBh2FyW0Bg/edit?usp=sharing"",""สระบุรี!I112"")"),1)</f>
        <v>1</v>
      </c>
      <c r="AN70" s="181">
        <f ca="1">IFERROR(__xludf.DUMMYFUNCTION("IMPORTRANGE(""https://docs.google.com/spreadsheets/d/1Nn1EvsFPtXldgpgVb3Rcng2K2cls68LFQsBh2FyW0Bg/edit?usp=sharing"",""สระบุรี!J111"")"),15)</f>
        <v>15</v>
      </c>
      <c r="AO70" s="181">
        <f t="shared" ca="1" si="15"/>
        <v>100</v>
      </c>
      <c r="AP70" s="181">
        <f ca="1">IFERROR(__xludf.DUMMYFUNCTION("IMPORTRANGE(""https://docs.google.com/spreadsheets/d/1Nn1EvsFPtXldgpgVb3Rcng2K2cls68LFQsBh2FyW0Bg/edit?usp=sharing"",""สระบุรี!J112"")"),1)</f>
        <v>1</v>
      </c>
      <c r="AQ70" s="183">
        <f t="shared" ca="1" si="16"/>
        <v>100</v>
      </c>
      <c r="AR70" s="180">
        <f ca="1">IFERROR(__xludf.DUMMYFUNCTION("IMPORTRANGE(""https://docs.google.com/spreadsheets/d/1Nn1EvsFPtXldgpgVb3Rcng2K2cls68LFQsBh2FyW0Bg/edit?usp=sharing"",""สระบุรี!I113"")"),15)</f>
        <v>15</v>
      </c>
      <c r="AS70" s="180">
        <f ca="1">IFERROR(__xludf.DUMMYFUNCTION("IMPORTRANGE(""https://docs.google.com/spreadsheets/d/1Nn1EvsFPtXldgpgVb3Rcng2K2cls68LFQsBh2FyW0Bg/edit?usp=sharing"",""สระบุรี!J113"")"),15)</f>
        <v>15</v>
      </c>
      <c r="AT70" s="180">
        <f ca="1">IFERROR(__xludf.DUMMYFUNCTION("IMPORTRANGE(""https://docs.google.com/spreadsheets/d/1Nn1EvsFPtXldgpgVb3Rcng2K2cls68LFQsBh2FyW0Bg/edit?usp=sharing"",""สระบุรี!J114"")"),15)</f>
        <v>15</v>
      </c>
      <c r="AU70" s="180">
        <f ca="1">IFERROR(__xludf.DUMMYFUNCTION("IMPORTRANGE(""https://docs.google.com/spreadsheets/d/1Nn1EvsFPtXldgpgVb3Rcng2K2cls68LFQsBh2FyW0Bg/edit?usp=sharing"",""สระบุรี!I115"")"),0)</f>
        <v>0</v>
      </c>
      <c r="AV70" s="181">
        <f ca="1">IFERROR(__xludf.DUMMYFUNCTION("IMPORTRANGE(""https://docs.google.com/spreadsheets/d/1Nn1EvsFPtXldgpgVb3Rcng2K2cls68LFQsBh2FyW0Bg/edit?usp=sharing"",""สระบุรี!J115"")"),0)</f>
        <v>0</v>
      </c>
      <c r="AW70" s="183">
        <f t="shared" ca="1" si="18"/>
        <v>0</v>
      </c>
      <c r="AX70" s="180">
        <f ca="1">IFERROR(__xludf.DUMMYFUNCTION("IMPORTRANGE(""https://docs.google.com/spreadsheets/d/1Nn1EvsFPtXldgpgVb3Rcng2K2cls68LFQsBh2FyW0Bg/edit?usp=sharing"",""สระบุรี!I116"")"),1)</f>
        <v>1</v>
      </c>
      <c r="AY70" s="181">
        <f ca="1">IFERROR(__xludf.DUMMYFUNCTION("IMPORTRANGE(""https://docs.google.com/spreadsheets/d/1Nn1EvsFPtXldgpgVb3Rcng2K2cls68LFQsBh2FyW0Bg/edit?usp=sharing"",""สระบุรี!J116"")"),1)</f>
        <v>1</v>
      </c>
      <c r="AZ70" s="183">
        <f t="shared" ca="1" si="20"/>
        <v>100</v>
      </c>
    </row>
    <row r="71" spans="1:52" ht="21" customHeight="1" x14ac:dyDescent="0.3">
      <c r="A71" s="176">
        <v>19</v>
      </c>
      <c r="B71" s="177" t="s">
        <v>93</v>
      </c>
      <c r="C71" s="178">
        <f t="shared" ca="1" si="0"/>
        <v>174500</v>
      </c>
      <c r="D71" s="179">
        <f t="shared" ca="1" si="56"/>
        <v>174500</v>
      </c>
      <c r="E71" s="180">
        <f ca="1">IFERROR(__xludf.DUMMYFUNCTION("IMPORTRANGE(""https://docs.google.com/spreadsheets/d/1MeEWN-I1oV_STSDYn1IFDPWt_1FKiwhDph83XaGc0o0/edit?usp=sharing"",""งบพรบ!AR71"")"),143300)</f>
        <v>143300</v>
      </c>
      <c r="F71" s="180">
        <f ca="1">IFERROR(__xludf.DUMMYFUNCTION("IMPORTRANGE(""https://docs.google.com/spreadsheets/d/1MeEWN-I1oV_STSDYn1IFDPWt_1FKiwhDph83XaGc0o0/edit?usp=sharing"",""งบพรบ!AS71"")"),31200)</f>
        <v>31200</v>
      </c>
      <c r="G71" s="180">
        <f ca="1">IFERROR(__xludf.DUMMYFUNCTION("IMPORTRANGE(""https://docs.google.com/spreadsheets/d/1MeEWN-I1oV_STSDYn1IFDPWt_1FKiwhDph83XaGc0o0/edit?usp=sharing"",""งบพรบ!AT71"")"),0)</f>
        <v>0</v>
      </c>
      <c r="H71" s="180">
        <f ca="1">IFERROR(__xludf.DUMMYFUNCTION("IMPORTRANGE(""https://docs.google.com/spreadsheets/d/1MeEWN-I1oV_STSDYn1IFDPWt_1FKiwhDph83XaGc0o0/edit?usp=sharing"",""งบพรบ!AV71"")"),136850)</f>
        <v>136850</v>
      </c>
      <c r="I71" s="180">
        <f ca="1">IFERROR(__xludf.DUMMYFUNCTION("IMPORTRANGE(""https://docs.google.com/spreadsheets/d/1MeEWN-I1oV_STSDYn1IFDPWt_1FKiwhDph83XaGc0o0/edit?usp=sharing"",""งบพรบ!AW71"")"),0)</f>
        <v>0</v>
      </c>
      <c r="J71" s="180">
        <f t="shared" ca="1" si="3"/>
        <v>82994.460000000006</v>
      </c>
      <c r="K71" s="187">
        <f t="shared" ca="1" si="4"/>
        <v>47.561295128939832</v>
      </c>
      <c r="L71" s="180">
        <f ca="1">IFERROR(__xludf.DUMMYFUNCTION("IMPORTRANGE(""https://docs.google.com/spreadsheets/d/1MeEWN-I1oV_STSDYn1IFDPWt_1FKiwhDph83XaGc0o0/edit?usp=sharing"",""งบพรบ!AX71"")"),82994.46)</f>
        <v>82994.460000000006</v>
      </c>
      <c r="M71" s="183">
        <f t="shared" ca="1" si="5"/>
        <v>47.561295128939832</v>
      </c>
      <c r="N71" s="183">
        <f t="shared" ca="1" si="6"/>
        <v>60.646298867373041</v>
      </c>
      <c r="O71" s="184">
        <f ca="1">IFERROR(__xludf.DUMMYFUNCTION("IMPORTRANGE(""https://docs.google.com/spreadsheets/d/1MeEWN-I1oV_STSDYn1IFDPWt_1FKiwhDph83XaGc0o0/edit?usp=sharing"",""งบพรบ!AY71"")"),0)</f>
        <v>0</v>
      </c>
      <c r="P71" s="184">
        <f t="shared" ca="1" si="36"/>
        <v>0</v>
      </c>
      <c r="Q71" s="183">
        <f t="shared" ca="1" si="8"/>
        <v>0</v>
      </c>
      <c r="R71" s="181">
        <f ca="1">IFERROR(__xludf.DUMMYFUNCTION("IMPORTRANGE(""https://docs.google.com/spreadsheets/d/149xufxukrnEciK3WPbNpHwUK8BKEJxp3UcBG3Al6dA4/edit?usp=sharing"",""สิงห์บุรี!I98"")"),0)</f>
        <v>0</v>
      </c>
      <c r="S71" s="181">
        <f ca="1">IFERROR(__xludf.DUMMYFUNCTION("IMPORTRANGE(""https://docs.google.com/spreadsheets/d/149xufxukrnEciK3WPbNpHwUK8BKEJxp3UcBG3Al6dA4/edit?usp=sharing"",""สิงห์บุรี!J98"")"),0)</f>
        <v>0</v>
      </c>
      <c r="T71" s="181">
        <f t="shared" ca="1" si="10"/>
        <v>0</v>
      </c>
      <c r="U71" s="181">
        <f ca="1">IFERROR(__xludf.DUMMYFUNCTION("IMPORTRANGE(""https://docs.google.com/spreadsheets/d/149xufxukrnEciK3WPbNpHwUK8BKEJxp3UcBG3Al6dA4/edit?usp=sharing"",""สิงห์บุรี!I99"")"),0)</f>
        <v>0</v>
      </c>
      <c r="V71" s="181">
        <f ca="1">IFERROR(__xludf.DUMMYFUNCTION("IMPORTRANGE(""https://docs.google.com/spreadsheets/d/149xufxukrnEciK3WPbNpHwUK8BKEJxp3UcBG3Al6dA4/edit?usp=sharing"",""สิงห์บุรี!I100"")"),1)</f>
        <v>1</v>
      </c>
      <c r="W71" s="181">
        <f ca="1">IFERROR(__xludf.DUMMYFUNCTION("IMPORTRANGE(""https://docs.google.com/spreadsheets/d/149xufxukrnEciK3WPbNpHwUK8BKEJxp3UcBG3Al6dA4/edit?usp=sharing"",""สิงห์บุรี!J99"")"),0)</f>
        <v>0</v>
      </c>
      <c r="X71" s="185">
        <f t="shared" ca="1" si="12"/>
        <v>0</v>
      </c>
      <c r="Y71" s="186">
        <f ca="1">IFERROR(__xludf.DUMMYFUNCTION("IMPORTRANGE(""https://docs.google.com/spreadsheets/d/149xufxukrnEciK3WPbNpHwUK8BKEJxp3UcBG3Al6dA4/edit?usp=sharing"",""สิงห์บุรี!J100"")"),1)</f>
        <v>1</v>
      </c>
      <c r="Z71" s="185">
        <f t="shared" ca="1" si="13"/>
        <v>100</v>
      </c>
      <c r="AA71" s="180">
        <f ca="1">IFERROR(__xludf.DUMMYFUNCTION("IMPORTRANGE(""https://docs.google.com/spreadsheets/d/149xufxukrnEciK3WPbNpHwUK8BKEJxp3UcBG3Al6dA4/edit?usp=sharing"",""สิงห์บุรี!I102"")"),0)</f>
        <v>0</v>
      </c>
      <c r="AB71" s="180">
        <f ca="1">IFERROR(__xludf.DUMMYFUNCTION("IMPORTRANGE(""https://docs.google.com/spreadsheets/d/149xufxukrnEciK3WPbNpHwUK8BKEJxp3UcBG3Al6dA4/edit?usp=sharing"",""สิงห์บุรี!I103"")"),0)</f>
        <v>0</v>
      </c>
      <c r="AC71" s="181">
        <f ca="1">IFERROR(__xludf.DUMMYFUNCTION("IMPORTRANGE(""https://docs.google.com/spreadsheets/d/149xufxukrnEciK3WPbNpHwUK8BKEJxp3UcBG3Al6dA4/edit?usp=sharing"",""สิงห์บุรี!J102"")"),0)</f>
        <v>0</v>
      </c>
      <c r="AD71" s="181">
        <f ca="1">IFERROR(__xludf.DUMMYFUNCTION("IMPORTRANGE(""https://docs.google.com/spreadsheets/d/149xufxukrnEciK3WPbNpHwUK8BKEJxp3UcBG3Al6dA4/edit?usp=sharing"",""สิงห์บุรี!J103"")"),0)</f>
        <v>0</v>
      </c>
      <c r="AE71" s="181">
        <f ca="1">IFERROR(__xludf.DUMMYFUNCTION("IMPORTRANGE(""https://docs.google.com/spreadsheets/d/149xufxukrnEciK3WPbNpHwUK8BKEJxp3UcBG3Al6dA4/edit?usp=sharing"",""สิงห์บุรี!J104"")"),0)</f>
        <v>0</v>
      </c>
      <c r="AF71" s="180">
        <f ca="1">IFERROR(__xludf.DUMMYFUNCTION("IMPORTRANGE(""https://docs.google.com/spreadsheets/d/149xufxukrnEciK3WPbNpHwUK8BKEJxp3UcBG3Al6dA4/edit?usp=sharing"",""สิงห์บุรี!I106"")"),0)</f>
        <v>0</v>
      </c>
      <c r="AG71" s="181">
        <f ca="1">IFERROR(__xludf.DUMMYFUNCTION("IMPORTRANGE(""https://docs.google.com/spreadsheets/d/149xufxukrnEciK3WPbNpHwUK8BKEJxp3UcBG3Al6dA4/edit?usp=sharing"",""สิงห์บุรี!J106"")"),0)</f>
        <v>0</v>
      </c>
      <c r="AH71" s="181">
        <f ca="1">IFERROR(__xludf.DUMMYFUNCTION("IMPORTRANGE(""https://docs.google.com/spreadsheets/d/149xufxukrnEciK3WPbNpHwUK8BKEJxp3UcBG3Al6dA4/edit?usp=sharing"",""สิงห์บุรี!J107"")"),0)</f>
        <v>0</v>
      </c>
      <c r="AI71" s="180">
        <f ca="1">IFERROR(__xludf.DUMMYFUNCTION("IMPORTRANGE(""https://docs.google.com/spreadsheets/d/149xufxukrnEciK3WPbNpHwUK8BKEJxp3UcBG3Al6dA4/edit?usp=sharing"",""สิงห์บุรี!I109"")"),1)</f>
        <v>1</v>
      </c>
      <c r="AJ71" s="181">
        <f ca="1">IFERROR(__xludf.DUMMYFUNCTION("IMPORTRANGE(""https://docs.google.com/spreadsheets/d/149xufxukrnEciK3WPbNpHwUK8BKEJxp3UcBG3Al6dA4/edit?usp=sharing"",""สิงห์บุรี!J109"")"),1)</f>
        <v>1</v>
      </c>
      <c r="AK71" s="181">
        <f ca="1">IFERROR(__xludf.DUMMYFUNCTION("IMPORTRANGE(""https://docs.google.com/spreadsheets/d/149xufxukrnEciK3WPbNpHwUK8BKEJxp3UcBG3Al6dA4/edit?usp=sharing"",""สิงห์บุรี!J110"")"),1)</f>
        <v>1</v>
      </c>
      <c r="AL71" s="180">
        <f ca="1">IFERROR(__xludf.DUMMYFUNCTION("IMPORTRANGE(""https://docs.google.com/spreadsheets/d/149xufxukrnEciK3WPbNpHwUK8BKEJxp3UcBG3Al6dA4/edit?usp=sharing"",""สิงห์บุรี!I111"")"),0)</f>
        <v>0</v>
      </c>
      <c r="AM71" s="180">
        <f ca="1">IFERROR(__xludf.DUMMYFUNCTION("IMPORTRANGE(""https://docs.google.com/spreadsheets/d/149xufxukrnEciK3WPbNpHwUK8BKEJxp3UcBG3Al6dA4/edit?usp=sharing"",""สิงห์บุรี!I112"")"),1)</f>
        <v>1</v>
      </c>
      <c r="AN71" s="181">
        <f ca="1">IFERROR(__xludf.DUMMYFUNCTION("IMPORTRANGE(""https://docs.google.com/spreadsheets/d/149xufxukrnEciK3WPbNpHwUK8BKEJxp3UcBG3Al6dA4/edit?usp=sharing"",""สิงห์บุรี!J111"")"),0)</f>
        <v>0</v>
      </c>
      <c r="AO71" s="181">
        <f t="shared" ca="1" si="15"/>
        <v>0</v>
      </c>
      <c r="AP71" s="181">
        <f ca="1">IFERROR(__xludf.DUMMYFUNCTION("IMPORTRANGE(""https://docs.google.com/spreadsheets/d/149xufxukrnEciK3WPbNpHwUK8BKEJxp3UcBG3Al6dA4/edit?usp=sharing"",""สิงห์บุรี!J112"")"),0)</f>
        <v>0</v>
      </c>
      <c r="AQ71" s="183">
        <f t="shared" ca="1" si="16"/>
        <v>0</v>
      </c>
      <c r="AR71" s="180">
        <f ca="1">IFERROR(__xludf.DUMMYFUNCTION("IMPORTRANGE(""https://docs.google.com/spreadsheets/d/149xufxukrnEciK3WPbNpHwUK8BKEJxp3UcBG3Al6dA4/edit?usp=sharing"",""สิงห์บุรี!I113"")"),0)</f>
        <v>0</v>
      </c>
      <c r="AS71" s="180">
        <f ca="1">IFERROR(__xludf.DUMMYFUNCTION("IMPORTRANGE(""https://docs.google.com/spreadsheets/d/149xufxukrnEciK3WPbNpHwUK8BKEJxp3UcBG3Al6dA4/edit?usp=sharing"",""สิงห์บุรี!J113"")"),0)</f>
        <v>0</v>
      </c>
      <c r="AT71" s="180">
        <f ca="1">IFERROR(__xludf.DUMMYFUNCTION("IMPORTRANGE(""https://docs.google.com/spreadsheets/d/149xufxukrnEciK3WPbNpHwUK8BKEJxp3UcBG3Al6dA4/edit?usp=sharing"",""สิงห์บุรี!J114"")"),0)</f>
        <v>0</v>
      </c>
      <c r="AU71" s="180">
        <f ca="1">IFERROR(__xludf.DUMMYFUNCTION("IMPORTRANGE(""https://docs.google.com/spreadsheets/d/149xufxukrnEciK3WPbNpHwUK8BKEJxp3UcBG3Al6dA4/edit?usp=sharing"",""สิงห์บุรี!I115"")"),0)</f>
        <v>0</v>
      </c>
      <c r="AV71" s="181">
        <f ca="1">IFERROR(__xludf.DUMMYFUNCTION("IMPORTRANGE(""https://docs.google.com/spreadsheets/d/149xufxukrnEciK3WPbNpHwUK8BKEJxp3UcBG3Al6dA4/edit?usp=sharing"",""สิงห์บุรี!J115"")"),0)</f>
        <v>0</v>
      </c>
      <c r="AW71" s="183">
        <f t="shared" ca="1" si="18"/>
        <v>0</v>
      </c>
      <c r="AX71" s="180">
        <f ca="1">IFERROR(__xludf.DUMMYFUNCTION("IMPORTRANGE(""https://docs.google.com/spreadsheets/d/149xufxukrnEciK3WPbNpHwUK8BKEJxp3UcBG3Al6dA4/edit?usp=sharing"",""สิงห์บุรี!I116"")"),1)</f>
        <v>1</v>
      </c>
      <c r="AY71" s="181">
        <f ca="1">IFERROR(__xludf.DUMMYFUNCTION("IMPORTRANGE(""https://docs.google.com/spreadsheets/d/149xufxukrnEciK3WPbNpHwUK8BKEJxp3UcBG3Al6dA4/edit?usp=sharing"",""สิงห์บุรี!J116"")"),0)</f>
        <v>0</v>
      </c>
      <c r="AZ71" s="183">
        <f t="shared" ca="1" si="20"/>
        <v>0</v>
      </c>
    </row>
    <row r="72" spans="1:52" ht="21" customHeight="1" x14ac:dyDescent="0.3">
      <c r="A72" s="176">
        <v>20</v>
      </c>
      <c r="B72" s="177" t="s">
        <v>94</v>
      </c>
      <c r="C72" s="178">
        <f t="shared" ca="1" si="0"/>
        <v>116140</v>
      </c>
      <c r="D72" s="179">
        <f t="shared" ca="1" si="56"/>
        <v>116140</v>
      </c>
      <c r="E72" s="180">
        <f ca="1">IFERROR(__xludf.DUMMYFUNCTION("IMPORTRANGE(""https://docs.google.com/spreadsheets/d/1MeEWN-I1oV_STSDYn1IFDPWt_1FKiwhDph83XaGc0o0/edit?usp=sharing"",""งบพรบ!AR72"")"),0)</f>
        <v>0</v>
      </c>
      <c r="F72" s="180">
        <f ca="1">IFERROR(__xludf.DUMMYFUNCTION("IMPORTRANGE(""https://docs.google.com/spreadsheets/d/1MeEWN-I1oV_STSDYn1IFDPWt_1FKiwhDph83XaGc0o0/edit?usp=sharing"",""งบพรบ!AS72"")"),116140)</f>
        <v>116140</v>
      </c>
      <c r="G72" s="180">
        <f ca="1">IFERROR(__xludf.DUMMYFUNCTION("IMPORTRANGE(""https://docs.google.com/spreadsheets/d/1MeEWN-I1oV_STSDYn1IFDPWt_1FKiwhDph83XaGc0o0/edit?usp=sharing"",""งบพรบ!AT72"")"),0)</f>
        <v>0</v>
      </c>
      <c r="H72" s="180">
        <f ca="1">IFERROR(__xludf.DUMMYFUNCTION("IMPORTRANGE(""https://docs.google.com/spreadsheets/d/1MeEWN-I1oV_STSDYn1IFDPWt_1FKiwhDph83XaGc0o0/edit?usp=sharing"",""งบพรบ!AV72"")"),52090)</f>
        <v>52090</v>
      </c>
      <c r="I72" s="180">
        <f ca="1">IFERROR(__xludf.DUMMYFUNCTION("IMPORTRANGE(""https://docs.google.com/spreadsheets/d/1MeEWN-I1oV_STSDYn1IFDPWt_1FKiwhDph83XaGc0o0/edit?usp=sharing"",""งบพรบ!AW72"")"),0)</f>
        <v>0</v>
      </c>
      <c r="J72" s="180">
        <f t="shared" ca="1" si="3"/>
        <v>21840</v>
      </c>
      <c r="K72" s="187">
        <f t="shared" ca="1" si="4"/>
        <v>18.804890649216464</v>
      </c>
      <c r="L72" s="180">
        <f ca="1">IFERROR(__xludf.DUMMYFUNCTION("IMPORTRANGE(""https://docs.google.com/spreadsheets/d/1MeEWN-I1oV_STSDYn1IFDPWt_1FKiwhDph83XaGc0o0/edit?usp=sharing"",""งบพรบ!AX72"")"),21840)</f>
        <v>21840</v>
      </c>
      <c r="M72" s="183">
        <f t="shared" ca="1" si="5"/>
        <v>18.804890649216464</v>
      </c>
      <c r="N72" s="183">
        <f t="shared" ca="1" si="6"/>
        <v>41.927433288539063</v>
      </c>
      <c r="O72" s="184">
        <f ca="1">IFERROR(__xludf.DUMMYFUNCTION("IMPORTRANGE(""https://docs.google.com/spreadsheets/d/1MeEWN-I1oV_STSDYn1IFDPWt_1FKiwhDph83XaGc0o0/edit?usp=sharing"",""งบพรบ!AY72"")"),0)</f>
        <v>0</v>
      </c>
      <c r="P72" s="184">
        <f t="shared" ca="1" si="36"/>
        <v>0</v>
      </c>
      <c r="Q72" s="183">
        <f t="shared" ca="1" si="8"/>
        <v>0</v>
      </c>
      <c r="R72" s="181">
        <f ca="1">IFERROR(__xludf.DUMMYFUNCTION("IMPORTRANGE(""https://docs.google.com/spreadsheets/d/132g-zJpz2uMKimp17uOIx8A7o3w1Z25zwJyXnwsB56c/edit?usp=sharing"",""สุพรรณบุรี!I98"")"),30)</f>
        <v>30</v>
      </c>
      <c r="S72" s="181">
        <f ca="1">IFERROR(__xludf.DUMMYFUNCTION("IMPORTRANGE(""https://docs.google.com/spreadsheets/d/132g-zJpz2uMKimp17uOIx8A7o3w1Z25zwJyXnwsB56c/edit?usp=sharing"",""สุพรรณบุรี!J98"")"),30)</f>
        <v>30</v>
      </c>
      <c r="T72" s="181">
        <f t="shared" ca="1" si="10"/>
        <v>100</v>
      </c>
      <c r="U72" s="181">
        <f ca="1">IFERROR(__xludf.DUMMYFUNCTION("IMPORTRANGE(""https://docs.google.com/spreadsheets/d/132g-zJpz2uMKimp17uOIx8A7o3w1Z25zwJyXnwsB56c/edit?usp=sharing"",""สุพรรณบุรี!I99"")"),10)</f>
        <v>10</v>
      </c>
      <c r="V72" s="181">
        <f ca="1">IFERROR(__xludf.DUMMYFUNCTION("IMPORTRANGE(""https://docs.google.com/spreadsheets/d/132g-zJpz2uMKimp17uOIx8A7o3w1Z25zwJyXnwsB56c/edit?usp=sharing"",""สุพรรณบุรี!I100"")"),3)</f>
        <v>3</v>
      </c>
      <c r="W72" s="181">
        <f ca="1">IFERROR(__xludf.DUMMYFUNCTION("IMPORTRANGE(""https://docs.google.com/spreadsheets/d/132g-zJpz2uMKimp17uOIx8A7o3w1Z25zwJyXnwsB56c/edit?usp=sharing"",""สุพรรณบุรี!J99"")"),10)</f>
        <v>10</v>
      </c>
      <c r="X72" s="185">
        <f t="shared" ca="1" si="12"/>
        <v>100</v>
      </c>
      <c r="Y72" s="186">
        <f ca="1">IFERROR(__xludf.DUMMYFUNCTION("IMPORTRANGE(""https://docs.google.com/spreadsheets/d/132g-zJpz2uMKimp17uOIx8A7o3w1Z25zwJyXnwsB56c/edit?usp=sharing"",""สุพรรณบุรี!J100"")"),0)</f>
        <v>0</v>
      </c>
      <c r="Z72" s="185">
        <f t="shared" ca="1" si="13"/>
        <v>0</v>
      </c>
      <c r="AA72" s="180">
        <f ca="1">IFERROR(__xludf.DUMMYFUNCTION("IMPORTRANGE(""https://docs.google.com/spreadsheets/d/132g-zJpz2uMKimp17uOIx8A7o3w1Z25zwJyXnwsB56c/edit?usp=sharing"",""สุพรรณบุรี!I102"")"),30)</f>
        <v>30</v>
      </c>
      <c r="AB72" s="180">
        <f ca="1">IFERROR(__xludf.DUMMYFUNCTION("IMPORTRANGE(""https://docs.google.com/spreadsheets/d/132g-zJpz2uMKimp17uOIx8A7o3w1Z25zwJyXnwsB56c/edit?usp=sharing"",""สุพรรณบุรี!I103"")"),10)</f>
        <v>10</v>
      </c>
      <c r="AC72" s="181">
        <f ca="1">IFERROR(__xludf.DUMMYFUNCTION("IMPORTRANGE(""https://docs.google.com/spreadsheets/d/132g-zJpz2uMKimp17uOIx8A7o3w1Z25zwJyXnwsB56c/edit?usp=sharing"",""สุพรรณบุรี!J102"")"),30)</f>
        <v>30</v>
      </c>
      <c r="AD72" s="181">
        <f ca="1">IFERROR(__xludf.DUMMYFUNCTION("IMPORTRANGE(""https://docs.google.com/spreadsheets/d/132g-zJpz2uMKimp17uOIx8A7o3w1Z25zwJyXnwsB56c/edit?usp=sharing"",""สุพรรณบุรี!J103"")"),10)</f>
        <v>10</v>
      </c>
      <c r="AE72" s="181">
        <f ca="1">IFERROR(__xludf.DUMMYFUNCTION("IMPORTRANGE(""https://docs.google.com/spreadsheets/d/132g-zJpz2uMKimp17uOIx8A7o3w1Z25zwJyXnwsB56c/edit?usp=sharing"",""สุพรรณบุรี!J104"")"),10)</f>
        <v>10</v>
      </c>
      <c r="AF72" s="180">
        <f ca="1">IFERROR(__xludf.DUMMYFUNCTION("IMPORTRANGE(""https://docs.google.com/spreadsheets/d/132g-zJpz2uMKimp17uOIx8A7o3w1Z25zwJyXnwsB56c/edit?usp=sharing"",""สุพรรณบุรี!I106"")"),2)</f>
        <v>2</v>
      </c>
      <c r="AG72" s="181">
        <f ca="1">IFERROR(__xludf.DUMMYFUNCTION("IMPORTRANGE(""https://docs.google.com/spreadsheets/d/132g-zJpz2uMKimp17uOIx8A7o3w1Z25zwJyXnwsB56c/edit?usp=sharing"",""สุพรรณบุรี!J106"")"),0)</f>
        <v>0</v>
      </c>
      <c r="AH72" s="181">
        <f ca="1">IFERROR(__xludf.DUMMYFUNCTION("IMPORTRANGE(""https://docs.google.com/spreadsheets/d/132g-zJpz2uMKimp17uOIx8A7o3w1Z25zwJyXnwsB56c/edit?usp=sharing"",""สุพรรณบุรี!J107"")"),0)</f>
        <v>0</v>
      </c>
      <c r="AI72" s="180">
        <f ca="1">IFERROR(__xludf.DUMMYFUNCTION("IMPORTRANGE(""https://docs.google.com/spreadsheets/d/132g-zJpz2uMKimp17uOIx8A7o3w1Z25zwJyXnwsB56c/edit?usp=sharing"",""สุพรรณบุรี!I109"")"),1)</f>
        <v>1</v>
      </c>
      <c r="AJ72" s="181">
        <f ca="1">IFERROR(__xludf.DUMMYFUNCTION("IMPORTRANGE(""https://docs.google.com/spreadsheets/d/132g-zJpz2uMKimp17uOIx8A7o3w1Z25zwJyXnwsB56c/edit?usp=sharing"",""สุพรรณบุรี!J109"")"),0)</f>
        <v>0</v>
      </c>
      <c r="AK72" s="181">
        <f ca="1">IFERROR(__xludf.DUMMYFUNCTION("IMPORTRANGE(""https://docs.google.com/spreadsheets/d/132g-zJpz2uMKimp17uOIx8A7o3w1Z25zwJyXnwsB56c/edit?usp=sharing"",""สุพรรณบุรี!J110"")"),0)</f>
        <v>0</v>
      </c>
      <c r="AL72" s="180">
        <f ca="1">IFERROR(__xludf.DUMMYFUNCTION("IMPORTRANGE(""https://docs.google.com/spreadsheets/d/132g-zJpz2uMKimp17uOIx8A7o3w1Z25zwJyXnwsB56c/edit?usp=sharing"",""สุพรรณบุรี!I111"")"),10)</f>
        <v>10</v>
      </c>
      <c r="AM72" s="180">
        <f ca="1">IFERROR(__xludf.DUMMYFUNCTION("IMPORTRANGE(""https://docs.google.com/spreadsheets/d/132g-zJpz2uMKimp17uOIx8A7o3w1Z25zwJyXnwsB56c/edit?usp=sharing"",""สุพรรณบุรี!I112"")"),3)</f>
        <v>3</v>
      </c>
      <c r="AN72" s="181">
        <f ca="1">IFERROR(__xludf.DUMMYFUNCTION("IMPORTRANGE(""https://docs.google.com/spreadsheets/d/132g-zJpz2uMKimp17uOIx8A7o3w1Z25zwJyXnwsB56c/edit?usp=sharing"",""สุพรรณบุรี!J111"")"),0)</f>
        <v>0</v>
      </c>
      <c r="AO72" s="181">
        <f t="shared" ca="1" si="15"/>
        <v>0</v>
      </c>
      <c r="AP72" s="181">
        <f ca="1">IFERROR(__xludf.DUMMYFUNCTION("IMPORTRANGE(""https://docs.google.com/spreadsheets/d/132g-zJpz2uMKimp17uOIx8A7o3w1Z25zwJyXnwsB56c/edit?usp=sharing"",""สุพรรณบุรี!J112"")"),0)</f>
        <v>0</v>
      </c>
      <c r="AQ72" s="183">
        <f t="shared" ca="1" si="16"/>
        <v>0</v>
      </c>
      <c r="AR72" s="180">
        <f ca="1">IFERROR(__xludf.DUMMYFUNCTION("IMPORTRANGE(""https://docs.google.com/spreadsheets/d/132g-zJpz2uMKimp17uOIx8A7o3w1Z25zwJyXnwsB56c/edit?usp=sharing"",""สุพรรณบุรี!I113"")"),10)</f>
        <v>10</v>
      </c>
      <c r="AS72" s="180">
        <f ca="1">IFERROR(__xludf.DUMMYFUNCTION("IMPORTRANGE(""https://docs.google.com/spreadsheets/d/132g-zJpz2uMKimp17uOIx8A7o3w1Z25zwJyXnwsB56c/edit?usp=sharing"",""สุพรรณบุรี!J113"")"),0)</f>
        <v>0</v>
      </c>
      <c r="AT72" s="180">
        <f ca="1">IFERROR(__xludf.DUMMYFUNCTION("IMPORTRANGE(""https://docs.google.com/spreadsheets/d/132g-zJpz2uMKimp17uOIx8A7o3w1Z25zwJyXnwsB56c/edit?usp=sharing"",""สุพรรณบุรี!J114"")"),0)</f>
        <v>0</v>
      </c>
      <c r="AU72" s="180">
        <f ca="1">IFERROR(__xludf.DUMMYFUNCTION("IMPORTRANGE(""https://docs.google.com/spreadsheets/d/132g-zJpz2uMKimp17uOIx8A7o3w1Z25zwJyXnwsB56c/edit?usp=sharing"",""สุพรรณบุรี!I115"")"),2)</f>
        <v>2</v>
      </c>
      <c r="AV72" s="181">
        <f ca="1">IFERROR(__xludf.DUMMYFUNCTION("IMPORTRANGE(""https://docs.google.com/spreadsheets/d/132g-zJpz2uMKimp17uOIx8A7o3w1Z25zwJyXnwsB56c/edit?usp=sharing"",""สุพรรณบุรี!J115"")"),0)</f>
        <v>0</v>
      </c>
      <c r="AW72" s="183">
        <f t="shared" ca="1" si="18"/>
        <v>0</v>
      </c>
      <c r="AX72" s="180">
        <f ca="1">IFERROR(__xludf.DUMMYFUNCTION("IMPORTRANGE(""https://docs.google.com/spreadsheets/d/132g-zJpz2uMKimp17uOIx8A7o3w1Z25zwJyXnwsB56c/edit?usp=sharing"",""สุพรรณบุรี!I116"")"),1)</f>
        <v>1</v>
      </c>
      <c r="AY72" s="181">
        <f ca="1">IFERROR(__xludf.DUMMYFUNCTION("IMPORTRANGE(""https://docs.google.com/spreadsheets/d/132g-zJpz2uMKimp17uOIx8A7o3w1Z25zwJyXnwsB56c/edit?usp=sharing"",""สุพรรณบุรี!J116"")"),0)</f>
        <v>0</v>
      </c>
      <c r="AZ72" s="183">
        <f t="shared" ca="1" si="20"/>
        <v>0</v>
      </c>
    </row>
    <row r="73" spans="1:52" ht="21" customHeight="1" x14ac:dyDescent="0.3">
      <c r="A73" s="188">
        <v>21</v>
      </c>
      <c r="B73" s="189" t="s">
        <v>95</v>
      </c>
      <c r="C73" s="190">
        <f t="shared" ca="1" si="0"/>
        <v>174500</v>
      </c>
      <c r="D73" s="191">
        <f t="shared" ca="1" si="56"/>
        <v>174500</v>
      </c>
      <c r="E73" s="192">
        <f ca="1">IFERROR(__xludf.DUMMYFUNCTION("IMPORTRANGE(""https://docs.google.com/spreadsheets/d/1MeEWN-I1oV_STSDYn1IFDPWt_1FKiwhDph83XaGc0o0/edit?usp=sharing"",""งบพรบ!AR73"")"),143300)</f>
        <v>143300</v>
      </c>
      <c r="F73" s="192">
        <f ca="1">IFERROR(__xludf.DUMMYFUNCTION("IMPORTRANGE(""https://docs.google.com/spreadsheets/d/1MeEWN-I1oV_STSDYn1IFDPWt_1FKiwhDph83XaGc0o0/edit?usp=sharing"",""งบพรบ!AS73"")"),31200)</f>
        <v>31200</v>
      </c>
      <c r="G73" s="192">
        <f ca="1">IFERROR(__xludf.DUMMYFUNCTION("IMPORTRANGE(""https://docs.google.com/spreadsheets/d/1MeEWN-I1oV_STSDYn1IFDPWt_1FKiwhDph83XaGc0o0/edit?usp=sharing"",""งบพรบ!AT73"")"),0)</f>
        <v>0</v>
      </c>
      <c r="H73" s="192">
        <f ca="1">IFERROR(__xludf.DUMMYFUNCTION("IMPORTRANGE(""https://docs.google.com/spreadsheets/d/1MeEWN-I1oV_STSDYn1IFDPWt_1FKiwhDph83XaGc0o0/edit?usp=sharing"",""งบพรบ!AV73"")"),136800)</f>
        <v>136800</v>
      </c>
      <c r="I73" s="192">
        <f ca="1">IFERROR(__xludf.DUMMYFUNCTION("IMPORTRANGE(""https://docs.google.com/spreadsheets/d/1MeEWN-I1oV_STSDYn1IFDPWt_1FKiwhDph83XaGc0o0/edit?usp=sharing"",""งบพรบ!AW73"")"),0)</f>
        <v>0</v>
      </c>
      <c r="J73" s="192">
        <f t="shared" ca="1" si="3"/>
        <v>64033.5</v>
      </c>
      <c r="K73" s="193">
        <f t="shared" ca="1" si="4"/>
        <v>36.695415472779366</v>
      </c>
      <c r="L73" s="192">
        <f ca="1">IFERROR(__xludf.DUMMYFUNCTION("IMPORTRANGE(""https://docs.google.com/spreadsheets/d/1MeEWN-I1oV_STSDYn1IFDPWt_1FKiwhDph83XaGc0o0/edit?usp=sharing"",""งบพรบ!AX73"")"),64033.5)</f>
        <v>64033.5</v>
      </c>
      <c r="M73" s="194">
        <f t="shared" ca="1" si="5"/>
        <v>36.695415472779366</v>
      </c>
      <c r="N73" s="194">
        <f t="shared" ca="1" si="6"/>
        <v>46.808114035087719</v>
      </c>
      <c r="O73" s="195">
        <f ca="1">IFERROR(__xludf.DUMMYFUNCTION("IMPORTRANGE(""https://docs.google.com/spreadsheets/d/1MeEWN-I1oV_STSDYn1IFDPWt_1FKiwhDph83XaGc0o0/edit?usp=sharing"",""งบพรบ!AY73"")"),0)</f>
        <v>0</v>
      </c>
      <c r="P73" s="195">
        <f t="shared" ca="1" si="36"/>
        <v>0</v>
      </c>
      <c r="Q73" s="194">
        <f t="shared" ca="1" si="8"/>
        <v>0</v>
      </c>
      <c r="R73" s="196">
        <f ca="1">IFERROR(__xludf.DUMMYFUNCTION("IMPORTRANGE(""https://docs.google.com/spreadsheets/d/12Q_U0nVnFdxDFwa0pej9xvx8ZvLC9Dpi_vRro_aiG5g/edit?usp=sharing"",""อ่างทอง!I98"")"),0)</f>
        <v>0</v>
      </c>
      <c r="S73" s="196">
        <f ca="1">IFERROR(__xludf.DUMMYFUNCTION("IMPORTRANGE(""https://docs.google.com/spreadsheets/d/12Q_U0nVnFdxDFwa0pej9xvx8ZvLC9Dpi_vRro_aiG5g/edit?usp=sharing"",""อ่างทอง!J98"")"),0)</f>
        <v>0</v>
      </c>
      <c r="T73" s="196">
        <f t="shared" ca="1" si="10"/>
        <v>0</v>
      </c>
      <c r="U73" s="196">
        <f ca="1">IFERROR(__xludf.DUMMYFUNCTION("IMPORTRANGE(""https://docs.google.com/spreadsheets/d/12Q_U0nVnFdxDFwa0pej9xvx8ZvLC9Dpi_vRro_aiG5g/edit?usp=sharing"",""อ่างทอง!I99"")"),0)</f>
        <v>0</v>
      </c>
      <c r="V73" s="196">
        <f ca="1">IFERROR(__xludf.DUMMYFUNCTION("IMPORTRANGE(""https://docs.google.com/spreadsheets/d/12Q_U0nVnFdxDFwa0pej9xvx8ZvLC9Dpi_vRro_aiG5g/edit?usp=sharing"",""อ่างทอง!I100"")"),1)</f>
        <v>1</v>
      </c>
      <c r="W73" s="196">
        <f ca="1">IFERROR(__xludf.DUMMYFUNCTION("IMPORTRANGE(""https://docs.google.com/spreadsheets/d/12Q_U0nVnFdxDFwa0pej9xvx8ZvLC9Dpi_vRro_aiG5g/edit?usp=sharing"",""อ่างทอง!J99"")"),0)</f>
        <v>0</v>
      </c>
      <c r="X73" s="197">
        <f t="shared" ca="1" si="12"/>
        <v>0</v>
      </c>
      <c r="Y73" s="198">
        <f ca="1">IFERROR(__xludf.DUMMYFUNCTION("IMPORTRANGE(""https://docs.google.com/spreadsheets/d/12Q_U0nVnFdxDFwa0pej9xvx8ZvLC9Dpi_vRro_aiG5g/edit?usp=sharing"",""อ่างทอง!J100"")"),0)</f>
        <v>0</v>
      </c>
      <c r="Z73" s="197">
        <f t="shared" ca="1" si="13"/>
        <v>0</v>
      </c>
      <c r="AA73" s="192">
        <f ca="1">IFERROR(__xludf.DUMMYFUNCTION("IMPORTRANGE(""https://docs.google.com/spreadsheets/d/12Q_U0nVnFdxDFwa0pej9xvx8ZvLC9Dpi_vRro_aiG5g/edit?usp=sharing"",""อ่างทอง!I102"")"),0)</f>
        <v>0</v>
      </c>
      <c r="AB73" s="192">
        <f ca="1">IFERROR(__xludf.DUMMYFUNCTION("IMPORTRANGE(""https://docs.google.com/spreadsheets/d/12Q_U0nVnFdxDFwa0pej9xvx8ZvLC9Dpi_vRro_aiG5g/edit?usp=sharing"",""อ่างทอง!I103"")"),0)</f>
        <v>0</v>
      </c>
      <c r="AC73" s="196">
        <f ca="1">IFERROR(__xludf.DUMMYFUNCTION("IMPORTRANGE(""https://docs.google.com/spreadsheets/d/12Q_U0nVnFdxDFwa0pej9xvx8ZvLC9Dpi_vRro_aiG5g/edit?usp=sharing"",""อ่างทอง!J102"")"),0)</f>
        <v>0</v>
      </c>
      <c r="AD73" s="196">
        <f ca="1">IFERROR(__xludf.DUMMYFUNCTION("IMPORTRANGE(""https://docs.google.com/spreadsheets/d/12Q_U0nVnFdxDFwa0pej9xvx8ZvLC9Dpi_vRro_aiG5g/edit?usp=sharing"",""อ่างทอง!J103"")"),0)</f>
        <v>0</v>
      </c>
      <c r="AE73" s="196">
        <f ca="1">IFERROR(__xludf.DUMMYFUNCTION("IMPORTRANGE(""https://docs.google.com/spreadsheets/d/12Q_U0nVnFdxDFwa0pej9xvx8ZvLC9Dpi_vRro_aiG5g/edit?usp=sharing"",""อ่างทอง!J104"")"),0)</f>
        <v>0</v>
      </c>
      <c r="AF73" s="192">
        <f ca="1">IFERROR(__xludf.DUMMYFUNCTION("IMPORTRANGE(""https://docs.google.com/spreadsheets/d/12Q_U0nVnFdxDFwa0pej9xvx8ZvLC9Dpi_vRro_aiG5g/edit?usp=sharing"",""อ่างทอง!I106"")"),0)</f>
        <v>0</v>
      </c>
      <c r="AG73" s="196">
        <f ca="1">IFERROR(__xludf.DUMMYFUNCTION("IMPORTRANGE(""https://docs.google.com/spreadsheets/d/12Q_U0nVnFdxDFwa0pej9xvx8ZvLC9Dpi_vRro_aiG5g/edit?usp=sharing"",""อ่างทอง!J106"")"),0)</f>
        <v>0</v>
      </c>
      <c r="AH73" s="196">
        <f ca="1">IFERROR(__xludf.DUMMYFUNCTION("IMPORTRANGE(""https://docs.google.com/spreadsheets/d/12Q_U0nVnFdxDFwa0pej9xvx8ZvLC9Dpi_vRro_aiG5g/edit?usp=sharing"",""อ่างทอง!J107"")"),0)</f>
        <v>0</v>
      </c>
      <c r="AI73" s="192">
        <f ca="1">IFERROR(__xludf.DUMMYFUNCTION("IMPORTRANGE(""https://docs.google.com/spreadsheets/d/12Q_U0nVnFdxDFwa0pej9xvx8ZvLC9Dpi_vRro_aiG5g/edit?usp=sharing"",""อ่างทอง!I109"")"),1)</f>
        <v>1</v>
      </c>
      <c r="AJ73" s="196">
        <f ca="1">IFERROR(__xludf.DUMMYFUNCTION("IMPORTRANGE(""https://docs.google.com/spreadsheets/d/12Q_U0nVnFdxDFwa0pej9xvx8ZvLC9Dpi_vRro_aiG5g/edit?usp=sharing"",""อ่างทอง!J109"")"),0)</f>
        <v>0</v>
      </c>
      <c r="AK73" s="196">
        <f ca="1">IFERROR(__xludf.DUMMYFUNCTION("IMPORTRANGE(""https://docs.google.com/spreadsheets/d/12Q_U0nVnFdxDFwa0pej9xvx8ZvLC9Dpi_vRro_aiG5g/edit?usp=sharing"",""อ่างทอง!J110"")"),0)</f>
        <v>0</v>
      </c>
      <c r="AL73" s="192">
        <f ca="1">IFERROR(__xludf.DUMMYFUNCTION("IMPORTRANGE(""https://docs.google.com/spreadsheets/d/12Q_U0nVnFdxDFwa0pej9xvx8ZvLC9Dpi_vRro_aiG5g/edit?usp=sharing"",""อ่างทอง!I111"")"),0)</f>
        <v>0</v>
      </c>
      <c r="AM73" s="192">
        <f ca="1">IFERROR(__xludf.DUMMYFUNCTION("IMPORTRANGE(""https://docs.google.com/spreadsheets/d/12Q_U0nVnFdxDFwa0pej9xvx8ZvLC9Dpi_vRro_aiG5g/edit?usp=sharing"",""อ่างทอง!I112"")"),1)</f>
        <v>1</v>
      </c>
      <c r="AN73" s="196">
        <f ca="1">IFERROR(__xludf.DUMMYFUNCTION("IMPORTRANGE(""https://docs.google.com/spreadsheets/d/12Q_U0nVnFdxDFwa0pej9xvx8ZvLC9Dpi_vRro_aiG5g/edit?usp=sharing"",""อ่างทอง!J111"")"),0)</f>
        <v>0</v>
      </c>
      <c r="AO73" s="196">
        <f t="shared" ca="1" si="15"/>
        <v>0</v>
      </c>
      <c r="AP73" s="196">
        <f ca="1">IFERROR(__xludf.DUMMYFUNCTION("IMPORTRANGE(""https://docs.google.com/spreadsheets/d/12Q_U0nVnFdxDFwa0pej9xvx8ZvLC9Dpi_vRro_aiG5g/edit?usp=sharing"",""อ่างทอง!J112"")"),0)</f>
        <v>0</v>
      </c>
      <c r="AQ73" s="194">
        <f t="shared" ca="1" si="16"/>
        <v>0</v>
      </c>
      <c r="AR73" s="192">
        <f ca="1">IFERROR(__xludf.DUMMYFUNCTION("IMPORTRANGE(""https://docs.google.com/spreadsheets/d/12Q_U0nVnFdxDFwa0pej9xvx8ZvLC9Dpi_vRro_aiG5g/edit?usp=sharing"",""อ่างทอง!I113"")"),0)</f>
        <v>0</v>
      </c>
      <c r="AS73" s="192">
        <f ca="1">IFERROR(__xludf.DUMMYFUNCTION("IMPORTRANGE(""https://docs.google.com/spreadsheets/d/12Q_U0nVnFdxDFwa0pej9xvx8ZvLC9Dpi_vRro_aiG5g/edit?usp=sharing"",""อ่างทอง!J113"")"),0)</f>
        <v>0</v>
      </c>
      <c r="AT73" s="192">
        <f ca="1">IFERROR(__xludf.DUMMYFUNCTION("IMPORTRANGE(""https://docs.google.com/spreadsheets/d/12Q_U0nVnFdxDFwa0pej9xvx8ZvLC9Dpi_vRro_aiG5g/edit?usp=sharing"",""อ่างทอง!J114"")"),0)</f>
        <v>0</v>
      </c>
      <c r="AU73" s="192">
        <f ca="1">IFERROR(__xludf.DUMMYFUNCTION("IMPORTRANGE(""https://docs.google.com/spreadsheets/d/12Q_U0nVnFdxDFwa0pej9xvx8ZvLC9Dpi_vRro_aiG5g/edit?usp=sharing"",""อ่างทอง!I115"")"),0)</f>
        <v>0</v>
      </c>
      <c r="AV73" s="196">
        <f ca="1">IFERROR(__xludf.DUMMYFUNCTION("IMPORTRANGE(""https://docs.google.com/spreadsheets/d/12Q_U0nVnFdxDFwa0pej9xvx8ZvLC9Dpi_vRro_aiG5g/edit?usp=sharing"",""อ่างทอง!J115"")"),0)</f>
        <v>0</v>
      </c>
      <c r="AW73" s="194">
        <f t="shared" ca="1" si="18"/>
        <v>0</v>
      </c>
      <c r="AX73" s="192">
        <f ca="1">IFERROR(__xludf.DUMMYFUNCTION("IMPORTRANGE(""https://docs.google.com/spreadsheets/d/12Q_U0nVnFdxDFwa0pej9xvx8ZvLC9Dpi_vRro_aiG5g/edit?usp=sharing"",""อ่างทอง!I116"")"),1)</f>
        <v>1</v>
      </c>
      <c r="AY73" s="196">
        <f ca="1">IFERROR(__xludf.DUMMYFUNCTION("IMPORTRANGE(""https://docs.google.com/spreadsheets/d/12Q_U0nVnFdxDFwa0pej9xvx8ZvLC9Dpi_vRro_aiG5g/edit?usp=sharing"",""อ่างทอง!J116"")"),0)</f>
        <v>0</v>
      </c>
      <c r="AZ73" s="194">
        <f t="shared" ca="1" si="20"/>
        <v>0</v>
      </c>
    </row>
    <row r="74" spans="1:52" ht="21" customHeight="1" x14ac:dyDescent="0.3">
      <c r="A74" s="396" t="s">
        <v>96</v>
      </c>
      <c r="B74" s="397"/>
      <c r="C74" s="158">
        <f t="shared" ca="1" si="0"/>
        <v>2722980</v>
      </c>
      <c r="D74" s="158">
        <f t="shared" ref="D74:I74" ca="1" si="57">SUM(D75:D88)</f>
        <v>2722980</v>
      </c>
      <c r="E74" s="158">
        <f t="shared" ca="1" si="57"/>
        <v>1899800</v>
      </c>
      <c r="F74" s="158">
        <f t="shared" ca="1" si="57"/>
        <v>823180</v>
      </c>
      <c r="G74" s="158">
        <f t="shared" ca="1" si="57"/>
        <v>0</v>
      </c>
      <c r="H74" s="158">
        <f t="shared" ca="1" si="57"/>
        <v>1859580</v>
      </c>
      <c r="I74" s="158">
        <f t="shared" ca="1" si="57"/>
        <v>0</v>
      </c>
      <c r="J74" s="158">
        <f t="shared" ca="1" si="3"/>
        <v>874821.00000000012</v>
      </c>
      <c r="K74" s="159">
        <f t="shared" ca="1" si="4"/>
        <v>32.12733843068991</v>
      </c>
      <c r="L74" s="158">
        <f ca="1">SUM(L75:L88)</f>
        <v>874821.00000000012</v>
      </c>
      <c r="M74" s="160">
        <f t="shared" ca="1" si="5"/>
        <v>32.12733843068991</v>
      </c>
      <c r="N74" s="160">
        <f t="shared" ca="1" si="6"/>
        <v>47.044009937727886</v>
      </c>
      <c r="O74" s="161">
        <f ca="1">SUM(O75:O88)</f>
        <v>0</v>
      </c>
      <c r="P74" s="161">
        <f t="shared" ca="1" si="36"/>
        <v>0</v>
      </c>
      <c r="Q74" s="160">
        <f t="shared" ca="1" si="8"/>
        <v>0</v>
      </c>
      <c r="R74" s="158">
        <f t="shared" ref="R74:S74" ca="1" si="58">SUM(R75:R88)</f>
        <v>285</v>
      </c>
      <c r="S74" s="158">
        <f t="shared" ca="1" si="58"/>
        <v>135</v>
      </c>
      <c r="T74" s="158">
        <f t="shared" ca="1" si="10"/>
        <v>47.368421052631582</v>
      </c>
      <c r="U74" s="158">
        <f t="shared" ref="U74:W74" ca="1" si="59">SUM(U75:U88)</f>
        <v>95</v>
      </c>
      <c r="V74" s="158">
        <f t="shared" ca="1" si="59"/>
        <v>19</v>
      </c>
      <c r="W74" s="158">
        <f t="shared" ca="1" si="59"/>
        <v>75</v>
      </c>
      <c r="X74" s="160">
        <f t="shared" ca="1" si="12"/>
        <v>78.94736842105263</v>
      </c>
      <c r="Y74" s="161">
        <f ca="1">SUM(Y75:Y88)</f>
        <v>0</v>
      </c>
      <c r="Z74" s="160">
        <f t="shared" ca="1" si="13"/>
        <v>0</v>
      </c>
      <c r="AA74" s="158">
        <f t="shared" ref="AA74:AN74" ca="1" si="60">SUM(AA75:AA88)</f>
        <v>285</v>
      </c>
      <c r="AB74" s="158">
        <f t="shared" ca="1" si="60"/>
        <v>95</v>
      </c>
      <c r="AC74" s="158">
        <f t="shared" ca="1" si="60"/>
        <v>135</v>
      </c>
      <c r="AD74" s="158">
        <f t="shared" ca="1" si="60"/>
        <v>65</v>
      </c>
      <c r="AE74" s="158">
        <f t="shared" ca="1" si="60"/>
        <v>75</v>
      </c>
      <c r="AF74" s="158">
        <f t="shared" ca="1" si="60"/>
        <v>11</v>
      </c>
      <c r="AG74" s="158">
        <f t="shared" ca="1" si="60"/>
        <v>1</v>
      </c>
      <c r="AH74" s="158">
        <f t="shared" ca="1" si="60"/>
        <v>0</v>
      </c>
      <c r="AI74" s="158">
        <f t="shared" ca="1" si="60"/>
        <v>8</v>
      </c>
      <c r="AJ74" s="158">
        <f t="shared" ca="1" si="60"/>
        <v>1</v>
      </c>
      <c r="AK74" s="158">
        <f t="shared" ca="1" si="60"/>
        <v>0</v>
      </c>
      <c r="AL74" s="158">
        <f t="shared" ca="1" si="60"/>
        <v>95</v>
      </c>
      <c r="AM74" s="158">
        <f t="shared" ca="1" si="60"/>
        <v>19</v>
      </c>
      <c r="AN74" s="158">
        <f t="shared" ca="1" si="60"/>
        <v>10</v>
      </c>
      <c r="AO74" s="158">
        <f t="shared" ca="1" si="15"/>
        <v>10.526315789473685</v>
      </c>
      <c r="AP74" s="158">
        <f ca="1">SUM(AP75:AP88)</f>
        <v>0</v>
      </c>
      <c r="AQ74" s="160">
        <f t="shared" ca="1" si="16"/>
        <v>0</v>
      </c>
      <c r="AR74" s="158">
        <f t="shared" ref="AR74:AV74" ca="1" si="61">SUM(AR75:AR88)</f>
        <v>95</v>
      </c>
      <c r="AS74" s="158">
        <f t="shared" ca="1" si="61"/>
        <v>10</v>
      </c>
      <c r="AT74" s="158">
        <f t="shared" ca="1" si="61"/>
        <v>10</v>
      </c>
      <c r="AU74" s="158">
        <f t="shared" ca="1" si="61"/>
        <v>11</v>
      </c>
      <c r="AV74" s="158">
        <f t="shared" ca="1" si="61"/>
        <v>0</v>
      </c>
      <c r="AW74" s="160">
        <f t="shared" ca="1" si="18"/>
        <v>0</v>
      </c>
      <c r="AX74" s="158">
        <f t="shared" ref="AX74:AY74" ca="1" si="62">SUM(AX75:AX88)</f>
        <v>8</v>
      </c>
      <c r="AY74" s="158">
        <f t="shared" ca="1" si="62"/>
        <v>0</v>
      </c>
      <c r="AZ74" s="160">
        <f t="shared" ca="1" si="20"/>
        <v>0</v>
      </c>
    </row>
    <row r="75" spans="1:52" ht="21" customHeight="1" x14ac:dyDescent="0.3">
      <c r="A75" s="176">
        <v>1</v>
      </c>
      <c r="B75" s="177" t="s">
        <v>97</v>
      </c>
      <c r="C75" s="178">
        <f t="shared" ca="1" si="0"/>
        <v>85840</v>
      </c>
      <c r="D75" s="179">
        <f t="shared" ref="D75:D88" ca="1" si="63">+E75+F75</f>
        <v>85840</v>
      </c>
      <c r="E75" s="180">
        <f ca="1">IFERROR(__xludf.DUMMYFUNCTION("IMPORTRANGE(""https://docs.google.com/spreadsheets/d/1MeEWN-I1oV_STSDYn1IFDPWt_1FKiwhDph83XaGc0o0/edit?usp=sharing"",""งบพรบ!AR75"")"),0)</f>
        <v>0</v>
      </c>
      <c r="F75" s="180">
        <f ca="1">IFERROR(__xludf.DUMMYFUNCTION("IMPORTRANGE(""https://docs.google.com/spreadsheets/d/1MeEWN-I1oV_STSDYn1IFDPWt_1FKiwhDph83XaGc0o0/edit?usp=sharing"",""งบพรบ!AS75"")"),85840)</f>
        <v>85840</v>
      </c>
      <c r="G75" s="180">
        <f ca="1">IFERROR(__xludf.DUMMYFUNCTION("IMPORTRANGE(""https://docs.google.com/spreadsheets/d/1MeEWN-I1oV_STSDYn1IFDPWt_1FKiwhDph83XaGc0o0/edit?usp=sharing"",""งบพรบ!AT75"")"),0)</f>
        <v>0</v>
      </c>
      <c r="H75" s="180">
        <f ca="1">IFERROR(__xludf.DUMMYFUNCTION("IMPORTRANGE(""https://docs.google.com/spreadsheets/d/1MeEWN-I1oV_STSDYn1IFDPWt_1FKiwhDph83XaGc0o0/edit?usp=sharing"",""งบพรบ!AV75"")"),23640)</f>
        <v>23640</v>
      </c>
      <c r="I75" s="180">
        <f ca="1">IFERROR(__xludf.DUMMYFUNCTION("IMPORTRANGE(""https://docs.google.com/spreadsheets/d/1MeEWN-I1oV_STSDYn1IFDPWt_1FKiwhDph83XaGc0o0/edit?usp=sharing"",""งบพรบ!AW75"")"),0)</f>
        <v>0</v>
      </c>
      <c r="J75" s="180">
        <f t="shared" ca="1" si="3"/>
        <v>19903</v>
      </c>
      <c r="K75" s="187">
        <f t="shared" ca="1" si="4"/>
        <v>23.186160298229264</v>
      </c>
      <c r="L75" s="180">
        <f ca="1">IFERROR(__xludf.DUMMYFUNCTION("IMPORTRANGE(""https://docs.google.com/spreadsheets/d/1MeEWN-I1oV_STSDYn1IFDPWt_1FKiwhDph83XaGc0o0/edit?usp=sharing"",""งบพรบ!AX75"")"),19903)</f>
        <v>19903</v>
      </c>
      <c r="M75" s="183">
        <f t="shared" ca="1" si="5"/>
        <v>23.186160298229264</v>
      </c>
      <c r="N75" s="183">
        <f t="shared" ca="1" si="6"/>
        <v>84.19204737732656</v>
      </c>
      <c r="O75" s="184">
        <f ca="1">IFERROR(__xludf.DUMMYFUNCTION("IMPORTRANGE(""https://docs.google.com/spreadsheets/d/1MeEWN-I1oV_STSDYn1IFDPWt_1FKiwhDph83XaGc0o0/edit?usp=sharing"",""งบพรบ!AY75"")"),0)</f>
        <v>0</v>
      </c>
      <c r="P75" s="184">
        <f t="shared" ca="1" si="36"/>
        <v>0</v>
      </c>
      <c r="Q75" s="183">
        <f t="shared" ca="1" si="8"/>
        <v>0</v>
      </c>
      <c r="R75" s="181">
        <f ca="1">IFERROR(__xludf.DUMMYFUNCTION("IMPORTRANGE(""https://docs.google.com/spreadsheets/d/1kC41EOXpGBFOW658Fs3oD8beYlym0-zO54WY-2Qnp9I/edit?usp=sharing"",""กระบี่!I98"")"),30)</f>
        <v>30</v>
      </c>
      <c r="S75" s="181">
        <f ca="1">IFERROR(__xludf.DUMMYFUNCTION("IMPORTRANGE(""https://docs.google.com/spreadsheets/d/1kC41EOXpGBFOW658Fs3oD8beYlym0-zO54WY-2Qnp9I/edit?usp=sharing"",""กระบี่!J98"")"),0)</f>
        <v>0</v>
      </c>
      <c r="T75" s="181">
        <f t="shared" ca="1" si="10"/>
        <v>0</v>
      </c>
      <c r="U75" s="181">
        <f ca="1">IFERROR(__xludf.DUMMYFUNCTION("IMPORTRANGE(""https://docs.google.com/spreadsheets/d/1kC41EOXpGBFOW658Fs3oD8beYlym0-zO54WY-2Qnp9I/edit?usp=sharing"",""กระบี่!I99"")"),10)</f>
        <v>10</v>
      </c>
      <c r="V75" s="181">
        <f ca="1">IFERROR(__xludf.DUMMYFUNCTION("IMPORTRANGE(""https://docs.google.com/spreadsheets/d/1kC41EOXpGBFOW658Fs3oD8beYlym0-zO54WY-2Qnp9I/edit?usp=sharing"",""กระบี่!I100"")"),2)</f>
        <v>2</v>
      </c>
      <c r="W75" s="181">
        <f ca="1">IFERROR(__xludf.DUMMYFUNCTION("IMPORTRANGE(""https://docs.google.com/spreadsheets/d/1kC41EOXpGBFOW658Fs3oD8beYlym0-zO54WY-2Qnp9I/edit?usp=sharing"",""กระบี่!J99"")"),10)</f>
        <v>10</v>
      </c>
      <c r="X75" s="185">
        <f t="shared" ca="1" si="12"/>
        <v>100</v>
      </c>
      <c r="Y75" s="186">
        <f ca="1">IFERROR(__xludf.DUMMYFUNCTION("IMPORTRANGE(""https://docs.google.com/spreadsheets/d/1kC41EOXpGBFOW658Fs3oD8beYlym0-zO54WY-2Qnp9I/edit?usp=sharing"",""กระบี่!J100"")"),0)</f>
        <v>0</v>
      </c>
      <c r="Z75" s="185">
        <f t="shared" ca="1" si="13"/>
        <v>0</v>
      </c>
      <c r="AA75" s="180">
        <f ca="1">IFERROR(__xludf.DUMMYFUNCTION("IMPORTRANGE(""https://docs.google.com/spreadsheets/d/1kC41EOXpGBFOW658Fs3oD8beYlym0-zO54WY-2Qnp9I/edit?usp=sharing"",""กระบี่!I102"")"),30)</f>
        <v>30</v>
      </c>
      <c r="AB75" s="180">
        <f ca="1">IFERROR(__xludf.DUMMYFUNCTION("IMPORTRANGE(""https://docs.google.com/spreadsheets/d/1kC41EOXpGBFOW658Fs3oD8beYlym0-zO54WY-2Qnp9I/edit?usp=sharing"",""กระบี่!I103"")"),10)</f>
        <v>10</v>
      </c>
      <c r="AC75" s="181">
        <f ca="1">IFERROR(__xludf.DUMMYFUNCTION("IMPORTRANGE(""https://docs.google.com/spreadsheets/d/1kC41EOXpGBFOW658Fs3oD8beYlym0-zO54WY-2Qnp9I/edit?usp=sharing"",""กระบี่!J102"")"),0)</f>
        <v>0</v>
      </c>
      <c r="AD75" s="181">
        <f ca="1">IFERROR(__xludf.DUMMYFUNCTION("IMPORTRANGE(""https://docs.google.com/spreadsheets/d/1kC41EOXpGBFOW658Fs3oD8beYlym0-zO54WY-2Qnp9I/edit?usp=sharing"",""กระบี่!J103"")"),0)</f>
        <v>0</v>
      </c>
      <c r="AE75" s="181">
        <f ca="1">IFERROR(__xludf.DUMMYFUNCTION("IMPORTRANGE(""https://docs.google.com/spreadsheets/d/1kC41EOXpGBFOW658Fs3oD8beYlym0-zO54WY-2Qnp9I/edit?usp=sharing"",""กระบี่!J104"")"),10)</f>
        <v>10</v>
      </c>
      <c r="AF75" s="180">
        <f ca="1">IFERROR(__xludf.DUMMYFUNCTION("IMPORTRANGE(""https://docs.google.com/spreadsheets/d/1kC41EOXpGBFOW658Fs3oD8beYlym0-zO54WY-2Qnp9I/edit?usp=sharing"",""กระบี่!I106"")"),1)</f>
        <v>1</v>
      </c>
      <c r="AG75" s="181">
        <f ca="1">IFERROR(__xludf.DUMMYFUNCTION("IMPORTRANGE(""https://docs.google.com/spreadsheets/d/1kC41EOXpGBFOW658Fs3oD8beYlym0-zO54WY-2Qnp9I/edit?usp=sharing"",""กระบี่!J106"")"),0)</f>
        <v>0</v>
      </c>
      <c r="AH75" s="181">
        <f ca="1">IFERROR(__xludf.DUMMYFUNCTION("IMPORTRANGE(""https://docs.google.com/spreadsheets/d/1kC41EOXpGBFOW658Fs3oD8beYlym0-zO54WY-2Qnp9I/edit?usp=sharing"",""กระบี่!J107"")"),0)</f>
        <v>0</v>
      </c>
      <c r="AI75" s="180">
        <f ca="1">IFERROR(__xludf.DUMMYFUNCTION("IMPORTRANGE(""https://docs.google.com/spreadsheets/d/1kC41EOXpGBFOW658Fs3oD8beYlym0-zO54WY-2Qnp9I/edit?usp=sharing"",""กระบี่!I109"")"),1)</f>
        <v>1</v>
      </c>
      <c r="AJ75" s="181">
        <f ca="1">IFERROR(__xludf.DUMMYFUNCTION("IMPORTRANGE(""https://docs.google.com/spreadsheets/d/1kC41EOXpGBFOW658Fs3oD8beYlym0-zO54WY-2Qnp9I/edit?usp=sharing"",""กระบี่!J109"")"),0)</f>
        <v>0</v>
      </c>
      <c r="AK75" s="181">
        <f ca="1">IFERROR(__xludf.DUMMYFUNCTION("IMPORTRANGE(""https://docs.google.com/spreadsheets/d/1kC41EOXpGBFOW658Fs3oD8beYlym0-zO54WY-2Qnp9I/edit?usp=sharing"",""กระบี่!J110"")"),0)</f>
        <v>0</v>
      </c>
      <c r="AL75" s="180">
        <f ca="1">IFERROR(__xludf.DUMMYFUNCTION("IMPORTRANGE(""https://docs.google.com/spreadsheets/d/1kC41EOXpGBFOW658Fs3oD8beYlym0-zO54WY-2Qnp9I/edit?usp=sharing"",""กระบี่!I111"")"),10)</f>
        <v>10</v>
      </c>
      <c r="AM75" s="180">
        <f ca="1">IFERROR(__xludf.DUMMYFUNCTION("IMPORTRANGE(""https://docs.google.com/spreadsheets/d/1kC41EOXpGBFOW658Fs3oD8beYlym0-zO54WY-2Qnp9I/edit?usp=sharing"",""กระบี่!I112"")"),2)</f>
        <v>2</v>
      </c>
      <c r="AN75" s="181">
        <f ca="1">IFERROR(__xludf.DUMMYFUNCTION("IMPORTRANGE(""https://docs.google.com/spreadsheets/d/1kC41EOXpGBFOW658Fs3oD8beYlym0-zO54WY-2Qnp9I/edit?usp=sharing"",""กระบี่!J111"")"),0)</f>
        <v>0</v>
      </c>
      <c r="AO75" s="181">
        <f t="shared" ca="1" si="15"/>
        <v>0</v>
      </c>
      <c r="AP75" s="181">
        <f ca="1">IFERROR(__xludf.DUMMYFUNCTION("IMPORTRANGE(""https://docs.google.com/spreadsheets/d/1kC41EOXpGBFOW658Fs3oD8beYlym0-zO54WY-2Qnp9I/edit?usp=sharing"",""กระบี่!J112"")"),0)</f>
        <v>0</v>
      </c>
      <c r="AQ75" s="183">
        <f t="shared" ca="1" si="16"/>
        <v>0</v>
      </c>
      <c r="AR75" s="180">
        <f ca="1">IFERROR(__xludf.DUMMYFUNCTION("IMPORTRANGE(""https://docs.google.com/spreadsheets/d/1kC41EOXpGBFOW658Fs3oD8beYlym0-zO54WY-2Qnp9I/edit?usp=sharing"",""กระบี่!I113"")"),10)</f>
        <v>10</v>
      </c>
      <c r="AS75" s="180">
        <f ca="1">IFERROR(__xludf.DUMMYFUNCTION("IMPORTRANGE(""https://docs.google.com/spreadsheets/d/1kC41EOXpGBFOW658Fs3oD8beYlym0-zO54WY-2Qnp9I/edit?usp=sharing"",""กระบี่!J113"")"),0)</f>
        <v>0</v>
      </c>
      <c r="AT75" s="180">
        <f ca="1">IFERROR(__xludf.DUMMYFUNCTION("IMPORTRANGE(""https://docs.google.com/spreadsheets/d/1kC41EOXpGBFOW658Fs3oD8beYlym0-zO54WY-2Qnp9I/edit?usp=sharing"",""กระบี่!J114"")"),0)</f>
        <v>0</v>
      </c>
      <c r="AU75" s="180">
        <f ca="1">IFERROR(__xludf.DUMMYFUNCTION("IMPORTRANGE(""https://docs.google.com/spreadsheets/d/1kC41EOXpGBFOW658Fs3oD8beYlym0-zO54WY-2Qnp9I/edit?usp=sharing"",""กระบี่!I115"")"),1)</f>
        <v>1</v>
      </c>
      <c r="AV75" s="181">
        <f ca="1">IFERROR(__xludf.DUMMYFUNCTION("IMPORTRANGE(""https://docs.google.com/spreadsheets/d/1kC41EOXpGBFOW658Fs3oD8beYlym0-zO54WY-2Qnp9I/edit?usp=sharing"",""กระบี่!J115"")"),0)</f>
        <v>0</v>
      </c>
      <c r="AW75" s="183">
        <f t="shared" ca="1" si="18"/>
        <v>0</v>
      </c>
      <c r="AX75" s="180">
        <f ca="1">IFERROR(__xludf.DUMMYFUNCTION("IMPORTRANGE(""https://docs.google.com/spreadsheets/d/1kC41EOXpGBFOW658Fs3oD8beYlym0-zO54WY-2Qnp9I/edit?usp=sharing"",""กระบี่!I116"")"),1)</f>
        <v>1</v>
      </c>
      <c r="AY75" s="181">
        <f ca="1">IFERROR(__xludf.DUMMYFUNCTION("IMPORTRANGE(""https://docs.google.com/spreadsheets/d/1kC41EOXpGBFOW658Fs3oD8beYlym0-zO54WY-2Qnp9I/edit?usp=sharing"",""กระบี่!J116"")"),0)</f>
        <v>0</v>
      </c>
      <c r="AZ75" s="183">
        <f t="shared" ca="1" si="20"/>
        <v>0</v>
      </c>
    </row>
    <row r="76" spans="1:52" ht="21" customHeight="1" x14ac:dyDescent="0.3">
      <c r="A76" s="176">
        <v>2</v>
      </c>
      <c r="B76" s="177" t="s">
        <v>98</v>
      </c>
      <c r="C76" s="178">
        <f t="shared" ca="1" si="0"/>
        <v>31200</v>
      </c>
      <c r="D76" s="179">
        <f t="shared" ca="1" si="63"/>
        <v>31200</v>
      </c>
      <c r="E76" s="180">
        <f ca="1">IFERROR(__xludf.DUMMYFUNCTION("IMPORTRANGE(""https://docs.google.com/spreadsheets/d/1MeEWN-I1oV_STSDYn1IFDPWt_1FKiwhDph83XaGc0o0/edit?usp=sharing"",""งบพรบ!AR76"")"),0)</f>
        <v>0</v>
      </c>
      <c r="F76" s="180">
        <f ca="1">IFERROR(__xludf.DUMMYFUNCTION("IMPORTRANGE(""https://docs.google.com/spreadsheets/d/1MeEWN-I1oV_STSDYn1IFDPWt_1FKiwhDph83XaGc0o0/edit?usp=sharing"",""งบพรบ!AS76"")"),31200)</f>
        <v>31200</v>
      </c>
      <c r="G76" s="180">
        <f ca="1">IFERROR(__xludf.DUMMYFUNCTION("IMPORTRANGE(""https://docs.google.com/spreadsheets/d/1MeEWN-I1oV_STSDYn1IFDPWt_1FKiwhDph83XaGc0o0/edit?usp=sharing"",""งบพรบ!AT76"")"),0)</f>
        <v>0</v>
      </c>
      <c r="H76" s="180">
        <f ca="1">IFERROR(__xludf.DUMMYFUNCTION("IMPORTRANGE(""https://docs.google.com/spreadsheets/d/1MeEWN-I1oV_STSDYn1IFDPWt_1FKiwhDph83XaGc0o0/edit?usp=sharing"",""งบพรบ!AV76"")"),29350)</f>
        <v>29350</v>
      </c>
      <c r="I76" s="180">
        <f ca="1">IFERROR(__xludf.DUMMYFUNCTION("IMPORTRANGE(""https://docs.google.com/spreadsheets/d/1MeEWN-I1oV_STSDYn1IFDPWt_1FKiwhDph83XaGc0o0/edit?usp=sharing"",""งบพรบ!AW76"")"),0)</f>
        <v>0</v>
      </c>
      <c r="J76" s="180">
        <f t="shared" ca="1" si="3"/>
        <v>26285</v>
      </c>
      <c r="K76" s="187">
        <f t="shared" ca="1" si="4"/>
        <v>84.246794871794876</v>
      </c>
      <c r="L76" s="180">
        <f ca="1">IFERROR(__xludf.DUMMYFUNCTION("IMPORTRANGE(""https://docs.google.com/spreadsheets/d/1MeEWN-I1oV_STSDYn1IFDPWt_1FKiwhDph83XaGc0o0/edit?usp=sharing"",""งบพรบ!AX76"")"),26285)</f>
        <v>26285</v>
      </c>
      <c r="M76" s="183">
        <f t="shared" ca="1" si="5"/>
        <v>84.246794871794876</v>
      </c>
      <c r="N76" s="183">
        <f t="shared" ca="1" si="6"/>
        <v>89.557069846678019</v>
      </c>
      <c r="O76" s="184">
        <f ca="1">IFERROR(__xludf.DUMMYFUNCTION("IMPORTRANGE(""https://docs.google.com/spreadsheets/d/1MeEWN-I1oV_STSDYn1IFDPWt_1FKiwhDph83XaGc0o0/edit?usp=sharing"",""งบพรบ!AY76"")"),0)</f>
        <v>0</v>
      </c>
      <c r="P76" s="184">
        <f t="shared" ca="1" si="36"/>
        <v>0</v>
      </c>
      <c r="Q76" s="183">
        <f t="shared" ca="1" si="8"/>
        <v>0</v>
      </c>
      <c r="R76" s="181">
        <f ca="1">IFERROR(__xludf.DUMMYFUNCTION("IMPORTRANGE(""https://docs.google.com/spreadsheets/d/1FbzMZY_f3MDiEuK7RpCQKrilJ_kpX0Wm7QBZ1L7EjIU/edit?usp=sharing"",""ชุมพร!I98"")"),0)</f>
        <v>0</v>
      </c>
      <c r="S76" s="181">
        <f ca="1">IFERROR(__xludf.DUMMYFUNCTION("IMPORTRANGE(""https://docs.google.com/spreadsheets/d/1FbzMZY_f3MDiEuK7RpCQKrilJ_kpX0Wm7QBZ1L7EjIU/edit?usp=sharing"",""ชุมพร!J98"")"),0)</f>
        <v>0</v>
      </c>
      <c r="T76" s="181">
        <f t="shared" ca="1" si="10"/>
        <v>0</v>
      </c>
      <c r="U76" s="181">
        <f ca="1">IFERROR(__xludf.DUMMYFUNCTION("IMPORTRANGE(""https://docs.google.com/spreadsheets/d/1FbzMZY_f3MDiEuK7RpCQKrilJ_kpX0Wm7QBZ1L7EjIU/edit?usp=sharing"",""ชุมพร!I99"")"),0)</f>
        <v>0</v>
      </c>
      <c r="V76" s="181">
        <f ca="1">IFERROR(__xludf.DUMMYFUNCTION("IMPORTRANGE(""https://docs.google.com/spreadsheets/d/1FbzMZY_f3MDiEuK7RpCQKrilJ_kpX0Wm7QBZ1L7EjIU/edit?usp=sharing"",""ชุมพร!I100"")"),1)</f>
        <v>1</v>
      </c>
      <c r="W76" s="181">
        <f ca="1">IFERROR(__xludf.DUMMYFUNCTION("IMPORTRANGE(""https://docs.google.com/spreadsheets/d/1FbzMZY_f3MDiEuK7RpCQKrilJ_kpX0Wm7QBZ1L7EjIU/edit?usp=sharing"",""ชุมพร!J99"")"),0)</f>
        <v>0</v>
      </c>
      <c r="X76" s="185">
        <f t="shared" ca="1" si="12"/>
        <v>0</v>
      </c>
      <c r="Y76" s="186">
        <f ca="1">IFERROR(__xludf.DUMMYFUNCTION("IMPORTRANGE(""https://docs.google.com/spreadsheets/d/1FbzMZY_f3MDiEuK7RpCQKrilJ_kpX0Wm7QBZ1L7EjIU/edit?usp=sharing"",""ชุมพร!J100"")"),0)</f>
        <v>0</v>
      </c>
      <c r="Z76" s="185">
        <f t="shared" ca="1" si="13"/>
        <v>0</v>
      </c>
      <c r="AA76" s="180">
        <f ca="1">IFERROR(__xludf.DUMMYFUNCTION("IMPORTRANGE(""https://docs.google.com/spreadsheets/d/1FbzMZY_f3MDiEuK7RpCQKrilJ_kpX0Wm7QBZ1L7EjIU/edit?usp=sharing"",""ชุมพร!I102"")"),0)</f>
        <v>0</v>
      </c>
      <c r="AB76" s="180">
        <f ca="1">IFERROR(__xludf.DUMMYFUNCTION("IMPORTRANGE(""https://docs.google.com/spreadsheets/d/1FbzMZY_f3MDiEuK7RpCQKrilJ_kpX0Wm7QBZ1L7EjIU/edit?usp=sharing"",""ชุมพร!I103"")"),0)</f>
        <v>0</v>
      </c>
      <c r="AC76" s="181">
        <f ca="1">IFERROR(__xludf.DUMMYFUNCTION("IMPORTRANGE(""https://docs.google.com/spreadsheets/d/1FbzMZY_f3MDiEuK7RpCQKrilJ_kpX0Wm7QBZ1L7EjIU/edit?usp=sharing"",""ชุมพร!J102"")"),0)</f>
        <v>0</v>
      </c>
      <c r="AD76" s="181">
        <f ca="1">IFERROR(__xludf.DUMMYFUNCTION("IMPORTRANGE(""https://docs.google.com/spreadsheets/d/1FbzMZY_f3MDiEuK7RpCQKrilJ_kpX0Wm7QBZ1L7EjIU/edit?usp=sharing"",""ชุมพร!J103"")"),0)</f>
        <v>0</v>
      </c>
      <c r="AE76" s="181">
        <f ca="1">IFERROR(__xludf.DUMMYFUNCTION("IMPORTRANGE(""https://docs.google.com/spreadsheets/d/1FbzMZY_f3MDiEuK7RpCQKrilJ_kpX0Wm7QBZ1L7EjIU/edit?usp=sharing"",""ชุมพร!J104"")"),0)</f>
        <v>0</v>
      </c>
      <c r="AF76" s="180">
        <f ca="1">IFERROR(__xludf.DUMMYFUNCTION("IMPORTRANGE(""https://docs.google.com/spreadsheets/d/1FbzMZY_f3MDiEuK7RpCQKrilJ_kpX0Wm7QBZ1L7EjIU/edit?usp=sharing"",""ชุมพร!I106"")"),1)</f>
        <v>1</v>
      </c>
      <c r="AG76" s="181">
        <f ca="1">IFERROR(__xludf.DUMMYFUNCTION("IMPORTRANGE(""https://docs.google.com/spreadsheets/d/1FbzMZY_f3MDiEuK7RpCQKrilJ_kpX0Wm7QBZ1L7EjIU/edit?usp=sharing"",""ชุมพร!J106"")"),1)</f>
        <v>1</v>
      </c>
      <c r="AH76" s="181">
        <f ca="1">IFERROR(__xludf.DUMMYFUNCTION("IMPORTRANGE(""https://docs.google.com/spreadsheets/d/1FbzMZY_f3MDiEuK7RpCQKrilJ_kpX0Wm7QBZ1L7EjIU/edit?usp=sharing"",""ชุมพร!J107"")"),0)</f>
        <v>0</v>
      </c>
      <c r="AI76" s="180">
        <f ca="1">IFERROR(__xludf.DUMMYFUNCTION("IMPORTRANGE(""https://docs.google.com/spreadsheets/d/1FbzMZY_f3MDiEuK7RpCQKrilJ_kpX0Wm7QBZ1L7EjIU/edit?usp=sharing"",""ชุมพร!I109"")"),0)</f>
        <v>0</v>
      </c>
      <c r="AJ76" s="181">
        <f ca="1">IFERROR(__xludf.DUMMYFUNCTION("IMPORTRANGE(""https://docs.google.com/spreadsheets/d/1FbzMZY_f3MDiEuK7RpCQKrilJ_kpX0Wm7QBZ1L7EjIU/edit?usp=sharing"",""ชุมพร!J109"")"),0)</f>
        <v>0</v>
      </c>
      <c r="AK76" s="181">
        <f ca="1">IFERROR(__xludf.DUMMYFUNCTION("IMPORTRANGE(""https://docs.google.com/spreadsheets/d/1FbzMZY_f3MDiEuK7RpCQKrilJ_kpX0Wm7QBZ1L7EjIU/edit?usp=sharing"",""ชุมพร!J110"")"),0)</f>
        <v>0</v>
      </c>
      <c r="AL76" s="180">
        <f ca="1">IFERROR(__xludf.DUMMYFUNCTION("IMPORTRANGE(""https://docs.google.com/spreadsheets/d/1FbzMZY_f3MDiEuK7RpCQKrilJ_kpX0Wm7QBZ1L7EjIU/edit?usp=sharing"",""ชุมพร!I111"")"),0)</f>
        <v>0</v>
      </c>
      <c r="AM76" s="180">
        <f ca="1">IFERROR(__xludf.DUMMYFUNCTION("IMPORTRANGE(""https://docs.google.com/spreadsheets/d/1FbzMZY_f3MDiEuK7RpCQKrilJ_kpX0Wm7QBZ1L7EjIU/edit?usp=sharing"",""ชุมพร!I112"")"),1)</f>
        <v>1</v>
      </c>
      <c r="AN76" s="181">
        <f ca="1">IFERROR(__xludf.DUMMYFUNCTION("IMPORTRANGE(""https://docs.google.com/spreadsheets/d/1FbzMZY_f3MDiEuK7RpCQKrilJ_kpX0Wm7QBZ1L7EjIU/edit?usp=sharing"",""ชุมพร!J111"")"),0)</f>
        <v>0</v>
      </c>
      <c r="AO76" s="181">
        <f t="shared" ca="1" si="15"/>
        <v>0</v>
      </c>
      <c r="AP76" s="181">
        <f ca="1">IFERROR(__xludf.DUMMYFUNCTION("IMPORTRANGE(""https://docs.google.com/spreadsheets/d/1FbzMZY_f3MDiEuK7RpCQKrilJ_kpX0Wm7QBZ1L7EjIU/edit?usp=sharing"",""ชุมพร!J112"")"),0)</f>
        <v>0</v>
      </c>
      <c r="AQ76" s="183">
        <f t="shared" ca="1" si="16"/>
        <v>0</v>
      </c>
      <c r="AR76" s="180">
        <f ca="1">IFERROR(__xludf.DUMMYFUNCTION("IMPORTRANGE(""https://docs.google.com/spreadsheets/d/1FbzMZY_f3MDiEuK7RpCQKrilJ_kpX0Wm7QBZ1L7EjIU/edit?usp=sharing"",""ชุมพร!I113"")"),0)</f>
        <v>0</v>
      </c>
      <c r="AS76" s="180">
        <f ca="1">IFERROR(__xludf.DUMMYFUNCTION("IMPORTRANGE(""https://docs.google.com/spreadsheets/d/1FbzMZY_f3MDiEuK7RpCQKrilJ_kpX0Wm7QBZ1L7EjIU/edit?usp=sharing"",""ชุมพร!J113"")"),0)</f>
        <v>0</v>
      </c>
      <c r="AT76" s="180">
        <f ca="1">IFERROR(__xludf.DUMMYFUNCTION("IMPORTRANGE(""https://docs.google.com/spreadsheets/d/1FbzMZY_f3MDiEuK7RpCQKrilJ_kpX0Wm7QBZ1L7EjIU/edit?usp=sharing"",""ชุมพร!J114"")"),0)</f>
        <v>0</v>
      </c>
      <c r="AU76" s="180">
        <f ca="1">IFERROR(__xludf.DUMMYFUNCTION("IMPORTRANGE(""https://docs.google.com/spreadsheets/d/1FbzMZY_f3MDiEuK7RpCQKrilJ_kpX0Wm7QBZ1L7EjIU/edit?usp=sharing"",""ชุมพร!I115"")"),1)</f>
        <v>1</v>
      </c>
      <c r="AV76" s="181">
        <f ca="1">IFERROR(__xludf.DUMMYFUNCTION("IMPORTRANGE(""https://docs.google.com/spreadsheets/d/1FbzMZY_f3MDiEuK7RpCQKrilJ_kpX0Wm7QBZ1L7EjIU/edit?usp=sharing"",""ชุมพร!J115"")"),0)</f>
        <v>0</v>
      </c>
      <c r="AW76" s="183">
        <f t="shared" ca="1" si="18"/>
        <v>0</v>
      </c>
      <c r="AX76" s="180">
        <f ca="1">IFERROR(__xludf.DUMMYFUNCTION("IMPORTRANGE(""https://docs.google.com/spreadsheets/d/1FbzMZY_f3MDiEuK7RpCQKrilJ_kpX0Wm7QBZ1L7EjIU/edit?usp=sharing"",""ชุมพร!I116"")"),0)</f>
        <v>0</v>
      </c>
      <c r="AY76" s="181">
        <f ca="1">IFERROR(__xludf.DUMMYFUNCTION("IMPORTRANGE(""https://docs.google.com/spreadsheets/d/1FbzMZY_f3MDiEuK7RpCQKrilJ_kpX0Wm7QBZ1L7EjIU/edit?usp=sharing"",""ชุมพร!J116"")"),0)</f>
        <v>0</v>
      </c>
      <c r="AZ76" s="183">
        <f t="shared" ca="1" si="20"/>
        <v>0</v>
      </c>
    </row>
    <row r="77" spans="1:52" ht="21" customHeight="1" x14ac:dyDescent="0.3">
      <c r="A77" s="176">
        <v>3</v>
      </c>
      <c r="B77" s="177" t="s">
        <v>99</v>
      </c>
      <c r="C77" s="178">
        <f t="shared" ca="1" si="0"/>
        <v>203800</v>
      </c>
      <c r="D77" s="179">
        <f t="shared" ca="1" si="63"/>
        <v>203800</v>
      </c>
      <c r="E77" s="180">
        <f ca="1">IFERROR(__xludf.DUMMYFUNCTION("IMPORTRANGE(""https://docs.google.com/spreadsheets/d/1MeEWN-I1oV_STSDYn1IFDPWt_1FKiwhDph83XaGc0o0/edit?usp=sharing"",""งบพรบ!AR77"")"),143000)</f>
        <v>143000</v>
      </c>
      <c r="F77" s="180">
        <f ca="1">IFERROR(__xludf.DUMMYFUNCTION("IMPORTRANGE(""https://docs.google.com/spreadsheets/d/1MeEWN-I1oV_STSDYn1IFDPWt_1FKiwhDph83XaGc0o0/edit?usp=sharing"",""งบพรบ!AS77"")"),60800)</f>
        <v>60800</v>
      </c>
      <c r="G77" s="180">
        <f ca="1">IFERROR(__xludf.DUMMYFUNCTION("IMPORTRANGE(""https://docs.google.com/spreadsheets/d/1MeEWN-I1oV_STSDYn1IFDPWt_1FKiwhDph83XaGc0o0/edit?usp=sharing"",""งบพรบ!AT77"")"),0)</f>
        <v>0</v>
      </c>
      <c r="H77" s="180">
        <f ca="1">IFERROR(__xludf.DUMMYFUNCTION("IMPORTRANGE(""https://docs.google.com/spreadsheets/d/1MeEWN-I1oV_STSDYn1IFDPWt_1FKiwhDph83XaGc0o0/edit?usp=sharing"",""งบพรบ!AV77"")"),133350)</f>
        <v>133350</v>
      </c>
      <c r="I77" s="180">
        <f ca="1">IFERROR(__xludf.DUMMYFUNCTION("IMPORTRANGE(""https://docs.google.com/spreadsheets/d/1MeEWN-I1oV_STSDYn1IFDPWt_1FKiwhDph83XaGc0o0/edit?usp=sharing"",""งบพรบ!AW77"")"),0)</f>
        <v>0</v>
      </c>
      <c r="J77" s="180">
        <f t="shared" ca="1" si="3"/>
        <v>75698.490000000005</v>
      </c>
      <c r="K77" s="187">
        <f t="shared" ca="1" si="4"/>
        <v>37.143518155053982</v>
      </c>
      <c r="L77" s="180">
        <f ca="1">IFERROR(__xludf.DUMMYFUNCTION("IMPORTRANGE(""https://docs.google.com/spreadsheets/d/1MeEWN-I1oV_STSDYn1IFDPWt_1FKiwhDph83XaGc0o0/edit?usp=sharing"",""งบพรบ!AX77"")"),75698.49)</f>
        <v>75698.490000000005</v>
      </c>
      <c r="M77" s="183">
        <f t="shared" ca="1" si="5"/>
        <v>37.143518155053982</v>
      </c>
      <c r="N77" s="183">
        <f t="shared" ca="1" si="6"/>
        <v>56.766771653543316</v>
      </c>
      <c r="O77" s="184">
        <f ca="1">IFERROR(__xludf.DUMMYFUNCTION("IMPORTRANGE(""https://docs.google.com/spreadsheets/d/1MeEWN-I1oV_STSDYn1IFDPWt_1FKiwhDph83XaGc0o0/edit?usp=sharing"",""งบพรบ!AY77"")"),0)</f>
        <v>0</v>
      </c>
      <c r="P77" s="184">
        <f t="shared" ca="1" si="36"/>
        <v>0</v>
      </c>
      <c r="Q77" s="183">
        <f t="shared" ca="1" si="8"/>
        <v>0</v>
      </c>
      <c r="R77" s="181">
        <f ca="1">IFERROR(__xludf.DUMMYFUNCTION("IMPORTRANGE(""https://docs.google.com/spreadsheets/d/1v5sN-00LrXuhBxw4dkh2GrG_z4l5oAqOdJRBCsUyMaM/edit?usp=sharing"",""ตรัง!I98"")"),0)</f>
        <v>0</v>
      </c>
      <c r="S77" s="181">
        <f ca="1">IFERROR(__xludf.DUMMYFUNCTION("IMPORTRANGE(""https://docs.google.com/spreadsheets/d/1v5sN-00LrXuhBxw4dkh2GrG_z4l5oAqOdJRBCsUyMaM/edit?usp=sharing"",""ตรัง!J98"")"),0)</f>
        <v>0</v>
      </c>
      <c r="T77" s="181">
        <f t="shared" ca="1" si="10"/>
        <v>0</v>
      </c>
      <c r="U77" s="181">
        <f ca="1">IFERROR(__xludf.DUMMYFUNCTION("IMPORTRANGE(""https://docs.google.com/spreadsheets/d/1v5sN-00LrXuhBxw4dkh2GrG_z4l5oAqOdJRBCsUyMaM/edit?usp=sharing"",""ตรัง!I99"")"),0)</f>
        <v>0</v>
      </c>
      <c r="V77" s="181">
        <f ca="1">IFERROR(__xludf.DUMMYFUNCTION("IMPORTRANGE(""https://docs.google.com/spreadsheets/d/1v5sN-00LrXuhBxw4dkh2GrG_z4l5oAqOdJRBCsUyMaM/edit?usp=sharing"",""ตรัง!I100"")"),2)</f>
        <v>2</v>
      </c>
      <c r="W77" s="181">
        <f ca="1">IFERROR(__xludf.DUMMYFUNCTION("IMPORTRANGE(""https://docs.google.com/spreadsheets/d/1v5sN-00LrXuhBxw4dkh2GrG_z4l5oAqOdJRBCsUyMaM/edit?usp=sharing"",""ตรัง!J99"")"),0)</f>
        <v>0</v>
      </c>
      <c r="X77" s="185">
        <f t="shared" ca="1" si="12"/>
        <v>0</v>
      </c>
      <c r="Y77" s="186">
        <f ca="1">IFERROR(__xludf.DUMMYFUNCTION("IMPORTRANGE(""https://docs.google.com/spreadsheets/d/1v5sN-00LrXuhBxw4dkh2GrG_z4l5oAqOdJRBCsUyMaM/edit?usp=sharing"",""ตรัง!J100"")"),0)</f>
        <v>0</v>
      </c>
      <c r="Z77" s="185">
        <f t="shared" ca="1" si="13"/>
        <v>0</v>
      </c>
      <c r="AA77" s="180">
        <f ca="1">IFERROR(__xludf.DUMMYFUNCTION("IMPORTRANGE(""https://docs.google.com/spreadsheets/d/1v5sN-00LrXuhBxw4dkh2GrG_z4l5oAqOdJRBCsUyMaM/edit?usp=sharing"",""ตรัง!I102"")"),0)</f>
        <v>0</v>
      </c>
      <c r="AB77" s="180">
        <f ca="1">IFERROR(__xludf.DUMMYFUNCTION("IMPORTRANGE(""https://docs.google.com/spreadsheets/d/1v5sN-00LrXuhBxw4dkh2GrG_z4l5oAqOdJRBCsUyMaM/edit?usp=sharing"",""ตรัง!I103"")"),0)</f>
        <v>0</v>
      </c>
      <c r="AC77" s="181">
        <f ca="1">IFERROR(__xludf.DUMMYFUNCTION("IMPORTRANGE(""https://docs.google.com/spreadsheets/d/1v5sN-00LrXuhBxw4dkh2GrG_z4l5oAqOdJRBCsUyMaM/edit?usp=sharing"",""ตรัง!J102"")"),0)</f>
        <v>0</v>
      </c>
      <c r="AD77" s="181">
        <f ca="1">IFERROR(__xludf.DUMMYFUNCTION("IMPORTRANGE(""https://docs.google.com/spreadsheets/d/1v5sN-00LrXuhBxw4dkh2GrG_z4l5oAqOdJRBCsUyMaM/edit?usp=sharing"",""ตรัง!J103"")"),0)</f>
        <v>0</v>
      </c>
      <c r="AE77" s="181">
        <f ca="1">IFERROR(__xludf.DUMMYFUNCTION("IMPORTRANGE(""https://docs.google.com/spreadsheets/d/1v5sN-00LrXuhBxw4dkh2GrG_z4l5oAqOdJRBCsUyMaM/edit?usp=sharing"",""ตรัง!J104"")"),0)</f>
        <v>0</v>
      </c>
      <c r="AF77" s="180">
        <f ca="1">IFERROR(__xludf.DUMMYFUNCTION("IMPORTRANGE(""https://docs.google.com/spreadsheets/d/1v5sN-00LrXuhBxw4dkh2GrG_z4l5oAqOdJRBCsUyMaM/edit?usp=sharing"",""ตรัง!I106"")"),1)</f>
        <v>1</v>
      </c>
      <c r="AG77" s="181">
        <f ca="1">IFERROR(__xludf.DUMMYFUNCTION("IMPORTRANGE(""https://docs.google.com/spreadsheets/d/1v5sN-00LrXuhBxw4dkh2GrG_z4l5oAqOdJRBCsUyMaM/edit?usp=sharing"",""ตรัง!J106"")"),0)</f>
        <v>0</v>
      </c>
      <c r="AH77" s="181">
        <f ca="1">IFERROR(__xludf.DUMMYFUNCTION("IMPORTRANGE(""https://docs.google.com/spreadsheets/d/1v5sN-00LrXuhBxw4dkh2GrG_z4l5oAqOdJRBCsUyMaM/edit?usp=sharing"",""ตรัง!J107"")"),0)</f>
        <v>0</v>
      </c>
      <c r="AI77" s="180">
        <f ca="1">IFERROR(__xludf.DUMMYFUNCTION("IMPORTRANGE(""https://docs.google.com/spreadsheets/d/1v5sN-00LrXuhBxw4dkh2GrG_z4l5oAqOdJRBCsUyMaM/edit?usp=sharing"",""ตรัง!I109"")"),1)</f>
        <v>1</v>
      </c>
      <c r="AJ77" s="181">
        <f ca="1">IFERROR(__xludf.DUMMYFUNCTION("IMPORTRANGE(""https://docs.google.com/spreadsheets/d/1v5sN-00LrXuhBxw4dkh2GrG_z4l5oAqOdJRBCsUyMaM/edit?usp=sharing"",""ตรัง!J109"")"),0)</f>
        <v>0</v>
      </c>
      <c r="AK77" s="181">
        <f ca="1">IFERROR(__xludf.DUMMYFUNCTION("IMPORTRANGE(""https://docs.google.com/spreadsheets/d/1v5sN-00LrXuhBxw4dkh2GrG_z4l5oAqOdJRBCsUyMaM/edit?usp=sharing"",""ตรัง!J110"")"),0)</f>
        <v>0</v>
      </c>
      <c r="AL77" s="180">
        <f ca="1">IFERROR(__xludf.DUMMYFUNCTION("IMPORTRANGE(""https://docs.google.com/spreadsheets/d/1v5sN-00LrXuhBxw4dkh2GrG_z4l5oAqOdJRBCsUyMaM/edit?usp=sharing"",""ตรัง!I111"")"),0)</f>
        <v>0</v>
      </c>
      <c r="AM77" s="180">
        <f ca="1">IFERROR(__xludf.DUMMYFUNCTION("IMPORTRANGE(""https://docs.google.com/spreadsheets/d/1v5sN-00LrXuhBxw4dkh2GrG_z4l5oAqOdJRBCsUyMaM/edit?usp=sharing"",""ตรัง!I112"")"),2)</f>
        <v>2</v>
      </c>
      <c r="AN77" s="181">
        <f ca="1">IFERROR(__xludf.DUMMYFUNCTION("IMPORTRANGE(""https://docs.google.com/spreadsheets/d/1v5sN-00LrXuhBxw4dkh2GrG_z4l5oAqOdJRBCsUyMaM/edit?usp=sharing"",""ตรัง!J111"")"),0)</f>
        <v>0</v>
      </c>
      <c r="AO77" s="181">
        <f t="shared" ca="1" si="15"/>
        <v>0</v>
      </c>
      <c r="AP77" s="181">
        <f ca="1">IFERROR(__xludf.DUMMYFUNCTION("IMPORTRANGE(""https://docs.google.com/spreadsheets/d/1v5sN-00LrXuhBxw4dkh2GrG_z4l5oAqOdJRBCsUyMaM/edit?usp=sharing"",""ตรัง!J112"")"),0)</f>
        <v>0</v>
      </c>
      <c r="AQ77" s="183">
        <f t="shared" ca="1" si="16"/>
        <v>0</v>
      </c>
      <c r="AR77" s="180">
        <f ca="1">IFERROR(__xludf.DUMMYFUNCTION("IMPORTRANGE(""https://docs.google.com/spreadsheets/d/1v5sN-00LrXuhBxw4dkh2GrG_z4l5oAqOdJRBCsUyMaM/edit?usp=sharing"",""ตรัง!I113"")"),0)</f>
        <v>0</v>
      </c>
      <c r="AS77" s="180">
        <f ca="1">IFERROR(__xludf.DUMMYFUNCTION("IMPORTRANGE(""https://docs.google.com/spreadsheets/d/1v5sN-00LrXuhBxw4dkh2GrG_z4l5oAqOdJRBCsUyMaM/edit?usp=sharing"",""ตรัง!J113"")"),0)</f>
        <v>0</v>
      </c>
      <c r="AT77" s="180">
        <f ca="1">IFERROR(__xludf.DUMMYFUNCTION("IMPORTRANGE(""https://docs.google.com/spreadsheets/d/1v5sN-00LrXuhBxw4dkh2GrG_z4l5oAqOdJRBCsUyMaM/edit?usp=sharing"",""ตรัง!J114"")"),0)</f>
        <v>0</v>
      </c>
      <c r="AU77" s="180">
        <f ca="1">IFERROR(__xludf.DUMMYFUNCTION("IMPORTRANGE(""https://docs.google.com/spreadsheets/d/1v5sN-00LrXuhBxw4dkh2GrG_z4l5oAqOdJRBCsUyMaM/edit?usp=sharing"",""ตรัง!I115"")"),1)</f>
        <v>1</v>
      </c>
      <c r="AV77" s="181">
        <f ca="1">IFERROR(__xludf.DUMMYFUNCTION("IMPORTRANGE(""https://docs.google.com/spreadsheets/d/1v5sN-00LrXuhBxw4dkh2GrG_z4l5oAqOdJRBCsUyMaM/edit?usp=sharing"",""ตรัง!J115"")"),0)</f>
        <v>0</v>
      </c>
      <c r="AW77" s="183">
        <f t="shared" ca="1" si="18"/>
        <v>0</v>
      </c>
      <c r="AX77" s="180">
        <f ca="1">IFERROR(__xludf.DUMMYFUNCTION("IMPORTRANGE(""https://docs.google.com/spreadsheets/d/1v5sN-00LrXuhBxw4dkh2GrG_z4l5oAqOdJRBCsUyMaM/edit?usp=sharing"",""ตรัง!I116"")"),1)</f>
        <v>1</v>
      </c>
      <c r="AY77" s="181">
        <f ca="1">IFERROR(__xludf.DUMMYFUNCTION("IMPORTRANGE(""https://docs.google.com/spreadsheets/d/1v5sN-00LrXuhBxw4dkh2GrG_z4l5oAqOdJRBCsUyMaM/edit?usp=sharing"",""ตรัง!J116"")"),0)</f>
        <v>0</v>
      </c>
      <c r="AZ77" s="183">
        <f t="shared" ca="1" si="20"/>
        <v>0</v>
      </c>
    </row>
    <row r="78" spans="1:52" ht="21" customHeight="1" x14ac:dyDescent="0.3">
      <c r="A78" s="176">
        <v>4</v>
      </c>
      <c r="B78" s="177" t="s">
        <v>100</v>
      </c>
      <c r="C78" s="178">
        <f t="shared" ca="1" si="0"/>
        <v>26440</v>
      </c>
      <c r="D78" s="179">
        <f t="shared" ca="1" si="63"/>
        <v>26440</v>
      </c>
      <c r="E78" s="180">
        <f ca="1">IFERROR(__xludf.DUMMYFUNCTION("IMPORTRANGE(""https://docs.google.com/spreadsheets/d/1MeEWN-I1oV_STSDYn1IFDPWt_1FKiwhDph83XaGc0o0/edit?usp=sharing"",""งบพรบ!AR78"")"),0)</f>
        <v>0</v>
      </c>
      <c r="F78" s="180">
        <f ca="1">IFERROR(__xludf.DUMMYFUNCTION("IMPORTRANGE(""https://docs.google.com/spreadsheets/d/1MeEWN-I1oV_STSDYn1IFDPWt_1FKiwhDph83XaGc0o0/edit?usp=sharing"",""งบพรบ!AS78"")"),26440)</f>
        <v>26440</v>
      </c>
      <c r="G78" s="180">
        <f ca="1">IFERROR(__xludf.DUMMYFUNCTION("IMPORTRANGE(""https://docs.google.com/spreadsheets/d/1MeEWN-I1oV_STSDYn1IFDPWt_1FKiwhDph83XaGc0o0/edit?usp=sharing"",""งบพรบ!AT78"")"),0)</f>
        <v>0</v>
      </c>
      <c r="H78" s="180">
        <f ca="1">IFERROR(__xludf.DUMMYFUNCTION("IMPORTRANGE(""https://docs.google.com/spreadsheets/d/1MeEWN-I1oV_STSDYn1IFDPWt_1FKiwhDph83XaGc0o0/edit?usp=sharing"",""งบพรบ!AV78"")"),23440)</f>
        <v>23440</v>
      </c>
      <c r="I78" s="180">
        <f ca="1">IFERROR(__xludf.DUMMYFUNCTION("IMPORTRANGE(""https://docs.google.com/spreadsheets/d/1MeEWN-I1oV_STSDYn1IFDPWt_1FKiwhDph83XaGc0o0/edit?usp=sharing"",""งบพรบ!AW78"")"),0)</f>
        <v>0</v>
      </c>
      <c r="J78" s="180">
        <f t="shared" ca="1" si="3"/>
        <v>463</v>
      </c>
      <c r="K78" s="187">
        <f t="shared" ca="1" si="4"/>
        <v>1.7511346444780636</v>
      </c>
      <c r="L78" s="180">
        <f ca="1">IFERROR(__xludf.DUMMYFUNCTION("IMPORTRANGE(""https://docs.google.com/spreadsheets/d/1MeEWN-I1oV_STSDYn1IFDPWt_1FKiwhDph83XaGc0o0/edit?usp=sharing"",""งบพรบ!AX78"")"),463)</f>
        <v>463</v>
      </c>
      <c r="M78" s="183">
        <f t="shared" ca="1" si="5"/>
        <v>1.7511346444780636</v>
      </c>
      <c r="N78" s="183">
        <f t="shared" ca="1" si="6"/>
        <v>1.9752559726962458</v>
      </c>
      <c r="O78" s="184">
        <f ca="1">IFERROR(__xludf.DUMMYFUNCTION("IMPORTRANGE(""https://docs.google.com/spreadsheets/d/1MeEWN-I1oV_STSDYn1IFDPWt_1FKiwhDph83XaGc0o0/edit?usp=sharing"",""งบพรบ!AY78"")"),0)</f>
        <v>0</v>
      </c>
      <c r="P78" s="184">
        <f t="shared" ca="1" si="36"/>
        <v>0</v>
      </c>
      <c r="Q78" s="183">
        <f t="shared" ca="1" si="8"/>
        <v>0</v>
      </c>
      <c r="R78" s="181">
        <f ca="1">IFERROR(__xludf.DUMMYFUNCTION("IMPORTRANGE(""https://docs.google.com/spreadsheets/d/1T5rRTzFc79aSIvqnzkZNvwPstq829QYz_xALlO1Z0s8/edit?usp=sharing"",""นครศรีธรรมราช!I98"")"),30)</f>
        <v>30</v>
      </c>
      <c r="S78" s="181">
        <f ca="1">IFERROR(__xludf.DUMMYFUNCTION("IMPORTRANGE(""https://docs.google.com/spreadsheets/d/1T5rRTzFc79aSIvqnzkZNvwPstq829QYz_xALlO1Z0s8/edit?usp=sharing"",""นครศรีธรรมราช!J98"")"),0)</f>
        <v>0</v>
      </c>
      <c r="T78" s="181">
        <f t="shared" ca="1" si="10"/>
        <v>0</v>
      </c>
      <c r="U78" s="181">
        <f ca="1">IFERROR(__xludf.DUMMYFUNCTION("IMPORTRANGE(""https://docs.google.com/spreadsheets/d/1T5rRTzFc79aSIvqnzkZNvwPstq829QYz_xALlO1Z0s8/edit?usp=sharing"",""นครศรีธรรมราช!I99"")"),10)</f>
        <v>10</v>
      </c>
      <c r="V78" s="181">
        <f ca="1">IFERROR(__xludf.DUMMYFUNCTION("IMPORTRANGE(""https://docs.google.com/spreadsheets/d/1T5rRTzFc79aSIvqnzkZNvwPstq829QYz_xALlO1Z0s8/edit?usp=sharing"",""นครศรีธรรมราช!I100"")"),0)</f>
        <v>0</v>
      </c>
      <c r="W78" s="181">
        <f ca="1">IFERROR(__xludf.DUMMYFUNCTION("IMPORTRANGE(""https://docs.google.com/spreadsheets/d/1T5rRTzFc79aSIvqnzkZNvwPstq829QYz_xALlO1Z0s8/edit?usp=sharing"",""นครศรีธรรมราช!J99"")"),0)</f>
        <v>0</v>
      </c>
      <c r="X78" s="185">
        <f t="shared" ca="1" si="12"/>
        <v>0</v>
      </c>
      <c r="Y78" s="186">
        <f ca="1">IFERROR(__xludf.DUMMYFUNCTION("IMPORTRANGE(""https://docs.google.com/spreadsheets/d/1T5rRTzFc79aSIvqnzkZNvwPstq829QYz_xALlO1Z0s8/edit?usp=sharing"",""นครศรีธรรมราช!J100"")"),0)</f>
        <v>0</v>
      </c>
      <c r="Z78" s="185">
        <f t="shared" ca="1" si="13"/>
        <v>0</v>
      </c>
      <c r="AA78" s="180">
        <f ca="1">IFERROR(__xludf.DUMMYFUNCTION("IMPORTRANGE(""https://docs.google.com/spreadsheets/d/1T5rRTzFc79aSIvqnzkZNvwPstq829QYz_xALlO1Z0s8/edit?usp=sharing"",""นครศรีธรรมราช!I102"")"),30)</f>
        <v>30</v>
      </c>
      <c r="AB78" s="180">
        <f ca="1">IFERROR(__xludf.DUMMYFUNCTION("IMPORTRANGE(""https://docs.google.com/spreadsheets/d/1T5rRTzFc79aSIvqnzkZNvwPstq829QYz_xALlO1Z0s8/edit?usp=sharing"",""นครศรีธรรมราช!I103"")"),10)</f>
        <v>10</v>
      </c>
      <c r="AC78" s="181">
        <f ca="1">IFERROR(__xludf.DUMMYFUNCTION("IMPORTRANGE(""https://docs.google.com/spreadsheets/d/1T5rRTzFc79aSIvqnzkZNvwPstq829QYz_xALlO1Z0s8/edit?usp=sharing"",""นครศรีธรรมราช!J102"")"),0)</f>
        <v>0</v>
      </c>
      <c r="AD78" s="181">
        <f ca="1">IFERROR(__xludf.DUMMYFUNCTION("IMPORTRANGE(""https://docs.google.com/spreadsheets/d/1T5rRTzFc79aSIvqnzkZNvwPstq829QYz_xALlO1Z0s8/edit?usp=sharing"",""นครศรีธรรมราช!J103"")"),0)</f>
        <v>0</v>
      </c>
      <c r="AE78" s="181">
        <f ca="1">IFERROR(__xludf.DUMMYFUNCTION("IMPORTRANGE(""https://docs.google.com/spreadsheets/d/1T5rRTzFc79aSIvqnzkZNvwPstq829QYz_xALlO1Z0s8/edit?usp=sharing"",""นครศรีธรรมราช!J104"")"),0)</f>
        <v>0</v>
      </c>
      <c r="AF78" s="180">
        <f ca="1">IFERROR(__xludf.DUMMYFUNCTION("IMPORTRANGE(""https://docs.google.com/spreadsheets/d/1T5rRTzFc79aSIvqnzkZNvwPstq829QYz_xALlO1Z0s8/edit?usp=sharing"",""นครศรีธรรมราช!I106"")"),0)</f>
        <v>0</v>
      </c>
      <c r="AG78" s="181">
        <f ca="1">IFERROR(__xludf.DUMMYFUNCTION("IMPORTRANGE(""https://docs.google.com/spreadsheets/d/1T5rRTzFc79aSIvqnzkZNvwPstq829QYz_xALlO1Z0s8/edit?usp=sharing"",""นครศรีธรรมราช!J106"")"),0)</f>
        <v>0</v>
      </c>
      <c r="AH78" s="181">
        <f ca="1">IFERROR(__xludf.DUMMYFUNCTION("IMPORTRANGE(""https://docs.google.com/spreadsheets/d/1T5rRTzFc79aSIvqnzkZNvwPstq829QYz_xALlO1Z0s8/edit?usp=sharing"",""นครศรีธรรมราช!J107"")"),0)</f>
        <v>0</v>
      </c>
      <c r="AI78" s="180">
        <f ca="1">IFERROR(__xludf.DUMMYFUNCTION("IMPORTRANGE(""https://docs.google.com/spreadsheets/d/1T5rRTzFc79aSIvqnzkZNvwPstq829QYz_xALlO1Z0s8/edit?usp=sharing"",""นครศรีธรรมราช!I109"")"),0)</f>
        <v>0</v>
      </c>
      <c r="AJ78" s="181">
        <f ca="1">IFERROR(__xludf.DUMMYFUNCTION("IMPORTRANGE(""https://docs.google.com/spreadsheets/d/1T5rRTzFc79aSIvqnzkZNvwPstq829QYz_xALlO1Z0s8/edit?usp=sharing"",""นครศรีธรรมราช!J109"")"),0)</f>
        <v>0</v>
      </c>
      <c r="AK78" s="181">
        <f ca="1">IFERROR(__xludf.DUMMYFUNCTION("IMPORTRANGE(""https://docs.google.com/spreadsheets/d/1T5rRTzFc79aSIvqnzkZNvwPstq829QYz_xALlO1Z0s8/edit?usp=sharing"",""นครศรีธรรมราช!J110"")"),0)</f>
        <v>0</v>
      </c>
      <c r="AL78" s="180">
        <f ca="1">IFERROR(__xludf.DUMMYFUNCTION("IMPORTRANGE(""https://docs.google.com/spreadsheets/d/1T5rRTzFc79aSIvqnzkZNvwPstq829QYz_xALlO1Z0s8/edit?usp=sharing"",""นครศรีธรรมราช!I111"")"),10)</f>
        <v>10</v>
      </c>
      <c r="AM78" s="180">
        <f ca="1">IFERROR(__xludf.DUMMYFUNCTION("IMPORTRANGE(""https://docs.google.com/spreadsheets/d/1T5rRTzFc79aSIvqnzkZNvwPstq829QYz_xALlO1Z0s8/edit?usp=sharing"",""นครศรีธรรมราช!I112"")"),0)</f>
        <v>0</v>
      </c>
      <c r="AN78" s="181">
        <f ca="1">IFERROR(__xludf.DUMMYFUNCTION("IMPORTRANGE(""https://docs.google.com/spreadsheets/d/1T5rRTzFc79aSIvqnzkZNvwPstq829QYz_xALlO1Z0s8/edit?usp=sharing"",""นครศรีธรรมราช!J111"")"),0)</f>
        <v>0</v>
      </c>
      <c r="AO78" s="181">
        <f t="shared" ca="1" si="15"/>
        <v>0</v>
      </c>
      <c r="AP78" s="181">
        <f ca="1">IFERROR(__xludf.DUMMYFUNCTION("IMPORTRANGE(""https://docs.google.com/spreadsheets/d/1T5rRTzFc79aSIvqnzkZNvwPstq829QYz_xALlO1Z0s8/edit?usp=sharing"",""นครศรีธรรมราช!J112"")"),0)</f>
        <v>0</v>
      </c>
      <c r="AQ78" s="183">
        <f t="shared" ca="1" si="16"/>
        <v>0</v>
      </c>
      <c r="AR78" s="180">
        <f ca="1">IFERROR(__xludf.DUMMYFUNCTION("IMPORTRANGE(""https://docs.google.com/spreadsheets/d/1T5rRTzFc79aSIvqnzkZNvwPstq829QYz_xALlO1Z0s8/edit?usp=sharing"",""นครศรีธรรมราช!I113"")"),10)</f>
        <v>10</v>
      </c>
      <c r="AS78" s="180">
        <f ca="1">IFERROR(__xludf.DUMMYFUNCTION("IMPORTRANGE(""https://docs.google.com/spreadsheets/d/1T5rRTzFc79aSIvqnzkZNvwPstq829QYz_xALlO1Z0s8/edit?usp=sharing"",""นครศรีธรรมราช!J113"")"),0)</f>
        <v>0</v>
      </c>
      <c r="AT78" s="180">
        <f ca="1">IFERROR(__xludf.DUMMYFUNCTION("IMPORTRANGE(""https://docs.google.com/spreadsheets/d/1T5rRTzFc79aSIvqnzkZNvwPstq829QYz_xALlO1Z0s8/edit?usp=sharing"",""นครศรีธรรมราช!J114"")"),0)</f>
        <v>0</v>
      </c>
      <c r="AU78" s="180">
        <f ca="1">IFERROR(__xludf.DUMMYFUNCTION("IMPORTRANGE(""https://docs.google.com/spreadsheets/d/1T5rRTzFc79aSIvqnzkZNvwPstq829QYz_xALlO1Z0s8/edit?usp=sharing"",""นครศรีธรรมราช!I115"")"),0)</f>
        <v>0</v>
      </c>
      <c r="AV78" s="181">
        <f ca="1">IFERROR(__xludf.DUMMYFUNCTION("IMPORTRANGE(""https://docs.google.com/spreadsheets/d/1T5rRTzFc79aSIvqnzkZNvwPstq829QYz_xALlO1Z0s8/edit?usp=sharing"",""นครศรีธรรมราช!J115"")"),0)</f>
        <v>0</v>
      </c>
      <c r="AW78" s="183">
        <f t="shared" ca="1" si="18"/>
        <v>0</v>
      </c>
      <c r="AX78" s="180">
        <f ca="1">IFERROR(__xludf.DUMMYFUNCTION("IMPORTRANGE(""https://docs.google.com/spreadsheets/d/1T5rRTzFc79aSIvqnzkZNvwPstq829QYz_xALlO1Z0s8/edit?usp=sharing"",""นครศรีธรรมราช!I116"")"),0)</f>
        <v>0</v>
      </c>
      <c r="AY78" s="181">
        <f ca="1">IFERROR(__xludf.DUMMYFUNCTION("IMPORTRANGE(""https://docs.google.com/spreadsheets/d/1T5rRTzFc79aSIvqnzkZNvwPstq829QYz_xALlO1Z0s8/edit?usp=sharing"",""นครศรีธรรมราช!J116"")"),0)</f>
        <v>0</v>
      </c>
      <c r="AZ78" s="183">
        <f t="shared" ca="1" si="20"/>
        <v>0</v>
      </c>
    </row>
    <row r="79" spans="1:52" ht="21" customHeight="1" x14ac:dyDescent="0.3">
      <c r="A79" s="176">
        <v>5</v>
      </c>
      <c r="B79" s="177" t="s">
        <v>101</v>
      </c>
      <c r="C79" s="178">
        <f t="shared" ca="1" si="0"/>
        <v>237000</v>
      </c>
      <c r="D79" s="179">
        <f t="shared" ca="1" si="63"/>
        <v>237000</v>
      </c>
      <c r="E79" s="180">
        <f ca="1">IFERROR(__xludf.DUMMYFUNCTION("IMPORTRANGE(""https://docs.google.com/spreadsheets/d/1MeEWN-I1oV_STSDYn1IFDPWt_1FKiwhDph83XaGc0o0/edit?usp=sharing"",""งบพรบ!AR79"")"),143000)</f>
        <v>143000</v>
      </c>
      <c r="F79" s="180">
        <f ca="1">IFERROR(__xludf.DUMMYFUNCTION("IMPORTRANGE(""https://docs.google.com/spreadsheets/d/1MeEWN-I1oV_STSDYn1IFDPWt_1FKiwhDph83XaGc0o0/edit?usp=sharing"",""งบพรบ!AS79"")"),94000)</f>
        <v>94000</v>
      </c>
      <c r="G79" s="180">
        <f ca="1">IFERROR(__xludf.DUMMYFUNCTION("IMPORTRANGE(""https://docs.google.com/spreadsheets/d/1MeEWN-I1oV_STSDYn1IFDPWt_1FKiwhDph83XaGc0o0/edit?usp=sharing"",""งบพรบ!AT79"")"),0)</f>
        <v>0</v>
      </c>
      <c r="H79" s="180">
        <f ca="1">IFERROR(__xludf.DUMMYFUNCTION("IMPORTRANGE(""https://docs.google.com/spreadsheets/d/1MeEWN-I1oV_STSDYn1IFDPWt_1FKiwhDph83XaGc0o0/edit?usp=sharing"",""งบพรบ!AV79"")"),160900)</f>
        <v>160900</v>
      </c>
      <c r="I79" s="180">
        <f ca="1">IFERROR(__xludf.DUMMYFUNCTION("IMPORTRANGE(""https://docs.google.com/spreadsheets/d/1MeEWN-I1oV_STSDYn1IFDPWt_1FKiwhDph83XaGc0o0/edit?usp=sharing"",""งบพรบ!AW79"")"),0)</f>
        <v>0</v>
      </c>
      <c r="J79" s="180">
        <f t="shared" ca="1" si="3"/>
        <v>93020.36</v>
      </c>
      <c r="K79" s="187">
        <f t="shared" ca="1" si="4"/>
        <v>39.249097046413503</v>
      </c>
      <c r="L79" s="180">
        <f ca="1">IFERROR(__xludf.DUMMYFUNCTION("IMPORTRANGE(""https://docs.google.com/spreadsheets/d/1MeEWN-I1oV_STSDYn1IFDPWt_1FKiwhDph83XaGc0o0/edit?usp=sharing"",""งบพรบ!AX79"")"),93020.36)</f>
        <v>93020.36</v>
      </c>
      <c r="M79" s="183">
        <f t="shared" ca="1" si="5"/>
        <v>39.249097046413503</v>
      </c>
      <c r="N79" s="183">
        <f t="shared" ca="1" si="6"/>
        <v>57.812529521441888</v>
      </c>
      <c r="O79" s="184">
        <f ca="1">IFERROR(__xludf.DUMMYFUNCTION("IMPORTRANGE(""https://docs.google.com/spreadsheets/d/1MeEWN-I1oV_STSDYn1IFDPWt_1FKiwhDph83XaGc0o0/edit?usp=sharing"",""งบพรบ!AY79"")"),0)</f>
        <v>0</v>
      </c>
      <c r="P79" s="184">
        <f t="shared" ca="1" si="36"/>
        <v>0</v>
      </c>
      <c r="Q79" s="183">
        <f t="shared" ca="1" si="8"/>
        <v>0</v>
      </c>
      <c r="R79" s="181">
        <f ca="1">IFERROR(__xludf.DUMMYFUNCTION("IMPORTRANGE(""https://docs.google.com/spreadsheets/d/1BeghqumK0IvCmRd2QOy6_afsZq7ZtAGrSnVJy2u7WmY/edit?usp=sharing"",""นราธิวาส!I98"")"),75)</f>
        <v>75</v>
      </c>
      <c r="S79" s="181">
        <f ca="1">IFERROR(__xludf.DUMMYFUNCTION("IMPORTRANGE(""https://docs.google.com/spreadsheets/d/1BeghqumK0IvCmRd2QOy6_afsZq7ZtAGrSnVJy2u7WmY/edit?usp=sharing"",""นราธิวาส!J98"")"),75)</f>
        <v>75</v>
      </c>
      <c r="T79" s="181">
        <f t="shared" ca="1" si="10"/>
        <v>100</v>
      </c>
      <c r="U79" s="181">
        <f ca="1">IFERROR(__xludf.DUMMYFUNCTION("IMPORTRANGE(""https://docs.google.com/spreadsheets/d/1BeghqumK0IvCmRd2QOy6_afsZq7ZtAGrSnVJy2u7WmY/edit?usp=sharing"",""นราธิวาส!I99"")"),25)</f>
        <v>25</v>
      </c>
      <c r="V79" s="181">
        <f ca="1">IFERROR(__xludf.DUMMYFUNCTION("IMPORTRANGE(""https://docs.google.com/spreadsheets/d/1BeghqumK0IvCmRd2QOy6_afsZq7ZtAGrSnVJy2u7WmY/edit?usp=sharing"",""นราธิวาส!I100"")"),1)</f>
        <v>1</v>
      </c>
      <c r="W79" s="181">
        <f ca="1">IFERROR(__xludf.DUMMYFUNCTION("IMPORTRANGE(""https://docs.google.com/spreadsheets/d/1BeghqumK0IvCmRd2QOy6_afsZq7ZtAGrSnVJy2u7WmY/edit?usp=sharing"",""นราธิวาส!J99"")"),25)</f>
        <v>25</v>
      </c>
      <c r="X79" s="185">
        <f t="shared" ca="1" si="12"/>
        <v>100</v>
      </c>
      <c r="Y79" s="186">
        <f ca="1">IFERROR(__xludf.DUMMYFUNCTION("IMPORTRANGE(""https://docs.google.com/spreadsheets/d/1BeghqumK0IvCmRd2QOy6_afsZq7ZtAGrSnVJy2u7WmY/edit?usp=sharing"",""นราธิวาส!J100"")"),0)</f>
        <v>0</v>
      </c>
      <c r="Z79" s="185">
        <f t="shared" ca="1" si="13"/>
        <v>0</v>
      </c>
      <c r="AA79" s="180">
        <f ca="1">IFERROR(__xludf.DUMMYFUNCTION("IMPORTRANGE(""https://docs.google.com/spreadsheets/d/1BeghqumK0IvCmRd2QOy6_afsZq7ZtAGrSnVJy2u7WmY/edit?usp=sharing"",""นราธิวาส!I102"")"),75)</f>
        <v>75</v>
      </c>
      <c r="AB79" s="180">
        <f ca="1">IFERROR(__xludf.DUMMYFUNCTION("IMPORTRANGE(""https://docs.google.com/spreadsheets/d/1BeghqumK0IvCmRd2QOy6_afsZq7ZtAGrSnVJy2u7WmY/edit?usp=sharing"",""นราธิวาส!I103"")"),25)</f>
        <v>25</v>
      </c>
      <c r="AC79" s="181">
        <f ca="1">IFERROR(__xludf.DUMMYFUNCTION("IMPORTRANGE(""https://docs.google.com/spreadsheets/d/1BeghqumK0IvCmRd2QOy6_afsZq7ZtAGrSnVJy2u7WmY/edit?usp=sharing"",""นราธิวาส!J102"")"),75)</f>
        <v>75</v>
      </c>
      <c r="AD79" s="181">
        <f ca="1">IFERROR(__xludf.DUMMYFUNCTION("IMPORTRANGE(""https://docs.google.com/spreadsheets/d/1BeghqumK0IvCmRd2QOy6_afsZq7ZtAGrSnVJy2u7WmY/edit?usp=sharing"",""นราธิวาส!J103"")"),25)</f>
        <v>25</v>
      </c>
      <c r="AE79" s="181">
        <f ca="1">IFERROR(__xludf.DUMMYFUNCTION("IMPORTRANGE(""https://docs.google.com/spreadsheets/d/1BeghqumK0IvCmRd2QOy6_afsZq7ZtAGrSnVJy2u7WmY/edit?usp=sharing"",""นราธิวาส!J104"")"),25)</f>
        <v>25</v>
      </c>
      <c r="AF79" s="180">
        <f ca="1">IFERROR(__xludf.DUMMYFUNCTION("IMPORTRANGE(""https://docs.google.com/spreadsheets/d/1BeghqumK0IvCmRd2QOy6_afsZq7ZtAGrSnVJy2u7WmY/edit?usp=sharing"",""นราธิวาส!I106"")"),1)</f>
        <v>1</v>
      </c>
      <c r="AG79" s="181">
        <f ca="1">IFERROR(__xludf.DUMMYFUNCTION("IMPORTRANGE(""https://docs.google.com/spreadsheets/d/1BeghqumK0IvCmRd2QOy6_afsZq7ZtAGrSnVJy2u7WmY/edit?usp=sharing"",""นราธิวาส!J106"")"),0)</f>
        <v>0</v>
      </c>
      <c r="AH79" s="181">
        <f ca="1">IFERROR(__xludf.DUMMYFUNCTION("IMPORTRANGE(""https://docs.google.com/spreadsheets/d/1BeghqumK0IvCmRd2QOy6_afsZq7ZtAGrSnVJy2u7WmY/edit?usp=sharing"",""นราธิวาส!J107"")"),0)</f>
        <v>0</v>
      </c>
      <c r="AI79" s="180">
        <f ca="1">IFERROR(__xludf.DUMMYFUNCTION("IMPORTRANGE(""https://docs.google.com/spreadsheets/d/1BeghqumK0IvCmRd2QOy6_afsZq7ZtAGrSnVJy2u7WmY/edit?usp=sharing"",""นราธิวาส!I109"")"),0)</f>
        <v>0</v>
      </c>
      <c r="AJ79" s="181">
        <f ca="1">IFERROR(__xludf.DUMMYFUNCTION("IMPORTRANGE(""https://docs.google.com/spreadsheets/d/1BeghqumK0IvCmRd2QOy6_afsZq7ZtAGrSnVJy2u7WmY/edit?usp=sharing"",""นราธิวาส!J109"")"),0)</f>
        <v>0</v>
      </c>
      <c r="AK79" s="181">
        <f ca="1">IFERROR(__xludf.DUMMYFUNCTION("IMPORTRANGE(""https://docs.google.com/spreadsheets/d/1BeghqumK0IvCmRd2QOy6_afsZq7ZtAGrSnVJy2u7WmY/edit?usp=sharing"",""นราธิวาส!J110"")"),0)</f>
        <v>0</v>
      </c>
      <c r="AL79" s="180">
        <f ca="1">IFERROR(__xludf.DUMMYFUNCTION("IMPORTRANGE(""https://docs.google.com/spreadsheets/d/1BeghqumK0IvCmRd2QOy6_afsZq7ZtAGrSnVJy2u7WmY/edit?usp=sharing"",""นราธิวาส!I111"")"),25)</f>
        <v>25</v>
      </c>
      <c r="AM79" s="180">
        <f ca="1">IFERROR(__xludf.DUMMYFUNCTION("IMPORTRANGE(""https://docs.google.com/spreadsheets/d/1BeghqumK0IvCmRd2QOy6_afsZq7ZtAGrSnVJy2u7WmY/edit?usp=sharing"",""นราธิวาส!I112"")"),1)</f>
        <v>1</v>
      </c>
      <c r="AN79" s="181">
        <f ca="1">IFERROR(__xludf.DUMMYFUNCTION("IMPORTRANGE(""https://docs.google.com/spreadsheets/d/1BeghqumK0IvCmRd2QOy6_afsZq7ZtAGrSnVJy2u7WmY/edit?usp=sharing"",""นราธิวาส!J111"")"),0)</f>
        <v>0</v>
      </c>
      <c r="AO79" s="181">
        <f t="shared" ca="1" si="15"/>
        <v>0</v>
      </c>
      <c r="AP79" s="181">
        <f ca="1">IFERROR(__xludf.DUMMYFUNCTION("IMPORTRANGE(""https://docs.google.com/spreadsheets/d/1BeghqumK0IvCmRd2QOy6_afsZq7ZtAGrSnVJy2u7WmY/edit?usp=sharing"",""นราธิวาส!J112"")"),0)</f>
        <v>0</v>
      </c>
      <c r="AQ79" s="183">
        <f t="shared" ca="1" si="16"/>
        <v>0</v>
      </c>
      <c r="AR79" s="180">
        <f ca="1">IFERROR(__xludf.DUMMYFUNCTION("IMPORTRANGE(""https://docs.google.com/spreadsheets/d/1BeghqumK0IvCmRd2QOy6_afsZq7ZtAGrSnVJy2u7WmY/edit?usp=sharing"",""นราธิวาส!I113"")"),25)</f>
        <v>25</v>
      </c>
      <c r="AS79" s="180">
        <f ca="1">IFERROR(__xludf.DUMMYFUNCTION("IMPORTRANGE(""https://docs.google.com/spreadsheets/d/1BeghqumK0IvCmRd2QOy6_afsZq7ZtAGrSnVJy2u7WmY/edit?usp=sharing"",""นราธิวาส!J113"")"),0)</f>
        <v>0</v>
      </c>
      <c r="AT79" s="180">
        <f ca="1">IFERROR(__xludf.DUMMYFUNCTION("IMPORTRANGE(""https://docs.google.com/spreadsheets/d/1BeghqumK0IvCmRd2QOy6_afsZq7ZtAGrSnVJy2u7WmY/edit?usp=sharing"",""นราธิวาส!J114"")"),0)</f>
        <v>0</v>
      </c>
      <c r="AU79" s="180">
        <f ca="1">IFERROR(__xludf.DUMMYFUNCTION("IMPORTRANGE(""https://docs.google.com/spreadsheets/d/1BeghqumK0IvCmRd2QOy6_afsZq7ZtAGrSnVJy2u7WmY/edit?usp=sharing"",""นราธิวาส!I115"")"),1)</f>
        <v>1</v>
      </c>
      <c r="AV79" s="181">
        <f ca="1">IFERROR(__xludf.DUMMYFUNCTION("IMPORTRANGE(""https://docs.google.com/spreadsheets/d/1BeghqumK0IvCmRd2QOy6_afsZq7ZtAGrSnVJy2u7WmY/edit?usp=sharing"",""นราธิวาส!J115"")"),0)</f>
        <v>0</v>
      </c>
      <c r="AW79" s="183">
        <f t="shared" ca="1" si="18"/>
        <v>0</v>
      </c>
      <c r="AX79" s="180">
        <f ca="1">IFERROR(__xludf.DUMMYFUNCTION("IMPORTRANGE(""https://docs.google.com/spreadsheets/d/1BeghqumK0IvCmRd2QOy6_afsZq7ZtAGrSnVJy2u7WmY/edit?usp=sharing"",""นราธิวาส!I116"")"),0)</f>
        <v>0</v>
      </c>
      <c r="AY79" s="181">
        <f ca="1">IFERROR(__xludf.DUMMYFUNCTION("IMPORTRANGE(""https://docs.google.com/spreadsheets/d/1BeghqumK0IvCmRd2QOy6_afsZq7ZtAGrSnVJy2u7WmY/edit?usp=sharing"",""นราธิวาส!J116"")"),0)</f>
        <v>0</v>
      </c>
      <c r="AZ79" s="183">
        <f t="shared" ca="1" si="20"/>
        <v>0</v>
      </c>
    </row>
    <row r="80" spans="1:52" ht="21" customHeight="1" x14ac:dyDescent="0.3">
      <c r="A80" s="176">
        <v>6</v>
      </c>
      <c r="B80" s="177" t="s">
        <v>102</v>
      </c>
      <c r="C80" s="178">
        <f t="shared" ca="1" si="0"/>
        <v>228840</v>
      </c>
      <c r="D80" s="179">
        <f t="shared" ca="1" si="63"/>
        <v>228840</v>
      </c>
      <c r="E80" s="180">
        <f ca="1">IFERROR(__xludf.DUMMYFUNCTION("IMPORTRANGE(""https://docs.google.com/spreadsheets/d/1MeEWN-I1oV_STSDYn1IFDPWt_1FKiwhDph83XaGc0o0/edit?usp=sharing"",""งบพรบ!AR80"")"),143000)</f>
        <v>143000</v>
      </c>
      <c r="F80" s="180">
        <f ca="1">IFERROR(__xludf.DUMMYFUNCTION("IMPORTRANGE(""https://docs.google.com/spreadsheets/d/1MeEWN-I1oV_STSDYn1IFDPWt_1FKiwhDph83XaGc0o0/edit?usp=sharing"",""งบพรบ!AS80"")"),85840)</f>
        <v>85840</v>
      </c>
      <c r="G80" s="180">
        <f ca="1">IFERROR(__xludf.DUMMYFUNCTION("IMPORTRANGE(""https://docs.google.com/spreadsheets/d/1MeEWN-I1oV_STSDYn1IFDPWt_1FKiwhDph83XaGc0o0/edit?usp=sharing"",""งบพรบ!AT80"")"),0)</f>
        <v>0</v>
      </c>
      <c r="H80" s="180">
        <f ca="1">IFERROR(__xludf.DUMMYFUNCTION("IMPORTRANGE(""https://docs.google.com/spreadsheets/d/1MeEWN-I1oV_STSDYn1IFDPWt_1FKiwhDph83XaGc0o0/edit?usp=sharing"",""งบพรบ!AV80"")"),127640)</f>
        <v>127640</v>
      </c>
      <c r="I80" s="180">
        <f ca="1">IFERROR(__xludf.DUMMYFUNCTION("IMPORTRANGE(""https://docs.google.com/spreadsheets/d/1MeEWN-I1oV_STSDYn1IFDPWt_1FKiwhDph83XaGc0o0/edit?usp=sharing"",""งบพรบ!AW80"")"),0)</f>
        <v>0</v>
      </c>
      <c r="J80" s="180">
        <f t="shared" ca="1" si="3"/>
        <v>69939.94</v>
      </c>
      <c r="K80" s="187">
        <f t="shared" ca="1" si="4"/>
        <v>30.562812445376682</v>
      </c>
      <c r="L80" s="180">
        <f ca="1">IFERROR(__xludf.DUMMYFUNCTION("IMPORTRANGE(""https://docs.google.com/spreadsheets/d/1MeEWN-I1oV_STSDYn1IFDPWt_1FKiwhDph83XaGc0o0/edit?usp=sharing"",""งบพรบ!AX80"")"),69939.94)</f>
        <v>69939.94</v>
      </c>
      <c r="M80" s="183">
        <f t="shared" ca="1" si="5"/>
        <v>30.562812445376682</v>
      </c>
      <c r="N80" s="183">
        <f t="shared" ca="1" si="6"/>
        <v>54.794688185521778</v>
      </c>
      <c r="O80" s="184">
        <f ca="1">IFERROR(__xludf.DUMMYFUNCTION("IMPORTRANGE(""https://docs.google.com/spreadsheets/d/1MeEWN-I1oV_STSDYn1IFDPWt_1FKiwhDph83XaGc0o0/edit?usp=sharing"",""งบพรบ!AY80"")"),0)</f>
        <v>0</v>
      </c>
      <c r="P80" s="184">
        <f t="shared" ca="1" si="36"/>
        <v>0</v>
      </c>
      <c r="Q80" s="183">
        <f t="shared" ca="1" si="8"/>
        <v>0</v>
      </c>
      <c r="R80" s="181">
        <f ca="1">IFERROR(__xludf.DUMMYFUNCTION("IMPORTRANGE(""https://docs.google.com/spreadsheets/d/1IwnW3-jjRf74MCLW-6PiFwMUffRQXZwZA7YM609NmRc/edit?usp=sharing"",""ปัตตานี!I98"")"),30)</f>
        <v>30</v>
      </c>
      <c r="S80" s="181">
        <f ca="1">IFERROR(__xludf.DUMMYFUNCTION("IMPORTRANGE(""https://docs.google.com/spreadsheets/d/1IwnW3-jjRf74MCLW-6PiFwMUffRQXZwZA7YM609NmRc/edit?usp=sharing"",""ปัตตานี!J98"")"),30)</f>
        <v>30</v>
      </c>
      <c r="T80" s="181">
        <f t="shared" ca="1" si="10"/>
        <v>100</v>
      </c>
      <c r="U80" s="181">
        <f ca="1">IFERROR(__xludf.DUMMYFUNCTION("IMPORTRANGE(""https://docs.google.com/spreadsheets/d/1IwnW3-jjRf74MCLW-6PiFwMUffRQXZwZA7YM609NmRc/edit?usp=sharing"",""ปัตตานี!I99"")"),10)</f>
        <v>10</v>
      </c>
      <c r="V80" s="181">
        <f ca="1">IFERROR(__xludf.DUMMYFUNCTION("IMPORTRANGE(""https://docs.google.com/spreadsheets/d/1IwnW3-jjRf74MCLW-6PiFwMUffRQXZwZA7YM609NmRc/edit?usp=sharing"",""ปัตตานี!I100"")"),2)</f>
        <v>2</v>
      </c>
      <c r="W80" s="181">
        <f ca="1">IFERROR(__xludf.DUMMYFUNCTION("IMPORTRANGE(""https://docs.google.com/spreadsheets/d/1IwnW3-jjRf74MCLW-6PiFwMUffRQXZwZA7YM609NmRc/edit?usp=sharing"",""ปัตตานี!J99"")"),10)</f>
        <v>10</v>
      </c>
      <c r="X80" s="185">
        <f t="shared" ca="1" si="12"/>
        <v>100</v>
      </c>
      <c r="Y80" s="186">
        <f ca="1">IFERROR(__xludf.DUMMYFUNCTION("IMPORTRANGE(""https://docs.google.com/spreadsheets/d/1IwnW3-jjRf74MCLW-6PiFwMUffRQXZwZA7YM609NmRc/edit?usp=sharing"",""ปัตตานี!J100"")"),0)</f>
        <v>0</v>
      </c>
      <c r="Z80" s="185">
        <f t="shared" ca="1" si="13"/>
        <v>0</v>
      </c>
      <c r="AA80" s="180">
        <f ca="1">IFERROR(__xludf.DUMMYFUNCTION("IMPORTRANGE(""https://docs.google.com/spreadsheets/d/1IwnW3-jjRf74MCLW-6PiFwMUffRQXZwZA7YM609NmRc/edit?usp=sharing"",""ปัตตานี!I102"")"),30)</f>
        <v>30</v>
      </c>
      <c r="AB80" s="180">
        <f ca="1">IFERROR(__xludf.DUMMYFUNCTION("IMPORTRANGE(""https://docs.google.com/spreadsheets/d/1IwnW3-jjRf74MCLW-6PiFwMUffRQXZwZA7YM609NmRc/edit?usp=sharing"",""ปัตตานี!I103"")"),10)</f>
        <v>10</v>
      </c>
      <c r="AC80" s="181">
        <f ca="1">IFERROR(__xludf.DUMMYFUNCTION("IMPORTRANGE(""https://docs.google.com/spreadsheets/d/1IwnW3-jjRf74MCLW-6PiFwMUffRQXZwZA7YM609NmRc/edit?usp=sharing"",""ปัตตานี!J102"")"),30)</f>
        <v>30</v>
      </c>
      <c r="AD80" s="181">
        <f ca="1">IFERROR(__xludf.DUMMYFUNCTION("IMPORTRANGE(""https://docs.google.com/spreadsheets/d/1IwnW3-jjRf74MCLW-6PiFwMUffRQXZwZA7YM609NmRc/edit?usp=sharing"",""ปัตตานี!J103"")"),10)</f>
        <v>10</v>
      </c>
      <c r="AE80" s="181">
        <f ca="1">IFERROR(__xludf.DUMMYFUNCTION("IMPORTRANGE(""https://docs.google.com/spreadsheets/d/1IwnW3-jjRf74MCLW-6PiFwMUffRQXZwZA7YM609NmRc/edit?usp=sharing"",""ปัตตานี!J104"")"),10)</f>
        <v>10</v>
      </c>
      <c r="AF80" s="180">
        <f ca="1">IFERROR(__xludf.DUMMYFUNCTION("IMPORTRANGE(""https://docs.google.com/spreadsheets/d/1IwnW3-jjRf74MCLW-6PiFwMUffRQXZwZA7YM609NmRc/edit?usp=sharing"",""ปัตตานี!I106"")"),1)</f>
        <v>1</v>
      </c>
      <c r="AG80" s="181">
        <f ca="1">IFERROR(__xludf.DUMMYFUNCTION("IMPORTRANGE(""https://docs.google.com/spreadsheets/d/1IwnW3-jjRf74MCLW-6PiFwMUffRQXZwZA7YM609NmRc/edit?usp=sharing"",""ปัตตานี!J106"")"),0)</f>
        <v>0</v>
      </c>
      <c r="AH80" s="181">
        <f ca="1">IFERROR(__xludf.DUMMYFUNCTION("IMPORTRANGE(""https://docs.google.com/spreadsheets/d/1IwnW3-jjRf74MCLW-6PiFwMUffRQXZwZA7YM609NmRc/edit?usp=sharing"",""ปัตตานี!J107"")"),0)</f>
        <v>0</v>
      </c>
      <c r="AI80" s="180">
        <f ca="1">IFERROR(__xludf.DUMMYFUNCTION("IMPORTRANGE(""https://docs.google.com/spreadsheets/d/1IwnW3-jjRf74MCLW-6PiFwMUffRQXZwZA7YM609NmRc/edit?usp=sharing"",""ปัตตานี!I109"")"),1)</f>
        <v>1</v>
      </c>
      <c r="AJ80" s="181">
        <f ca="1">IFERROR(__xludf.DUMMYFUNCTION("IMPORTRANGE(""https://docs.google.com/spreadsheets/d/1IwnW3-jjRf74MCLW-6PiFwMUffRQXZwZA7YM609NmRc/edit?usp=sharing"",""ปัตตานี!J109"")"),0)</f>
        <v>0</v>
      </c>
      <c r="AK80" s="181">
        <f ca="1">IFERROR(__xludf.DUMMYFUNCTION("IMPORTRANGE(""https://docs.google.com/spreadsheets/d/1IwnW3-jjRf74MCLW-6PiFwMUffRQXZwZA7YM609NmRc/edit?usp=sharing"",""ปัตตานี!J110"")"),0)</f>
        <v>0</v>
      </c>
      <c r="AL80" s="180">
        <f ca="1">IFERROR(__xludf.DUMMYFUNCTION("IMPORTRANGE(""https://docs.google.com/spreadsheets/d/1IwnW3-jjRf74MCLW-6PiFwMUffRQXZwZA7YM609NmRc/edit?usp=sharing"",""ปัตตานี!I111"")"),10)</f>
        <v>10</v>
      </c>
      <c r="AM80" s="180">
        <f ca="1">IFERROR(__xludf.DUMMYFUNCTION("IMPORTRANGE(""https://docs.google.com/spreadsheets/d/1IwnW3-jjRf74MCLW-6PiFwMUffRQXZwZA7YM609NmRc/edit?usp=sharing"",""ปัตตานี!I112"")"),2)</f>
        <v>2</v>
      </c>
      <c r="AN80" s="181">
        <f ca="1">IFERROR(__xludf.DUMMYFUNCTION("IMPORTRANGE(""https://docs.google.com/spreadsheets/d/1IwnW3-jjRf74MCLW-6PiFwMUffRQXZwZA7YM609NmRc/edit?usp=sharing"",""ปัตตานี!J111"")"),0)</f>
        <v>0</v>
      </c>
      <c r="AO80" s="181">
        <f t="shared" ca="1" si="15"/>
        <v>0</v>
      </c>
      <c r="AP80" s="181">
        <f ca="1">IFERROR(__xludf.DUMMYFUNCTION("IMPORTRANGE(""https://docs.google.com/spreadsheets/d/1IwnW3-jjRf74MCLW-6PiFwMUffRQXZwZA7YM609NmRc/edit?usp=sharing"",""ปัตตานี!J112"")"),0)</f>
        <v>0</v>
      </c>
      <c r="AQ80" s="183">
        <f t="shared" ca="1" si="16"/>
        <v>0</v>
      </c>
      <c r="AR80" s="180">
        <f ca="1">IFERROR(__xludf.DUMMYFUNCTION("IMPORTRANGE(""https://docs.google.com/spreadsheets/d/1IwnW3-jjRf74MCLW-6PiFwMUffRQXZwZA7YM609NmRc/edit?usp=sharing"",""ปัตตานี!I113"")"),10)</f>
        <v>10</v>
      </c>
      <c r="AS80" s="180">
        <f ca="1">IFERROR(__xludf.DUMMYFUNCTION("IMPORTRANGE(""https://docs.google.com/spreadsheets/d/1IwnW3-jjRf74MCLW-6PiFwMUffRQXZwZA7YM609NmRc/edit?usp=sharing"",""ปัตตานี!J113"")"),0)</f>
        <v>0</v>
      </c>
      <c r="AT80" s="180">
        <f ca="1">IFERROR(__xludf.DUMMYFUNCTION("IMPORTRANGE(""https://docs.google.com/spreadsheets/d/1IwnW3-jjRf74MCLW-6PiFwMUffRQXZwZA7YM609NmRc/edit?usp=sharing"",""ปัตตานี!J114"")"),0)</f>
        <v>0</v>
      </c>
      <c r="AU80" s="180">
        <f ca="1">IFERROR(__xludf.DUMMYFUNCTION("IMPORTRANGE(""https://docs.google.com/spreadsheets/d/1IwnW3-jjRf74MCLW-6PiFwMUffRQXZwZA7YM609NmRc/edit?usp=sharing"",""ปัตตานี!I115"")"),1)</f>
        <v>1</v>
      </c>
      <c r="AV80" s="181">
        <f ca="1">IFERROR(__xludf.DUMMYFUNCTION("IMPORTRANGE(""https://docs.google.com/spreadsheets/d/1IwnW3-jjRf74MCLW-6PiFwMUffRQXZwZA7YM609NmRc/edit?usp=sharing"",""ปัตตานี!J115"")"),0)</f>
        <v>0</v>
      </c>
      <c r="AW80" s="183">
        <f t="shared" ca="1" si="18"/>
        <v>0</v>
      </c>
      <c r="AX80" s="180">
        <f ca="1">IFERROR(__xludf.DUMMYFUNCTION("IMPORTRANGE(""https://docs.google.com/spreadsheets/d/1IwnW3-jjRf74MCLW-6PiFwMUffRQXZwZA7YM609NmRc/edit?usp=sharing"",""ปัตตานี!I116"")"),1)</f>
        <v>1</v>
      </c>
      <c r="AY80" s="181">
        <f ca="1">IFERROR(__xludf.DUMMYFUNCTION("IMPORTRANGE(""https://docs.google.com/spreadsheets/d/1IwnW3-jjRf74MCLW-6PiFwMUffRQXZwZA7YM609NmRc/edit?usp=sharing"",""ปัตตานี!J116"")"),0)</f>
        <v>0</v>
      </c>
      <c r="AZ80" s="183">
        <f t="shared" ca="1" si="20"/>
        <v>0</v>
      </c>
    </row>
    <row r="81" spans="1:52" ht="21" customHeight="1" x14ac:dyDescent="0.3">
      <c r="A81" s="176">
        <v>7</v>
      </c>
      <c r="B81" s="177" t="s">
        <v>103</v>
      </c>
      <c r="C81" s="178">
        <f t="shared" ca="1" si="0"/>
        <v>333500</v>
      </c>
      <c r="D81" s="179">
        <f t="shared" ca="1" si="63"/>
        <v>333500</v>
      </c>
      <c r="E81" s="180">
        <f ca="1">IFERROR(__xludf.DUMMYFUNCTION("IMPORTRANGE(""https://docs.google.com/spreadsheets/d/1MeEWN-I1oV_STSDYn1IFDPWt_1FKiwhDph83XaGc0o0/edit?usp=sharing"",""งบพรบ!AR81"")"),302300)</f>
        <v>302300</v>
      </c>
      <c r="F81" s="180">
        <f ca="1">IFERROR(__xludf.DUMMYFUNCTION("IMPORTRANGE(""https://docs.google.com/spreadsheets/d/1MeEWN-I1oV_STSDYn1IFDPWt_1FKiwhDph83XaGc0o0/edit?usp=sharing"",""งบพรบ!AS81"")"),31200)</f>
        <v>31200</v>
      </c>
      <c r="G81" s="180">
        <f ca="1">IFERROR(__xludf.DUMMYFUNCTION("IMPORTRANGE(""https://docs.google.com/spreadsheets/d/1MeEWN-I1oV_STSDYn1IFDPWt_1FKiwhDph83XaGc0o0/edit?usp=sharing"",""งบพรบ!AT81"")"),0)</f>
        <v>0</v>
      </c>
      <c r="H81" s="180">
        <f ca="1">IFERROR(__xludf.DUMMYFUNCTION("IMPORTRANGE(""https://docs.google.com/spreadsheets/d/1MeEWN-I1oV_STSDYn1IFDPWt_1FKiwhDph83XaGc0o0/edit?usp=sharing"",""งบพรบ!AV81"")"),252800)</f>
        <v>252800</v>
      </c>
      <c r="I81" s="180">
        <f ca="1">IFERROR(__xludf.DUMMYFUNCTION("IMPORTRANGE(""https://docs.google.com/spreadsheets/d/1MeEWN-I1oV_STSDYn1IFDPWt_1FKiwhDph83XaGc0o0/edit?usp=sharing"",""งบพรบ!AW81"")"),0)</f>
        <v>0</v>
      </c>
      <c r="J81" s="180">
        <f t="shared" ca="1" si="3"/>
        <v>87716.68</v>
      </c>
      <c r="K81" s="187">
        <f t="shared" ca="1" si="4"/>
        <v>26.301853073463267</v>
      </c>
      <c r="L81" s="180">
        <f ca="1">IFERROR(__xludf.DUMMYFUNCTION("IMPORTRANGE(""https://docs.google.com/spreadsheets/d/1MeEWN-I1oV_STSDYn1IFDPWt_1FKiwhDph83XaGc0o0/edit?usp=sharing"",""งบพรบ!AX81"")"),87716.68)</f>
        <v>87716.68</v>
      </c>
      <c r="M81" s="183">
        <f t="shared" ca="1" si="5"/>
        <v>26.301853073463267</v>
      </c>
      <c r="N81" s="183">
        <f t="shared" ca="1" si="6"/>
        <v>34.698053797468354</v>
      </c>
      <c r="O81" s="184">
        <f ca="1">IFERROR(__xludf.DUMMYFUNCTION("IMPORTRANGE(""https://docs.google.com/spreadsheets/d/1MeEWN-I1oV_STSDYn1IFDPWt_1FKiwhDph83XaGc0o0/edit?usp=sharing"",""งบพรบ!AY81"")"),0)</f>
        <v>0</v>
      </c>
      <c r="P81" s="184">
        <f t="shared" ca="1" si="36"/>
        <v>0</v>
      </c>
      <c r="Q81" s="183">
        <f t="shared" ca="1" si="8"/>
        <v>0</v>
      </c>
      <c r="R81" s="181">
        <f ca="1">IFERROR(__xludf.DUMMYFUNCTION("IMPORTRANGE(""https://docs.google.com/spreadsheets/d/1vl4QWbWdFruual5o_wdo6ZSqXZ_it806oja4CctTLKs/edit?usp=sharing"",""พังงา!I98"")"),0)</f>
        <v>0</v>
      </c>
      <c r="S81" s="181">
        <f ca="1">IFERROR(__xludf.DUMMYFUNCTION("IMPORTRANGE(""https://docs.google.com/spreadsheets/d/1vl4QWbWdFruual5o_wdo6ZSqXZ_it806oja4CctTLKs/edit?usp=sharing"",""พังงา!J98"")"),0)</f>
        <v>0</v>
      </c>
      <c r="T81" s="181">
        <f t="shared" ca="1" si="10"/>
        <v>0</v>
      </c>
      <c r="U81" s="181">
        <f ca="1">IFERROR(__xludf.DUMMYFUNCTION("IMPORTRANGE(""https://docs.google.com/spreadsheets/d/1vl4QWbWdFruual5o_wdo6ZSqXZ_it806oja4CctTLKs/edit?usp=sharing"",""พังงา!I99"")"),0)</f>
        <v>0</v>
      </c>
      <c r="V81" s="181">
        <f ca="1">IFERROR(__xludf.DUMMYFUNCTION("IMPORTRANGE(""https://docs.google.com/spreadsheets/d/1vl4QWbWdFruual5o_wdo6ZSqXZ_it806oja4CctTLKs/edit?usp=sharing"",""พังงา!I100"")"),1)</f>
        <v>1</v>
      </c>
      <c r="W81" s="181">
        <f ca="1">IFERROR(__xludf.DUMMYFUNCTION("IMPORTRANGE(""https://docs.google.com/spreadsheets/d/1vl4QWbWdFruual5o_wdo6ZSqXZ_it806oja4CctTLKs/edit?usp=sharing"",""พังงา!J99"")"),0)</f>
        <v>0</v>
      </c>
      <c r="X81" s="185">
        <f t="shared" ca="1" si="12"/>
        <v>0</v>
      </c>
      <c r="Y81" s="186">
        <f ca="1">IFERROR(__xludf.DUMMYFUNCTION("IMPORTRANGE(""https://docs.google.com/spreadsheets/d/1vl4QWbWdFruual5o_wdo6ZSqXZ_it806oja4CctTLKs/edit?usp=sharing"",""พังงา!J100"")"),0)</f>
        <v>0</v>
      </c>
      <c r="Z81" s="185">
        <f t="shared" ca="1" si="13"/>
        <v>0</v>
      </c>
      <c r="AA81" s="180">
        <f ca="1">IFERROR(__xludf.DUMMYFUNCTION("IMPORTRANGE(""https://docs.google.com/spreadsheets/d/1vl4QWbWdFruual5o_wdo6ZSqXZ_it806oja4CctTLKs/edit?usp=sharing"",""พังงา!I102"")"),0)</f>
        <v>0</v>
      </c>
      <c r="AB81" s="180">
        <f ca="1">IFERROR(__xludf.DUMMYFUNCTION("IMPORTRANGE(""https://docs.google.com/spreadsheets/d/1vl4QWbWdFruual5o_wdo6ZSqXZ_it806oja4CctTLKs/edit?usp=sharing"",""พังงา!I103"")"),0)</f>
        <v>0</v>
      </c>
      <c r="AC81" s="181">
        <f ca="1">IFERROR(__xludf.DUMMYFUNCTION("IMPORTRANGE(""https://docs.google.com/spreadsheets/d/1vl4QWbWdFruual5o_wdo6ZSqXZ_it806oja4CctTLKs/edit?usp=sharing"",""พังงา!J102"")"),0)</f>
        <v>0</v>
      </c>
      <c r="AD81" s="181">
        <f ca="1">IFERROR(__xludf.DUMMYFUNCTION("IMPORTRANGE(""https://docs.google.com/spreadsheets/d/1vl4QWbWdFruual5o_wdo6ZSqXZ_it806oja4CctTLKs/edit?usp=sharing"",""พังงา!J103"")"),0)</f>
        <v>0</v>
      </c>
      <c r="AE81" s="181">
        <f ca="1">IFERROR(__xludf.DUMMYFUNCTION("IMPORTRANGE(""https://docs.google.com/spreadsheets/d/1vl4QWbWdFruual5o_wdo6ZSqXZ_it806oja4CctTLKs/edit?usp=sharing"",""พังงา!J104"")"),0)</f>
        <v>0</v>
      </c>
      <c r="AF81" s="180">
        <f ca="1">IFERROR(__xludf.DUMMYFUNCTION("IMPORTRANGE(""https://docs.google.com/spreadsheets/d/1vl4QWbWdFruual5o_wdo6ZSqXZ_it806oja4CctTLKs/edit?usp=sharing"",""พังงา!I106"")"),1)</f>
        <v>1</v>
      </c>
      <c r="AG81" s="181">
        <f ca="1">IFERROR(__xludf.DUMMYFUNCTION("IMPORTRANGE(""https://docs.google.com/spreadsheets/d/1vl4QWbWdFruual5o_wdo6ZSqXZ_it806oja4CctTLKs/edit?usp=sharing"",""พังงา!J106"")"),0)</f>
        <v>0</v>
      </c>
      <c r="AH81" s="181">
        <f ca="1">IFERROR(__xludf.DUMMYFUNCTION("IMPORTRANGE(""https://docs.google.com/spreadsheets/d/1vl4QWbWdFruual5o_wdo6ZSqXZ_it806oja4CctTLKs/edit?usp=sharing"",""พังงา!J107"")"),0)</f>
        <v>0</v>
      </c>
      <c r="AI81" s="180">
        <f ca="1">IFERROR(__xludf.DUMMYFUNCTION("IMPORTRANGE(""https://docs.google.com/spreadsheets/d/1vl4QWbWdFruual5o_wdo6ZSqXZ_it806oja4CctTLKs/edit?usp=sharing"",""พังงา!I109"")"),0)</f>
        <v>0</v>
      </c>
      <c r="AJ81" s="181">
        <f ca="1">IFERROR(__xludf.DUMMYFUNCTION("IMPORTRANGE(""https://docs.google.com/spreadsheets/d/1vl4QWbWdFruual5o_wdo6ZSqXZ_it806oja4CctTLKs/edit?usp=sharing"",""พังงา!J109"")"),0)</f>
        <v>0</v>
      </c>
      <c r="AK81" s="181">
        <f ca="1">IFERROR(__xludf.DUMMYFUNCTION("IMPORTRANGE(""https://docs.google.com/spreadsheets/d/1vl4QWbWdFruual5o_wdo6ZSqXZ_it806oja4CctTLKs/edit?usp=sharing"",""พังงา!J110"")"),0)</f>
        <v>0</v>
      </c>
      <c r="AL81" s="180">
        <f ca="1">IFERROR(__xludf.DUMMYFUNCTION("IMPORTRANGE(""https://docs.google.com/spreadsheets/d/1vl4QWbWdFruual5o_wdo6ZSqXZ_it806oja4CctTLKs/edit?usp=sharing"",""พังงา!I111"")"),0)</f>
        <v>0</v>
      </c>
      <c r="AM81" s="180">
        <f ca="1">IFERROR(__xludf.DUMMYFUNCTION("IMPORTRANGE(""https://docs.google.com/spreadsheets/d/1vl4QWbWdFruual5o_wdo6ZSqXZ_it806oja4CctTLKs/edit?usp=sharing"",""พังงา!I112"")"),1)</f>
        <v>1</v>
      </c>
      <c r="AN81" s="181">
        <f ca="1">IFERROR(__xludf.DUMMYFUNCTION("IMPORTRANGE(""https://docs.google.com/spreadsheets/d/1vl4QWbWdFruual5o_wdo6ZSqXZ_it806oja4CctTLKs/edit?usp=sharing"",""พังงา!J111"")"),0)</f>
        <v>0</v>
      </c>
      <c r="AO81" s="181">
        <f t="shared" ca="1" si="15"/>
        <v>0</v>
      </c>
      <c r="AP81" s="181">
        <f ca="1">IFERROR(__xludf.DUMMYFUNCTION("IMPORTRANGE(""https://docs.google.com/spreadsheets/d/1vl4QWbWdFruual5o_wdo6ZSqXZ_it806oja4CctTLKs/edit?usp=sharing"",""พังงา!J112"")"),0)</f>
        <v>0</v>
      </c>
      <c r="AQ81" s="183">
        <f t="shared" ca="1" si="16"/>
        <v>0</v>
      </c>
      <c r="AR81" s="180">
        <f ca="1">IFERROR(__xludf.DUMMYFUNCTION("IMPORTRANGE(""https://docs.google.com/spreadsheets/d/1vl4QWbWdFruual5o_wdo6ZSqXZ_it806oja4CctTLKs/edit?usp=sharing"",""พังงา!I113"")"),0)</f>
        <v>0</v>
      </c>
      <c r="AS81" s="180">
        <f ca="1">IFERROR(__xludf.DUMMYFUNCTION("IMPORTRANGE(""https://docs.google.com/spreadsheets/d/1vl4QWbWdFruual5o_wdo6ZSqXZ_it806oja4CctTLKs/edit?usp=sharing"",""พังงา!J113"")"),0)</f>
        <v>0</v>
      </c>
      <c r="AT81" s="180">
        <f ca="1">IFERROR(__xludf.DUMMYFUNCTION("IMPORTRANGE(""https://docs.google.com/spreadsheets/d/1vl4QWbWdFruual5o_wdo6ZSqXZ_it806oja4CctTLKs/edit?usp=sharing"",""พังงา!J114"")"),0)</f>
        <v>0</v>
      </c>
      <c r="AU81" s="180">
        <f ca="1">IFERROR(__xludf.DUMMYFUNCTION("IMPORTRANGE(""https://docs.google.com/spreadsheets/d/1vl4QWbWdFruual5o_wdo6ZSqXZ_it806oja4CctTLKs/edit?usp=sharing"",""พังงา!I115"")"),1)</f>
        <v>1</v>
      </c>
      <c r="AV81" s="181">
        <f ca="1">IFERROR(__xludf.DUMMYFUNCTION("IMPORTRANGE(""https://docs.google.com/spreadsheets/d/1vl4QWbWdFruual5o_wdo6ZSqXZ_it806oja4CctTLKs/edit?usp=sharing"",""พังงา!J115"")"),0)</f>
        <v>0</v>
      </c>
      <c r="AW81" s="183">
        <f t="shared" ca="1" si="18"/>
        <v>0</v>
      </c>
      <c r="AX81" s="180">
        <f ca="1">IFERROR(__xludf.DUMMYFUNCTION("IMPORTRANGE(""https://docs.google.com/spreadsheets/d/1vl4QWbWdFruual5o_wdo6ZSqXZ_it806oja4CctTLKs/edit?usp=sharing"",""พังงา!I116"")"),0)</f>
        <v>0</v>
      </c>
      <c r="AY81" s="181">
        <f ca="1">IFERROR(__xludf.DUMMYFUNCTION("IMPORTRANGE(""https://docs.google.com/spreadsheets/d/1vl4QWbWdFruual5o_wdo6ZSqXZ_it806oja4CctTLKs/edit?usp=sharing"",""พังงา!J116"")"),0)</f>
        <v>0</v>
      </c>
      <c r="AZ81" s="183">
        <f t="shared" ca="1" si="20"/>
        <v>0</v>
      </c>
    </row>
    <row r="82" spans="1:52" ht="21" customHeight="1" x14ac:dyDescent="0.3">
      <c r="A82" s="176">
        <v>8</v>
      </c>
      <c r="B82" s="177" t="s">
        <v>104</v>
      </c>
      <c r="C82" s="178">
        <f t="shared" ca="1" si="0"/>
        <v>86340</v>
      </c>
      <c r="D82" s="179">
        <f t="shared" ca="1" si="63"/>
        <v>86340</v>
      </c>
      <c r="E82" s="180">
        <f ca="1">IFERROR(__xludf.DUMMYFUNCTION("IMPORTRANGE(""https://docs.google.com/spreadsheets/d/1MeEWN-I1oV_STSDYn1IFDPWt_1FKiwhDph83XaGc0o0/edit?usp=sharing"",""งบพรบ!AR82"")"),0)</f>
        <v>0</v>
      </c>
      <c r="F82" s="180">
        <f ca="1">IFERROR(__xludf.DUMMYFUNCTION("IMPORTRANGE(""https://docs.google.com/spreadsheets/d/1MeEWN-I1oV_STSDYn1IFDPWt_1FKiwhDph83XaGc0o0/edit?usp=sharing"",""งบพรบ!AS82"")"),86340)</f>
        <v>86340</v>
      </c>
      <c r="G82" s="180">
        <f ca="1">IFERROR(__xludf.DUMMYFUNCTION("IMPORTRANGE(""https://docs.google.com/spreadsheets/d/1MeEWN-I1oV_STSDYn1IFDPWt_1FKiwhDph83XaGc0o0/edit?usp=sharing"",""งบพรบ!AT82"")"),0)</f>
        <v>0</v>
      </c>
      <c r="H82" s="180">
        <f ca="1">IFERROR(__xludf.DUMMYFUNCTION("IMPORTRANGE(""https://docs.google.com/spreadsheets/d/1MeEWN-I1oV_STSDYn1IFDPWt_1FKiwhDph83XaGc0o0/edit?usp=sharing"",""งบพรบ!AV82"")"),79640)</f>
        <v>79640</v>
      </c>
      <c r="I82" s="180">
        <f ca="1">IFERROR(__xludf.DUMMYFUNCTION("IMPORTRANGE(""https://docs.google.com/spreadsheets/d/1MeEWN-I1oV_STSDYn1IFDPWt_1FKiwhDph83XaGc0o0/edit?usp=sharing"",""งบพรบ!AW82"")"),0)</f>
        <v>0</v>
      </c>
      <c r="J82" s="180">
        <f t="shared" ca="1" si="3"/>
        <v>20200</v>
      </c>
      <c r="K82" s="187">
        <f t="shared" ca="1" si="4"/>
        <v>23.395876766272874</v>
      </c>
      <c r="L82" s="180">
        <f ca="1">IFERROR(__xludf.DUMMYFUNCTION("IMPORTRANGE(""https://docs.google.com/spreadsheets/d/1MeEWN-I1oV_STSDYn1IFDPWt_1FKiwhDph83XaGc0o0/edit?usp=sharing"",""งบพรบ!AX82"")"),20200)</f>
        <v>20200</v>
      </c>
      <c r="M82" s="183">
        <f t="shared" ca="1" si="5"/>
        <v>23.395876766272874</v>
      </c>
      <c r="N82" s="183">
        <f t="shared" ca="1" si="6"/>
        <v>25.364138623807133</v>
      </c>
      <c r="O82" s="184">
        <f ca="1">IFERROR(__xludf.DUMMYFUNCTION("IMPORTRANGE(""https://docs.google.com/spreadsheets/d/1MeEWN-I1oV_STSDYn1IFDPWt_1FKiwhDph83XaGc0o0/edit?usp=sharing"",""งบพรบ!AY82"")"),0)</f>
        <v>0</v>
      </c>
      <c r="P82" s="184">
        <f t="shared" ca="1" si="36"/>
        <v>0</v>
      </c>
      <c r="Q82" s="183">
        <f t="shared" ca="1" si="8"/>
        <v>0</v>
      </c>
      <c r="R82" s="181">
        <f ca="1">IFERROR(__xludf.DUMMYFUNCTION("IMPORTRANGE(""https://docs.google.com/spreadsheets/d/1b6QssHQp2FoAPSMKHOy273KNzAomaIKhtdlvuZ_zDNE/edit?usp=sharing"",""พัทลุง!I98"")"),30)</f>
        <v>30</v>
      </c>
      <c r="S82" s="181">
        <f ca="1">IFERROR(__xludf.DUMMYFUNCTION("IMPORTRANGE(""https://docs.google.com/spreadsheets/d/1b6QssHQp2FoAPSMKHOy273KNzAomaIKhtdlvuZ_zDNE/edit?usp=sharing"",""พัทลุง!J98"")"),0)</f>
        <v>0</v>
      </c>
      <c r="T82" s="181">
        <f t="shared" ca="1" si="10"/>
        <v>0</v>
      </c>
      <c r="U82" s="181">
        <f ca="1">IFERROR(__xludf.DUMMYFUNCTION("IMPORTRANGE(""https://docs.google.com/spreadsheets/d/1b6QssHQp2FoAPSMKHOy273KNzAomaIKhtdlvuZ_zDNE/edit?usp=sharing"",""พัทลุง!I99"")"),10)</f>
        <v>10</v>
      </c>
      <c r="V82" s="181">
        <f ca="1">IFERROR(__xludf.DUMMYFUNCTION("IMPORTRANGE(""https://docs.google.com/spreadsheets/d/1b6QssHQp2FoAPSMKHOy273KNzAomaIKhtdlvuZ_zDNE/edit?usp=sharing"",""พัทลุง!I100"")"),2)</f>
        <v>2</v>
      </c>
      <c r="W82" s="181">
        <f ca="1">IFERROR(__xludf.DUMMYFUNCTION("IMPORTRANGE(""https://docs.google.com/spreadsheets/d/1b6QssHQp2FoAPSMKHOy273KNzAomaIKhtdlvuZ_zDNE/edit?usp=sharing"",""พัทลุง!J99"")"),10)</f>
        <v>10</v>
      </c>
      <c r="X82" s="185">
        <f t="shared" ca="1" si="12"/>
        <v>100</v>
      </c>
      <c r="Y82" s="186">
        <f ca="1">IFERROR(__xludf.DUMMYFUNCTION("IMPORTRANGE(""https://docs.google.com/spreadsheets/d/1b6QssHQp2FoAPSMKHOy273KNzAomaIKhtdlvuZ_zDNE/edit?usp=sharing"",""พัทลุง!J100"")"),0)</f>
        <v>0</v>
      </c>
      <c r="Z82" s="185">
        <f t="shared" ca="1" si="13"/>
        <v>0</v>
      </c>
      <c r="AA82" s="180">
        <f ca="1">IFERROR(__xludf.DUMMYFUNCTION("IMPORTRANGE(""https://docs.google.com/spreadsheets/d/1b6QssHQp2FoAPSMKHOy273KNzAomaIKhtdlvuZ_zDNE/edit?usp=sharing"",""พัทลุง!I102"")"),30)</f>
        <v>30</v>
      </c>
      <c r="AB82" s="180">
        <f ca="1">IFERROR(__xludf.DUMMYFUNCTION("IMPORTRANGE(""https://docs.google.com/spreadsheets/d/1b6QssHQp2FoAPSMKHOy273KNzAomaIKhtdlvuZ_zDNE/edit?usp=sharing"",""พัทลุง!I103"")"),10)</f>
        <v>10</v>
      </c>
      <c r="AC82" s="181">
        <f ca="1">IFERROR(__xludf.DUMMYFUNCTION("IMPORTRANGE(""https://docs.google.com/spreadsheets/d/1b6QssHQp2FoAPSMKHOy273KNzAomaIKhtdlvuZ_zDNE/edit?usp=sharing"",""พัทลุง!J102"")"),0)</f>
        <v>0</v>
      </c>
      <c r="AD82" s="181">
        <f ca="1">IFERROR(__xludf.DUMMYFUNCTION("IMPORTRANGE(""https://docs.google.com/spreadsheets/d/1b6QssHQp2FoAPSMKHOy273KNzAomaIKhtdlvuZ_zDNE/edit?usp=sharing"",""พัทลุง!J103"")"),10)</f>
        <v>10</v>
      </c>
      <c r="AE82" s="181">
        <f ca="1">IFERROR(__xludf.DUMMYFUNCTION("IMPORTRANGE(""https://docs.google.com/spreadsheets/d/1b6QssHQp2FoAPSMKHOy273KNzAomaIKhtdlvuZ_zDNE/edit?usp=sharing"",""พัทลุง!J104"")"),10)</f>
        <v>10</v>
      </c>
      <c r="AF82" s="180">
        <f ca="1">IFERROR(__xludf.DUMMYFUNCTION("IMPORTRANGE(""https://docs.google.com/spreadsheets/d/1b6QssHQp2FoAPSMKHOy273KNzAomaIKhtdlvuZ_zDNE/edit?usp=sharing"",""พัทลุง!I106"")"),1)</f>
        <v>1</v>
      </c>
      <c r="AG82" s="181">
        <f ca="1">IFERROR(__xludf.DUMMYFUNCTION("IMPORTRANGE(""https://docs.google.com/spreadsheets/d/1b6QssHQp2FoAPSMKHOy273KNzAomaIKhtdlvuZ_zDNE/edit?usp=sharing"",""พัทลุง!J106"")"),0)</f>
        <v>0</v>
      </c>
      <c r="AH82" s="181">
        <f ca="1">IFERROR(__xludf.DUMMYFUNCTION("IMPORTRANGE(""https://docs.google.com/spreadsheets/d/1b6QssHQp2FoAPSMKHOy273KNzAomaIKhtdlvuZ_zDNE/edit?usp=sharing"",""พัทลุง!J107"")"),0)</f>
        <v>0</v>
      </c>
      <c r="AI82" s="180">
        <f ca="1">IFERROR(__xludf.DUMMYFUNCTION("IMPORTRANGE(""https://docs.google.com/spreadsheets/d/1b6QssHQp2FoAPSMKHOy273KNzAomaIKhtdlvuZ_zDNE/edit?usp=sharing"",""พัทลุง!I109"")"),1)</f>
        <v>1</v>
      </c>
      <c r="AJ82" s="181">
        <f ca="1">IFERROR(__xludf.DUMMYFUNCTION("IMPORTRANGE(""https://docs.google.com/spreadsheets/d/1b6QssHQp2FoAPSMKHOy273KNzAomaIKhtdlvuZ_zDNE/edit?usp=sharing"",""พัทลุง!J109"")"),0)</f>
        <v>0</v>
      </c>
      <c r="AK82" s="181">
        <f ca="1">IFERROR(__xludf.DUMMYFUNCTION("IMPORTRANGE(""https://docs.google.com/spreadsheets/d/1b6QssHQp2FoAPSMKHOy273KNzAomaIKhtdlvuZ_zDNE/edit?usp=sharing"",""พัทลุง!J110"")"),0)</f>
        <v>0</v>
      </c>
      <c r="AL82" s="180">
        <f ca="1">IFERROR(__xludf.DUMMYFUNCTION("IMPORTRANGE(""https://docs.google.com/spreadsheets/d/1b6QssHQp2FoAPSMKHOy273KNzAomaIKhtdlvuZ_zDNE/edit?usp=sharing"",""พัทลุง!I111"")"),10)</f>
        <v>10</v>
      </c>
      <c r="AM82" s="180">
        <f ca="1">IFERROR(__xludf.DUMMYFUNCTION("IMPORTRANGE(""https://docs.google.com/spreadsheets/d/1b6QssHQp2FoAPSMKHOy273KNzAomaIKhtdlvuZ_zDNE/edit?usp=sharing"",""พัทลุง!I112"")"),2)</f>
        <v>2</v>
      </c>
      <c r="AN82" s="181">
        <f ca="1">IFERROR(__xludf.DUMMYFUNCTION("IMPORTRANGE(""https://docs.google.com/spreadsheets/d/1b6QssHQp2FoAPSMKHOy273KNzAomaIKhtdlvuZ_zDNE/edit?usp=sharing"",""พัทลุง!J111"")"),0)</f>
        <v>0</v>
      </c>
      <c r="AO82" s="181">
        <f t="shared" ca="1" si="15"/>
        <v>0</v>
      </c>
      <c r="AP82" s="181">
        <f ca="1">IFERROR(__xludf.DUMMYFUNCTION("IMPORTRANGE(""https://docs.google.com/spreadsheets/d/1b6QssHQp2FoAPSMKHOy273KNzAomaIKhtdlvuZ_zDNE/edit?usp=sharing"",""พัทลุง!J112"")"),0)</f>
        <v>0</v>
      </c>
      <c r="AQ82" s="183">
        <f t="shared" ca="1" si="16"/>
        <v>0</v>
      </c>
      <c r="AR82" s="180">
        <f ca="1">IFERROR(__xludf.DUMMYFUNCTION("IMPORTRANGE(""https://docs.google.com/spreadsheets/d/1b6QssHQp2FoAPSMKHOy273KNzAomaIKhtdlvuZ_zDNE/edit?usp=sharing"",""พัทลุง!I113"")"),10)</f>
        <v>10</v>
      </c>
      <c r="AS82" s="180">
        <f ca="1">IFERROR(__xludf.DUMMYFUNCTION("IMPORTRANGE(""https://docs.google.com/spreadsheets/d/1b6QssHQp2FoAPSMKHOy273KNzAomaIKhtdlvuZ_zDNE/edit?usp=sharing"",""พัทลุง!J113"")"),0)</f>
        <v>0</v>
      </c>
      <c r="AT82" s="180">
        <f ca="1">IFERROR(__xludf.DUMMYFUNCTION("IMPORTRANGE(""https://docs.google.com/spreadsheets/d/1b6QssHQp2FoAPSMKHOy273KNzAomaIKhtdlvuZ_zDNE/edit?usp=sharing"",""พัทลุง!J114"")"),0)</f>
        <v>0</v>
      </c>
      <c r="AU82" s="180">
        <f ca="1">IFERROR(__xludf.DUMMYFUNCTION("IMPORTRANGE(""https://docs.google.com/spreadsheets/d/1b6QssHQp2FoAPSMKHOy273KNzAomaIKhtdlvuZ_zDNE/edit?usp=sharing"",""พัทลุง!I115"")"),1)</f>
        <v>1</v>
      </c>
      <c r="AV82" s="181">
        <f ca="1">IFERROR(__xludf.DUMMYFUNCTION("IMPORTRANGE(""https://docs.google.com/spreadsheets/d/1b6QssHQp2FoAPSMKHOy273KNzAomaIKhtdlvuZ_zDNE/edit?usp=sharing"",""พัทลุง!J115"")"),0)</f>
        <v>0</v>
      </c>
      <c r="AW82" s="183">
        <f t="shared" ca="1" si="18"/>
        <v>0</v>
      </c>
      <c r="AX82" s="180">
        <f ca="1">IFERROR(__xludf.DUMMYFUNCTION("IMPORTRANGE(""https://docs.google.com/spreadsheets/d/1b6QssHQp2FoAPSMKHOy273KNzAomaIKhtdlvuZ_zDNE/edit?usp=sharing"",""พัทลุง!I116"")"),1)</f>
        <v>1</v>
      </c>
      <c r="AY82" s="181">
        <f ca="1">IFERROR(__xludf.DUMMYFUNCTION("IMPORTRANGE(""https://docs.google.com/spreadsheets/d/1b6QssHQp2FoAPSMKHOy273KNzAomaIKhtdlvuZ_zDNE/edit?usp=sharing"",""พัทลุง!J116"")"),0)</f>
        <v>0</v>
      </c>
      <c r="AZ82" s="183">
        <f t="shared" ca="1" si="20"/>
        <v>0</v>
      </c>
    </row>
    <row r="83" spans="1:52" ht="21" customHeight="1" x14ac:dyDescent="0.3">
      <c r="A83" s="176">
        <v>9</v>
      </c>
      <c r="B83" s="177" t="s">
        <v>105</v>
      </c>
      <c r="C83" s="178">
        <f t="shared" ca="1" si="0"/>
        <v>319000</v>
      </c>
      <c r="D83" s="179">
        <f t="shared" ca="1" si="63"/>
        <v>319000</v>
      </c>
      <c r="E83" s="180">
        <f ca="1">IFERROR(__xludf.DUMMYFUNCTION("IMPORTRANGE(""https://docs.google.com/spreadsheets/d/1MeEWN-I1oV_STSDYn1IFDPWt_1FKiwhDph83XaGc0o0/edit?usp=sharing"",""งบพรบ!AR83"")"),287800)</f>
        <v>287800</v>
      </c>
      <c r="F83" s="180">
        <f ca="1">IFERROR(__xludf.DUMMYFUNCTION("IMPORTRANGE(""https://docs.google.com/spreadsheets/d/1MeEWN-I1oV_STSDYn1IFDPWt_1FKiwhDph83XaGc0o0/edit?usp=sharing"",""งบพรบ!AS83"")"),31200)</f>
        <v>31200</v>
      </c>
      <c r="G83" s="180">
        <f ca="1">IFERROR(__xludf.DUMMYFUNCTION("IMPORTRANGE(""https://docs.google.com/spreadsheets/d/1MeEWN-I1oV_STSDYn1IFDPWt_1FKiwhDph83XaGc0o0/edit?usp=sharing"",""งบพรบ!AT83"")"),0)</f>
        <v>0</v>
      </c>
      <c r="H83" s="180">
        <f ca="1">IFERROR(__xludf.DUMMYFUNCTION("IMPORTRANGE(""https://docs.google.com/spreadsheets/d/1MeEWN-I1oV_STSDYn1IFDPWt_1FKiwhDph83XaGc0o0/edit?usp=sharing"",""งบพรบ!AV83"")"),241950)</f>
        <v>241950</v>
      </c>
      <c r="I83" s="180">
        <f ca="1">IFERROR(__xludf.DUMMYFUNCTION("IMPORTRANGE(""https://docs.google.com/spreadsheets/d/1MeEWN-I1oV_STSDYn1IFDPWt_1FKiwhDph83XaGc0o0/edit?usp=sharing"",""งบพรบ!AW83"")"),0)</f>
        <v>0</v>
      </c>
      <c r="J83" s="180">
        <f t="shared" ca="1" si="3"/>
        <v>135745.63</v>
      </c>
      <c r="K83" s="187">
        <f t="shared" ca="1" si="4"/>
        <v>42.553489028213164</v>
      </c>
      <c r="L83" s="180">
        <f ca="1">IFERROR(__xludf.DUMMYFUNCTION("IMPORTRANGE(""https://docs.google.com/spreadsheets/d/1MeEWN-I1oV_STSDYn1IFDPWt_1FKiwhDph83XaGc0o0/edit?usp=sharing"",""งบพรบ!AX83"")"),135745.63)</f>
        <v>135745.63</v>
      </c>
      <c r="M83" s="183">
        <f t="shared" ca="1" si="5"/>
        <v>42.553489028213164</v>
      </c>
      <c r="N83" s="183">
        <f t="shared" ca="1" si="6"/>
        <v>56.104827443686709</v>
      </c>
      <c r="O83" s="184">
        <f ca="1">IFERROR(__xludf.DUMMYFUNCTION("IMPORTRANGE(""https://docs.google.com/spreadsheets/d/1MeEWN-I1oV_STSDYn1IFDPWt_1FKiwhDph83XaGc0o0/edit?usp=sharing"",""งบพรบ!AY83"")"),0)</f>
        <v>0</v>
      </c>
      <c r="P83" s="184">
        <f t="shared" ca="1" si="36"/>
        <v>0</v>
      </c>
      <c r="Q83" s="183">
        <f t="shared" ca="1" si="8"/>
        <v>0</v>
      </c>
      <c r="R83" s="181">
        <f ca="1">IFERROR(__xludf.DUMMYFUNCTION("IMPORTRANGE(""https://docs.google.com/spreadsheets/d/1o7UZe4_OqlqtLDHrj01Z2YFRSZDf1DMy1n3XViHaxRc/edit?usp=sharing"",""ภูเก็ต!I98"")"),0)</f>
        <v>0</v>
      </c>
      <c r="S83" s="181">
        <f ca="1">IFERROR(__xludf.DUMMYFUNCTION("IMPORTRANGE(""https://docs.google.com/spreadsheets/d/1o7UZe4_OqlqtLDHrj01Z2YFRSZDf1DMy1n3XViHaxRc/edit?usp=sharing"",""ภูเก็ต!J98"")"),0)</f>
        <v>0</v>
      </c>
      <c r="T83" s="181">
        <f t="shared" ca="1" si="10"/>
        <v>0</v>
      </c>
      <c r="U83" s="181">
        <f ca="1">IFERROR(__xludf.DUMMYFUNCTION("IMPORTRANGE(""https://docs.google.com/spreadsheets/d/1o7UZe4_OqlqtLDHrj01Z2YFRSZDf1DMy1n3XViHaxRc/edit?usp=sharing"",""ภูเก็ต!I99"")"),0)</f>
        <v>0</v>
      </c>
      <c r="V83" s="181">
        <f ca="1">IFERROR(__xludf.DUMMYFUNCTION("IMPORTRANGE(""https://docs.google.com/spreadsheets/d/1o7UZe4_OqlqtLDHrj01Z2YFRSZDf1DMy1n3XViHaxRc/edit?usp=sharing"",""ภูเก็ต!I100"")"),1)</f>
        <v>1</v>
      </c>
      <c r="W83" s="181">
        <f ca="1">IFERROR(__xludf.DUMMYFUNCTION("IMPORTRANGE(""https://docs.google.com/spreadsheets/d/1o7UZe4_OqlqtLDHrj01Z2YFRSZDf1DMy1n3XViHaxRc/edit?usp=sharing"",""ภูเก็ต!J99"")"),0)</f>
        <v>0</v>
      </c>
      <c r="X83" s="185">
        <f t="shared" ca="1" si="12"/>
        <v>0</v>
      </c>
      <c r="Y83" s="186">
        <f ca="1">IFERROR(__xludf.DUMMYFUNCTION("IMPORTRANGE(""https://docs.google.com/spreadsheets/d/1o7UZe4_OqlqtLDHrj01Z2YFRSZDf1DMy1n3XViHaxRc/edit?usp=sharing"",""ภูเก็ต!J100"")"),0)</f>
        <v>0</v>
      </c>
      <c r="Z83" s="185">
        <f t="shared" ca="1" si="13"/>
        <v>0</v>
      </c>
      <c r="AA83" s="180">
        <f ca="1">IFERROR(__xludf.DUMMYFUNCTION("IMPORTRANGE(""https://docs.google.com/spreadsheets/d/1o7UZe4_OqlqtLDHrj01Z2YFRSZDf1DMy1n3XViHaxRc/edit?usp=sharing"",""ภูเก็ต!I102"")"),0)</f>
        <v>0</v>
      </c>
      <c r="AB83" s="180">
        <f ca="1">IFERROR(__xludf.DUMMYFUNCTION("IMPORTRANGE(""https://docs.google.com/spreadsheets/d/1o7UZe4_OqlqtLDHrj01Z2YFRSZDf1DMy1n3XViHaxRc/edit?usp=sharing"",""ภูเก็ต!I103"")"),0)</f>
        <v>0</v>
      </c>
      <c r="AC83" s="181">
        <f ca="1">IFERROR(__xludf.DUMMYFUNCTION("IMPORTRANGE(""https://docs.google.com/spreadsheets/d/1o7UZe4_OqlqtLDHrj01Z2YFRSZDf1DMy1n3XViHaxRc/edit?usp=sharing"",""ภูเก็ต!J102"")"),0)</f>
        <v>0</v>
      </c>
      <c r="AD83" s="181">
        <f ca="1">IFERROR(__xludf.DUMMYFUNCTION("IMPORTRANGE(""https://docs.google.com/spreadsheets/d/1o7UZe4_OqlqtLDHrj01Z2YFRSZDf1DMy1n3XViHaxRc/edit?usp=sharing"",""ภูเก็ต!J103"")"),0)</f>
        <v>0</v>
      </c>
      <c r="AE83" s="181">
        <f ca="1">IFERROR(__xludf.DUMMYFUNCTION("IMPORTRANGE(""https://docs.google.com/spreadsheets/d/1o7UZe4_OqlqtLDHrj01Z2YFRSZDf1DMy1n3XViHaxRc/edit?usp=sharing"",""ภูเก็ต!J104"")"),0)</f>
        <v>0</v>
      </c>
      <c r="AF83" s="180">
        <f ca="1">IFERROR(__xludf.DUMMYFUNCTION("IMPORTRANGE(""https://docs.google.com/spreadsheets/d/1o7UZe4_OqlqtLDHrj01Z2YFRSZDf1DMy1n3XViHaxRc/edit?usp=sharing"",""ภูเก็ต!I106"")"),0)</f>
        <v>0</v>
      </c>
      <c r="AG83" s="181">
        <f ca="1">IFERROR(__xludf.DUMMYFUNCTION("IMPORTRANGE(""https://docs.google.com/spreadsheets/d/1o7UZe4_OqlqtLDHrj01Z2YFRSZDf1DMy1n3XViHaxRc/edit?usp=sharing"",""ภูเก็ต!J106"")"),0)</f>
        <v>0</v>
      </c>
      <c r="AH83" s="181">
        <f ca="1">IFERROR(__xludf.DUMMYFUNCTION("IMPORTRANGE(""https://docs.google.com/spreadsheets/d/1o7UZe4_OqlqtLDHrj01Z2YFRSZDf1DMy1n3XViHaxRc/edit?usp=sharing"",""ภูเก็ต!J107"")"),0)</f>
        <v>0</v>
      </c>
      <c r="AI83" s="180">
        <f ca="1">IFERROR(__xludf.DUMMYFUNCTION("IMPORTRANGE(""https://docs.google.com/spreadsheets/d/1o7UZe4_OqlqtLDHrj01Z2YFRSZDf1DMy1n3XViHaxRc/edit?usp=sharing"",""ภูเก็ต!I109"")"),1)</f>
        <v>1</v>
      </c>
      <c r="AJ83" s="181">
        <f ca="1">IFERROR(__xludf.DUMMYFUNCTION("IMPORTRANGE(""https://docs.google.com/spreadsheets/d/1o7UZe4_OqlqtLDHrj01Z2YFRSZDf1DMy1n3XViHaxRc/edit?usp=sharing"",""ภูเก็ต!J109"")"),0)</f>
        <v>0</v>
      </c>
      <c r="AK83" s="181">
        <f ca="1">IFERROR(__xludf.DUMMYFUNCTION("IMPORTRANGE(""https://docs.google.com/spreadsheets/d/1o7UZe4_OqlqtLDHrj01Z2YFRSZDf1DMy1n3XViHaxRc/edit?usp=sharing"",""ภูเก็ต!J110"")"),0)</f>
        <v>0</v>
      </c>
      <c r="AL83" s="180">
        <f ca="1">IFERROR(__xludf.DUMMYFUNCTION("IMPORTRANGE(""https://docs.google.com/spreadsheets/d/1o7UZe4_OqlqtLDHrj01Z2YFRSZDf1DMy1n3XViHaxRc/edit?usp=sharing"",""ภูเก็ต!I111"")"),0)</f>
        <v>0</v>
      </c>
      <c r="AM83" s="180">
        <f ca="1">IFERROR(__xludf.DUMMYFUNCTION("IMPORTRANGE(""https://docs.google.com/spreadsheets/d/1o7UZe4_OqlqtLDHrj01Z2YFRSZDf1DMy1n3XViHaxRc/edit?usp=sharing"",""ภูเก็ต!I112"")"),1)</f>
        <v>1</v>
      </c>
      <c r="AN83" s="181">
        <f ca="1">IFERROR(__xludf.DUMMYFUNCTION("IMPORTRANGE(""https://docs.google.com/spreadsheets/d/1o7UZe4_OqlqtLDHrj01Z2YFRSZDf1DMy1n3XViHaxRc/edit?usp=sharing"",""ภูเก็ต!J111"")"),0)</f>
        <v>0</v>
      </c>
      <c r="AO83" s="181">
        <f t="shared" ca="1" si="15"/>
        <v>0</v>
      </c>
      <c r="AP83" s="181">
        <f ca="1">IFERROR(__xludf.DUMMYFUNCTION("IMPORTRANGE(""https://docs.google.com/spreadsheets/d/1o7UZe4_OqlqtLDHrj01Z2YFRSZDf1DMy1n3XViHaxRc/edit?usp=sharing"",""ภูเก็ต!J112"")"),0)</f>
        <v>0</v>
      </c>
      <c r="AQ83" s="183">
        <f t="shared" ca="1" si="16"/>
        <v>0</v>
      </c>
      <c r="AR83" s="180">
        <f ca="1">IFERROR(__xludf.DUMMYFUNCTION("IMPORTRANGE(""https://docs.google.com/spreadsheets/d/1o7UZe4_OqlqtLDHrj01Z2YFRSZDf1DMy1n3XViHaxRc/edit?usp=sharing"",""ภูเก็ต!I113"")"),0)</f>
        <v>0</v>
      </c>
      <c r="AS83" s="180">
        <f ca="1">IFERROR(__xludf.DUMMYFUNCTION("IMPORTRANGE(""https://docs.google.com/spreadsheets/d/1o7UZe4_OqlqtLDHrj01Z2YFRSZDf1DMy1n3XViHaxRc/edit?usp=sharing"",""ภูเก็ต!J113"")"),0)</f>
        <v>0</v>
      </c>
      <c r="AT83" s="180">
        <f ca="1">IFERROR(__xludf.DUMMYFUNCTION("IMPORTRANGE(""https://docs.google.com/spreadsheets/d/1o7UZe4_OqlqtLDHrj01Z2YFRSZDf1DMy1n3XViHaxRc/edit?usp=sharing"",""ภูเก็ต!J114"")"),0)</f>
        <v>0</v>
      </c>
      <c r="AU83" s="180">
        <f ca="1">IFERROR(__xludf.DUMMYFUNCTION("IMPORTRANGE(""https://docs.google.com/spreadsheets/d/1o7UZe4_OqlqtLDHrj01Z2YFRSZDf1DMy1n3XViHaxRc/edit?usp=sharing"",""ภูเก็ต!I115"")"),0)</f>
        <v>0</v>
      </c>
      <c r="AV83" s="181">
        <f ca="1">IFERROR(__xludf.DUMMYFUNCTION("IMPORTRANGE(""https://docs.google.com/spreadsheets/d/1o7UZe4_OqlqtLDHrj01Z2YFRSZDf1DMy1n3XViHaxRc/edit?usp=sharing"",""ภูเก็ต!J115"")"),0)</f>
        <v>0</v>
      </c>
      <c r="AW83" s="183">
        <f t="shared" ca="1" si="18"/>
        <v>0</v>
      </c>
      <c r="AX83" s="180">
        <f ca="1">IFERROR(__xludf.DUMMYFUNCTION("IMPORTRANGE(""https://docs.google.com/spreadsheets/d/1o7UZe4_OqlqtLDHrj01Z2YFRSZDf1DMy1n3XViHaxRc/edit?usp=sharing"",""ภูเก็ต!I116"")"),1)</f>
        <v>1</v>
      </c>
      <c r="AY83" s="181">
        <f ca="1">IFERROR(__xludf.DUMMYFUNCTION("IMPORTRANGE(""https://docs.google.com/spreadsheets/d/1o7UZe4_OqlqtLDHrj01Z2YFRSZDf1DMy1n3XViHaxRc/edit?usp=sharing"",""ภูเก็ต!J116"")"),0)</f>
        <v>0</v>
      </c>
      <c r="AZ83" s="183">
        <f t="shared" ca="1" si="20"/>
        <v>0</v>
      </c>
    </row>
    <row r="84" spans="1:52" ht="21" customHeight="1" x14ac:dyDescent="0.3">
      <c r="A84" s="176">
        <v>10</v>
      </c>
      <c r="B84" s="177" t="s">
        <v>106</v>
      </c>
      <c r="C84" s="178">
        <f t="shared" ca="1" si="0"/>
        <v>245340</v>
      </c>
      <c r="D84" s="179">
        <f t="shared" ca="1" si="63"/>
        <v>245340</v>
      </c>
      <c r="E84" s="180">
        <f ca="1">IFERROR(__xludf.DUMMYFUNCTION("IMPORTRANGE(""https://docs.google.com/spreadsheets/d/1MeEWN-I1oV_STSDYn1IFDPWt_1FKiwhDph83XaGc0o0/edit?usp=sharing"",""งบพรบ!AR84"")"),159300)</f>
        <v>159300</v>
      </c>
      <c r="F84" s="180">
        <f ca="1">IFERROR(__xludf.DUMMYFUNCTION("IMPORTRANGE(""https://docs.google.com/spreadsheets/d/1MeEWN-I1oV_STSDYn1IFDPWt_1FKiwhDph83XaGc0o0/edit?usp=sharing"",""งบพรบ!AS84"")"),86040)</f>
        <v>86040</v>
      </c>
      <c r="G84" s="180">
        <f ca="1">IFERROR(__xludf.DUMMYFUNCTION("IMPORTRANGE(""https://docs.google.com/spreadsheets/d/1MeEWN-I1oV_STSDYn1IFDPWt_1FKiwhDph83XaGc0o0/edit?usp=sharing"",""งบพรบ!AT84"")"),0)</f>
        <v>0</v>
      </c>
      <c r="H84" s="180">
        <f ca="1">IFERROR(__xludf.DUMMYFUNCTION("IMPORTRANGE(""https://docs.google.com/spreadsheets/d/1MeEWN-I1oV_STSDYn1IFDPWt_1FKiwhDph83XaGc0o0/edit?usp=sharing"",""งบพรบ!AV84"")"),143290)</f>
        <v>143290</v>
      </c>
      <c r="I84" s="180">
        <f ca="1">IFERROR(__xludf.DUMMYFUNCTION("IMPORTRANGE(""https://docs.google.com/spreadsheets/d/1MeEWN-I1oV_STSDYn1IFDPWt_1FKiwhDph83XaGc0o0/edit?usp=sharing"",""งบพรบ!AW84"")"),0)</f>
        <v>0</v>
      </c>
      <c r="J84" s="180">
        <f t="shared" ca="1" si="3"/>
        <v>54976.75</v>
      </c>
      <c r="K84" s="187">
        <f t="shared" ca="1" si="4"/>
        <v>22.40839243498818</v>
      </c>
      <c r="L84" s="180">
        <f ca="1">IFERROR(__xludf.DUMMYFUNCTION("IMPORTRANGE(""https://docs.google.com/spreadsheets/d/1MeEWN-I1oV_STSDYn1IFDPWt_1FKiwhDph83XaGc0o0/edit?usp=sharing"",""งบพรบ!AX84"")"),54976.75)</f>
        <v>54976.75</v>
      </c>
      <c r="M84" s="183">
        <f t="shared" ca="1" si="5"/>
        <v>22.40839243498818</v>
      </c>
      <c r="N84" s="183">
        <f t="shared" ca="1" si="6"/>
        <v>38.367471561169658</v>
      </c>
      <c r="O84" s="184">
        <f ca="1">IFERROR(__xludf.DUMMYFUNCTION("IMPORTRANGE(""https://docs.google.com/spreadsheets/d/1MeEWN-I1oV_STSDYn1IFDPWt_1FKiwhDph83XaGc0o0/edit?usp=sharing"",""งบพรบ!AY84"")"),0)</f>
        <v>0</v>
      </c>
      <c r="P84" s="184">
        <f t="shared" ca="1" si="36"/>
        <v>0</v>
      </c>
      <c r="Q84" s="183">
        <f t="shared" ca="1" si="8"/>
        <v>0</v>
      </c>
      <c r="R84" s="181">
        <f ca="1">IFERROR(__xludf.DUMMYFUNCTION("IMPORTRANGE(""https://docs.google.com/spreadsheets/d/1ctPm1vUzcUCPuOj9-eoHUD85PqINFqUB0TjdSWmR5-c/edit?usp=sharing"",""ยะลา!I98"")"),30)</f>
        <v>30</v>
      </c>
      <c r="S84" s="181">
        <f ca="1">IFERROR(__xludf.DUMMYFUNCTION("IMPORTRANGE(""https://docs.google.com/spreadsheets/d/1ctPm1vUzcUCPuOj9-eoHUD85PqINFqUB0TjdSWmR5-c/edit?usp=sharing"",""ยะลา!J98"")"),0)</f>
        <v>0</v>
      </c>
      <c r="T84" s="181">
        <f t="shared" ca="1" si="10"/>
        <v>0</v>
      </c>
      <c r="U84" s="181">
        <f ca="1">IFERROR(__xludf.DUMMYFUNCTION("IMPORTRANGE(""https://docs.google.com/spreadsheets/d/1ctPm1vUzcUCPuOj9-eoHUD85PqINFqUB0TjdSWmR5-c/edit?usp=sharing"",""ยะลา!I99"")"),10)</f>
        <v>10</v>
      </c>
      <c r="V84" s="181">
        <f ca="1">IFERROR(__xludf.DUMMYFUNCTION("IMPORTRANGE(""https://docs.google.com/spreadsheets/d/1ctPm1vUzcUCPuOj9-eoHUD85PqINFqUB0TjdSWmR5-c/edit?usp=sharing"",""ยะลา!I100"")"),2)</f>
        <v>2</v>
      </c>
      <c r="W84" s="181">
        <f ca="1">IFERROR(__xludf.DUMMYFUNCTION("IMPORTRANGE(""https://docs.google.com/spreadsheets/d/1ctPm1vUzcUCPuOj9-eoHUD85PqINFqUB0TjdSWmR5-c/edit?usp=sharing"",""ยะลา!J99"")"),0)</f>
        <v>0</v>
      </c>
      <c r="X84" s="185">
        <f t="shared" ca="1" si="12"/>
        <v>0</v>
      </c>
      <c r="Y84" s="186">
        <f ca="1">IFERROR(__xludf.DUMMYFUNCTION("IMPORTRANGE(""https://docs.google.com/spreadsheets/d/1ctPm1vUzcUCPuOj9-eoHUD85PqINFqUB0TjdSWmR5-c/edit?usp=sharing"",""ยะลา!J100"")"),0)</f>
        <v>0</v>
      </c>
      <c r="Z84" s="185">
        <f t="shared" ca="1" si="13"/>
        <v>0</v>
      </c>
      <c r="AA84" s="180">
        <f ca="1">IFERROR(__xludf.DUMMYFUNCTION("IMPORTRANGE(""https://docs.google.com/spreadsheets/d/1ctPm1vUzcUCPuOj9-eoHUD85PqINFqUB0TjdSWmR5-c/edit?usp=sharing"",""ยะลา!I102"")"),30)</f>
        <v>30</v>
      </c>
      <c r="AB84" s="180">
        <f ca="1">IFERROR(__xludf.DUMMYFUNCTION("IMPORTRANGE(""https://docs.google.com/spreadsheets/d/1ctPm1vUzcUCPuOj9-eoHUD85PqINFqUB0TjdSWmR5-c/edit?usp=sharing"",""ยะลา!I103"")"),10)</f>
        <v>10</v>
      </c>
      <c r="AC84" s="181">
        <f ca="1">IFERROR(__xludf.DUMMYFUNCTION("IMPORTRANGE(""https://docs.google.com/spreadsheets/d/1ctPm1vUzcUCPuOj9-eoHUD85PqINFqUB0TjdSWmR5-c/edit?usp=sharing"",""ยะลา!J102"")"),0)</f>
        <v>0</v>
      </c>
      <c r="AD84" s="181">
        <f ca="1">IFERROR(__xludf.DUMMYFUNCTION("IMPORTRANGE(""https://docs.google.com/spreadsheets/d/1ctPm1vUzcUCPuOj9-eoHUD85PqINFqUB0TjdSWmR5-c/edit?usp=sharing"",""ยะลา!J103"")"),0)</f>
        <v>0</v>
      </c>
      <c r="AE84" s="181">
        <f ca="1">IFERROR(__xludf.DUMMYFUNCTION("IMPORTRANGE(""https://docs.google.com/spreadsheets/d/1ctPm1vUzcUCPuOj9-eoHUD85PqINFqUB0TjdSWmR5-c/edit?usp=sharing"",""ยะลา!J104"")"),0)</f>
        <v>0</v>
      </c>
      <c r="AF84" s="180">
        <f ca="1">IFERROR(__xludf.DUMMYFUNCTION("IMPORTRANGE(""https://docs.google.com/spreadsheets/d/1ctPm1vUzcUCPuOj9-eoHUD85PqINFqUB0TjdSWmR5-c/edit?usp=sharing"",""ยะลา!I106"")"),1)</f>
        <v>1</v>
      </c>
      <c r="AG84" s="181">
        <f ca="1">IFERROR(__xludf.DUMMYFUNCTION("IMPORTRANGE(""https://docs.google.com/spreadsheets/d/1ctPm1vUzcUCPuOj9-eoHUD85PqINFqUB0TjdSWmR5-c/edit?usp=sharing"",""ยะลา!J106"")"),0)</f>
        <v>0</v>
      </c>
      <c r="AH84" s="181">
        <f ca="1">IFERROR(__xludf.DUMMYFUNCTION("IMPORTRANGE(""https://docs.google.com/spreadsheets/d/1ctPm1vUzcUCPuOj9-eoHUD85PqINFqUB0TjdSWmR5-c/edit?usp=sharing"",""ยะลา!J107"")"),0)</f>
        <v>0</v>
      </c>
      <c r="AI84" s="180">
        <f ca="1">IFERROR(__xludf.DUMMYFUNCTION("IMPORTRANGE(""https://docs.google.com/spreadsheets/d/1ctPm1vUzcUCPuOj9-eoHUD85PqINFqUB0TjdSWmR5-c/edit?usp=sharing"",""ยะลา!I109"")"),1)</f>
        <v>1</v>
      </c>
      <c r="AJ84" s="181">
        <f ca="1">IFERROR(__xludf.DUMMYFUNCTION("IMPORTRANGE(""https://docs.google.com/spreadsheets/d/1ctPm1vUzcUCPuOj9-eoHUD85PqINFqUB0TjdSWmR5-c/edit?usp=sharing"",""ยะลา!J109"")"),0)</f>
        <v>0</v>
      </c>
      <c r="AK84" s="181">
        <f ca="1">IFERROR(__xludf.DUMMYFUNCTION("IMPORTRANGE(""https://docs.google.com/spreadsheets/d/1ctPm1vUzcUCPuOj9-eoHUD85PqINFqUB0TjdSWmR5-c/edit?usp=sharing"",""ยะลา!J110"")"),0)</f>
        <v>0</v>
      </c>
      <c r="AL84" s="180">
        <f ca="1">IFERROR(__xludf.DUMMYFUNCTION("IMPORTRANGE(""https://docs.google.com/spreadsheets/d/1ctPm1vUzcUCPuOj9-eoHUD85PqINFqUB0TjdSWmR5-c/edit?usp=sharing"",""ยะลา!I111"")"),10)</f>
        <v>10</v>
      </c>
      <c r="AM84" s="180">
        <f ca="1">IFERROR(__xludf.DUMMYFUNCTION("IMPORTRANGE(""https://docs.google.com/spreadsheets/d/1ctPm1vUzcUCPuOj9-eoHUD85PqINFqUB0TjdSWmR5-c/edit?usp=sharing"",""ยะลา!I112"")"),2)</f>
        <v>2</v>
      </c>
      <c r="AN84" s="181">
        <f ca="1">IFERROR(__xludf.DUMMYFUNCTION("IMPORTRANGE(""https://docs.google.com/spreadsheets/d/1ctPm1vUzcUCPuOj9-eoHUD85PqINFqUB0TjdSWmR5-c/edit?usp=sharing"",""ยะลา!J111"")"),0)</f>
        <v>0</v>
      </c>
      <c r="AO84" s="181">
        <f t="shared" ca="1" si="15"/>
        <v>0</v>
      </c>
      <c r="AP84" s="181">
        <f ca="1">IFERROR(__xludf.DUMMYFUNCTION("IMPORTRANGE(""https://docs.google.com/spreadsheets/d/1ctPm1vUzcUCPuOj9-eoHUD85PqINFqUB0TjdSWmR5-c/edit?usp=sharing"",""ยะลา!J112"")"),0)</f>
        <v>0</v>
      </c>
      <c r="AQ84" s="183">
        <f t="shared" ca="1" si="16"/>
        <v>0</v>
      </c>
      <c r="AR84" s="180">
        <f ca="1">IFERROR(__xludf.DUMMYFUNCTION("IMPORTRANGE(""https://docs.google.com/spreadsheets/d/1ctPm1vUzcUCPuOj9-eoHUD85PqINFqUB0TjdSWmR5-c/edit?usp=sharing"",""ยะลา!I113"")"),10)</f>
        <v>10</v>
      </c>
      <c r="AS84" s="180">
        <f ca="1">IFERROR(__xludf.DUMMYFUNCTION("IMPORTRANGE(""https://docs.google.com/spreadsheets/d/1ctPm1vUzcUCPuOj9-eoHUD85PqINFqUB0TjdSWmR5-c/edit?usp=sharing"",""ยะลา!J113"")"),0)</f>
        <v>0</v>
      </c>
      <c r="AT84" s="180">
        <f ca="1">IFERROR(__xludf.DUMMYFUNCTION("IMPORTRANGE(""https://docs.google.com/spreadsheets/d/1ctPm1vUzcUCPuOj9-eoHUD85PqINFqUB0TjdSWmR5-c/edit?usp=sharing"",""ยะลา!J114"")"),0)</f>
        <v>0</v>
      </c>
      <c r="AU84" s="180">
        <f ca="1">IFERROR(__xludf.DUMMYFUNCTION("IMPORTRANGE(""https://docs.google.com/spreadsheets/d/1ctPm1vUzcUCPuOj9-eoHUD85PqINFqUB0TjdSWmR5-c/edit?usp=sharing"",""ยะลา!I115"")"),1)</f>
        <v>1</v>
      </c>
      <c r="AV84" s="181">
        <f ca="1">IFERROR(__xludf.DUMMYFUNCTION("IMPORTRANGE(""https://docs.google.com/spreadsheets/d/1ctPm1vUzcUCPuOj9-eoHUD85PqINFqUB0TjdSWmR5-c/edit?usp=sharing"",""ยะลา!J115"")"),0)</f>
        <v>0</v>
      </c>
      <c r="AW84" s="183">
        <f t="shared" ca="1" si="18"/>
        <v>0</v>
      </c>
      <c r="AX84" s="180">
        <f ca="1">IFERROR(__xludf.DUMMYFUNCTION("IMPORTRANGE(""https://docs.google.com/spreadsheets/d/1ctPm1vUzcUCPuOj9-eoHUD85PqINFqUB0TjdSWmR5-c/edit?usp=sharing"",""ยะลา!I116"")"),1)</f>
        <v>1</v>
      </c>
      <c r="AY84" s="181">
        <f ca="1">IFERROR(__xludf.DUMMYFUNCTION("IMPORTRANGE(""https://docs.google.com/spreadsheets/d/1ctPm1vUzcUCPuOj9-eoHUD85PqINFqUB0TjdSWmR5-c/edit?usp=sharing"",""ยะลา!J116"")"),0)</f>
        <v>0</v>
      </c>
      <c r="AZ84" s="183">
        <f t="shared" ca="1" si="20"/>
        <v>0</v>
      </c>
    </row>
    <row r="85" spans="1:52" ht="21" customHeight="1" x14ac:dyDescent="0.3">
      <c r="A85" s="176">
        <v>11</v>
      </c>
      <c r="B85" s="177" t="s">
        <v>107</v>
      </c>
      <c r="C85" s="178">
        <f t="shared" ca="1" si="0"/>
        <v>376140</v>
      </c>
      <c r="D85" s="179">
        <f t="shared" ca="1" si="63"/>
        <v>376140</v>
      </c>
      <c r="E85" s="180">
        <f ca="1">IFERROR(__xludf.DUMMYFUNCTION("IMPORTRANGE(""https://docs.google.com/spreadsheets/d/1MeEWN-I1oV_STSDYn1IFDPWt_1FKiwhDph83XaGc0o0/edit?usp=sharing"",""งบพรบ!AR85"")"),290300)</f>
        <v>290300</v>
      </c>
      <c r="F85" s="180">
        <f ca="1">IFERROR(__xludf.DUMMYFUNCTION("IMPORTRANGE(""https://docs.google.com/spreadsheets/d/1MeEWN-I1oV_STSDYn1IFDPWt_1FKiwhDph83XaGc0o0/edit?usp=sharing"",""งบพรบ!AS85"")"),85840)</f>
        <v>85840</v>
      </c>
      <c r="G85" s="180">
        <f ca="1">IFERROR(__xludf.DUMMYFUNCTION("IMPORTRANGE(""https://docs.google.com/spreadsheets/d/1MeEWN-I1oV_STSDYn1IFDPWt_1FKiwhDph83XaGc0o0/edit?usp=sharing"",""งบพรบ!AT85"")"),0)</f>
        <v>0</v>
      </c>
      <c r="H85" s="180">
        <f ca="1">IFERROR(__xludf.DUMMYFUNCTION("IMPORTRANGE(""https://docs.google.com/spreadsheets/d/1MeEWN-I1oV_STSDYn1IFDPWt_1FKiwhDph83XaGc0o0/edit?usp=sharing"",""งบพรบ!AV85"")"),241390)</f>
        <v>241390</v>
      </c>
      <c r="I85" s="180">
        <f ca="1">IFERROR(__xludf.DUMMYFUNCTION("IMPORTRANGE(""https://docs.google.com/spreadsheets/d/1MeEWN-I1oV_STSDYn1IFDPWt_1FKiwhDph83XaGc0o0/edit?usp=sharing"",""งบพรบ!AW85"")"),0)</f>
        <v>0</v>
      </c>
      <c r="J85" s="180">
        <f t="shared" ca="1" si="3"/>
        <v>100840</v>
      </c>
      <c r="K85" s="187">
        <f t="shared" ca="1" si="4"/>
        <v>26.809166799595896</v>
      </c>
      <c r="L85" s="180">
        <f ca="1">IFERROR(__xludf.DUMMYFUNCTION("IMPORTRANGE(""https://docs.google.com/spreadsheets/d/1MeEWN-I1oV_STSDYn1IFDPWt_1FKiwhDph83XaGc0o0/edit?usp=sharing"",""งบพรบ!AX85"")"),100840)</f>
        <v>100840</v>
      </c>
      <c r="M85" s="183">
        <f t="shared" ca="1" si="5"/>
        <v>26.809166799595896</v>
      </c>
      <c r="N85" s="183">
        <f t="shared" ca="1" si="6"/>
        <v>41.77472140519491</v>
      </c>
      <c r="O85" s="184">
        <f ca="1">IFERROR(__xludf.DUMMYFUNCTION("IMPORTRANGE(""https://docs.google.com/spreadsheets/d/1MeEWN-I1oV_STSDYn1IFDPWt_1FKiwhDph83XaGc0o0/edit?usp=sharing"",""งบพรบ!AY85"")"),0)</f>
        <v>0</v>
      </c>
      <c r="P85" s="184">
        <f t="shared" ca="1" si="36"/>
        <v>0</v>
      </c>
      <c r="Q85" s="183">
        <f t="shared" ca="1" si="8"/>
        <v>0</v>
      </c>
      <c r="R85" s="181">
        <f ca="1">IFERROR(__xludf.DUMMYFUNCTION("IMPORTRANGE(""https://docs.google.com/spreadsheets/d/1YiDIE7Klmt8osgdapRqYWNr7iPGFSsiJqq46S7PYRE0/edit?usp=sharing"",""ระนอง!I98"")"),30)</f>
        <v>30</v>
      </c>
      <c r="S85" s="181">
        <f ca="1">IFERROR(__xludf.DUMMYFUNCTION("IMPORTRANGE(""https://docs.google.com/spreadsheets/d/1YiDIE7Klmt8osgdapRqYWNr7iPGFSsiJqq46S7PYRE0/edit?usp=sharing"",""ระนอง!J98"")"),30)</f>
        <v>30</v>
      </c>
      <c r="T85" s="181">
        <f t="shared" ca="1" si="10"/>
        <v>100</v>
      </c>
      <c r="U85" s="181">
        <f ca="1">IFERROR(__xludf.DUMMYFUNCTION("IMPORTRANGE(""https://docs.google.com/spreadsheets/d/1YiDIE7Klmt8osgdapRqYWNr7iPGFSsiJqq46S7PYRE0/edit?usp=sharing"",""ระนอง!I99"")"),10)</f>
        <v>10</v>
      </c>
      <c r="V85" s="181">
        <f ca="1">IFERROR(__xludf.DUMMYFUNCTION("IMPORTRANGE(""https://docs.google.com/spreadsheets/d/1YiDIE7Klmt8osgdapRqYWNr7iPGFSsiJqq46S7PYRE0/edit?usp=sharing"",""ระนอง!I100"")"),2)</f>
        <v>2</v>
      </c>
      <c r="W85" s="181">
        <f ca="1">IFERROR(__xludf.DUMMYFUNCTION("IMPORTRANGE(""https://docs.google.com/spreadsheets/d/1YiDIE7Klmt8osgdapRqYWNr7iPGFSsiJqq46S7PYRE0/edit?usp=sharing"",""ระนอง!J99"")"),10)</f>
        <v>10</v>
      </c>
      <c r="X85" s="185">
        <f t="shared" ca="1" si="12"/>
        <v>100</v>
      </c>
      <c r="Y85" s="186">
        <f ca="1">IFERROR(__xludf.DUMMYFUNCTION("IMPORTRANGE(""https://docs.google.com/spreadsheets/d/1YiDIE7Klmt8osgdapRqYWNr7iPGFSsiJqq46S7PYRE0/edit?usp=sharing"",""ระนอง!J100"")"),0)</f>
        <v>0</v>
      </c>
      <c r="Z85" s="185">
        <f t="shared" ca="1" si="13"/>
        <v>0</v>
      </c>
      <c r="AA85" s="180">
        <f ca="1">IFERROR(__xludf.DUMMYFUNCTION("IMPORTRANGE(""https://docs.google.com/spreadsheets/d/1YiDIE7Klmt8osgdapRqYWNr7iPGFSsiJqq46S7PYRE0/edit?usp=sharing"",""ระนอง!I102"")"),30)</f>
        <v>30</v>
      </c>
      <c r="AB85" s="180">
        <f ca="1">IFERROR(__xludf.DUMMYFUNCTION("IMPORTRANGE(""https://docs.google.com/spreadsheets/d/1YiDIE7Klmt8osgdapRqYWNr7iPGFSsiJqq46S7PYRE0/edit?usp=sharing"",""ระนอง!I103"")"),10)</f>
        <v>10</v>
      </c>
      <c r="AC85" s="181">
        <f ca="1">IFERROR(__xludf.DUMMYFUNCTION("IMPORTRANGE(""https://docs.google.com/spreadsheets/d/1YiDIE7Klmt8osgdapRqYWNr7iPGFSsiJqq46S7PYRE0/edit?usp=sharing"",""ระนอง!J102"")"),30)</f>
        <v>30</v>
      </c>
      <c r="AD85" s="181">
        <f ca="1">IFERROR(__xludf.DUMMYFUNCTION("IMPORTRANGE(""https://docs.google.com/spreadsheets/d/1YiDIE7Klmt8osgdapRqYWNr7iPGFSsiJqq46S7PYRE0/edit?usp=sharing"",""ระนอง!J103"")"),10)</f>
        <v>10</v>
      </c>
      <c r="AE85" s="181">
        <f ca="1">IFERROR(__xludf.DUMMYFUNCTION("IMPORTRANGE(""https://docs.google.com/spreadsheets/d/1YiDIE7Klmt8osgdapRqYWNr7iPGFSsiJqq46S7PYRE0/edit?usp=sharing"",""ระนอง!J104"")"),10)</f>
        <v>10</v>
      </c>
      <c r="AF85" s="180">
        <f ca="1">IFERROR(__xludf.DUMMYFUNCTION("IMPORTRANGE(""https://docs.google.com/spreadsheets/d/1YiDIE7Klmt8osgdapRqYWNr7iPGFSsiJqq46S7PYRE0/edit?usp=sharing"",""ระนอง!I106"")"),1)</f>
        <v>1</v>
      </c>
      <c r="AG85" s="181">
        <f ca="1">IFERROR(__xludf.DUMMYFUNCTION("IMPORTRANGE(""https://docs.google.com/spreadsheets/d/1YiDIE7Klmt8osgdapRqYWNr7iPGFSsiJqq46S7PYRE0/edit?usp=sharing"",""ระนอง!J106"")"),0)</f>
        <v>0</v>
      </c>
      <c r="AH85" s="181">
        <f ca="1">IFERROR(__xludf.DUMMYFUNCTION("IMPORTRANGE(""https://docs.google.com/spreadsheets/d/1YiDIE7Klmt8osgdapRqYWNr7iPGFSsiJqq46S7PYRE0/edit?usp=sharing"",""ระนอง!J107"")"),0)</f>
        <v>0</v>
      </c>
      <c r="AI85" s="180">
        <f ca="1">IFERROR(__xludf.DUMMYFUNCTION("IMPORTRANGE(""https://docs.google.com/spreadsheets/d/1YiDIE7Klmt8osgdapRqYWNr7iPGFSsiJqq46S7PYRE0/edit?usp=sharing"",""ระนอง!I109"")"),1)</f>
        <v>1</v>
      </c>
      <c r="AJ85" s="181">
        <f ca="1">IFERROR(__xludf.DUMMYFUNCTION("IMPORTRANGE(""https://docs.google.com/spreadsheets/d/1YiDIE7Klmt8osgdapRqYWNr7iPGFSsiJqq46S7PYRE0/edit?usp=sharing"",""ระนอง!J109"")"),0)</f>
        <v>0</v>
      </c>
      <c r="AK85" s="181">
        <f ca="1">IFERROR(__xludf.DUMMYFUNCTION("IMPORTRANGE(""https://docs.google.com/spreadsheets/d/1YiDIE7Klmt8osgdapRqYWNr7iPGFSsiJqq46S7PYRE0/edit?usp=sharing"",""ระนอง!J110"")"),0)</f>
        <v>0</v>
      </c>
      <c r="AL85" s="180">
        <f ca="1">IFERROR(__xludf.DUMMYFUNCTION("IMPORTRANGE(""https://docs.google.com/spreadsheets/d/1YiDIE7Klmt8osgdapRqYWNr7iPGFSsiJqq46S7PYRE0/edit?usp=sharing"",""ระนอง!I111"")"),10)</f>
        <v>10</v>
      </c>
      <c r="AM85" s="180">
        <f ca="1">IFERROR(__xludf.DUMMYFUNCTION("IMPORTRANGE(""https://docs.google.com/spreadsheets/d/1YiDIE7Klmt8osgdapRqYWNr7iPGFSsiJqq46S7PYRE0/edit?usp=sharing"",""ระนอง!I112"")"),2)</f>
        <v>2</v>
      </c>
      <c r="AN85" s="181">
        <f ca="1">IFERROR(__xludf.DUMMYFUNCTION("IMPORTRANGE(""https://docs.google.com/spreadsheets/d/1YiDIE7Klmt8osgdapRqYWNr7iPGFSsiJqq46S7PYRE0/edit?usp=sharing"",""ระนอง!J111"")"),10)</f>
        <v>10</v>
      </c>
      <c r="AO85" s="181">
        <f t="shared" ca="1" si="15"/>
        <v>100</v>
      </c>
      <c r="AP85" s="181">
        <f ca="1">IFERROR(__xludf.DUMMYFUNCTION("IMPORTRANGE(""https://docs.google.com/spreadsheets/d/1YiDIE7Klmt8osgdapRqYWNr7iPGFSsiJqq46S7PYRE0/edit?usp=sharing"",""ระนอง!J112"")"),0)</f>
        <v>0</v>
      </c>
      <c r="AQ85" s="183">
        <f t="shared" ca="1" si="16"/>
        <v>0</v>
      </c>
      <c r="AR85" s="180">
        <f ca="1">IFERROR(__xludf.DUMMYFUNCTION("IMPORTRANGE(""https://docs.google.com/spreadsheets/d/1YiDIE7Klmt8osgdapRqYWNr7iPGFSsiJqq46S7PYRE0/edit?usp=sharing"",""ระนอง!I113"")"),10)</f>
        <v>10</v>
      </c>
      <c r="AS85" s="180">
        <f ca="1">IFERROR(__xludf.DUMMYFUNCTION("IMPORTRANGE(""https://docs.google.com/spreadsheets/d/1YiDIE7Klmt8osgdapRqYWNr7iPGFSsiJqq46S7PYRE0/edit?usp=sharing"",""ระนอง!J113"")"),10)</f>
        <v>10</v>
      </c>
      <c r="AT85" s="180">
        <f ca="1">IFERROR(__xludf.DUMMYFUNCTION("IMPORTRANGE(""https://docs.google.com/spreadsheets/d/1YiDIE7Klmt8osgdapRqYWNr7iPGFSsiJqq46S7PYRE0/edit?usp=sharing"",""ระนอง!J114"")"),10)</f>
        <v>10</v>
      </c>
      <c r="AU85" s="180">
        <f ca="1">IFERROR(__xludf.DUMMYFUNCTION("IMPORTRANGE(""https://docs.google.com/spreadsheets/d/1YiDIE7Klmt8osgdapRqYWNr7iPGFSsiJqq46S7PYRE0/edit?usp=sharing"",""ระนอง!I115"")"),1)</f>
        <v>1</v>
      </c>
      <c r="AV85" s="181">
        <f ca="1">IFERROR(__xludf.DUMMYFUNCTION("IMPORTRANGE(""https://docs.google.com/spreadsheets/d/1YiDIE7Klmt8osgdapRqYWNr7iPGFSsiJqq46S7PYRE0/edit?usp=sharing"",""ระนอง!J115"")"),0)</f>
        <v>0</v>
      </c>
      <c r="AW85" s="183">
        <f t="shared" ca="1" si="18"/>
        <v>0</v>
      </c>
      <c r="AX85" s="180">
        <f ca="1">IFERROR(__xludf.DUMMYFUNCTION("IMPORTRANGE(""https://docs.google.com/spreadsheets/d/1YiDIE7Klmt8osgdapRqYWNr7iPGFSsiJqq46S7PYRE0/edit?usp=sharing"",""ระนอง!I116"")"),1)</f>
        <v>1</v>
      </c>
      <c r="AY85" s="181">
        <f ca="1">IFERROR(__xludf.DUMMYFUNCTION("IMPORTRANGE(""https://docs.google.com/spreadsheets/d/1YiDIE7Klmt8osgdapRqYWNr7iPGFSsiJqq46S7PYRE0/edit?usp=sharing"",""ระนอง!J116"")"),0)</f>
        <v>0</v>
      </c>
      <c r="AZ85" s="183">
        <f t="shared" ca="1" si="20"/>
        <v>0</v>
      </c>
    </row>
    <row r="86" spans="1:52" ht="24" customHeight="1" x14ac:dyDescent="0.3">
      <c r="A86" s="176">
        <v>12</v>
      </c>
      <c r="B86" s="177" t="s">
        <v>108</v>
      </c>
      <c r="C86" s="178">
        <f t="shared" ca="1" si="0"/>
        <v>31200</v>
      </c>
      <c r="D86" s="179">
        <f t="shared" ca="1" si="63"/>
        <v>31200</v>
      </c>
      <c r="E86" s="180">
        <f ca="1">IFERROR(__xludf.DUMMYFUNCTION("IMPORTRANGE(""https://docs.google.com/spreadsheets/d/1MeEWN-I1oV_STSDYn1IFDPWt_1FKiwhDph83XaGc0o0/edit?usp=sharing"",""งบพรบ!AR86"")"),0)</f>
        <v>0</v>
      </c>
      <c r="F86" s="180">
        <f ca="1">IFERROR(__xludf.DUMMYFUNCTION("IMPORTRANGE(""https://docs.google.com/spreadsheets/d/1MeEWN-I1oV_STSDYn1IFDPWt_1FKiwhDph83XaGc0o0/edit?usp=sharing"",""งบพรบ!AS86"")"),31200)</f>
        <v>31200</v>
      </c>
      <c r="G86" s="180">
        <f ca="1">IFERROR(__xludf.DUMMYFUNCTION("IMPORTRANGE(""https://docs.google.com/spreadsheets/d/1MeEWN-I1oV_STSDYn1IFDPWt_1FKiwhDph83XaGc0o0/edit?usp=sharing"",""งบพรบ!AT86"")"),0)</f>
        <v>0</v>
      </c>
      <c r="H86" s="180">
        <f ca="1">IFERROR(__xludf.DUMMYFUNCTION("IMPORTRANGE(""https://docs.google.com/spreadsheets/d/1MeEWN-I1oV_STSDYn1IFDPWt_1FKiwhDph83XaGc0o0/edit?usp=sharing"",""งบพรบ!AV86"")"),29350)</f>
        <v>29350</v>
      </c>
      <c r="I86" s="180">
        <f ca="1">IFERROR(__xludf.DUMMYFUNCTION("IMPORTRANGE(""https://docs.google.com/spreadsheets/d/1MeEWN-I1oV_STSDYn1IFDPWt_1FKiwhDph83XaGc0o0/edit?usp=sharing"",""งบพรบ!AW86"")"),0)</f>
        <v>0</v>
      </c>
      <c r="J86" s="180">
        <f t="shared" ca="1" si="3"/>
        <v>27750</v>
      </c>
      <c r="K86" s="187">
        <f t="shared" ca="1" si="4"/>
        <v>88.942307692307693</v>
      </c>
      <c r="L86" s="180">
        <f ca="1">IFERROR(__xludf.DUMMYFUNCTION("IMPORTRANGE(""https://docs.google.com/spreadsheets/d/1MeEWN-I1oV_STSDYn1IFDPWt_1FKiwhDph83XaGc0o0/edit?usp=sharing"",""งบพรบ!AX86"")"),27750)</f>
        <v>27750</v>
      </c>
      <c r="M86" s="183">
        <f t="shared" ca="1" si="5"/>
        <v>88.942307692307693</v>
      </c>
      <c r="N86" s="183">
        <f t="shared" ca="1" si="6"/>
        <v>94.548551959114135</v>
      </c>
      <c r="O86" s="184">
        <f ca="1">IFERROR(__xludf.DUMMYFUNCTION("IMPORTRANGE(""https://docs.google.com/spreadsheets/d/1MeEWN-I1oV_STSDYn1IFDPWt_1FKiwhDph83XaGc0o0/edit?usp=sharing"",""งบพรบ!AY86"")"),0)</f>
        <v>0</v>
      </c>
      <c r="P86" s="184">
        <f t="shared" ca="1" si="36"/>
        <v>0</v>
      </c>
      <c r="Q86" s="183">
        <f t="shared" ca="1" si="8"/>
        <v>0</v>
      </c>
      <c r="R86" s="181">
        <f ca="1">IFERROR(__xludf.DUMMYFUNCTION("IMPORTRANGE(""https://docs.google.com/spreadsheets/d/16o_4B-V7AWw_6E93bSpXj_XxVv1oVQctk-B6z1dNEWU/edit?usp=sharing"",""สงขลา!I98"")"),0)</f>
        <v>0</v>
      </c>
      <c r="S86" s="181">
        <f ca="1">IFERROR(__xludf.DUMMYFUNCTION("IMPORTRANGE(""https://docs.google.com/spreadsheets/d/16o_4B-V7AWw_6E93bSpXj_XxVv1oVQctk-B6z1dNEWU/edit?usp=sharing"",""สงขลา!J98"")"),0)</f>
        <v>0</v>
      </c>
      <c r="T86" s="181">
        <f t="shared" ca="1" si="10"/>
        <v>0</v>
      </c>
      <c r="U86" s="181">
        <f ca="1">IFERROR(__xludf.DUMMYFUNCTION("IMPORTRANGE(""https://docs.google.com/spreadsheets/d/16o_4B-V7AWw_6E93bSpXj_XxVv1oVQctk-B6z1dNEWU/edit?usp=sharing"",""สงขลา!I99"")"),0)</f>
        <v>0</v>
      </c>
      <c r="V86" s="181">
        <f ca="1">IFERROR(__xludf.DUMMYFUNCTION("IMPORTRANGE(""https://docs.google.com/spreadsheets/d/16o_4B-V7AWw_6E93bSpXj_XxVv1oVQctk-B6z1dNEWU/edit?usp=sharing"",""สงขลา!I100"")"),1)</f>
        <v>1</v>
      </c>
      <c r="W86" s="181">
        <f ca="1">IFERROR(__xludf.DUMMYFUNCTION("IMPORTRANGE(""https://docs.google.com/spreadsheets/d/16o_4B-V7AWw_6E93bSpXj_XxVv1oVQctk-B6z1dNEWU/edit?usp=sharing"",""สงขลา!J99"")"),0)</f>
        <v>0</v>
      </c>
      <c r="X86" s="185">
        <f t="shared" ca="1" si="12"/>
        <v>0</v>
      </c>
      <c r="Y86" s="186">
        <f ca="1">IFERROR(__xludf.DUMMYFUNCTION("IMPORTRANGE(""https://docs.google.com/spreadsheets/d/16o_4B-V7AWw_6E93bSpXj_XxVv1oVQctk-B6z1dNEWU/edit?usp=sharing"",""สงขลา!J100"")"),0)</f>
        <v>0</v>
      </c>
      <c r="Z86" s="185">
        <f t="shared" ca="1" si="13"/>
        <v>0</v>
      </c>
      <c r="AA86" s="180">
        <f ca="1">IFERROR(__xludf.DUMMYFUNCTION("IMPORTRANGE(""https://docs.google.com/spreadsheets/d/16o_4B-V7AWw_6E93bSpXj_XxVv1oVQctk-B6z1dNEWU/edit?usp=sharing"",""สงขลา!I102"")"),0)</f>
        <v>0</v>
      </c>
      <c r="AB86" s="180">
        <f ca="1">IFERROR(__xludf.DUMMYFUNCTION("IMPORTRANGE(""https://docs.google.com/spreadsheets/d/16o_4B-V7AWw_6E93bSpXj_XxVv1oVQctk-B6z1dNEWU/edit?usp=sharing"",""สงขลา!I103"")"),0)</f>
        <v>0</v>
      </c>
      <c r="AC86" s="181">
        <f ca="1">IFERROR(__xludf.DUMMYFUNCTION("IMPORTRANGE(""https://docs.google.com/spreadsheets/d/16o_4B-V7AWw_6E93bSpXj_XxVv1oVQctk-B6z1dNEWU/edit?usp=sharing"",""สงขลา!J102"")"),0)</f>
        <v>0</v>
      </c>
      <c r="AD86" s="181">
        <f ca="1">IFERROR(__xludf.DUMMYFUNCTION("IMPORTRANGE(""https://docs.google.com/spreadsheets/d/16o_4B-V7AWw_6E93bSpXj_XxVv1oVQctk-B6z1dNEWU/edit?usp=sharing"",""สงขลา!J103"")"),0)</f>
        <v>0</v>
      </c>
      <c r="AE86" s="181">
        <f ca="1">IFERROR(__xludf.DUMMYFUNCTION("IMPORTRANGE(""https://docs.google.com/spreadsheets/d/16o_4B-V7AWw_6E93bSpXj_XxVv1oVQctk-B6z1dNEWU/edit?usp=sharing"",""สงขลา!J104"")"),0)</f>
        <v>0</v>
      </c>
      <c r="AF86" s="180">
        <f ca="1">IFERROR(__xludf.DUMMYFUNCTION("IMPORTRANGE(""https://docs.google.com/spreadsheets/d/16o_4B-V7AWw_6E93bSpXj_XxVv1oVQctk-B6z1dNEWU/edit?usp=sharing"",""สงขลา!I106"")"),0)</f>
        <v>0</v>
      </c>
      <c r="AG86" s="181">
        <f ca="1">IFERROR(__xludf.DUMMYFUNCTION("IMPORTRANGE(""https://docs.google.com/spreadsheets/d/16o_4B-V7AWw_6E93bSpXj_XxVv1oVQctk-B6z1dNEWU/edit?usp=sharing"",""สงขลา!J106"")"),0)</f>
        <v>0</v>
      </c>
      <c r="AH86" s="181">
        <f ca="1">IFERROR(__xludf.DUMMYFUNCTION("IMPORTRANGE(""https://docs.google.com/spreadsheets/d/16o_4B-V7AWw_6E93bSpXj_XxVv1oVQctk-B6z1dNEWU/edit?usp=sharing"",""สงขลา!J107"")"),0)</f>
        <v>0</v>
      </c>
      <c r="AI86" s="180">
        <f ca="1">IFERROR(__xludf.DUMMYFUNCTION("IMPORTRANGE(""https://docs.google.com/spreadsheets/d/16o_4B-V7AWw_6E93bSpXj_XxVv1oVQctk-B6z1dNEWU/edit?usp=sharing"",""สงขลา!I109"")"),1)</f>
        <v>1</v>
      </c>
      <c r="AJ86" s="181">
        <f ca="1">IFERROR(__xludf.DUMMYFUNCTION("IMPORTRANGE(""https://docs.google.com/spreadsheets/d/16o_4B-V7AWw_6E93bSpXj_XxVv1oVQctk-B6z1dNEWU/edit?usp=sharing"",""สงขลา!J109"")"),1)</f>
        <v>1</v>
      </c>
      <c r="AK86" s="181">
        <f ca="1">IFERROR(__xludf.DUMMYFUNCTION("IMPORTRANGE(""https://docs.google.com/spreadsheets/d/16o_4B-V7AWw_6E93bSpXj_XxVv1oVQctk-B6z1dNEWU/edit?usp=sharing"",""สงขลา!J110"")"),0)</f>
        <v>0</v>
      </c>
      <c r="AL86" s="180">
        <f ca="1">IFERROR(__xludf.DUMMYFUNCTION("IMPORTRANGE(""https://docs.google.com/spreadsheets/d/16o_4B-V7AWw_6E93bSpXj_XxVv1oVQctk-B6z1dNEWU/edit?usp=sharing"",""สงขลา!I111"")"),0)</f>
        <v>0</v>
      </c>
      <c r="AM86" s="180">
        <f ca="1">IFERROR(__xludf.DUMMYFUNCTION("IMPORTRANGE(""https://docs.google.com/spreadsheets/d/16o_4B-V7AWw_6E93bSpXj_XxVv1oVQctk-B6z1dNEWU/edit?usp=sharing"",""สงขลา!I112"")"),1)</f>
        <v>1</v>
      </c>
      <c r="AN86" s="181">
        <f ca="1">IFERROR(__xludf.DUMMYFUNCTION("IMPORTRANGE(""https://docs.google.com/spreadsheets/d/16o_4B-V7AWw_6E93bSpXj_XxVv1oVQctk-B6z1dNEWU/edit?usp=sharing"",""สงขลา!J111"")"),0)</f>
        <v>0</v>
      </c>
      <c r="AO86" s="181">
        <f t="shared" ca="1" si="15"/>
        <v>0</v>
      </c>
      <c r="AP86" s="181">
        <f ca="1">IFERROR(__xludf.DUMMYFUNCTION("IMPORTRANGE(""https://docs.google.com/spreadsheets/d/16o_4B-V7AWw_6E93bSpXj_XxVv1oVQctk-B6z1dNEWU/edit?usp=sharing"",""สงขลา!J112"")"),0)</f>
        <v>0</v>
      </c>
      <c r="AQ86" s="183">
        <f t="shared" ca="1" si="16"/>
        <v>0</v>
      </c>
      <c r="AR86" s="180">
        <f ca="1">IFERROR(__xludf.DUMMYFUNCTION("IMPORTRANGE(""https://docs.google.com/spreadsheets/d/16o_4B-V7AWw_6E93bSpXj_XxVv1oVQctk-B6z1dNEWU/edit?usp=sharing"",""สงขลา!I113"")"),0)</f>
        <v>0</v>
      </c>
      <c r="AS86" s="180">
        <f ca="1">IFERROR(__xludf.DUMMYFUNCTION("IMPORTRANGE(""https://docs.google.com/spreadsheets/d/16o_4B-V7AWw_6E93bSpXj_XxVv1oVQctk-B6z1dNEWU/edit?usp=sharing"",""สงขลา!J113"")"),0)</f>
        <v>0</v>
      </c>
      <c r="AT86" s="180">
        <f ca="1">IFERROR(__xludf.DUMMYFUNCTION("IMPORTRANGE(""https://docs.google.com/spreadsheets/d/16o_4B-V7AWw_6E93bSpXj_XxVv1oVQctk-B6z1dNEWU/edit?usp=sharing"",""สงขลา!J114"")"),0)</f>
        <v>0</v>
      </c>
      <c r="AU86" s="180">
        <f ca="1">IFERROR(__xludf.DUMMYFUNCTION("IMPORTRANGE(""https://docs.google.com/spreadsheets/d/16o_4B-V7AWw_6E93bSpXj_XxVv1oVQctk-B6z1dNEWU/edit?usp=sharing"",""สงขลา!I115"")"),0)</f>
        <v>0</v>
      </c>
      <c r="AV86" s="181">
        <f ca="1">IFERROR(__xludf.DUMMYFUNCTION("IMPORTRANGE(""https://docs.google.com/spreadsheets/d/16o_4B-V7AWw_6E93bSpXj_XxVv1oVQctk-B6z1dNEWU/edit?usp=sharing"",""สงขลา!J115"")"),0)</f>
        <v>0</v>
      </c>
      <c r="AW86" s="183">
        <f t="shared" ca="1" si="18"/>
        <v>0</v>
      </c>
      <c r="AX86" s="180">
        <f ca="1">IFERROR(__xludf.DUMMYFUNCTION("IMPORTRANGE(""https://docs.google.com/spreadsheets/d/16o_4B-V7AWw_6E93bSpXj_XxVv1oVQctk-B6z1dNEWU/edit?usp=sharing"",""สงขลา!I116"")"),1)</f>
        <v>1</v>
      </c>
      <c r="AY86" s="181">
        <f ca="1">IFERROR(__xludf.DUMMYFUNCTION("IMPORTRANGE(""https://docs.google.com/spreadsheets/d/16o_4B-V7AWw_6E93bSpXj_XxVv1oVQctk-B6z1dNEWU/edit?usp=sharing"",""สงขลา!J116"")"),0)</f>
        <v>0</v>
      </c>
      <c r="AZ86" s="183">
        <f t="shared" ca="1" si="20"/>
        <v>0</v>
      </c>
    </row>
    <row r="87" spans="1:52" ht="24" customHeight="1" x14ac:dyDescent="0.3">
      <c r="A87" s="176">
        <v>13</v>
      </c>
      <c r="B87" s="177" t="s">
        <v>109</v>
      </c>
      <c r="C87" s="178">
        <f t="shared" ca="1" si="0"/>
        <v>462300</v>
      </c>
      <c r="D87" s="179">
        <f t="shared" ca="1" si="63"/>
        <v>462300</v>
      </c>
      <c r="E87" s="180">
        <f ca="1">IFERROR(__xludf.DUMMYFUNCTION("IMPORTRANGE(""https://docs.google.com/spreadsheets/d/1MeEWN-I1oV_STSDYn1IFDPWt_1FKiwhDph83XaGc0o0/edit?usp=sharing"",""งบพรบ!AR87"")"),431100)</f>
        <v>431100</v>
      </c>
      <c r="F87" s="180">
        <f ca="1">IFERROR(__xludf.DUMMYFUNCTION("IMPORTRANGE(""https://docs.google.com/spreadsheets/d/1MeEWN-I1oV_STSDYn1IFDPWt_1FKiwhDph83XaGc0o0/edit?usp=sharing"",""งบพรบ!AS87"")"),31200)</f>
        <v>31200</v>
      </c>
      <c r="G87" s="180">
        <f ca="1">IFERROR(__xludf.DUMMYFUNCTION("IMPORTRANGE(""https://docs.google.com/spreadsheets/d/1MeEWN-I1oV_STSDYn1IFDPWt_1FKiwhDph83XaGc0o0/edit?usp=sharing"",""งบพรบ!AT87"")"),0)</f>
        <v>0</v>
      </c>
      <c r="H87" s="180">
        <f ca="1">IFERROR(__xludf.DUMMYFUNCTION("IMPORTRANGE(""https://docs.google.com/spreadsheets/d/1MeEWN-I1oV_STSDYn1IFDPWt_1FKiwhDph83XaGc0o0/edit?usp=sharing"",""งบพรบ!AV87"")"),349400)</f>
        <v>349400</v>
      </c>
      <c r="I87" s="180">
        <f ca="1">IFERROR(__xludf.DUMMYFUNCTION("IMPORTRANGE(""https://docs.google.com/spreadsheets/d/1MeEWN-I1oV_STSDYn1IFDPWt_1FKiwhDph83XaGc0o0/edit?usp=sharing"",""งบพรบ!AW87"")"),0)</f>
        <v>0</v>
      </c>
      <c r="J87" s="180">
        <f t="shared" ca="1" si="3"/>
        <v>140442.15</v>
      </c>
      <c r="K87" s="187">
        <f t="shared" ca="1" si="4"/>
        <v>30.379007138221933</v>
      </c>
      <c r="L87" s="180">
        <f ca="1">IFERROR(__xludf.DUMMYFUNCTION("IMPORTRANGE(""https://docs.google.com/spreadsheets/d/1MeEWN-I1oV_STSDYn1IFDPWt_1FKiwhDph83XaGc0o0/edit?usp=sharing"",""งบพรบ!AX87"")"),140442.15)</f>
        <v>140442.15</v>
      </c>
      <c r="M87" s="183">
        <f t="shared" ca="1" si="5"/>
        <v>30.379007138221933</v>
      </c>
      <c r="N87" s="183">
        <f t="shared" ca="1" si="6"/>
        <v>40.195234688036635</v>
      </c>
      <c r="O87" s="184">
        <f ca="1">IFERROR(__xludf.DUMMYFUNCTION("IMPORTRANGE(""https://docs.google.com/spreadsheets/d/1MeEWN-I1oV_STSDYn1IFDPWt_1FKiwhDph83XaGc0o0/edit?usp=sharing"",""งบพรบ!AY87"")"),0)</f>
        <v>0</v>
      </c>
      <c r="P87" s="184">
        <f t="shared" ca="1" si="36"/>
        <v>0</v>
      </c>
      <c r="Q87" s="183">
        <f t="shared" ca="1" si="8"/>
        <v>0</v>
      </c>
      <c r="R87" s="181">
        <f ca="1">IFERROR(__xludf.DUMMYFUNCTION("IMPORTRANGE(""https://docs.google.com/spreadsheets/d/16cywr71Fj4fA5OGRHsZh30ZG2gwJhMAQv69oVBzYHv0/edit?usp=sharing"",""สตูล!I98"")"),0)</f>
        <v>0</v>
      </c>
      <c r="S87" s="181">
        <f ca="1">IFERROR(__xludf.DUMMYFUNCTION("IMPORTRANGE(""https://docs.google.com/spreadsheets/d/16cywr71Fj4fA5OGRHsZh30ZG2gwJhMAQv69oVBzYHv0/edit?usp=sharing"",""สตูล!J98"")"),0)</f>
        <v>0</v>
      </c>
      <c r="T87" s="181">
        <f t="shared" ca="1" si="10"/>
        <v>0</v>
      </c>
      <c r="U87" s="181">
        <f ca="1">IFERROR(__xludf.DUMMYFUNCTION("IMPORTRANGE(""https://docs.google.com/spreadsheets/d/16cywr71Fj4fA5OGRHsZh30ZG2gwJhMAQv69oVBzYHv0/edit?usp=sharing"",""สตูล!I99"")"),0)</f>
        <v>0</v>
      </c>
      <c r="V87" s="181">
        <f ca="1">IFERROR(__xludf.DUMMYFUNCTION("IMPORTRANGE(""https://docs.google.com/spreadsheets/d/16cywr71Fj4fA5OGRHsZh30ZG2gwJhMAQv69oVBzYHv0/edit?usp=sharing"",""สตูล!I100"")"),1)</f>
        <v>1</v>
      </c>
      <c r="W87" s="181">
        <f ca="1">IFERROR(__xludf.DUMMYFUNCTION("IMPORTRANGE(""https://docs.google.com/spreadsheets/d/16cywr71Fj4fA5OGRHsZh30ZG2gwJhMAQv69oVBzYHv0/edit?usp=sharing"",""สตูล!J99"")"),0)</f>
        <v>0</v>
      </c>
      <c r="X87" s="185">
        <f t="shared" ca="1" si="12"/>
        <v>0</v>
      </c>
      <c r="Y87" s="186">
        <f ca="1">IFERROR(__xludf.DUMMYFUNCTION("IMPORTRANGE(""https://docs.google.com/spreadsheets/d/16cywr71Fj4fA5OGRHsZh30ZG2gwJhMAQv69oVBzYHv0/edit?usp=sharing"",""สตูล!J100"")"),0)</f>
        <v>0</v>
      </c>
      <c r="Z87" s="185">
        <f t="shared" ca="1" si="13"/>
        <v>0</v>
      </c>
      <c r="AA87" s="180">
        <f ca="1">IFERROR(__xludf.DUMMYFUNCTION("IMPORTRANGE(""https://docs.google.com/spreadsheets/d/16cywr71Fj4fA5OGRHsZh30ZG2gwJhMAQv69oVBzYHv0/edit?usp=sharing"",""สตูล!I102"")"),0)</f>
        <v>0</v>
      </c>
      <c r="AB87" s="180">
        <f ca="1">IFERROR(__xludf.DUMMYFUNCTION("IMPORTRANGE(""https://docs.google.com/spreadsheets/d/16cywr71Fj4fA5OGRHsZh30ZG2gwJhMAQv69oVBzYHv0/edit?usp=sharing"",""สตูล!I103"")"),0)</f>
        <v>0</v>
      </c>
      <c r="AC87" s="181">
        <f ca="1">IFERROR(__xludf.DUMMYFUNCTION("IMPORTRANGE(""https://docs.google.com/spreadsheets/d/16cywr71Fj4fA5OGRHsZh30ZG2gwJhMAQv69oVBzYHv0/edit?usp=sharing"",""สตูล!J102"")"),0)</f>
        <v>0</v>
      </c>
      <c r="AD87" s="181">
        <f ca="1">IFERROR(__xludf.DUMMYFUNCTION("IMPORTRANGE(""https://docs.google.com/spreadsheets/d/16cywr71Fj4fA5OGRHsZh30ZG2gwJhMAQv69oVBzYHv0/edit?usp=sharing"",""สตูล!J103"")"),0)</f>
        <v>0</v>
      </c>
      <c r="AE87" s="181">
        <f ca="1">IFERROR(__xludf.DUMMYFUNCTION("IMPORTRANGE(""https://docs.google.com/spreadsheets/d/16cywr71Fj4fA5OGRHsZh30ZG2gwJhMAQv69oVBzYHv0/edit?usp=sharing"",""สตูล!J104"")"),0)</f>
        <v>0</v>
      </c>
      <c r="AF87" s="180">
        <f ca="1">IFERROR(__xludf.DUMMYFUNCTION("IMPORTRANGE(""https://docs.google.com/spreadsheets/d/16cywr71Fj4fA5OGRHsZh30ZG2gwJhMAQv69oVBzYHv0/edit?usp=sharing"",""สตูล!I106"")"),1)</f>
        <v>1</v>
      </c>
      <c r="AG87" s="181">
        <f ca="1">IFERROR(__xludf.DUMMYFUNCTION("IMPORTRANGE(""https://docs.google.com/spreadsheets/d/16cywr71Fj4fA5OGRHsZh30ZG2gwJhMAQv69oVBzYHv0/edit?usp=sharing"",""สตูล!J106"")"),0)</f>
        <v>0</v>
      </c>
      <c r="AH87" s="181">
        <f ca="1">IFERROR(__xludf.DUMMYFUNCTION("IMPORTRANGE(""https://docs.google.com/spreadsheets/d/16cywr71Fj4fA5OGRHsZh30ZG2gwJhMAQv69oVBzYHv0/edit?usp=sharing"",""สตูล!J107"")"),0)</f>
        <v>0</v>
      </c>
      <c r="AI87" s="180">
        <f ca="1">IFERROR(__xludf.DUMMYFUNCTION("IMPORTRANGE(""https://docs.google.com/spreadsheets/d/16cywr71Fj4fA5OGRHsZh30ZG2gwJhMAQv69oVBzYHv0/edit?usp=sharing"",""สตูล!I109"")"),0)</f>
        <v>0</v>
      </c>
      <c r="AJ87" s="181">
        <f ca="1">IFERROR(__xludf.DUMMYFUNCTION("IMPORTRANGE(""https://docs.google.com/spreadsheets/d/16cywr71Fj4fA5OGRHsZh30ZG2gwJhMAQv69oVBzYHv0/edit?usp=sharing"",""สตูล!J109"")"),0)</f>
        <v>0</v>
      </c>
      <c r="AK87" s="181">
        <f ca="1">IFERROR(__xludf.DUMMYFUNCTION("IMPORTRANGE(""https://docs.google.com/spreadsheets/d/16cywr71Fj4fA5OGRHsZh30ZG2gwJhMAQv69oVBzYHv0/edit?usp=sharing"",""สตูล!J110"")"),0)</f>
        <v>0</v>
      </c>
      <c r="AL87" s="180">
        <f ca="1">IFERROR(__xludf.DUMMYFUNCTION("IMPORTRANGE(""https://docs.google.com/spreadsheets/d/16cywr71Fj4fA5OGRHsZh30ZG2gwJhMAQv69oVBzYHv0/edit?usp=sharing"",""สตูล!I111"")"),0)</f>
        <v>0</v>
      </c>
      <c r="AM87" s="180">
        <f ca="1">IFERROR(__xludf.DUMMYFUNCTION("IMPORTRANGE(""https://docs.google.com/spreadsheets/d/16cywr71Fj4fA5OGRHsZh30ZG2gwJhMAQv69oVBzYHv0/edit?usp=sharing"",""สตูล!I112"")"),1)</f>
        <v>1</v>
      </c>
      <c r="AN87" s="181">
        <f ca="1">IFERROR(__xludf.DUMMYFUNCTION("IMPORTRANGE(""https://docs.google.com/spreadsheets/d/16cywr71Fj4fA5OGRHsZh30ZG2gwJhMAQv69oVBzYHv0/edit?usp=sharing"",""สตูล!J111"")"),0)</f>
        <v>0</v>
      </c>
      <c r="AO87" s="181">
        <f t="shared" ca="1" si="15"/>
        <v>0</v>
      </c>
      <c r="AP87" s="181">
        <f ca="1">IFERROR(__xludf.DUMMYFUNCTION("IMPORTRANGE(""https://docs.google.com/spreadsheets/d/16cywr71Fj4fA5OGRHsZh30ZG2gwJhMAQv69oVBzYHv0/edit?usp=sharing"",""สตูล!J112"")"),0)</f>
        <v>0</v>
      </c>
      <c r="AQ87" s="183">
        <f t="shared" ca="1" si="16"/>
        <v>0</v>
      </c>
      <c r="AR87" s="180">
        <f ca="1">IFERROR(__xludf.DUMMYFUNCTION("IMPORTRANGE(""https://docs.google.com/spreadsheets/d/16cywr71Fj4fA5OGRHsZh30ZG2gwJhMAQv69oVBzYHv0/edit?usp=sharing"",""สตูล!I113"")"),0)</f>
        <v>0</v>
      </c>
      <c r="AS87" s="180">
        <f ca="1">IFERROR(__xludf.DUMMYFUNCTION("IMPORTRANGE(""https://docs.google.com/spreadsheets/d/16cywr71Fj4fA5OGRHsZh30ZG2gwJhMAQv69oVBzYHv0/edit?usp=sharing"",""สตูล!J113"")"),0)</f>
        <v>0</v>
      </c>
      <c r="AT87" s="180">
        <f ca="1">IFERROR(__xludf.DUMMYFUNCTION("IMPORTRANGE(""https://docs.google.com/spreadsheets/d/16cywr71Fj4fA5OGRHsZh30ZG2gwJhMAQv69oVBzYHv0/edit?usp=sharing"",""สตูล!J114"")"),0)</f>
        <v>0</v>
      </c>
      <c r="AU87" s="180">
        <f ca="1">IFERROR(__xludf.DUMMYFUNCTION("IMPORTRANGE(""https://docs.google.com/spreadsheets/d/16cywr71Fj4fA5OGRHsZh30ZG2gwJhMAQv69oVBzYHv0/edit?usp=sharing"",""สตูล!I115"")"),1)</f>
        <v>1</v>
      </c>
      <c r="AV87" s="181">
        <f ca="1">IFERROR(__xludf.DUMMYFUNCTION("IMPORTRANGE(""https://docs.google.com/spreadsheets/d/16cywr71Fj4fA5OGRHsZh30ZG2gwJhMAQv69oVBzYHv0/edit?usp=sharing"",""สตูล!J115"")"),0)</f>
        <v>0</v>
      </c>
      <c r="AW87" s="183">
        <f t="shared" ca="1" si="18"/>
        <v>0</v>
      </c>
      <c r="AX87" s="180">
        <f ca="1">IFERROR(__xludf.DUMMYFUNCTION("IMPORTRANGE(""https://docs.google.com/spreadsheets/d/16cywr71Fj4fA5OGRHsZh30ZG2gwJhMAQv69oVBzYHv0/edit?usp=sharing"",""สตูล!I116"")"),0)</f>
        <v>0</v>
      </c>
      <c r="AY87" s="181">
        <f ca="1">IFERROR(__xludf.DUMMYFUNCTION("IMPORTRANGE(""https://docs.google.com/spreadsheets/d/16cywr71Fj4fA5OGRHsZh30ZG2gwJhMAQv69oVBzYHv0/edit?usp=sharing"",""สตูล!J116"")"),0)</f>
        <v>0</v>
      </c>
      <c r="AZ87" s="183">
        <f t="shared" ca="1" si="20"/>
        <v>0</v>
      </c>
    </row>
    <row r="88" spans="1:52" ht="24" customHeight="1" x14ac:dyDescent="0.3">
      <c r="A88" s="188">
        <v>14</v>
      </c>
      <c r="B88" s="189" t="s">
        <v>110</v>
      </c>
      <c r="C88" s="190">
        <f t="shared" ca="1" si="0"/>
        <v>56040</v>
      </c>
      <c r="D88" s="191">
        <f t="shared" ca="1" si="63"/>
        <v>56040</v>
      </c>
      <c r="E88" s="192">
        <f ca="1">IFERROR(__xludf.DUMMYFUNCTION("IMPORTRANGE(""https://docs.google.com/spreadsheets/d/1MeEWN-I1oV_STSDYn1IFDPWt_1FKiwhDph83XaGc0o0/edit?usp=sharing"",""งบพรบ!AR88"")"),0)</f>
        <v>0</v>
      </c>
      <c r="F88" s="192">
        <f ca="1">IFERROR(__xludf.DUMMYFUNCTION("IMPORTRANGE(""https://docs.google.com/spreadsheets/d/1MeEWN-I1oV_STSDYn1IFDPWt_1FKiwhDph83XaGc0o0/edit?usp=sharing"",""งบพรบ!AS88"")"),56040)</f>
        <v>56040</v>
      </c>
      <c r="G88" s="192">
        <f ca="1">IFERROR(__xludf.DUMMYFUNCTION("IMPORTRANGE(""https://docs.google.com/spreadsheets/d/1MeEWN-I1oV_STSDYn1IFDPWt_1FKiwhDph83XaGc0o0/edit?usp=sharing"",""งบพรบ!AT88"")"),0)</f>
        <v>0</v>
      </c>
      <c r="H88" s="192">
        <f ca="1">IFERROR(__xludf.DUMMYFUNCTION("IMPORTRANGE(""https://docs.google.com/spreadsheets/d/1MeEWN-I1oV_STSDYn1IFDPWt_1FKiwhDph83XaGc0o0/edit?usp=sharing"",""งบพรบ!AV88"")"),23440)</f>
        <v>23440</v>
      </c>
      <c r="I88" s="192">
        <f ca="1">IFERROR(__xludf.DUMMYFUNCTION("IMPORTRANGE(""https://docs.google.com/spreadsheets/d/1MeEWN-I1oV_STSDYn1IFDPWt_1FKiwhDph83XaGc0o0/edit?usp=sharing"",""งบพรบ!AW88"")"),0)</f>
        <v>0</v>
      </c>
      <c r="J88" s="192">
        <f t="shared" ca="1" si="3"/>
        <v>21840</v>
      </c>
      <c r="K88" s="193">
        <f t="shared" ca="1" si="4"/>
        <v>38.972162740899357</v>
      </c>
      <c r="L88" s="192">
        <f ca="1">IFERROR(__xludf.DUMMYFUNCTION("IMPORTRANGE(""https://docs.google.com/spreadsheets/d/1MeEWN-I1oV_STSDYn1IFDPWt_1FKiwhDph83XaGc0o0/edit?usp=sharing"",""งบพรบ!AX88"")"),21840)</f>
        <v>21840</v>
      </c>
      <c r="M88" s="194">
        <f t="shared" ca="1" si="5"/>
        <v>38.972162740899357</v>
      </c>
      <c r="N88" s="194">
        <f t="shared" ca="1" si="6"/>
        <v>93.174061433447093</v>
      </c>
      <c r="O88" s="195">
        <f ca="1">IFERROR(__xludf.DUMMYFUNCTION("IMPORTRANGE(""https://docs.google.com/spreadsheets/d/1MeEWN-I1oV_STSDYn1IFDPWt_1FKiwhDph83XaGc0o0/edit?usp=sharing"",""งบพรบ!AY88"")"),0)</f>
        <v>0</v>
      </c>
      <c r="P88" s="195">
        <f t="shared" ca="1" si="36"/>
        <v>0</v>
      </c>
      <c r="Q88" s="194">
        <f t="shared" ca="1" si="8"/>
        <v>0</v>
      </c>
      <c r="R88" s="196">
        <f ca="1">IFERROR(__xludf.DUMMYFUNCTION("IMPORTRANGE(""https://docs.google.com/spreadsheets/d/1vO9Sws6kMtrVtyvrAJptINXjK8TFBoX9xLYOVK_C8bQ/edit?usp=sharing"",""สุราษฎร์ธานี!I98"")"),30)</f>
        <v>30</v>
      </c>
      <c r="S88" s="196">
        <f ca="1">IFERROR(__xludf.DUMMYFUNCTION("IMPORTRANGE(""https://docs.google.com/spreadsheets/d/1vO9Sws6kMtrVtyvrAJptINXjK8TFBoX9xLYOVK_C8bQ/edit?usp=sharing"",""สุราษฎร์ธานี!J98"")"),0)</f>
        <v>0</v>
      </c>
      <c r="T88" s="196">
        <f t="shared" ca="1" si="10"/>
        <v>0</v>
      </c>
      <c r="U88" s="196">
        <f ca="1">IFERROR(__xludf.DUMMYFUNCTION("IMPORTRANGE(""https://docs.google.com/spreadsheets/d/1vO9Sws6kMtrVtyvrAJptINXjK8TFBoX9xLYOVK_C8bQ/edit?usp=sharing"",""สุราษฎร์ธานี!I99"")"),10)</f>
        <v>10</v>
      </c>
      <c r="V88" s="196">
        <f ca="1">IFERROR(__xludf.DUMMYFUNCTION("IMPORTRANGE(""https://docs.google.com/spreadsheets/d/1vO9Sws6kMtrVtyvrAJptINXjK8TFBoX9xLYOVK_C8bQ/edit?usp=sharing"",""สุราษฎร์ธานี!I100"")"),1)</f>
        <v>1</v>
      </c>
      <c r="W88" s="196">
        <f ca="1">IFERROR(__xludf.DUMMYFUNCTION("IMPORTRANGE(""https://docs.google.com/spreadsheets/d/1vO9Sws6kMtrVtyvrAJptINXjK8TFBoX9xLYOVK_C8bQ/edit?usp=sharing"",""สุราษฎร์ธานี!J99"")"),10)</f>
        <v>10</v>
      </c>
      <c r="X88" s="197">
        <f t="shared" ca="1" si="12"/>
        <v>100</v>
      </c>
      <c r="Y88" s="198">
        <f ca="1">IFERROR(__xludf.DUMMYFUNCTION("IMPORTRANGE(""https://docs.google.com/spreadsheets/d/1vO9Sws6kMtrVtyvrAJptINXjK8TFBoX9xLYOVK_C8bQ/edit?usp=sharing"",""สุราษฎร์ธานี!J100"")"),0)</f>
        <v>0</v>
      </c>
      <c r="Z88" s="197">
        <f t="shared" ca="1" si="13"/>
        <v>0</v>
      </c>
      <c r="AA88" s="192">
        <f ca="1">IFERROR(__xludf.DUMMYFUNCTION("IMPORTRANGE(""https://docs.google.com/spreadsheets/d/1vO9Sws6kMtrVtyvrAJptINXjK8TFBoX9xLYOVK_C8bQ/edit?usp=sharing"",""สุราษฎร์ธานี!I102"")"),30)</f>
        <v>30</v>
      </c>
      <c r="AB88" s="192">
        <f ca="1">IFERROR(__xludf.DUMMYFUNCTION("IMPORTRANGE(""https://docs.google.com/spreadsheets/d/1vO9Sws6kMtrVtyvrAJptINXjK8TFBoX9xLYOVK_C8bQ/edit?usp=sharing"",""สุราษฎร์ธานี!I103"")"),10)</f>
        <v>10</v>
      </c>
      <c r="AC88" s="196">
        <f ca="1">IFERROR(__xludf.DUMMYFUNCTION("IMPORTRANGE(""https://docs.google.com/spreadsheets/d/1vO9Sws6kMtrVtyvrAJptINXjK8TFBoX9xLYOVK_C8bQ/edit?usp=sharing"",""สุราษฎร์ธานี!J102"")"),0)</f>
        <v>0</v>
      </c>
      <c r="AD88" s="196">
        <f ca="1">IFERROR(__xludf.DUMMYFUNCTION("IMPORTRANGE(""https://docs.google.com/spreadsheets/d/1vO9Sws6kMtrVtyvrAJptINXjK8TFBoX9xLYOVK_C8bQ/edit?usp=sharing"",""สุราษฎร์ธานี!J103"")"),10)</f>
        <v>10</v>
      </c>
      <c r="AE88" s="196">
        <f ca="1">IFERROR(__xludf.DUMMYFUNCTION("IMPORTRANGE(""https://docs.google.com/spreadsheets/d/1vO9Sws6kMtrVtyvrAJptINXjK8TFBoX9xLYOVK_C8bQ/edit?usp=sharing"",""สุราษฎร์ธานี!J104"")"),10)</f>
        <v>10</v>
      </c>
      <c r="AF88" s="192">
        <f ca="1">IFERROR(__xludf.DUMMYFUNCTION("IMPORTRANGE(""https://docs.google.com/spreadsheets/d/1vO9Sws6kMtrVtyvrAJptINXjK8TFBoX9xLYOVK_C8bQ/edit?usp=sharing"",""สุราษฎร์ธานี!I106"")"),1)</f>
        <v>1</v>
      </c>
      <c r="AG88" s="196">
        <f ca="1">IFERROR(__xludf.DUMMYFUNCTION("IMPORTRANGE(""https://docs.google.com/spreadsheets/d/1vO9Sws6kMtrVtyvrAJptINXjK8TFBoX9xLYOVK_C8bQ/edit?usp=sharing"",""สุราษฎร์ธานี!J106"")"),0)</f>
        <v>0</v>
      </c>
      <c r="AH88" s="196">
        <f ca="1">IFERROR(__xludf.DUMMYFUNCTION("IMPORTRANGE(""https://docs.google.com/spreadsheets/d/1vO9Sws6kMtrVtyvrAJptINXjK8TFBoX9xLYOVK_C8bQ/edit?usp=sharing"",""สุราษฎร์ธานี!J107"")"),0)</f>
        <v>0</v>
      </c>
      <c r="AI88" s="192">
        <f ca="1">IFERROR(__xludf.DUMMYFUNCTION("IMPORTRANGE(""https://docs.google.com/spreadsheets/d/1vO9Sws6kMtrVtyvrAJptINXjK8TFBoX9xLYOVK_C8bQ/edit?usp=sharing"",""สุราษฎร์ธานี!I109"")"),0)</f>
        <v>0</v>
      </c>
      <c r="AJ88" s="196">
        <f ca="1">IFERROR(__xludf.DUMMYFUNCTION("IMPORTRANGE(""https://docs.google.com/spreadsheets/d/1vO9Sws6kMtrVtyvrAJptINXjK8TFBoX9xLYOVK_C8bQ/edit?usp=sharing"",""สุราษฎร์ธานี!J109"")"),0)</f>
        <v>0</v>
      </c>
      <c r="AK88" s="196">
        <f ca="1">IFERROR(__xludf.DUMMYFUNCTION("IMPORTRANGE(""https://docs.google.com/spreadsheets/d/1vO9Sws6kMtrVtyvrAJptINXjK8TFBoX9xLYOVK_C8bQ/edit?usp=sharing"",""สุราษฎร์ธานี!J110"")"),0)</f>
        <v>0</v>
      </c>
      <c r="AL88" s="192">
        <f ca="1">IFERROR(__xludf.DUMMYFUNCTION("IMPORTRANGE(""https://docs.google.com/spreadsheets/d/1vO9Sws6kMtrVtyvrAJptINXjK8TFBoX9xLYOVK_C8bQ/edit?usp=sharing"",""สุราษฎร์ธานี!I111"")"),10)</f>
        <v>10</v>
      </c>
      <c r="AM88" s="192">
        <f ca="1">IFERROR(__xludf.DUMMYFUNCTION("IMPORTRANGE(""https://docs.google.com/spreadsheets/d/1vO9Sws6kMtrVtyvrAJptINXjK8TFBoX9xLYOVK_C8bQ/edit?usp=sharing"",""สุราษฎร์ธานี!I112"")"),1)</f>
        <v>1</v>
      </c>
      <c r="AN88" s="196">
        <f ca="1">IFERROR(__xludf.DUMMYFUNCTION("IMPORTRANGE(""https://docs.google.com/spreadsheets/d/1vO9Sws6kMtrVtyvrAJptINXjK8TFBoX9xLYOVK_C8bQ/edit?usp=sharing"",""สุราษฎร์ธานี!J111"")"),0)</f>
        <v>0</v>
      </c>
      <c r="AO88" s="196">
        <f t="shared" ca="1" si="15"/>
        <v>0</v>
      </c>
      <c r="AP88" s="196">
        <f ca="1">IFERROR(__xludf.DUMMYFUNCTION("IMPORTRANGE(""https://docs.google.com/spreadsheets/d/1vO9Sws6kMtrVtyvrAJptINXjK8TFBoX9xLYOVK_C8bQ/edit?usp=sharing"",""สุราษฎร์ธานี!J112"")"),0)</f>
        <v>0</v>
      </c>
      <c r="AQ88" s="194">
        <f t="shared" ca="1" si="16"/>
        <v>0</v>
      </c>
      <c r="AR88" s="192">
        <f ca="1">IFERROR(__xludf.DUMMYFUNCTION("IMPORTRANGE(""https://docs.google.com/spreadsheets/d/1vO9Sws6kMtrVtyvrAJptINXjK8TFBoX9xLYOVK_C8bQ/edit?usp=sharing"",""สุราษฎร์ธานี!I113"")"),10)</f>
        <v>10</v>
      </c>
      <c r="AS88" s="192">
        <f ca="1">IFERROR(__xludf.DUMMYFUNCTION("IMPORTRANGE(""https://docs.google.com/spreadsheets/d/1vO9Sws6kMtrVtyvrAJptINXjK8TFBoX9xLYOVK_C8bQ/edit?usp=sharing"",""สุราษฎร์ธานี!J113"")"),0)</f>
        <v>0</v>
      </c>
      <c r="AT88" s="192">
        <f ca="1">IFERROR(__xludf.DUMMYFUNCTION("IMPORTRANGE(""https://docs.google.com/spreadsheets/d/1vO9Sws6kMtrVtyvrAJptINXjK8TFBoX9xLYOVK_C8bQ/edit?usp=sharing"",""สุราษฎร์ธานี!J114"")"),0)</f>
        <v>0</v>
      </c>
      <c r="AU88" s="192">
        <f ca="1">IFERROR(__xludf.DUMMYFUNCTION("IMPORTRANGE(""https://docs.google.com/spreadsheets/d/1vO9Sws6kMtrVtyvrAJptINXjK8TFBoX9xLYOVK_C8bQ/edit?usp=sharing"",""สุราษฎร์ธานี!I115"")"),1)</f>
        <v>1</v>
      </c>
      <c r="AV88" s="196">
        <f ca="1">IFERROR(__xludf.DUMMYFUNCTION("IMPORTRANGE(""https://docs.google.com/spreadsheets/d/1vO9Sws6kMtrVtyvrAJptINXjK8TFBoX9xLYOVK_C8bQ/edit?usp=sharing"",""สุราษฎร์ธานี!J115"")"),0)</f>
        <v>0</v>
      </c>
      <c r="AW88" s="194">
        <f t="shared" ca="1" si="18"/>
        <v>0</v>
      </c>
      <c r="AX88" s="192">
        <f ca="1">IFERROR(__xludf.DUMMYFUNCTION("IMPORTRANGE(""https://docs.google.com/spreadsheets/d/1vO9Sws6kMtrVtyvrAJptINXjK8TFBoX9xLYOVK_C8bQ/edit?usp=sharing"",""สุราษฎร์ธานี!I116"")"),0)</f>
        <v>0</v>
      </c>
      <c r="AY88" s="196">
        <f ca="1">IFERROR(__xludf.DUMMYFUNCTION("IMPORTRANGE(""https://docs.google.com/spreadsheets/d/1vO9Sws6kMtrVtyvrAJptINXjK8TFBoX9xLYOVK_C8bQ/edit?usp=sharing"",""สุราษฎร์ธานี!J116"")"),0)</f>
        <v>0</v>
      </c>
      <c r="AZ88" s="194">
        <f t="shared" ca="1" si="20"/>
        <v>0</v>
      </c>
    </row>
    <row r="89" spans="1:52" ht="21" hidden="1" customHeight="1" x14ac:dyDescent="0.3">
      <c r="A89" s="399" t="s">
        <v>111</v>
      </c>
      <c r="B89" s="397"/>
      <c r="C89" s="164">
        <f t="shared" ca="1" si="0"/>
        <v>1648800</v>
      </c>
      <c r="D89" s="164">
        <f t="shared" ref="D89:I89" ca="1" si="64">+D90+D91+D92+D93+D94+D95+D96+D97+D98+D99+D100+D101+D102+D103</f>
        <v>1648800</v>
      </c>
      <c r="E89" s="164">
        <f t="shared" ca="1" si="64"/>
        <v>561000</v>
      </c>
      <c r="F89" s="164">
        <f t="shared" ca="1" si="64"/>
        <v>1087800</v>
      </c>
      <c r="G89" s="164">
        <f t="shared" ca="1" si="64"/>
        <v>0</v>
      </c>
      <c r="H89" s="164">
        <f t="shared" ca="1" si="64"/>
        <v>2519145</v>
      </c>
      <c r="I89" s="164">
        <f t="shared" ca="1" si="64"/>
        <v>0</v>
      </c>
      <c r="J89" s="164">
        <f t="shared" ca="1" si="3"/>
        <v>339111.33</v>
      </c>
      <c r="K89" s="165">
        <f t="shared" ca="1" si="4"/>
        <v>20.567159752547308</v>
      </c>
      <c r="L89" s="164">
        <f ca="1">+L90+L91+L92+L93+L94+L95+L96+L97+L98+L99+L100+L101+L102+L103</f>
        <v>339111.33</v>
      </c>
      <c r="M89" s="166">
        <f t="shared" ca="1" si="5"/>
        <v>20.567159752547308</v>
      </c>
      <c r="N89" s="166">
        <f t="shared" ca="1" si="6"/>
        <v>13.461366058722305</v>
      </c>
      <c r="O89" s="167">
        <f ca="1">+O90+O91+O92+O93+O94+O95+O96+O97+O98+O99+O100+O101+O102+O103</f>
        <v>0</v>
      </c>
      <c r="P89" s="167">
        <f t="shared" ca="1" si="36"/>
        <v>0</v>
      </c>
      <c r="Q89" s="166">
        <f t="shared" ca="1" si="8"/>
        <v>0</v>
      </c>
      <c r="R89" s="202"/>
      <c r="S89" s="202"/>
      <c r="T89" s="202"/>
      <c r="U89" s="202"/>
      <c r="V89" s="202"/>
      <c r="W89" s="202"/>
      <c r="X89" s="166"/>
      <c r="Y89" s="166"/>
      <c r="Z89" s="166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166"/>
      <c r="AR89" s="202"/>
      <c r="AS89" s="202"/>
      <c r="AT89" s="202"/>
      <c r="AU89" s="202"/>
      <c r="AV89" s="202"/>
      <c r="AW89" s="166"/>
      <c r="AX89" s="202"/>
      <c r="AY89" s="202"/>
      <c r="AZ89" s="166"/>
    </row>
    <row r="90" spans="1:52" ht="24" hidden="1" customHeight="1" x14ac:dyDescent="0.3">
      <c r="A90" s="176">
        <v>1</v>
      </c>
      <c r="B90" s="177" t="s">
        <v>112</v>
      </c>
      <c r="C90" s="178">
        <f t="shared" ca="1" si="0"/>
        <v>0</v>
      </c>
      <c r="D90" s="179">
        <f t="shared" ref="D90:D103" ca="1" si="65">+E90+F90</f>
        <v>0</v>
      </c>
      <c r="E90" s="180">
        <f ca="1">IFERROR(__xludf.DUMMYFUNCTION("IMPORTRANGE(""https://docs.google.com/spreadsheets/d/1MeEWN-I1oV_STSDYn1IFDPWt_1FKiwhDph83XaGc0o0/edit?usp=sharing"",""งบพรบ!AR90"")"),0)</f>
        <v>0</v>
      </c>
      <c r="F90" s="180">
        <f ca="1">IFERROR(__xludf.DUMMYFUNCTION("IMPORTRANGE(""https://docs.google.com/spreadsheets/d/1MeEWN-I1oV_STSDYn1IFDPWt_1FKiwhDph83XaGc0o0/edit?usp=sharing"",""งบพรบ!AS90"")"),0)</f>
        <v>0</v>
      </c>
      <c r="G90" s="180">
        <f ca="1">IFERROR(__xludf.DUMMYFUNCTION("IMPORTRANGE(""https://docs.google.com/spreadsheets/d/1MeEWN-I1oV_STSDYn1IFDPWt_1FKiwhDph83XaGc0o0/edit?usp=sharing"",""งบพรบ!AT90"")"),0)</f>
        <v>0</v>
      </c>
      <c r="H90" s="180">
        <f ca="1">IFERROR(__xludf.DUMMYFUNCTION("IMPORTRANGE(""https://docs.google.com/spreadsheets/d/1MeEWN-I1oV_STSDYn1IFDPWt_1FKiwhDph83XaGc0o0/edit?usp=sharing"",""งบพรบ!AV90"")"),0)</f>
        <v>0</v>
      </c>
      <c r="I90" s="180">
        <f ca="1">IFERROR(__xludf.DUMMYFUNCTION("IMPORTRANGE(""https://docs.google.com/spreadsheets/d/1MeEWN-I1oV_STSDYn1IFDPWt_1FKiwhDph83XaGc0o0/edit?usp=sharing"",""งบพรบ!AW90"")"),0)</f>
        <v>0</v>
      </c>
      <c r="J90" s="180">
        <f t="shared" ca="1" si="3"/>
        <v>0</v>
      </c>
      <c r="K90" s="187">
        <f t="shared" ca="1" si="4"/>
        <v>0</v>
      </c>
      <c r="L90" s="180">
        <f ca="1">IFERROR(__xludf.DUMMYFUNCTION("IMPORTRANGE(""https://docs.google.com/spreadsheets/d/1MeEWN-I1oV_STSDYn1IFDPWt_1FKiwhDph83XaGc0o0/edit?usp=sharing"",""งบพรบ!AX90"")"),0)</f>
        <v>0</v>
      </c>
      <c r="M90" s="183">
        <f t="shared" ca="1" si="5"/>
        <v>0</v>
      </c>
      <c r="N90" s="183">
        <f t="shared" ca="1" si="6"/>
        <v>0</v>
      </c>
      <c r="O90" s="184">
        <f ca="1">IFERROR(__xludf.DUMMYFUNCTION("IMPORTRANGE(""https://docs.google.com/spreadsheets/d/1MeEWN-I1oV_STSDYn1IFDPWt_1FKiwhDph83XaGc0o0/edit?usp=sharing"",""งบพรบ!AY90"")"),0)</f>
        <v>0</v>
      </c>
      <c r="P90" s="184">
        <f t="shared" ca="1" si="36"/>
        <v>0</v>
      </c>
      <c r="Q90" s="183">
        <f t="shared" ca="1" si="8"/>
        <v>0</v>
      </c>
      <c r="R90" s="203"/>
      <c r="S90" s="203"/>
      <c r="T90" s="203"/>
      <c r="U90" s="203"/>
      <c r="V90" s="203"/>
      <c r="W90" s="203"/>
      <c r="X90" s="183"/>
      <c r="Y90" s="183"/>
      <c r="Z90" s="18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183"/>
      <c r="AR90" s="203"/>
      <c r="AS90" s="203"/>
      <c r="AT90" s="203"/>
      <c r="AU90" s="203"/>
      <c r="AV90" s="203"/>
      <c r="AW90" s="183"/>
      <c r="AX90" s="203"/>
      <c r="AY90" s="203"/>
      <c r="AZ90" s="183"/>
    </row>
    <row r="91" spans="1:52" ht="24" hidden="1" customHeight="1" x14ac:dyDescent="0.3">
      <c r="A91" s="176">
        <v>2</v>
      </c>
      <c r="B91" s="177" t="s">
        <v>113</v>
      </c>
      <c r="C91" s="178">
        <f t="shared" ca="1" si="0"/>
        <v>0</v>
      </c>
      <c r="D91" s="179">
        <f t="shared" ca="1" si="65"/>
        <v>0</v>
      </c>
      <c r="E91" s="180">
        <f ca="1">IFERROR(__xludf.DUMMYFUNCTION("IMPORTRANGE(""https://docs.google.com/spreadsheets/d/1MeEWN-I1oV_STSDYn1IFDPWt_1FKiwhDph83XaGc0o0/edit?usp=sharing"",""งบพรบ!AR91"")"),0)</f>
        <v>0</v>
      </c>
      <c r="F91" s="180">
        <f ca="1">IFERROR(__xludf.DUMMYFUNCTION("IMPORTRANGE(""https://docs.google.com/spreadsheets/d/1MeEWN-I1oV_STSDYn1IFDPWt_1FKiwhDph83XaGc0o0/edit?usp=sharing"",""งบพรบ!AS91"")"),0)</f>
        <v>0</v>
      </c>
      <c r="G91" s="180">
        <f ca="1">IFERROR(__xludf.DUMMYFUNCTION("IMPORTRANGE(""https://docs.google.com/spreadsheets/d/1MeEWN-I1oV_STSDYn1IFDPWt_1FKiwhDph83XaGc0o0/edit?usp=sharing"",""งบพรบ!AT91"")"),0)</f>
        <v>0</v>
      </c>
      <c r="H91" s="180">
        <f ca="1">IFERROR(__xludf.DUMMYFUNCTION("IMPORTRANGE(""https://docs.google.com/spreadsheets/d/1MeEWN-I1oV_STSDYn1IFDPWt_1FKiwhDph83XaGc0o0/edit?usp=sharing"",""งบพรบ!AV91"")"),0)</f>
        <v>0</v>
      </c>
      <c r="I91" s="180">
        <f ca="1">IFERROR(__xludf.DUMMYFUNCTION("IMPORTRANGE(""https://docs.google.com/spreadsheets/d/1MeEWN-I1oV_STSDYn1IFDPWt_1FKiwhDph83XaGc0o0/edit?usp=sharing"",""งบพรบ!AW91"")"),0)</f>
        <v>0</v>
      </c>
      <c r="J91" s="180">
        <f t="shared" ca="1" si="3"/>
        <v>0</v>
      </c>
      <c r="K91" s="187">
        <f t="shared" ca="1" si="4"/>
        <v>0</v>
      </c>
      <c r="L91" s="180">
        <f ca="1">IFERROR(__xludf.DUMMYFUNCTION("IMPORTRANGE(""https://docs.google.com/spreadsheets/d/1MeEWN-I1oV_STSDYn1IFDPWt_1FKiwhDph83XaGc0o0/edit?usp=sharing"",""งบพรบ!AX91"")"),0)</f>
        <v>0</v>
      </c>
      <c r="M91" s="183">
        <f t="shared" ca="1" si="5"/>
        <v>0</v>
      </c>
      <c r="N91" s="183">
        <f t="shared" ca="1" si="6"/>
        <v>0</v>
      </c>
      <c r="O91" s="184">
        <f ca="1">IFERROR(__xludf.DUMMYFUNCTION("IMPORTRANGE(""https://docs.google.com/spreadsheets/d/1MeEWN-I1oV_STSDYn1IFDPWt_1FKiwhDph83XaGc0o0/edit?usp=sharing"",""งบพรบ!AY91"")"),0)</f>
        <v>0</v>
      </c>
      <c r="P91" s="184">
        <f t="shared" ca="1" si="36"/>
        <v>0</v>
      </c>
      <c r="Q91" s="183">
        <f t="shared" ca="1" si="8"/>
        <v>0</v>
      </c>
      <c r="R91" s="203"/>
      <c r="S91" s="203"/>
      <c r="T91" s="203"/>
      <c r="U91" s="203"/>
      <c r="V91" s="203"/>
      <c r="W91" s="203"/>
      <c r="X91" s="183"/>
      <c r="Y91" s="183"/>
      <c r="Z91" s="18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183"/>
      <c r="AR91" s="203"/>
      <c r="AS91" s="203"/>
      <c r="AT91" s="203"/>
      <c r="AU91" s="203"/>
      <c r="AV91" s="203"/>
      <c r="AW91" s="183"/>
      <c r="AX91" s="203"/>
      <c r="AY91" s="203"/>
      <c r="AZ91" s="183"/>
    </row>
    <row r="92" spans="1:52" ht="24" hidden="1" customHeight="1" x14ac:dyDescent="0.3">
      <c r="A92" s="176">
        <v>3</v>
      </c>
      <c r="B92" s="177" t="s">
        <v>114</v>
      </c>
      <c r="C92" s="178">
        <f t="shared" ca="1" si="0"/>
        <v>300000</v>
      </c>
      <c r="D92" s="179">
        <f t="shared" ca="1" si="65"/>
        <v>300000</v>
      </c>
      <c r="E92" s="180">
        <f ca="1">IFERROR(__xludf.DUMMYFUNCTION("IMPORTRANGE(""https://docs.google.com/spreadsheets/d/1MeEWN-I1oV_STSDYn1IFDPWt_1FKiwhDph83XaGc0o0/edit?usp=sharing"",""งบพรบ!AR92"")"),300000)</f>
        <v>300000</v>
      </c>
      <c r="F92" s="180">
        <f ca="1">IFERROR(__xludf.DUMMYFUNCTION("IMPORTRANGE(""https://docs.google.com/spreadsheets/d/1MeEWN-I1oV_STSDYn1IFDPWt_1FKiwhDph83XaGc0o0/edit?usp=sharing"",""งบพรบ!AS92"")"),0)</f>
        <v>0</v>
      </c>
      <c r="G92" s="180">
        <f ca="1">IFERROR(__xludf.DUMMYFUNCTION("IMPORTRANGE(""https://docs.google.com/spreadsheets/d/1MeEWN-I1oV_STSDYn1IFDPWt_1FKiwhDph83XaGc0o0/edit?usp=sharing"",""งบพรบ!AT92"")"),0)</f>
        <v>0</v>
      </c>
      <c r="H92" s="180">
        <f ca="1">IFERROR(__xludf.DUMMYFUNCTION("IMPORTRANGE(""https://docs.google.com/spreadsheets/d/1MeEWN-I1oV_STSDYn1IFDPWt_1FKiwhDph83XaGc0o0/edit?usp=sharing"",""งบพรบ!AV92"")"),300000)</f>
        <v>300000</v>
      </c>
      <c r="I92" s="180">
        <f ca="1">IFERROR(__xludf.DUMMYFUNCTION("IMPORTRANGE(""https://docs.google.com/spreadsheets/d/1MeEWN-I1oV_STSDYn1IFDPWt_1FKiwhDph83XaGc0o0/edit?usp=sharing"",""งบพรบ!AW92"")"),0)</f>
        <v>0</v>
      </c>
      <c r="J92" s="180">
        <f t="shared" ca="1" si="3"/>
        <v>0</v>
      </c>
      <c r="K92" s="187">
        <f t="shared" ca="1" si="4"/>
        <v>0</v>
      </c>
      <c r="L92" s="180">
        <f ca="1">IFERROR(__xludf.DUMMYFUNCTION("IMPORTRANGE(""https://docs.google.com/spreadsheets/d/1MeEWN-I1oV_STSDYn1IFDPWt_1FKiwhDph83XaGc0o0/edit?usp=sharing"",""งบพรบ!AX92"")"),0)</f>
        <v>0</v>
      </c>
      <c r="M92" s="183">
        <f t="shared" ca="1" si="5"/>
        <v>0</v>
      </c>
      <c r="N92" s="183">
        <f t="shared" ca="1" si="6"/>
        <v>0</v>
      </c>
      <c r="O92" s="184">
        <f ca="1">IFERROR(__xludf.DUMMYFUNCTION("IMPORTRANGE(""https://docs.google.com/spreadsheets/d/1MeEWN-I1oV_STSDYn1IFDPWt_1FKiwhDph83XaGc0o0/edit?usp=sharing"",""งบพรบ!AY92"")"),0)</f>
        <v>0</v>
      </c>
      <c r="P92" s="184">
        <f t="shared" ca="1" si="36"/>
        <v>0</v>
      </c>
      <c r="Q92" s="183">
        <f t="shared" ca="1" si="8"/>
        <v>0</v>
      </c>
      <c r="R92" s="203"/>
      <c r="S92" s="203"/>
      <c r="T92" s="203"/>
      <c r="U92" s="203"/>
      <c r="V92" s="203"/>
      <c r="W92" s="203"/>
      <c r="X92" s="183"/>
      <c r="Y92" s="183"/>
      <c r="Z92" s="18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183"/>
      <c r="AR92" s="203"/>
      <c r="AS92" s="203"/>
      <c r="AT92" s="203"/>
      <c r="AU92" s="203"/>
      <c r="AV92" s="203"/>
      <c r="AW92" s="183"/>
      <c r="AX92" s="203"/>
      <c r="AY92" s="203"/>
      <c r="AZ92" s="183"/>
    </row>
    <row r="93" spans="1:52" ht="24" hidden="1" customHeight="1" x14ac:dyDescent="0.3">
      <c r="A93" s="176">
        <f t="shared" ref="A93:A103" si="66">+A92+1</f>
        <v>4</v>
      </c>
      <c r="B93" s="177" t="s">
        <v>115</v>
      </c>
      <c r="C93" s="178">
        <f t="shared" ca="1" si="0"/>
        <v>72000</v>
      </c>
      <c r="D93" s="179">
        <f t="shared" ca="1" si="65"/>
        <v>72000</v>
      </c>
      <c r="E93" s="180">
        <f ca="1">IFERROR(__xludf.DUMMYFUNCTION("IMPORTRANGE(""https://docs.google.com/spreadsheets/d/1MeEWN-I1oV_STSDYn1IFDPWt_1FKiwhDph83XaGc0o0/edit?usp=sharing"",""งบพรบ!AR93"")"),72000)</f>
        <v>72000</v>
      </c>
      <c r="F93" s="180">
        <f ca="1">IFERROR(__xludf.DUMMYFUNCTION("IMPORTRANGE(""https://docs.google.com/spreadsheets/d/1MeEWN-I1oV_STSDYn1IFDPWt_1FKiwhDph83XaGc0o0/edit?usp=sharing"",""งบพรบ!AS93"")"),0)</f>
        <v>0</v>
      </c>
      <c r="G93" s="180">
        <f ca="1">IFERROR(__xludf.DUMMYFUNCTION("IMPORTRANGE(""https://docs.google.com/spreadsheets/d/1MeEWN-I1oV_STSDYn1IFDPWt_1FKiwhDph83XaGc0o0/edit?usp=sharing"",""งบพรบ!AT93"")"),0)</f>
        <v>0</v>
      </c>
      <c r="H93" s="180">
        <f ca="1">IFERROR(__xludf.DUMMYFUNCTION("IMPORTRANGE(""https://docs.google.com/spreadsheets/d/1MeEWN-I1oV_STSDYn1IFDPWt_1FKiwhDph83XaGc0o0/edit?usp=sharing"",""งบพรบ!AV93"")"),54000)</f>
        <v>54000</v>
      </c>
      <c r="I93" s="180">
        <f ca="1">IFERROR(__xludf.DUMMYFUNCTION("IMPORTRANGE(""https://docs.google.com/spreadsheets/d/1MeEWN-I1oV_STSDYn1IFDPWt_1FKiwhDph83XaGc0o0/edit?usp=sharing"",""งบพรบ!AW93"")"),0)</f>
        <v>0</v>
      </c>
      <c r="J93" s="180">
        <f t="shared" ca="1" si="3"/>
        <v>0</v>
      </c>
      <c r="K93" s="187">
        <f t="shared" ca="1" si="4"/>
        <v>0</v>
      </c>
      <c r="L93" s="180">
        <f ca="1">IFERROR(__xludf.DUMMYFUNCTION("IMPORTRANGE(""https://docs.google.com/spreadsheets/d/1MeEWN-I1oV_STSDYn1IFDPWt_1FKiwhDph83XaGc0o0/edit?usp=sharing"",""งบพรบ!AX93"")"),0)</f>
        <v>0</v>
      </c>
      <c r="M93" s="183">
        <f t="shared" ca="1" si="5"/>
        <v>0</v>
      </c>
      <c r="N93" s="183">
        <f t="shared" ca="1" si="6"/>
        <v>0</v>
      </c>
      <c r="O93" s="184">
        <f ca="1">IFERROR(__xludf.DUMMYFUNCTION("IMPORTRANGE(""https://docs.google.com/spreadsheets/d/1MeEWN-I1oV_STSDYn1IFDPWt_1FKiwhDph83XaGc0o0/edit?usp=sharing"",""งบพรบ!AY93"")"),0)</f>
        <v>0</v>
      </c>
      <c r="P93" s="184">
        <f t="shared" ca="1" si="36"/>
        <v>0</v>
      </c>
      <c r="Q93" s="183">
        <f t="shared" ca="1" si="8"/>
        <v>0</v>
      </c>
      <c r="R93" s="203"/>
      <c r="S93" s="203"/>
      <c r="T93" s="203"/>
      <c r="U93" s="203"/>
      <c r="V93" s="203"/>
      <c r="W93" s="203"/>
      <c r="X93" s="183"/>
      <c r="Y93" s="183"/>
      <c r="Z93" s="18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183"/>
      <c r="AR93" s="203"/>
      <c r="AS93" s="203"/>
      <c r="AT93" s="203"/>
      <c r="AU93" s="203"/>
      <c r="AV93" s="203"/>
      <c r="AW93" s="183"/>
      <c r="AX93" s="203"/>
      <c r="AY93" s="203"/>
      <c r="AZ93" s="183"/>
    </row>
    <row r="94" spans="1:52" ht="24" hidden="1" customHeight="1" x14ac:dyDescent="0.3">
      <c r="A94" s="176">
        <f t="shared" si="66"/>
        <v>5</v>
      </c>
      <c r="B94" s="177" t="s">
        <v>116</v>
      </c>
      <c r="C94" s="178">
        <f t="shared" ca="1" si="0"/>
        <v>0</v>
      </c>
      <c r="D94" s="179">
        <f t="shared" ca="1" si="65"/>
        <v>0</v>
      </c>
      <c r="E94" s="180">
        <f ca="1">IFERROR(__xludf.DUMMYFUNCTION("IMPORTRANGE(""https://docs.google.com/spreadsheets/d/1MeEWN-I1oV_STSDYn1IFDPWt_1FKiwhDph83XaGc0o0/edit?usp=sharing"",""งบพรบ!AR94"")"),0)</f>
        <v>0</v>
      </c>
      <c r="F94" s="180">
        <f ca="1">IFERROR(__xludf.DUMMYFUNCTION("IMPORTRANGE(""https://docs.google.com/spreadsheets/d/1MeEWN-I1oV_STSDYn1IFDPWt_1FKiwhDph83XaGc0o0/edit?usp=sharing"",""งบพรบ!AS94"")"),0)</f>
        <v>0</v>
      </c>
      <c r="G94" s="180">
        <f ca="1">IFERROR(__xludf.DUMMYFUNCTION("IMPORTRANGE(""https://docs.google.com/spreadsheets/d/1MeEWN-I1oV_STSDYn1IFDPWt_1FKiwhDph83XaGc0o0/edit?usp=sharing"",""งบพรบ!AT94"")"),0)</f>
        <v>0</v>
      </c>
      <c r="H94" s="180">
        <f ca="1">IFERROR(__xludf.DUMMYFUNCTION("IMPORTRANGE(""https://docs.google.com/spreadsheets/d/1MeEWN-I1oV_STSDYn1IFDPWt_1FKiwhDph83XaGc0o0/edit?usp=sharing"",""งบพรบ!AV94"")"),0)</f>
        <v>0</v>
      </c>
      <c r="I94" s="180">
        <f ca="1">IFERROR(__xludf.DUMMYFUNCTION("IMPORTRANGE(""https://docs.google.com/spreadsheets/d/1MeEWN-I1oV_STSDYn1IFDPWt_1FKiwhDph83XaGc0o0/edit?usp=sharing"",""งบพรบ!AW94"")"),0)</f>
        <v>0</v>
      </c>
      <c r="J94" s="180">
        <f t="shared" ca="1" si="3"/>
        <v>0</v>
      </c>
      <c r="K94" s="187">
        <f t="shared" ca="1" si="4"/>
        <v>0</v>
      </c>
      <c r="L94" s="180">
        <f ca="1">IFERROR(__xludf.DUMMYFUNCTION("IMPORTRANGE(""https://docs.google.com/spreadsheets/d/1MeEWN-I1oV_STSDYn1IFDPWt_1FKiwhDph83XaGc0o0/edit?usp=sharing"",""งบพรบ!AX94"")"),0)</f>
        <v>0</v>
      </c>
      <c r="M94" s="183">
        <f t="shared" ca="1" si="5"/>
        <v>0</v>
      </c>
      <c r="N94" s="183">
        <f t="shared" ca="1" si="6"/>
        <v>0</v>
      </c>
      <c r="O94" s="184">
        <f ca="1">IFERROR(__xludf.DUMMYFUNCTION("IMPORTRANGE(""https://docs.google.com/spreadsheets/d/1MeEWN-I1oV_STSDYn1IFDPWt_1FKiwhDph83XaGc0o0/edit?usp=sharing"",""งบพรบ!AY94"")"),0)</f>
        <v>0</v>
      </c>
      <c r="P94" s="184">
        <f t="shared" ca="1" si="36"/>
        <v>0</v>
      </c>
      <c r="Q94" s="183">
        <f t="shared" ca="1" si="8"/>
        <v>0</v>
      </c>
      <c r="R94" s="203"/>
      <c r="S94" s="203"/>
      <c r="T94" s="203"/>
      <c r="U94" s="203"/>
      <c r="V94" s="203"/>
      <c r="W94" s="203"/>
      <c r="X94" s="183"/>
      <c r="Y94" s="183"/>
      <c r="Z94" s="18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183"/>
      <c r="AR94" s="203"/>
      <c r="AS94" s="203"/>
      <c r="AT94" s="203"/>
      <c r="AU94" s="203"/>
      <c r="AV94" s="203"/>
      <c r="AW94" s="183"/>
      <c r="AX94" s="203"/>
      <c r="AY94" s="203"/>
      <c r="AZ94" s="183"/>
    </row>
    <row r="95" spans="1:52" ht="24" hidden="1" customHeight="1" x14ac:dyDescent="0.3">
      <c r="A95" s="176">
        <f t="shared" si="66"/>
        <v>6</v>
      </c>
      <c r="B95" s="177" t="s">
        <v>117</v>
      </c>
      <c r="C95" s="178">
        <f t="shared" ca="1" si="0"/>
        <v>0</v>
      </c>
      <c r="D95" s="179">
        <f t="shared" ca="1" si="65"/>
        <v>0</v>
      </c>
      <c r="E95" s="180">
        <f ca="1">IFERROR(__xludf.DUMMYFUNCTION("IMPORTRANGE(""https://docs.google.com/spreadsheets/d/1MeEWN-I1oV_STSDYn1IFDPWt_1FKiwhDph83XaGc0o0/edit?usp=sharing"",""งบพรบ!AR95"")"),0)</f>
        <v>0</v>
      </c>
      <c r="F95" s="180">
        <f ca="1">IFERROR(__xludf.DUMMYFUNCTION("IMPORTRANGE(""https://docs.google.com/spreadsheets/d/1MeEWN-I1oV_STSDYn1IFDPWt_1FKiwhDph83XaGc0o0/edit?usp=sharing"",""งบพรบ!AS95"")"),0)</f>
        <v>0</v>
      </c>
      <c r="G95" s="180">
        <f ca="1">IFERROR(__xludf.DUMMYFUNCTION("IMPORTRANGE(""https://docs.google.com/spreadsheets/d/1MeEWN-I1oV_STSDYn1IFDPWt_1FKiwhDph83XaGc0o0/edit?usp=sharing"",""งบพรบ!AT95"")"),0)</f>
        <v>0</v>
      </c>
      <c r="H95" s="180">
        <f ca="1">IFERROR(__xludf.DUMMYFUNCTION("IMPORTRANGE(""https://docs.google.com/spreadsheets/d/1MeEWN-I1oV_STSDYn1IFDPWt_1FKiwhDph83XaGc0o0/edit?usp=sharing"",""งบพรบ!AV95"")"),0)</f>
        <v>0</v>
      </c>
      <c r="I95" s="180">
        <f ca="1">IFERROR(__xludf.DUMMYFUNCTION("IMPORTRANGE(""https://docs.google.com/spreadsheets/d/1MeEWN-I1oV_STSDYn1IFDPWt_1FKiwhDph83XaGc0o0/edit?usp=sharing"",""งบพรบ!AW95"")"),0)</f>
        <v>0</v>
      </c>
      <c r="J95" s="180">
        <f t="shared" ca="1" si="3"/>
        <v>0</v>
      </c>
      <c r="K95" s="187">
        <f t="shared" ca="1" si="4"/>
        <v>0</v>
      </c>
      <c r="L95" s="180">
        <f ca="1">IFERROR(__xludf.DUMMYFUNCTION("IMPORTRANGE(""https://docs.google.com/spreadsheets/d/1MeEWN-I1oV_STSDYn1IFDPWt_1FKiwhDph83XaGc0o0/edit?usp=sharing"",""งบพรบ!AX95"")"),0)</f>
        <v>0</v>
      </c>
      <c r="M95" s="183">
        <f t="shared" ca="1" si="5"/>
        <v>0</v>
      </c>
      <c r="N95" s="183">
        <f t="shared" ca="1" si="6"/>
        <v>0</v>
      </c>
      <c r="O95" s="184">
        <f ca="1">IFERROR(__xludf.DUMMYFUNCTION("IMPORTRANGE(""https://docs.google.com/spreadsheets/d/1MeEWN-I1oV_STSDYn1IFDPWt_1FKiwhDph83XaGc0o0/edit?usp=sharing"",""งบพรบ!AY95"")"),0)</f>
        <v>0</v>
      </c>
      <c r="P95" s="184">
        <f t="shared" ca="1" si="36"/>
        <v>0</v>
      </c>
      <c r="Q95" s="183">
        <f t="shared" ca="1" si="8"/>
        <v>0</v>
      </c>
      <c r="R95" s="203"/>
      <c r="S95" s="203"/>
      <c r="T95" s="203"/>
      <c r="U95" s="203"/>
      <c r="V95" s="203"/>
      <c r="W95" s="203"/>
      <c r="X95" s="183"/>
      <c r="Y95" s="183"/>
      <c r="Z95" s="18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183"/>
      <c r="AR95" s="203"/>
      <c r="AS95" s="203"/>
      <c r="AT95" s="203"/>
      <c r="AU95" s="203"/>
      <c r="AV95" s="203"/>
      <c r="AW95" s="183"/>
      <c r="AX95" s="203"/>
      <c r="AY95" s="203"/>
      <c r="AZ95" s="183"/>
    </row>
    <row r="96" spans="1:52" ht="24" hidden="1" customHeight="1" x14ac:dyDescent="0.3">
      <c r="A96" s="176">
        <f t="shared" si="66"/>
        <v>7</v>
      </c>
      <c r="B96" s="177" t="s">
        <v>118</v>
      </c>
      <c r="C96" s="178">
        <f t="shared" ca="1" si="0"/>
        <v>1276800</v>
      </c>
      <c r="D96" s="179">
        <f t="shared" ca="1" si="65"/>
        <v>1276800</v>
      </c>
      <c r="E96" s="180">
        <f ca="1">IFERROR(__xludf.DUMMYFUNCTION("IMPORTRANGE(""https://docs.google.com/spreadsheets/d/1MeEWN-I1oV_STSDYn1IFDPWt_1FKiwhDph83XaGc0o0/edit?usp=sharing"",""งบพรบ!AR96"")"),189000)</f>
        <v>189000</v>
      </c>
      <c r="F96" s="180">
        <f ca="1">IFERROR(__xludf.DUMMYFUNCTION("IMPORTRANGE(""https://docs.google.com/spreadsheets/d/1MeEWN-I1oV_STSDYn1IFDPWt_1FKiwhDph83XaGc0o0/edit?usp=sharing"",""งบพรบ!AS96"")"),1087800)</f>
        <v>1087800</v>
      </c>
      <c r="G96" s="180">
        <f ca="1">IFERROR(__xludf.DUMMYFUNCTION("IMPORTRANGE(""https://docs.google.com/spreadsheets/d/1MeEWN-I1oV_STSDYn1IFDPWt_1FKiwhDph83XaGc0o0/edit?usp=sharing"",""งบพรบ!AT96"")"),0)</f>
        <v>0</v>
      </c>
      <c r="H96" s="180">
        <f ca="1">IFERROR(__xludf.DUMMYFUNCTION("IMPORTRANGE(""https://docs.google.com/spreadsheets/d/1MeEWN-I1oV_STSDYn1IFDPWt_1FKiwhDph83XaGc0o0/edit?usp=sharing"",""งบพรบ!AV96"")"),2165145)</f>
        <v>2165145</v>
      </c>
      <c r="I96" s="180">
        <f ca="1">IFERROR(__xludf.DUMMYFUNCTION("IMPORTRANGE(""https://docs.google.com/spreadsheets/d/1MeEWN-I1oV_STSDYn1IFDPWt_1FKiwhDph83XaGc0o0/edit?usp=sharing"",""งบพรบ!AW96"")"),0)</f>
        <v>0</v>
      </c>
      <c r="J96" s="180">
        <f t="shared" ca="1" si="3"/>
        <v>339111.33</v>
      </c>
      <c r="K96" s="187">
        <f t="shared" ca="1" si="4"/>
        <v>26.559471334586465</v>
      </c>
      <c r="L96" s="180">
        <f ca="1">IFERROR(__xludf.DUMMYFUNCTION("IMPORTRANGE(""https://docs.google.com/spreadsheets/d/1MeEWN-I1oV_STSDYn1IFDPWt_1FKiwhDph83XaGc0o0/edit?usp=sharing"",""งบพรบ!AX96"")"),339111.33)</f>
        <v>339111.33</v>
      </c>
      <c r="M96" s="183">
        <f t="shared" ca="1" si="5"/>
        <v>26.559471334586465</v>
      </c>
      <c r="N96" s="183">
        <f t="shared" ca="1" si="6"/>
        <v>15.662291901928047</v>
      </c>
      <c r="O96" s="184">
        <f ca="1">IFERROR(__xludf.DUMMYFUNCTION("IMPORTRANGE(""https://docs.google.com/spreadsheets/d/1MeEWN-I1oV_STSDYn1IFDPWt_1FKiwhDph83XaGc0o0/edit?usp=sharing"",""งบพรบ!AY96"")"),0)</f>
        <v>0</v>
      </c>
      <c r="P96" s="184">
        <f t="shared" ca="1" si="36"/>
        <v>0</v>
      </c>
      <c r="Q96" s="183">
        <f t="shared" ca="1" si="8"/>
        <v>0</v>
      </c>
      <c r="R96" s="203"/>
      <c r="S96" s="203"/>
      <c r="T96" s="203"/>
      <c r="U96" s="203"/>
      <c r="V96" s="203"/>
      <c r="W96" s="203"/>
      <c r="X96" s="183"/>
      <c r="Y96" s="183"/>
      <c r="Z96" s="18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183"/>
      <c r="AR96" s="203"/>
      <c r="AS96" s="203"/>
      <c r="AT96" s="203"/>
      <c r="AU96" s="203"/>
      <c r="AV96" s="203"/>
      <c r="AW96" s="183"/>
      <c r="AX96" s="203"/>
      <c r="AY96" s="203"/>
      <c r="AZ96" s="183"/>
    </row>
    <row r="97" spans="1:52" ht="24" hidden="1" customHeight="1" x14ac:dyDescent="0.3">
      <c r="A97" s="176">
        <f t="shared" si="66"/>
        <v>8</v>
      </c>
      <c r="B97" s="177" t="s">
        <v>119</v>
      </c>
      <c r="C97" s="178">
        <f t="shared" ca="1" si="0"/>
        <v>0</v>
      </c>
      <c r="D97" s="179">
        <f t="shared" ca="1" si="65"/>
        <v>0</v>
      </c>
      <c r="E97" s="180">
        <f ca="1">IFERROR(__xludf.DUMMYFUNCTION("IMPORTRANGE(""https://docs.google.com/spreadsheets/d/1MeEWN-I1oV_STSDYn1IFDPWt_1FKiwhDph83XaGc0o0/edit?usp=sharing"",""งบพรบ!AR97"")"),0)</f>
        <v>0</v>
      </c>
      <c r="F97" s="180">
        <f ca="1">IFERROR(__xludf.DUMMYFUNCTION("IMPORTRANGE(""https://docs.google.com/spreadsheets/d/1MeEWN-I1oV_STSDYn1IFDPWt_1FKiwhDph83XaGc0o0/edit?usp=sharing"",""งบพรบ!AS97"")"),0)</f>
        <v>0</v>
      </c>
      <c r="G97" s="180">
        <f ca="1">IFERROR(__xludf.DUMMYFUNCTION("IMPORTRANGE(""https://docs.google.com/spreadsheets/d/1MeEWN-I1oV_STSDYn1IFDPWt_1FKiwhDph83XaGc0o0/edit?usp=sharing"",""งบพรบ!AT97"")"),0)</f>
        <v>0</v>
      </c>
      <c r="H97" s="180">
        <f ca="1">IFERROR(__xludf.DUMMYFUNCTION("IMPORTRANGE(""https://docs.google.com/spreadsheets/d/1MeEWN-I1oV_STSDYn1IFDPWt_1FKiwhDph83XaGc0o0/edit?usp=sharing"",""งบพรบ!AV97"")"),0)</f>
        <v>0</v>
      </c>
      <c r="I97" s="180">
        <f ca="1">IFERROR(__xludf.DUMMYFUNCTION("IMPORTRANGE(""https://docs.google.com/spreadsheets/d/1MeEWN-I1oV_STSDYn1IFDPWt_1FKiwhDph83XaGc0o0/edit?usp=sharing"",""งบพรบ!AW97"")"),0)</f>
        <v>0</v>
      </c>
      <c r="J97" s="180">
        <f t="shared" ca="1" si="3"/>
        <v>0</v>
      </c>
      <c r="K97" s="187">
        <f t="shared" ca="1" si="4"/>
        <v>0</v>
      </c>
      <c r="L97" s="180">
        <f ca="1">IFERROR(__xludf.DUMMYFUNCTION("IMPORTRANGE(""https://docs.google.com/spreadsheets/d/1MeEWN-I1oV_STSDYn1IFDPWt_1FKiwhDph83XaGc0o0/edit?usp=sharing"",""งบพรบ!AX97"")"),0)</f>
        <v>0</v>
      </c>
      <c r="M97" s="183">
        <f t="shared" ca="1" si="5"/>
        <v>0</v>
      </c>
      <c r="N97" s="183">
        <f t="shared" ca="1" si="6"/>
        <v>0</v>
      </c>
      <c r="O97" s="184">
        <f ca="1">IFERROR(__xludf.DUMMYFUNCTION("IMPORTRANGE(""https://docs.google.com/spreadsheets/d/1MeEWN-I1oV_STSDYn1IFDPWt_1FKiwhDph83XaGc0o0/edit?usp=sharing"",""งบพรบ!AY97"")"),0)</f>
        <v>0</v>
      </c>
      <c r="P97" s="184">
        <f t="shared" ca="1" si="36"/>
        <v>0</v>
      </c>
      <c r="Q97" s="183">
        <f t="shared" ca="1" si="8"/>
        <v>0</v>
      </c>
      <c r="R97" s="203"/>
      <c r="S97" s="203"/>
      <c r="T97" s="203"/>
      <c r="U97" s="203"/>
      <c r="V97" s="203"/>
      <c r="W97" s="203"/>
      <c r="X97" s="183"/>
      <c r="Y97" s="183"/>
      <c r="Z97" s="18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183"/>
      <c r="AR97" s="203"/>
      <c r="AS97" s="203"/>
      <c r="AT97" s="203"/>
      <c r="AU97" s="203"/>
      <c r="AV97" s="203"/>
      <c r="AW97" s="183"/>
      <c r="AX97" s="203"/>
      <c r="AY97" s="203"/>
      <c r="AZ97" s="183"/>
    </row>
    <row r="98" spans="1:52" ht="24" hidden="1" customHeight="1" x14ac:dyDescent="0.3">
      <c r="A98" s="176">
        <f t="shared" si="66"/>
        <v>9</v>
      </c>
      <c r="B98" s="177" t="s">
        <v>120</v>
      </c>
      <c r="C98" s="178">
        <f t="shared" ca="1" si="0"/>
        <v>0</v>
      </c>
      <c r="D98" s="179">
        <f t="shared" ca="1" si="65"/>
        <v>0</v>
      </c>
      <c r="E98" s="180">
        <f ca="1">IFERROR(__xludf.DUMMYFUNCTION("IMPORTRANGE(""https://docs.google.com/spreadsheets/d/1MeEWN-I1oV_STSDYn1IFDPWt_1FKiwhDph83XaGc0o0/edit?usp=sharing"",""งบพรบ!AR98"")"),0)</f>
        <v>0</v>
      </c>
      <c r="F98" s="180">
        <f ca="1">IFERROR(__xludf.DUMMYFUNCTION("IMPORTRANGE(""https://docs.google.com/spreadsheets/d/1MeEWN-I1oV_STSDYn1IFDPWt_1FKiwhDph83XaGc0o0/edit?usp=sharing"",""งบพรบ!AS98"")"),0)</f>
        <v>0</v>
      </c>
      <c r="G98" s="180">
        <f ca="1">IFERROR(__xludf.DUMMYFUNCTION("IMPORTRANGE(""https://docs.google.com/spreadsheets/d/1MeEWN-I1oV_STSDYn1IFDPWt_1FKiwhDph83XaGc0o0/edit?usp=sharing"",""งบพรบ!AT98"")"),0)</f>
        <v>0</v>
      </c>
      <c r="H98" s="180">
        <f ca="1">IFERROR(__xludf.DUMMYFUNCTION("IMPORTRANGE(""https://docs.google.com/spreadsheets/d/1MeEWN-I1oV_STSDYn1IFDPWt_1FKiwhDph83XaGc0o0/edit?usp=sharing"",""งบพรบ!AV98"")"),0)</f>
        <v>0</v>
      </c>
      <c r="I98" s="180">
        <f ca="1">IFERROR(__xludf.DUMMYFUNCTION("IMPORTRANGE(""https://docs.google.com/spreadsheets/d/1MeEWN-I1oV_STSDYn1IFDPWt_1FKiwhDph83XaGc0o0/edit?usp=sharing"",""งบพรบ!AW98"")"),0)</f>
        <v>0</v>
      </c>
      <c r="J98" s="180">
        <f t="shared" ca="1" si="3"/>
        <v>0</v>
      </c>
      <c r="K98" s="187">
        <f t="shared" ca="1" si="4"/>
        <v>0</v>
      </c>
      <c r="L98" s="180">
        <f ca="1">IFERROR(__xludf.DUMMYFUNCTION("IMPORTRANGE(""https://docs.google.com/spreadsheets/d/1MeEWN-I1oV_STSDYn1IFDPWt_1FKiwhDph83XaGc0o0/edit?usp=sharing"",""งบพรบ!AX98"")"),0)</f>
        <v>0</v>
      </c>
      <c r="M98" s="183">
        <f t="shared" ca="1" si="5"/>
        <v>0</v>
      </c>
      <c r="N98" s="183">
        <f t="shared" ca="1" si="6"/>
        <v>0</v>
      </c>
      <c r="O98" s="184">
        <f ca="1">IFERROR(__xludf.DUMMYFUNCTION("IMPORTRANGE(""https://docs.google.com/spreadsheets/d/1MeEWN-I1oV_STSDYn1IFDPWt_1FKiwhDph83XaGc0o0/edit?usp=sharing"",""งบพรบ!AY98"")"),0)</f>
        <v>0</v>
      </c>
      <c r="P98" s="184">
        <f t="shared" ca="1" si="36"/>
        <v>0</v>
      </c>
      <c r="Q98" s="183">
        <f t="shared" ca="1" si="8"/>
        <v>0</v>
      </c>
      <c r="R98" s="203"/>
      <c r="S98" s="203"/>
      <c r="T98" s="203"/>
      <c r="U98" s="203"/>
      <c r="V98" s="203"/>
      <c r="W98" s="203"/>
      <c r="X98" s="183"/>
      <c r="Y98" s="183"/>
      <c r="Z98" s="18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183"/>
      <c r="AR98" s="203"/>
      <c r="AS98" s="203"/>
      <c r="AT98" s="203"/>
      <c r="AU98" s="203"/>
      <c r="AV98" s="203"/>
      <c r="AW98" s="183"/>
      <c r="AX98" s="203"/>
      <c r="AY98" s="203"/>
      <c r="AZ98" s="183"/>
    </row>
    <row r="99" spans="1:52" ht="24" hidden="1" customHeight="1" x14ac:dyDescent="0.3">
      <c r="A99" s="176">
        <f t="shared" si="66"/>
        <v>10</v>
      </c>
      <c r="B99" s="177" t="s">
        <v>121</v>
      </c>
      <c r="C99" s="178">
        <f t="shared" ca="1" si="0"/>
        <v>0</v>
      </c>
      <c r="D99" s="179">
        <f t="shared" ca="1" si="65"/>
        <v>0</v>
      </c>
      <c r="E99" s="180">
        <f ca="1">IFERROR(__xludf.DUMMYFUNCTION("IMPORTRANGE(""https://docs.google.com/spreadsheets/d/1MeEWN-I1oV_STSDYn1IFDPWt_1FKiwhDph83XaGc0o0/edit?usp=sharing"",""งบพรบ!AR99"")"),0)</f>
        <v>0</v>
      </c>
      <c r="F99" s="180">
        <f ca="1">IFERROR(__xludf.DUMMYFUNCTION("IMPORTRANGE(""https://docs.google.com/spreadsheets/d/1MeEWN-I1oV_STSDYn1IFDPWt_1FKiwhDph83XaGc0o0/edit?usp=sharing"",""งบพรบ!AS99"")"),0)</f>
        <v>0</v>
      </c>
      <c r="G99" s="180">
        <f ca="1">IFERROR(__xludf.DUMMYFUNCTION("IMPORTRANGE(""https://docs.google.com/spreadsheets/d/1MeEWN-I1oV_STSDYn1IFDPWt_1FKiwhDph83XaGc0o0/edit?usp=sharing"",""งบพรบ!AT99"")"),0)</f>
        <v>0</v>
      </c>
      <c r="H99" s="180">
        <f ca="1">IFERROR(__xludf.DUMMYFUNCTION("IMPORTRANGE(""https://docs.google.com/spreadsheets/d/1MeEWN-I1oV_STSDYn1IFDPWt_1FKiwhDph83XaGc0o0/edit?usp=sharing"",""งบพรบ!AV99"")"),0)</f>
        <v>0</v>
      </c>
      <c r="I99" s="180">
        <f ca="1">IFERROR(__xludf.DUMMYFUNCTION("IMPORTRANGE(""https://docs.google.com/spreadsheets/d/1MeEWN-I1oV_STSDYn1IFDPWt_1FKiwhDph83XaGc0o0/edit?usp=sharing"",""งบพรบ!AW99"")"),0)</f>
        <v>0</v>
      </c>
      <c r="J99" s="180">
        <f t="shared" ca="1" si="3"/>
        <v>0</v>
      </c>
      <c r="K99" s="187">
        <f t="shared" ca="1" si="4"/>
        <v>0</v>
      </c>
      <c r="L99" s="180">
        <f ca="1">IFERROR(__xludf.DUMMYFUNCTION("IMPORTRANGE(""https://docs.google.com/spreadsheets/d/1MeEWN-I1oV_STSDYn1IFDPWt_1FKiwhDph83XaGc0o0/edit?usp=sharing"",""งบพรบ!AX99"")"),0)</f>
        <v>0</v>
      </c>
      <c r="M99" s="183">
        <f t="shared" ca="1" si="5"/>
        <v>0</v>
      </c>
      <c r="N99" s="183">
        <f t="shared" ca="1" si="6"/>
        <v>0</v>
      </c>
      <c r="O99" s="184">
        <f ca="1">IFERROR(__xludf.DUMMYFUNCTION("IMPORTRANGE(""https://docs.google.com/spreadsheets/d/1MeEWN-I1oV_STSDYn1IFDPWt_1FKiwhDph83XaGc0o0/edit?usp=sharing"",""งบพรบ!AY99"")"),0)</f>
        <v>0</v>
      </c>
      <c r="P99" s="184">
        <f t="shared" ca="1" si="36"/>
        <v>0</v>
      </c>
      <c r="Q99" s="183">
        <f t="shared" ca="1" si="8"/>
        <v>0</v>
      </c>
      <c r="R99" s="203"/>
      <c r="S99" s="203"/>
      <c r="T99" s="203"/>
      <c r="U99" s="203"/>
      <c r="V99" s="203"/>
      <c r="W99" s="203"/>
      <c r="X99" s="183"/>
      <c r="Y99" s="183"/>
      <c r="Z99" s="18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183"/>
      <c r="AR99" s="203"/>
      <c r="AS99" s="203"/>
      <c r="AT99" s="203"/>
      <c r="AU99" s="203"/>
      <c r="AV99" s="203"/>
      <c r="AW99" s="183"/>
      <c r="AX99" s="203"/>
      <c r="AY99" s="203"/>
      <c r="AZ99" s="183"/>
    </row>
    <row r="100" spans="1:52" ht="24" hidden="1" customHeight="1" x14ac:dyDescent="0.3">
      <c r="A100" s="176">
        <f t="shared" si="66"/>
        <v>11</v>
      </c>
      <c r="B100" s="177" t="s">
        <v>122</v>
      </c>
      <c r="C100" s="178">
        <f t="shared" ca="1" si="0"/>
        <v>0</v>
      </c>
      <c r="D100" s="179">
        <f t="shared" ca="1" si="65"/>
        <v>0</v>
      </c>
      <c r="E100" s="180">
        <f ca="1">IFERROR(__xludf.DUMMYFUNCTION("IMPORTRANGE(""https://docs.google.com/spreadsheets/d/1MeEWN-I1oV_STSDYn1IFDPWt_1FKiwhDph83XaGc0o0/edit?usp=sharing"",""งบพรบ!AR100"")"),0)</f>
        <v>0</v>
      </c>
      <c r="F100" s="180">
        <f ca="1">IFERROR(__xludf.DUMMYFUNCTION("IMPORTRANGE(""https://docs.google.com/spreadsheets/d/1MeEWN-I1oV_STSDYn1IFDPWt_1FKiwhDph83XaGc0o0/edit?usp=sharing"",""งบพรบ!AS100"")"),0)</f>
        <v>0</v>
      </c>
      <c r="G100" s="180">
        <f ca="1">IFERROR(__xludf.DUMMYFUNCTION("IMPORTRANGE(""https://docs.google.com/spreadsheets/d/1MeEWN-I1oV_STSDYn1IFDPWt_1FKiwhDph83XaGc0o0/edit?usp=sharing"",""งบพรบ!AT100"")"),0)</f>
        <v>0</v>
      </c>
      <c r="H100" s="180">
        <f ca="1">IFERROR(__xludf.DUMMYFUNCTION("IMPORTRANGE(""https://docs.google.com/spreadsheets/d/1MeEWN-I1oV_STSDYn1IFDPWt_1FKiwhDph83XaGc0o0/edit?usp=sharing"",""งบพรบ!AV100"")"),0)</f>
        <v>0</v>
      </c>
      <c r="I100" s="180">
        <f ca="1">IFERROR(__xludf.DUMMYFUNCTION("IMPORTRANGE(""https://docs.google.com/spreadsheets/d/1MeEWN-I1oV_STSDYn1IFDPWt_1FKiwhDph83XaGc0o0/edit?usp=sharing"",""งบพรบ!AW100"")"),0)</f>
        <v>0</v>
      </c>
      <c r="J100" s="180">
        <f t="shared" ca="1" si="3"/>
        <v>0</v>
      </c>
      <c r="K100" s="187">
        <f t="shared" ca="1" si="4"/>
        <v>0</v>
      </c>
      <c r="L100" s="180">
        <f ca="1">IFERROR(__xludf.DUMMYFUNCTION("IMPORTRANGE(""https://docs.google.com/spreadsheets/d/1MeEWN-I1oV_STSDYn1IFDPWt_1FKiwhDph83XaGc0o0/edit?usp=sharing"",""งบพรบ!AX100"")"),0)</f>
        <v>0</v>
      </c>
      <c r="M100" s="183">
        <f t="shared" ca="1" si="5"/>
        <v>0</v>
      </c>
      <c r="N100" s="183">
        <f t="shared" ca="1" si="6"/>
        <v>0</v>
      </c>
      <c r="O100" s="184">
        <f ca="1">IFERROR(__xludf.DUMMYFUNCTION("IMPORTRANGE(""https://docs.google.com/spreadsheets/d/1MeEWN-I1oV_STSDYn1IFDPWt_1FKiwhDph83XaGc0o0/edit?usp=sharing"",""งบพรบ!AY100"")"),0)</f>
        <v>0</v>
      </c>
      <c r="P100" s="184">
        <f t="shared" ca="1" si="36"/>
        <v>0</v>
      </c>
      <c r="Q100" s="183">
        <f t="shared" ca="1" si="8"/>
        <v>0</v>
      </c>
      <c r="R100" s="203"/>
      <c r="S100" s="203"/>
      <c r="T100" s="203"/>
      <c r="U100" s="203"/>
      <c r="V100" s="203"/>
      <c r="W100" s="203"/>
      <c r="X100" s="183"/>
      <c r="Y100" s="183"/>
      <c r="Z100" s="18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183"/>
      <c r="AR100" s="203"/>
      <c r="AS100" s="203"/>
      <c r="AT100" s="203"/>
      <c r="AU100" s="203"/>
      <c r="AV100" s="203"/>
      <c r="AW100" s="183"/>
      <c r="AX100" s="203"/>
      <c r="AY100" s="203"/>
      <c r="AZ100" s="183"/>
    </row>
    <row r="101" spans="1:52" ht="24" hidden="1" customHeight="1" x14ac:dyDescent="0.3">
      <c r="A101" s="176">
        <f t="shared" si="66"/>
        <v>12</v>
      </c>
      <c r="B101" s="177" t="s">
        <v>123</v>
      </c>
      <c r="C101" s="178">
        <f t="shared" ca="1" si="0"/>
        <v>0</v>
      </c>
      <c r="D101" s="179">
        <f t="shared" ca="1" si="65"/>
        <v>0</v>
      </c>
      <c r="E101" s="180">
        <f ca="1">IFERROR(__xludf.DUMMYFUNCTION("IMPORTRANGE(""https://docs.google.com/spreadsheets/d/1MeEWN-I1oV_STSDYn1IFDPWt_1FKiwhDph83XaGc0o0/edit?usp=sharing"",""งบพรบ!AR101"")"),0)</f>
        <v>0</v>
      </c>
      <c r="F101" s="180">
        <f ca="1">IFERROR(__xludf.DUMMYFUNCTION("IMPORTRANGE(""https://docs.google.com/spreadsheets/d/1MeEWN-I1oV_STSDYn1IFDPWt_1FKiwhDph83XaGc0o0/edit?usp=sharing"",""งบพรบ!AS101"")"),0)</f>
        <v>0</v>
      </c>
      <c r="G101" s="180">
        <f ca="1">IFERROR(__xludf.DUMMYFUNCTION("IMPORTRANGE(""https://docs.google.com/spreadsheets/d/1MeEWN-I1oV_STSDYn1IFDPWt_1FKiwhDph83XaGc0o0/edit?usp=sharing"",""งบพรบ!AT101"")"),0)</f>
        <v>0</v>
      </c>
      <c r="H101" s="180">
        <f ca="1">IFERROR(__xludf.DUMMYFUNCTION("IMPORTRANGE(""https://docs.google.com/spreadsheets/d/1MeEWN-I1oV_STSDYn1IFDPWt_1FKiwhDph83XaGc0o0/edit?usp=sharing"",""งบพรบ!AV101"")"),0)</f>
        <v>0</v>
      </c>
      <c r="I101" s="180">
        <f ca="1">IFERROR(__xludf.DUMMYFUNCTION("IMPORTRANGE(""https://docs.google.com/spreadsheets/d/1MeEWN-I1oV_STSDYn1IFDPWt_1FKiwhDph83XaGc0o0/edit?usp=sharing"",""งบพรบ!AW101"")"),0)</f>
        <v>0</v>
      </c>
      <c r="J101" s="180">
        <f t="shared" ca="1" si="3"/>
        <v>0</v>
      </c>
      <c r="K101" s="187">
        <f t="shared" ca="1" si="4"/>
        <v>0</v>
      </c>
      <c r="L101" s="180">
        <f ca="1">IFERROR(__xludf.DUMMYFUNCTION("IMPORTRANGE(""https://docs.google.com/spreadsheets/d/1MeEWN-I1oV_STSDYn1IFDPWt_1FKiwhDph83XaGc0o0/edit?usp=sharing"",""งบพรบ!AX101"")"),0)</f>
        <v>0</v>
      </c>
      <c r="M101" s="183">
        <f t="shared" ca="1" si="5"/>
        <v>0</v>
      </c>
      <c r="N101" s="183">
        <f t="shared" ca="1" si="6"/>
        <v>0</v>
      </c>
      <c r="O101" s="184">
        <f ca="1">IFERROR(__xludf.DUMMYFUNCTION("IMPORTRANGE(""https://docs.google.com/spreadsheets/d/1MeEWN-I1oV_STSDYn1IFDPWt_1FKiwhDph83XaGc0o0/edit?usp=sharing"",""งบพรบ!AY101"")"),0)</f>
        <v>0</v>
      </c>
      <c r="P101" s="184">
        <f t="shared" ca="1" si="36"/>
        <v>0</v>
      </c>
      <c r="Q101" s="183">
        <f t="shared" ca="1" si="8"/>
        <v>0</v>
      </c>
      <c r="R101" s="203"/>
      <c r="S101" s="203"/>
      <c r="T101" s="203"/>
      <c r="U101" s="203"/>
      <c r="V101" s="203"/>
      <c r="W101" s="203"/>
      <c r="X101" s="183"/>
      <c r="Y101" s="183"/>
      <c r="Z101" s="18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183"/>
      <c r="AR101" s="203"/>
      <c r="AS101" s="203"/>
      <c r="AT101" s="203"/>
      <c r="AU101" s="203"/>
      <c r="AV101" s="203"/>
      <c r="AW101" s="183"/>
      <c r="AX101" s="203"/>
      <c r="AY101" s="203"/>
      <c r="AZ101" s="183"/>
    </row>
    <row r="102" spans="1:52" ht="24" hidden="1" customHeight="1" x14ac:dyDescent="0.3">
      <c r="A102" s="176">
        <f t="shared" si="66"/>
        <v>13</v>
      </c>
      <c r="B102" s="177" t="s">
        <v>124</v>
      </c>
      <c r="C102" s="178">
        <f t="shared" ca="1" si="0"/>
        <v>0</v>
      </c>
      <c r="D102" s="179">
        <f t="shared" ca="1" si="65"/>
        <v>0</v>
      </c>
      <c r="E102" s="180">
        <f ca="1">IFERROR(__xludf.DUMMYFUNCTION("IMPORTRANGE(""https://docs.google.com/spreadsheets/d/1MeEWN-I1oV_STSDYn1IFDPWt_1FKiwhDph83XaGc0o0/edit?usp=sharing"",""งบพรบ!AR102"")"),0)</f>
        <v>0</v>
      </c>
      <c r="F102" s="180">
        <f ca="1">IFERROR(__xludf.DUMMYFUNCTION("IMPORTRANGE(""https://docs.google.com/spreadsheets/d/1MeEWN-I1oV_STSDYn1IFDPWt_1FKiwhDph83XaGc0o0/edit?usp=sharing"",""งบพรบ!AS102"")"),0)</f>
        <v>0</v>
      </c>
      <c r="G102" s="180">
        <f ca="1">IFERROR(__xludf.DUMMYFUNCTION("IMPORTRANGE(""https://docs.google.com/spreadsheets/d/1MeEWN-I1oV_STSDYn1IFDPWt_1FKiwhDph83XaGc0o0/edit?usp=sharing"",""งบพรบ!AT102"")"),0)</f>
        <v>0</v>
      </c>
      <c r="H102" s="180">
        <f ca="1">IFERROR(__xludf.DUMMYFUNCTION("IMPORTRANGE(""https://docs.google.com/spreadsheets/d/1MeEWN-I1oV_STSDYn1IFDPWt_1FKiwhDph83XaGc0o0/edit?usp=sharing"",""งบพรบ!AV102"")"),0)</f>
        <v>0</v>
      </c>
      <c r="I102" s="180">
        <f ca="1">IFERROR(__xludf.DUMMYFUNCTION("IMPORTRANGE(""https://docs.google.com/spreadsheets/d/1MeEWN-I1oV_STSDYn1IFDPWt_1FKiwhDph83XaGc0o0/edit?usp=sharing"",""งบพรบ!AW102"")"),0)</f>
        <v>0</v>
      </c>
      <c r="J102" s="180">
        <f t="shared" ca="1" si="3"/>
        <v>0</v>
      </c>
      <c r="K102" s="187">
        <f t="shared" ca="1" si="4"/>
        <v>0</v>
      </c>
      <c r="L102" s="180">
        <f ca="1">IFERROR(__xludf.DUMMYFUNCTION("IMPORTRANGE(""https://docs.google.com/spreadsheets/d/1MeEWN-I1oV_STSDYn1IFDPWt_1FKiwhDph83XaGc0o0/edit?usp=sharing"",""งบพรบ!AX102"")"),0)</f>
        <v>0</v>
      </c>
      <c r="M102" s="183">
        <f t="shared" ca="1" si="5"/>
        <v>0</v>
      </c>
      <c r="N102" s="183">
        <f t="shared" ca="1" si="6"/>
        <v>0</v>
      </c>
      <c r="O102" s="184">
        <f ca="1">IFERROR(__xludf.DUMMYFUNCTION("IMPORTRANGE(""https://docs.google.com/spreadsheets/d/1MeEWN-I1oV_STSDYn1IFDPWt_1FKiwhDph83XaGc0o0/edit?usp=sharing"",""งบพรบ!AY102"")"),0)</f>
        <v>0</v>
      </c>
      <c r="P102" s="184">
        <f t="shared" ca="1" si="36"/>
        <v>0</v>
      </c>
      <c r="Q102" s="183">
        <f t="shared" ca="1" si="8"/>
        <v>0</v>
      </c>
      <c r="R102" s="203"/>
      <c r="S102" s="203"/>
      <c r="T102" s="203"/>
      <c r="U102" s="203"/>
      <c r="V102" s="203"/>
      <c r="W102" s="203"/>
      <c r="X102" s="183"/>
      <c r="Y102" s="183"/>
      <c r="Z102" s="18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183"/>
      <c r="AR102" s="203"/>
      <c r="AS102" s="203"/>
      <c r="AT102" s="203"/>
      <c r="AU102" s="203"/>
      <c r="AV102" s="203"/>
      <c r="AW102" s="183"/>
      <c r="AX102" s="203"/>
      <c r="AY102" s="203"/>
      <c r="AZ102" s="183"/>
    </row>
    <row r="103" spans="1:52" ht="24" hidden="1" customHeight="1" x14ac:dyDescent="0.3">
      <c r="A103" s="188">
        <f t="shared" si="66"/>
        <v>14</v>
      </c>
      <c r="B103" s="189" t="s">
        <v>125</v>
      </c>
      <c r="C103" s="190">
        <f t="shared" ca="1" si="0"/>
        <v>0</v>
      </c>
      <c r="D103" s="191">
        <f t="shared" ca="1" si="65"/>
        <v>0</v>
      </c>
      <c r="E103" s="192">
        <f ca="1">IFERROR(__xludf.DUMMYFUNCTION("IMPORTRANGE(""https://docs.google.com/spreadsheets/d/1MeEWN-I1oV_STSDYn1IFDPWt_1FKiwhDph83XaGc0o0/edit?usp=sharing"",""งบพรบ!AR103"")"),0)</f>
        <v>0</v>
      </c>
      <c r="F103" s="192">
        <f ca="1">IFERROR(__xludf.DUMMYFUNCTION("IMPORTRANGE(""https://docs.google.com/spreadsheets/d/1MeEWN-I1oV_STSDYn1IFDPWt_1FKiwhDph83XaGc0o0/edit?usp=sharing"",""งบพรบ!AS103"")"),0)</f>
        <v>0</v>
      </c>
      <c r="G103" s="192">
        <f ca="1">IFERROR(__xludf.DUMMYFUNCTION("IMPORTRANGE(""https://docs.google.com/spreadsheets/d/1MeEWN-I1oV_STSDYn1IFDPWt_1FKiwhDph83XaGc0o0/edit?usp=sharing"",""งบพรบ!AT103"")"),0)</f>
        <v>0</v>
      </c>
      <c r="H103" s="192">
        <f ca="1">IFERROR(__xludf.DUMMYFUNCTION("IMPORTRANGE(""https://docs.google.com/spreadsheets/d/1MeEWN-I1oV_STSDYn1IFDPWt_1FKiwhDph83XaGc0o0/edit?usp=sharing"",""งบพรบ!AV103"")"),0)</f>
        <v>0</v>
      </c>
      <c r="I103" s="192">
        <f ca="1">IFERROR(__xludf.DUMMYFUNCTION("IMPORTRANGE(""https://docs.google.com/spreadsheets/d/1MeEWN-I1oV_STSDYn1IFDPWt_1FKiwhDph83XaGc0o0/edit?usp=sharing"",""งบพรบ!AW103"")"),0)</f>
        <v>0</v>
      </c>
      <c r="J103" s="192">
        <f t="shared" ca="1" si="3"/>
        <v>0</v>
      </c>
      <c r="K103" s="193">
        <f t="shared" ca="1" si="4"/>
        <v>0</v>
      </c>
      <c r="L103" s="192">
        <f ca="1">IFERROR(__xludf.DUMMYFUNCTION("IMPORTRANGE(""https://docs.google.com/spreadsheets/d/1MeEWN-I1oV_STSDYn1IFDPWt_1FKiwhDph83XaGc0o0/edit?usp=sharing"",""งบพรบ!AX103"")"),0)</f>
        <v>0</v>
      </c>
      <c r="M103" s="194">
        <f t="shared" ca="1" si="5"/>
        <v>0</v>
      </c>
      <c r="N103" s="194">
        <f t="shared" ca="1" si="6"/>
        <v>0</v>
      </c>
      <c r="O103" s="195">
        <f ca="1">IFERROR(__xludf.DUMMYFUNCTION("IMPORTRANGE(""https://docs.google.com/spreadsheets/d/1MeEWN-I1oV_STSDYn1IFDPWt_1FKiwhDph83XaGc0o0/edit?usp=sharing"",""งบพรบ!AY103"")"),0)</f>
        <v>0</v>
      </c>
      <c r="P103" s="195">
        <f t="shared" ca="1" si="36"/>
        <v>0</v>
      </c>
      <c r="Q103" s="194">
        <f t="shared" ca="1" si="8"/>
        <v>0</v>
      </c>
      <c r="R103" s="201"/>
      <c r="S103" s="201"/>
      <c r="T103" s="201"/>
      <c r="U103" s="201"/>
      <c r="V103" s="201"/>
      <c r="W103" s="201"/>
      <c r="X103" s="194"/>
      <c r="Y103" s="194"/>
      <c r="Z103" s="194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194"/>
      <c r="AR103" s="201"/>
      <c r="AS103" s="201"/>
      <c r="AT103" s="201"/>
      <c r="AU103" s="201"/>
      <c r="AV103" s="201"/>
      <c r="AW103" s="194"/>
      <c r="AX103" s="201"/>
      <c r="AY103" s="201"/>
      <c r="AZ103" s="194"/>
    </row>
    <row r="104" spans="1:52" ht="21" hidden="1" customHeight="1" x14ac:dyDescent="0.3">
      <c r="A104" s="399" t="s">
        <v>126</v>
      </c>
      <c r="B104" s="397"/>
      <c r="C104" s="164">
        <f t="shared" ca="1" si="0"/>
        <v>49100</v>
      </c>
      <c r="D104" s="164">
        <f ca="1">SUM(D105:D116)</f>
        <v>49100</v>
      </c>
      <c r="E104" s="164">
        <f ca="1">IFERROR(__xludf.DUMMYFUNCTION("IMPORTRANGE(""https://docs.google.com/spreadsheets/d/1MeEWN-I1oV_STSDYn1IFDPWt_1FKiwhDph83XaGc0o0/edit?usp=sharing"",""งบพรบ!AR104"")"),49100)</f>
        <v>49100</v>
      </c>
      <c r="F104" s="164">
        <f ca="1">IFERROR(__xludf.DUMMYFUNCTION("IMPORTRANGE(""https://docs.google.com/spreadsheets/d/1MeEWN-I1oV_STSDYn1IFDPWt_1FKiwhDph83XaGc0o0/edit?usp=sharing"",""งบพรบ!AS104"")"),0)</f>
        <v>0</v>
      </c>
      <c r="G104" s="164">
        <f ca="1">IFERROR(__xludf.DUMMYFUNCTION("IMPORTRANGE(""https://docs.google.com/spreadsheets/d/1MeEWN-I1oV_STSDYn1IFDPWt_1FKiwhDph83XaGc0o0/edit?usp=sharing"",""งบพรบ!AT104"")"),0)</f>
        <v>0</v>
      </c>
      <c r="H104" s="164">
        <f ca="1">IFERROR(__xludf.DUMMYFUNCTION("IMPORTRANGE(""https://docs.google.com/spreadsheets/d/1MeEWN-I1oV_STSDYn1IFDPWt_1FKiwhDph83XaGc0o0/edit?usp=sharing"",""งบพรบ!AV104"")"),23550)</f>
        <v>23550</v>
      </c>
      <c r="I104" s="164">
        <f ca="1">IFERROR(__xludf.DUMMYFUNCTION("IMPORTRANGE(""https://docs.google.com/spreadsheets/d/1MeEWN-I1oV_STSDYn1IFDPWt_1FKiwhDph83XaGc0o0/edit?usp=sharing"",""งบพรบ!AW104"")"),0)</f>
        <v>0</v>
      </c>
      <c r="J104" s="164">
        <f t="shared" ca="1" si="3"/>
        <v>0</v>
      </c>
      <c r="K104" s="165">
        <f t="shared" ca="1" si="4"/>
        <v>0</v>
      </c>
      <c r="L104" s="164">
        <f ca="1">IFERROR(__xludf.DUMMYFUNCTION("IMPORTRANGE(""https://docs.google.com/spreadsheets/d/1MeEWN-I1oV_STSDYn1IFDPWt_1FKiwhDph83XaGc0o0/edit?usp=sharing"",""งบพรบ!AX104"")"),0)</f>
        <v>0</v>
      </c>
      <c r="M104" s="165">
        <f t="shared" ca="1" si="5"/>
        <v>0</v>
      </c>
      <c r="N104" s="165">
        <f t="shared" ca="1" si="6"/>
        <v>0</v>
      </c>
      <c r="O104" s="164">
        <f ca="1">IFERROR(__xludf.DUMMYFUNCTION("IMPORTRANGE(""https://docs.google.com/spreadsheets/d/1MeEWN-I1oV_STSDYn1IFDPWt_1FKiwhDph83XaGc0o0/edit?usp=sharing"",""งบพรบ!AY104"")"),0)</f>
        <v>0</v>
      </c>
      <c r="P104" s="164">
        <f t="shared" ca="1" si="36"/>
        <v>0</v>
      </c>
      <c r="Q104" s="164">
        <f t="shared" ca="1" si="8"/>
        <v>0</v>
      </c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</row>
    <row r="105" spans="1:52" ht="24" hidden="1" customHeight="1" x14ac:dyDescent="0.3">
      <c r="A105" s="176">
        <v>1</v>
      </c>
      <c r="B105" s="204" t="s">
        <v>127</v>
      </c>
      <c r="C105" s="178">
        <f t="shared" ca="1" si="0"/>
        <v>49100</v>
      </c>
      <c r="D105" s="179">
        <f t="shared" ref="D105:D116" ca="1" si="67">+E105+F105</f>
        <v>49100</v>
      </c>
      <c r="E105" s="180">
        <f ca="1">IFERROR(__xludf.DUMMYFUNCTION("IMPORTRANGE(""https://docs.google.com/spreadsheets/d/1MeEWN-I1oV_STSDYn1IFDPWt_1FKiwhDph83XaGc0o0/edit?usp=sharing"",""งบพรบ!AR105"")"),49100)</f>
        <v>49100</v>
      </c>
      <c r="F105" s="180">
        <f ca="1">IFERROR(__xludf.DUMMYFUNCTION("IMPORTRANGE(""https://docs.google.com/spreadsheets/d/1MeEWN-I1oV_STSDYn1IFDPWt_1FKiwhDph83XaGc0o0/edit?usp=sharing"",""งบพรบ!AS105"")"),0)</f>
        <v>0</v>
      </c>
      <c r="G105" s="180">
        <f ca="1">IFERROR(__xludf.DUMMYFUNCTION("IMPORTRANGE(""https://docs.google.com/spreadsheets/d/1MeEWN-I1oV_STSDYn1IFDPWt_1FKiwhDph83XaGc0o0/edit?usp=sharing"",""งบพรบ!AT105"")"),0)</f>
        <v>0</v>
      </c>
      <c r="H105" s="180">
        <f ca="1">IFERROR(__xludf.DUMMYFUNCTION("IMPORTRANGE(""https://docs.google.com/spreadsheets/d/1MeEWN-I1oV_STSDYn1IFDPWt_1FKiwhDph83XaGc0o0/edit?usp=sharing"",""งบพรบ!AV105"")"),23550)</f>
        <v>23550</v>
      </c>
      <c r="I105" s="180">
        <f ca="1">IFERROR(__xludf.DUMMYFUNCTION("IMPORTRANGE(""https://docs.google.com/spreadsheets/d/1MeEWN-I1oV_STSDYn1IFDPWt_1FKiwhDph83XaGc0o0/edit?usp=sharing"",""งบพรบ!AW105"")"),0)</f>
        <v>0</v>
      </c>
      <c r="J105" s="180">
        <f t="shared" ca="1" si="3"/>
        <v>0</v>
      </c>
      <c r="K105" s="187">
        <f t="shared" ca="1" si="4"/>
        <v>0</v>
      </c>
      <c r="L105" s="180">
        <f ca="1">IFERROR(__xludf.DUMMYFUNCTION("IMPORTRANGE(""https://docs.google.com/spreadsheets/d/1MeEWN-I1oV_STSDYn1IFDPWt_1FKiwhDph83XaGc0o0/edit?usp=sharing"",""งบพรบ!AX105"")"),0)</f>
        <v>0</v>
      </c>
      <c r="M105" s="183">
        <f t="shared" ca="1" si="5"/>
        <v>0</v>
      </c>
      <c r="N105" s="183">
        <f t="shared" ca="1" si="6"/>
        <v>0</v>
      </c>
      <c r="O105" s="184">
        <f ca="1">IFERROR(__xludf.DUMMYFUNCTION("IMPORTRANGE(""https://docs.google.com/spreadsheets/d/1MeEWN-I1oV_STSDYn1IFDPWt_1FKiwhDph83XaGc0o0/edit?usp=sharing"",""งบพรบ!AY105"")"),0)</f>
        <v>0</v>
      </c>
      <c r="P105" s="184">
        <f t="shared" ca="1" si="36"/>
        <v>0</v>
      </c>
      <c r="Q105" s="183">
        <f t="shared" ca="1" si="8"/>
        <v>0</v>
      </c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</row>
    <row r="106" spans="1:52" ht="24" hidden="1" customHeight="1" x14ac:dyDescent="0.3">
      <c r="A106" s="176">
        <v>2</v>
      </c>
      <c r="B106" s="204" t="s">
        <v>128</v>
      </c>
      <c r="C106" s="178">
        <f t="shared" ca="1" si="0"/>
        <v>0</v>
      </c>
      <c r="D106" s="179">
        <f t="shared" ca="1" si="67"/>
        <v>0</v>
      </c>
      <c r="E106" s="180">
        <f ca="1">IFERROR(__xludf.DUMMYFUNCTION("IMPORTRANGE(""https://docs.google.com/spreadsheets/d/1MeEWN-I1oV_STSDYn1IFDPWt_1FKiwhDph83XaGc0o0/edit?usp=sharing"",""งบพรบ!AR106"")"),0)</f>
        <v>0</v>
      </c>
      <c r="F106" s="180">
        <f ca="1">IFERROR(__xludf.DUMMYFUNCTION("IMPORTRANGE(""https://docs.google.com/spreadsheets/d/1MeEWN-I1oV_STSDYn1IFDPWt_1FKiwhDph83XaGc0o0/edit?usp=sharing"",""งบพรบ!AS106"")"),0)</f>
        <v>0</v>
      </c>
      <c r="G106" s="180">
        <f ca="1">IFERROR(__xludf.DUMMYFUNCTION("IMPORTRANGE(""https://docs.google.com/spreadsheets/d/1MeEWN-I1oV_STSDYn1IFDPWt_1FKiwhDph83XaGc0o0/edit?usp=sharing"",""งบพรบ!AT106"")"),0)</f>
        <v>0</v>
      </c>
      <c r="H106" s="180">
        <f ca="1">IFERROR(__xludf.DUMMYFUNCTION("IMPORTRANGE(""https://docs.google.com/spreadsheets/d/1MeEWN-I1oV_STSDYn1IFDPWt_1FKiwhDph83XaGc0o0/edit?usp=sharing"",""งบพรบ!AV106"")"),0)</f>
        <v>0</v>
      </c>
      <c r="I106" s="180">
        <f ca="1">IFERROR(__xludf.DUMMYFUNCTION("IMPORTRANGE(""https://docs.google.com/spreadsheets/d/1MeEWN-I1oV_STSDYn1IFDPWt_1FKiwhDph83XaGc0o0/edit?usp=sharing"",""งบพรบ!AW106"")"),0)</f>
        <v>0</v>
      </c>
      <c r="J106" s="180">
        <f t="shared" ca="1" si="3"/>
        <v>0</v>
      </c>
      <c r="K106" s="187">
        <f t="shared" ca="1" si="4"/>
        <v>0</v>
      </c>
      <c r="L106" s="180">
        <f ca="1">IFERROR(__xludf.DUMMYFUNCTION("IMPORTRANGE(""https://docs.google.com/spreadsheets/d/1MeEWN-I1oV_STSDYn1IFDPWt_1FKiwhDph83XaGc0o0/edit?usp=sharing"",""งบพรบ!AX106"")"),0)</f>
        <v>0</v>
      </c>
      <c r="M106" s="183">
        <f t="shared" ca="1" si="5"/>
        <v>0</v>
      </c>
      <c r="N106" s="183">
        <f t="shared" ca="1" si="6"/>
        <v>0</v>
      </c>
      <c r="O106" s="184">
        <f ca="1">IFERROR(__xludf.DUMMYFUNCTION("IMPORTRANGE(""https://docs.google.com/spreadsheets/d/1MeEWN-I1oV_STSDYn1IFDPWt_1FKiwhDph83XaGc0o0/edit?usp=sharing"",""งบพรบ!AY106"")"),0)</f>
        <v>0</v>
      </c>
      <c r="P106" s="184">
        <f t="shared" ca="1" si="36"/>
        <v>0</v>
      </c>
      <c r="Q106" s="183">
        <f t="shared" ca="1" si="8"/>
        <v>0</v>
      </c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</row>
    <row r="107" spans="1:52" ht="24" hidden="1" customHeight="1" x14ac:dyDescent="0.3">
      <c r="A107" s="176">
        <v>3</v>
      </c>
      <c r="B107" s="204" t="s">
        <v>129</v>
      </c>
      <c r="C107" s="178">
        <f t="shared" ca="1" si="0"/>
        <v>0</v>
      </c>
      <c r="D107" s="179">
        <f t="shared" ca="1" si="67"/>
        <v>0</v>
      </c>
      <c r="E107" s="180">
        <f ca="1">IFERROR(__xludf.DUMMYFUNCTION("IMPORTRANGE(""https://docs.google.com/spreadsheets/d/1MeEWN-I1oV_STSDYn1IFDPWt_1FKiwhDph83XaGc0o0/edit?usp=sharing"",""งบพรบ!AR107"")"),0)</f>
        <v>0</v>
      </c>
      <c r="F107" s="180">
        <f ca="1">IFERROR(__xludf.DUMMYFUNCTION("IMPORTRANGE(""https://docs.google.com/spreadsheets/d/1MeEWN-I1oV_STSDYn1IFDPWt_1FKiwhDph83XaGc0o0/edit?usp=sharing"",""งบพรบ!AS107"")"),0)</f>
        <v>0</v>
      </c>
      <c r="G107" s="180">
        <f ca="1">IFERROR(__xludf.DUMMYFUNCTION("IMPORTRANGE(""https://docs.google.com/spreadsheets/d/1MeEWN-I1oV_STSDYn1IFDPWt_1FKiwhDph83XaGc0o0/edit?usp=sharing"",""งบพรบ!AT107"")"),0)</f>
        <v>0</v>
      </c>
      <c r="H107" s="180">
        <f ca="1">IFERROR(__xludf.DUMMYFUNCTION("IMPORTRANGE(""https://docs.google.com/spreadsheets/d/1MeEWN-I1oV_STSDYn1IFDPWt_1FKiwhDph83XaGc0o0/edit?usp=sharing"",""งบพรบ!AV107"")"),0)</f>
        <v>0</v>
      </c>
      <c r="I107" s="180">
        <f ca="1">IFERROR(__xludf.DUMMYFUNCTION("IMPORTRANGE(""https://docs.google.com/spreadsheets/d/1MeEWN-I1oV_STSDYn1IFDPWt_1FKiwhDph83XaGc0o0/edit?usp=sharing"",""งบพรบ!AW107"")"),0)</f>
        <v>0</v>
      </c>
      <c r="J107" s="180">
        <f t="shared" ca="1" si="3"/>
        <v>0</v>
      </c>
      <c r="K107" s="187">
        <f t="shared" ca="1" si="4"/>
        <v>0</v>
      </c>
      <c r="L107" s="180">
        <f ca="1">IFERROR(__xludf.DUMMYFUNCTION("IMPORTRANGE(""https://docs.google.com/spreadsheets/d/1MeEWN-I1oV_STSDYn1IFDPWt_1FKiwhDph83XaGc0o0/edit?usp=sharing"",""งบพรบ!AX107"")"),0)</f>
        <v>0</v>
      </c>
      <c r="M107" s="183">
        <f t="shared" ca="1" si="5"/>
        <v>0</v>
      </c>
      <c r="N107" s="183">
        <f t="shared" ca="1" si="6"/>
        <v>0</v>
      </c>
      <c r="O107" s="184">
        <f ca="1">IFERROR(__xludf.DUMMYFUNCTION("IMPORTRANGE(""https://docs.google.com/spreadsheets/d/1MeEWN-I1oV_STSDYn1IFDPWt_1FKiwhDph83XaGc0o0/edit?usp=sharing"",""งบพรบ!AY107"")"),0)</f>
        <v>0</v>
      </c>
      <c r="P107" s="184">
        <f t="shared" ca="1" si="36"/>
        <v>0</v>
      </c>
      <c r="Q107" s="183">
        <f t="shared" ca="1" si="8"/>
        <v>0</v>
      </c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</row>
    <row r="108" spans="1:52" ht="24" hidden="1" customHeight="1" x14ac:dyDescent="0.3">
      <c r="A108" s="205">
        <v>4</v>
      </c>
      <c r="B108" s="204" t="s">
        <v>130</v>
      </c>
      <c r="C108" s="178">
        <f t="shared" ca="1" si="0"/>
        <v>0</v>
      </c>
      <c r="D108" s="179">
        <f t="shared" ca="1" si="67"/>
        <v>0</v>
      </c>
      <c r="E108" s="180">
        <f ca="1">IFERROR(__xludf.DUMMYFUNCTION("IMPORTRANGE(""https://docs.google.com/spreadsheets/d/1MeEWN-I1oV_STSDYn1IFDPWt_1FKiwhDph83XaGc0o0/edit?usp=sharing"",""งบพรบ!AR108"")"),0)</f>
        <v>0</v>
      </c>
      <c r="F108" s="180">
        <f ca="1">IFERROR(__xludf.DUMMYFUNCTION("IMPORTRANGE(""https://docs.google.com/spreadsheets/d/1MeEWN-I1oV_STSDYn1IFDPWt_1FKiwhDph83XaGc0o0/edit?usp=sharing"",""งบพรบ!AS108"")"),0)</f>
        <v>0</v>
      </c>
      <c r="G108" s="180">
        <f ca="1">IFERROR(__xludf.DUMMYFUNCTION("IMPORTRANGE(""https://docs.google.com/spreadsheets/d/1MeEWN-I1oV_STSDYn1IFDPWt_1FKiwhDph83XaGc0o0/edit?usp=sharing"",""งบพรบ!AT108"")"),0)</f>
        <v>0</v>
      </c>
      <c r="H108" s="180">
        <f ca="1">IFERROR(__xludf.DUMMYFUNCTION("IMPORTRANGE(""https://docs.google.com/spreadsheets/d/1MeEWN-I1oV_STSDYn1IFDPWt_1FKiwhDph83XaGc0o0/edit?usp=sharing"",""งบพรบ!AV108"")"),0)</f>
        <v>0</v>
      </c>
      <c r="I108" s="180">
        <f ca="1">IFERROR(__xludf.DUMMYFUNCTION("IMPORTRANGE(""https://docs.google.com/spreadsheets/d/1MeEWN-I1oV_STSDYn1IFDPWt_1FKiwhDph83XaGc0o0/edit?usp=sharing"",""งบพรบ!AW108"")"),0)</f>
        <v>0</v>
      </c>
      <c r="J108" s="180">
        <f t="shared" ca="1" si="3"/>
        <v>0</v>
      </c>
      <c r="K108" s="187">
        <f t="shared" ca="1" si="4"/>
        <v>0</v>
      </c>
      <c r="L108" s="180">
        <f ca="1">IFERROR(__xludf.DUMMYFUNCTION("IMPORTRANGE(""https://docs.google.com/spreadsheets/d/1MeEWN-I1oV_STSDYn1IFDPWt_1FKiwhDph83XaGc0o0/edit?usp=sharing"",""งบพรบ!AX108"")"),0)</f>
        <v>0</v>
      </c>
      <c r="M108" s="183">
        <f t="shared" ca="1" si="5"/>
        <v>0</v>
      </c>
      <c r="N108" s="183">
        <f t="shared" ca="1" si="6"/>
        <v>0</v>
      </c>
      <c r="O108" s="184">
        <f ca="1">IFERROR(__xludf.DUMMYFUNCTION("IMPORTRANGE(""https://docs.google.com/spreadsheets/d/1MeEWN-I1oV_STSDYn1IFDPWt_1FKiwhDph83XaGc0o0/edit?usp=sharing"",""งบพรบ!AY108"")"),0)</f>
        <v>0</v>
      </c>
      <c r="P108" s="184">
        <f t="shared" ca="1" si="36"/>
        <v>0</v>
      </c>
      <c r="Q108" s="183">
        <f t="shared" ca="1" si="8"/>
        <v>0</v>
      </c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</row>
    <row r="109" spans="1:52" ht="24" hidden="1" customHeight="1" x14ac:dyDescent="0.3">
      <c r="A109" s="205">
        <v>5</v>
      </c>
      <c r="B109" s="204" t="s">
        <v>131</v>
      </c>
      <c r="C109" s="178">
        <f t="shared" ca="1" si="0"/>
        <v>0</v>
      </c>
      <c r="D109" s="179">
        <f t="shared" ca="1" si="67"/>
        <v>0</v>
      </c>
      <c r="E109" s="180">
        <f ca="1">IFERROR(__xludf.DUMMYFUNCTION("IMPORTRANGE(""https://docs.google.com/spreadsheets/d/1MeEWN-I1oV_STSDYn1IFDPWt_1FKiwhDph83XaGc0o0/edit?usp=sharing"",""งบพรบ!AR109"")"),0)</f>
        <v>0</v>
      </c>
      <c r="F109" s="180">
        <f ca="1">IFERROR(__xludf.DUMMYFUNCTION("IMPORTRANGE(""https://docs.google.com/spreadsheets/d/1MeEWN-I1oV_STSDYn1IFDPWt_1FKiwhDph83XaGc0o0/edit?usp=sharing"",""งบพรบ!AS109"")"),0)</f>
        <v>0</v>
      </c>
      <c r="G109" s="180">
        <f ca="1">IFERROR(__xludf.DUMMYFUNCTION("IMPORTRANGE(""https://docs.google.com/spreadsheets/d/1MeEWN-I1oV_STSDYn1IFDPWt_1FKiwhDph83XaGc0o0/edit?usp=sharing"",""งบพรบ!AT109"")"),0)</f>
        <v>0</v>
      </c>
      <c r="H109" s="180">
        <f ca="1">IFERROR(__xludf.DUMMYFUNCTION("IMPORTRANGE(""https://docs.google.com/spreadsheets/d/1MeEWN-I1oV_STSDYn1IFDPWt_1FKiwhDph83XaGc0o0/edit?usp=sharing"",""งบพรบ!AV109"")"),0)</f>
        <v>0</v>
      </c>
      <c r="I109" s="180">
        <f ca="1">IFERROR(__xludf.DUMMYFUNCTION("IMPORTRANGE(""https://docs.google.com/spreadsheets/d/1MeEWN-I1oV_STSDYn1IFDPWt_1FKiwhDph83XaGc0o0/edit?usp=sharing"",""งบพรบ!AW109"")"),0)</f>
        <v>0</v>
      </c>
      <c r="J109" s="180">
        <f t="shared" ca="1" si="3"/>
        <v>0</v>
      </c>
      <c r="K109" s="187">
        <f t="shared" ca="1" si="4"/>
        <v>0</v>
      </c>
      <c r="L109" s="180">
        <f ca="1">IFERROR(__xludf.DUMMYFUNCTION("IMPORTRANGE(""https://docs.google.com/spreadsheets/d/1MeEWN-I1oV_STSDYn1IFDPWt_1FKiwhDph83XaGc0o0/edit?usp=sharing"",""งบพรบ!AX109"")"),0)</f>
        <v>0</v>
      </c>
      <c r="M109" s="183">
        <f t="shared" ca="1" si="5"/>
        <v>0</v>
      </c>
      <c r="N109" s="183">
        <f t="shared" ca="1" si="6"/>
        <v>0</v>
      </c>
      <c r="O109" s="184">
        <f ca="1">IFERROR(__xludf.DUMMYFUNCTION("IMPORTRANGE(""https://docs.google.com/spreadsheets/d/1MeEWN-I1oV_STSDYn1IFDPWt_1FKiwhDph83XaGc0o0/edit?usp=sharing"",""งบพรบ!AY109"")"),0)</f>
        <v>0</v>
      </c>
      <c r="P109" s="184">
        <f t="shared" ca="1" si="36"/>
        <v>0</v>
      </c>
      <c r="Q109" s="183">
        <f t="shared" ca="1" si="8"/>
        <v>0</v>
      </c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</row>
    <row r="110" spans="1:52" ht="24" hidden="1" customHeight="1" x14ac:dyDescent="0.3">
      <c r="A110" s="205">
        <v>6</v>
      </c>
      <c r="B110" s="204" t="s">
        <v>132</v>
      </c>
      <c r="C110" s="178">
        <f t="shared" ca="1" si="0"/>
        <v>0</v>
      </c>
      <c r="D110" s="179">
        <f t="shared" ca="1" si="67"/>
        <v>0</v>
      </c>
      <c r="E110" s="180">
        <f ca="1">IFERROR(__xludf.DUMMYFUNCTION("IMPORTRANGE(""https://docs.google.com/spreadsheets/d/1MeEWN-I1oV_STSDYn1IFDPWt_1FKiwhDph83XaGc0o0/edit?usp=sharing"",""งบพรบ!AR110"")"),0)</f>
        <v>0</v>
      </c>
      <c r="F110" s="180">
        <f ca="1">IFERROR(__xludf.DUMMYFUNCTION("IMPORTRANGE(""https://docs.google.com/spreadsheets/d/1MeEWN-I1oV_STSDYn1IFDPWt_1FKiwhDph83XaGc0o0/edit?usp=sharing"",""งบพรบ!AS110"")"),0)</f>
        <v>0</v>
      </c>
      <c r="G110" s="180">
        <f ca="1">IFERROR(__xludf.DUMMYFUNCTION("IMPORTRANGE(""https://docs.google.com/spreadsheets/d/1MeEWN-I1oV_STSDYn1IFDPWt_1FKiwhDph83XaGc0o0/edit?usp=sharing"",""งบพรบ!AT110"")"),0)</f>
        <v>0</v>
      </c>
      <c r="H110" s="180">
        <f ca="1">IFERROR(__xludf.DUMMYFUNCTION("IMPORTRANGE(""https://docs.google.com/spreadsheets/d/1MeEWN-I1oV_STSDYn1IFDPWt_1FKiwhDph83XaGc0o0/edit?usp=sharing"",""งบพรบ!AV110"")"),0)</f>
        <v>0</v>
      </c>
      <c r="I110" s="180">
        <f ca="1">IFERROR(__xludf.DUMMYFUNCTION("IMPORTRANGE(""https://docs.google.com/spreadsheets/d/1MeEWN-I1oV_STSDYn1IFDPWt_1FKiwhDph83XaGc0o0/edit?usp=sharing"",""งบพรบ!AW110"")"),0)</f>
        <v>0</v>
      </c>
      <c r="J110" s="180">
        <f t="shared" ca="1" si="3"/>
        <v>0</v>
      </c>
      <c r="K110" s="187">
        <f t="shared" ca="1" si="4"/>
        <v>0</v>
      </c>
      <c r="L110" s="180">
        <f ca="1">IFERROR(__xludf.DUMMYFUNCTION("IMPORTRANGE(""https://docs.google.com/spreadsheets/d/1MeEWN-I1oV_STSDYn1IFDPWt_1FKiwhDph83XaGc0o0/edit?usp=sharing"",""งบพรบ!AX110"")"),0)</f>
        <v>0</v>
      </c>
      <c r="M110" s="183">
        <f t="shared" ca="1" si="5"/>
        <v>0</v>
      </c>
      <c r="N110" s="183">
        <f t="shared" ca="1" si="6"/>
        <v>0</v>
      </c>
      <c r="O110" s="184">
        <f ca="1">IFERROR(__xludf.DUMMYFUNCTION("IMPORTRANGE(""https://docs.google.com/spreadsheets/d/1MeEWN-I1oV_STSDYn1IFDPWt_1FKiwhDph83XaGc0o0/edit?usp=sharing"",""งบพรบ!AY110"")"),0)</f>
        <v>0</v>
      </c>
      <c r="P110" s="184">
        <f t="shared" ca="1" si="36"/>
        <v>0</v>
      </c>
      <c r="Q110" s="183">
        <f t="shared" ca="1" si="8"/>
        <v>0</v>
      </c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</row>
    <row r="111" spans="1:52" ht="24" hidden="1" customHeight="1" x14ac:dyDescent="0.3">
      <c r="A111" s="205">
        <v>7</v>
      </c>
      <c r="B111" s="204" t="s">
        <v>133</v>
      </c>
      <c r="C111" s="178">
        <f t="shared" ca="1" si="0"/>
        <v>0</v>
      </c>
      <c r="D111" s="179">
        <f t="shared" ca="1" si="67"/>
        <v>0</v>
      </c>
      <c r="E111" s="180">
        <f ca="1">IFERROR(__xludf.DUMMYFUNCTION("IMPORTRANGE(""https://docs.google.com/spreadsheets/d/1MeEWN-I1oV_STSDYn1IFDPWt_1FKiwhDph83XaGc0o0/edit?usp=sharing"",""งบพรบ!AR111"")"),0)</f>
        <v>0</v>
      </c>
      <c r="F111" s="180">
        <f ca="1">IFERROR(__xludf.DUMMYFUNCTION("IMPORTRANGE(""https://docs.google.com/spreadsheets/d/1MeEWN-I1oV_STSDYn1IFDPWt_1FKiwhDph83XaGc0o0/edit?usp=sharing"",""งบพรบ!AS111"")"),0)</f>
        <v>0</v>
      </c>
      <c r="G111" s="180">
        <f ca="1">IFERROR(__xludf.DUMMYFUNCTION("IMPORTRANGE(""https://docs.google.com/spreadsheets/d/1MeEWN-I1oV_STSDYn1IFDPWt_1FKiwhDph83XaGc0o0/edit?usp=sharing"",""งบพรบ!AT111"")"),0)</f>
        <v>0</v>
      </c>
      <c r="H111" s="180">
        <f ca="1">IFERROR(__xludf.DUMMYFUNCTION("IMPORTRANGE(""https://docs.google.com/spreadsheets/d/1MeEWN-I1oV_STSDYn1IFDPWt_1FKiwhDph83XaGc0o0/edit?usp=sharing"",""งบพรบ!AV111"")"),0)</f>
        <v>0</v>
      </c>
      <c r="I111" s="180">
        <f ca="1">IFERROR(__xludf.DUMMYFUNCTION("IMPORTRANGE(""https://docs.google.com/spreadsheets/d/1MeEWN-I1oV_STSDYn1IFDPWt_1FKiwhDph83XaGc0o0/edit?usp=sharing"",""งบพรบ!AW111"")"),0)</f>
        <v>0</v>
      </c>
      <c r="J111" s="180">
        <f t="shared" ca="1" si="3"/>
        <v>0</v>
      </c>
      <c r="K111" s="187">
        <f t="shared" ca="1" si="4"/>
        <v>0</v>
      </c>
      <c r="L111" s="180">
        <f ca="1">IFERROR(__xludf.DUMMYFUNCTION("IMPORTRANGE(""https://docs.google.com/spreadsheets/d/1MeEWN-I1oV_STSDYn1IFDPWt_1FKiwhDph83XaGc0o0/edit?usp=sharing"",""งบพรบ!AX111"")"),0)</f>
        <v>0</v>
      </c>
      <c r="M111" s="183">
        <f t="shared" ca="1" si="5"/>
        <v>0</v>
      </c>
      <c r="N111" s="183">
        <f t="shared" ca="1" si="6"/>
        <v>0</v>
      </c>
      <c r="O111" s="184">
        <f ca="1">IFERROR(__xludf.DUMMYFUNCTION("IMPORTRANGE(""https://docs.google.com/spreadsheets/d/1MeEWN-I1oV_STSDYn1IFDPWt_1FKiwhDph83XaGc0o0/edit?usp=sharing"",""งบพรบ!AY111"")"),0)</f>
        <v>0</v>
      </c>
      <c r="P111" s="184">
        <f t="shared" ca="1" si="36"/>
        <v>0</v>
      </c>
      <c r="Q111" s="183">
        <f t="shared" ca="1" si="8"/>
        <v>0</v>
      </c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</row>
    <row r="112" spans="1:52" ht="24" hidden="1" customHeight="1" x14ac:dyDescent="0.3">
      <c r="A112" s="205">
        <v>8</v>
      </c>
      <c r="B112" s="204" t="s">
        <v>134</v>
      </c>
      <c r="C112" s="178">
        <f t="shared" ca="1" si="0"/>
        <v>0</v>
      </c>
      <c r="D112" s="179">
        <f t="shared" ca="1" si="67"/>
        <v>0</v>
      </c>
      <c r="E112" s="180">
        <f ca="1">IFERROR(__xludf.DUMMYFUNCTION("IMPORTRANGE(""https://docs.google.com/spreadsheets/d/1MeEWN-I1oV_STSDYn1IFDPWt_1FKiwhDph83XaGc0o0/edit?usp=sharing"",""งบพรบ!AR112"")"),0)</f>
        <v>0</v>
      </c>
      <c r="F112" s="180">
        <f ca="1">IFERROR(__xludf.DUMMYFUNCTION("IMPORTRANGE(""https://docs.google.com/spreadsheets/d/1MeEWN-I1oV_STSDYn1IFDPWt_1FKiwhDph83XaGc0o0/edit?usp=sharing"",""งบพรบ!AS112"")"),0)</f>
        <v>0</v>
      </c>
      <c r="G112" s="180">
        <f ca="1">IFERROR(__xludf.DUMMYFUNCTION("IMPORTRANGE(""https://docs.google.com/spreadsheets/d/1MeEWN-I1oV_STSDYn1IFDPWt_1FKiwhDph83XaGc0o0/edit?usp=sharing"",""งบพรบ!AT112"")"),0)</f>
        <v>0</v>
      </c>
      <c r="H112" s="180">
        <f ca="1">IFERROR(__xludf.DUMMYFUNCTION("IMPORTRANGE(""https://docs.google.com/spreadsheets/d/1MeEWN-I1oV_STSDYn1IFDPWt_1FKiwhDph83XaGc0o0/edit?usp=sharing"",""งบพรบ!AV112"")"),0)</f>
        <v>0</v>
      </c>
      <c r="I112" s="180">
        <f ca="1">IFERROR(__xludf.DUMMYFUNCTION("IMPORTRANGE(""https://docs.google.com/spreadsheets/d/1MeEWN-I1oV_STSDYn1IFDPWt_1FKiwhDph83XaGc0o0/edit?usp=sharing"",""งบพรบ!AW112"")"),0)</f>
        <v>0</v>
      </c>
      <c r="J112" s="180">
        <f t="shared" ca="1" si="3"/>
        <v>0</v>
      </c>
      <c r="K112" s="187">
        <f t="shared" ca="1" si="4"/>
        <v>0</v>
      </c>
      <c r="L112" s="180">
        <f ca="1">IFERROR(__xludf.DUMMYFUNCTION("IMPORTRANGE(""https://docs.google.com/spreadsheets/d/1MeEWN-I1oV_STSDYn1IFDPWt_1FKiwhDph83XaGc0o0/edit?usp=sharing"",""งบพรบ!AX112"")"),0)</f>
        <v>0</v>
      </c>
      <c r="M112" s="183">
        <f t="shared" ca="1" si="5"/>
        <v>0</v>
      </c>
      <c r="N112" s="183">
        <f t="shared" ca="1" si="6"/>
        <v>0</v>
      </c>
      <c r="O112" s="184">
        <f ca="1">IFERROR(__xludf.DUMMYFUNCTION("IMPORTRANGE(""https://docs.google.com/spreadsheets/d/1MeEWN-I1oV_STSDYn1IFDPWt_1FKiwhDph83XaGc0o0/edit?usp=sharing"",""งบพรบ!AY112"")"),0)</f>
        <v>0</v>
      </c>
      <c r="P112" s="184">
        <f t="shared" ca="1" si="36"/>
        <v>0</v>
      </c>
      <c r="Q112" s="183">
        <f t="shared" ca="1" si="8"/>
        <v>0</v>
      </c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</row>
    <row r="113" spans="1:52" ht="24" hidden="1" customHeight="1" x14ac:dyDescent="0.3">
      <c r="A113" s="205">
        <v>9</v>
      </c>
      <c r="B113" s="204" t="s">
        <v>135</v>
      </c>
      <c r="C113" s="178">
        <f t="shared" ca="1" si="0"/>
        <v>0</v>
      </c>
      <c r="D113" s="179">
        <f t="shared" ca="1" si="67"/>
        <v>0</v>
      </c>
      <c r="E113" s="180">
        <f ca="1">IFERROR(__xludf.DUMMYFUNCTION("IMPORTRANGE(""https://docs.google.com/spreadsheets/d/1MeEWN-I1oV_STSDYn1IFDPWt_1FKiwhDph83XaGc0o0/edit?usp=sharing"",""งบพรบ!AR113"")"),0)</f>
        <v>0</v>
      </c>
      <c r="F113" s="180">
        <f ca="1">IFERROR(__xludf.DUMMYFUNCTION("IMPORTRANGE(""https://docs.google.com/spreadsheets/d/1MeEWN-I1oV_STSDYn1IFDPWt_1FKiwhDph83XaGc0o0/edit?usp=sharing"",""งบพรบ!AS113"")"),0)</f>
        <v>0</v>
      </c>
      <c r="G113" s="180">
        <f ca="1">IFERROR(__xludf.DUMMYFUNCTION("IMPORTRANGE(""https://docs.google.com/spreadsheets/d/1MeEWN-I1oV_STSDYn1IFDPWt_1FKiwhDph83XaGc0o0/edit?usp=sharing"",""งบพรบ!AT113"")"),0)</f>
        <v>0</v>
      </c>
      <c r="H113" s="180">
        <f ca="1">IFERROR(__xludf.DUMMYFUNCTION("IMPORTRANGE(""https://docs.google.com/spreadsheets/d/1MeEWN-I1oV_STSDYn1IFDPWt_1FKiwhDph83XaGc0o0/edit?usp=sharing"",""งบพรบ!AV113"")"),0)</f>
        <v>0</v>
      </c>
      <c r="I113" s="180">
        <f ca="1">IFERROR(__xludf.DUMMYFUNCTION("IMPORTRANGE(""https://docs.google.com/spreadsheets/d/1MeEWN-I1oV_STSDYn1IFDPWt_1FKiwhDph83XaGc0o0/edit?usp=sharing"",""งบพรบ!AW113"")"),0)</f>
        <v>0</v>
      </c>
      <c r="J113" s="180">
        <f t="shared" ca="1" si="3"/>
        <v>0</v>
      </c>
      <c r="K113" s="187">
        <f t="shared" ca="1" si="4"/>
        <v>0</v>
      </c>
      <c r="L113" s="180">
        <f ca="1">IFERROR(__xludf.DUMMYFUNCTION("IMPORTRANGE(""https://docs.google.com/spreadsheets/d/1MeEWN-I1oV_STSDYn1IFDPWt_1FKiwhDph83XaGc0o0/edit?usp=sharing"",""งบพรบ!AX113"")"),0)</f>
        <v>0</v>
      </c>
      <c r="M113" s="183">
        <f t="shared" ca="1" si="5"/>
        <v>0</v>
      </c>
      <c r="N113" s="183">
        <f t="shared" ca="1" si="6"/>
        <v>0</v>
      </c>
      <c r="O113" s="184">
        <f ca="1">IFERROR(__xludf.DUMMYFUNCTION("IMPORTRANGE(""https://docs.google.com/spreadsheets/d/1MeEWN-I1oV_STSDYn1IFDPWt_1FKiwhDph83XaGc0o0/edit?usp=sharing"",""งบพรบ!AY113"")"),0)</f>
        <v>0</v>
      </c>
      <c r="P113" s="184">
        <f t="shared" ca="1" si="36"/>
        <v>0</v>
      </c>
      <c r="Q113" s="183">
        <f t="shared" ca="1" si="8"/>
        <v>0</v>
      </c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</row>
    <row r="114" spans="1:52" ht="24" hidden="1" customHeight="1" x14ac:dyDescent="0.3">
      <c r="A114" s="205">
        <v>10</v>
      </c>
      <c r="B114" s="204" t="s">
        <v>136</v>
      </c>
      <c r="C114" s="178">
        <f t="shared" ca="1" si="0"/>
        <v>0</v>
      </c>
      <c r="D114" s="179">
        <f t="shared" ca="1" si="67"/>
        <v>0</v>
      </c>
      <c r="E114" s="180">
        <f ca="1">IFERROR(__xludf.DUMMYFUNCTION("IMPORTRANGE(""https://docs.google.com/spreadsheets/d/1MeEWN-I1oV_STSDYn1IFDPWt_1FKiwhDph83XaGc0o0/edit?usp=sharing"",""งบพรบ!AR114"")"),0)</f>
        <v>0</v>
      </c>
      <c r="F114" s="180">
        <f ca="1">IFERROR(__xludf.DUMMYFUNCTION("IMPORTRANGE(""https://docs.google.com/spreadsheets/d/1MeEWN-I1oV_STSDYn1IFDPWt_1FKiwhDph83XaGc0o0/edit?usp=sharing"",""งบพรบ!AS114"")"),0)</f>
        <v>0</v>
      </c>
      <c r="G114" s="180">
        <f ca="1">IFERROR(__xludf.DUMMYFUNCTION("IMPORTRANGE(""https://docs.google.com/spreadsheets/d/1MeEWN-I1oV_STSDYn1IFDPWt_1FKiwhDph83XaGc0o0/edit?usp=sharing"",""งบพรบ!AT114"")"),0)</f>
        <v>0</v>
      </c>
      <c r="H114" s="180">
        <f ca="1">IFERROR(__xludf.DUMMYFUNCTION("IMPORTRANGE(""https://docs.google.com/spreadsheets/d/1MeEWN-I1oV_STSDYn1IFDPWt_1FKiwhDph83XaGc0o0/edit?usp=sharing"",""งบพรบ!AV114"")"),0)</f>
        <v>0</v>
      </c>
      <c r="I114" s="180">
        <f ca="1">IFERROR(__xludf.DUMMYFUNCTION("IMPORTRANGE(""https://docs.google.com/spreadsheets/d/1MeEWN-I1oV_STSDYn1IFDPWt_1FKiwhDph83XaGc0o0/edit?usp=sharing"",""งบพรบ!AW114"")"),0)</f>
        <v>0</v>
      </c>
      <c r="J114" s="180">
        <f t="shared" ca="1" si="3"/>
        <v>0</v>
      </c>
      <c r="K114" s="187">
        <f t="shared" ca="1" si="4"/>
        <v>0</v>
      </c>
      <c r="L114" s="180">
        <f ca="1">IFERROR(__xludf.DUMMYFUNCTION("IMPORTRANGE(""https://docs.google.com/spreadsheets/d/1MeEWN-I1oV_STSDYn1IFDPWt_1FKiwhDph83XaGc0o0/edit?usp=sharing"",""งบพรบ!AX114"")"),0)</f>
        <v>0</v>
      </c>
      <c r="M114" s="183">
        <f t="shared" ca="1" si="5"/>
        <v>0</v>
      </c>
      <c r="N114" s="183">
        <f t="shared" ca="1" si="6"/>
        <v>0</v>
      </c>
      <c r="O114" s="184">
        <f ca="1">IFERROR(__xludf.DUMMYFUNCTION("IMPORTRANGE(""https://docs.google.com/spreadsheets/d/1MeEWN-I1oV_STSDYn1IFDPWt_1FKiwhDph83XaGc0o0/edit?usp=sharing"",""งบพรบ!AY114"")"),0)</f>
        <v>0</v>
      </c>
      <c r="P114" s="184">
        <f t="shared" ca="1" si="36"/>
        <v>0</v>
      </c>
      <c r="Q114" s="183">
        <f t="shared" ca="1" si="8"/>
        <v>0</v>
      </c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</row>
    <row r="115" spans="1:52" ht="24" hidden="1" customHeight="1" x14ac:dyDescent="0.3">
      <c r="A115" s="205">
        <v>11</v>
      </c>
      <c r="B115" s="204" t="s">
        <v>137</v>
      </c>
      <c r="C115" s="178">
        <f t="shared" ca="1" si="0"/>
        <v>0</v>
      </c>
      <c r="D115" s="179">
        <f t="shared" ca="1" si="67"/>
        <v>0</v>
      </c>
      <c r="E115" s="180">
        <f ca="1">IFERROR(__xludf.DUMMYFUNCTION("IMPORTRANGE(""https://docs.google.com/spreadsheets/d/1MeEWN-I1oV_STSDYn1IFDPWt_1FKiwhDph83XaGc0o0/edit?usp=sharing"",""งบพรบ!AR115"")"),0)</f>
        <v>0</v>
      </c>
      <c r="F115" s="180">
        <f ca="1">IFERROR(__xludf.DUMMYFUNCTION("IMPORTRANGE(""https://docs.google.com/spreadsheets/d/1MeEWN-I1oV_STSDYn1IFDPWt_1FKiwhDph83XaGc0o0/edit?usp=sharing"",""งบพรบ!AS115"")"),0)</f>
        <v>0</v>
      </c>
      <c r="G115" s="180">
        <f ca="1">IFERROR(__xludf.DUMMYFUNCTION("IMPORTRANGE(""https://docs.google.com/spreadsheets/d/1MeEWN-I1oV_STSDYn1IFDPWt_1FKiwhDph83XaGc0o0/edit?usp=sharing"",""งบพรบ!AT115"")"),0)</f>
        <v>0</v>
      </c>
      <c r="H115" s="180">
        <f ca="1">IFERROR(__xludf.DUMMYFUNCTION("IMPORTRANGE(""https://docs.google.com/spreadsheets/d/1MeEWN-I1oV_STSDYn1IFDPWt_1FKiwhDph83XaGc0o0/edit?usp=sharing"",""งบพรบ!AV115"")"),0)</f>
        <v>0</v>
      </c>
      <c r="I115" s="180">
        <f ca="1">IFERROR(__xludf.DUMMYFUNCTION("IMPORTRANGE(""https://docs.google.com/spreadsheets/d/1MeEWN-I1oV_STSDYn1IFDPWt_1FKiwhDph83XaGc0o0/edit?usp=sharing"",""งบพรบ!AW115"")"),0)</f>
        <v>0</v>
      </c>
      <c r="J115" s="180">
        <f t="shared" ca="1" si="3"/>
        <v>0</v>
      </c>
      <c r="K115" s="187">
        <f t="shared" ca="1" si="4"/>
        <v>0</v>
      </c>
      <c r="L115" s="180">
        <f ca="1">IFERROR(__xludf.DUMMYFUNCTION("IMPORTRANGE(""https://docs.google.com/spreadsheets/d/1MeEWN-I1oV_STSDYn1IFDPWt_1FKiwhDph83XaGc0o0/edit?usp=sharing"",""งบพรบ!AX115"")"),0)</f>
        <v>0</v>
      </c>
      <c r="M115" s="183">
        <f t="shared" ca="1" si="5"/>
        <v>0</v>
      </c>
      <c r="N115" s="183">
        <f t="shared" ca="1" si="6"/>
        <v>0</v>
      </c>
      <c r="O115" s="184">
        <f ca="1">IFERROR(__xludf.DUMMYFUNCTION("IMPORTRANGE(""https://docs.google.com/spreadsheets/d/1MeEWN-I1oV_STSDYn1IFDPWt_1FKiwhDph83XaGc0o0/edit?usp=sharing"",""งบพรบ!AY115"")"),0)</f>
        <v>0</v>
      </c>
      <c r="P115" s="184">
        <f t="shared" ca="1" si="36"/>
        <v>0</v>
      </c>
      <c r="Q115" s="183">
        <f t="shared" ca="1" si="8"/>
        <v>0</v>
      </c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</row>
    <row r="116" spans="1:52" ht="24" hidden="1" customHeight="1" x14ac:dyDescent="0.3">
      <c r="A116" s="205">
        <v>12</v>
      </c>
      <c r="B116" s="204" t="s">
        <v>138</v>
      </c>
      <c r="C116" s="178">
        <f t="shared" ca="1" si="0"/>
        <v>0</v>
      </c>
      <c r="D116" s="179">
        <f t="shared" ca="1" si="67"/>
        <v>0</v>
      </c>
      <c r="E116" s="180">
        <f ca="1">IFERROR(__xludf.DUMMYFUNCTION("IMPORTRANGE(""https://docs.google.com/spreadsheets/d/1MeEWN-I1oV_STSDYn1IFDPWt_1FKiwhDph83XaGc0o0/edit?usp=sharing"",""งบพรบ!AR116"")"),0)</f>
        <v>0</v>
      </c>
      <c r="F116" s="180">
        <f ca="1">IFERROR(__xludf.DUMMYFUNCTION("IMPORTRANGE(""https://docs.google.com/spreadsheets/d/1MeEWN-I1oV_STSDYn1IFDPWt_1FKiwhDph83XaGc0o0/edit?usp=sharing"",""งบพรบ!AS116"")"),0)</f>
        <v>0</v>
      </c>
      <c r="G116" s="180">
        <f ca="1">IFERROR(__xludf.DUMMYFUNCTION("IMPORTRANGE(""https://docs.google.com/spreadsheets/d/1MeEWN-I1oV_STSDYn1IFDPWt_1FKiwhDph83XaGc0o0/edit?usp=sharing"",""งบพรบ!AT116"")"),0)</f>
        <v>0</v>
      </c>
      <c r="H116" s="180">
        <f ca="1">IFERROR(__xludf.DUMMYFUNCTION("IMPORTRANGE(""https://docs.google.com/spreadsheets/d/1MeEWN-I1oV_STSDYn1IFDPWt_1FKiwhDph83XaGc0o0/edit?usp=sharing"",""งบพรบ!AV116"")"),0)</f>
        <v>0</v>
      </c>
      <c r="I116" s="180">
        <f ca="1">IFERROR(__xludf.DUMMYFUNCTION("IMPORTRANGE(""https://docs.google.com/spreadsheets/d/1MeEWN-I1oV_STSDYn1IFDPWt_1FKiwhDph83XaGc0o0/edit?usp=sharing"",""งบพรบ!AW116"")"),0)</f>
        <v>0</v>
      </c>
      <c r="J116" s="180">
        <f t="shared" ca="1" si="3"/>
        <v>0</v>
      </c>
      <c r="K116" s="187">
        <f t="shared" ca="1" si="4"/>
        <v>0</v>
      </c>
      <c r="L116" s="180">
        <f ca="1">IFERROR(__xludf.DUMMYFUNCTION("IMPORTRANGE(""https://docs.google.com/spreadsheets/d/1MeEWN-I1oV_STSDYn1IFDPWt_1FKiwhDph83XaGc0o0/edit?usp=sharing"",""งบพรบ!AX116"")"),0)</f>
        <v>0</v>
      </c>
      <c r="M116" s="183">
        <f t="shared" ca="1" si="5"/>
        <v>0</v>
      </c>
      <c r="N116" s="183">
        <f t="shared" ca="1" si="6"/>
        <v>0</v>
      </c>
      <c r="O116" s="184">
        <f ca="1">IFERROR(__xludf.DUMMYFUNCTION("IMPORTRANGE(""https://docs.google.com/spreadsheets/d/1MeEWN-I1oV_STSDYn1IFDPWt_1FKiwhDph83XaGc0o0/edit?usp=sharing"",""งบพรบ!AY116"")"),0)</f>
        <v>0</v>
      </c>
      <c r="P116" s="184">
        <f t="shared" ca="1" si="36"/>
        <v>0</v>
      </c>
      <c r="Q116" s="183">
        <f t="shared" ca="1" si="8"/>
        <v>0</v>
      </c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</row>
    <row r="117" spans="1:52" ht="24" customHeight="1" x14ac:dyDescent="0.2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7"/>
      <c r="N117" s="207"/>
      <c r="O117" s="208"/>
      <c r="P117" s="208"/>
      <c r="Q117" s="208"/>
      <c r="R117" s="206"/>
      <c r="S117" s="206"/>
      <c r="T117" s="206"/>
      <c r="U117" s="206"/>
      <c r="V117" s="206"/>
      <c r="W117" s="206"/>
      <c r="X117" s="207"/>
      <c r="Y117" s="207"/>
      <c r="Z117" s="207"/>
      <c r="AA117" s="206"/>
      <c r="AB117" s="206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7"/>
      <c r="AR117" s="206"/>
      <c r="AS117" s="206"/>
      <c r="AT117" s="206"/>
      <c r="AU117" s="206"/>
      <c r="AV117" s="206"/>
      <c r="AW117" s="207"/>
      <c r="AX117" s="207"/>
      <c r="AY117" s="207"/>
      <c r="AZ117" s="207"/>
    </row>
    <row r="118" spans="1:52" ht="24" customHeight="1" x14ac:dyDescent="0.2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7"/>
      <c r="N118" s="207"/>
      <c r="O118" s="208"/>
      <c r="P118" s="208"/>
      <c r="Q118" s="208"/>
      <c r="R118" s="206"/>
      <c r="S118" s="206"/>
      <c r="T118" s="206"/>
      <c r="U118" s="206"/>
      <c r="V118" s="206"/>
      <c r="W118" s="206"/>
      <c r="X118" s="207"/>
      <c r="Y118" s="207"/>
      <c r="Z118" s="207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7"/>
      <c r="AR118" s="206"/>
      <c r="AS118" s="206"/>
      <c r="AT118" s="206"/>
      <c r="AU118" s="206"/>
      <c r="AV118" s="206"/>
      <c r="AW118" s="207"/>
      <c r="AX118" s="207"/>
      <c r="AY118" s="207"/>
      <c r="AZ118" s="207"/>
    </row>
    <row r="119" spans="1:52" ht="24" customHeight="1" x14ac:dyDescent="0.2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7"/>
      <c r="N119" s="207"/>
      <c r="O119" s="208"/>
      <c r="P119" s="208"/>
      <c r="Q119" s="208"/>
      <c r="R119" s="206"/>
      <c r="S119" s="206"/>
      <c r="T119" s="206"/>
      <c r="U119" s="206"/>
      <c r="V119" s="206"/>
      <c r="W119" s="206"/>
      <c r="X119" s="207"/>
      <c r="Y119" s="207"/>
      <c r="Z119" s="207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7"/>
      <c r="AR119" s="206"/>
      <c r="AS119" s="206"/>
      <c r="AT119" s="206"/>
      <c r="AU119" s="206"/>
      <c r="AV119" s="206"/>
      <c r="AW119" s="207"/>
      <c r="AX119" s="207"/>
      <c r="AY119" s="207"/>
      <c r="AZ119" s="207"/>
    </row>
    <row r="120" spans="1:52" ht="24" customHeight="1" x14ac:dyDescent="0.2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7"/>
      <c r="N120" s="207"/>
      <c r="O120" s="208"/>
      <c r="P120" s="208"/>
      <c r="Q120" s="208"/>
      <c r="R120" s="206"/>
      <c r="S120" s="206"/>
      <c r="T120" s="206"/>
      <c r="U120" s="206"/>
      <c r="V120" s="206"/>
      <c r="W120" s="206"/>
      <c r="X120" s="207"/>
      <c r="Y120" s="207"/>
      <c r="Z120" s="207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7"/>
      <c r="AR120" s="206"/>
      <c r="AS120" s="206"/>
      <c r="AT120" s="206"/>
      <c r="AU120" s="206"/>
      <c r="AV120" s="206"/>
      <c r="AW120" s="207"/>
      <c r="AX120" s="207"/>
      <c r="AY120" s="207"/>
      <c r="AZ120" s="207"/>
    </row>
    <row r="121" spans="1:52" ht="24" customHeight="1" x14ac:dyDescent="0.2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7"/>
      <c r="N121" s="207"/>
      <c r="O121" s="208"/>
      <c r="P121" s="208"/>
      <c r="Q121" s="208"/>
      <c r="R121" s="206"/>
      <c r="S121" s="206"/>
      <c r="T121" s="206"/>
      <c r="U121" s="206"/>
      <c r="V121" s="206"/>
      <c r="W121" s="206"/>
      <c r="X121" s="207"/>
      <c r="Y121" s="207"/>
      <c r="Z121" s="207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7"/>
      <c r="AR121" s="206"/>
      <c r="AS121" s="206"/>
      <c r="AT121" s="206"/>
      <c r="AU121" s="206"/>
      <c r="AV121" s="206"/>
      <c r="AW121" s="207"/>
      <c r="AX121" s="207"/>
      <c r="AY121" s="207"/>
      <c r="AZ121" s="207"/>
    </row>
    <row r="122" spans="1:52" ht="24" customHeight="1" x14ac:dyDescent="0.2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7"/>
      <c r="N122" s="207"/>
      <c r="O122" s="208"/>
      <c r="P122" s="208"/>
      <c r="Q122" s="208"/>
      <c r="R122" s="206"/>
      <c r="S122" s="206"/>
      <c r="T122" s="206"/>
      <c r="U122" s="206"/>
      <c r="V122" s="206"/>
      <c r="W122" s="206"/>
      <c r="X122" s="207"/>
      <c r="Y122" s="207"/>
      <c r="Z122" s="207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7"/>
      <c r="AR122" s="206"/>
      <c r="AS122" s="206"/>
      <c r="AT122" s="206"/>
      <c r="AU122" s="206"/>
      <c r="AV122" s="206"/>
      <c r="AW122" s="207"/>
      <c r="AX122" s="207"/>
      <c r="AY122" s="207"/>
      <c r="AZ122" s="207"/>
    </row>
    <row r="123" spans="1:52" ht="24" customHeight="1" x14ac:dyDescent="0.2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7"/>
      <c r="N123" s="207"/>
      <c r="O123" s="208"/>
      <c r="P123" s="208"/>
      <c r="Q123" s="208"/>
      <c r="R123" s="206"/>
      <c r="S123" s="206"/>
      <c r="T123" s="206"/>
      <c r="U123" s="206"/>
      <c r="V123" s="206"/>
      <c r="W123" s="206"/>
      <c r="X123" s="207"/>
      <c r="Y123" s="207"/>
      <c r="Z123" s="207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7"/>
      <c r="AR123" s="206"/>
      <c r="AS123" s="206"/>
      <c r="AT123" s="206"/>
      <c r="AU123" s="206"/>
      <c r="AV123" s="206"/>
      <c r="AW123" s="207"/>
      <c r="AX123" s="207"/>
      <c r="AY123" s="207"/>
      <c r="AZ123" s="207"/>
    </row>
    <row r="124" spans="1:52" ht="24" customHeight="1" x14ac:dyDescent="0.2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7"/>
      <c r="N124" s="207"/>
      <c r="O124" s="208"/>
      <c r="P124" s="208"/>
      <c r="Q124" s="208"/>
      <c r="R124" s="206"/>
      <c r="S124" s="206"/>
      <c r="T124" s="206"/>
      <c r="U124" s="206"/>
      <c r="V124" s="206"/>
      <c r="W124" s="206"/>
      <c r="X124" s="207"/>
      <c r="Y124" s="207"/>
      <c r="Z124" s="207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7"/>
      <c r="AR124" s="206"/>
      <c r="AS124" s="206"/>
      <c r="AT124" s="206"/>
      <c r="AU124" s="206"/>
      <c r="AV124" s="206"/>
      <c r="AW124" s="207"/>
      <c r="AX124" s="207"/>
      <c r="AY124" s="207"/>
      <c r="AZ124" s="207"/>
    </row>
    <row r="125" spans="1:52" ht="24" customHeight="1" x14ac:dyDescent="0.2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7"/>
      <c r="N125" s="207"/>
      <c r="O125" s="208"/>
      <c r="P125" s="208"/>
      <c r="Q125" s="208"/>
      <c r="R125" s="206"/>
      <c r="S125" s="206"/>
      <c r="T125" s="206"/>
      <c r="U125" s="206"/>
      <c r="V125" s="206"/>
      <c r="W125" s="206"/>
      <c r="X125" s="207"/>
      <c r="Y125" s="207"/>
      <c r="Z125" s="207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7"/>
      <c r="AR125" s="206"/>
      <c r="AS125" s="206"/>
      <c r="AT125" s="206"/>
      <c r="AU125" s="206"/>
      <c r="AV125" s="206"/>
      <c r="AW125" s="207"/>
      <c r="AX125" s="207"/>
      <c r="AY125" s="207"/>
      <c r="AZ125" s="207"/>
    </row>
    <row r="126" spans="1:52" ht="24" customHeight="1" x14ac:dyDescent="0.2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7"/>
      <c r="N126" s="207"/>
      <c r="O126" s="208"/>
      <c r="P126" s="208"/>
      <c r="Q126" s="208"/>
      <c r="R126" s="206"/>
      <c r="S126" s="206"/>
      <c r="T126" s="206"/>
      <c r="U126" s="206"/>
      <c r="V126" s="206"/>
      <c r="W126" s="206"/>
      <c r="X126" s="207"/>
      <c r="Y126" s="207"/>
      <c r="Z126" s="207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7"/>
      <c r="AR126" s="206"/>
      <c r="AS126" s="206"/>
      <c r="AT126" s="206"/>
      <c r="AU126" s="206"/>
      <c r="AV126" s="206"/>
      <c r="AW126" s="207"/>
      <c r="AX126" s="207"/>
      <c r="AY126" s="207"/>
      <c r="AZ126" s="207"/>
    </row>
    <row r="127" spans="1:52" ht="24" customHeight="1" x14ac:dyDescent="0.2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7"/>
      <c r="N127" s="207"/>
      <c r="O127" s="208"/>
      <c r="P127" s="208"/>
      <c r="Q127" s="208"/>
      <c r="R127" s="206"/>
      <c r="S127" s="206"/>
      <c r="T127" s="206"/>
      <c r="U127" s="206"/>
      <c r="V127" s="206"/>
      <c r="W127" s="206"/>
      <c r="X127" s="207"/>
      <c r="Y127" s="207"/>
      <c r="Z127" s="207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7"/>
      <c r="AR127" s="206"/>
      <c r="AS127" s="206"/>
      <c r="AT127" s="206"/>
      <c r="AU127" s="206"/>
      <c r="AV127" s="206"/>
      <c r="AW127" s="207"/>
      <c r="AX127" s="207"/>
      <c r="AY127" s="207"/>
      <c r="AZ127" s="207"/>
    </row>
    <row r="128" spans="1:52" ht="24" customHeight="1" x14ac:dyDescent="0.2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7"/>
      <c r="N128" s="207"/>
      <c r="O128" s="208"/>
      <c r="P128" s="208"/>
      <c r="Q128" s="208"/>
      <c r="R128" s="206"/>
      <c r="S128" s="206"/>
      <c r="T128" s="206"/>
      <c r="U128" s="206"/>
      <c r="V128" s="206"/>
      <c r="W128" s="206"/>
      <c r="X128" s="207"/>
      <c r="Y128" s="207"/>
      <c r="Z128" s="207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7"/>
      <c r="AR128" s="206"/>
      <c r="AS128" s="206"/>
      <c r="AT128" s="206"/>
      <c r="AU128" s="206"/>
      <c r="AV128" s="206"/>
      <c r="AW128" s="207"/>
      <c r="AX128" s="207"/>
      <c r="AY128" s="207"/>
      <c r="AZ128" s="207"/>
    </row>
    <row r="129" spans="1:52" ht="24" customHeight="1" x14ac:dyDescent="0.2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7"/>
      <c r="N129" s="207"/>
      <c r="O129" s="208"/>
      <c r="P129" s="208"/>
      <c r="Q129" s="208"/>
      <c r="R129" s="206"/>
      <c r="S129" s="206"/>
      <c r="T129" s="206"/>
      <c r="U129" s="206"/>
      <c r="V129" s="206"/>
      <c r="W129" s="206"/>
      <c r="X129" s="207"/>
      <c r="Y129" s="207"/>
      <c r="Z129" s="207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7"/>
      <c r="AR129" s="206"/>
      <c r="AS129" s="206"/>
      <c r="AT129" s="206"/>
      <c r="AU129" s="206"/>
      <c r="AV129" s="206"/>
      <c r="AW129" s="207"/>
      <c r="AX129" s="207"/>
      <c r="AY129" s="207"/>
      <c r="AZ129" s="207"/>
    </row>
    <row r="130" spans="1:52" ht="24" customHeight="1" x14ac:dyDescent="0.2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7"/>
      <c r="N130" s="207"/>
      <c r="O130" s="208"/>
      <c r="P130" s="208"/>
      <c r="Q130" s="208"/>
      <c r="R130" s="206"/>
      <c r="S130" s="206"/>
      <c r="T130" s="206"/>
      <c r="U130" s="206"/>
      <c r="V130" s="206"/>
      <c r="W130" s="206"/>
      <c r="X130" s="207"/>
      <c r="Y130" s="207"/>
      <c r="Z130" s="207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7"/>
      <c r="AR130" s="206"/>
      <c r="AS130" s="206"/>
      <c r="AT130" s="206"/>
      <c r="AU130" s="206"/>
      <c r="AV130" s="206"/>
      <c r="AW130" s="207"/>
      <c r="AX130" s="207"/>
      <c r="AY130" s="207"/>
      <c r="AZ130" s="207"/>
    </row>
    <row r="131" spans="1:52" ht="24" customHeight="1" x14ac:dyDescent="0.2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7"/>
      <c r="N131" s="207"/>
      <c r="O131" s="208"/>
      <c r="P131" s="208"/>
      <c r="Q131" s="208"/>
      <c r="R131" s="206"/>
      <c r="S131" s="206"/>
      <c r="T131" s="206"/>
      <c r="U131" s="206"/>
      <c r="V131" s="206"/>
      <c r="W131" s="206"/>
      <c r="X131" s="207"/>
      <c r="Y131" s="207"/>
      <c r="Z131" s="207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7"/>
      <c r="AR131" s="206"/>
      <c r="AS131" s="206"/>
      <c r="AT131" s="206"/>
      <c r="AU131" s="206"/>
      <c r="AV131" s="206"/>
      <c r="AW131" s="207"/>
      <c r="AX131" s="207"/>
      <c r="AY131" s="207"/>
      <c r="AZ131" s="207"/>
    </row>
    <row r="132" spans="1:52" ht="24" customHeight="1" x14ac:dyDescent="0.2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7"/>
      <c r="N132" s="207"/>
      <c r="O132" s="208"/>
      <c r="P132" s="208"/>
      <c r="Q132" s="208"/>
      <c r="R132" s="206"/>
      <c r="S132" s="206"/>
      <c r="T132" s="206"/>
      <c r="U132" s="206"/>
      <c r="V132" s="206"/>
      <c r="W132" s="206"/>
      <c r="X132" s="207"/>
      <c r="Y132" s="207"/>
      <c r="Z132" s="207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7"/>
      <c r="AR132" s="206"/>
      <c r="AS132" s="206"/>
      <c r="AT132" s="206"/>
      <c r="AU132" s="206"/>
      <c r="AV132" s="206"/>
      <c r="AW132" s="207"/>
      <c r="AX132" s="207"/>
      <c r="AY132" s="207"/>
      <c r="AZ132" s="207"/>
    </row>
    <row r="133" spans="1:52" ht="24" customHeight="1" x14ac:dyDescent="0.2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7"/>
      <c r="N133" s="207"/>
      <c r="O133" s="208"/>
      <c r="P133" s="208"/>
      <c r="Q133" s="208"/>
      <c r="R133" s="206"/>
      <c r="S133" s="206"/>
      <c r="T133" s="206"/>
      <c r="U133" s="206"/>
      <c r="V133" s="206"/>
      <c r="W133" s="206"/>
      <c r="X133" s="207"/>
      <c r="Y133" s="207"/>
      <c r="Z133" s="207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7"/>
      <c r="AR133" s="206"/>
      <c r="AS133" s="206"/>
      <c r="AT133" s="206"/>
      <c r="AU133" s="206"/>
      <c r="AV133" s="206"/>
      <c r="AW133" s="207"/>
      <c r="AX133" s="207"/>
      <c r="AY133" s="207"/>
      <c r="AZ133" s="207"/>
    </row>
    <row r="134" spans="1:52" ht="24" customHeight="1" x14ac:dyDescent="0.2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7"/>
      <c r="N134" s="207"/>
      <c r="O134" s="208"/>
      <c r="P134" s="208"/>
      <c r="Q134" s="208"/>
      <c r="R134" s="206"/>
      <c r="S134" s="206"/>
      <c r="T134" s="206"/>
      <c r="U134" s="206"/>
      <c r="V134" s="206"/>
      <c r="W134" s="206"/>
      <c r="X134" s="207"/>
      <c r="Y134" s="207"/>
      <c r="Z134" s="207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7"/>
      <c r="AR134" s="206"/>
      <c r="AS134" s="206"/>
      <c r="AT134" s="206"/>
      <c r="AU134" s="206"/>
      <c r="AV134" s="206"/>
      <c r="AW134" s="207"/>
      <c r="AX134" s="207"/>
      <c r="AY134" s="207"/>
      <c r="AZ134" s="207"/>
    </row>
    <row r="135" spans="1:52" ht="24" customHeight="1" x14ac:dyDescent="0.2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7"/>
      <c r="N135" s="207"/>
      <c r="O135" s="208"/>
      <c r="P135" s="208"/>
      <c r="Q135" s="208"/>
      <c r="R135" s="206"/>
      <c r="S135" s="206"/>
      <c r="T135" s="206"/>
      <c r="U135" s="206"/>
      <c r="V135" s="206"/>
      <c r="W135" s="206"/>
      <c r="X135" s="207"/>
      <c r="Y135" s="207"/>
      <c r="Z135" s="207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7"/>
      <c r="AR135" s="206"/>
      <c r="AS135" s="206"/>
      <c r="AT135" s="206"/>
      <c r="AU135" s="206"/>
      <c r="AV135" s="206"/>
      <c r="AW135" s="207"/>
      <c r="AX135" s="207"/>
      <c r="AY135" s="207"/>
      <c r="AZ135" s="207"/>
    </row>
    <row r="136" spans="1:52" ht="24" customHeight="1" x14ac:dyDescent="0.2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7"/>
      <c r="N136" s="207"/>
      <c r="O136" s="208"/>
      <c r="P136" s="208"/>
      <c r="Q136" s="208"/>
      <c r="R136" s="206"/>
      <c r="S136" s="206"/>
      <c r="T136" s="206"/>
      <c r="U136" s="206"/>
      <c r="V136" s="206"/>
      <c r="W136" s="206"/>
      <c r="X136" s="207"/>
      <c r="Y136" s="207"/>
      <c r="Z136" s="207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7"/>
      <c r="AR136" s="206"/>
      <c r="AS136" s="206"/>
      <c r="AT136" s="206"/>
      <c r="AU136" s="206"/>
      <c r="AV136" s="206"/>
      <c r="AW136" s="207"/>
      <c r="AX136" s="207"/>
      <c r="AY136" s="207"/>
      <c r="AZ136" s="207"/>
    </row>
    <row r="137" spans="1:52" ht="24" customHeight="1" x14ac:dyDescent="0.2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7"/>
      <c r="N137" s="207"/>
      <c r="O137" s="208"/>
      <c r="P137" s="208"/>
      <c r="Q137" s="208"/>
      <c r="R137" s="206"/>
      <c r="S137" s="206"/>
      <c r="T137" s="206"/>
      <c r="U137" s="206"/>
      <c r="V137" s="206"/>
      <c r="W137" s="206"/>
      <c r="X137" s="207"/>
      <c r="Y137" s="207"/>
      <c r="Z137" s="207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7"/>
      <c r="AR137" s="206"/>
      <c r="AS137" s="206"/>
      <c r="AT137" s="206"/>
      <c r="AU137" s="206"/>
      <c r="AV137" s="206"/>
      <c r="AW137" s="207"/>
      <c r="AX137" s="207"/>
      <c r="AY137" s="207"/>
      <c r="AZ137" s="207"/>
    </row>
    <row r="138" spans="1:52" ht="24" customHeight="1" x14ac:dyDescent="0.2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7"/>
      <c r="N138" s="207"/>
      <c r="O138" s="208"/>
      <c r="P138" s="208"/>
      <c r="Q138" s="208"/>
      <c r="R138" s="206"/>
      <c r="S138" s="206"/>
      <c r="T138" s="206"/>
      <c r="U138" s="206"/>
      <c r="V138" s="206"/>
      <c r="W138" s="206"/>
      <c r="X138" s="207"/>
      <c r="Y138" s="207"/>
      <c r="Z138" s="207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7"/>
      <c r="AR138" s="206"/>
      <c r="AS138" s="206"/>
      <c r="AT138" s="206"/>
      <c r="AU138" s="206"/>
      <c r="AV138" s="206"/>
      <c r="AW138" s="207"/>
      <c r="AX138" s="207"/>
      <c r="AY138" s="207"/>
      <c r="AZ138" s="207"/>
    </row>
    <row r="139" spans="1:52" ht="24" customHeight="1" x14ac:dyDescent="0.2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7"/>
      <c r="N139" s="207"/>
      <c r="O139" s="208"/>
      <c r="P139" s="208"/>
      <c r="Q139" s="208"/>
      <c r="R139" s="206"/>
      <c r="S139" s="206"/>
      <c r="T139" s="206"/>
      <c r="U139" s="206"/>
      <c r="V139" s="206"/>
      <c r="W139" s="206"/>
      <c r="X139" s="207"/>
      <c r="Y139" s="207"/>
      <c r="Z139" s="207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7"/>
      <c r="AR139" s="206"/>
      <c r="AS139" s="206"/>
      <c r="AT139" s="206"/>
      <c r="AU139" s="206"/>
      <c r="AV139" s="206"/>
      <c r="AW139" s="207"/>
      <c r="AX139" s="207"/>
      <c r="AY139" s="207"/>
      <c r="AZ139" s="207"/>
    </row>
    <row r="140" spans="1:52" ht="24" customHeight="1" x14ac:dyDescent="0.2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7"/>
      <c r="N140" s="207"/>
      <c r="O140" s="208"/>
      <c r="P140" s="208"/>
      <c r="Q140" s="208"/>
      <c r="R140" s="206"/>
      <c r="S140" s="206"/>
      <c r="T140" s="206"/>
      <c r="U140" s="206"/>
      <c r="V140" s="206"/>
      <c r="W140" s="206"/>
      <c r="X140" s="207"/>
      <c r="Y140" s="207"/>
      <c r="Z140" s="207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7"/>
      <c r="AR140" s="206"/>
      <c r="AS140" s="206"/>
      <c r="AT140" s="206"/>
      <c r="AU140" s="206"/>
      <c r="AV140" s="206"/>
      <c r="AW140" s="207"/>
      <c r="AX140" s="207"/>
      <c r="AY140" s="207"/>
      <c r="AZ140" s="207"/>
    </row>
    <row r="141" spans="1:52" ht="24" customHeight="1" x14ac:dyDescent="0.2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7"/>
      <c r="N141" s="207"/>
      <c r="O141" s="208"/>
      <c r="P141" s="208"/>
      <c r="Q141" s="208"/>
      <c r="R141" s="206"/>
      <c r="S141" s="206"/>
      <c r="T141" s="206"/>
      <c r="U141" s="206"/>
      <c r="V141" s="206"/>
      <c r="W141" s="206"/>
      <c r="X141" s="207"/>
      <c r="Y141" s="207"/>
      <c r="Z141" s="207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7"/>
      <c r="AR141" s="206"/>
      <c r="AS141" s="206"/>
      <c r="AT141" s="206"/>
      <c r="AU141" s="206"/>
      <c r="AV141" s="206"/>
      <c r="AW141" s="207"/>
      <c r="AX141" s="207"/>
      <c r="AY141" s="207"/>
      <c r="AZ141" s="207"/>
    </row>
    <row r="142" spans="1:52" ht="24" customHeight="1" x14ac:dyDescent="0.2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7"/>
      <c r="N142" s="207"/>
      <c r="O142" s="208"/>
      <c r="P142" s="208"/>
      <c r="Q142" s="208"/>
      <c r="R142" s="206"/>
      <c r="S142" s="206"/>
      <c r="T142" s="206"/>
      <c r="U142" s="206"/>
      <c r="V142" s="206"/>
      <c r="W142" s="206"/>
      <c r="X142" s="207"/>
      <c r="Y142" s="207"/>
      <c r="Z142" s="207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7"/>
      <c r="AR142" s="206"/>
      <c r="AS142" s="206"/>
      <c r="AT142" s="206"/>
      <c r="AU142" s="206"/>
      <c r="AV142" s="206"/>
      <c r="AW142" s="207"/>
      <c r="AX142" s="207"/>
      <c r="AY142" s="207"/>
      <c r="AZ142" s="207"/>
    </row>
    <row r="143" spans="1:52" ht="24" customHeight="1" x14ac:dyDescent="0.2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7"/>
      <c r="N143" s="207"/>
      <c r="O143" s="208"/>
      <c r="P143" s="208"/>
      <c r="Q143" s="208"/>
      <c r="R143" s="206"/>
      <c r="S143" s="206"/>
      <c r="T143" s="206"/>
      <c r="U143" s="206"/>
      <c r="V143" s="206"/>
      <c r="W143" s="206"/>
      <c r="X143" s="207"/>
      <c r="Y143" s="207"/>
      <c r="Z143" s="207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7"/>
      <c r="AR143" s="206"/>
      <c r="AS143" s="206"/>
      <c r="AT143" s="206"/>
      <c r="AU143" s="206"/>
      <c r="AV143" s="206"/>
      <c r="AW143" s="207"/>
      <c r="AX143" s="207"/>
      <c r="AY143" s="207"/>
      <c r="AZ143" s="207"/>
    </row>
    <row r="144" spans="1:52" ht="24" customHeight="1" x14ac:dyDescent="0.2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7"/>
      <c r="N144" s="207"/>
      <c r="O144" s="208"/>
      <c r="P144" s="208"/>
      <c r="Q144" s="208"/>
      <c r="R144" s="206"/>
      <c r="S144" s="206"/>
      <c r="T144" s="206"/>
      <c r="U144" s="206"/>
      <c r="V144" s="206"/>
      <c r="W144" s="206"/>
      <c r="X144" s="207"/>
      <c r="Y144" s="207"/>
      <c r="Z144" s="207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7"/>
      <c r="AR144" s="206"/>
      <c r="AS144" s="206"/>
      <c r="AT144" s="206"/>
      <c r="AU144" s="206"/>
      <c r="AV144" s="206"/>
      <c r="AW144" s="207"/>
      <c r="AX144" s="207"/>
      <c r="AY144" s="207"/>
      <c r="AZ144" s="207"/>
    </row>
    <row r="145" spans="1:52" ht="24" customHeight="1" x14ac:dyDescent="0.2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7"/>
      <c r="N145" s="207"/>
      <c r="O145" s="208"/>
      <c r="P145" s="208"/>
      <c r="Q145" s="208"/>
      <c r="R145" s="206"/>
      <c r="S145" s="206"/>
      <c r="T145" s="206"/>
      <c r="U145" s="206"/>
      <c r="V145" s="206"/>
      <c r="W145" s="206"/>
      <c r="X145" s="207"/>
      <c r="Y145" s="207"/>
      <c r="Z145" s="207"/>
      <c r="AA145" s="206"/>
      <c r="AB145" s="206"/>
      <c r="AC145" s="206"/>
      <c r="AD145" s="206"/>
      <c r="AE145" s="206"/>
      <c r="AF145" s="206"/>
      <c r="AG145" s="206"/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7"/>
      <c r="AR145" s="206"/>
      <c r="AS145" s="206"/>
      <c r="AT145" s="206"/>
      <c r="AU145" s="206"/>
      <c r="AV145" s="206"/>
      <c r="AW145" s="207"/>
      <c r="AX145" s="207"/>
      <c r="AY145" s="207"/>
      <c r="AZ145" s="207"/>
    </row>
    <row r="146" spans="1:52" ht="24" customHeight="1" x14ac:dyDescent="0.2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7"/>
      <c r="N146" s="207"/>
      <c r="O146" s="208"/>
      <c r="P146" s="208"/>
      <c r="Q146" s="208"/>
      <c r="R146" s="206"/>
      <c r="S146" s="206"/>
      <c r="T146" s="206"/>
      <c r="U146" s="206"/>
      <c r="V146" s="206"/>
      <c r="W146" s="206"/>
      <c r="X146" s="207"/>
      <c r="Y146" s="207"/>
      <c r="Z146" s="207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7"/>
      <c r="AR146" s="206"/>
      <c r="AS146" s="206"/>
      <c r="AT146" s="206"/>
      <c r="AU146" s="206"/>
      <c r="AV146" s="206"/>
      <c r="AW146" s="207"/>
      <c r="AX146" s="207"/>
      <c r="AY146" s="207"/>
      <c r="AZ146" s="207"/>
    </row>
    <row r="147" spans="1:52" ht="24" customHeight="1" x14ac:dyDescent="0.2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7"/>
      <c r="N147" s="207"/>
      <c r="O147" s="208"/>
      <c r="P147" s="208"/>
      <c r="Q147" s="208"/>
      <c r="R147" s="206"/>
      <c r="S147" s="206"/>
      <c r="T147" s="206"/>
      <c r="U147" s="206"/>
      <c r="V147" s="206"/>
      <c r="W147" s="206"/>
      <c r="X147" s="207"/>
      <c r="Y147" s="207"/>
      <c r="Z147" s="207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7"/>
      <c r="AR147" s="206"/>
      <c r="AS147" s="206"/>
      <c r="AT147" s="206"/>
      <c r="AU147" s="206"/>
      <c r="AV147" s="206"/>
      <c r="AW147" s="207"/>
      <c r="AX147" s="207"/>
      <c r="AY147" s="207"/>
      <c r="AZ147" s="207"/>
    </row>
    <row r="148" spans="1:52" ht="24" customHeight="1" x14ac:dyDescent="0.2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7"/>
      <c r="N148" s="207"/>
      <c r="O148" s="208"/>
      <c r="P148" s="208"/>
      <c r="Q148" s="208"/>
      <c r="R148" s="206"/>
      <c r="S148" s="206"/>
      <c r="T148" s="206"/>
      <c r="U148" s="206"/>
      <c r="V148" s="206"/>
      <c r="W148" s="206"/>
      <c r="X148" s="207"/>
      <c r="Y148" s="207"/>
      <c r="Z148" s="207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7"/>
      <c r="AR148" s="206"/>
      <c r="AS148" s="206"/>
      <c r="AT148" s="206"/>
      <c r="AU148" s="206"/>
      <c r="AV148" s="206"/>
      <c r="AW148" s="207"/>
      <c r="AX148" s="207"/>
      <c r="AY148" s="207"/>
      <c r="AZ148" s="207"/>
    </row>
    <row r="149" spans="1:52" ht="24" customHeight="1" x14ac:dyDescent="0.2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7"/>
      <c r="N149" s="207"/>
      <c r="O149" s="208"/>
      <c r="P149" s="208"/>
      <c r="Q149" s="208"/>
      <c r="R149" s="206"/>
      <c r="S149" s="206"/>
      <c r="T149" s="206"/>
      <c r="U149" s="206"/>
      <c r="V149" s="206"/>
      <c r="W149" s="206"/>
      <c r="X149" s="207"/>
      <c r="Y149" s="207"/>
      <c r="Z149" s="207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7"/>
      <c r="AR149" s="206"/>
      <c r="AS149" s="206"/>
      <c r="AT149" s="206"/>
      <c r="AU149" s="206"/>
      <c r="AV149" s="206"/>
      <c r="AW149" s="207"/>
      <c r="AX149" s="207"/>
      <c r="AY149" s="207"/>
      <c r="AZ149" s="207"/>
    </row>
    <row r="150" spans="1:52" ht="24" customHeight="1" x14ac:dyDescent="0.2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7"/>
      <c r="N150" s="207"/>
      <c r="O150" s="208"/>
      <c r="P150" s="208"/>
      <c r="Q150" s="208"/>
      <c r="R150" s="206"/>
      <c r="S150" s="206"/>
      <c r="T150" s="206"/>
      <c r="U150" s="206"/>
      <c r="V150" s="206"/>
      <c r="W150" s="206"/>
      <c r="X150" s="207"/>
      <c r="Y150" s="207"/>
      <c r="Z150" s="207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7"/>
      <c r="AR150" s="206"/>
      <c r="AS150" s="206"/>
      <c r="AT150" s="206"/>
      <c r="AU150" s="206"/>
      <c r="AV150" s="206"/>
      <c r="AW150" s="207"/>
      <c r="AX150" s="207"/>
      <c r="AY150" s="207"/>
      <c r="AZ150" s="207"/>
    </row>
    <row r="151" spans="1:52" ht="24" customHeight="1" x14ac:dyDescent="0.2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7"/>
      <c r="N151" s="207"/>
      <c r="O151" s="208"/>
      <c r="P151" s="208"/>
      <c r="Q151" s="208"/>
      <c r="R151" s="206"/>
      <c r="S151" s="206"/>
      <c r="T151" s="206"/>
      <c r="U151" s="206"/>
      <c r="V151" s="206"/>
      <c r="W151" s="206"/>
      <c r="X151" s="207"/>
      <c r="Y151" s="207"/>
      <c r="Z151" s="207"/>
      <c r="AA151" s="206"/>
      <c r="AB151" s="206"/>
      <c r="AC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7"/>
      <c r="AR151" s="206"/>
      <c r="AS151" s="206"/>
      <c r="AT151" s="206"/>
      <c r="AU151" s="206"/>
      <c r="AV151" s="206"/>
      <c r="AW151" s="207"/>
      <c r="AX151" s="207"/>
      <c r="AY151" s="207"/>
      <c r="AZ151" s="207"/>
    </row>
    <row r="152" spans="1:52" ht="24" customHeight="1" x14ac:dyDescent="0.2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7"/>
      <c r="N152" s="207"/>
      <c r="O152" s="208"/>
      <c r="P152" s="208"/>
      <c r="Q152" s="208"/>
      <c r="R152" s="206"/>
      <c r="S152" s="206"/>
      <c r="T152" s="206"/>
      <c r="U152" s="206"/>
      <c r="V152" s="206"/>
      <c r="W152" s="206"/>
      <c r="X152" s="207"/>
      <c r="Y152" s="207"/>
      <c r="Z152" s="207"/>
      <c r="AA152" s="206"/>
      <c r="AB152" s="206"/>
      <c r="AC152" s="206"/>
      <c r="AD152" s="206"/>
      <c r="AE152" s="206"/>
      <c r="AF152" s="206"/>
      <c r="AG152" s="206"/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7"/>
      <c r="AR152" s="206"/>
      <c r="AS152" s="206"/>
      <c r="AT152" s="206"/>
      <c r="AU152" s="206"/>
      <c r="AV152" s="206"/>
      <c r="AW152" s="207"/>
      <c r="AX152" s="207"/>
      <c r="AY152" s="207"/>
      <c r="AZ152" s="207"/>
    </row>
    <row r="153" spans="1:52" ht="24" customHeight="1" x14ac:dyDescent="0.2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7"/>
      <c r="N153" s="207"/>
      <c r="O153" s="208"/>
      <c r="P153" s="208"/>
      <c r="Q153" s="208"/>
      <c r="R153" s="206"/>
      <c r="S153" s="206"/>
      <c r="T153" s="206"/>
      <c r="U153" s="206"/>
      <c r="V153" s="206"/>
      <c r="W153" s="206"/>
      <c r="X153" s="207"/>
      <c r="Y153" s="207"/>
      <c r="Z153" s="207"/>
      <c r="AA153" s="206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7"/>
      <c r="AR153" s="206"/>
      <c r="AS153" s="206"/>
      <c r="AT153" s="206"/>
      <c r="AU153" s="206"/>
      <c r="AV153" s="206"/>
      <c r="AW153" s="207"/>
      <c r="AX153" s="207"/>
      <c r="AY153" s="207"/>
      <c r="AZ153" s="207"/>
    </row>
    <row r="154" spans="1:52" ht="24" customHeight="1" x14ac:dyDescent="0.2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7"/>
      <c r="N154" s="207"/>
      <c r="O154" s="208"/>
      <c r="P154" s="208"/>
      <c r="Q154" s="208"/>
      <c r="R154" s="206"/>
      <c r="S154" s="206"/>
      <c r="T154" s="206"/>
      <c r="U154" s="206"/>
      <c r="V154" s="206"/>
      <c r="W154" s="206"/>
      <c r="X154" s="207"/>
      <c r="Y154" s="207"/>
      <c r="Z154" s="207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7"/>
      <c r="AR154" s="206"/>
      <c r="AS154" s="206"/>
      <c r="AT154" s="206"/>
      <c r="AU154" s="206"/>
      <c r="AV154" s="206"/>
      <c r="AW154" s="207"/>
      <c r="AX154" s="207"/>
      <c r="AY154" s="207"/>
      <c r="AZ154" s="207"/>
    </row>
    <row r="155" spans="1:52" ht="24" customHeight="1" x14ac:dyDescent="0.2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7"/>
      <c r="N155" s="207"/>
      <c r="O155" s="208"/>
      <c r="P155" s="208"/>
      <c r="Q155" s="208"/>
      <c r="R155" s="206"/>
      <c r="S155" s="206"/>
      <c r="T155" s="206"/>
      <c r="U155" s="206"/>
      <c r="V155" s="206"/>
      <c r="W155" s="206"/>
      <c r="X155" s="207"/>
      <c r="Y155" s="207"/>
      <c r="Z155" s="207"/>
      <c r="AA155" s="206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7"/>
      <c r="AR155" s="206"/>
      <c r="AS155" s="206"/>
      <c r="AT155" s="206"/>
      <c r="AU155" s="206"/>
      <c r="AV155" s="206"/>
      <c r="AW155" s="207"/>
      <c r="AX155" s="207"/>
      <c r="AY155" s="207"/>
      <c r="AZ155" s="207"/>
    </row>
    <row r="156" spans="1:52" ht="24" customHeight="1" x14ac:dyDescent="0.2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7"/>
      <c r="N156" s="207"/>
      <c r="O156" s="208"/>
      <c r="P156" s="208"/>
      <c r="Q156" s="208"/>
      <c r="R156" s="206"/>
      <c r="S156" s="206"/>
      <c r="T156" s="206"/>
      <c r="U156" s="206"/>
      <c r="V156" s="206"/>
      <c r="W156" s="206"/>
      <c r="X156" s="207"/>
      <c r="Y156" s="207"/>
      <c r="Z156" s="207"/>
      <c r="AA156" s="206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7"/>
      <c r="AR156" s="206"/>
      <c r="AS156" s="206"/>
      <c r="AT156" s="206"/>
      <c r="AU156" s="206"/>
      <c r="AV156" s="206"/>
      <c r="AW156" s="207"/>
      <c r="AX156" s="207"/>
      <c r="AY156" s="207"/>
      <c r="AZ156" s="207"/>
    </row>
    <row r="157" spans="1:52" ht="24" customHeight="1" x14ac:dyDescent="0.2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7"/>
      <c r="N157" s="207"/>
      <c r="O157" s="208"/>
      <c r="P157" s="208"/>
      <c r="Q157" s="208"/>
      <c r="R157" s="206"/>
      <c r="S157" s="206"/>
      <c r="T157" s="206"/>
      <c r="U157" s="206"/>
      <c r="V157" s="206"/>
      <c r="W157" s="206"/>
      <c r="X157" s="207"/>
      <c r="Y157" s="207"/>
      <c r="Z157" s="207"/>
      <c r="AA157" s="206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7"/>
      <c r="AR157" s="206"/>
      <c r="AS157" s="206"/>
      <c r="AT157" s="206"/>
      <c r="AU157" s="206"/>
      <c r="AV157" s="206"/>
      <c r="AW157" s="207"/>
      <c r="AX157" s="207"/>
      <c r="AY157" s="207"/>
      <c r="AZ157" s="207"/>
    </row>
    <row r="158" spans="1:52" ht="24" customHeight="1" x14ac:dyDescent="0.2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7"/>
      <c r="N158" s="207"/>
      <c r="O158" s="208"/>
      <c r="P158" s="208"/>
      <c r="Q158" s="208"/>
      <c r="R158" s="206"/>
      <c r="S158" s="206"/>
      <c r="T158" s="206"/>
      <c r="U158" s="206"/>
      <c r="V158" s="206"/>
      <c r="W158" s="206"/>
      <c r="X158" s="207"/>
      <c r="Y158" s="207"/>
      <c r="Z158" s="207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7"/>
      <c r="AR158" s="206"/>
      <c r="AS158" s="206"/>
      <c r="AT158" s="206"/>
      <c r="AU158" s="206"/>
      <c r="AV158" s="206"/>
      <c r="AW158" s="207"/>
      <c r="AX158" s="207"/>
      <c r="AY158" s="207"/>
      <c r="AZ158" s="207"/>
    </row>
    <row r="159" spans="1:52" ht="24" customHeight="1" x14ac:dyDescent="0.2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7"/>
      <c r="N159" s="207"/>
      <c r="O159" s="208"/>
      <c r="P159" s="208"/>
      <c r="Q159" s="208"/>
      <c r="R159" s="206"/>
      <c r="S159" s="206"/>
      <c r="T159" s="206"/>
      <c r="U159" s="206"/>
      <c r="V159" s="206"/>
      <c r="W159" s="206"/>
      <c r="X159" s="207"/>
      <c r="Y159" s="207"/>
      <c r="Z159" s="207"/>
      <c r="AA159" s="206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7"/>
      <c r="AR159" s="206"/>
      <c r="AS159" s="206"/>
      <c r="AT159" s="206"/>
      <c r="AU159" s="206"/>
      <c r="AV159" s="206"/>
      <c r="AW159" s="207"/>
      <c r="AX159" s="207"/>
      <c r="AY159" s="207"/>
      <c r="AZ159" s="207"/>
    </row>
    <row r="160" spans="1:52" ht="24" customHeight="1" x14ac:dyDescent="0.2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7"/>
      <c r="N160" s="207"/>
      <c r="O160" s="208"/>
      <c r="P160" s="208"/>
      <c r="Q160" s="208"/>
      <c r="R160" s="206"/>
      <c r="S160" s="206"/>
      <c r="T160" s="206"/>
      <c r="U160" s="206"/>
      <c r="V160" s="206"/>
      <c r="W160" s="206"/>
      <c r="X160" s="207"/>
      <c r="Y160" s="207"/>
      <c r="Z160" s="207"/>
      <c r="AA160" s="206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7"/>
      <c r="AR160" s="206"/>
      <c r="AS160" s="206"/>
      <c r="AT160" s="206"/>
      <c r="AU160" s="206"/>
      <c r="AV160" s="206"/>
      <c r="AW160" s="207"/>
      <c r="AX160" s="207"/>
      <c r="AY160" s="207"/>
      <c r="AZ160" s="207"/>
    </row>
    <row r="161" spans="1:52" ht="24" customHeight="1" x14ac:dyDescent="0.2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7"/>
      <c r="N161" s="207"/>
      <c r="O161" s="208"/>
      <c r="P161" s="208"/>
      <c r="Q161" s="208"/>
      <c r="R161" s="206"/>
      <c r="S161" s="206"/>
      <c r="T161" s="206"/>
      <c r="U161" s="206"/>
      <c r="V161" s="206"/>
      <c r="W161" s="206"/>
      <c r="X161" s="207"/>
      <c r="Y161" s="207"/>
      <c r="Z161" s="207"/>
      <c r="AA161" s="206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7"/>
      <c r="AR161" s="206"/>
      <c r="AS161" s="206"/>
      <c r="AT161" s="206"/>
      <c r="AU161" s="206"/>
      <c r="AV161" s="206"/>
      <c r="AW161" s="207"/>
      <c r="AX161" s="207"/>
      <c r="AY161" s="207"/>
      <c r="AZ161" s="207"/>
    </row>
    <row r="162" spans="1:52" ht="24" customHeight="1" x14ac:dyDescent="0.2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7"/>
      <c r="N162" s="207"/>
      <c r="O162" s="208"/>
      <c r="P162" s="208"/>
      <c r="Q162" s="208"/>
      <c r="R162" s="206"/>
      <c r="S162" s="206"/>
      <c r="T162" s="206"/>
      <c r="U162" s="206"/>
      <c r="V162" s="206"/>
      <c r="W162" s="206"/>
      <c r="X162" s="207"/>
      <c r="Y162" s="207"/>
      <c r="Z162" s="207"/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7"/>
      <c r="AR162" s="206"/>
      <c r="AS162" s="206"/>
      <c r="AT162" s="206"/>
      <c r="AU162" s="206"/>
      <c r="AV162" s="206"/>
      <c r="AW162" s="207"/>
      <c r="AX162" s="207"/>
      <c r="AY162" s="207"/>
      <c r="AZ162" s="207"/>
    </row>
    <row r="163" spans="1:52" ht="24" customHeight="1" x14ac:dyDescent="0.2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7"/>
      <c r="N163" s="207"/>
      <c r="O163" s="208"/>
      <c r="P163" s="208"/>
      <c r="Q163" s="208"/>
      <c r="R163" s="206"/>
      <c r="S163" s="206"/>
      <c r="T163" s="206"/>
      <c r="U163" s="206"/>
      <c r="V163" s="206"/>
      <c r="W163" s="206"/>
      <c r="X163" s="207"/>
      <c r="Y163" s="207"/>
      <c r="Z163" s="207"/>
      <c r="AA163" s="206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7"/>
      <c r="AR163" s="206"/>
      <c r="AS163" s="206"/>
      <c r="AT163" s="206"/>
      <c r="AU163" s="206"/>
      <c r="AV163" s="206"/>
      <c r="AW163" s="207"/>
      <c r="AX163" s="207"/>
      <c r="AY163" s="207"/>
      <c r="AZ163" s="207"/>
    </row>
    <row r="164" spans="1:52" ht="24" customHeight="1" x14ac:dyDescent="0.2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7"/>
      <c r="N164" s="207"/>
      <c r="O164" s="208"/>
      <c r="P164" s="208"/>
      <c r="Q164" s="208"/>
      <c r="R164" s="206"/>
      <c r="S164" s="206"/>
      <c r="T164" s="206"/>
      <c r="U164" s="206"/>
      <c r="V164" s="206"/>
      <c r="W164" s="206"/>
      <c r="X164" s="207"/>
      <c r="Y164" s="207"/>
      <c r="Z164" s="207"/>
      <c r="AA164" s="206"/>
      <c r="AB164" s="206"/>
      <c r="AC164" s="206"/>
      <c r="AD164" s="206"/>
      <c r="AE164" s="206"/>
      <c r="AF164" s="206"/>
      <c r="AG164" s="206"/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7"/>
      <c r="AR164" s="206"/>
      <c r="AS164" s="206"/>
      <c r="AT164" s="206"/>
      <c r="AU164" s="206"/>
      <c r="AV164" s="206"/>
      <c r="AW164" s="207"/>
      <c r="AX164" s="207"/>
      <c r="AY164" s="207"/>
      <c r="AZ164" s="207"/>
    </row>
    <row r="165" spans="1:52" ht="24" customHeight="1" x14ac:dyDescent="0.2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7"/>
      <c r="N165" s="207"/>
      <c r="O165" s="208"/>
      <c r="P165" s="208"/>
      <c r="Q165" s="208"/>
      <c r="R165" s="206"/>
      <c r="S165" s="206"/>
      <c r="T165" s="206"/>
      <c r="U165" s="206"/>
      <c r="V165" s="206"/>
      <c r="W165" s="206"/>
      <c r="X165" s="207"/>
      <c r="Y165" s="207"/>
      <c r="Z165" s="207"/>
      <c r="AA165" s="206"/>
      <c r="AB165" s="206"/>
      <c r="AC165" s="206"/>
      <c r="AD165" s="206"/>
      <c r="AE165" s="206"/>
      <c r="AF165" s="206"/>
      <c r="AG165" s="206"/>
      <c r="AH165" s="206"/>
      <c r="AI165" s="206"/>
      <c r="AJ165" s="206"/>
      <c r="AK165" s="206"/>
      <c r="AL165" s="206"/>
      <c r="AM165" s="206"/>
      <c r="AN165" s="206"/>
      <c r="AO165" s="206"/>
      <c r="AP165" s="206"/>
      <c r="AQ165" s="207"/>
      <c r="AR165" s="206"/>
      <c r="AS165" s="206"/>
      <c r="AT165" s="206"/>
      <c r="AU165" s="206"/>
      <c r="AV165" s="206"/>
      <c r="AW165" s="207"/>
      <c r="AX165" s="207"/>
      <c r="AY165" s="207"/>
      <c r="AZ165" s="207"/>
    </row>
    <row r="166" spans="1:52" ht="24" customHeight="1" x14ac:dyDescent="0.2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7"/>
      <c r="N166" s="207"/>
      <c r="O166" s="208"/>
      <c r="P166" s="208"/>
      <c r="Q166" s="208"/>
      <c r="R166" s="206"/>
      <c r="S166" s="206"/>
      <c r="T166" s="206"/>
      <c r="U166" s="206"/>
      <c r="V166" s="206"/>
      <c r="W166" s="206"/>
      <c r="X166" s="207"/>
      <c r="Y166" s="207"/>
      <c r="Z166" s="207"/>
      <c r="AA166" s="206"/>
      <c r="AB166" s="206"/>
      <c r="AC166" s="206"/>
      <c r="AD166" s="206"/>
      <c r="AE166" s="206"/>
      <c r="AF166" s="206"/>
      <c r="AG166" s="206"/>
      <c r="AH166" s="206"/>
      <c r="AI166" s="206"/>
      <c r="AJ166" s="206"/>
      <c r="AK166" s="206"/>
      <c r="AL166" s="206"/>
      <c r="AM166" s="206"/>
      <c r="AN166" s="206"/>
      <c r="AO166" s="206"/>
      <c r="AP166" s="206"/>
      <c r="AQ166" s="207"/>
      <c r="AR166" s="206"/>
      <c r="AS166" s="206"/>
      <c r="AT166" s="206"/>
      <c r="AU166" s="206"/>
      <c r="AV166" s="206"/>
      <c r="AW166" s="207"/>
      <c r="AX166" s="207"/>
      <c r="AY166" s="207"/>
      <c r="AZ166" s="207"/>
    </row>
    <row r="167" spans="1:52" ht="24" customHeight="1" x14ac:dyDescent="0.2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7"/>
      <c r="N167" s="207"/>
      <c r="O167" s="208"/>
      <c r="P167" s="208"/>
      <c r="Q167" s="208"/>
      <c r="R167" s="206"/>
      <c r="S167" s="206"/>
      <c r="T167" s="206"/>
      <c r="U167" s="206"/>
      <c r="V167" s="206"/>
      <c r="W167" s="206"/>
      <c r="X167" s="207"/>
      <c r="Y167" s="207"/>
      <c r="Z167" s="207"/>
      <c r="AA167" s="206"/>
      <c r="AB167" s="206"/>
      <c r="AC167" s="206"/>
      <c r="AD167" s="206"/>
      <c r="AE167" s="206"/>
      <c r="AF167" s="206"/>
      <c r="AG167" s="206"/>
      <c r="AH167" s="206"/>
      <c r="AI167" s="206"/>
      <c r="AJ167" s="206"/>
      <c r="AK167" s="206"/>
      <c r="AL167" s="206"/>
      <c r="AM167" s="206"/>
      <c r="AN167" s="206"/>
      <c r="AO167" s="206"/>
      <c r="AP167" s="206"/>
      <c r="AQ167" s="207"/>
      <c r="AR167" s="206"/>
      <c r="AS167" s="206"/>
      <c r="AT167" s="206"/>
      <c r="AU167" s="206"/>
      <c r="AV167" s="206"/>
      <c r="AW167" s="207"/>
      <c r="AX167" s="207"/>
      <c r="AY167" s="207"/>
      <c r="AZ167" s="207"/>
    </row>
    <row r="168" spans="1:52" ht="24" customHeight="1" x14ac:dyDescent="0.2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7"/>
      <c r="N168" s="207"/>
      <c r="O168" s="208"/>
      <c r="P168" s="208"/>
      <c r="Q168" s="208"/>
      <c r="R168" s="206"/>
      <c r="S168" s="206"/>
      <c r="T168" s="206"/>
      <c r="U168" s="206"/>
      <c r="V168" s="206"/>
      <c r="W168" s="206"/>
      <c r="X168" s="207"/>
      <c r="Y168" s="207"/>
      <c r="Z168" s="207"/>
      <c r="AA168" s="206"/>
      <c r="AB168" s="206"/>
      <c r="AC168" s="206"/>
      <c r="AD168" s="206"/>
      <c r="AE168" s="206"/>
      <c r="AF168" s="206"/>
      <c r="AG168" s="206"/>
      <c r="AH168" s="206"/>
      <c r="AI168" s="206"/>
      <c r="AJ168" s="206"/>
      <c r="AK168" s="206"/>
      <c r="AL168" s="206"/>
      <c r="AM168" s="206"/>
      <c r="AN168" s="206"/>
      <c r="AO168" s="206"/>
      <c r="AP168" s="206"/>
      <c r="AQ168" s="207"/>
      <c r="AR168" s="206"/>
      <c r="AS168" s="206"/>
      <c r="AT168" s="206"/>
      <c r="AU168" s="206"/>
      <c r="AV168" s="206"/>
      <c r="AW168" s="207"/>
      <c r="AX168" s="207"/>
      <c r="AY168" s="207"/>
      <c r="AZ168" s="207"/>
    </row>
    <row r="169" spans="1:52" ht="24" customHeight="1" x14ac:dyDescent="0.2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7"/>
      <c r="N169" s="207"/>
      <c r="O169" s="208"/>
      <c r="P169" s="208"/>
      <c r="Q169" s="208"/>
      <c r="R169" s="206"/>
      <c r="S169" s="206"/>
      <c r="T169" s="206"/>
      <c r="U169" s="206"/>
      <c r="V169" s="206"/>
      <c r="W169" s="206"/>
      <c r="X169" s="207"/>
      <c r="Y169" s="207"/>
      <c r="Z169" s="207"/>
      <c r="AA169" s="206"/>
      <c r="AB169" s="206"/>
      <c r="AC169" s="206"/>
      <c r="AD169" s="206"/>
      <c r="AE169" s="206"/>
      <c r="AF169" s="206"/>
      <c r="AG169" s="206"/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7"/>
      <c r="AR169" s="206"/>
      <c r="AS169" s="206"/>
      <c r="AT169" s="206"/>
      <c r="AU169" s="206"/>
      <c r="AV169" s="206"/>
      <c r="AW169" s="207"/>
      <c r="AX169" s="207"/>
      <c r="AY169" s="207"/>
      <c r="AZ169" s="207"/>
    </row>
    <row r="170" spans="1:52" ht="24" customHeight="1" x14ac:dyDescent="0.2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7"/>
      <c r="N170" s="207"/>
      <c r="O170" s="208"/>
      <c r="P170" s="208"/>
      <c r="Q170" s="208"/>
      <c r="R170" s="206"/>
      <c r="S170" s="206"/>
      <c r="T170" s="206"/>
      <c r="U170" s="206"/>
      <c r="V170" s="206"/>
      <c r="W170" s="206"/>
      <c r="X170" s="207"/>
      <c r="Y170" s="207"/>
      <c r="Z170" s="207"/>
      <c r="AA170" s="206"/>
      <c r="AB170" s="206"/>
      <c r="AC170" s="206"/>
      <c r="AD170" s="206"/>
      <c r="AE170" s="206"/>
      <c r="AF170" s="206"/>
      <c r="AG170" s="206"/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7"/>
      <c r="AR170" s="206"/>
      <c r="AS170" s="206"/>
      <c r="AT170" s="206"/>
      <c r="AU170" s="206"/>
      <c r="AV170" s="206"/>
      <c r="AW170" s="207"/>
      <c r="AX170" s="207"/>
      <c r="AY170" s="207"/>
      <c r="AZ170" s="207"/>
    </row>
    <row r="171" spans="1:52" ht="24" customHeight="1" x14ac:dyDescent="0.2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7"/>
      <c r="N171" s="207"/>
      <c r="O171" s="208"/>
      <c r="P171" s="208"/>
      <c r="Q171" s="208"/>
      <c r="R171" s="206"/>
      <c r="S171" s="206"/>
      <c r="T171" s="206"/>
      <c r="U171" s="206"/>
      <c r="V171" s="206"/>
      <c r="W171" s="206"/>
      <c r="X171" s="207"/>
      <c r="Y171" s="207"/>
      <c r="Z171" s="207"/>
      <c r="AA171" s="206"/>
      <c r="AB171" s="206"/>
      <c r="AC171" s="206"/>
      <c r="AD171" s="206"/>
      <c r="AE171" s="206"/>
      <c r="AF171" s="206"/>
      <c r="AG171" s="206"/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7"/>
      <c r="AR171" s="206"/>
      <c r="AS171" s="206"/>
      <c r="AT171" s="206"/>
      <c r="AU171" s="206"/>
      <c r="AV171" s="206"/>
      <c r="AW171" s="207"/>
      <c r="AX171" s="207"/>
      <c r="AY171" s="207"/>
      <c r="AZ171" s="207"/>
    </row>
    <row r="172" spans="1:52" ht="24" customHeight="1" x14ac:dyDescent="0.2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7"/>
      <c r="N172" s="207"/>
      <c r="O172" s="208"/>
      <c r="P172" s="208"/>
      <c r="Q172" s="208"/>
      <c r="R172" s="206"/>
      <c r="S172" s="206"/>
      <c r="T172" s="206"/>
      <c r="U172" s="206"/>
      <c r="V172" s="206"/>
      <c r="W172" s="206"/>
      <c r="X172" s="207"/>
      <c r="Y172" s="207"/>
      <c r="Z172" s="207"/>
      <c r="AA172" s="206"/>
      <c r="AB172" s="206"/>
      <c r="AC172" s="206"/>
      <c r="AD172" s="206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7"/>
      <c r="AR172" s="206"/>
      <c r="AS172" s="206"/>
      <c r="AT172" s="206"/>
      <c r="AU172" s="206"/>
      <c r="AV172" s="206"/>
      <c r="AW172" s="207"/>
      <c r="AX172" s="207"/>
      <c r="AY172" s="207"/>
      <c r="AZ172" s="207"/>
    </row>
    <row r="173" spans="1:52" ht="24" customHeight="1" x14ac:dyDescent="0.2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7"/>
      <c r="N173" s="207"/>
      <c r="O173" s="208"/>
      <c r="P173" s="208"/>
      <c r="Q173" s="208"/>
      <c r="R173" s="206"/>
      <c r="S173" s="206"/>
      <c r="T173" s="206"/>
      <c r="U173" s="206"/>
      <c r="V173" s="206"/>
      <c r="W173" s="206"/>
      <c r="X173" s="207"/>
      <c r="Y173" s="207"/>
      <c r="Z173" s="207"/>
      <c r="AA173" s="206"/>
      <c r="AB173" s="206"/>
      <c r="AC173" s="206"/>
      <c r="AD173" s="206"/>
      <c r="AE173" s="206"/>
      <c r="AF173" s="206"/>
      <c r="AG173" s="206"/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7"/>
      <c r="AR173" s="206"/>
      <c r="AS173" s="206"/>
      <c r="AT173" s="206"/>
      <c r="AU173" s="206"/>
      <c r="AV173" s="206"/>
      <c r="AW173" s="207"/>
      <c r="AX173" s="207"/>
      <c r="AY173" s="207"/>
      <c r="AZ173" s="207"/>
    </row>
    <row r="174" spans="1:52" ht="24" customHeight="1" x14ac:dyDescent="0.2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7"/>
      <c r="N174" s="207"/>
      <c r="O174" s="208"/>
      <c r="P174" s="208"/>
      <c r="Q174" s="208"/>
      <c r="R174" s="206"/>
      <c r="S174" s="206"/>
      <c r="T174" s="206"/>
      <c r="U174" s="206"/>
      <c r="V174" s="206"/>
      <c r="W174" s="206"/>
      <c r="X174" s="207"/>
      <c r="Y174" s="207"/>
      <c r="Z174" s="207"/>
      <c r="AA174" s="206"/>
      <c r="AB174" s="206"/>
      <c r="AC174" s="206"/>
      <c r="AD174" s="206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7"/>
      <c r="AR174" s="206"/>
      <c r="AS174" s="206"/>
      <c r="AT174" s="206"/>
      <c r="AU174" s="206"/>
      <c r="AV174" s="206"/>
      <c r="AW174" s="207"/>
      <c r="AX174" s="207"/>
      <c r="AY174" s="207"/>
      <c r="AZ174" s="207"/>
    </row>
    <row r="175" spans="1:52" ht="24" customHeight="1" x14ac:dyDescent="0.2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7"/>
      <c r="N175" s="207"/>
      <c r="O175" s="208"/>
      <c r="P175" s="208"/>
      <c r="Q175" s="208"/>
      <c r="R175" s="206"/>
      <c r="S175" s="206"/>
      <c r="T175" s="206"/>
      <c r="U175" s="206"/>
      <c r="V175" s="206"/>
      <c r="W175" s="206"/>
      <c r="X175" s="207"/>
      <c r="Y175" s="207"/>
      <c r="Z175" s="207"/>
      <c r="AA175" s="206"/>
      <c r="AB175" s="206"/>
      <c r="AC175" s="206"/>
      <c r="AD175" s="206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7"/>
      <c r="AR175" s="206"/>
      <c r="AS175" s="206"/>
      <c r="AT175" s="206"/>
      <c r="AU175" s="206"/>
      <c r="AV175" s="206"/>
      <c r="AW175" s="207"/>
      <c r="AX175" s="207"/>
      <c r="AY175" s="207"/>
      <c r="AZ175" s="207"/>
    </row>
    <row r="176" spans="1:52" ht="24" customHeight="1" x14ac:dyDescent="0.2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7"/>
      <c r="N176" s="207"/>
      <c r="O176" s="208"/>
      <c r="P176" s="208"/>
      <c r="Q176" s="208"/>
      <c r="R176" s="206"/>
      <c r="S176" s="206"/>
      <c r="T176" s="206"/>
      <c r="U176" s="206"/>
      <c r="V176" s="206"/>
      <c r="W176" s="206"/>
      <c r="X176" s="207"/>
      <c r="Y176" s="207"/>
      <c r="Z176" s="207"/>
      <c r="AA176" s="206"/>
      <c r="AB176" s="206"/>
      <c r="AC176" s="206"/>
      <c r="AD176" s="206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7"/>
      <c r="AR176" s="206"/>
      <c r="AS176" s="206"/>
      <c r="AT176" s="206"/>
      <c r="AU176" s="206"/>
      <c r="AV176" s="206"/>
      <c r="AW176" s="207"/>
      <c r="AX176" s="207"/>
      <c r="AY176" s="207"/>
      <c r="AZ176" s="207"/>
    </row>
    <row r="177" spans="1:52" ht="24" customHeight="1" x14ac:dyDescent="0.2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7"/>
      <c r="N177" s="207"/>
      <c r="O177" s="208"/>
      <c r="P177" s="208"/>
      <c r="Q177" s="208"/>
      <c r="R177" s="206"/>
      <c r="S177" s="206"/>
      <c r="T177" s="206"/>
      <c r="U177" s="206"/>
      <c r="V177" s="206"/>
      <c r="W177" s="206"/>
      <c r="X177" s="207"/>
      <c r="Y177" s="207"/>
      <c r="Z177" s="207"/>
      <c r="AA177" s="206"/>
      <c r="AB177" s="206"/>
      <c r="AC177" s="206"/>
      <c r="AD177" s="206"/>
      <c r="AE177" s="206"/>
      <c r="AF177" s="206"/>
      <c r="AG177" s="206"/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7"/>
      <c r="AR177" s="206"/>
      <c r="AS177" s="206"/>
      <c r="AT177" s="206"/>
      <c r="AU177" s="206"/>
      <c r="AV177" s="206"/>
      <c r="AW177" s="207"/>
      <c r="AX177" s="207"/>
      <c r="AY177" s="207"/>
      <c r="AZ177" s="207"/>
    </row>
    <row r="178" spans="1:52" ht="24" customHeight="1" x14ac:dyDescent="0.2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7"/>
      <c r="N178" s="207"/>
      <c r="O178" s="208"/>
      <c r="P178" s="208"/>
      <c r="Q178" s="208"/>
      <c r="R178" s="206"/>
      <c r="S178" s="206"/>
      <c r="T178" s="206"/>
      <c r="U178" s="206"/>
      <c r="V178" s="206"/>
      <c r="W178" s="206"/>
      <c r="X178" s="207"/>
      <c r="Y178" s="207"/>
      <c r="Z178" s="207"/>
      <c r="AA178" s="206"/>
      <c r="AB178" s="206"/>
      <c r="AC178" s="206"/>
      <c r="AD178" s="206"/>
      <c r="AE178" s="206"/>
      <c r="AF178" s="206"/>
      <c r="AG178" s="206"/>
      <c r="AH178" s="206"/>
      <c r="AI178" s="206"/>
      <c r="AJ178" s="206"/>
      <c r="AK178" s="206"/>
      <c r="AL178" s="206"/>
      <c r="AM178" s="206"/>
      <c r="AN178" s="206"/>
      <c r="AO178" s="206"/>
      <c r="AP178" s="206"/>
      <c r="AQ178" s="207"/>
      <c r="AR178" s="206"/>
      <c r="AS178" s="206"/>
      <c r="AT178" s="206"/>
      <c r="AU178" s="206"/>
      <c r="AV178" s="206"/>
      <c r="AW178" s="207"/>
      <c r="AX178" s="207"/>
      <c r="AY178" s="207"/>
      <c r="AZ178" s="207"/>
    </row>
    <row r="179" spans="1:52" ht="24" customHeight="1" x14ac:dyDescent="0.2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7"/>
      <c r="N179" s="207"/>
      <c r="O179" s="208"/>
      <c r="P179" s="208"/>
      <c r="Q179" s="208"/>
      <c r="R179" s="206"/>
      <c r="S179" s="206"/>
      <c r="T179" s="206"/>
      <c r="U179" s="206"/>
      <c r="V179" s="206"/>
      <c r="W179" s="206"/>
      <c r="X179" s="207"/>
      <c r="Y179" s="207"/>
      <c r="Z179" s="207"/>
      <c r="AA179" s="206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7"/>
      <c r="AR179" s="206"/>
      <c r="AS179" s="206"/>
      <c r="AT179" s="206"/>
      <c r="AU179" s="206"/>
      <c r="AV179" s="206"/>
      <c r="AW179" s="207"/>
      <c r="AX179" s="207"/>
      <c r="AY179" s="207"/>
      <c r="AZ179" s="207"/>
    </row>
    <row r="180" spans="1:52" ht="24" customHeight="1" x14ac:dyDescent="0.2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7"/>
      <c r="N180" s="207"/>
      <c r="O180" s="208"/>
      <c r="P180" s="208"/>
      <c r="Q180" s="208"/>
      <c r="R180" s="206"/>
      <c r="S180" s="206"/>
      <c r="T180" s="206"/>
      <c r="U180" s="206"/>
      <c r="V180" s="206"/>
      <c r="W180" s="206"/>
      <c r="X180" s="207"/>
      <c r="Y180" s="207"/>
      <c r="Z180" s="207"/>
      <c r="AA180" s="206"/>
      <c r="AB180" s="206"/>
      <c r="AC180" s="206"/>
      <c r="AD180" s="206"/>
      <c r="AE180" s="206"/>
      <c r="AF180" s="206"/>
      <c r="AG180" s="206"/>
      <c r="AH180" s="206"/>
      <c r="AI180" s="206"/>
      <c r="AJ180" s="206"/>
      <c r="AK180" s="206"/>
      <c r="AL180" s="206"/>
      <c r="AM180" s="206"/>
      <c r="AN180" s="206"/>
      <c r="AO180" s="206"/>
      <c r="AP180" s="206"/>
      <c r="AQ180" s="207"/>
      <c r="AR180" s="206"/>
      <c r="AS180" s="206"/>
      <c r="AT180" s="206"/>
      <c r="AU180" s="206"/>
      <c r="AV180" s="206"/>
      <c r="AW180" s="207"/>
      <c r="AX180" s="207"/>
      <c r="AY180" s="207"/>
      <c r="AZ180" s="207"/>
    </row>
    <row r="181" spans="1:52" ht="24" customHeight="1" x14ac:dyDescent="0.2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7"/>
      <c r="N181" s="207"/>
      <c r="O181" s="208"/>
      <c r="P181" s="208"/>
      <c r="Q181" s="208"/>
      <c r="R181" s="206"/>
      <c r="S181" s="206"/>
      <c r="T181" s="206"/>
      <c r="U181" s="206"/>
      <c r="V181" s="206"/>
      <c r="W181" s="206"/>
      <c r="X181" s="207"/>
      <c r="Y181" s="207"/>
      <c r="Z181" s="207"/>
      <c r="AA181" s="206"/>
      <c r="AB181" s="206"/>
      <c r="AC181" s="206"/>
      <c r="AD181" s="206"/>
      <c r="AE181" s="206"/>
      <c r="AF181" s="206"/>
      <c r="AG181" s="206"/>
      <c r="AH181" s="206"/>
      <c r="AI181" s="206"/>
      <c r="AJ181" s="206"/>
      <c r="AK181" s="206"/>
      <c r="AL181" s="206"/>
      <c r="AM181" s="206"/>
      <c r="AN181" s="206"/>
      <c r="AO181" s="206"/>
      <c r="AP181" s="206"/>
      <c r="AQ181" s="207"/>
      <c r="AR181" s="206"/>
      <c r="AS181" s="206"/>
      <c r="AT181" s="206"/>
      <c r="AU181" s="206"/>
      <c r="AV181" s="206"/>
      <c r="AW181" s="207"/>
      <c r="AX181" s="207"/>
      <c r="AY181" s="207"/>
      <c r="AZ181" s="207"/>
    </row>
    <row r="182" spans="1:52" ht="24" customHeight="1" x14ac:dyDescent="0.2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7"/>
      <c r="N182" s="207"/>
      <c r="O182" s="208"/>
      <c r="P182" s="208"/>
      <c r="Q182" s="208"/>
      <c r="R182" s="206"/>
      <c r="S182" s="206"/>
      <c r="T182" s="206"/>
      <c r="U182" s="206"/>
      <c r="V182" s="206"/>
      <c r="W182" s="206"/>
      <c r="X182" s="207"/>
      <c r="Y182" s="207"/>
      <c r="Z182" s="207"/>
      <c r="AA182" s="206"/>
      <c r="AB182" s="206"/>
      <c r="AC182" s="206"/>
      <c r="AD182" s="206"/>
      <c r="AE182" s="206"/>
      <c r="AF182" s="206"/>
      <c r="AG182" s="206"/>
      <c r="AH182" s="206"/>
      <c r="AI182" s="206"/>
      <c r="AJ182" s="206"/>
      <c r="AK182" s="206"/>
      <c r="AL182" s="206"/>
      <c r="AM182" s="206"/>
      <c r="AN182" s="206"/>
      <c r="AO182" s="206"/>
      <c r="AP182" s="206"/>
      <c r="AQ182" s="207"/>
      <c r="AR182" s="206"/>
      <c r="AS182" s="206"/>
      <c r="AT182" s="206"/>
      <c r="AU182" s="206"/>
      <c r="AV182" s="206"/>
      <c r="AW182" s="207"/>
      <c r="AX182" s="207"/>
      <c r="AY182" s="207"/>
      <c r="AZ182" s="207"/>
    </row>
    <row r="183" spans="1:52" ht="24" customHeight="1" x14ac:dyDescent="0.2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7"/>
      <c r="N183" s="207"/>
      <c r="O183" s="208"/>
      <c r="P183" s="208"/>
      <c r="Q183" s="208"/>
      <c r="R183" s="206"/>
      <c r="S183" s="206"/>
      <c r="T183" s="206"/>
      <c r="U183" s="206"/>
      <c r="V183" s="206"/>
      <c r="W183" s="206"/>
      <c r="X183" s="207"/>
      <c r="Y183" s="207"/>
      <c r="Z183" s="207"/>
      <c r="AA183" s="206"/>
      <c r="AB183" s="206"/>
      <c r="AC183" s="206"/>
      <c r="AD183" s="206"/>
      <c r="AE183" s="206"/>
      <c r="AF183" s="206"/>
      <c r="AG183" s="206"/>
      <c r="AH183" s="206"/>
      <c r="AI183" s="206"/>
      <c r="AJ183" s="206"/>
      <c r="AK183" s="206"/>
      <c r="AL183" s="206"/>
      <c r="AM183" s="206"/>
      <c r="AN183" s="206"/>
      <c r="AO183" s="206"/>
      <c r="AP183" s="206"/>
      <c r="AQ183" s="207"/>
      <c r="AR183" s="206"/>
      <c r="AS183" s="206"/>
      <c r="AT183" s="206"/>
      <c r="AU183" s="206"/>
      <c r="AV183" s="206"/>
      <c r="AW183" s="207"/>
      <c r="AX183" s="207"/>
      <c r="AY183" s="207"/>
      <c r="AZ183" s="207"/>
    </row>
    <row r="184" spans="1:52" ht="24" customHeight="1" x14ac:dyDescent="0.2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7"/>
      <c r="N184" s="207"/>
      <c r="O184" s="208"/>
      <c r="P184" s="208"/>
      <c r="Q184" s="208"/>
      <c r="R184" s="206"/>
      <c r="S184" s="206"/>
      <c r="T184" s="206"/>
      <c r="U184" s="206"/>
      <c r="V184" s="206"/>
      <c r="W184" s="206"/>
      <c r="X184" s="207"/>
      <c r="Y184" s="207"/>
      <c r="Z184" s="207"/>
      <c r="AA184" s="206"/>
      <c r="AB184" s="206"/>
      <c r="AC184" s="206"/>
      <c r="AD184" s="206"/>
      <c r="AE184" s="206"/>
      <c r="AF184" s="206"/>
      <c r="AG184" s="206"/>
      <c r="AH184" s="206"/>
      <c r="AI184" s="206"/>
      <c r="AJ184" s="206"/>
      <c r="AK184" s="206"/>
      <c r="AL184" s="206"/>
      <c r="AM184" s="206"/>
      <c r="AN184" s="206"/>
      <c r="AO184" s="206"/>
      <c r="AP184" s="206"/>
      <c r="AQ184" s="207"/>
      <c r="AR184" s="206"/>
      <c r="AS184" s="206"/>
      <c r="AT184" s="206"/>
      <c r="AU184" s="206"/>
      <c r="AV184" s="206"/>
      <c r="AW184" s="207"/>
      <c r="AX184" s="207"/>
      <c r="AY184" s="207"/>
      <c r="AZ184" s="207"/>
    </row>
    <row r="185" spans="1:52" ht="24" customHeight="1" x14ac:dyDescent="0.2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7"/>
      <c r="N185" s="207"/>
      <c r="O185" s="208"/>
      <c r="P185" s="208"/>
      <c r="Q185" s="208"/>
      <c r="R185" s="206"/>
      <c r="S185" s="206"/>
      <c r="T185" s="206"/>
      <c r="U185" s="206"/>
      <c r="V185" s="206"/>
      <c r="W185" s="206"/>
      <c r="X185" s="207"/>
      <c r="Y185" s="207"/>
      <c r="Z185" s="207"/>
      <c r="AA185" s="206"/>
      <c r="AB185" s="206"/>
      <c r="AC185" s="206"/>
      <c r="AD185" s="206"/>
      <c r="AE185" s="206"/>
      <c r="AF185" s="206"/>
      <c r="AG185" s="206"/>
      <c r="AH185" s="206"/>
      <c r="AI185" s="206"/>
      <c r="AJ185" s="206"/>
      <c r="AK185" s="206"/>
      <c r="AL185" s="206"/>
      <c r="AM185" s="206"/>
      <c r="AN185" s="206"/>
      <c r="AO185" s="206"/>
      <c r="AP185" s="206"/>
      <c r="AQ185" s="207"/>
      <c r="AR185" s="206"/>
      <c r="AS185" s="206"/>
      <c r="AT185" s="206"/>
      <c r="AU185" s="206"/>
      <c r="AV185" s="206"/>
      <c r="AW185" s="207"/>
      <c r="AX185" s="207"/>
      <c r="AY185" s="207"/>
      <c r="AZ185" s="207"/>
    </row>
    <row r="186" spans="1:52" ht="24" customHeight="1" x14ac:dyDescent="0.2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7"/>
      <c r="N186" s="207"/>
      <c r="O186" s="208"/>
      <c r="P186" s="208"/>
      <c r="Q186" s="208"/>
      <c r="R186" s="206"/>
      <c r="S186" s="206"/>
      <c r="T186" s="206"/>
      <c r="U186" s="206"/>
      <c r="V186" s="206"/>
      <c r="W186" s="206"/>
      <c r="X186" s="207"/>
      <c r="Y186" s="207"/>
      <c r="Z186" s="207"/>
      <c r="AA186" s="206"/>
      <c r="AB186" s="206"/>
      <c r="AC186" s="206"/>
      <c r="AD186" s="206"/>
      <c r="AE186" s="206"/>
      <c r="AF186" s="206"/>
      <c r="AG186" s="206"/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7"/>
      <c r="AR186" s="206"/>
      <c r="AS186" s="206"/>
      <c r="AT186" s="206"/>
      <c r="AU186" s="206"/>
      <c r="AV186" s="206"/>
      <c r="AW186" s="207"/>
      <c r="AX186" s="207"/>
      <c r="AY186" s="207"/>
      <c r="AZ186" s="207"/>
    </row>
    <row r="187" spans="1:52" ht="24" customHeight="1" x14ac:dyDescent="0.2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7"/>
      <c r="N187" s="207"/>
      <c r="O187" s="208"/>
      <c r="P187" s="208"/>
      <c r="Q187" s="208"/>
      <c r="R187" s="206"/>
      <c r="S187" s="206"/>
      <c r="T187" s="206"/>
      <c r="U187" s="206"/>
      <c r="V187" s="206"/>
      <c r="W187" s="206"/>
      <c r="X187" s="207"/>
      <c r="Y187" s="207"/>
      <c r="Z187" s="207"/>
      <c r="AA187" s="206"/>
      <c r="AB187" s="206"/>
      <c r="AC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7"/>
      <c r="AR187" s="206"/>
      <c r="AS187" s="206"/>
      <c r="AT187" s="206"/>
      <c r="AU187" s="206"/>
      <c r="AV187" s="206"/>
      <c r="AW187" s="207"/>
      <c r="AX187" s="207"/>
      <c r="AY187" s="207"/>
      <c r="AZ187" s="207"/>
    </row>
    <row r="188" spans="1:52" ht="24" customHeight="1" x14ac:dyDescent="0.2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7"/>
      <c r="N188" s="207"/>
      <c r="O188" s="208"/>
      <c r="P188" s="208"/>
      <c r="Q188" s="208"/>
      <c r="R188" s="206"/>
      <c r="S188" s="206"/>
      <c r="T188" s="206"/>
      <c r="U188" s="206"/>
      <c r="V188" s="206"/>
      <c r="W188" s="206"/>
      <c r="X188" s="207"/>
      <c r="Y188" s="207"/>
      <c r="Z188" s="207"/>
      <c r="AA188" s="206"/>
      <c r="AB188" s="206"/>
      <c r="AC188" s="206"/>
      <c r="AD188" s="206"/>
      <c r="AE188" s="206"/>
      <c r="AF188" s="206"/>
      <c r="AG188" s="206"/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7"/>
      <c r="AR188" s="206"/>
      <c r="AS188" s="206"/>
      <c r="AT188" s="206"/>
      <c r="AU188" s="206"/>
      <c r="AV188" s="206"/>
      <c r="AW188" s="207"/>
      <c r="AX188" s="207"/>
      <c r="AY188" s="207"/>
      <c r="AZ188" s="207"/>
    </row>
    <row r="189" spans="1:52" ht="24" customHeight="1" x14ac:dyDescent="0.2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7"/>
      <c r="N189" s="207"/>
      <c r="O189" s="208"/>
      <c r="P189" s="208"/>
      <c r="Q189" s="208"/>
      <c r="R189" s="206"/>
      <c r="S189" s="206"/>
      <c r="T189" s="206"/>
      <c r="U189" s="206"/>
      <c r="V189" s="206"/>
      <c r="W189" s="206"/>
      <c r="X189" s="207"/>
      <c r="Y189" s="207"/>
      <c r="Z189" s="207"/>
      <c r="AA189" s="206"/>
      <c r="AB189" s="206"/>
      <c r="AC189" s="206"/>
      <c r="AD189" s="206"/>
      <c r="AE189" s="206"/>
      <c r="AF189" s="206"/>
      <c r="AG189" s="206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7"/>
      <c r="AR189" s="206"/>
      <c r="AS189" s="206"/>
      <c r="AT189" s="206"/>
      <c r="AU189" s="206"/>
      <c r="AV189" s="206"/>
      <c r="AW189" s="207"/>
      <c r="AX189" s="207"/>
      <c r="AY189" s="207"/>
      <c r="AZ189" s="207"/>
    </row>
    <row r="190" spans="1:52" ht="24" customHeight="1" x14ac:dyDescent="0.2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7"/>
      <c r="N190" s="207"/>
      <c r="O190" s="208"/>
      <c r="P190" s="208"/>
      <c r="Q190" s="208"/>
      <c r="R190" s="206"/>
      <c r="S190" s="206"/>
      <c r="T190" s="206"/>
      <c r="U190" s="206"/>
      <c r="V190" s="206"/>
      <c r="W190" s="206"/>
      <c r="X190" s="207"/>
      <c r="Y190" s="207"/>
      <c r="Z190" s="207"/>
      <c r="AA190" s="206"/>
      <c r="AB190" s="206"/>
      <c r="AC190" s="206"/>
      <c r="AD190" s="206"/>
      <c r="AE190" s="206"/>
      <c r="AF190" s="206"/>
      <c r="AG190" s="206"/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7"/>
      <c r="AR190" s="206"/>
      <c r="AS190" s="206"/>
      <c r="AT190" s="206"/>
      <c r="AU190" s="206"/>
      <c r="AV190" s="206"/>
      <c r="AW190" s="207"/>
      <c r="AX190" s="207"/>
      <c r="AY190" s="207"/>
      <c r="AZ190" s="207"/>
    </row>
    <row r="191" spans="1:52" ht="24" customHeight="1" x14ac:dyDescent="0.2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7"/>
      <c r="N191" s="207"/>
      <c r="O191" s="208"/>
      <c r="P191" s="208"/>
      <c r="Q191" s="208"/>
      <c r="R191" s="206"/>
      <c r="S191" s="206"/>
      <c r="T191" s="206"/>
      <c r="U191" s="206"/>
      <c r="V191" s="206"/>
      <c r="W191" s="206"/>
      <c r="X191" s="207"/>
      <c r="Y191" s="207"/>
      <c r="Z191" s="207"/>
      <c r="AA191" s="206"/>
      <c r="AB191" s="206"/>
      <c r="AC191" s="206"/>
      <c r="AD191" s="206"/>
      <c r="AE191" s="206"/>
      <c r="AF191" s="206"/>
      <c r="AG191" s="206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7"/>
      <c r="AR191" s="206"/>
      <c r="AS191" s="206"/>
      <c r="AT191" s="206"/>
      <c r="AU191" s="206"/>
      <c r="AV191" s="206"/>
      <c r="AW191" s="207"/>
      <c r="AX191" s="207"/>
      <c r="AY191" s="207"/>
      <c r="AZ191" s="207"/>
    </row>
    <row r="192" spans="1:52" ht="24" customHeight="1" x14ac:dyDescent="0.2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7"/>
      <c r="N192" s="207"/>
      <c r="O192" s="208"/>
      <c r="P192" s="208"/>
      <c r="Q192" s="208"/>
      <c r="R192" s="206"/>
      <c r="S192" s="206"/>
      <c r="T192" s="206"/>
      <c r="U192" s="206"/>
      <c r="V192" s="206"/>
      <c r="W192" s="206"/>
      <c r="X192" s="207"/>
      <c r="Y192" s="207"/>
      <c r="Z192" s="207"/>
      <c r="AA192" s="206"/>
      <c r="AB192" s="206"/>
      <c r="AC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7"/>
      <c r="AR192" s="206"/>
      <c r="AS192" s="206"/>
      <c r="AT192" s="206"/>
      <c r="AU192" s="206"/>
      <c r="AV192" s="206"/>
      <c r="AW192" s="207"/>
      <c r="AX192" s="207"/>
      <c r="AY192" s="207"/>
      <c r="AZ192" s="207"/>
    </row>
    <row r="193" spans="1:52" ht="24" customHeight="1" x14ac:dyDescent="0.2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7"/>
      <c r="N193" s="207"/>
      <c r="O193" s="208"/>
      <c r="P193" s="208"/>
      <c r="Q193" s="208"/>
      <c r="R193" s="206"/>
      <c r="S193" s="206"/>
      <c r="T193" s="206"/>
      <c r="U193" s="206"/>
      <c r="V193" s="206"/>
      <c r="W193" s="206"/>
      <c r="X193" s="207"/>
      <c r="Y193" s="207"/>
      <c r="Z193" s="207"/>
      <c r="AA193" s="206"/>
      <c r="AB193" s="206"/>
      <c r="AC193" s="206"/>
      <c r="AD193" s="206"/>
      <c r="AE193" s="206"/>
      <c r="AF193" s="206"/>
      <c r="AG193" s="206"/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7"/>
      <c r="AR193" s="206"/>
      <c r="AS193" s="206"/>
      <c r="AT193" s="206"/>
      <c r="AU193" s="206"/>
      <c r="AV193" s="206"/>
      <c r="AW193" s="207"/>
      <c r="AX193" s="207"/>
      <c r="AY193" s="207"/>
      <c r="AZ193" s="207"/>
    </row>
    <row r="194" spans="1:52" ht="24" customHeight="1" x14ac:dyDescent="0.2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7"/>
      <c r="N194" s="207"/>
      <c r="O194" s="208"/>
      <c r="P194" s="208"/>
      <c r="Q194" s="208"/>
      <c r="R194" s="206"/>
      <c r="S194" s="206"/>
      <c r="T194" s="206"/>
      <c r="U194" s="206"/>
      <c r="V194" s="206"/>
      <c r="W194" s="206"/>
      <c r="X194" s="207"/>
      <c r="Y194" s="207"/>
      <c r="Z194" s="207"/>
      <c r="AA194" s="206"/>
      <c r="AB194" s="206"/>
      <c r="AC194" s="206"/>
      <c r="AD194" s="206"/>
      <c r="AE194" s="206"/>
      <c r="AF194" s="206"/>
      <c r="AG194" s="206"/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7"/>
      <c r="AR194" s="206"/>
      <c r="AS194" s="206"/>
      <c r="AT194" s="206"/>
      <c r="AU194" s="206"/>
      <c r="AV194" s="206"/>
      <c r="AW194" s="207"/>
      <c r="AX194" s="207"/>
      <c r="AY194" s="207"/>
      <c r="AZ194" s="207"/>
    </row>
    <row r="195" spans="1:52" ht="24" customHeight="1" x14ac:dyDescent="0.2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7"/>
      <c r="N195" s="207"/>
      <c r="O195" s="208"/>
      <c r="P195" s="208"/>
      <c r="Q195" s="208"/>
      <c r="R195" s="206"/>
      <c r="S195" s="206"/>
      <c r="T195" s="206"/>
      <c r="U195" s="206"/>
      <c r="V195" s="206"/>
      <c r="W195" s="206"/>
      <c r="X195" s="207"/>
      <c r="Y195" s="207"/>
      <c r="Z195" s="207"/>
      <c r="AA195" s="206"/>
      <c r="AB195" s="206"/>
      <c r="AC195" s="206"/>
      <c r="AD195" s="206"/>
      <c r="AE195" s="206"/>
      <c r="AF195" s="206"/>
      <c r="AG195" s="206"/>
      <c r="AH195" s="206"/>
      <c r="AI195" s="206"/>
      <c r="AJ195" s="206"/>
      <c r="AK195" s="206"/>
      <c r="AL195" s="206"/>
      <c r="AM195" s="206"/>
      <c r="AN195" s="206"/>
      <c r="AO195" s="206"/>
      <c r="AP195" s="206"/>
      <c r="AQ195" s="207"/>
      <c r="AR195" s="206"/>
      <c r="AS195" s="206"/>
      <c r="AT195" s="206"/>
      <c r="AU195" s="206"/>
      <c r="AV195" s="206"/>
      <c r="AW195" s="207"/>
      <c r="AX195" s="207"/>
      <c r="AY195" s="207"/>
      <c r="AZ195" s="207"/>
    </row>
    <row r="196" spans="1:52" ht="24" customHeight="1" x14ac:dyDescent="0.2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7"/>
      <c r="N196" s="207"/>
      <c r="O196" s="208"/>
      <c r="P196" s="208"/>
      <c r="Q196" s="208"/>
      <c r="R196" s="206"/>
      <c r="S196" s="206"/>
      <c r="T196" s="206"/>
      <c r="U196" s="206"/>
      <c r="V196" s="206"/>
      <c r="W196" s="206"/>
      <c r="X196" s="207"/>
      <c r="Y196" s="207"/>
      <c r="Z196" s="207"/>
      <c r="AA196" s="206"/>
      <c r="AB196" s="206"/>
      <c r="AC196" s="206"/>
      <c r="AD196" s="206"/>
      <c r="AE196" s="206"/>
      <c r="AF196" s="206"/>
      <c r="AG196" s="206"/>
      <c r="AH196" s="206"/>
      <c r="AI196" s="206"/>
      <c r="AJ196" s="206"/>
      <c r="AK196" s="206"/>
      <c r="AL196" s="206"/>
      <c r="AM196" s="206"/>
      <c r="AN196" s="206"/>
      <c r="AO196" s="206"/>
      <c r="AP196" s="206"/>
      <c r="AQ196" s="207"/>
      <c r="AR196" s="206"/>
      <c r="AS196" s="206"/>
      <c r="AT196" s="206"/>
      <c r="AU196" s="206"/>
      <c r="AV196" s="206"/>
      <c r="AW196" s="207"/>
      <c r="AX196" s="207"/>
      <c r="AY196" s="207"/>
      <c r="AZ196" s="207"/>
    </row>
    <row r="197" spans="1:52" ht="24" customHeight="1" x14ac:dyDescent="0.2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7"/>
      <c r="N197" s="207"/>
      <c r="O197" s="208"/>
      <c r="P197" s="208"/>
      <c r="Q197" s="208"/>
      <c r="R197" s="206"/>
      <c r="S197" s="206"/>
      <c r="T197" s="206"/>
      <c r="U197" s="206"/>
      <c r="V197" s="206"/>
      <c r="W197" s="206"/>
      <c r="X197" s="207"/>
      <c r="Y197" s="207"/>
      <c r="Z197" s="207"/>
      <c r="AA197" s="206"/>
      <c r="AB197" s="206"/>
      <c r="AC197" s="206"/>
      <c r="AD197" s="206"/>
      <c r="AE197" s="206"/>
      <c r="AF197" s="206"/>
      <c r="AG197" s="206"/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7"/>
      <c r="AR197" s="206"/>
      <c r="AS197" s="206"/>
      <c r="AT197" s="206"/>
      <c r="AU197" s="206"/>
      <c r="AV197" s="206"/>
      <c r="AW197" s="207"/>
      <c r="AX197" s="207"/>
      <c r="AY197" s="207"/>
      <c r="AZ197" s="207"/>
    </row>
    <row r="198" spans="1:52" ht="24" customHeight="1" x14ac:dyDescent="0.2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7"/>
      <c r="N198" s="207"/>
      <c r="O198" s="208"/>
      <c r="P198" s="208"/>
      <c r="Q198" s="208"/>
      <c r="R198" s="206"/>
      <c r="S198" s="206"/>
      <c r="T198" s="206"/>
      <c r="U198" s="206"/>
      <c r="V198" s="206"/>
      <c r="W198" s="206"/>
      <c r="X198" s="207"/>
      <c r="Y198" s="207"/>
      <c r="Z198" s="207"/>
      <c r="AA198" s="206"/>
      <c r="AB198" s="206"/>
      <c r="AC198" s="206"/>
      <c r="AD198" s="206"/>
      <c r="AE198" s="206"/>
      <c r="AF198" s="206"/>
      <c r="AG198" s="206"/>
      <c r="AH198" s="206"/>
      <c r="AI198" s="206"/>
      <c r="AJ198" s="206"/>
      <c r="AK198" s="206"/>
      <c r="AL198" s="206"/>
      <c r="AM198" s="206"/>
      <c r="AN198" s="206"/>
      <c r="AO198" s="206"/>
      <c r="AP198" s="206"/>
      <c r="AQ198" s="207"/>
      <c r="AR198" s="206"/>
      <c r="AS198" s="206"/>
      <c r="AT198" s="206"/>
      <c r="AU198" s="206"/>
      <c r="AV198" s="206"/>
      <c r="AW198" s="207"/>
      <c r="AX198" s="207"/>
      <c r="AY198" s="207"/>
      <c r="AZ198" s="207"/>
    </row>
    <row r="199" spans="1:52" ht="24" customHeight="1" x14ac:dyDescent="0.2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7"/>
      <c r="N199" s="207"/>
      <c r="O199" s="208"/>
      <c r="P199" s="208"/>
      <c r="Q199" s="208"/>
      <c r="R199" s="206"/>
      <c r="S199" s="206"/>
      <c r="T199" s="206"/>
      <c r="U199" s="206"/>
      <c r="V199" s="206"/>
      <c r="W199" s="206"/>
      <c r="X199" s="207"/>
      <c r="Y199" s="207"/>
      <c r="Z199" s="207"/>
      <c r="AA199" s="206"/>
      <c r="AB199" s="206"/>
      <c r="AC199" s="206"/>
      <c r="AD199" s="206"/>
      <c r="AE199" s="206"/>
      <c r="AF199" s="206"/>
      <c r="AG199" s="206"/>
      <c r="AH199" s="206"/>
      <c r="AI199" s="206"/>
      <c r="AJ199" s="206"/>
      <c r="AK199" s="206"/>
      <c r="AL199" s="206"/>
      <c r="AM199" s="206"/>
      <c r="AN199" s="206"/>
      <c r="AO199" s="206"/>
      <c r="AP199" s="206"/>
      <c r="AQ199" s="207"/>
      <c r="AR199" s="206"/>
      <c r="AS199" s="206"/>
      <c r="AT199" s="206"/>
      <c r="AU199" s="206"/>
      <c r="AV199" s="206"/>
      <c r="AW199" s="207"/>
      <c r="AX199" s="207"/>
      <c r="AY199" s="207"/>
      <c r="AZ199" s="207"/>
    </row>
    <row r="200" spans="1:52" ht="24" customHeight="1" x14ac:dyDescent="0.2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7"/>
      <c r="N200" s="207"/>
      <c r="O200" s="208"/>
      <c r="P200" s="208"/>
      <c r="Q200" s="208"/>
      <c r="R200" s="206"/>
      <c r="S200" s="206"/>
      <c r="T200" s="206"/>
      <c r="U200" s="206"/>
      <c r="V200" s="206"/>
      <c r="W200" s="206"/>
      <c r="X200" s="207"/>
      <c r="Y200" s="207"/>
      <c r="Z200" s="207"/>
      <c r="AA200" s="206"/>
      <c r="AB200" s="206"/>
      <c r="AC200" s="206"/>
      <c r="AD200" s="206"/>
      <c r="AE200" s="206"/>
      <c r="AF200" s="206"/>
      <c r="AG200" s="206"/>
      <c r="AH200" s="206"/>
      <c r="AI200" s="206"/>
      <c r="AJ200" s="206"/>
      <c r="AK200" s="206"/>
      <c r="AL200" s="206"/>
      <c r="AM200" s="206"/>
      <c r="AN200" s="206"/>
      <c r="AO200" s="206"/>
      <c r="AP200" s="206"/>
      <c r="AQ200" s="207"/>
      <c r="AR200" s="206"/>
      <c r="AS200" s="206"/>
      <c r="AT200" s="206"/>
      <c r="AU200" s="206"/>
      <c r="AV200" s="206"/>
      <c r="AW200" s="207"/>
      <c r="AX200" s="207"/>
      <c r="AY200" s="207"/>
      <c r="AZ200" s="207"/>
    </row>
    <row r="201" spans="1:52" ht="24" customHeight="1" x14ac:dyDescent="0.2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7"/>
      <c r="N201" s="207"/>
      <c r="O201" s="208"/>
      <c r="P201" s="208"/>
      <c r="Q201" s="208"/>
      <c r="R201" s="206"/>
      <c r="S201" s="206"/>
      <c r="T201" s="206"/>
      <c r="U201" s="206"/>
      <c r="V201" s="206"/>
      <c r="W201" s="206"/>
      <c r="X201" s="207"/>
      <c r="Y201" s="207"/>
      <c r="Z201" s="207"/>
      <c r="AA201" s="206"/>
      <c r="AB201" s="206"/>
      <c r="AC201" s="206"/>
      <c r="AD201" s="206"/>
      <c r="AE201" s="206"/>
      <c r="AF201" s="206"/>
      <c r="AG201" s="206"/>
      <c r="AH201" s="206"/>
      <c r="AI201" s="206"/>
      <c r="AJ201" s="206"/>
      <c r="AK201" s="206"/>
      <c r="AL201" s="206"/>
      <c r="AM201" s="206"/>
      <c r="AN201" s="206"/>
      <c r="AO201" s="206"/>
      <c r="AP201" s="206"/>
      <c r="AQ201" s="207"/>
      <c r="AR201" s="206"/>
      <c r="AS201" s="206"/>
      <c r="AT201" s="206"/>
      <c r="AU201" s="206"/>
      <c r="AV201" s="206"/>
      <c r="AW201" s="207"/>
      <c r="AX201" s="207"/>
      <c r="AY201" s="207"/>
      <c r="AZ201" s="207"/>
    </row>
    <row r="202" spans="1:52" ht="24" customHeight="1" x14ac:dyDescent="0.2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7"/>
      <c r="N202" s="207"/>
      <c r="O202" s="208"/>
      <c r="P202" s="208"/>
      <c r="Q202" s="208"/>
      <c r="R202" s="206"/>
      <c r="S202" s="206"/>
      <c r="T202" s="206"/>
      <c r="U202" s="206"/>
      <c r="V202" s="206"/>
      <c r="W202" s="206"/>
      <c r="X202" s="207"/>
      <c r="Y202" s="207"/>
      <c r="Z202" s="207"/>
      <c r="AA202" s="206"/>
      <c r="AB202" s="206"/>
      <c r="AC202" s="206"/>
      <c r="AD202" s="206"/>
      <c r="AE202" s="206"/>
      <c r="AF202" s="206"/>
      <c r="AG202" s="206"/>
      <c r="AH202" s="206"/>
      <c r="AI202" s="206"/>
      <c r="AJ202" s="206"/>
      <c r="AK202" s="206"/>
      <c r="AL202" s="206"/>
      <c r="AM202" s="206"/>
      <c r="AN202" s="206"/>
      <c r="AO202" s="206"/>
      <c r="AP202" s="206"/>
      <c r="AQ202" s="207"/>
      <c r="AR202" s="206"/>
      <c r="AS202" s="206"/>
      <c r="AT202" s="206"/>
      <c r="AU202" s="206"/>
      <c r="AV202" s="206"/>
      <c r="AW202" s="207"/>
      <c r="AX202" s="207"/>
      <c r="AY202" s="207"/>
      <c r="AZ202" s="207"/>
    </row>
    <row r="203" spans="1:52" ht="24" customHeight="1" x14ac:dyDescent="0.2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7"/>
      <c r="N203" s="207"/>
      <c r="O203" s="208"/>
      <c r="P203" s="208"/>
      <c r="Q203" s="208"/>
      <c r="R203" s="206"/>
      <c r="S203" s="206"/>
      <c r="T203" s="206"/>
      <c r="U203" s="206"/>
      <c r="V203" s="206"/>
      <c r="W203" s="206"/>
      <c r="X203" s="207"/>
      <c r="Y203" s="207"/>
      <c r="Z203" s="207"/>
      <c r="AA203" s="206"/>
      <c r="AB203" s="206"/>
      <c r="AC203" s="206"/>
      <c r="AD203" s="206"/>
      <c r="AE203" s="206"/>
      <c r="AF203" s="206"/>
      <c r="AG203" s="206"/>
      <c r="AH203" s="206"/>
      <c r="AI203" s="206"/>
      <c r="AJ203" s="206"/>
      <c r="AK203" s="206"/>
      <c r="AL203" s="206"/>
      <c r="AM203" s="206"/>
      <c r="AN203" s="206"/>
      <c r="AO203" s="206"/>
      <c r="AP203" s="206"/>
      <c r="AQ203" s="207"/>
      <c r="AR203" s="206"/>
      <c r="AS203" s="206"/>
      <c r="AT203" s="206"/>
      <c r="AU203" s="206"/>
      <c r="AV203" s="206"/>
      <c r="AW203" s="207"/>
      <c r="AX203" s="207"/>
      <c r="AY203" s="207"/>
      <c r="AZ203" s="207"/>
    </row>
    <row r="204" spans="1:52" ht="24" customHeight="1" x14ac:dyDescent="0.2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7"/>
      <c r="N204" s="207"/>
      <c r="O204" s="208"/>
      <c r="P204" s="208"/>
      <c r="Q204" s="208"/>
      <c r="R204" s="206"/>
      <c r="S204" s="206"/>
      <c r="T204" s="206"/>
      <c r="U204" s="206"/>
      <c r="V204" s="206"/>
      <c r="W204" s="206"/>
      <c r="X204" s="207"/>
      <c r="Y204" s="207"/>
      <c r="Z204" s="207"/>
      <c r="AA204" s="206"/>
      <c r="AB204" s="206"/>
      <c r="AC204" s="206"/>
      <c r="AD204" s="206"/>
      <c r="AE204" s="206"/>
      <c r="AF204" s="206"/>
      <c r="AG204" s="206"/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7"/>
      <c r="AR204" s="206"/>
      <c r="AS204" s="206"/>
      <c r="AT204" s="206"/>
      <c r="AU204" s="206"/>
      <c r="AV204" s="206"/>
      <c r="AW204" s="207"/>
      <c r="AX204" s="207"/>
      <c r="AY204" s="207"/>
      <c r="AZ204" s="207"/>
    </row>
    <row r="205" spans="1:52" ht="24" customHeight="1" x14ac:dyDescent="0.2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7"/>
      <c r="N205" s="207"/>
      <c r="O205" s="208"/>
      <c r="P205" s="208"/>
      <c r="Q205" s="208"/>
      <c r="R205" s="206"/>
      <c r="S205" s="206"/>
      <c r="T205" s="206"/>
      <c r="U205" s="206"/>
      <c r="V205" s="206"/>
      <c r="W205" s="206"/>
      <c r="X205" s="207"/>
      <c r="Y205" s="207"/>
      <c r="Z205" s="207"/>
      <c r="AA205" s="206"/>
      <c r="AB205" s="206"/>
      <c r="AC205" s="206"/>
      <c r="AD205" s="206"/>
      <c r="AE205" s="206"/>
      <c r="AF205" s="206"/>
      <c r="AG205" s="206"/>
      <c r="AH205" s="206"/>
      <c r="AI205" s="206"/>
      <c r="AJ205" s="206"/>
      <c r="AK205" s="206"/>
      <c r="AL205" s="206"/>
      <c r="AM205" s="206"/>
      <c r="AN205" s="206"/>
      <c r="AO205" s="206"/>
      <c r="AP205" s="206"/>
      <c r="AQ205" s="207"/>
      <c r="AR205" s="206"/>
      <c r="AS205" s="206"/>
      <c r="AT205" s="206"/>
      <c r="AU205" s="206"/>
      <c r="AV205" s="206"/>
      <c r="AW205" s="207"/>
      <c r="AX205" s="207"/>
      <c r="AY205" s="207"/>
      <c r="AZ205" s="207"/>
    </row>
    <row r="206" spans="1:52" ht="24" customHeight="1" x14ac:dyDescent="0.2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7"/>
      <c r="N206" s="207"/>
      <c r="O206" s="208"/>
      <c r="P206" s="208"/>
      <c r="Q206" s="208"/>
      <c r="R206" s="206"/>
      <c r="S206" s="206"/>
      <c r="T206" s="206"/>
      <c r="U206" s="206"/>
      <c r="V206" s="206"/>
      <c r="W206" s="206"/>
      <c r="X206" s="207"/>
      <c r="Y206" s="207"/>
      <c r="Z206" s="207"/>
      <c r="AA206" s="206"/>
      <c r="AB206" s="206"/>
      <c r="AC206" s="206"/>
      <c r="AD206" s="206"/>
      <c r="AE206" s="206"/>
      <c r="AF206" s="206"/>
      <c r="AG206" s="206"/>
      <c r="AH206" s="206"/>
      <c r="AI206" s="206"/>
      <c r="AJ206" s="206"/>
      <c r="AK206" s="206"/>
      <c r="AL206" s="206"/>
      <c r="AM206" s="206"/>
      <c r="AN206" s="206"/>
      <c r="AO206" s="206"/>
      <c r="AP206" s="206"/>
      <c r="AQ206" s="207"/>
      <c r="AR206" s="206"/>
      <c r="AS206" s="206"/>
      <c r="AT206" s="206"/>
      <c r="AU206" s="206"/>
      <c r="AV206" s="206"/>
      <c r="AW206" s="207"/>
      <c r="AX206" s="207"/>
      <c r="AY206" s="207"/>
      <c r="AZ206" s="207"/>
    </row>
    <row r="207" spans="1:52" ht="24" customHeight="1" x14ac:dyDescent="0.2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7"/>
      <c r="N207" s="207"/>
      <c r="O207" s="208"/>
      <c r="P207" s="208"/>
      <c r="Q207" s="208"/>
      <c r="R207" s="206"/>
      <c r="S207" s="206"/>
      <c r="T207" s="206"/>
      <c r="U207" s="206"/>
      <c r="V207" s="206"/>
      <c r="W207" s="206"/>
      <c r="X207" s="207"/>
      <c r="Y207" s="207"/>
      <c r="Z207" s="207"/>
      <c r="AA207" s="206"/>
      <c r="AB207" s="206"/>
      <c r="AC207" s="206"/>
      <c r="AD207" s="206"/>
      <c r="AE207" s="206"/>
      <c r="AF207" s="206"/>
      <c r="AG207" s="206"/>
      <c r="AH207" s="206"/>
      <c r="AI207" s="206"/>
      <c r="AJ207" s="206"/>
      <c r="AK207" s="206"/>
      <c r="AL207" s="206"/>
      <c r="AM207" s="206"/>
      <c r="AN207" s="206"/>
      <c r="AO207" s="206"/>
      <c r="AP207" s="206"/>
      <c r="AQ207" s="207"/>
      <c r="AR207" s="206"/>
      <c r="AS207" s="206"/>
      <c r="AT207" s="206"/>
      <c r="AU207" s="206"/>
      <c r="AV207" s="206"/>
      <c r="AW207" s="207"/>
      <c r="AX207" s="207"/>
      <c r="AY207" s="207"/>
      <c r="AZ207" s="207"/>
    </row>
    <row r="208" spans="1:52" ht="24" customHeight="1" x14ac:dyDescent="0.2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7"/>
      <c r="N208" s="207"/>
      <c r="O208" s="208"/>
      <c r="P208" s="208"/>
      <c r="Q208" s="208"/>
      <c r="R208" s="206"/>
      <c r="S208" s="206"/>
      <c r="T208" s="206"/>
      <c r="U208" s="206"/>
      <c r="V208" s="206"/>
      <c r="W208" s="206"/>
      <c r="X208" s="207"/>
      <c r="Y208" s="207"/>
      <c r="Z208" s="207"/>
      <c r="AA208" s="206"/>
      <c r="AB208" s="206"/>
      <c r="AC208" s="206"/>
      <c r="AD208" s="206"/>
      <c r="AE208" s="206"/>
      <c r="AF208" s="206"/>
      <c r="AG208" s="206"/>
      <c r="AH208" s="206"/>
      <c r="AI208" s="206"/>
      <c r="AJ208" s="206"/>
      <c r="AK208" s="206"/>
      <c r="AL208" s="206"/>
      <c r="AM208" s="206"/>
      <c r="AN208" s="206"/>
      <c r="AO208" s="206"/>
      <c r="AP208" s="206"/>
      <c r="AQ208" s="207"/>
      <c r="AR208" s="206"/>
      <c r="AS208" s="206"/>
      <c r="AT208" s="206"/>
      <c r="AU208" s="206"/>
      <c r="AV208" s="206"/>
      <c r="AW208" s="207"/>
      <c r="AX208" s="207"/>
      <c r="AY208" s="207"/>
      <c r="AZ208" s="207"/>
    </row>
    <row r="209" spans="1:52" ht="24" customHeight="1" x14ac:dyDescent="0.2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7"/>
      <c r="N209" s="207"/>
      <c r="O209" s="208"/>
      <c r="P209" s="208"/>
      <c r="Q209" s="208"/>
      <c r="R209" s="206"/>
      <c r="S209" s="206"/>
      <c r="T209" s="206"/>
      <c r="U209" s="206"/>
      <c r="V209" s="206"/>
      <c r="W209" s="206"/>
      <c r="X209" s="207"/>
      <c r="Y209" s="207"/>
      <c r="Z209" s="207"/>
      <c r="AA209" s="206"/>
      <c r="AB209" s="206"/>
      <c r="AC209" s="206"/>
      <c r="AD209" s="206"/>
      <c r="AE209" s="206"/>
      <c r="AF209" s="206"/>
      <c r="AG209" s="206"/>
      <c r="AH209" s="206"/>
      <c r="AI209" s="206"/>
      <c r="AJ209" s="206"/>
      <c r="AK209" s="206"/>
      <c r="AL209" s="206"/>
      <c r="AM209" s="206"/>
      <c r="AN209" s="206"/>
      <c r="AO209" s="206"/>
      <c r="AP209" s="206"/>
      <c r="AQ209" s="207"/>
      <c r="AR209" s="206"/>
      <c r="AS209" s="206"/>
      <c r="AT209" s="206"/>
      <c r="AU209" s="206"/>
      <c r="AV209" s="206"/>
      <c r="AW209" s="207"/>
      <c r="AX209" s="207"/>
      <c r="AY209" s="207"/>
      <c r="AZ209" s="207"/>
    </row>
    <row r="210" spans="1:52" ht="24" customHeight="1" x14ac:dyDescent="0.2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7"/>
      <c r="N210" s="207"/>
      <c r="O210" s="208"/>
      <c r="P210" s="208"/>
      <c r="Q210" s="208"/>
      <c r="R210" s="206"/>
      <c r="S210" s="206"/>
      <c r="T210" s="206"/>
      <c r="U210" s="206"/>
      <c r="V210" s="206"/>
      <c r="W210" s="206"/>
      <c r="X210" s="207"/>
      <c r="Y210" s="207"/>
      <c r="Z210" s="207"/>
      <c r="AA210" s="206"/>
      <c r="AB210" s="206"/>
      <c r="AC210" s="206"/>
      <c r="AD210" s="206"/>
      <c r="AE210" s="206"/>
      <c r="AF210" s="206"/>
      <c r="AG210" s="206"/>
      <c r="AH210" s="206"/>
      <c r="AI210" s="206"/>
      <c r="AJ210" s="206"/>
      <c r="AK210" s="206"/>
      <c r="AL210" s="206"/>
      <c r="AM210" s="206"/>
      <c r="AN210" s="206"/>
      <c r="AO210" s="206"/>
      <c r="AP210" s="206"/>
      <c r="AQ210" s="207"/>
      <c r="AR210" s="206"/>
      <c r="AS210" s="206"/>
      <c r="AT210" s="206"/>
      <c r="AU210" s="206"/>
      <c r="AV210" s="206"/>
      <c r="AW210" s="207"/>
      <c r="AX210" s="207"/>
      <c r="AY210" s="207"/>
      <c r="AZ210" s="207"/>
    </row>
    <row r="211" spans="1:52" ht="24" customHeight="1" x14ac:dyDescent="0.2">
      <c r="A211" s="206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7"/>
      <c r="N211" s="207"/>
      <c r="O211" s="208"/>
      <c r="P211" s="208"/>
      <c r="Q211" s="208"/>
      <c r="R211" s="206"/>
      <c r="S211" s="206"/>
      <c r="T211" s="206"/>
      <c r="U211" s="206"/>
      <c r="V211" s="206"/>
      <c r="W211" s="206"/>
      <c r="X211" s="207"/>
      <c r="Y211" s="207"/>
      <c r="Z211" s="207"/>
      <c r="AA211" s="206"/>
      <c r="AB211" s="206"/>
      <c r="AC211" s="206"/>
      <c r="AD211" s="206"/>
      <c r="AE211" s="206"/>
      <c r="AF211" s="206"/>
      <c r="AG211" s="206"/>
      <c r="AH211" s="206"/>
      <c r="AI211" s="206"/>
      <c r="AJ211" s="206"/>
      <c r="AK211" s="206"/>
      <c r="AL211" s="206"/>
      <c r="AM211" s="206"/>
      <c r="AN211" s="206"/>
      <c r="AO211" s="206"/>
      <c r="AP211" s="206"/>
      <c r="AQ211" s="207"/>
      <c r="AR211" s="206"/>
      <c r="AS211" s="206"/>
      <c r="AT211" s="206"/>
      <c r="AU211" s="206"/>
      <c r="AV211" s="206"/>
      <c r="AW211" s="207"/>
      <c r="AX211" s="207"/>
      <c r="AY211" s="207"/>
      <c r="AZ211" s="207"/>
    </row>
    <row r="212" spans="1:52" ht="24" customHeight="1" x14ac:dyDescent="0.2">
      <c r="A212" s="206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7"/>
      <c r="N212" s="207"/>
      <c r="O212" s="208"/>
      <c r="P212" s="208"/>
      <c r="Q212" s="208"/>
      <c r="R212" s="206"/>
      <c r="S212" s="206"/>
      <c r="T212" s="206"/>
      <c r="U212" s="206"/>
      <c r="V212" s="206"/>
      <c r="W212" s="206"/>
      <c r="X212" s="207"/>
      <c r="Y212" s="207"/>
      <c r="Z212" s="207"/>
      <c r="AA212" s="206"/>
      <c r="AB212" s="206"/>
      <c r="AC212" s="206"/>
      <c r="AD212" s="206"/>
      <c r="AE212" s="206"/>
      <c r="AF212" s="206"/>
      <c r="AG212" s="206"/>
      <c r="AH212" s="206"/>
      <c r="AI212" s="206"/>
      <c r="AJ212" s="206"/>
      <c r="AK212" s="206"/>
      <c r="AL212" s="206"/>
      <c r="AM212" s="206"/>
      <c r="AN212" s="206"/>
      <c r="AO212" s="206"/>
      <c r="AP212" s="206"/>
      <c r="AQ212" s="207"/>
      <c r="AR212" s="206"/>
      <c r="AS212" s="206"/>
      <c r="AT212" s="206"/>
      <c r="AU212" s="206"/>
      <c r="AV212" s="206"/>
      <c r="AW212" s="207"/>
      <c r="AX212" s="207"/>
      <c r="AY212" s="207"/>
      <c r="AZ212" s="207"/>
    </row>
    <row r="213" spans="1:52" ht="24" customHeight="1" x14ac:dyDescent="0.2">
      <c r="A213" s="206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7"/>
      <c r="N213" s="207"/>
      <c r="O213" s="208"/>
      <c r="P213" s="208"/>
      <c r="Q213" s="208"/>
      <c r="R213" s="206"/>
      <c r="S213" s="206"/>
      <c r="T213" s="206"/>
      <c r="U213" s="206"/>
      <c r="V213" s="206"/>
      <c r="W213" s="206"/>
      <c r="X213" s="207"/>
      <c r="Y213" s="207"/>
      <c r="Z213" s="207"/>
      <c r="AA213" s="206"/>
      <c r="AB213" s="206"/>
      <c r="AC213" s="206"/>
      <c r="AD213" s="206"/>
      <c r="AE213" s="206"/>
      <c r="AF213" s="206"/>
      <c r="AG213" s="206"/>
      <c r="AH213" s="206"/>
      <c r="AI213" s="206"/>
      <c r="AJ213" s="206"/>
      <c r="AK213" s="206"/>
      <c r="AL213" s="206"/>
      <c r="AM213" s="206"/>
      <c r="AN213" s="206"/>
      <c r="AO213" s="206"/>
      <c r="AP213" s="206"/>
      <c r="AQ213" s="207"/>
      <c r="AR213" s="206"/>
      <c r="AS213" s="206"/>
      <c r="AT213" s="206"/>
      <c r="AU213" s="206"/>
      <c r="AV213" s="206"/>
      <c r="AW213" s="207"/>
      <c r="AX213" s="207"/>
      <c r="AY213" s="207"/>
      <c r="AZ213" s="207"/>
    </row>
    <row r="214" spans="1:52" ht="24" customHeight="1" x14ac:dyDescent="0.2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7"/>
      <c r="N214" s="207"/>
      <c r="O214" s="208"/>
      <c r="P214" s="208"/>
      <c r="Q214" s="208"/>
      <c r="R214" s="206"/>
      <c r="S214" s="206"/>
      <c r="T214" s="206"/>
      <c r="U214" s="206"/>
      <c r="V214" s="206"/>
      <c r="W214" s="206"/>
      <c r="X214" s="207"/>
      <c r="Y214" s="207"/>
      <c r="Z214" s="207"/>
      <c r="AA214" s="206"/>
      <c r="AB214" s="206"/>
      <c r="AC214" s="206"/>
      <c r="AD214" s="206"/>
      <c r="AE214" s="206"/>
      <c r="AF214" s="206"/>
      <c r="AG214" s="206"/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7"/>
      <c r="AR214" s="206"/>
      <c r="AS214" s="206"/>
      <c r="AT214" s="206"/>
      <c r="AU214" s="206"/>
      <c r="AV214" s="206"/>
      <c r="AW214" s="207"/>
      <c r="AX214" s="207"/>
      <c r="AY214" s="207"/>
      <c r="AZ214" s="207"/>
    </row>
    <row r="215" spans="1:52" ht="24" customHeight="1" x14ac:dyDescent="0.2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7"/>
      <c r="N215" s="207"/>
      <c r="O215" s="208"/>
      <c r="P215" s="208"/>
      <c r="Q215" s="208"/>
      <c r="R215" s="206"/>
      <c r="S215" s="206"/>
      <c r="T215" s="206"/>
      <c r="U215" s="206"/>
      <c r="V215" s="206"/>
      <c r="W215" s="206"/>
      <c r="X215" s="207"/>
      <c r="Y215" s="207"/>
      <c r="Z215" s="207"/>
      <c r="AA215" s="206"/>
      <c r="AB215" s="206"/>
      <c r="AC215" s="206"/>
      <c r="AD215" s="206"/>
      <c r="AE215" s="206"/>
      <c r="AF215" s="206"/>
      <c r="AG215" s="206"/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7"/>
      <c r="AR215" s="206"/>
      <c r="AS215" s="206"/>
      <c r="AT215" s="206"/>
      <c r="AU215" s="206"/>
      <c r="AV215" s="206"/>
      <c r="AW215" s="207"/>
      <c r="AX215" s="207"/>
      <c r="AY215" s="207"/>
      <c r="AZ215" s="207"/>
    </row>
    <row r="216" spans="1:52" ht="24" customHeight="1" x14ac:dyDescent="0.2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7"/>
      <c r="N216" s="207"/>
      <c r="O216" s="208"/>
      <c r="P216" s="208"/>
      <c r="Q216" s="208"/>
      <c r="R216" s="206"/>
      <c r="S216" s="206"/>
      <c r="T216" s="206"/>
      <c r="U216" s="206"/>
      <c r="V216" s="206"/>
      <c r="W216" s="206"/>
      <c r="X216" s="207"/>
      <c r="Y216" s="207"/>
      <c r="Z216" s="207"/>
      <c r="AA216" s="206"/>
      <c r="AB216" s="206"/>
      <c r="AC216" s="206"/>
      <c r="AD216" s="206"/>
      <c r="AE216" s="206"/>
      <c r="AF216" s="206"/>
      <c r="AG216" s="206"/>
      <c r="AH216" s="206"/>
      <c r="AI216" s="206"/>
      <c r="AJ216" s="206"/>
      <c r="AK216" s="206"/>
      <c r="AL216" s="206"/>
      <c r="AM216" s="206"/>
      <c r="AN216" s="206"/>
      <c r="AO216" s="206"/>
      <c r="AP216" s="206"/>
      <c r="AQ216" s="207"/>
      <c r="AR216" s="206"/>
      <c r="AS216" s="206"/>
      <c r="AT216" s="206"/>
      <c r="AU216" s="206"/>
      <c r="AV216" s="206"/>
      <c r="AW216" s="207"/>
      <c r="AX216" s="207"/>
      <c r="AY216" s="207"/>
      <c r="AZ216" s="207"/>
    </row>
    <row r="217" spans="1:52" ht="24" customHeight="1" x14ac:dyDescent="0.2">
      <c r="A217" s="206"/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7"/>
      <c r="N217" s="207"/>
      <c r="O217" s="208"/>
      <c r="P217" s="208"/>
      <c r="Q217" s="208"/>
      <c r="R217" s="206"/>
      <c r="S217" s="206"/>
      <c r="T217" s="206"/>
      <c r="U217" s="206"/>
      <c r="V217" s="206"/>
      <c r="W217" s="206"/>
      <c r="X217" s="207"/>
      <c r="Y217" s="207"/>
      <c r="Z217" s="207"/>
      <c r="AA217" s="206"/>
      <c r="AB217" s="206"/>
      <c r="AC217" s="206"/>
      <c r="AD217" s="206"/>
      <c r="AE217" s="206"/>
      <c r="AF217" s="206"/>
      <c r="AG217" s="206"/>
      <c r="AH217" s="206"/>
      <c r="AI217" s="206"/>
      <c r="AJ217" s="206"/>
      <c r="AK217" s="206"/>
      <c r="AL217" s="206"/>
      <c r="AM217" s="206"/>
      <c r="AN217" s="206"/>
      <c r="AO217" s="206"/>
      <c r="AP217" s="206"/>
      <c r="AQ217" s="207"/>
      <c r="AR217" s="206"/>
      <c r="AS217" s="206"/>
      <c r="AT217" s="206"/>
      <c r="AU217" s="206"/>
      <c r="AV217" s="206"/>
      <c r="AW217" s="207"/>
      <c r="AX217" s="207"/>
      <c r="AY217" s="207"/>
      <c r="AZ217" s="207"/>
    </row>
    <row r="218" spans="1:52" ht="24" customHeight="1" x14ac:dyDescent="0.2">
      <c r="A218" s="206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7"/>
      <c r="N218" s="207"/>
      <c r="O218" s="208"/>
      <c r="P218" s="208"/>
      <c r="Q218" s="208"/>
      <c r="R218" s="206"/>
      <c r="S218" s="206"/>
      <c r="T218" s="206"/>
      <c r="U218" s="206"/>
      <c r="V218" s="206"/>
      <c r="W218" s="206"/>
      <c r="X218" s="207"/>
      <c r="Y218" s="207"/>
      <c r="Z218" s="207"/>
      <c r="AA218" s="206"/>
      <c r="AB218" s="206"/>
      <c r="AC218" s="206"/>
      <c r="AD218" s="206"/>
      <c r="AE218" s="206"/>
      <c r="AF218" s="206"/>
      <c r="AG218" s="206"/>
      <c r="AH218" s="206"/>
      <c r="AI218" s="206"/>
      <c r="AJ218" s="206"/>
      <c r="AK218" s="206"/>
      <c r="AL218" s="206"/>
      <c r="AM218" s="206"/>
      <c r="AN218" s="206"/>
      <c r="AO218" s="206"/>
      <c r="AP218" s="206"/>
      <c r="AQ218" s="207"/>
      <c r="AR218" s="206"/>
      <c r="AS218" s="206"/>
      <c r="AT218" s="206"/>
      <c r="AU218" s="206"/>
      <c r="AV218" s="206"/>
      <c r="AW218" s="207"/>
      <c r="AX218" s="207"/>
      <c r="AY218" s="207"/>
      <c r="AZ218" s="207"/>
    </row>
    <row r="219" spans="1:52" ht="24" customHeight="1" x14ac:dyDescent="0.2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7"/>
      <c r="N219" s="207"/>
      <c r="O219" s="208"/>
      <c r="P219" s="208"/>
      <c r="Q219" s="208"/>
      <c r="R219" s="206"/>
      <c r="S219" s="206"/>
      <c r="T219" s="206"/>
      <c r="U219" s="206"/>
      <c r="V219" s="206"/>
      <c r="W219" s="206"/>
      <c r="X219" s="207"/>
      <c r="Y219" s="207"/>
      <c r="Z219" s="207"/>
      <c r="AA219" s="206"/>
      <c r="AB219" s="206"/>
      <c r="AC219" s="206"/>
      <c r="AD219" s="206"/>
      <c r="AE219" s="206"/>
      <c r="AF219" s="206"/>
      <c r="AG219" s="206"/>
      <c r="AH219" s="206"/>
      <c r="AI219" s="206"/>
      <c r="AJ219" s="206"/>
      <c r="AK219" s="206"/>
      <c r="AL219" s="206"/>
      <c r="AM219" s="206"/>
      <c r="AN219" s="206"/>
      <c r="AO219" s="206"/>
      <c r="AP219" s="206"/>
      <c r="AQ219" s="207"/>
      <c r="AR219" s="206"/>
      <c r="AS219" s="206"/>
      <c r="AT219" s="206"/>
      <c r="AU219" s="206"/>
      <c r="AV219" s="206"/>
      <c r="AW219" s="207"/>
      <c r="AX219" s="207"/>
      <c r="AY219" s="207"/>
      <c r="AZ219" s="207"/>
    </row>
    <row r="220" spans="1:52" ht="24" customHeight="1" x14ac:dyDescent="0.2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7"/>
      <c r="N220" s="207"/>
      <c r="O220" s="208"/>
      <c r="P220" s="208"/>
      <c r="Q220" s="208"/>
      <c r="R220" s="206"/>
      <c r="S220" s="206"/>
      <c r="T220" s="206"/>
      <c r="U220" s="206"/>
      <c r="V220" s="206"/>
      <c r="W220" s="206"/>
      <c r="X220" s="207"/>
      <c r="Y220" s="207"/>
      <c r="Z220" s="207"/>
      <c r="AA220" s="206"/>
      <c r="AB220" s="206"/>
      <c r="AC220" s="206"/>
      <c r="AD220" s="206"/>
      <c r="AE220" s="206"/>
      <c r="AF220" s="206"/>
      <c r="AG220" s="206"/>
      <c r="AH220" s="206"/>
      <c r="AI220" s="206"/>
      <c r="AJ220" s="206"/>
      <c r="AK220" s="206"/>
      <c r="AL220" s="206"/>
      <c r="AM220" s="206"/>
      <c r="AN220" s="206"/>
      <c r="AO220" s="206"/>
      <c r="AP220" s="206"/>
      <c r="AQ220" s="207"/>
      <c r="AR220" s="206"/>
      <c r="AS220" s="206"/>
      <c r="AT220" s="206"/>
      <c r="AU220" s="206"/>
      <c r="AV220" s="206"/>
      <c r="AW220" s="207"/>
      <c r="AX220" s="207"/>
      <c r="AY220" s="207"/>
      <c r="AZ220" s="207"/>
    </row>
    <row r="221" spans="1:52" ht="24" customHeight="1" x14ac:dyDescent="0.2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7"/>
      <c r="N221" s="207"/>
      <c r="O221" s="208"/>
      <c r="P221" s="208"/>
      <c r="Q221" s="208"/>
      <c r="R221" s="206"/>
      <c r="S221" s="206"/>
      <c r="T221" s="206"/>
      <c r="U221" s="206"/>
      <c r="V221" s="206"/>
      <c r="W221" s="206"/>
      <c r="X221" s="207"/>
      <c r="Y221" s="207"/>
      <c r="Z221" s="207"/>
      <c r="AA221" s="206"/>
      <c r="AB221" s="206"/>
      <c r="AC221" s="206"/>
      <c r="AD221" s="206"/>
      <c r="AE221" s="206"/>
      <c r="AF221" s="206"/>
      <c r="AG221" s="206"/>
      <c r="AH221" s="206"/>
      <c r="AI221" s="206"/>
      <c r="AJ221" s="206"/>
      <c r="AK221" s="206"/>
      <c r="AL221" s="206"/>
      <c r="AM221" s="206"/>
      <c r="AN221" s="206"/>
      <c r="AO221" s="206"/>
      <c r="AP221" s="206"/>
      <c r="AQ221" s="207"/>
      <c r="AR221" s="206"/>
      <c r="AS221" s="206"/>
      <c r="AT221" s="206"/>
      <c r="AU221" s="206"/>
      <c r="AV221" s="206"/>
      <c r="AW221" s="207"/>
      <c r="AX221" s="207"/>
      <c r="AY221" s="207"/>
      <c r="AZ221" s="207"/>
    </row>
    <row r="222" spans="1:52" ht="24" customHeight="1" x14ac:dyDescent="0.2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7"/>
      <c r="N222" s="207"/>
      <c r="O222" s="208"/>
      <c r="P222" s="208"/>
      <c r="Q222" s="208"/>
      <c r="R222" s="206"/>
      <c r="S222" s="206"/>
      <c r="T222" s="206"/>
      <c r="U222" s="206"/>
      <c r="V222" s="206"/>
      <c r="W222" s="206"/>
      <c r="X222" s="207"/>
      <c r="Y222" s="207"/>
      <c r="Z222" s="207"/>
      <c r="AA222" s="206"/>
      <c r="AB222" s="206"/>
      <c r="AC222" s="206"/>
      <c r="AD222" s="206"/>
      <c r="AE222" s="206"/>
      <c r="AF222" s="206"/>
      <c r="AG222" s="206"/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7"/>
      <c r="AR222" s="206"/>
      <c r="AS222" s="206"/>
      <c r="AT222" s="206"/>
      <c r="AU222" s="206"/>
      <c r="AV222" s="206"/>
      <c r="AW222" s="207"/>
      <c r="AX222" s="207"/>
      <c r="AY222" s="207"/>
      <c r="AZ222" s="207"/>
    </row>
    <row r="223" spans="1:52" ht="24" customHeight="1" x14ac:dyDescent="0.2">
      <c r="A223" s="206"/>
      <c r="B223" s="206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7"/>
      <c r="N223" s="207"/>
      <c r="O223" s="208"/>
      <c r="P223" s="208"/>
      <c r="Q223" s="208"/>
      <c r="R223" s="206"/>
      <c r="S223" s="206"/>
      <c r="T223" s="206"/>
      <c r="U223" s="206"/>
      <c r="V223" s="206"/>
      <c r="W223" s="206"/>
      <c r="X223" s="207"/>
      <c r="Y223" s="207"/>
      <c r="Z223" s="207"/>
      <c r="AA223" s="206"/>
      <c r="AB223" s="206"/>
      <c r="AC223" s="206"/>
      <c r="AD223" s="206"/>
      <c r="AE223" s="206"/>
      <c r="AF223" s="206"/>
      <c r="AG223" s="206"/>
      <c r="AH223" s="206"/>
      <c r="AI223" s="206"/>
      <c r="AJ223" s="206"/>
      <c r="AK223" s="206"/>
      <c r="AL223" s="206"/>
      <c r="AM223" s="206"/>
      <c r="AN223" s="206"/>
      <c r="AO223" s="206"/>
      <c r="AP223" s="206"/>
      <c r="AQ223" s="207"/>
      <c r="AR223" s="206"/>
      <c r="AS223" s="206"/>
      <c r="AT223" s="206"/>
      <c r="AU223" s="206"/>
      <c r="AV223" s="206"/>
      <c r="AW223" s="207"/>
      <c r="AX223" s="207"/>
      <c r="AY223" s="207"/>
      <c r="AZ223" s="207"/>
    </row>
    <row r="224" spans="1:52" ht="24" customHeight="1" x14ac:dyDescent="0.2">
      <c r="A224" s="206"/>
      <c r="B224" s="206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7"/>
      <c r="N224" s="207"/>
      <c r="O224" s="208"/>
      <c r="P224" s="208"/>
      <c r="Q224" s="208"/>
      <c r="R224" s="206"/>
      <c r="S224" s="206"/>
      <c r="T224" s="206"/>
      <c r="U224" s="206"/>
      <c r="V224" s="206"/>
      <c r="W224" s="206"/>
      <c r="X224" s="207"/>
      <c r="Y224" s="207"/>
      <c r="Z224" s="207"/>
      <c r="AA224" s="206"/>
      <c r="AB224" s="206"/>
      <c r="AC224" s="206"/>
      <c r="AD224" s="206"/>
      <c r="AE224" s="206"/>
      <c r="AF224" s="206"/>
      <c r="AG224" s="206"/>
      <c r="AH224" s="206"/>
      <c r="AI224" s="206"/>
      <c r="AJ224" s="206"/>
      <c r="AK224" s="206"/>
      <c r="AL224" s="206"/>
      <c r="AM224" s="206"/>
      <c r="AN224" s="206"/>
      <c r="AO224" s="206"/>
      <c r="AP224" s="206"/>
      <c r="AQ224" s="207"/>
      <c r="AR224" s="206"/>
      <c r="AS224" s="206"/>
      <c r="AT224" s="206"/>
      <c r="AU224" s="206"/>
      <c r="AV224" s="206"/>
      <c r="AW224" s="207"/>
      <c r="AX224" s="207"/>
      <c r="AY224" s="207"/>
      <c r="AZ224" s="207"/>
    </row>
    <row r="225" spans="1:52" ht="24" customHeight="1" x14ac:dyDescent="0.2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7"/>
      <c r="N225" s="207"/>
      <c r="O225" s="208"/>
      <c r="P225" s="208"/>
      <c r="Q225" s="208"/>
      <c r="R225" s="206"/>
      <c r="S225" s="206"/>
      <c r="T225" s="206"/>
      <c r="U225" s="206"/>
      <c r="V225" s="206"/>
      <c r="W225" s="206"/>
      <c r="X225" s="207"/>
      <c r="Y225" s="207"/>
      <c r="Z225" s="207"/>
      <c r="AA225" s="206"/>
      <c r="AB225" s="206"/>
      <c r="AC225" s="206"/>
      <c r="AD225" s="206"/>
      <c r="AE225" s="206"/>
      <c r="AF225" s="206"/>
      <c r="AG225" s="206"/>
      <c r="AH225" s="206"/>
      <c r="AI225" s="206"/>
      <c r="AJ225" s="206"/>
      <c r="AK225" s="206"/>
      <c r="AL225" s="206"/>
      <c r="AM225" s="206"/>
      <c r="AN225" s="206"/>
      <c r="AO225" s="206"/>
      <c r="AP225" s="206"/>
      <c r="AQ225" s="207"/>
      <c r="AR225" s="206"/>
      <c r="AS225" s="206"/>
      <c r="AT225" s="206"/>
      <c r="AU225" s="206"/>
      <c r="AV225" s="206"/>
      <c r="AW225" s="207"/>
      <c r="AX225" s="207"/>
      <c r="AY225" s="207"/>
      <c r="AZ225" s="207"/>
    </row>
    <row r="226" spans="1:52" ht="24" customHeight="1" x14ac:dyDescent="0.2">
      <c r="A226" s="206"/>
      <c r="B226" s="206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7"/>
      <c r="N226" s="207"/>
      <c r="O226" s="208"/>
      <c r="P226" s="208"/>
      <c r="Q226" s="208"/>
      <c r="R226" s="206"/>
      <c r="S226" s="206"/>
      <c r="T226" s="206"/>
      <c r="U226" s="206"/>
      <c r="V226" s="206"/>
      <c r="W226" s="206"/>
      <c r="X226" s="207"/>
      <c r="Y226" s="207"/>
      <c r="Z226" s="207"/>
      <c r="AA226" s="206"/>
      <c r="AB226" s="206"/>
      <c r="AC226" s="206"/>
      <c r="AD226" s="206"/>
      <c r="AE226" s="206"/>
      <c r="AF226" s="206"/>
      <c r="AG226" s="206"/>
      <c r="AH226" s="206"/>
      <c r="AI226" s="206"/>
      <c r="AJ226" s="206"/>
      <c r="AK226" s="206"/>
      <c r="AL226" s="206"/>
      <c r="AM226" s="206"/>
      <c r="AN226" s="206"/>
      <c r="AO226" s="206"/>
      <c r="AP226" s="206"/>
      <c r="AQ226" s="207"/>
      <c r="AR226" s="206"/>
      <c r="AS226" s="206"/>
      <c r="AT226" s="206"/>
      <c r="AU226" s="206"/>
      <c r="AV226" s="206"/>
      <c r="AW226" s="207"/>
      <c r="AX226" s="207"/>
      <c r="AY226" s="207"/>
      <c r="AZ226" s="207"/>
    </row>
    <row r="227" spans="1:52" ht="24" customHeight="1" x14ac:dyDescent="0.2">
      <c r="A227" s="206"/>
      <c r="B227" s="206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7"/>
      <c r="N227" s="207"/>
      <c r="O227" s="208"/>
      <c r="P227" s="208"/>
      <c r="Q227" s="208"/>
      <c r="R227" s="206"/>
      <c r="S227" s="206"/>
      <c r="T227" s="206"/>
      <c r="U227" s="206"/>
      <c r="V227" s="206"/>
      <c r="W227" s="206"/>
      <c r="X227" s="207"/>
      <c r="Y227" s="207"/>
      <c r="Z227" s="207"/>
      <c r="AA227" s="206"/>
      <c r="AB227" s="206"/>
      <c r="AC227" s="206"/>
      <c r="AD227" s="206"/>
      <c r="AE227" s="206"/>
      <c r="AF227" s="206"/>
      <c r="AG227" s="206"/>
      <c r="AH227" s="206"/>
      <c r="AI227" s="206"/>
      <c r="AJ227" s="206"/>
      <c r="AK227" s="206"/>
      <c r="AL227" s="206"/>
      <c r="AM227" s="206"/>
      <c r="AN227" s="206"/>
      <c r="AO227" s="206"/>
      <c r="AP227" s="206"/>
      <c r="AQ227" s="207"/>
      <c r="AR227" s="206"/>
      <c r="AS227" s="206"/>
      <c r="AT227" s="206"/>
      <c r="AU227" s="206"/>
      <c r="AV227" s="206"/>
      <c r="AW227" s="207"/>
      <c r="AX227" s="207"/>
      <c r="AY227" s="207"/>
      <c r="AZ227" s="207"/>
    </row>
    <row r="228" spans="1:52" ht="24" customHeight="1" x14ac:dyDescent="0.2">
      <c r="A228" s="206"/>
      <c r="B228" s="206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07"/>
      <c r="N228" s="207"/>
      <c r="O228" s="208"/>
      <c r="P228" s="208"/>
      <c r="Q228" s="208"/>
      <c r="R228" s="206"/>
      <c r="S228" s="206"/>
      <c r="T228" s="206"/>
      <c r="U228" s="206"/>
      <c r="V228" s="206"/>
      <c r="W228" s="206"/>
      <c r="X228" s="207"/>
      <c r="Y228" s="207"/>
      <c r="Z228" s="207"/>
      <c r="AA228" s="206"/>
      <c r="AB228" s="206"/>
      <c r="AC228" s="206"/>
      <c r="AD228" s="206"/>
      <c r="AE228" s="206"/>
      <c r="AF228" s="206"/>
      <c r="AG228" s="206"/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7"/>
      <c r="AR228" s="206"/>
      <c r="AS228" s="206"/>
      <c r="AT228" s="206"/>
      <c r="AU228" s="206"/>
      <c r="AV228" s="206"/>
      <c r="AW228" s="207"/>
      <c r="AX228" s="207"/>
      <c r="AY228" s="207"/>
      <c r="AZ228" s="207"/>
    </row>
    <row r="229" spans="1:52" ht="24" customHeight="1" x14ac:dyDescent="0.2">
      <c r="A229" s="206"/>
      <c r="B229" s="206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07"/>
      <c r="N229" s="207"/>
      <c r="O229" s="208"/>
      <c r="P229" s="208"/>
      <c r="Q229" s="208"/>
      <c r="R229" s="206"/>
      <c r="S229" s="206"/>
      <c r="T229" s="206"/>
      <c r="U229" s="206"/>
      <c r="V229" s="206"/>
      <c r="W229" s="206"/>
      <c r="X229" s="207"/>
      <c r="Y229" s="207"/>
      <c r="Z229" s="207"/>
      <c r="AA229" s="206"/>
      <c r="AB229" s="206"/>
      <c r="AC229" s="206"/>
      <c r="AD229" s="206"/>
      <c r="AE229" s="206"/>
      <c r="AF229" s="206"/>
      <c r="AG229" s="206"/>
      <c r="AH229" s="206"/>
      <c r="AI229" s="206"/>
      <c r="AJ229" s="206"/>
      <c r="AK229" s="206"/>
      <c r="AL229" s="206"/>
      <c r="AM229" s="206"/>
      <c r="AN229" s="206"/>
      <c r="AO229" s="206"/>
      <c r="AP229" s="206"/>
      <c r="AQ229" s="207"/>
      <c r="AR229" s="206"/>
      <c r="AS229" s="206"/>
      <c r="AT229" s="206"/>
      <c r="AU229" s="206"/>
      <c r="AV229" s="206"/>
      <c r="AW229" s="207"/>
      <c r="AX229" s="207"/>
      <c r="AY229" s="207"/>
      <c r="AZ229" s="207"/>
    </row>
    <row r="230" spans="1:52" ht="24" customHeight="1" x14ac:dyDescent="0.2">
      <c r="A230" s="206"/>
      <c r="B230" s="206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07"/>
      <c r="N230" s="207"/>
      <c r="O230" s="208"/>
      <c r="P230" s="208"/>
      <c r="Q230" s="208"/>
      <c r="R230" s="206"/>
      <c r="S230" s="206"/>
      <c r="T230" s="206"/>
      <c r="U230" s="206"/>
      <c r="V230" s="206"/>
      <c r="W230" s="206"/>
      <c r="X230" s="207"/>
      <c r="Y230" s="207"/>
      <c r="Z230" s="207"/>
      <c r="AA230" s="206"/>
      <c r="AB230" s="206"/>
      <c r="AC230" s="206"/>
      <c r="AD230" s="206"/>
      <c r="AE230" s="206"/>
      <c r="AF230" s="206"/>
      <c r="AG230" s="206"/>
      <c r="AH230" s="206"/>
      <c r="AI230" s="206"/>
      <c r="AJ230" s="206"/>
      <c r="AK230" s="206"/>
      <c r="AL230" s="206"/>
      <c r="AM230" s="206"/>
      <c r="AN230" s="206"/>
      <c r="AO230" s="206"/>
      <c r="AP230" s="206"/>
      <c r="AQ230" s="207"/>
      <c r="AR230" s="206"/>
      <c r="AS230" s="206"/>
      <c r="AT230" s="206"/>
      <c r="AU230" s="206"/>
      <c r="AV230" s="206"/>
      <c r="AW230" s="207"/>
      <c r="AX230" s="207"/>
      <c r="AY230" s="207"/>
      <c r="AZ230" s="207"/>
    </row>
    <row r="231" spans="1:52" ht="24" customHeight="1" x14ac:dyDescent="0.2">
      <c r="A231" s="206"/>
      <c r="B231" s="206"/>
      <c r="C231" s="206"/>
      <c r="D231" s="206"/>
      <c r="E231" s="206"/>
      <c r="F231" s="206"/>
      <c r="G231" s="206"/>
      <c r="H231" s="206"/>
      <c r="I231" s="206"/>
      <c r="J231" s="206"/>
      <c r="K231" s="206"/>
      <c r="L231" s="206"/>
      <c r="M231" s="207"/>
      <c r="N231" s="207"/>
      <c r="O231" s="208"/>
      <c r="P231" s="208"/>
      <c r="Q231" s="208"/>
      <c r="R231" s="206"/>
      <c r="S231" s="206"/>
      <c r="T231" s="206"/>
      <c r="U231" s="206"/>
      <c r="V231" s="206"/>
      <c r="W231" s="206"/>
      <c r="X231" s="207"/>
      <c r="Y231" s="207"/>
      <c r="Z231" s="207"/>
      <c r="AA231" s="206"/>
      <c r="AB231" s="206"/>
      <c r="AC231" s="206"/>
      <c r="AD231" s="206"/>
      <c r="AE231" s="206"/>
      <c r="AF231" s="206"/>
      <c r="AG231" s="206"/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7"/>
      <c r="AR231" s="206"/>
      <c r="AS231" s="206"/>
      <c r="AT231" s="206"/>
      <c r="AU231" s="206"/>
      <c r="AV231" s="206"/>
      <c r="AW231" s="207"/>
      <c r="AX231" s="207"/>
      <c r="AY231" s="207"/>
      <c r="AZ231" s="207"/>
    </row>
    <row r="232" spans="1:52" ht="24" customHeight="1" x14ac:dyDescent="0.2">
      <c r="A232" s="206"/>
      <c r="B232" s="206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07"/>
      <c r="N232" s="207"/>
      <c r="O232" s="208"/>
      <c r="P232" s="208"/>
      <c r="Q232" s="208"/>
      <c r="R232" s="206"/>
      <c r="S232" s="206"/>
      <c r="T232" s="206"/>
      <c r="U232" s="206"/>
      <c r="V232" s="206"/>
      <c r="W232" s="206"/>
      <c r="X232" s="207"/>
      <c r="Y232" s="207"/>
      <c r="Z232" s="207"/>
      <c r="AA232" s="206"/>
      <c r="AB232" s="206"/>
      <c r="AC232" s="206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7"/>
      <c r="AR232" s="206"/>
      <c r="AS232" s="206"/>
      <c r="AT232" s="206"/>
      <c r="AU232" s="206"/>
      <c r="AV232" s="206"/>
      <c r="AW232" s="207"/>
      <c r="AX232" s="207"/>
      <c r="AY232" s="207"/>
      <c r="AZ232" s="207"/>
    </row>
    <row r="233" spans="1:52" ht="24" customHeight="1" x14ac:dyDescent="0.2">
      <c r="A233" s="206"/>
      <c r="B233" s="206"/>
      <c r="C233" s="206"/>
      <c r="D233" s="206"/>
      <c r="E233" s="206"/>
      <c r="F233" s="206"/>
      <c r="G233" s="206"/>
      <c r="H233" s="206"/>
      <c r="I233" s="206"/>
      <c r="J233" s="206"/>
      <c r="K233" s="206"/>
      <c r="L233" s="206"/>
      <c r="M233" s="207"/>
      <c r="N233" s="207"/>
      <c r="O233" s="208"/>
      <c r="P233" s="208"/>
      <c r="Q233" s="208"/>
      <c r="R233" s="206"/>
      <c r="S233" s="206"/>
      <c r="T233" s="206"/>
      <c r="U233" s="206"/>
      <c r="V233" s="206"/>
      <c r="W233" s="206"/>
      <c r="X233" s="207"/>
      <c r="Y233" s="207"/>
      <c r="Z233" s="207"/>
      <c r="AA233" s="206"/>
      <c r="AB233" s="206"/>
      <c r="AC233" s="206"/>
      <c r="AD233" s="206"/>
      <c r="AE233" s="206"/>
      <c r="AF233" s="206"/>
      <c r="AG233" s="206"/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7"/>
      <c r="AR233" s="206"/>
      <c r="AS233" s="206"/>
      <c r="AT233" s="206"/>
      <c r="AU233" s="206"/>
      <c r="AV233" s="206"/>
      <c r="AW233" s="207"/>
      <c r="AX233" s="207"/>
      <c r="AY233" s="207"/>
      <c r="AZ233" s="207"/>
    </row>
    <row r="234" spans="1:52" ht="24" customHeight="1" x14ac:dyDescent="0.2">
      <c r="A234" s="206"/>
      <c r="B234" s="206"/>
      <c r="C234" s="206"/>
      <c r="D234" s="206"/>
      <c r="E234" s="206"/>
      <c r="F234" s="206"/>
      <c r="G234" s="206"/>
      <c r="H234" s="206"/>
      <c r="I234" s="206"/>
      <c r="J234" s="206"/>
      <c r="K234" s="206"/>
      <c r="L234" s="206"/>
      <c r="M234" s="207"/>
      <c r="N234" s="207"/>
      <c r="O234" s="208"/>
      <c r="P234" s="208"/>
      <c r="Q234" s="208"/>
      <c r="R234" s="206"/>
      <c r="S234" s="206"/>
      <c r="T234" s="206"/>
      <c r="U234" s="206"/>
      <c r="V234" s="206"/>
      <c r="W234" s="206"/>
      <c r="X234" s="207"/>
      <c r="Y234" s="207"/>
      <c r="Z234" s="207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7"/>
      <c r="AR234" s="206"/>
      <c r="AS234" s="206"/>
      <c r="AT234" s="206"/>
      <c r="AU234" s="206"/>
      <c r="AV234" s="206"/>
      <c r="AW234" s="207"/>
      <c r="AX234" s="207"/>
      <c r="AY234" s="207"/>
      <c r="AZ234" s="207"/>
    </row>
    <row r="235" spans="1:52" ht="24" customHeight="1" x14ac:dyDescent="0.2">
      <c r="A235" s="206"/>
      <c r="B235" s="206"/>
      <c r="C235" s="206"/>
      <c r="D235" s="206"/>
      <c r="E235" s="206"/>
      <c r="F235" s="206"/>
      <c r="G235" s="206"/>
      <c r="H235" s="206"/>
      <c r="I235" s="206"/>
      <c r="J235" s="206"/>
      <c r="K235" s="206"/>
      <c r="L235" s="206"/>
      <c r="M235" s="207"/>
      <c r="N235" s="207"/>
      <c r="O235" s="208"/>
      <c r="P235" s="208"/>
      <c r="Q235" s="208"/>
      <c r="R235" s="206"/>
      <c r="S235" s="206"/>
      <c r="T235" s="206"/>
      <c r="U235" s="206"/>
      <c r="V235" s="206"/>
      <c r="W235" s="206"/>
      <c r="X235" s="207"/>
      <c r="Y235" s="207"/>
      <c r="Z235" s="207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7"/>
      <c r="AR235" s="206"/>
      <c r="AS235" s="206"/>
      <c r="AT235" s="206"/>
      <c r="AU235" s="206"/>
      <c r="AV235" s="206"/>
      <c r="AW235" s="207"/>
      <c r="AX235" s="207"/>
      <c r="AY235" s="207"/>
      <c r="AZ235" s="207"/>
    </row>
    <row r="236" spans="1:52" ht="24" customHeight="1" x14ac:dyDescent="0.2">
      <c r="A236" s="206"/>
      <c r="B236" s="206"/>
      <c r="C236" s="206"/>
      <c r="D236" s="206"/>
      <c r="E236" s="206"/>
      <c r="F236" s="206"/>
      <c r="G236" s="206"/>
      <c r="H236" s="206"/>
      <c r="I236" s="206"/>
      <c r="J236" s="206"/>
      <c r="K236" s="206"/>
      <c r="L236" s="206"/>
      <c r="M236" s="207"/>
      <c r="N236" s="207"/>
      <c r="O236" s="208"/>
      <c r="P236" s="208"/>
      <c r="Q236" s="208"/>
      <c r="R236" s="206"/>
      <c r="S236" s="206"/>
      <c r="T236" s="206"/>
      <c r="U236" s="206"/>
      <c r="V236" s="206"/>
      <c r="W236" s="206"/>
      <c r="X236" s="207"/>
      <c r="Y236" s="207"/>
      <c r="Z236" s="207"/>
      <c r="AA236" s="206"/>
      <c r="AB236" s="206"/>
      <c r="AC236" s="206"/>
      <c r="AD236" s="206"/>
      <c r="AE236" s="206"/>
      <c r="AF236" s="206"/>
      <c r="AG236" s="206"/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7"/>
      <c r="AR236" s="206"/>
      <c r="AS236" s="206"/>
      <c r="AT236" s="206"/>
      <c r="AU236" s="206"/>
      <c r="AV236" s="206"/>
      <c r="AW236" s="207"/>
      <c r="AX236" s="207"/>
      <c r="AY236" s="207"/>
      <c r="AZ236" s="207"/>
    </row>
    <row r="237" spans="1:52" ht="24" customHeight="1" x14ac:dyDescent="0.2">
      <c r="A237" s="206"/>
      <c r="B237" s="206"/>
      <c r="C237" s="206"/>
      <c r="D237" s="206"/>
      <c r="E237" s="206"/>
      <c r="F237" s="206"/>
      <c r="G237" s="206"/>
      <c r="H237" s="206"/>
      <c r="I237" s="206"/>
      <c r="J237" s="206"/>
      <c r="K237" s="206"/>
      <c r="L237" s="206"/>
      <c r="M237" s="207"/>
      <c r="N237" s="207"/>
      <c r="O237" s="208"/>
      <c r="P237" s="208"/>
      <c r="Q237" s="208"/>
      <c r="R237" s="206"/>
      <c r="S237" s="206"/>
      <c r="T237" s="206"/>
      <c r="U237" s="206"/>
      <c r="V237" s="206"/>
      <c r="W237" s="206"/>
      <c r="X237" s="207"/>
      <c r="Y237" s="207"/>
      <c r="Z237" s="207"/>
      <c r="AA237" s="206"/>
      <c r="AB237" s="206"/>
      <c r="AC237" s="206"/>
      <c r="AD237" s="206"/>
      <c r="AE237" s="206"/>
      <c r="AF237" s="206"/>
      <c r="AG237" s="206"/>
      <c r="AH237" s="206"/>
      <c r="AI237" s="206"/>
      <c r="AJ237" s="206"/>
      <c r="AK237" s="206"/>
      <c r="AL237" s="206"/>
      <c r="AM237" s="206"/>
      <c r="AN237" s="206"/>
      <c r="AO237" s="206"/>
      <c r="AP237" s="206"/>
      <c r="AQ237" s="207"/>
      <c r="AR237" s="206"/>
      <c r="AS237" s="206"/>
      <c r="AT237" s="206"/>
      <c r="AU237" s="206"/>
      <c r="AV237" s="206"/>
      <c r="AW237" s="207"/>
      <c r="AX237" s="207"/>
      <c r="AY237" s="207"/>
      <c r="AZ237" s="207"/>
    </row>
    <row r="238" spans="1:52" ht="24" customHeight="1" x14ac:dyDescent="0.2">
      <c r="A238" s="206"/>
      <c r="B238" s="206"/>
      <c r="C238" s="206"/>
      <c r="D238" s="206"/>
      <c r="E238" s="206"/>
      <c r="F238" s="206"/>
      <c r="G238" s="206"/>
      <c r="H238" s="206"/>
      <c r="I238" s="206"/>
      <c r="J238" s="206"/>
      <c r="K238" s="206"/>
      <c r="L238" s="206"/>
      <c r="M238" s="207"/>
      <c r="N238" s="207"/>
      <c r="O238" s="208"/>
      <c r="P238" s="208"/>
      <c r="Q238" s="208"/>
      <c r="R238" s="206"/>
      <c r="S238" s="206"/>
      <c r="T238" s="206"/>
      <c r="U238" s="206"/>
      <c r="V238" s="206"/>
      <c r="W238" s="206"/>
      <c r="X238" s="207"/>
      <c r="Y238" s="207"/>
      <c r="Z238" s="207"/>
      <c r="AA238" s="206"/>
      <c r="AB238" s="206"/>
      <c r="AC238" s="206"/>
      <c r="AD238" s="206"/>
      <c r="AE238" s="206"/>
      <c r="AF238" s="206"/>
      <c r="AG238" s="206"/>
      <c r="AH238" s="206"/>
      <c r="AI238" s="206"/>
      <c r="AJ238" s="206"/>
      <c r="AK238" s="206"/>
      <c r="AL238" s="206"/>
      <c r="AM238" s="206"/>
      <c r="AN238" s="206"/>
      <c r="AO238" s="206"/>
      <c r="AP238" s="206"/>
      <c r="AQ238" s="207"/>
      <c r="AR238" s="206"/>
      <c r="AS238" s="206"/>
      <c r="AT238" s="206"/>
      <c r="AU238" s="206"/>
      <c r="AV238" s="206"/>
      <c r="AW238" s="207"/>
      <c r="AX238" s="207"/>
      <c r="AY238" s="207"/>
      <c r="AZ238" s="207"/>
    </row>
    <row r="239" spans="1:52" ht="24" customHeight="1" x14ac:dyDescent="0.2">
      <c r="A239" s="206"/>
      <c r="B239" s="206"/>
      <c r="C239" s="206"/>
      <c r="D239" s="206"/>
      <c r="E239" s="206"/>
      <c r="F239" s="206"/>
      <c r="G239" s="206"/>
      <c r="H239" s="206"/>
      <c r="I239" s="206"/>
      <c r="J239" s="206"/>
      <c r="K239" s="206"/>
      <c r="L239" s="206"/>
      <c r="M239" s="207"/>
      <c r="N239" s="207"/>
      <c r="O239" s="208"/>
      <c r="P239" s="208"/>
      <c r="Q239" s="208"/>
      <c r="R239" s="206"/>
      <c r="S239" s="206"/>
      <c r="T239" s="206"/>
      <c r="U239" s="206"/>
      <c r="V239" s="206"/>
      <c r="W239" s="206"/>
      <c r="X239" s="207"/>
      <c r="Y239" s="207"/>
      <c r="Z239" s="207"/>
      <c r="AA239" s="206"/>
      <c r="AB239" s="206"/>
      <c r="AC239" s="206"/>
      <c r="AD239" s="206"/>
      <c r="AE239" s="206"/>
      <c r="AF239" s="206"/>
      <c r="AG239" s="206"/>
      <c r="AH239" s="206"/>
      <c r="AI239" s="206"/>
      <c r="AJ239" s="206"/>
      <c r="AK239" s="206"/>
      <c r="AL239" s="206"/>
      <c r="AM239" s="206"/>
      <c r="AN239" s="206"/>
      <c r="AO239" s="206"/>
      <c r="AP239" s="206"/>
      <c r="AQ239" s="207"/>
      <c r="AR239" s="206"/>
      <c r="AS239" s="206"/>
      <c r="AT239" s="206"/>
      <c r="AU239" s="206"/>
      <c r="AV239" s="206"/>
      <c r="AW239" s="207"/>
      <c r="AX239" s="207"/>
      <c r="AY239" s="207"/>
      <c r="AZ239" s="207"/>
    </row>
    <row r="240" spans="1:52" ht="24" customHeight="1" x14ac:dyDescent="0.2">
      <c r="A240" s="206"/>
      <c r="B240" s="206"/>
      <c r="C240" s="206"/>
      <c r="D240" s="206"/>
      <c r="E240" s="206"/>
      <c r="F240" s="206"/>
      <c r="G240" s="206"/>
      <c r="H240" s="206"/>
      <c r="I240" s="206"/>
      <c r="J240" s="206"/>
      <c r="K240" s="206"/>
      <c r="L240" s="206"/>
      <c r="M240" s="207"/>
      <c r="N240" s="207"/>
      <c r="O240" s="208"/>
      <c r="P240" s="208"/>
      <c r="Q240" s="208"/>
      <c r="R240" s="206"/>
      <c r="S240" s="206"/>
      <c r="T240" s="206"/>
      <c r="U240" s="206"/>
      <c r="V240" s="206"/>
      <c r="W240" s="206"/>
      <c r="X240" s="207"/>
      <c r="Y240" s="207"/>
      <c r="Z240" s="207"/>
      <c r="AA240" s="206"/>
      <c r="AB240" s="206"/>
      <c r="AC240" s="206"/>
      <c r="AD240" s="206"/>
      <c r="AE240" s="206"/>
      <c r="AF240" s="206"/>
      <c r="AG240" s="206"/>
      <c r="AH240" s="206"/>
      <c r="AI240" s="206"/>
      <c r="AJ240" s="206"/>
      <c r="AK240" s="206"/>
      <c r="AL240" s="206"/>
      <c r="AM240" s="206"/>
      <c r="AN240" s="206"/>
      <c r="AO240" s="206"/>
      <c r="AP240" s="206"/>
      <c r="AQ240" s="207"/>
      <c r="AR240" s="206"/>
      <c r="AS240" s="206"/>
      <c r="AT240" s="206"/>
      <c r="AU240" s="206"/>
      <c r="AV240" s="206"/>
      <c r="AW240" s="207"/>
      <c r="AX240" s="207"/>
      <c r="AY240" s="207"/>
      <c r="AZ240" s="207"/>
    </row>
    <row r="241" spans="1:52" ht="24" customHeight="1" x14ac:dyDescent="0.2">
      <c r="A241" s="206"/>
      <c r="B241" s="206"/>
      <c r="C241" s="206"/>
      <c r="D241" s="206"/>
      <c r="E241" s="206"/>
      <c r="F241" s="206"/>
      <c r="G241" s="206"/>
      <c r="H241" s="206"/>
      <c r="I241" s="206"/>
      <c r="J241" s="206"/>
      <c r="K241" s="206"/>
      <c r="L241" s="206"/>
      <c r="M241" s="207"/>
      <c r="N241" s="207"/>
      <c r="O241" s="208"/>
      <c r="P241" s="208"/>
      <c r="Q241" s="208"/>
      <c r="R241" s="206"/>
      <c r="S241" s="206"/>
      <c r="T241" s="206"/>
      <c r="U241" s="206"/>
      <c r="V241" s="206"/>
      <c r="W241" s="206"/>
      <c r="X241" s="207"/>
      <c r="Y241" s="207"/>
      <c r="Z241" s="207"/>
      <c r="AA241" s="206"/>
      <c r="AB241" s="206"/>
      <c r="AC241" s="206"/>
      <c r="AD241" s="206"/>
      <c r="AE241" s="206"/>
      <c r="AF241" s="206"/>
      <c r="AG241" s="206"/>
      <c r="AH241" s="206"/>
      <c r="AI241" s="206"/>
      <c r="AJ241" s="206"/>
      <c r="AK241" s="206"/>
      <c r="AL241" s="206"/>
      <c r="AM241" s="206"/>
      <c r="AN241" s="206"/>
      <c r="AO241" s="206"/>
      <c r="AP241" s="206"/>
      <c r="AQ241" s="207"/>
      <c r="AR241" s="206"/>
      <c r="AS241" s="206"/>
      <c r="AT241" s="206"/>
      <c r="AU241" s="206"/>
      <c r="AV241" s="206"/>
      <c r="AW241" s="207"/>
      <c r="AX241" s="207"/>
      <c r="AY241" s="207"/>
      <c r="AZ241" s="207"/>
    </row>
    <row r="242" spans="1:52" ht="24" customHeight="1" x14ac:dyDescent="0.2">
      <c r="A242" s="206"/>
      <c r="B242" s="206"/>
      <c r="C242" s="206"/>
      <c r="D242" s="206"/>
      <c r="E242" s="206"/>
      <c r="F242" s="206"/>
      <c r="G242" s="206"/>
      <c r="H242" s="206"/>
      <c r="I242" s="206"/>
      <c r="J242" s="206"/>
      <c r="K242" s="206"/>
      <c r="L242" s="206"/>
      <c r="M242" s="207"/>
      <c r="N242" s="207"/>
      <c r="O242" s="208"/>
      <c r="P242" s="208"/>
      <c r="Q242" s="208"/>
      <c r="R242" s="206"/>
      <c r="S242" s="206"/>
      <c r="T242" s="206"/>
      <c r="U242" s="206"/>
      <c r="V242" s="206"/>
      <c r="W242" s="206"/>
      <c r="X242" s="207"/>
      <c r="Y242" s="207"/>
      <c r="Z242" s="207"/>
      <c r="AA242" s="206"/>
      <c r="AB242" s="206"/>
      <c r="AC242" s="206"/>
      <c r="AD242" s="206"/>
      <c r="AE242" s="206"/>
      <c r="AF242" s="206"/>
      <c r="AG242" s="206"/>
      <c r="AH242" s="206"/>
      <c r="AI242" s="206"/>
      <c r="AJ242" s="206"/>
      <c r="AK242" s="206"/>
      <c r="AL242" s="206"/>
      <c r="AM242" s="206"/>
      <c r="AN242" s="206"/>
      <c r="AO242" s="206"/>
      <c r="AP242" s="206"/>
      <c r="AQ242" s="207"/>
      <c r="AR242" s="206"/>
      <c r="AS242" s="206"/>
      <c r="AT242" s="206"/>
      <c r="AU242" s="206"/>
      <c r="AV242" s="206"/>
      <c r="AW242" s="207"/>
      <c r="AX242" s="207"/>
      <c r="AY242" s="207"/>
      <c r="AZ242" s="207"/>
    </row>
    <row r="243" spans="1:52" ht="24" customHeight="1" x14ac:dyDescent="0.2">
      <c r="A243" s="206"/>
      <c r="B243" s="206"/>
      <c r="C243" s="206"/>
      <c r="D243" s="206"/>
      <c r="E243" s="206"/>
      <c r="F243" s="206"/>
      <c r="G243" s="206"/>
      <c r="H243" s="206"/>
      <c r="I243" s="206"/>
      <c r="J243" s="206"/>
      <c r="K243" s="206"/>
      <c r="L243" s="206"/>
      <c r="M243" s="207"/>
      <c r="N243" s="207"/>
      <c r="O243" s="208"/>
      <c r="P243" s="208"/>
      <c r="Q243" s="208"/>
      <c r="R243" s="206"/>
      <c r="S243" s="206"/>
      <c r="T243" s="206"/>
      <c r="U243" s="206"/>
      <c r="V243" s="206"/>
      <c r="W243" s="206"/>
      <c r="X243" s="207"/>
      <c r="Y243" s="207"/>
      <c r="Z243" s="207"/>
      <c r="AA243" s="206"/>
      <c r="AB243" s="206"/>
      <c r="AC243" s="206"/>
      <c r="AD243" s="206"/>
      <c r="AE243" s="206"/>
      <c r="AF243" s="206"/>
      <c r="AG243" s="206"/>
      <c r="AH243" s="206"/>
      <c r="AI243" s="206"/>
      <c r="AJ243" s="206"/>
      <c r="AK243" s="206"/>
      <c r="AL243" s="206"/>
      <c r="AM243" s="206"/>
      <c r="AN243" s="206"/>
      <c r="AO243" s="206"/>
      <c r="AP243" s="206"/>
      <c r="AQ243" s="207"/>
      <c r="AR243" s="206"/>
      <c r="AS243" s="206"/>
      <c r="AT243" s="206"/>
      <c r="AU243" s="206"/>
      <c r="AV243" s="206"/>
      <c r="AW243" s="207"/>
      <c r="AX243" s="207"/>
      <c r="AY243" s="207"/>
      <c r="AZ243" s="207"/>
    </row>
    <row r="244" spans="1:52" ht="24" customHeight="1" x14ac:dyDescent="0.2">
      <c r="A244" s="206"/>
      <c r="B244" s="206"/>
      <c r="C244" s="206"/>
      <c r="D244" s="206"/>
      <c r="E244" s="206"/>
      <c r="F244" s="206"/>
      <c r="G244" s="206"/>
      <c r="H244" s="206"/>
      <c r="I244" s="206"/>
      <c r="J244" s="206"/>
      <c r="K244" s="206"/>
      <c r="L244" s="206"/>
      <c r="M244" s="207"/>
      <c r="N244" s="207"/>
      <c r="O244" s="208"/>
      <c r="P244" s="208"/>
      <c r="Q244" s="208"/>
      <c r="R244" s="206"/>
      <c r="S244" s="206"/>
      <c r="T244" s="206"/>
      <c r="U244" s="206"/>
      <c r="V244" s="206"/>
      <c r="W244" s="206"/>
      <c r="X244" s="207"/>
      <c r="Y244" s="207"/>
      <c r="Z244" s="207"/>
      <c r="AA244" s="206"/>
      <c r="AB244" s="206"/>
      <c r="AC244" s="206"/>
      <c r="AD244" s="206"/>
      <c r="AE244" s="206"/>
      <c r="AF244" s="206"/>
      <c r="AG244" s="206"/>
      <c r="AH244" s="206"/>
      <c r="AI244" s="206"/>
      <c r="AJ244" s="206"/>
      <c r="AK244" s="206"/>
      <c r="AL244" s="206"/>
      <c r="AM244" s="206"/>
      <c r="AN244" s="206"/>
      <c r="AO244" s="206"/>
      <c r="AP244" s="206"/>
      <c r="AQ244" s="207"/>
      <c r="AR244" s="206"/>
      <c r="AS244" s="206"/>
      <c r="AT244" s="206"/>
      <c r="AU244" s="206"/>
      <c r="AV244" s="206"/>
      <c r="AW244" s="207"/>
      <c r="AX244" s="207"/>
      <c r="AY244" s="207"/>
      <c r="AZ244" s="207"/>
    </row>
    <row r="245" spans="1:52" ht="24" customHeight="1" x14ac:dyDescent="0.2">
      <c r="A245" s="206"/>
      <c r="B245" s="206"/>
      <c r="C245" s="206"/>
      <c r="D245" s="206"/>
      <c r="E245" s="206"/>
      <c r="F245" s="206"/>
      <c r="G245" s="206"/>
      <c r="H245" s="206"/>
      <c r="I245" s="206"/>
      <c r="J245" s="206"/>
      <c r="K245" s="206"/>
      <c r="L245" s="206"/>
      <c r="M245" s="207"/>
      <c r="N245" s="207"/>
      <c r="O245" s="208"/>
      <c r="P245" s="208"/>
      <c r="Q245" s="208"/>
      <c r="R245" s="206"/>
      <c r="S245" s="206"/>
      <c r="T245" s="206"/>
      <c r="U245" s="206"/>
      <c r="V245" s="206"/>
      <c r="W245" s="206"/>
      <c r="X245" s="207"/>
      <c r="Y245" s="207"/>
      <c r="Z245" s="207"/>
      <c r="AA245" s="206"/>
      <c r="AB245" s="206"/>
      <c r="AC245" s="206"/>
      <c r="AD245" s="206"/>
      <c r="AE245" s="206"/>
      <c r="AF245" s="206"/>
      <c r="AG245" s="206"/>
      <c r="AH245" s="206"/>
      <c r="AI245" s="206"/>
      <c r="AJ245" s="206"/>
      <c r="AK245" s="206"/>
      <c r="AL245" s="206"/>
      <c r="AM245" s="206"/>
      <c r="AN245" s="206"/>
      <c r="AO245" s="206"/>
      <c r="AP245" s="206"/>
      <c r="AQ245" s="207"/>
      <c r="AR245" s="206"/>
      <c r="AS245" s="206"/>
      <c r="AT245" s="206"/>
      <c r="AU245" s="206"/>
      <c r="AV245" s="206"/>
      <c r="AW245" s="207"/>
      <c r="AX245" s="207"/>
      <c r="AY245" s="207"/>
      <c r="AZ245" s="207"/>
    </row>
    <row r="246" spans="1:52" ht="24" customHeight="1" x14ac:dyDescent="0.2">
      <c r="A246" s="206"/>
      <c r="B246" s="206"/>
      <c r="C246" s="206"/>
      <c r="D246" s="206"/>
      <c r="E246" s="206"/>
      <c r="F246" s="206"/>
      <c r="G246" s="206"/>
      <c r="H246" s="206"/>
      <c r="I246" s="206"/>
      <c r="J246" s="206"/>
      <c r="K246" s="206"/>
      <c r="L246" s="206"/>
      <c r="M246" s="207"/>
      <c r="N246" s="207"/>
      <c r="O246" s="208"/>
      <c r="P246" s="208"/>
      <c r="Q246" s="208"/>
      <c r="R246" s="206"/>
      <c r="S246" s="206"/>
      <c r="T246" s="206"/>
      <c r="U246" s="206"/>
      <c r="V246" s="206"/>
      <c r="W246" s="206"/>
      <c r="X246" s="207"/>
      <c r="Y246" s="207"/>
      <c r="Z246" s="207"/>
      <c r="AA246" s="206"/>
      <c r="AB246" s="206"/>
      <c r="AC246" s="206"/>
      <c r="AD246" s="206"/>
      <c r="AE246" s="206"/>
      <c r="AF246" s="206"/>
      <c r="AG246" s="206"/>
      <c r="AH246" s="206"/>
      <c r="AI246" s="206"/>
      <c r="AJ246" s="206"/>
      <c r="AK246" s="206"/>
      <c r="AL246" s="206"/>
      <c r="AM246" s="206"/>
      <c r="AN246" s="206"/>
      <c r="AO246" s="206"/>
      <c r="AP246" s="206"/>
      <c r="AQ246" s="207"/>
      <c r="AR246" s="206"/>
      <c r="AS246" s="206"/>
      <c r="AT246" s="206"/>
      <c r="AU246" s="206"/>
      <c r="AV246" s="206"/>
      <c r="AW246" s="207"/>
      <c r="AX246" s="207"/>
      <c r="AY246" s="207"/>
      <c r="AZ246" s="207"/>
    </row>
    <row r="247" spans="1:52" ht="24" customHeight="1" x14ac:dyDescent="0.2">
      <c r="A247" s="206"/>
      <c r="B247" s="206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7"/>
      <c r="N247" s="207"/>
      <c r="O247" s="208"/>
      <c r="P247" s="208"/>
      <c r="Q247" s="208"/>
      <c r="R247" s="206"/>
      <c r="S247" s="206"/>
      <c r="T247" s="206"/>
      <c r="U247" s="206"/>
      <c r="V247" s="206"/>
      <c r="W247" s="206"/>
      <c r="X247" s="207"/>
      <c r="Y247" s="207"/>
      <c r="Z247" s="207"/>
      <c r="AA247" s="206"/>
      <c r="AB247" s="206"/>
      <c r="AC247" s="206"/>
      <c r="AD247" s="206"/>
      <c r="AE247" s="206"/>
      <c r="AF247" s="206"/>
      <c r="AG247" s="206"/>
      <c r="AH247" s="206"/>
      <c r="AI247" s="206"/>
      <c r="AJ247" s="206"/>
      <c r="AK247" s="206"/>
      <c r="AL247" s="206"/>
      <c r="AM247" s="206"/>
      <c r="AN247" s="206"/>
      <c r="AO247" s="206"/>
      <c r="AP247" s="206"/>
      <c r="AQ247" s="207"/>
      <c r="AR247" s="206"/>
      <c r="AS247" s="206"/>
      <c r="AT247" s="206"/>
      <c r="AU247" s="206"/>
      <c r="AV247" s="206"/>
      <c r="AW247" s="207"/>
      <c r="AX247" s="207"/>
      <c r="AY247" s="207"/>
      <c r="AZ247" s="207"/>
    </row>
    <row r="248" spans="1:52" ht="24" customHeight="1" x14ac:dyDescent="0.2">
      <c r="A248" s="206"/>
      <c r="B248" s="206"/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7"/>
      <c r="N248" s="207"/>
      <c r="O248" s="208"/>
      <c r="P248" s="208"/>
      <c r="Q248" s="208"/>
      <c r="R248" s="206"/>
      <c r="S248" s="206"/>
      <c r="T248" s="206"/>
      <c r="U248" s="206"/>
      <c r="V248" s="206"/>
      <c r="W248" s="206"/>
      <c r="X248" s="207"/>
      <c r="Y248" s="207"/>
      <c r="Z248" s="207"/>
      <c r="AA248" s="206"/>
      <c r="AB248" s="206"/>
      <c r="AC248" s="206"/>
      <c r="AD248" s="206"/>
      <c r="AE248" s="206"/>
      <c r="AF248" s="206"/>
      <c r="AG248" s="206"/>
      <c r="AH248" s="206"/>
      <c r="AI248" s="206"/>
      <c r="AJ248" s="206"/>
      <c r="AK248" s="206"/>
      <c r="AL248" s="206"/>
      <c r="AM248" s="206"/>
      <c r="AN248" s="206"/>
      <c r="AO248" s="206"/>
      <c r="AP248" s="206"/>
      <c r="AQ248" s="207"/>
      <c r="AR248" s="206"/>
      <c r="AS248" s="206"/>
      <c r="AT248" s="206"/>
      <c r="AU248" s="206"/>
      <c r="AV248" s="206"/>
      <c r="AW248" s="207"/>
      <c r="AX248" s="207"/>
      <c r="AY248" s="207"/>
      <c r="AZ248" s="207"/>
    </row>
    <row r="249" spans="1:52" ht="24" customHeight="1" x14ac:dyDescent="0.2">
      <c r="A249" s="206"/>
      <c r="B249" s="206"/>
      <c r="C249" s="206"/>
      <c r="D249" s="206"/>
      <c r="E249" s="206"/>
      <c r="F249" s="206"/>
      <c r="G249" s="206"/>
      <c r="H249" s="206"/>
      <c r="I249" s="206"/>
      <c r="J249" s="206"/>
      <c r="K249" s="206"/>
      <c r="L249" s="206"/>
      <c r="M249" s="207"/>
      <c r="N249" s="207"/>
      <c r="O249" s="208"/>
      <c r="P249" s="208"/>
      <c r="Q249" s="208"/>
      <c r="R249" s="206"/>
      <c r="S249" s="206"/>
      <c r="T249" s="206"/>
      <c r="U249" s="206"/>
      <c r="V249" s="206"/>
      <c r="W249" s="206"/>
      <c r="X249" s="207"/>
      <c r="Y249" s="207"/>
      <c r="Z249" s="207"/>
      <c r="AA249" s="206"/>
      <c r="AB249" s="206"/>
      <c r="AC249" s="206"/>
      <c r="AD249" s="206"/>
      <c r="AE249" s="206"/>
      <c r="AF249" s="206"/>
      <c r="AG249" s="206"/>
      <c r="AH249" s="206"/>
      <c r="AI249" s="206"/>
      <c r="AJ249" s="206"/>
      <c r="AK249" s="206"/>
      <c r="AL249" s="206"/>
      <c r="AM249" s="206"/>
      <c r="AN249" s="206"/>
      <c r="AO249" s="206"/>
      <c r="AP249" s="206"/>
      <c r="AQ249" s="207"/>
      <c r="AR249" s="206"/>
      <c r="AS249" s="206"/>
      <c r="AT249" s="206"/>
      <c r="AU249" s="206"/>
      <c r="AV249" s="206"/>
      <c r="AW249" s="207"/>
      <c r="AX249" s="207"/>
      <c r="AY249" s="207"/>
      <c r="AZ249" s="207"/>
    </row>
    <row r="250" spans="1:52" ht="24" customHeight="1" x14ac:dyDescent="0.2">
      <c r="A250" s="206"/>
      <c r="B250" s="206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7"/>
      <c r="N250" s="207"/>
      <c r="O250" s="208"/>
      <c r="P250" s="208"/>
      <c r="Q250" s="208"/>
      <c r="R250" s="206"/>
      <c r="S250" s="206"/>
      <c r="T250" s="206"/>
      <c r="U250" s="206"/>
      <c r="V250" s="206"/>
      <c r="W250" s="206"/>
      <c r="X250" s="207"/>
      <c r="Y250" s="207"/>
      <c r="Z250" s="207"/>
      <c r="AA250" s="206"/>
      <c r="AB250" s="206"/>
      <c r="AC250" s="206"/>
      <c r="AD250" s="206"/>
      <c r="AE250" s="206"/>
      <c r="AF250" s="206"/>
      <c r="AG250" s="206"/>
      <c r="AH250" s="206"/>
      <c r="AI250" s="206"/>
      <c r="AJ250" s="206"/>
      <c r="AK250" s="206"/>
      <c r="AL250" s="206"/>
      <c r="AM250" s="206"/>
      <c r="AN250" s="206"/>
      <c r="AO250" s="206"/>
      <c r="AP250" s="206"/>
      <c r="AQ250" s="207"/>
      <c r="AR250" s="206"/>
      <c r="AS250" s="206"/>
      <c r="AT250" s="206"/>
      <c r="AU250" s="206"/>
      <c r="AV250" s="206"/>
      <c r="AW250" s="207"/>
      <c r="AX250" s="207"/>
      <c r="AY250" s="207"/>
      <c r="AZ250" s="207"/>
    </row>
    <row r="251" spans="1:52" ht="24" customHeight="1" x14ac:dyDescent="0.2">
      <c r="A251" s="206"/>
      <c r="B251" s="206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7"/>
      <c r="N251" s="207"/>
      <c r="O251" s="208"/>
      <c r="P251" s="208"/>
      <c r="Q251" s="208"/>
      <c r="R251" s="206"/>
      <c r="S251" s="206"/>
      <c r="T251" s="206"/>
      <c r="U251" s="206"/>
      <c r="V251" s="206"/>
      <c r="W251" s="206"/>
      <c r="X251" s="207"/>
      <c r="Y251" s="207"/>
      <c r="Z251" s="207"/>
      <c r="AA251" s="206"/>
      <c r="AB251" s="206"/>
      <c r="AC251" s="206"/>
      <c r="AD251" s="206"/>
      <c r="AE251" s="206"/>
      <c r="AF251" s="206"/>
      <c r="AG251" s="206"/>
      <c r="AH251" s="206"/>
      <c r="AI251" s="206"/>
      <c r="AJ251" s="206"/>
      <c r="AK251" s="206"/>
      <c r="AL251" s="206"/>
      <c r="AM251" s="206"/>
      <c r="AN251" s="206"/>
      <c r="AO251" s="206"/>
      <c r="AP251" s="206"/>
      <c r="AQ251" s="207"/>
      <c r="AR251" s="206"/>
      <c r="AS251" s="206"/>
      <c r="AT251" s="206"/>
      <c r="AU251" s="206"/>
      <c r="AV251" s="206"/>
      <c r="AW251" s="207"/>
      <c r="AX251" s="207"/>
      <c r="AY251" s="207"/>
      <c r="AZ251" s="207"/>
    </row>
    <row r="252" spans="1:52" ht="24" customHeight="1" x14ac:dyDescent="0.2">
      <c r="A252" s="206"/>
      <c r="B252" s="206"/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  <c r="M252" s="207"/>
      <c r="N252" s="207"/>
      <c r="O252" s="208"/>
      <c r="P252" s="208"/>
      <c r="Q252" s="208"/>
      <c r="R252" s="206"/>
      <c r="S252" s="206"/>
      <c r="T252" s="206"/>
      <c r="U252" s="206"/>
      <c r="V252" s="206"/>
      <c r="W252" s="206"/>
      <c r="X252" s="207"/>
      <c r="Y252" s="207"/>
      <c r="Z252" s="207"/>
      <c r="AA252" s="206"/>
      <c r="AB252" s="206"/>
      <c r="AC252" s="206"/>
      <c r="AD252" s="206"/>
      <c r="AE252" s="206"/>
      <c r="AF252" s="206"/>
      <c r="AG252" s="206"/>
      <c r="AH252" s="206"/>
      <c r="AI252" s="206"/>
      <c r="AJ252" s="206"/>
      <c r="AK252" s="206"/>
      <c r="AL252" s="206"/>
      <c r="AM252" s="206"/>
      <c r="AN252" s="206"/>
      <c r="AO252" s="206"/>
      <c r="AP252" s="206"/>
      <c r="AQ252" s="207"/>
      <c r="AR252" s="206"/>
      <c r="AS252" s="206"/>
      <c r="AT252" s="206"/>
      <c r="AU252" s="206"/>
      <c r="AV252" s="206"/>
      <c r="AW252" s="207"/>
      <c r="AX252" s="207"/>
      <c r="AY252" s="207"/>
      <c r="AZ252" s="207"/>
    </row>
    <row r="253" spans="1:52" ht="24" customHeight="1" x14ac:dyDescent="0.2">
      <c r="A253" s="206"/>
      <c r="B253" s="206"/>
      <c r="C253" s="206"/>
      <c r="D253" s="206"/>
      <c r="E253" s="206"/>
      <c r="F253" s="206"/>
      <c r="G253" s="206"/>
      <c r="H253" s="206"/>
      <c r="I253" s="206"/>
      <c r="J253" s="206"/>
      <c r="K253" s="206"/>
      <c r="L253" s="206"/>
      <c r="M253" s="207"/>
      <c r="N253" s="207"/>
      <c r="O253" s="208"/>
      <c r="P253" s="208"/>
      <c r="Q253" s="208"/>
      <c r="R253" s="206"/>
      <c r="S253" s="206"/>
      <c r="T253" s="206"/>
      <c r="U253" s="206"/>
      <c r="V253" s="206"/>
      <c r="W253" s="206"/>
      <c r="X253" s="207"/>
      <c r="Y253" s="207"/>
      <c r="Z253" s="207"/>
      <c r="AA253" s="206"/>
      <c r="AB253" s="206"/>
      <c r="AC253" s="206"/>
      <c r="AD253" s="206"/>
      <c r="AE253" s="206"/>
      <c r="AF253" s="206"/>
      <c r="AG253" s="206"/>
      <c r="AH253" s="206"/>
      <c r="AI253" s="206"/>
      <c r="AJ253" s="206"/>
      <c r="AK253" s="206"/>
      <c r="AL253" s="206"/>
      <c r="AM253" s="206"/>
      <c r="AN253" s="206"/>
      <c r="AO253" s="206"/>
      <c r="AP253" s="206"/>
      <c r="AQ253" s="207"/>
      <c r="AR253" s="206"/>
      <c r="AS253" s="206"/>
      <c r="AT253" s="206"/>
      <c r="AU253" s="206"/>
      <c r="AV253" s="206"/>
      <c r="AW253" s="207"/>
      <c r="AX253" s="207"/>
      <c r="AY253" s="207"/>
      <c r="AZ253" s="207"/>
    </row>
    <row r="254" spans="1:52" ht="24" customHeight="1" x14ac:dyDescent="0.2">
      <c r="A254" s="206"/>
      <c r="B254" s="206"/>
      <c r="C254" s="206"/>
      <c r="D254" s="206"/>
      <c r="E254" s="206"/>
      <c r="F254" s="206"/>
      <c r="G254" s="206"/>
      <c r="H254" s="206"/>
      <c r="I254" s="206"/>
      <c r="J254" s="206"/>
      <c r="K254" s="206"/>
      <c r="L254" s="206"/>
      <c r="M254" s="207"/>
      <c r="N254" s="207"/>
      <c r="O254" s="208"/>
      <c r="P254" s="208"/>
      <c r="Q254" s="208"/>
      <c r="R254" s="206"/>
      <c r="S254" s="206"/>
      <c r="T254" s="206"/>
      <c r="U254" s="206"/>
      <c r="V254" s="206"/>
      <c r="W254" s="206"/>
      <c r="X254" s="207"/>
      <c r="Y254" s="207"/>
      <c r="Z254" s="207"/>
      <c r="AA254" s="206"/>
      <c r="AB254" s="206"/>
      <c r="AC254" s="206"/>
      <c r="AD254" s="206"/>
      <c r="AE254" s="206"/>
      <c r="AF254" s="206"/>
      <c r="AG254" s="206"/>
      <c r="AH254" s="206"/>
      <c r="AI254" s="206"/>
      <c r="AJ254" s="206"/>
      <c r="AK254" s="206"/>
      <c r="AL254" s="206"/>
      <c r="AM254" s="206"/>
      <c r="AN254" s="206"/>
      <c r="AO254" s="206"/>
      <c r="AP254" s="206"/>
      <c r="AQ254" s="207"/>
      <c r="AR254" s="206"/>
      <c r="AS254" s="206"/>
      <c r="AT254" s="206"/>
      <c r="AU254" s="206"/>
      <c r="AV254" s="206"/>
      <c r="AW254" s="207"/>
      <c r="AX254" s="207"/>
      <c r="AY254" s="207"/>
      <c r="AZ254" s="207"/>
    </row>
    <row r="255" spans="1:52" ht="24" customHeight="1" x14ac:dyDescent="0.2">
      <c r="A255" s="206"/>
      <c r="B255" s="206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07"/>
      <c r="N255" s="207"/>
      <c r="O255" s="208"/>
      <c r="P255" s="208"/>
      <c r="Q255" s="208"/>
      <c r="R255" s="206"/>
      <c r="S255" s="206"/>
      <c r="T255" s="206"/>
      <c r="U255" s="206"/>
      <c r="V255" s="206"/>
      <c r="W255" s="206"/>
      <c r="X255" s="207"/>
      <c r="Y255" s="207"/>
      <c r="Z255" s="207"/>
      <c r="AA255" s="206"/>
      <c r="AB255" s="206"/>
      <c r="AC255" s="206"/>
      <c r="AD255" s="206"/>
      <c r="AE255" s="206"/>
      <c r="AF255" s="206"/>
      <c r="AG255" s="206"/>
      <c r="AH255" s="206"/>
      <c r="AI255" s="206"/>
      <c r="AJ255" s="206"/>
      <c r="AK255" s="206"/>
      <c r="AL255" s="206"/>
      <c r="AM255" s="206"/>
      <c r="AN255" s="206"/>
      <c r="AO255" s="206"/>
      <c r="AP255" s="206"/>
      <c r="AQ255" s="207"/>
      <c r="AR255" s="206"/>
      <c r="AS255" s="206"/>
      <c r="AT255" s="206"/>
      <c r="AU255" s="206"/>
      <c r="AV255" s="206"/>
      <c r="AW255" s="207"/>
      <c r="AX255" s="207"/>
      <c r="AY255" s="207"/>
      <c r="AZ255" s="207"/>
    </row>
    <row r="256" spans="1:52" ht="24" customHeight="1" x14ac:dyDescent="0.2">
      <c r="A256" s="206"/>
      <c r="B256" s="206"/>
      <c r="C256" s="206"/>
      <c r="D256" s="206"/>
      <c r="E256" s="206"/>
      <c r="F256" s="206"/>
      <c r="G256" s="206"/>
      <c r="H256" s="206"/>
      <c r="I256" s="206"/>
      <c r="J256" s="206"/>
      <c r="K256" s="206"/>
      <c r="L256" s="206"/>
      <c r="M256" s="207"/>
      <c r="N256" s="207"/>
      <c r="O256" s="208"/>
      <c r="P256" s="208"/>
      <c r="Q256" s="208"/>
      <c r="R256" s="206"/>
      <c r="S256" s="206"/>
      <c r="T256" s="206"/>
      <c r="U256" s="206"/>
      <c r="V256" s="206"/>
      <c r="W256" s="206"/>
      <c r="X256" s="207"/>
      <c r="Y256" s="207"/>
      <c r="Z256" s="207"/>
      <c r="AA256" s="206"/>
      <c r="AB256" s="206"/>
      <c r="AC256" s="206"/>
      <c r="AD256" s="206"/>
      <c r="AE256" s="206"/>
      <c r="AF256" s="206"/>
      <c r="AG256" s="206"/>
      <c r="AH256" s="206"/>
      <c r="AI256" s="206"/>
      <c r="AJ256" s="206"/>
      <c r="AK256" s="206"/>
      <c r="AL256" s="206"/>
      <c r="AM256" s="206"/>
      <c r="AN256" s="206"/>
      <c r="AO256" s="206"/>
      <c r="AP256" s="206"/>
      <c r="AQ256" s="207"/>
      <c r="AR256" s="206"/>
      <c r="AS256" s="206"/>
      <c r="AT256" s="206"/>
      <c r="AU256" s="206"/>
      <c r="AV256" s="206"/>
      <c r="AW256" s="207"/>
      <c r="AX256" s="207"/>
      <c r="AY256" s="207"/>
      <c r="AZ256" s="207"/>
    </row>
    <row r="257" spans="1:52" ht="24" customHeight="1" x14ac:dyDescent="0.2">
      <c r="A257" s="206"/>
      <c r="B257" s="206"/>
      <c r="C257" s="206"/>
      <c r="D257" s="206"/>
      <c r="E257" s="206"/>
      <c r="F257" s="206"/>
      <c r="G257" s="206"/>
      <c r="H257" s="206"/>
      <c r="I257" s="206"/>
      <c r="J257" s="206"/>
      <c r="K257" s="206"/>
      <c r="L257" s="206"/>
      <c r="M257" s="207"/>
      <c r="N257" s="207"/>
      <c r="O257" s="208"/>
      <c r="P257" s="208"/>
      <c r="Q257" s="208"/>
      <c r="R257" s="206"/>
      <c r="S257" s="206"/>
      <c r="T257" s="206"/>
      <c r="U257" s="206"/>
      <c r="V257" s="206"/>
      <c r="W257" s="206"/>
      <c r="X257" s="207"/>
      <c r="Y257" s="207"/>
      <c r="Z257" s="207"/>
      <c r="AA257" s="206"/>
      <c r="AB257" s="206"/>
      <c r="AC257" s="206"/>
      <c r="AD257" s="206"/>
      <c r="AE257" s="206"/>
      <c r="AF257" s="206"/>
      <c r="AG257" s="206"/>
      <c r="AH257" s="206"/>
      <c r="AI257" s="206"/>
      <c r="AJ257" s="206"/>
      <c r="AK257" s="206"/>
      <c r="AL257" s="206"/>
      <c r="AM257" s="206"/>
      <c r="AN257" s="206"/>
      <c r="AO257" s="206"/>
      <c r="AP257" s="206"/>
      <c r="AQ257" s="207"/>
      <c r="AR257" s="206"/>
      <c r="AS257" s="206"/>
      <c r="AT257" s="206"/>
      <c r="AU257" s="206"/>
      <c r="AV257" s="206"/>
      <c r="AW257" s="207"/>
      <c r="AX257" s="207"/>
      <c r="AY257" s="207"/>
      <c r="AZ257" s="207"/>
    </row>
    <row r="258" spans="1:52" ht="24" customHeight="1" x14ac:dyDescent="0.2">
      <c r="A258" s="206"/>
      <c r="B258" s="206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07"/>
      <c r="N258" s="207"/>
      <c r="O258" s="208"/>
      <c r="P258" s="208"/>
      <c r="Q258" s="208"/>
      <c r="R258" s="206"/>
      <c r="S258" s="206"/>
      <c r="T258" s="206"/>
      <c r="U258" s="206"/>
      <c r="V258" s="206"/>
      <c r="W258" s="206"/>
      <c r="X258" s="207"/>
      <c r="Y258" s="207"/>
      <c r="Z258" s="207"/>
      <c r="AA258" s="206"/>
      <c r="AB258" s="206"/>
      <c r="AC258" s="206"/>
      <c r="AD258" s="206"/>
      <c r="AE258" s="206"/>
      <c r="AF258" s="206"/>
      <c r="AG258" s="206"/>
      <c r="AH258" s="206"/>
      <c r="AI258" s="206"/>
      <c r="AJ258" s="206"/>
      <c r="AK258" s="206"/>
      <c r="AL258" s="206"/>
      <c r="AM258" s="206"/>
      <c r="AN258" s="206"/>
      <c r="AO258" s="206"/>
      <c r="AP258" s="206"/>
      <c r="AQ258" s="207"/>
      <c r="AR258" s="206"/>
      <c r="AS258" s="206"/>
      <c r="AT258" s="206"/>
      <c r="AU258" s="206"/>
      <c r="AV258" s="206"/>
      <c r="AW258" s="207"/>
      <c r="AX258" s="207"/>
      <c r="AY258" s="207"/>
      <c r="AZ258" s="207"/>
    </row>
    <row r="259" spans="1:52" ht="24" customHeight="1" x14ac:dyDescent="0.2">
      <c r="A259" s="206"/>
      <c r="B259" s="206"/>
      <c r="C259" s="206"/>
      <c r="D259" s="206"/>
      <c r="E259" s="206"/>
      <c r="F259" s="206"/>
      <c r="G259" s="206"/>
      <c r="H259" s="206"/>
      <c r="I259" s="206"/>
      <c r="J259" s="206"/>
      <c r="K259" s="206"/>
      <c r="L259" s="206"/>
      <c r="M259" s="207"/>
      <c r="N259" s="207"/>
      <c r="O259" s="208"/>
      <c r="P259" s="208"/>
      <c r="Q259" s="208"/>
      <c r="R259" s="206"/>
      <c r="S259" s="206"/>
      <c r="T259" s="206"/>
      <c r="U259" s="206"/>
      <c r="V259" s="206"/>
      <c r="W259" s="206"/>
      <c r="X259" s="207"/>
      <c r="Y259" s="207"/>
      <c r="Z259" s="207"/>
      <c r="AA259" s="206"/>
      <c r="AB259" s="206"/>
      <c r="AC259" s="206"/>
      <c r="AD259" s="206"/>
      <c r="AE259" s="206"/>
      <c r="AF259" s="206"/>
      <c r="AG259" s="206"/>
      <c r="AH259" s="206"/>
      <c r="AI259" s="206"/>
      <c r="AJ259" s="206"/>
      <c r="AK259" s="206"/>
      <c r="AL259" s="206"/>
      <c r="AM259" s="206"/>
      <c r="AN259" s="206"/>
      <c r="AO259" s="206"/>
      <c r="AP259" s="206"/>
      <c r="AQ259" s="207"/>
      <c r="AR259" s="206"/>
      <c r="AS259" s="206"/>
      <c r="AT259" s="206"/>
      <c r="AU259" s="206"/>
      <c r="AV259" s="206"/>
      <c r="AW259" s="207"/>
      <c r="AX259" s="207"/>
      <c r="AY259" s="207"/>
      <c r="AZ259" s="207"/>
    </row>
    <row r="260" spans="1:52" ht="24" customHeight="1" x14ac:dyDescent="0.2">
      <c r="A260" s="206"/>
      <c r="B260" s="206"/>
      <c r="C260" s="206"/>
      <c r="D260" s="206"/>
      <c r="E260" s="206"/>
      <c r="F260" s="206"/>
      <c r="G260" s="206"/>
      <c r="H260" s="206"/>
      <c r="I260" s="206"/>
      <c r="J260" s="206"/>
      <c r="K260" s="206"/>
      <c r="L260" s="206"/>
      <c r="M260" s="207"/>
      <c r="N260" s="207"/>
      <c r="O260" s="208"/>
      <c r="P260" s="208"/>
      <c r="Q260" s="208"/>
      <c r="R260" s="206"/>
      <c r="S260" s="206"/>
      <c r="T260" s="206"/>
      <c r="U260" s="206"/>
      <c r="V260" s="206"/>
      <c r="W260" s="206"/>
      <c r="X260" s="207"/>
      <c r="Y260" s="207"/>
      <c r="Z260" s="207"/>
      <c r="AA260" s="206"/>
      <c r="AB260" s="206"/>
      <c r="AC260" s="206"/>
      <c r="AD260" s="206"/>
      <c r="AE260" s="206"/>
      <c r="AF260" s="206"/>
      <c r="AG260" s="206"/>
      <c r="AH260" s="206"/>
      <c r="AI260" s="206"/>
      <c r="AJ260" s="206"/>
      <c r="AK260" s="206"/>
      <c r="AL260" s="206"/>
      <c r="AM260" s="206"/>
      <c r="AN260" s="206"/>
      <c r="AO260" s="206"/>
      <c r="AP260" s="206"/>
      <c r="AQ260" s="207"/>
      <c r="AR260" s="206"/>
      <c r="AS260" s="206"/>
      <c r="AT260" s="206"/>
      <c r="AU260" s="206"/>
      <c r="AV260" s="206"/>
      <c r="AW260" s="207"/>
      <c r="AX260" s="207"/>
      <c r="AY260" s="207"/>
      <c r="AZ260" s="207"/>
    </row>
    <row r="261" spans="1:52" ht="24" customHeight="1" x14ac:dyDescent="0.2">
      <c r="A261" s="206"/>
      <c r="B261" s="206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07"/>
      <c r="N261" s="207"/>
      <c r="O261" s="208"/>
      <c r="P261" s="208"/>
      <c r="Q261" s="208"/>
      <c r="R261" s="206"/>
      <c r="S261" s="206"/>
      <c r="T261" s="206"/>
      <c r="U261" s="206"/>
      <c r="V261" s="206"/>
      <c r="W261" s="206"/>
      <c r="X261" s="207"/>
      <c r="Y261" s="207"/>
      <c r="Z261" s="207"/>
      <c r="AA261" s="206"/>
      <c r="AB261" s="206"/>
      <c r="AC261" s="206"/>
      <c r="AD261" s="206"/>
      <c r="AE261" s="206"/>
      <c r="AF261" s="206"/>
      <c r="AG261" s="206"/>
      <c r="AH261" s="206"/>
      <c r="AI261" s="206"/>
      <c r="AJ261" s="206"/>
      <c r="AK261" s="206"/>
      <c r="AL261" s="206"/>
      <c r="AM261" s="206"/>
      <c r="AN261" s="206"/>
      <c r="AO261" s="206"/>
      <c r="AP261" s="206"/>
      <c r="AQ261" s="207"/>
      <c r="AR261" s="206"/>
      <c r="AS261" s="206"/>
      <c r="AT261" s="206"/>
      <c r="AU261" s="206"/>
      <c r="AV261" s="206"/>
      <c r="AW261" s="207"/>
      <c r="AX261" s="207"/>
      <c r="AY261" s="207"/>
      <c r="AZ261" s="207"/>
    </row>
    <row r="262" spans="1:52" ht="24" customHeight="1" x14ac:dyDescent="0.2">
      <c r="A262" s="206"/>
      <c r="B262" s="206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07"/>
      <c r="N262" s="207"/>
      <c r="O262" s="208"/>
      <c r="P262" s="208"/>
      <c r="Q262" s="208"/>
      <c r="R262" s="206"/>
      <c r="S262" s="206"/>
      <c r="T262" s="206"/>
      <c r="U262" s="206"/>
      <c r="V262" s="206"/>
      <c r="W262" s="206"/>
      <c r="X262" s="207"/>
      <c r="Y262" s="207"/>
      <c r="Z262" s="207"/>
      <c r="AA262" s="206"/>
      <c r="AB262" s="206"/>
      <c r="AC262" s="206"/>
      <c r="AD262" s="206"/>
      <c r="AE262" s="206"/>
      <c r="AF262" s="206"/>
      <c r="AG262" s="206"/>
      <c r="AH262" s="206"/>
      <c r="AI262" s="206"/>
      <c r="AJ262" s="206"/>
      <c r="AK262" s="206"/>
      <c r="AL262" s="206"/>
      <c r="AM262" s="206"/>
      <c r="AN262" s="206"/>
      <c r="AO262" s="206"/>
      <c r="AP262" s="206"/>
      <c r="AQ262" s="207"/>
      <c r="AR262" s="206"/>
      <c r="AS262" s="206"/>
      <c r="AT262" s="206"/>
      <c r="AU262" s="206"/>
      <c r="AV262" s="206"/>
      <c r="AW262" s="207"/>
      <c r="AX262" s="207"/>
      <c r="AY262" s="207"/>
      <c r="AZ262" s="207"/>
    </row>
    <row r="263" spans="1:52" ht="24" customHeight="1" x14ac:dyDescent="0.2">
      <c r="A263" s="206"/>
      <c r="B263" s="206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07"/>
      <c r="N263" s="207"/>
      <c r="O263" s="208"/>
      <c r="P263" s="208"/>
      <c r="Q263" s="208"/>
      <c r="R263" s="206"/>
      <c r="S263" s="206"/>
      <c r="T263" s="206"/>
      <c r="U263" s="206"/>
      <c r="V263" s="206"/>
      <c r="W263" s="206"/>
      <c r="X263" s="207"/>
      <c r="Y263" s="207"/>
      <c r="Z263" s="207"/>
      <c r="AA263" s="206"/>
      <c r="AB263" s="206"/>
      <c r="AC263" s="206"/>
      <c r="AD263" s="206"/>
      <c r="AE263" s="206"/>
      <c r="AF263" s="206"/>
      <c r="AG263" s="206"/>
      <c r="AH263" s="206"/>
      <c r="AI263" s="206"/>
      <c r="AJ263" s="206"/>
      <c r="AK263" s="206"/>
      <c r="AL263" s="206"/>
      <c r="AM263" s="206"/>
      <c r="AN263" s="206"/>
      <c r="AO263" s="206"/>
      <c r="AP263" s="206"/>
      <c r="AQ263" s="207"/>
      <c r="AR263" s="206"/>
      <c r="AS263" s="206"/>
      <c r="AT263" s="206"/>
      <c r="AU263" s="206"/>
      <c r="AV263" s="206"/>
      <c r="AW263" s="207"/>
      <c r="AX263" s="207"/>
      <c r="AY263" s="207"/>
      <c r="AZ263" s="207"/>
    </row>
    <row r="264" spans="1:52" ht="24" customHeight="1" x14ac:dyDescent="0.2">
      <c r="A264" s="206"/>
      <c r="B264" s="206"/>
      <c r="C264" s="206"/>
      <c r="D264" s="206"/>
      <c r="E264" s="206"/>
      <c r="F264" s="206"/>
      <c r="G264" s="206"/>
      <c r="H264" s="206"/>
      <c r="I264" s="206"/>
      <c r="J264" s="206"/>
      <c r="K264" s="206"/>
      <c r="L264" s="206"/>
      <c r="M264" s="207"/>
      <c r="N264" s="207"/>
      <c r="O264" s="208"/>
      <c r="P264" s="208"/>
      <c r="Q264" s="208"/>
      <c r="R264" s="206"/>
      <c r="S264" s="206"/>
      <c r="T264" s="206"/>
      <c r="U264" s="206"/>
      <c r="V264" s="206"/>
      <c r="W264" s="206"/>
      <c r="X264" s="207"/>
      <c r="Y264" s="207"/>
      <c r="Z264" s="207"/>
      <c r="AA264" s="206"/>
      <c r="AB264" s="206"/>
      <c r="AC264" s="206"/>
      <c r="AD264" s="206"/>
      <c r="AE264" s="206"/>
      <c r="AF264" s="206"/>
      <c r="AG264" s="206"/>
      <c r="AH264" s="206"/>
      <c r="AI264" s="206"/>
      <c r="AJ264" s="206"/>
      <c r="AK264" s="206"/>
      <c r="AL264" s="206"/>
      <c r="AM264" s="206"/>
      <c r="AN264" s="206"/>
      <c r="AO264" s="206"/>
      <c r="AP264" s="206"/>
      <c r="AQ264" s="207"/>
      <c r="AR264" s="206"/>
      <c r="AS264" s="206"/>
      <c r="AT264" s="206"/>
      <c r="AU264" s="206"/>
      <c r="AV264" s="206"/>
      <c r="AW264" s="207"/>
      <c r="AX264" s="207"/>
      <c r="AY264" s="207"/>
      <c r="AZ264" s="207"/>
    </row>
    <row r="265" spans="1:52" ht="24" customHeight="1" x14ac:dyDescent="0.2">
      <c r="A265" s="206"/>
      <c r="B265" s="206"/>
      <c r="C265" s="206"/>
      <c r="D265" s="206"/>
      <c r="E265" s="206"/>
      <c r="F265" s="206"/>
      <c r="G265" s="206"/>
      <c r="H265" s="206"/>
      <c r="I265" s="206"/>
      <c r="J265" s="206"/>
      <c r="K265" s="206"/>
      <c r="L265" s="206"/>
      <c r="M265" s="207"/>
      <c r="N265" s="207"/>
      <c r="O265" s="208"/>
      <c r="P265" s="208"/>
      <c r="Q265" s="208"/>
      <c r="R265" s="206"/>
      <c r="S265" s="206"/>
      <c r="T265" s="206"/>
      <c r="U265" s="206"/>
      <c r="V265" s="206"/>
      <c r="W265" s="206"/>
      <c r="X265" s="207"/>
      <c r="Y265" s="207"/>
      <c r="Z265" s="207"/>
      <c r="AA265" s="206"/>
      <c r="AB265" s="206"/>
      <c r="AC265" s="206"/>
      <c r="AD265" s="206"/>
      <c r="AE265" s="206"/>
      <c r="AF265" s="206"/>
      <c r="AG265" s="206"/>
      <c r="AH265" s="206"/>
      <c r="AI265" s="206"/>
      <c r="AJ265" s="206"/>
      <c r="AK265" s="206"/>
      <c r="AL265" s="206"/>
      <c r="AM265" s="206"/>
      <c r="AN265" s="206"/>
      <c r="AO265" s="206"/>
      <c r="AP265" s="206"/>
      <c r="AQ265" s="207"/>
      <c r="AR265" s="206"/>
      <c r="AS265" s="206"/>
      <c r="AT265" s="206"/>
      <c r="AU265" s="206"/>
      <c r="AV265" s="206"/>
      <c r="AW265" s="207"/>
      <c r="AX265" s="207"/>
      <c r="AY265" s="207"/>
      <c r="AZ265" s="207"/>
    </row>
    <row r="266" spans="1:52" ht="24" customHeight="1" x14ac:dyDescent="0.2">
      <c r="A266" s="206"/>
      <c r="B266" s="206"/>
      <c r="C266" s="206"/>
      <c r="D266" s="206"/>
      <c r="E266" s="206"/>
      <c r="F266" s="206"/>
      <c r="G266" s="206"/>
      <c r="H266" s="206"/>
      <c r="I266" s="206"/>
      <c r="J266" s="206"/>
      <c r="K266" s="206"/>
      <c r="L266" s="206"/>
      <c r="M266" s="207"/>
      <c r="N266" s="207"/>
      <c r="O266" s="208"/>
      <c r="P266" s="208"/>
      <c r="Q266" s="208"/>
      <c r="R266" s="206"/>
      <c r="S266" s="206"/>
      <c r="T266" s="206"/>
      <c r="U266" s="206"/>
      <c r="V266" s="206"/>
      <c r="W266" s="206"/>
      <c r="X266" s="207"/>
      <c r="Y266" s="207"/>
      <c r="Z266" s="207"/>
      <c r="AA266" s="206"/>
      <c r="AB266" s="206"/>
      <c r="AC266" s="206"/>
      <c r="AD266" s="206"/>
      <c r="AE266" s="206"/>
      <c r="AF266" s="206"/>
      <c r="AG266" s="206"/>
      <c r="AH266" s="206"/>
      <c r="AI266" s="206"/>
      <c r="AJ266" s="206"/>
      <c r="AK266" s="206"/>
      <c r="AL266" s="206"/>
      <c r="AM266" s="206"/>
      <c r="AN266" s="206"/>
      <c r="AO266" s="206"/>
      <c r="AP266" s="206"/>
      <c r="AQ266" s="207"/>
      <c r="AR266" s="206"/>
      <c r="AS266" s="206"/>
      <c r="AT266" s="206"/>
      <c r="AU266" s="206"/>
      <c r="AV266" s="206"/>
      <c r="AW266" s="207"/>
      <c r="AX266" s="207"/>
      <c r="AY266" s="207"/>
      <c r="AZ266" s="207"/>
    </row>
    <row r="267" spans="1:52" ht="24" customHeight="1" x14ac:dyDescent="0.2">
      <c r="A267" s="206"/>
      <c r="B267" s="206"/>
      <c r="C267" s="206"/>
      <c r="D267" s="206"/>
      <c r="E267" s="206"/>
      <c r="F267" s="206"/>
      <c r="G267" s="206"/>
      <c r="H267" s="206"/>
      <c r="I267" s="206"/>
      <c r="J267" s="206"/>
      <c r="K267" s="206"/>
      <c r="L267" s="206"/>
      <c r="M267" s="207"/>
      <c r="N267" s="207"/>
      <c r="O267" s="208"/>
      <c r="P267" s="208"/>
      <c r="Q267" s="208"/>
      <c r="R267" s="206"/>
      <c r="S267" s="206"/>
      <c r="T267" s="206"/>
      <c r="U267" s="206"/>
      <c r="V267" s="206"/>
      <c r="W267" s="206"/>
      <c r="X267" s="207"/>
      <c r="Y267" s="207"/>
      <c r="Z267" s="207"/>
      <c r="AA267" s="206"/>
      <c r="AB267" s="206"/>
      <c r="AC267" s="206"/>
      <c r="AD267" s="206"/>
      <c r="AE267" s="206"/>
      <c r="AF267" s="206"/>
      <c r="AG267" s="206"/>
      <c r="AH267" s="206"/>
      <c r="AI267" s="206"/>
      <c r="AJ267" s="206"/>
      <c r="AK267" s="206"/>
      <c r="AL267" s="206"/>
      <c r="AM267" s="206"/>
      <c r="AN267" s="206"/>
      <c r="AO267" s="206"/>
      <c r="AP267" s="206"/>
      <c r="AQ267" s="207"/>
      <c r="AR267" s="206"/>
      <c r="AS267" s="206"/>
      <c r="AT267" s="206"/>
      <c r="AU267" s="206"/>
      <c r="AV267" s="206"/>
      <c r="AW267" s="207"/>
      <c r="AX267" s="207"/>
      <c r="AY267" s="207"/>
      <c r="AZ267" s="207"/>
    </row>
    <row r="268" spans="1:52" ht="24" customHeight="1" x14ac:dyDescent="0.2">
      <c r="A268" s="206"/>
      <c r="B268" s="206"/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7"/>
      <c r="N268" s="207"/>
      <c r="O268" s="208"/>
      <c r="P268" s="208"/>
      <c r="Q268" s="208"/>
      <c r="R268" s="206"/>
      <c r="S268" s="206"/>
      <c r="T268" s="206"/>
      <c r="U268" s="206"/>
      <c r="V268" s="206"/>
      <c r="W268" s="206"/>
      <c r="X268" s="207"/>
      <c r="Y268" s="207"/>
      <c r="Z268" s="207"/>
      <c r="AA268" s="206"/>
      <c r="AB268" s="206"/>
      <c r="AC268" s="206"/>
      <c r="AD268" s="206"/>
      <c r="AE268" s="206"/>
      <c r="AF268" s="206"/>
      <c r="AG268" s="206"/>
      <c r="AH268" s="206"/>
      <c r="AI268" s="206"/>
      <c r="AJ268" s="206"/>
      <c r="AK268" s="206"/>
      <c r="AL268" s="206"/>
      <c r="AM268" s="206"/>
      <c r="AN268" s="206"/>
      <c r="AO268" s="206"/>
      <c r="AP268" s="206"/>
      <c r="AQ268" s="207"/>
      <c r="AR268" s="206"/>
      <c r="AS268" s="206"/>
      <c r="AT268" s="206"/>
      <c r="AU268" s="206"/>
      <c r="AV268" s="206"/>
      <c r="AW268" s="207"/>
      <c r="AX268" s="207"/>
      <c r="AY268" s="207"/>
      <c r="AZ268" s="207"/>
    </row>
    <row r="269" spans="1:52" ht="24" customHeight="1" x14ac:dyDescent="0.2">
      <c r="A269" s="206"/>
      <c r="B269" s="206"/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7"/>
      <c r="N269" s="207"/>
      <c r="O269" s="208"/>
      <c r="P269" s="208"/>
      <c r="Q269" s="208"/>
      <c r="R269" s="206"/>
      <c r="S269" s="206"/>
      <c r="T269" s="206"/>
      <c r="U269" s="206"/>
      <c r="V269" s="206"/>
      <c r="W269" s="206"/>
      <c r="X269" s="207"/>
      <c r="Y269" s="207"/>
      <c r="Z269" s="207"/>
      <c r="AA269" s="206"/>
      <c r="AB269" s="206"/>
      <c r="AC269" s="206"/>
      <c r="AD269" s="206"/>
      <c r="AE269" s="206"/>
      <c r="AF269" s="206"/>
      <c r="AG269" s="206"/>
      <c r="AH269" s="206"/>
      <c r="AI269" s="206"/>
      <c r="AJ269" s="206"/>
      <c r="AK269" s="206"/>
      <c r="AL269" s="206"/>
      <c r="AM269" s="206"/>
      <c r="AN269" s="206"/>
      <c r="AO269" s="206"/>
      <c r="AP269" s="206"/>
      <c r="AQ269" s="207"/>
      <c r="AR269" s="206"/>
      <c r="AS269" s="206"/>
      <c r="AT269" s="206"/>
      <c r="AU269" s="206"/>
      <c r="AV269" s="206"/>
      <c r="AW269" s="207"/>
      <c r="AX269" s="207"/>
      <c r="AY269" s="207"/>
      <c r="AZ269" s="207"/>
    </row>
    <row r="270" spans="1:52" ht="24" customHeight="1" x14ac:dyDescent="0.2">
      <c r="A270" s="206"/>
      <c r="B270" s="206"/>
      <c r="C270" s="206"/>
      <c r="D270" s="206"/>
      <c r="E270" s="206"/>
      <c r="F270" s="206"/>
      <c r="G270" s="206"/>
      <c r="H270" s="206"/>
      <c r="I270" s="206"/>
      <c r="J270" s="206"/>
      <c r="K270" s="206"/>
      <c r="L270" s="206"/>
      <c r="M270" s="207"/>
      <c r="N270" s="207"/>
      <c r="O270" s="208"/>
      <c r="P270" s="208"/>
      <c r="Q270" s="208"/>
      <c r="R270" s="206"/>
      <c r="S270" s="206"/>
      <c r="T270" s="206"/>
      <c r="U270" s="206"/>
      <c r="V270" s="206"/>
      <c r="W270" s="206"/>
      <c r="X270" s="207"/>
      <c r="Y270" s="207"/>
      <c r="Z270" s="207"/>
      <c r="AA270" s="206"/>
      <c r="AB270" s="206"/>
      <c r="AC270" s="206"/>
      <c r="AD270" s="206"/>
      <c r="AE270" s="206"/>
      <c r="AF270" s="206"/>
      <c r="AG270" s="206"/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7"/>
      <c r="AR270" s="206"/>
      <c r="AS270" s="206"/>
      <c r="AT270" s="206"/>
      <c r="AU270" s="206"/>
      <c r="AV270" s="206"/>
      <c r="AW270" s="207"/>
      <c r="AX270" s="207"/>
      <c r="AY270" s="207"/>
      <c r="AZ270" s="207"/>
    </row>
    <row r="271" spans="1:52" ht="24" customHeight="1" x14ac:dyDescent="0.2">
      <c r="A271" s="206"/>
      <c r="B271" s="206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07"/>
      <c r="N271" s="207"/>
      <c r="O271" s="208"/>
      <c r="P271" s="208"/>
      <c r="Q271" s="208"/>
      <c r="R271" s="206"/>
      <c r="S271" s="206"/>
      <c r="T271" s="206"/>
      <c r="U271" s="206"/>
      <c r="V271" s="206"/>
      <c r="W271" s="206"/>
      <c r="X271" s="207"/>
      <c r="Y271" s="207"/>
      <c r="Z271" s="207"/>
      <c r="AA271" s="206"/>
      <c r="AB271" s="206"/>
      <c r="AC271" s="206"/>
      <c r="AD271" s="206"/>
      <c r="AE271" s="206"/>
      <c r="AF271" s="206"/>
      <c r="AG271" s="206"/>
      <c r="AH271" s="206"/>
      <c r="AI271" s="206"/>
      <c r="AJ271" s="206"/>
      <c r="AK271" s="206"/>
      <c r="AL271" s="206"/>
      <c r="AM271" s="206"/>
      <c r="AN271" s="206"/>
      <c r="AO271" s="206"/>
      <c r="AP271" s="206"/>
      <c r="AQ271" s="207"/>
      <c r="AR271" s="206"/>
      <c r="AS271" s="206"/>
      <c r="AT271" s="206"/>
      <c r="AU271" s="206"/>
      <c r="AV271" s="206"/>
      <c r="AW271" s="207"/>
      <c r="AX271" s="207"/>
      <c r="AY271" s="207"/>
      <c r="AZ271" s="207"/>
    </row>
    <row r="272" spans="1:52" ht="24" customHeight="1" x14ac:dyDescent="0.2">
      <c r="A272" s="206"/>
      <c r="B272" s="206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07"/>
      <c r="N272" s="207"/>
      <c r="O272" s="208"/>
      <c r="P272" s="208"/>
      <c r="Q272" s="208"/>
      <c r="R272" s="206"/>
      <c r="S272" s="206"/>
      <c r="T272" s="206"/>
      <c r="U272" s="206"/>
      <c r="V272" s="206"/>
      <c r="W272" s="206"/>
      <c r="X272" s="207"/>
      <c r="Y272" s="207"/>
      <c r="Z272" s="207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7"/>
      <c r="AR272" s="206"/>
      <c r="AS272" s="206"/>
      <c r="AT272" s="206"/>
      <c r="AU272" s="206"/>
      <c r="AV272" s="206"/>
      <c r="AW272" s="207"/>
      <c r="AX272" s="207"/>
      <c r="AY272" s="207"/>
      <c r="AZ272" s="207"/>
    </row>
    <row r="273" spans="1:52" ht="24" customHeight="1" x14ac:dyDescent="0.2">
      <c r="A273" s="206"/>
      <c r="B273" s="206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07"/>
      <c r="N273" s="207"/>
      <c r="O273" s="208"/>
      <c r="P273" s="208"/>
      <c r="Q273" s="208"/>
      <c r="R273" s="206"/>
      <c r="S273" s="206"/>
      <c r="T273" s="206"/>
      <c r="U273" s="206"/>
      <c r="V273" s="206"/>
      <c r="W273" s="206"/>
      <c r="X273" s="207"/>
      <c r="Y273" s="207"/>
      <c r="Z273" s="207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7"/>
      <c r="AR273" s="206"/>
      <c r="AS273" s="206"/>
      <c r="AT273" s="206"/>
      <c r="AU273" s="206"/>
      <c r="AV273" s="206"/>
      <c r="AW273" s="207"/>
      <c r="AX273" s="207"/>
      <c r="AY273" s="207"/>
      <c r="AZ273" s="207"/>
    </row>
    <row r="274" spans="1:52" ht="24" customHeight="1" x14ac:dyDescent="0.2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7"/>
      <c r="N274" s="207"/>
      <c r="O274" s="208"/>
      <c r="P274" s="208"/>
      <c r="Q274" s="208"/>
      <c r="R274" s="206"/>
      <c r="S274" s="206"/>
      <c r="T274" s="206"/>
      <c r="U274" s="206"/>
      <c r="V274" s="206"/>
      <c r="W274" s="206"/>
      <c r="X274" s="207"/>
      <c r="Y274" s="207"/>
      <c r="Z274" s="207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7"/>
      <c r="AR274" s="206"/>
      <c r="AS274" s="206"/>
      <c r="AT274" s="206"/>
      <c r="AU274" s="206"/>
      <c r="AV274" s="206"/>
      <c r="AW274" s="207"/>
      <c r="AX274" s="207"/>
      <c r="AY274" s="207"/>
      <c r="AZ274" s="207"/>
    </row>
    <row r="275" spans="1:52" ht="24" customHeight="1" x14ac:dyDescent="0.2">
      <c r="A275" s="206"/>
      <c r="B275" s="206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07"/>
      <c r="N275" s="207"/>
      <c r="O275" s="208"/>
      <c r="P275" s="208"/>
      <c r="Q275" s="208"/>
      <c r="R275" s="206"/>
      <c r="S275" s="206"/>
      <c r="T275" s="206"/>
      <c r="U275" s="206"/>
      <c r="V275" s="206"/>
      <c r="W275" s="206"/>
      <c r="X275" s="207"/>
      <c r="Y275" s="207"/>
      <c r="Z275" s="207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7"/>
      <c r="AR275" s="206"/>
      <c r="AS275" s="206"/>
      <c r="AT275" s="206"/>
      <c r="AU275" s="206"/>
      <c r="AV275" s="206"/>
      <c r="AW275" s="207"/>
      <c r="AX275" s="207"/>
      <c r="AY275" s="207"/>
      <c r="AZ275" s="207"/>
    </row>
    <row r="276" spans="1:52" ht="24" customHeight="1" x14ac:dyDescent="0.2">
      <c r="A276" s="206"/>
      <c r="B276" s="206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7"/>
      <c r="N276" s="207"/>
      <c r="O276" s="208"/>
      <c r="P276" s="208"/>
      <c r="Q276" s="208"/>
      <c r="R276" s="206"/>
      <c r="S276" s="206"/>
      <c r="T276" s="206"/>
      <c r="U276" s="206"/>
      <c r="V276" s="206"/>
      <c r="W276" s="206"/>
      <c r="X276" s="207"/>
      <c r="Y276" s="207"/>
      <c r="Z276" s="207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7"/>
      <c r="AR276" s="206"/>
      <c r="AS276" s="206"/>
      <c r="AT276" s="206"/>
      <c r="AU276" s="206"/>
      <c r="AV276" s="206"/>
      <c r="AW276" s="207"/>
      <c r="AX276" s="207"/>
      <c r="AY276" s="207"/>
      <c r="AZ276" s="207"/>
    </row>
    <row r="277" spans="1:52" ht="24" customHeight="1" x14ac:dyDescent="0.2">
      <c r="A277" s="206"/>
      <c r="B277" s="206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07"/>
      <c r="N277" s="207"/>
      <c r="O277" s="208"/>
      <c r="P277" s="208"/>
      <c r="Q277" s="208"/>
      <c r="R277" s="206"/>
      <c r="S277" s="206"/>
      <c r="T277" s="206"/>
      <c r="U277" s="206"/>
      <c r="V277" s="206"/>
      <c r="W277" s="206"/>
      <c r="X277" s="207"/>
      <c r="Y277" s="207"/>
      <c r="Z277" s="207"/>
      <c r="AA277" s="206"/>
      <c r="AB277" s="206"/>
      <c r="AC277" s="206"/>
      <c r="AD277" s="206"/>
      <c r="AE277" s="206"/>
      <c r="AF277" s="206"/>
      <c r="AG277" s="206"/>
      <c r="AH277" s="206"/>
      <c r="AI277" s="206"/>
      <c r="AJ277" s="206"/>
      <c r="AK277" s="206"/>
      <c r="AL277" s="206"/>
      <c r="AM277" s="206"/>
      <c r="AN277" s="206"/>
      <c r="AO277" s="206"/>
      <c r="AP277" s="206"/>
      <c r="AQ277" s="207"/>
      <c r="AR277" s="206"/>
      <c r="AS277" s="206"/>
      <c r="AT277" s="206"/>
      <c r="AU277" s="206"/>
      <c r="AV277" s="206"/>
      <c r="AW277" s="207"/>
      <c r="AX277" s="207"/>
      <c r="AY277" s="207"/>
      <c r="AZ277" s="207"/>
    </row>
    <row r="278" spans="1:52" ht="24" customHeight="1" x14ac:dyDescent="0.2">
      <c r="A278" s="206"/>
      <c r="B278" s="206"/>
      <c r="C278" s="206"/>
      <c r="D278" s="206"/>
      <c r="E278" s="206"/>
      <c r="F278" s="206"/>
      <c r="G278" s="206"/>
      <c r="H278" s="206"/>
      <c r="I278" s="206"/>
      <c r="J278" s="206"/>
      <c r="K278" s="206"/>
      <c r="L278" s="206"/>
      <c r="M278" s="207"/>
      <c r="N278" s="207"/>
      <c r="O278" s="208"/>
      <c r="P278" s="208"/>
      <c r="Q278" s="208"/>
      <c r="R278" s="206"/>
      <c r="S278" s="206"/>
      <c r="T278" s="206"/>
      <c r="U278" s="206"/>
      <c r="V278" s="206"/>
      <c r="W278" s="206"/>
      <c r="X278" s="207"/>
      <c r="Y278" s="207"/>
      <c r="Z278" s="207"/>
      <c r="AA278" s="206"/>
      <c r="AB278" s="206"/>
      <c r="AC278" s="206"/>
      <c r="AD278" s="206"/>
      <c r="AE278" s="206"/>
      <c r="AF278" s="206"/>
      <c r="AG278" s="206"/>
      <c r="AH278" s="206"/>
      <c r="AI278" s="206"/>
      <c r="AJ278" s="206"/>
      <c r="AK278" s="206"/>
      <c r="AL278" s="206"/>
      <c r="AM278" s="206"/>
      <c r="AN278" s="206"/>
      <c r="AO278" s="206"/>
      <c r="AP278" s="206"/>
      <c r="AQ278" s="207"/>
      <c r="AR278" s="206"/>
      <c r="AS278" s="206"/>
      <c r="AT278" s="206"/>
      <c r="AU278" s="206"/>
      <c r="AV278" s="206"/>
      <c r="AW278" s="207"/>
      <c r="AX278" s="207"/>
      <c r="AY278" s="207"/>
      <c r="AZ278" s="207"/>
    </row>
    <row r="279" spans="1:52" ht="24" customHeight="1" x14ac:dyDescent="0.2">
      <c r="A279" s="206"/>
      <c r="B279" s="206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07"/>
      <c r="N279" s="207"/>
      <c r="O279" s="208"/>
      <c r="P279" s="208"/>
      <c r="Q279" s="208"/>
      <c r="R279" s="206"/>
      <c r="S279" s="206"/>
      <c r="T279" s="206"/>
      <c r="U279" s="206"/>
      <c r="V279" s="206"/>
      <c r="W279" s="206"/>
      <c r="X279" s="207"/>
      <c r="Y279" s="207"/>
      <c r="Z279" s="207"/>
      <c r="AA279" s="206"/>
      <c r="AB279" s="206"/>
      <c r="AC279" s="206"/>
      <c r="AD279" s="206"/>
      <c r="AE279" s="206"/>
      <c r="AF279" s="206"/>
      <c r="AG279" s="206"/>
      <c r="AH279" s="206"/>
      <c r="AI279" s="206"/>
      <c r="AJ279" s="206"/>
      <c r="AK279" s="206"/>
      <c r="AL279" s="206"/>
      <c r="AM279" s="206"/>
      <c r="AN279" s="206"/>
      <c r="AO279" s="206"/>
      <c r="AP279" s="206"/>
      <c r="AQ279" s="207"/>
      <c r="AR279" s="206"/>
      <c r="AS279" s="206"/>
      <c r="AT279" s="206"/>
      <c r="AU279" s="206"/>
      <c r="AV279" s="206"/>
      <c r="AW279" s="207"/>
      <c r="AX279" s="207"/>
      <c r="AY279" s="207"/>
      <c r="AZ279" s="207"/>
    </row>
    <row r="280" spans="1:52" ht="24" customHeight="1" x14ac:dyDescent="0.2">
      <c r="A280" s="206"/>
      <c r="B280" s="206"/>
      <c r="C280" s="206"/>
      <c r="D280" s="206"/>
      <c r="E280" s="206"/>
      <c r="F280" s="206"/>
      <c r="G280" s="206"/>
      <c r="H280" s="206"/>
      <c r="I280" s="206"/>
      <c r="J280" s="206"/>
      <c r="K280" s="206"/>
      <c r="L280" s="206"/>
      <c r="M280" s="207"/>
      <c r="N280" s="207"/>
      <c r="O280" s="208"/>
      <c r="P280" s="208"/>
      <c r="Q280" s="208"/>
      <c r="R280" s="206"/>
      <c r="S280" s="206"/>
      <c r="T280" s="206"/>
      <c r="U280" s="206"/>
      <c r="V280" s="206"/>
      <c r="W280" s="206"/>
      <c r="X280" s="207"/>
      <c r="Y280" s="207"/>
      <c r="Z280" s="207"/>
      <c r="AA280" s="206"/>
      <c r="AB280" s="206"/>
      <c r="AC280" s="206"/>
      <c r="AD280" s="206"/>
      <c r="AE280" s="206"/>
      <c r="AF280" s="206"/>
      <c r="AG280" s="206"/>
      <c r="AH280" s="206"/>
      <c r="AI280" s="206"/>
      <c r="AJ280" s="206"/>
      <c r="AK280" s="206"/>
      <c r="AL280" s="206"/>
      <c r="AM280" s="206"/>
      <c r="AN280" s="206"/>
      <c r="AO280" s="206"/>
      <c r="AP280" s="206"/>
      <c r="AQ280" s="207"/>
      <c r="AR280" s="206"/>
      <c r="AS280" s="206"/>
      <c r="AT280" s="206"/>
      <c r="AU280" s="206"/>
      <c r="AV280" s="206"/>
      <c r="AW280" s="207"/>
      <c r="AX280" s="207"/>
      <c r="AY280" s="207"/>
      <c r="AZ280" s="207"/>
    </row>
    <row r="281" spans="1:52" ht="24" customHeight="1" x14ac:dyDescent="0.2">
      <c r="A281" s="206"/>
      <c r="B281" s="206"/>
      <c r="C281" s="206"/>
      <c r="D281" s="206"/>
      <c r="E281" s="206"/>
      <c r="F281" s="206"/>
      <c r="G281" s="206"/>
      <c r="H281" s="206"/>
      <c r="I281" s="206"/>
      <c r="J281" s="206"/>
      <c r="K281" s="206"/>
      <c r="L281" s="206"/>
      <c r="M281" s="207"/>
      <c r="N281" s="207"/>
      <c r="O281" s="208"/>
      <c r="P281" s="208"/>
      <c r="Q281" s="208"/>
      <c r="R281" s="206"/>
      <c r="S281" s="206"/>
      <c r="T281" s="206"/>
      <c r="U281" s="206"/>
      <c r="V281" s="206"/>
      <c r="W281" s="206"/>
      <c r="X281" s="207"/>
      <c r="Y281" s="207"/>
      <c r="Z281" s="207"/>
      <c r="AA281" s="206"/>
      <c r="AB281" s="206"/>
      <c r="AC281" s="206"/>
      <c r="AD281" s="206"/>
      <c r="AE281" s="206"/>
      <c r="AF281" s="206"/>
      <c r="AG281" s="206"/>
      <c r="AH281" s="206"/>
      <c r="AI281" s="206"/>
      <c r="AJ281" s="206"/>
      <c r="AK281" s="206"/>
      <c r="AL281" s="206"/>
      <c r="AM281" s="206"/>
      <c r="AN281" s="206"/>
      <c r="AO281" s="206"/>
      <c r="AP281" s="206"/>
      <c r="AQ281" s="207"/>
      <c r="AR281" s="206"/>
      <c r="AS281" s="206"/>
      <c r="AT281" s="206"/>
      <c r="AU281" s="206"/>
      <c r="AV281" s="206"/>
      <c r="AW281" s="207"/>
      <c r="AX281" s="207"/>
      <c r="AY281" s="207"/>
      <c r="AZ281" s="207"/>
    </row>
    <row r="282" spans="1:52" ht="24" customHeight="1" x14ac:dyDescent="0.2">
      <c r="A282" s="206"/>
      <c r="B282" s="206"/>
      <c r="C282" s="206"/>
      <c r="D282" s="206"/>
      <c r="E282" s="206"/>
      <c r="F282" s="206"/>
      <c r="G282" s="206"/>
      <c r="H282" s="206"/>
      <c r="I282" s="206"/>
      <c r="J282" s="206"/>
      <c r="K282" s="206"/>
      <c r="L282" s="206"/>
      <c r="M282" s="207"/>
      <c r="N282" s="207"/>
      <c r="O282" s="208"/>
      <c r="P282" s="208"/>
      <c r="Q282" s="208"/>
      <c r="R282" s="206"/>
      <c r="S282" s="206"/>
      <c r="T282" s="206"/>
      <c r="U282" s="206"/>
      <c r="V282" s="206"/>
      <c r="W282" s="206"/>
      <c r="X282" s="207"/>
      <c r="Y282" s="207"/>
      <c r="Z282" s="207"/>
      <c r="AA282" s="206"/>
      <c r="AB282" s="206"/>
      <c r="AC282" s="206"/>
      <c r="AD282" s="206"/>
      <c r="AE282" s="206"/>
      <c r="AF282" s="206"/>
      <c r="AG282" s="206"/>
      <c r="AH282" s="206"/>
      <c r="AI282" s="206"/>
      <c r="AJ282" s="206"/>
      <c r="AK282" s="206"/>
      <c r="AL282" s="206"/>
      <c r="AM282" s="206"/>
      <c r="AN282" s="206"/>
      <c r="AO282" s="206"/>
      <c r="AP282" s="206"/>
      <c r="AQ282" s="207"/>
      <c r="AR282" s="206"/>
      <c r="AS282" s="206"/>
      <c r="AT282" s="206"/>
      <c r="AU282" s="206"/>
      <c r="AV282" s="206"/>
      <c r="AW282" s="207"/>
      <c r="AX282" s="207"/>
      <c r="AY282" s="207"/>
      <c r="AZ282" s="207"/>
    </row>
    <row r="283" spans="1:52" ht="24" customHeight="1" x14ac:dyDescent="0.2">
      <c r="A283" s="206"/>
      <c r="B283" s="206"/>
      <c r="C283" s="206"/>
      <c r="D283" s="206"/>
      <c r="E283" s="206"/>
      <c r="F283" s="206"/>
      <c r="G283" s="206"/>
      <c r="H283" s="206"/>
      <c r="I283" s="206"/>
      <c r="J283" s="206"/>
      <c r="K283" s="206"/>
      <c r="L283" s="206"/>
      <c r="M283" s="207"/>
      <c r="N283" s="207"/>
      <c r="O283" s="208"/>
      <c r="P283" s="208"/>
      <c r="Q283" s="208"/>
      <c r="R283" s="206"/>
      <c r="S283" s="206"/>
      <c r="T283" s="206"/>
      <c r="U283" s="206"/>
      <c r="V283" s="206"/>
      <c r="W283" s="206"/>
      <c r="X283" s="207"/>
      <c r="Y283" s="207"/>
      <c r="Z283" s="207"/>
      <c r="AA283" s="206"/>
      <c r="AB283" s="206"/>
      <c r="AC283" s="206"/>
      <c r="AD283" s="206"/>
      <c r="AE283" s="206"/>
      <c r="AF283" s="206"/>
      <c r="AG283" s="206"/>
      <c r="AH283" s="206"/>
      <c r="AI283" s="206"/>
      <c r="AJ283" s="206"/>
      <c r="AK283" s="206"/>
      <c r="AL283" s="206"/>
      <c r="AM283" s="206"/>
      <c r="AN283" s="206"/>
      <c r="AO283" s="206"/>
      <c r="AP283" s="206"/>
      <c r="AQ283" s="207"/>
      <c r="AR283" s="206"/>
      <c r="AS283" s="206"/>
      <c r="AT283" s="206"/>
      <c r="AU283" s="206"/>
      <c r="AV283" s="206"/>
      <c r="AW283" s="207"/>
      <c r="AX283" s="207"/>
      <c r="AY283" s="207"/>
      <c r="AZ283" s="207"/>
    </row>
    <row r="284" spans="1:52" ht="24" customHeight="1" x14ac:dyDescent="0.2">
      <c r="A284" s="206"/>
      <c r="B284" s="206"/>
      <c r="C284" s="206"/>
      <c r="D284" s="206"/>
      <c r="E284" s="206"/>
      <c r="F284" s="206"/>
      <c r="G284" s="206"/>
      <c r="H284" s="206"/>
      <c r="I284" s="206"/>
      <c r="J284" s="206"/>
      <c r="K284" s="206"/>
      <c r="L284" s="206"/>
      <c r="M284" s="207"/>
      <c r="N284" s="207"/>
      <c r="O284" s="208"/>
      <c r="P284" s="208"/>
      <c r="Q284" s="208"/>
      <c r="R284" s="206"/>
      <c r="S284" s="206"/>
      <c r="T284" s="206"/>
      <c r="U284" s="206"/>
      <c r="V284" s="206"/>
      <c r="W284" s="206"/>
      <c r="X284" s="207"/>
      <c r="Y284" s="207"/>
      <c r="Z284" s="207"/>
      <c r="AA284" s="206"/>
      <c r="AB284" s="206"/>
      <c r="AC284" s="206"/>
      <c r="AD284" s="206"/>
      <c r="AE284" s="206"/>
      <c r="AF284" s="206"/>
      <c r="AG284" s="206"/>
      <c r="AH284" s="206"/>
      <c r="AI284" s="206"/>
      <c r="AJ284" s="206"/>
      <c r="AK284" s="206"/>
      <c r="AL284" s="206"/>
      <c r="AM284" s="206"/>
      <c r="AN284" s="206"/>
      <c r="AO284" s="206"/>
      <c r="AP284" s="206"/>
      <c r="AQ284" s="207"/>
      <c r="AR284" s="206"/>
      <c r="AS284" s="206"/>
      <c r="AT284" s="206"/>
      <c r="AU284" s="206"/>
      <c r="AV284" s="206"/>
      <c r="AW284" s="207"/>
      <c r="AX284" s="207"/>
      <c r="AY284" s="207"/>
      <c r="AZ284" s="207"/>
    </row>
    <row r="285" spans="1:52" ht="24" customHeight="1" x14ac:dyDescent="0.2">
      <c r="A285" s="206"/>
      <c r="B285" s="206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7"/>
      <c r="N285" s="207"/>
      <c r="O285" s="208"/>
      <c r="P285" s="208"/>
      <c r="Q285" s="208"/>
      <c r="R285" s="206"/>
      <c r="S285" s="206"/>
      <c r="T285" s="206"/>
      <c r="U285" s="206"/>
      <c r="V285" s="206"/>
      <c r="W285" s="206"/>
      <c r="X285" s="207"/>
      <c r="Y285" s="207"/>
      <c r="Z285" s="207"/>
      <c r="AA285" s="206"/>
      <c r="AB285" s="206"/>
      <c r="AC285" s="206"/>
      <c r="AD285" s="206"/>
      <c r="AE285" s="206"/>
      <c r="AF285" s="206"/>
      <c r="AG285" s="206"/>
      <c r="AH285" s="206"/>
      <c r="AI285" s="206"/>
      <c r="AJ285" s="206"/>
      <c r="AK285" s="206"/>
      <c r="AL285" s="206"/>
      <c r="AM285" s="206"/>
      <c r="AN285" s="206"/>
      <c r="AO285" s="206"/>
      <c r="AP285" s="206"/>
      <c r="AQ285" s="207"/>
      <c r="AR285" s="206"/>
      <c r="AS285" s="206"/>
      <c r="AT285" s="206"/>
      <c r="AU285" s="206"/>
      <c r="AV285" s="206"/>
      <c r="AW285" s="207"/>
      <c r="AX285" s="207"/>
      <c r="AY285" s="207"/>
      <c r="AZ285" s="207"/>
    </row>
    <row r="286" spans="1:52" ht="24" customHeight="1" x14ac:dyDescent="0.2">
      <c r="A286" s="206"/>
      <c r="B286" s="206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7"/>
      <c r="N286" s="207"/>
      <c r="O286" s="208"/>
      <c r="P286" s="208"/>
      <c r="Q286" s="208"/>
      <c r="R286" s="206"/>
      <c r="S286" s="206"/>
      <c r="T286" s="206"/>
      <c r="U286" s="206"/>
      <c r="V286" s="206"/>
      <c r="W286" s="206"/>
      <c r="X286" s="207"/>
      <c r="Y286" s="207"/>
      <c r="Z286" s="207"/>
      <c r="AA286" s="206"/>
      <c r="AB286" s="206"/>
      <c r="AC286" s="206"/>
      <c r="AD286" s="206"/>
      <c r="AE286" s="206"/>
      <c r="AF286" s="206"/>
      <c r="AG286" s="206"/>
      <c r="AH286" s="206"/>
      <c r="AI286" s="206"/>
      <c r="AJ286" s="206"/>
      <c r="AK286" s="206"/>
      <c r="AL286" s="206"/>
      <c r="AM286" s="206"/>
      <c r="AN286" s="206"/>
      <c r="AO286" s="206"/>
      <c r="AP286" s="206"/>
      <c r="AQ286" s="207"/>
      <c r="AR286" s="206"/>
      <c r="AS286" s="206"/>
      <c r="AT286" s="206"/>
      <c r="AU286" s="206"/>
      <c r="AV286" s="206"/>
      <c r="AW286" s="207"/>
      <c r="AX286" s="207"/>
      <c r="AY286" s="207"/>
      <c r="AZ286" s="207"/>
    </row>
    <row r="287" spans="1:52" ht="24" customHeight="1" x14ac:dyDescent="0.2">
      <c r="A287" s="206"/>
      <c r="B287" s="206"/>
      <c r="C287" s="206"/>
      <c r="D287" s="206"/>
      <c r="E287" s="206"/>
      <c r="F287" s="206"/>
      <c r="G287" s="206"/>
      <c r="H287" s="206"/>
      <c r="I287" s="206"/>
      <c r="J287" s="206"/>
      <c r="K287" s="206"/>
      <c r="L287" s="206"/>
      <c r="M287" s="207"/>
      <c r="N287" s="207"/>
      <c r="O287" s="208"/>
      <c r="P287" s="208"/>
      <c r="Q287" s="208"/>
      <c r="R287" s="206"/>
      <c r="S287" s="206"/>
      <c r="T287" s="206"/>
      <c r="U287" s="206"/>
      <c r="V287" s="206"/>
      <c r="W287" s="206"/>
      <c r="X287" s="207"/>
      <c r="Y287" s="207"/>
      <c r="Z287" s="207"/>
      <c r="AA287" s="206"/>
      <c r="AB287" s="206"/>
      <c r="AC287" s="206"/>
      <c r="AD287" s="206"/>
      <c r="AE287" s="206"/>
      <c r="AF287" s="206"/>
      <c r="AG287" s="206"/>
      <c r="AH287" s="206"/>
      <c r="AI287" s="206"/>
      <c r="AJ287" s="206"/>
      <c r="AK287" s="206"/>
      <c r="AL287" s="206"/>
      <c r="AM287" s="206"/>
      <c r="AN287" s="206"/>
      <c r="AO287" s="206"/>
      <c r="AP287" s="206"/>
      <c r="AQ287" s="207"/>
      <c r="AR287" s="206"/>
      <c r="AS287" s="206"/>
      <c r="AT287" s="206"/>
      <c r="AU287" s="206"/>
      <c r="AV287" s="206"/>
      <c r="AW287" s="207"/>
      <c r="AX287" s="207"/>
      <c r="AY287" s="207"/>
      <c r="AZ287" s="207"/>
    </row>
    <row r="288" spans="1:52" ht="24" customHeight="1" x14ac:dyDescent="0.2">
      <c r="A288" s="206"/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7"/>
      <c r="N288" s="207"/>
      <c r="O288" s="208"/>
      <c r="P288" s="208"/>
      <c r="Q288" s="208"/>
      <c r="R288" s="206"/>
      <c r="S288" s="206"/>
      <c r="T288" s="206"/>
      <c r="U288" s="206"/>
      <c r="V288" s="206"/>
      <c r="W288" s="206"/>
      <c r="X288" s="207"/>
      <c r="Y288" s="207"/>
      <c r="Z288" s="207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7"/>
      <c r="AR288" s="206"/>
      <c r="AS288" s="206"/>
      <c r="AT288" s="206"/>
      <c r="AU288" s="206"/>
      <c r="AV288" s="206"/>
      <c r="AW288" s="207"/>
      <c r="AX288" s="207"/>
      <c r="AY288" s="207"/>
      <c r="AZ288" s="207"/>
    </row>
    <row r="289" spans="1:52" ht="24" customHeight="1" x14ac:dyDescent="0.2">
      <c r="A289" s="206"/>
      <c r="B289" s="206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07"/>
      <c r="N289" s="207"/>
      <c r="O289" s="208"/>
      <c r="P289" s="208"/>
      <c r="Q289" s="208"/>
      <c r="R289" s="206"/>
      <c r="S289" s="206"/>
      <c r="T289" s="206"/>
      <c r="U289" s="206"/>
      <c r="V289" s="206"/>
      <c r="W289" s="206"/>
      <c r="X289" s="207"/>
      <c r="Y289" s="207"/>
      <c r="Z289" s="207"/>
      <c r="AA289" s="206"/>
      <c r="AB289" s="206"/>
      <c r="AC289" s="206"/>
      <c r="AD289" s="206"/>
      <c r="AE289" s="206"/>
      <c r="AF289" s="206"/>
      <c r="AG289" s="206"/>
      <c r="AH289" s="206"/>
      <c r="AI289" s="206"/>
      <c r="AJ289" s="206"/>
      <c r="AK289" s="206"/>
      <c r="AL289" s="206"/>
      <c r="AM289" s="206"/>
      <c r="AN289" s="206"/>
      <c r="AO289" s="206"/>
      <c r="AP289" s="206"/>
      <c r="AQ289" s="207"/>
      <c r="AR289" s="206"/>
      <c r="AS289" s="206"/>
      <c r="AT289" s="206"/>
      <c r="AU289" s="206"/>
      <c r="AV289" s="206"/>
      <c r="AW289" s="207"/>
      <c r="AX289" s="207"/>
      <c r="AY289" s="207"/>
      <c r="AZ289" s="207"/>
    </row>
    <row r="290" spans="1:52" ht="24" customHeight="1" x14ac:dyDescent="0.2">
      <c r="A290" s="206"/>
      <c r="B290" s="206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7"/>
      <c r="N290" s="207"/>
      <c r="O290" s="208"/>
      <c r="P290" s="208"/>
      <c r="Q290" s="208"/>
      <c r="R290" s="206"/>
      <c r="S290" s="206"/>
      <c r="T290" s="206"/>
      <c r="U290" s="206"/>
      <c r="V290" s="206"/>
      <c r="W290" s="206"/>
      <c r="X290" s="207"/>
      <c r="Y290" s="207"/>
      <c r="Z290" s="207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7"/>
      <c r="AR290" s="206"/>
      <c r="AS290" s="206"/>
      <c r="AT290" s="206"/>
      <c r="AU290" s="206"/>
      <c r="AV290" s="206"/>
      <c r="AW290" s="207"/>
      <c r="AX290" s="207"/>
      <c r="AY290" s="207"/>
      <c r="AZ290" s="207"/>
    </row>
    <row r="291" spans="1:52" ht="24" customHeight="1" x14ac:dyDescent="0.2">
      <c r="A291" s="206"/>
      <c r="B291" s="206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07"/>
      <c r="N291" s="207"/>
      <c r="O291" s="208"/>
      <c r="P291" s="208"/>
      <c r="Q291" s="208"/>
      <c r="R291" s="206"/>
      <c r="S291" s="206"/>
      <c r="T291" s="206"/>
      <c r="U291" s="206"/>
      <c r="V291" s="206"/>
      <c r="W291" s="206"/>
      <c r="X291" s="207"/>
      <c r="Y291" s="207"/>
      <c r="Z291" s="207"/>
      <c r="AA291" s="206"/>
      <c r="AB291" s="206"/>
      <c r="AC291" s="206"/>
      <c r="AD291" s="206"/>
      <c r="AE291" s="206"/>
      <c r="AF291" s="206"/>
      <c r="AG291" s="206"/>
      <c r="AH291" s="206"/>
      <c r="AI291" s="206"/>
      <c r="AJ291" s="206"/>
      <c r="AK291" s="206"/>
      <c r="AL291" s="206"/>
      <c r="AM291" s="206"/>
      <c r="AN291" s="206"/>
      <c r="AO291" s="206"/>
      <c r="AP291" s="206"/>
      <c r="AQ291" s="207"/>
      <c r="AR291" s="206"/>
      <c r="AS291" s="206"/>
      <c r="AT291" s="206"/>
      <c r="AU291" s="206"/>
      <c r="AV291" s="206"/>
      <c r="AW291" s="207"/>
      <c r="AX291" s="207"/>
      <c r="AY291" s="207"/>
      <c r="AZ291" s="207"/>
    </row>
    <row r="292" spans="1:52" ht="24" customHeight="1" x14ac:dyDescent="0.2">
      <c r="A292" s="206"/>
      <c r="B292" s="206"/>
      <c r="C292" s="206"/>
      <c r="D292" s="206"/>
      <c r="E292" s="206"/>
      <c r="F292" s="206"/>
      <c r="G292" s="206"/>
      <c r="H292" s="206"/>
      <c r="I292" s="206"/>
      <c r="J292" s="206"/>
      <c r="K292" s="206"/>
      <c r="L292" s="206"/>
      <c r="M292" s="207"/>
      <c r="N292" s="207"/>
      <c r="O292" s="208"/>
      <c r="P292" s="208"/>
      <c r="Q292" s="208"/>
      <c r="R292" s="206"/>
      <c r="S292" s="206"/>
      <c r="T292" s="206"/>
      <c r="U292" s="206"/>
      <c r="V292" s="206"/>
      <c r="W292" s="206"/>
      <c r="X292" s="207"/>
      <c r="Y292" s="207"/>
      <c r="Z292" s="207"/>
      <c r="AA292" s="206"/>
      <c r="AB292" s="206"/>
      <c r="AC292" s="206"/>
      <c r="AD292" s="206"/>
      <c r="AE292" s="206"/>
      <c r="AF292" s="206"/>
      <c r="AG292" s="206"/>
      <c r="AH292" s="206"/>
      <c r="AI292" s="206"/>
      <c r="AJ292" s="206"/>
      <c r="AK292" s="206"/>
      <c r="AL292" s="206"/>
      <c r="AM292" s="206"/>
      <c r="AN292" s="206"/>
      <c r="AO292" s="206"/>
      <c r="AP292" s="206"/>
      <c r="AQ292" s="207"/>
      <c r="AR292" s="206"/>
      <c r="AS292" s="206"/>
      <c r="AT292" s="206"/>
      <c r="AU292" s="206"/>
      <c r="AV292" s="206"/>
      <c r="AW292" s="207"/>
      <c r="AX292" s="207"/>
      <c r="AY292" s="207"/>
      <c r="AZ292" s="207"/>
    </row>
    <row r="293" spans="1:52" ht="24" customHeight="1" x14ac:dyDescent="0.2">
      <c r="A293" s="206"/>
      <c r="B293" s="206"/>
      <c r="C293" s="206"/>
      <c r="D293" s="206"/>
      <c r="E293" s="206"/>
      <c r="F293" s="206"/>
      <c r="G293" s="206"/>
      <c r="H293" s="206"/>
      <c r="I293" s="206"/>
      <c r="J293" s="206"/>
      <c r="K293" s="206"/>
      <c r="L293" s="206"/>
      <c r="M293" s="207"/>
      <c r="N293" s="207"/>
      <c r="O293" s="208"/>
      <c r="P293" s="208"/>
      <c r="Q293" s="208"/>
      <c r="R293" s="206"/>
      <c r="S293" s="206"/>
      <c r="T293" s="206"/>
      <c r="U293" s="206"/>
      <c r="V293" s="206"/>
      <c r="W293" s="206"/>
      <c r="X293" s="207"/>
      <c r="Y293" s="207"/>
      <c r="Z293" s="207"/>
      <c r="AA293" s="206"/>
      <c r="AB293" s="206"/>
      <c r="AC293" s="206"/>
      <c r="AD293" s="206"/>
      <c r="AE293" s="206"/>
      <c r="AF293" s="206"/>
      <c r="AG293" s="206"/>
      <c r="AH293" s="206"/>
      <c r="AI293" s="206"/>
      <c r="AJ293" s="206"/>
      <c r="AK293" s="206"/>
      <c r="AL293" s="206"/>
      <c r="AM293" s="206"/>
      <c r="AN293" s="206"/>
      <c r="AO293" s="206"/>
      <c r="AP293" s="206"/>
      <c r="AQ293" s="207"/>
      <c r="AR293" s="206"/>
      <c r="AS293" s="206"/>
      <c r="AT293" s="206"/>
      <c r="AU293" s="206"/>
      <c r="AV293" s="206"/>
      <c r="AW293" s="207"/>
      <c r="AX293" s="207"/>
      <c r="AY293" s="207"/>
      <c r="AZ293" s="207"/>
    </row>
    <row r="294" spans="1:52" ht="24" customHeight="1" x14ac:dyDescent="0.2">
      <c r="A294" s="206"/>
      <c r="B294" s="206"/>
      <c r="C294" s="206"/>
      <c r="D294" s="206"/>
      <c r="E294" s="206"/>
      <c r="F294" s="206"/>
      <c r="G294" s="206"/>
      <c r="H294" s="206"/>
      <c r="I294" s="206"/>
      <c r="J294" s="206"/>
      <c r="K294" s="206"/>
      <c r="L294" s="206"/>
      <c r="M294" s="207"/>
      <c r="N294" s="207"/>
      <c r="O294" s="208"/>
      <c r="P294" s="208"/>
      <c r="Q294" s="208"/>
      <c r="R294" s="206"/>
      <c r="S294" s="206"/>
      <c r="T294" s="206"/>
      <c r="U294" s="206"/>
      <c r="V294" s="206"/>
      <c r="W294" s="206"/>
      <c r="X294" s="207"/>
      <c r="Y294" s="207"/>
      <c r="Z294" s="207"/>
      <c r="AA294" s="206"/>
      <c r="AB294" s="206"/>
      <c r="AC294" s="206"/>
      <c r="AD294" s="206"/>
      <c r="AE294" s="206"/>
      <c r="AF294" s="206"/>
      <c r="AG294" s="206"/>
      <c r="AH294" s="206"/>
      <c r="AI294" s="206"/>
      <c r="AJ294" s="206"/>
      <c r="AK294" s="206"/>
      <c r="AL294" s="206"/>
      <c r="AM294" s="206"/>
      <c r="AN294" s="206"/>
      <c r="AO294" s="206"/>
      <c r="AP294" s="206"/>
      <c r="AQ294" s="207"/>
      <c r="AR294" s="206"/>
      <c r="AS294" s="206"/>
      <c r="AT294" s="206"/>
      <c r="AU294" s="206"/>
      <c r="AV294" s="206"/>
      <c r="AW294" s="207"/>
      <c r="AX294" s="207"/>
      <c r="AY294" s="207"/>
      <c r="AZ294" s="207"/>
    </row>
    <row r="295" spans="1:52" ht="24" customHeight="1" x14ac:dyDescent="0.2">
      <c r="A295" s="206"/>
      <c r="B295" s="206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7"/>
      <c r="N295" s="207"/>
      <c r="O295" s="208"/>
      <c r="P295" s="208"/>
      <c r="Q295" s="208"/>
      <c r="R295" s="206"/>
      <c r="S295" s="206"/>
      <c r="T295" s="206"/>
      <c r="U295" s="206"/>
      <c r="V295" s="206"/>
      <c r="W295" s="206"/>
      <c r="X295" s="207"/>
      <c r="Y295" s="207"/>
      <c r="Z295" s="207"/>
      <c r="AA295" s="206"/>
      <c r="AB295" s="206"/>
      <c r="AC295" s="206"/>
      <c r="AD295" s="206"/>
      <c r="AE295" s="206"/>
      <c r="AF295" s="206"/>
      <c r="AG295" s="206"/>
      <c r="AH295" s="206"/>
      <c r="AI295" s="206"/>
      <c r="AJ295" s="206"/>
      <c r="AK295" s="206"/>
      <c r="AL295" s="206"/>
      <c r="AM295" s="206"/>
      <c r="AN295" s="206"/>
      <c r="AO295" s="206"/>
      <c r="AP295" s="206"/>
      <c r="AQ295" s="207"/>
      <c r="AR295" s="206"/>
      <c r="AS295" s="206"/>
      <c r="AT295" s="206"/>
      <c r="AU295" s="206"/>
      <c r="AV295" s="206"/>
      <c r="AW295" s="207"/>
      <c r="AX295" s="207"/>
      <c r="AY295" s="207"/>
      <c r="AZ295" s="207"/>
    </row>
    <row r="296" spans="1:52" ht="24" customHeight="1" x14ac:dyDescent="0.2">
      <c r="A296" s="206"/>
      <c r="B296" s="206"/>
      <c r="C296" s="206"/>
      <c r="D296" s="206"/>
      <c r="E296" s="206"/>
      <c r="F296" s="206"/>
      <c r="G296" s="206"/>
      <c r="H296" s="206"/>
      <c r="I296" s="206"/>
      <c r="J296" s="206"/>
      <c r="K296" s="206"/>
      <c r="L296" s="206"/>
      <c r="M296" s="207"/>
      <c r="N296" s="207"/>
      <c r="O296" s="208"/>
      <c r="P296" s="208"/>
      <c r="Q296" s="208"/>
      <c r="R296" s="206"/>
      <c r="S296" s="206"/>
      <c r="T296" s="206"/>
      <c r="U296" s="206"/>
      <c r="V296" s="206"/>
      <c r="W296" s="206"/>
      <c r="X296" s="207"/>
      <c r="Y296" s="207"/>
      <c r="Z296" s="207"/>
      <c r="AA296" s="206"/>
      <c r="AB296" s="206"/>
      <c r="AC296" s="206"/>
      <c r="AD296" s="206"/>
      <c r="AE296" s="206"/>
      <c r="AF296" s="206"/>
      <c r="AG296" s="206"/>
      <c r="AH296" s="206"/>
      <c r="AI296" s="206"/>
      <c r="AJ296" s="206"/>
      <c r="AK296" s="206"/>
      <c r="AL296" s="206"/>
      <c r="AM296" s="206"/>
      <c r="AN296" s="206"/>
      <c r="AO296" s="206"/>
      <c r="AP296" s="206"/>
      <c r="AQ296" s="207"/>
      <c r="AR296" s="206"/>
      <c r="AS296" s="206"/>
      <c r="AT296" s="206"/>
      <c r="AU296" s="206"/>
      <c r="AV296" s="206"/>
      <c r="AW296" s="207"/>
      <c r="AX296" s="207"/>
      <c r="AY296" s="207"/>
      <c r="AZ296" s="207"/>
    </row>
    <row r="297" spans="1:52" ht="24" customHeight="1" x14ac:dyDescent="0.2">
      <c r="A297" s="206"/>
      <c r="B297" s="206"/>
      <c r="C297" s="206"/>
      <c r="D297" s="206"/>
      <c r="E297" s="206"/>
      <c r="F297" s="206"/>
      <c r="G297" s="206"/>
      <c r="H297" s="206"/>
      <c r="I297" s="206"/>
      <c r="J297" s="206"/>
      <c r="K297" s="206"/>
      <c r="L297" s="206"/>
      <c r="M297" s="207"/>
      <c r="N297" s="207"/>
      <c r="O297" s="208"/>
      <c r="P297" s="208"/>
      <c r="Q297" s="208"/>
      <c r="R297" s="206"/>
      <c r="S297" s="206"/>
      <c r="T297" s="206"/>
      <c r="U297" s="206"/>
      <c r="V297" s="206"/>
      <c r="W297" s="206"/>
      <c r="X297" s="207"/>
      <c r="Y297" s="207"/>
      <c r="Z297" s="207"/>
      <c r="AA297" s="206"/>
      <c r="AB297" s="206"/>
      <c r="AC297" s="206"/>
      <c r="AD297" s="206"/>
      <c r="AE297" s="206"/>
      <c r="AF297" s="206"/>
      <c r="AG297" s="206"/>
      <c r="AH297" s="206"/>
      <c r="AI297" s="206"/>
      <c r="AJ297" s="206"/>
      <c r="AK297" s="206"/>
      <c r="AL297" s="206"/>
      <c r="AM297" s="206"/>
      <c r="AN297" s="206"/>
      <c r="AO297" s="206"/>
      <c r="AP297" s="206"/>
      <c r="AQ297" s="207"/>
      <c r="AR297" s="206"/>
      <c r="AS297" s="206"/>
      <c r="AT297" s="206"/>
      <c r="AU297" s="206"/>
      <c r="AV297" s="206"/>
      <c r="AW297" s="207"/>
      <c r="AX297" s="207"/>
      <c r="AY297" s="207"/>
      <c r="AZ297" s="207"/>
    </row>
    <row r="298" spans="1:52" ht="24" customHeight="1" x14ac:dyDescent="0.2">
      <c r="A298" s="206"/>
      <c r="B298" s="206"/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07"/>
      <c r="N298" s="207"/>
      <c r="O298" s="208"/>
      <c r="P298" s="208"/>
      <c r="Q298" s="208"/>
      <c r="R298" s="206"/>
      <c r="S298" s="206"/>
      <c r="T298" s="206"/>
      <c r="U298" s="206"/>
      <c r="V298" s="206"/>
      <c r="W298" s="206"/>
      <c r="X298" s="207"/>
      <c r="Y298" s="207"/>
      <c r="Z298" s="207"/>
      <c r="AA298" s="206"/>
      <c r="AB298" s="206"/>
      <c r="AC298" s="206"/>
      <c r="AD298" s="206"/>
      <c r="AE298" s="206"/>
      <c r="AF298" s="206"/>
      <c r="AG298" s="206"/>
      <c r="AH298" s="206"/>
      <c r="AI298" s="206"/>
      <c r="AJ298" s="206"/>
      <c r="AK298" s="206"/>
      <c r="AL298" s="206"/>
      <c r="AM298" s="206"/>
      <c r="AN298" s="206"/>
      <c r="AO298" s="206"/>
      <c r="AP298" s="206"/>
      <c r="AQ298" s="207"/>
      <c r="AR298" s="206"/>
      <c r="AS298" s="206"/>
      <c r="AT298" s="206"/>
      <c r="AU298" s="206"/>
      <c r="AV298" s="206"/>
      <c r="AW298" s="207"/>
      <c r="AX298" s="207"/>
      <c r="AY298" s="207"/>
      <c r="AZ298" s="207"/>
    </row>
    <row r="299" spans="1:52" ht="24" customHeight="1" x14ac:dyDescent="0.2">
      <c r="A299" s="206"/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7"/>
      <c r="N299" s="207"/>
      <c r="O299" s="208"/>
      <c r="P299" s="208"/>
      <c r="Q299" s="208"/>
      <c r="R299" s="206"/>
      <c r="S299" s="206"/>
      <c r="T299" s="206"/>
      <c r="U299" s="206"/>
      <c r="V299" s="206"/>
      <c r="W299" s="206"/>
      <c r="X299" s="207"/>
      <c r="Y299" s="207"/>
      <c r="Z299" s="207"/>
      <c r="AA299" s="206"/>
      <c r="AB299" s="206"/>
      <c r="AC299" s="206"/>
      <c r="AD299" s="206"/>
      <c r="AE299" s="206"/>
      <c r="AF299" s="206"/>
      <c r="AG299" s="206"/>
      <c r="AH299" s="206"/>
      <c r="AI299" s="206"/>
      <c r="AJ299" s="206"/>
      <c r="AK299" s="206"/>
      <c r="AL299" s="206"/>
      <c r="AM299" s="206"/>
      <c r="AN299" s="206"/>
      <c r="AO299" s="206"/>
      <c r="AP299" s="206"/>
      <c r="AQ299" s="207"/>
      <c r="AR299" s="206"/>
      <c r="AS299" s="206"/>
      <c r="AT299" s="206"/>
      <c r="AU299" s="206"/>
      <c r="AV299" s="206"/>
      <c r="AW299" s="207"/>
      <c r="AX299" s="207"/>
      <c r="AY299" s="207"/>
      <c r="AZ299" s="207"/>
    </row>
    <row r="300" spans="1:52" ht="24" customHeight="1" x14ac:dyDescent="0.2">
      <c r="A300" s="206"/>
      <c r="B300" s="206"/>
      <c r="C300" s="206"/>
      <c r="D300" s="206"/>
      <c r="E300" s="206"/>
      <c r="F300" s="206"/>
      <c r="G300" s="206"/>
      <c r="H300" s="206"/>
      <c r="I300" s="206"/>
      <c r="J300" s="206"/>
      <c r="K300" s="206"/>
      <c r="L300" s="206"/>
      <c r="M300" s="207"/>
      <c r="N300" s="207"/>
      <c r="O300" s="208"/>
      <c r="P300" s="208"/>
      <c r="Q300" s="208"/>
      <c r="R300" s="206"/>
      <c r="S300" s="206"/>
      <c r="T300" s="206"/>
      <c r="U300" s="206"/>
      <c r="V300" s="206"/>
      <c r="W300" s="206"/>
      <c r="X300" s="207"/>
      <c r="Y300" s="207"/>
      <c r="Z300" s="207"/>
      <c r="AA300" s="206"/>
      <c r="AB300" s="206"/>
      <c r="AC300" s="206"/>
      <c r="AD300" s="206"/>
      <c r="AE300" s="206"/>
      <c r="AF300" s="206"/>
      <c r="AG300" s="206"/>
      <c r="AH300" s="206"/>
      <c r="AI300" s="206"/>
      <c r="AJ300" s="206"/>
      <c r="AK300" s="206"/>
      <c r="AL300" s="206"/>
      <c r="AM300" s="206"/>
      <c r="AN300" s="206"/>
      <c r="AO300" s="206"/>
      <c r="AP300" s="206"/>
      <c r="AQ300" s="207"/>
      <c r="AR300" s="206"/>
      <c r="AS300" s="206"/>
      <c r="AT300" s="206"/>
      <c r="AU300" s="206"/>
      <c r="AV300" s="206"/>
      <c r="AW300" s="207"/>
      <c r="AX300" s="207"/>
      <c r="AY300" s="207"/>
      <c r="AZ300" s="207"/>
    </row>
    <row r="301" spans="1:52" ht="24" customHeight="1" x14ac:dyDescent="0.2">
      <c r="A301" s="206"/>
      <c r="B301" s="206"/>
      <c r="C301" s="206"/>
      <c r="D301" s="206"/>
      <c r="E301" s="206"/>
      <c r="F301" s="206"/>
      <c r="G301" s="206"/>
      <c r="H301" s="206"/>
      <c r="I301" s="206"/>
      <c r="J301" s="206"/>
      <c r="K301" s="206"/>
      <c r="L301" s="206"/>
      <c r="M301" s="207"/>
      <c r="N301" s="207"/>
      <c r="O301" s="208"/>
      <c r="P301" s="208"/>
      <c r="Q301" s="208"/>
      <c r="R301" s="206"/>
      <c r="S301" s="206"/>
      <c r="T301" s="206"/>
      <c r="U301" s="206"/>
      <c r="V301" s="206"/>
      <c r="W301" s="206"/>
      <c r="X301" s="207"/>
      <c r="Y301" s="207"/>
      <c r="Z301" s="207"/>
      <c r="AA301" s="206"/>
      <c r="AB301" s="206"/>
      <c r="AC301" s="206"/>
      <c r="AD301" s="206"/>
      <c r="AE301" s="206"/>
      <c r="AF301" s="206"/>
      <c r="AG301" s="206"/>
      <c r="AH301" s="206"/>
      <c r="AI301" s="206"/>
      <c r="AJ301" s="206"/>
      <c r="AK301" s="206"/>
      <c r="AL301" s="206"/>
      <c r="AM301" s="206"/>
      <c r="AN301" s="206"/>
      <c r="AO301" s="206"/>
      <c r="AP301" s="206"/>
      <c r="AQ301" s="207"/>
      <c r="AR301" s="206"/>
      <c r="AS301" s="206"/>
      <c r="AT301" s="206"/>
      <c r="AU301" s="206"/>
      <c r="AV301" s="206"/>
      <c r="AW301" s="207"/>
      <c r="AX301" s="207"/>
      <c r="AY301" s="207"/>
      <c r="AZ301" s="207"/>
    </row>
    <row r="302" spans="1:52" ht="24" customHeight="1" x14ac:dyDescent="0.2">
      <c r="A302" s="206"/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7"/>
      <c r="N302" s="207"/>
      <c r="O302" s="208"/>
      <c r="P302" s="208"/>
      <c r="Q302" s="208"/>
      <c r="R302" s="206"/>
      <c r="S302" s="206"/>
      <c r="T302" s="206"/>
      <c r="U302" s="206"/>
      <c r="V302" s="206"/>
      <c r="W302" s="206"/>
      <c r="X302" s="207"/>
      <c r="Y302" s="207"/>
      <c r="Z302" s="207"/>
      <c r="AA302" s="206"/>
      <c r="AB302" s="206"/>
      <c r="AC302" s="206"/>
      <c r="AD302" s="206"/>
      <c r="AE302" s="206"/>
      <c r="AF302" s="206"/>
      <c r="AG302" s="206"/>
      <c r="AH302" s="206"/>
      <c r="AI302" s="206"/>
      <c r="AJ302" s="206"/>
      <c r="AK302" s="206"/>
      <c r="AL302" s="206"/>
      <c r="AM302" s="206"/>
      <c r="AN302" s="206"/>
      <c r="AO302" s="206"/>
      <c r="AP302" s="206"/>
      <c r="AQ302" s="207"/>
      <c r="AR302" s="206"/>
      <c r="AS302" s="206"/>
      <c r="AT302" s="206"/>
      <c r="AU302" s="206"/>
      <c r="AV302" s="206"/>
      <c r="AW302" s="207"/>
      <c r="AX302" s="207"/>
      <c r="AY302" s="207"/>
      <c r="AZ302" s="207"/>
    </row>
    <row r="303" spans="1:52" ht="24" customHeight="1" x14ac:dyDescent="0.2">
      <c r="A303" s="206"/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7"/>
      <c r="N303" s="207"/>
      <c r="O303" s="208"/>
      <c r="P303" s="208"/>
      <c r="Q303" s="208"/>
      <c r="R303" s="206"/>
      <c r="S303" s="206"/>
      <c r="T303" s="206"/>
      <c r="U303" s="206"/>
      <c r="V303" s="206"/>
      <c r="W303" s="206"/>
      <c r="X303" s="207"/>
      <c r="Y303" s="207"/>
      <c r="Z303" s="207"/>
      <c r="AA303" s="206"/>
      <c r="AB303" s="206"/>
      <c r="AC303" s="206"/>
      <c r="AD303" s="206"/>
      <c r="AE303" s="206"/>
      <c r="AF303" s="206"/>
      <c r="AG303" s="206"/>
      <c r="AH303" s="206"/>
      <c r="AI303" s="206"/>
      <c r="AJ303" s="206"/>
      <c r="AK303" s="206"/>
      <c r="AL303" s="206"/>
      <c r="AM303" s="206"/>
      <c r="AN303" s="206"/>
      <c r="AO303" s="206"/>
      <c r="AP303" s="206"/>
      <c r="AQ303" s="207"/>
      <c r="AR303" s="206"/>
      <c r="AS303" s="206"/>
      <c r="AT303" s="206"/>
      <c r="AU303" s="206"/>
      <c r="AV303" s="206"/>
      <c r="AW303" s="207"/>
      <c r="AX303" s="207"/>
      <c r="AY303" s="207"/>
      <c r="AZ303" s="207"/>
    </row>
    <row r="304" spans="1:52" ht="24" customHeight="1" x14ac:dyDescent="0.2">
      <c r="A304" s="206"/>
      <c r="B304" s="206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07"/>
      <c r="N304" s="207"/>
      <c r="O304" s="208"/>
      <c r="P304" s="208"/>
      <c r="Q304" s="208"/>
      <c r="R304" s="206"/>
      <c r="S304" s="206"/>
      <c r="T304" s="206"/>
      <c r="U304" s="206"/>
      <c r="V304" s="206"/>
      <c r="W304" s="206"/>
      <c r="X304" s="207"/>
      <c r="Y304" s="207"/>
      <c r="Z304" s="207"/>
      <c r="AA304" s="206"/>
      <c r="AB304" s="206"/>
      <c r="AC304" s="206"/>
      <c r="AD304" s="206"/>
      <c r="AE304" s="206"/>
      <c r="AF304" s="206"/>
      <c r="AG304" s="206"/>
      <c r="AH304" s="206"/>
      <c r="AI304" s="206"/>
      <c r="AJ304" s="206"/>
      <c r="AK304" s="206"/>
      <c r="AL304" s="206"/>
      <c r="AM304" s="206"/>
      <c r="AN304" s="206"/>
      <c r="AO304" s="206"/>
      <c r="AP304" s="206"/>
      <c r="AQ304" s="207"/>
      <c r="AR304" s="206"/>
      <c r="AS304" s="206"/>
      <c r="AT304" s="206"/>
      <c r="AU304" s="206"/>
      <c r="AV304" s="206"/>
      <c r="AW304" s="207"/>
      <c r="AX304" s="207"/>
      <c r="AY304" s="207"/>
      <c r="AZ304" s="207"/>
    </row>
    <row r="305" spans="1:52" ht="24" customHeight="1" x14ac:dyDescent="0.2">
      <c r="A305" s="206"/>
      <c r="B305" s="206"/>
      <c r="C305" s="206"/>
      <c r="D305" s="206"/>
      <c r="E305" s="206"/>
      <c r="F305" s="206"/>
      <c r="G305" s="206"/>
      <c r="H305" s="206"/>
      <c r="I305" s="206"/>
      <c r="J305" s="206"/>
      <c r="K305" s="206"/>
      <c r="L305" s="206"/>
      <c r="M305" s="207"/>
      <c r="N305" s="207"/>
      <c r="O305" s="208"/>
      <c r="P305" s="208"/>
      <c r="Q305" s="208"/>
      <c r="R305" s="206"/>
      <c r="S305" s="206"/>
      <c r="T305" s="206"/>
      <c r="U305" s="206"/>
      <c r="V305" s="206"/>
      <c r="W305" s="206"/>
      <c r="X305" s="207"/>
      <c r="Y305" s="207"/>
      <c r="Z305" s="207"/>
      <c r="AA305" s="206"/>
      <c r="AB305" s="206"/>
      <c r="AC305" s="206"/>
      <c r="AD305" s="206"/>
      <c r="AE305" s="206"/>
      <c r="AF305" s="206"/>
      <c r="AG305" s="206"/>
      <c r="AH305" s="206"/>
      <c r="AI305" s="206"/>
      <c r="AJ305" s="206"/>
      <c r="AK305" s="206"/>
      <c r="AL305" s="206"/>
      <c r="AM305" s="206"/>
      <c r="AN305" s="206"/>
      <c r="AO305" s="206"/>
      <c r="AP305" s="206"/>
      <c r="AQ305" s="207"/>
      <c r="AR305" s="206"/>
      <c r="AS305" s="206"/>
      <c r="AT305" s="206"/>
      <c r="AU305" s="206"/>
      <c r="AV305" s="206"/>
      <c r="AW305" s="207"/>
      <c r="AX305" s="207"/>
      <c r="AY305" s="207"/>
      <c r="AZ305" s="207"/>
    </row>
    <row r="306" spans="1:52" ht="24" customHeight="1" x14ac:dyDescent="0.2">
      <c r="A306" s="206"/>
      <c r="B306" s="206"/>
      <c r="C306" s="206"/>
      <c r="D306" s="206"/>
      <c r="E306" s="206"/>
      <c r="F306" s="206"/>
      <c r="G306" s="206"/>
      <c r="H306" s="206"/>
      <c r="I306" s="206"/>
      <c r="J306" s="206"/>
      <c r="K306" s="206"/>
      <c r="L306" s="206"/>
      <c r="M306" s="207"/>
      <c r="N306" s="207"/>
      <c r="O306" s="208"/>
      <c r="P306" s="208"/>
      <c r="Q306" s="208"/>
      <c r="R306" s="206"/>
      <c r="S306" s="206"/>
      <c r="T306" s="206"/>
      <c r="U306" s="206"/>
      <c r="V306" s="206"/>
      <c r="W306" s="206"/>
      <c r="X306" s="207"/>
      <c r="Y306" s="207"/>
      <c r="Z306" s="207"/>
      <c r="AA306" s="206"/>
      <c r="AB306" s="206"/>
      <c r="AC306" s="206"/>
      <c r="AD306" s="206"/>
      <c r="AE306" s="206"/>
      <c r="AF306" s="206"/>
      <c r="AG306" s="206"/>
      <c r="AH306" s="206"/>
      <c r="AI306" s="206"/>
      <c r="AJ306" s="206"/>
      <c r="AK306" s="206"/>
      <c r="AL306" s="206"/>
      <c r="AM306" s="206"/>
      <c r="AN306" s="206"/>
      <c r="AO306" s="206"/>
      <c r="AP306" s="206"/>
      <c r="AQ306" s="207"/>
      <c r="AR306" s="206"/>
      <c r="AS306" s="206"/>
      <c r="AT306" s="206"/>
      <c r="AU306" s="206"/>
      <c r="AV306" s="206"/>
      <c r="AW306" s="207"/>
      <c r="AX306" s="207"/>
      <c r="AY306" s="207"/>
      <c r="AZ306" s="207"/>
    </row>
    <row r="307" spans="1:52" ht="24" customHeight="1" x14ac:dyDescent="0.2">
      <c r="A307" s="206"/>
      <c r="B307" s="206"/>
      <c r="C307" s="206"/>
      <c r="D307" s="206"/>
      <c r="E307" s="206"/>
      <c r="F307" s="206"/>
      <c r="G307" s="206"/>
      <c r="H307" s="206"/>
      <c r="I307" s="206"/>
      <c r="J307" s="206"/>
      <c r="K307" s="206"/>
      <c r="L307" s="206"/>
      <c r="M307" s="207"/>
      <c r="N307" s="207"/>
      <c r="O307" s="208"/>
      <c r="P307" s="208"/>
      <c r="Q307" s="208"/>
      <c r="R307" s="206"/>
      <c r="S307" s="206"/>
      <c r="T307" s="206"/>
      <c r="U307" s="206"/>
      <c r="V307" s="206"/>
      <c r="W307" s="206"/>
      <c r="X307" s="207"/>
      <c r="Y307" s="207"/>
      <c r="Z307" s="207"/>
      <c r="AA307" s="206"/>
      <c r="AB307" s="206"/>
      <c r="AC307" s="206"/>
      <c r="AD307" s="206"/>
      <c r="AE307" s="206"/>
      <c r="AF307" s="206"/>
      <c r="AG307" s="206"/>
      <c r="AH307" s="206"/>
      <c r="AI307" s="206"/>
      <c r="AJ307" s="206"/>
      <c r="AK307" s="206"/>
      <c r="AL307" s="206"/>
      <c r="AM307" s="206"/>
      <c r="AN307" s="206"/>
      <c r="AO307" s="206"/>
      <c r="AP307" s="206"/>
      <c r="AQ307" s="207"/>
      <c r="AR307" s="206"/>
      <c r="AS307" s="206"/>
      <c r="AT307" s="206"/>
      <c r="AU307" s="206"/>
      <c r="AV307" s="206"/>
      <c r="AW307" s="207"/>
      <c r="AX307" s="207"/>
      <c r="AY307" s="207"/>
      <c r="AZ307" s="207"/>
    </row>
    <row r="308" spans="1:52" ht="24" customHeight="1" x14ac:dyDescent="0.2">
      <c r="A308" s="206"/>
      <c r="B308" s="206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7"/>
      <c r="N308" s="207"/>
      <c r="O308" s="208"/>
      <c r="P308" s="208"/>
      <c r="Q308" s="208"/>
      <c r="R308" s="206"/>
      <c r="S308" s="206"/>
      <c r="T308" s="206"/>
      <c r="U308" s="206"/>
      <c r="V308" s="206"/>
      <c r="W308" s="206"/>
      <c r="X308" s="207"/>
      <c r="Y308" s="207"/>
      <c r="Z308" s="207"/>
      <c r="AA308" s="206"/>
      <c r="AB308" s="206"/>
      <c r="AC308" s="206"/>
      <c r="AD308" s="206"/>
      <c r="AE308" s="206"/>
      <c r="AF308" s="206"/>
      <c r="AG308" s="206"/>
      <c r="AH308" s="206"/>
      <c r="AI308" s="206"/>
      <c r="AJ308" s="206"/>
      <c r="AK308" s="206"/>
      <c r="AL308" s="206"/>
      <c r="AM308" s="206"/>
      <c r="AN308" s="206"/>
      <c r="AO308" s="206"/>
      <c r="AP308" s="206"/>
      <c r="AQ308" s="207"/>
      <c r="AR308" s="206"/>
      <c r="AS308" s="206"/>
      <c r="AT308" s="206"/>
      <c r="AU308" s="206"/>
      <c r="AV308" s="206"/>
      <c r="AW308" s="207"/>
      <c r="AX308" s="207"/>
      <c r="AY308" s="207"/>
      <c r="AZ308" s="207"/>
    </row>
    <row r="309" spans="1:52" ht="24" customHeight="1" x14ac:dyDescent="0.2">
      <c r="A309" s="206"/>
      <c r="B309" s="206"/>
      <c r="C309" s="206"/>
      <c r="D309" s="206"/>
      <c r="E309" s="206"/>
      <c r="F309" s="206"/>
      <c r="G309" s="206"/>
      <c r="H309" s="206"/>
      <c r="I309" s="206"/>
      <c r="J309" s="206"/>
      <c r="K309" s="206"/>
      <c r="L309" s="206"/>
      <c r="M309" s="207"/>
      <c r="N309" s="207"/>
      <c r="O309" s="208"/>
      <c r="P309" s="208"/>
      <c r="Q309" s="208"/>
      <c r="R309" s="206"/>
      <c r="S309" s="206"/>
      <c r="T309" s="206"/>
      <c r="U309" s="206"/>
      <c r="V309" s="206"/>
      <c r="W309" s="206"/>
      <c r="X309" s="207"/>
      <c r="Y309" s="207"/>
      <c r="Z309" s="207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7"/>
      <c r="AR309" s="206"/>
      <c r="AS309" s="206"/>
      <c r="AT309" s="206"/>
      <c r="AU309" s="206"/>
      <c r="AV309" s="206"/>
      <c r="AW309" s="207"/>
      <c r="AX309" s="207"/>
      <c r="AY309" s="207"/>
      <c r="AZ309" s="207"/>
    </row>
    <row r="310" spans="1:52" ht="24" customHeight="1" x14ac:dyDescent="0.2">
      <c r="A310" s="206"/>
      <c r="B310" s="206"/>
      <c r="C310" s="206"/>
      <c r="D310" s="206"/>
      <c r="E310" s="206"/>
      <c r="F310" s="206"/>
      <c r="G310" s="206"/>
      <c r="H310" s="206"/>
      <c r="I310" s="206"/>
      <c r="J310" s="206"/>
      <c r="K310" s="206"/>
      <c r="L310" s="206"/>
      <c r="M310" s="207"/>
      <c r="N310" s="207"/>
      <c r="O310" s="208"/>
      <c r="P310" s="208"/>
      <c r="Q310" s="208"/>
      <c r="R310" s="206"/>
      <c r="S310" s="206"/>
      <c r="T310" s="206"/>
      <c r="U310" s="206"/>
      <c r="V310" s="206"/>
      <c r="W310" s="206"/>
      <c r="X310" s="207"/>
      <c r="Y310" s="207"/>
      <c r="Z310" s="207"/>
      <c r="AA310" s="206"/>
      <c r="AB310" s="206"/>
      <c r="AC310" s="206"/>
      <c r="AD310" s="206"/>
      <c r="AE310" s="206"/>
      <c r="AF310" s="206"/>
      <c r="AG310" s="206"/>
      <c r="AH310" s="206"/>
      <c r="AI310" s="206"/>
      <c r="AJ310" s="206"/>
      <c r="AK310" s="206"/>
      <c r="AL310" s="206"/>
      <c r="AM310" s="206"/>
      <c r="AN310" s="206"/>
      <c r="AO310" s="206"/>
      <c r="AP310" s="206"/>
      <c r="AQ310" s="207"/>
      <c r="AR310" s="206"/>
      <c r="AS310" s="206"/>
      <c r="AT310" s="206"/>
      <c r="AU310" s="206"/>
      <c r="AV310" s="206"/>
      <c r="AW310" s="207"/>
      <c r="AX310" s="207"/>
      <c r="AY310" s="207"/>
      <c r="AZ310" s="207"/>
    </row>
    <row r="311" spans="1:52" ht="24" customHeight="1" x14ac:dyDescent="0.2">
      <c r="A311" s="206"/>
      <c r="B311" s="206"/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  <c r="M311" s="207"/>
      <c r="N311" s="207"/>
      <c r="O311" s="208"/>
      <c r="P311" s="208"/>
      <c r="Q311" s="208"/>
      <c r="R311" s="206"/>
      <c r="S311" s="206"/>
      <c r="T311" s="206"/>
      <c r="U311" s="206"/>
      <c r="V311" s="206"/>
      <c r="W311" s="206"/>
      <c r="X311" s="207"/>
      <c r="Y311" s="207"/>
      <c r="Z311" s="207"/>
      <c r="AA311" s="206"/>
      <c r="AB311" s="206"/>
      <c r="AC311" s="206"/>
      <c r="AD311" s="206"/>
      <c r="AE311" s="206"/>
      <c r="AF311" s="206"/>
      <c r="AG311" s="206"/>
      <c r="AH311" s="206"/>
      <c r="AI311" s="206"/>
      <c r="AJ311" s="206"/>
      <c r="AK311" s="206"/>
      <c r="AL311" s="206"/>
      <c r="AM311" s="206"/>
      <c r="AN311" s="206"/>
      <c r="AO311" s="206"/>
      <c r="AP311" s="206"/>
      <c r="AQ311" s="207"/>
      <c r="AR311" s="206"/>
      <c r="AS311" s="206"/>
      <c r="AT311" s="206"/>
      <c r="AU311" s="206"/>
      <c r="AV311" s="206"/>
      <c r="AW311" s="207"/>
      <c r="AX311" s="207"/>
      <c r="AY311" s="207"/>
      <c r="AZ311" s="207"/>
    </row>
    <row r="312" spans="1:52" ht="24" customHeight="1" x14ac:dyDescent="0.2">
      <c r="A312" s="206"/>
      <c r="B312" s="206"/>
      <c r="C312" s="206"/>
      <c r="D312" s="206"/>
      <c r="E312" s="206"/>
      <c r="F312" s="206"/>
      <c r="G312" s="206"/>
      <c r="H312" s="206"/>
      <c r="I312" s="206"/>
      <c r="J312" s="206"/>
      <c r="K312" s="206"/>
      <c r="L312" s="206"/>
      <c r="M312" s="207"/>
      <c r="N312" s="207"/>
      <c r="O312" s="208"/>
      <c r="P312" s="208"/>
      <c r="Q312" s="208"/>
      <c r="R312" s="206"/>
      <c r="S312" s="206"/>
      <c r="T312" s="206"/>
      <c r="U312" s="206"/>
      <c r="V312" s="206"/>
      <c r="W312" s="206"/>
      <c r="X312" s="207"/>
      <c r="Y312" s="207"/>
      <c r="Z312" s="207"/>
      <c r="AA312" s="206"/>
      <c r="AB312" s="206"/>
      <c r="AC312" s="206"/>
      <c r="AD312" s="206"/>
      <c r="AE312" s="206"/>
      <c r="AF312" s="206"/>
      <c r="AG312" s="206"/>
      <c r="AH312" s="206"/>
      <c r="AI312" s="206"/>
      <c r="AJ312" s="206"/>
      <c r="AK312" s="206"/>
      <c r="AL312" s="206"/>
      <c r="AM312" s="206"/>
      <c r="AN312" s="206"/>
      <c r="AO312" s="206"/>
      <c r="AP312" s="206"/>
      <c r="AQ312" s="207"/>
      <c r="AR312" s="206"/>
      <c r="AS312" s="206"/>
      <c r="AT312" s="206"/>
      <c r="AU312" s="206"/>
      <c r="AV312" s="206"/>
      <c r="AW312" s="207"/>
      <c r="AX312" s="207"/>
      <c r="AY312" s="207"/>
      <c r="AZ312" s="207"/>
    </row>
    <row r="313" spans="1:52" ht="24" customHeight="1" x14ac:dyDescent="0.2">
      <c r="A313" s="206"/>
      <c r="B313" s="206"/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07"/>
      <c r="N313" s="207"/>
      <c r="O313" s="208"/>
      <c r="P313" s="208"/>
      <c r="Q313" s="208"/>
      <c r="R313" s="206"/>
      <c r="S313" s="206"/>
      <c r="T313" s="206"/>
      <c r="U313" s="206"/>
      <c r="V313" s="206"/>
      <c r="W313" s="206"/>
      <c r="X313" s="207"/>
      <c r="Y313" s="207"/>
      <c r="Z313" s="207"/>
      <c r="AA313" s="206"/>
      <c r="AB313" s="206"/>
      <c r="AC313" s="206"/>
      <c r="AD313" s="206"/>
      <c r="AE313" s="206"/>
      <c r="AF313" s="206"/>
      <c r="AG313" s="206"/>
      <c r="AH313" s="206"/>
      <c r="AI313" s="206"/>
      <c r="AJ313" s="206"/>
      <c r="AK313" s="206"/>
      <c r="AL313" s="206"/>
      <c r="AM313" s="206"/>
      <c r="AN313" s="206"/>
      <c r="AO313" s="206"/>
      <c r="AP313" s="206"/>
      <c r="AQ313" s="207"/>
      <c r="AR313" s="206"/>
      <c r="AS313" s="206"/>
      <c r="AT313" s="206"/>
      <c r="AU313" s="206"/>
      <c r="AV313" s="206"/>
      <c r="AW313" s="207"/>
      <c r="AX313" s="207"/>
      <c r="AY313" s="207"/>
      <c r="AZ313" s="207"/>
    </row>
    <row r="314" spans="1:52" ht="12.75" x14ac:dyDescent="0.2">
      <c r="A314" s="206"/>
      <c r="B314" s="206"/>
      <c r="C314" s="206"/>
      <c r="D314" s="206"/>
      <c r="E314" s="206"/>
      <c r="F314" s="206"/>
      <c r="G314" s="206"/>
      <c r="H314" s="206"/>
      <c r="I314" s="206"/>
      <c r="J314" s="206"/>
      <c r="K314" s="206"/>
      <c r="L314" s="206"/>
      <c r="M314" s="207"/>
      <c r="N314" s="207"/>
      <c r="O314" s="208"/>
      <c r="P314" s="208"/>
      <c r="Q314" s="208"/>
      <c r="R314" s="206"/>
      <c r="S314" s="206"/>
      <c r="T314" s="206"/>
      <c r="U314" s="206"/>
      <c r="V314" s="206"/>
      <c r="W314" s="206"/>
      <c r="X314" s="207"/>
      <c r="Y314" s="207"/>
      <c r="Z314" s="207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7"/>
      <c r="AR314" s="206"/>
      <c r="AS314" s="206"/>
      <c r="AT314" s="206"/>
      <c r="AU314" s="206"/>
      <c r="AV314" s="206"/>
      <c r="AW314" s="207"/>
      <c r="AX314" s="207"/>
      <c r="AY314" s="207"/>
      <c r="AZ314" s="207"/>
    </row>
    <row r="315" spans="1:52" ht="12.75" x14ac:dyDescent="0.2">
      <c r="A315" s="206"/>
      <c r="B315" s="206"/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  <c r="M315" s="207"/>
      <c r="N315" s="207"/>
      <c r="O315" s="208"/>
      <c r="P315" s="208"/>
      <c r="Q315" s="208"/>
      <c r="R315" s="206"/>
      <c r="S315" s="206"/>
      <c r="T315" s="206"/>
      <c r="U315" s="206"/>
      <c r="V315" s="206"/>
      <c r="W315" s="206"/>
      <c r="X315" s="207"/>
      <c r="Y315" s="207"/>
      <c r="Z315" s="207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7"/>
      <c r="AR315" s="206"/>
      <c r="AS315" s="206"/>
      <c r="AT315" s="206"/>
      <c r="AU315" s="206"/>
      <c r="AV315" s="206"/>
      <c r="AW315" s="207"/>
      <c r="AX315" s="207"/>
      <c r="AY315" s="207"/>
      <c r="AZ315" s="207"/>
    </row>
    <row r="316" spans="1:52" ht="12.75" x14ac:dyDescent="0.2">
      <c r="A316" s="206"/>
      <c r="B316" s="206"/>
      <c r="C316" s="206"/>
      <c r="D316" s="206"/>
      <c r="E316" s="206"/>
      <c r="F316" s="206"/>
      <c r="G316" s="206"/>
      <c r="H316" s="206"/>
      <c r="I316" s="206"/>
      <c r="J316" s="206"/>
      <c r="K316" s="206"/>
      <c r="L316" s="206"/>
      <c r="M316" s="207"/>
      <c r="N316" s="207"/>
      <c r="O316" s="208"/>
      <c r="P316" s="208"/>
      <c r="Q316" s="208"/>
      <c r="R316" s="206"/>
      <c r="S316" s="206"/>
      <c r="T316" s="206"/>
      <c r="U316" s="206"/>
      <c r="V316" s="206"/>
      <c r="W316" s="206"/>
      <c r="X316" s="207"/>
      <c r="Y316" s="207"/>
      <c r="Z316" s="207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7"/>
      <c r="AR316" s="206"/>
      <c r="AS316" s="206"/>
      <c r="AT316" s="206"/>
      <c r="AU316" s="206"/>
      <c r="AV316" s="206"/>
      <c r="AW316" s="207"/>
      <c r="AX316" s="207"/>
      <c r="AY316" s="207"/>
      <c r="AZ316" s="207"/>
    </row>
    <row r="317" spans="1:52" ht="12.75" x14ac:dyDescent="0.2">
      <c r="A317" s="206"/>
      <c r="B317" s="206"/>
      <c r="C317" s="206"/>
      <c r="D317" s="206"/>
      <c r="E317" s="206"/>
      <c r="F317" s="206"/>
      <c r="G317" s="206"/>
      <c r="H317" s="206"/>
      <c r="I317" s="206"/>
      <c r="J317" s="206"/>
      <c r="K317" s="206"/>
      <c r="L317" s="206"/>
      <c r="M317" s="207"/>
      <c r="N317" s="207"/>
      <c r="O317" s="208"/>
      <c r="P317" s="208"/>
      <c r="Q317" s="208"/>
      <c r="R317" s="206"/>
      <c r="S317" s="206"/>
      <c r="T317" s="206"/>
      <c r="U317" s="206"/>
      <c r="V317" s="206"/>
      <c r="W317" s="206"/>
      <c r="X317" s="207"/>
      <c r="Y317" s="207"/>
      <c r="Z317" s="207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7"/>
      <c r="AR317" s="206"/>
      <c r="AS317" s="206"/>
      <c r="AT317" s="206"/>
      <c r="AU317" s="206"/>
      <c r="AV317" s="206"/>
      <c r="AW317" s="207"/>
      <c r="AX317" s="207"/>
      <c r="AY317" s="207"/>
      <c r="AZ317" s="207"/>
    </row>
    <row r="318" spans="1:52" ht="12.75" x14ac:dyDescent="0.2">
      <c r="A318" s="206"/>
      <c r="B318" s="206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07"/>
      <c r="N318" s="207"/>
      <c r="O318" s="208"/>
      <c r="P318" s="208"/>
      <c r="Q318" s="208"/>
      <c r="R318" s="206"/>
      <c r="S318" s="206"/>
      <c r="T318" s="206"/>
      <c r="U318" s="206"/>
      <c r="V318" s="206"/>
      <c r="W318" s="206"/>
      <c r="X318" s="207"/>
      <c r="Y318" s="207"/>
      <c r="Z318" s="207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7"/>
      <c r="AR318" s="206"/>
      <c r="AS318" s="206"/>
      <c r="AT318" s="206"/>
      <c r="AU318" s="206"/>
      <c r="AV318" s="206"/>
      <c r="AW318" s="207"/>
      <c r="AX318" s="207"/>
      <c r="AY318" s="207"/>
      <c r="AZ318" s="207"/>
    </row>
    <row r="319" spans="1:52" ht="12.75" x14ac:dyDescent="0.2">
      <c r="A319" s="206"/>
      <c r="B319" s="206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07"/>
      <c r="N319" s="207"/>
      <c r="O319" s="208"/>
      <c r="P319" s="208"/>
      <c r="Q319" s="208"/>
      <c r="R319" s="206"/>
      <c r="S319" s="206"/>
      <c r="T319" s="206"/>
      <c r="U319" s="206"/>
      <c r="V319" s="206"/>
      <c r="W319" s="206"/>
      <c r="X319" s="207"/>
      <c r="Y319" s="207"/>
      <c r="Z319" s="207"/>
      <c r="AA319" s="206"/>
      <c r="AB319" s="206"/>
      <c r="AC319" s="206"/>
      <c r="AD319" s="206"/>
      <c r="AE319" s="206"/>
      <c r="AF319" s="206"/>
      <c r="AG319" s="206"/>
      <c r="AH319" s="206"/>
      <c r="AI319" s="206"/>
      <c r="AJ319" s="206"/>
      <c r="AK319" s="206"/>
      <c r="AL319" s="206"/>
      <c r="AM319" s="206"/>
      <c r="AN319" s="206"/>
      <c r="AO319" s="206"/>
      <c r="AP319" s="206"/>
      <c r="AQ319" s="207"/>
      <c r="AR319" s="206"/>
      <c r="AS319" s="206"/>
      <c r="AT319" s="206"/>
      <c r="AU319" s="206"/>
      <c r="AV319" s="206"/>
      <c r="AW319" s="207"/>
      <c r="AX319" s="207"/>
      <c r="AY319" s="207"/>
      <c r="AZ319" s="207"/>
    </row>
    <row r="320" spans="1:52" ht="12.75" x14ac:dyDescent="0.2">
      <c r="A320" s="206"/>
      <c r="B320" s="206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07"/>
      <c r="N320" s="207"/>
      <c r="O320" s="208"/>
      <c r="P320" s="208"/>
      <c r="Q320" s="208"/>
      <c r="R320" s="206"/>
      <c r="S320" s="206"/>
      <c r="T320" s="206"/>
      <c r="U320" s="206"/>
      <c r="V320" s="206"/>
      <c r="W320" s="206"/>
      <c r="X320" s="207"/>
      <c r="Y320" s="207"/>
      <c r="Z320" s="207"/>
      <c r="AA320" s="206"/>
      <c r="AB320" s="206"/>
      <c r="AC320" s="206"/>
      <c r="AD320" s="206"/>
      <c r="AE320" s="206"/>
      <c r="AF320" s="206"/>
      <c r="AG320" s="206"/>
      <c r="AH320" s="206"/>
      <c r="AI320" s="206"/>
      <c r="AJ320" s="206"/>
      <c r="AK320" s="206"/>
      <c r="AL320" s="206"/>
      <c r="AM320" s="206"/>
      <c r="AN320" s="206"/>
      <c r="AO320" s="206"/>
      <c r="AP320" s="206"/>
      <c r="AQ320" s="207"/>
      <c r="AR320" s="206"/>
      <c r="AS320" s="206"/>
      <c r="AT320" s="206"/>
      <c r="AU320" s="206"/>
      <c r="AV320" s="206"/>
      <c r="AW320" s="207"/>
      <c r="AX320" s="207"/>
      <c r="AY320" s="207"/>
      <c r="AZ320" s="207"/>
    </row>
    <row r="321" spans="1:52" ht="12.75" x14ac:dyDescent="0.2">
      <c r="A321" s="206"/>
      <c r="B321" s="206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7"/>
      <c r="N321" s="207"/>
      <c r="O321" s="208"/>
      <c r="P321" s="208"/>
      <c r="Q321" s="208"/>
      <c r="R321" s="206"/>
      <c r="S321" s="206"/>
      <c r="T321" s="206"/>
      <c r="U321" s="206"/>
      <c r="V321" s="206"/>
      <c r="W321" s="206"/>
      <c r="X321" s="207"/>
      <c r="Y321" s="207"/>
      <c r="Z321" s="207"/>
      <c r="AA321" s="206"/>
      <c r="AB321" s="206"/>
      <c r="AC321" s="206"/>
      <c r="AD321" s="206"/>
      <c r="AE321" s="206"/>
      <c r="AF321" s="206"/>
      <c r="AG321" s="206"/>
      <c r="AH321" s="206"/>
      <c r="AI321" s="206"/>
      <c r="AJ321" s="206"/>
      <c r="AK321" s="206"/>
      <c r="AL321" s="206"/>
      <c r="AM321" s="206"/>
      <c r="AN321" s="206"/>
      <c r="AO321" s="206"/>
      <c r="AP321" s="206"/>
      <c r="AQ321" s="207"/>
      <c r="AR321" s="206"/>
      <c r="AS321" s="206"/>
      <c r="AT321" s="206"/>
      <c r="AU321" s="206"/>
      <c r="AV321" s="206"/>
      <c r="AW321" s="207"/>
      <c r="AX321" s="207"/>
      <c r="AY321" s="207"/>
      <c r="AZ321" s="207"/>
    </row>
    <row r="322" spans="1:52" ht="12.75" x14ac:dyDescent="0.2">
      <c r="A322" s="206"/>
      <c r="B322" s="206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07"/>
      <c r="N322" s="207"/>
      <c r="O322" s="208"/>
      <c r="P322" s="208"/>
      <c r="Q322" s="208"/>
      <c r="R322" s="206"/>
      <c r="S322" s="206"/>
      <c r="T322" s="206"/>
      <c r="U322" s="206"/>
      <c r="V322" s="206"/>
      <c r="W322" s="206"/>
      <c r="X322" s="207"/>
      <c r="Y322" s="207"/>
      <c r="Z322" s="207"/>
      <c r="AA322" s="206"/>
      <c r="AB322" s="206"/>
      <c r="AC322" s="206"/>
      <c r="AD322" s="206"/>
      <c r="AE322" s="206"/>
      <c r="AF322" s="206"/>
      <c r="AG322" s="206"/>
      <c r="AH322" s="206"/>
      <c r="AI322" s="206"/>
      <c r="AJ322" s="206"/>
      <c r="AK322" s="206"/>
      <c r="AL322" s="206"/>
      <c r="AM322" s="206"/>
      <c r="AN322" s="206"/>
      <c r="AO322" s="206"/>
      <c r="AP322" s="206"/>
      <c r="AQ322" s="207"/>
      <c r="AR322" s="206"/>
      <c r="AS322" s="206"/>
      <c r="AT322" s="206"/>
      <c r="AU322" s="206"/>
      <c r="AV322" s="206"/>
      <c r="AW322" s="207"/>
      <c r="AX322" s="207"/>
      <c r="AY322" s="207"/>
      <c r="AZ322" s="207"/>
    </row>
    <row r="323" spans="1:52" ht="12.75" x14ac:dyDescent="0.2">
      <c r="A323" s="206"/>
      <c r="B323" s="206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7"/>
      <c r="N323" s="207"/>
      <c r="O323" s="208"/>
      <c r="P323" s="208"/>
      <c r="Q323" s="208"/>
      <c r="R323" s="206"/>
      <c r="S323" s="206"/>
      <c r="T323" s="206"/>
      <c r="U323" s="206"/>
      <c r="V323" s="206"/>
      <c r="W323" s="206"/>
      <c r="X323" s="207"/>
      <c r="Y323" s="207"/>
      <c r="Z323" s="207"/>
      <c r="AA323" s="206"/>
      <c r="AB323" s="206"/>
      <c r="AC323" s="206"/>
      <c r="AD323" s="206"/>
      <c r="AE323" s="206"/>
      <c r="AF323" s="206"/>
      <c r="AG323" s="206"/>
      <c r="AH323" s="206"/>
      <c r="AI323" s="206"/>
      <c r="AJ323" s="206"/>
      <c r="AK323" s="206"/>
      <c r="AL323" s="206"/>
      <c r="AM323" s="206"/>
      <c r="AN323" s="206"/>
      <c r="AO323" s="206"/>
      <c r="AP323" s="206"/>
      <c r="AQ323" s="207"/>
      <c r="AR323" s="206"/>
      <c r="AS323" s="206"/>
      <c r="AT323" s="206"/>
      <c r="AU323" s="206"/>
      <c r="AV323" s="206"/>
      <c r="AW323" s="207"/>
      <c r="AX323" s="207"/>
      <c r="AY323" s="207"/>
      <c r="AZ323" s="207"/>
    </row>
    <row r="324" spans="1:52" ht="12.75" x14ac:dyDescent="0.2">
      <c r="A324" s="206"/>
      <c r="B324" s="206"/>
      <c r="C324" s="206"/>
      <c r="D324" s="206"/>
      <c r="E324" s="206"/>
      <c r="F324" s="206"/>
      <c r="G324" s="206"/>
      <c r="H324" s="206"/>
      <c r="I324" s="206"/>
      <c r="J324" s="206"/>
      <c r="K324" s="206"/>
      <c r="L324" s="206"/>
      <c r="M324" s="207"/>
      <c r="N324" s="207"/>
      <c r="O324" s="208"/>
      <c r="P324" s="208"/>
      <c r="Q324" s="208"/>
      <c r="R324" s="206"/>
      <c r="S324" s="206"/>
      <c r="T324" s="206"/>
      <c r="U324" s="206"/>
      <c r="V324" s="206"/>
      <c r="W324" s="206"/>
      <c r="X324" s="207"/>
      <c r="Y324" s="207"/>
      <c r="Z324" s="207"/>
      <c r="AA324" s="206"/>
      <c r="AB324" s="206"/>
      <c r="AC324" s="206"/>
      <c r="AD324" s="206"/>
      <c r="AE324" s="206"/>
      <c r="AF324" s="206"/>
      <c r="AG324" s="206"/>
      <c r="AH324" s="206"/>
      <c r="AI324" s="206"/>
      <c r="AJ324" s="206"/>
      <c r="AK324" s="206"/>
      <c r="AL324" s="206"/>
      <c r="AM324" s="206"/>
      <c r="AN324" s="206"/>
      <c r="AO324" s="206"/>
      <c r="AP324" s="206"/>
      <c r="AQ324" s="207"/>
      <c r="AR324" s="206"/>
      <c r="AS324" s="206"/>
      <c r="AT324" s="206"/>
      <c r="AU324" s="206"/>
      <c r="AV324" s="206"/>
      <c r="AW324" s="207"/>
      <c r="AX324" s="207"/>
      <c r="AY324" s="207"/>
      <c r="AZ324" s="207"/>
    </row>
    <row r="325" spans="1:52" ht="12.75" x14ac:dyDescent="0.2">
      <c r="A325" s="206"/>
      <c r="B325" s="206"/>
      <c r="C325" s="206"/>
      <c r="D325" s="206"/>
      <c r="E325" s="206"/>
      <c r="F325" s="206"/>
      <c r="G325" s="206"/>
      <c r="H325" s="206"/>
      <c r="I325" s="206"/>
      <c r="J325" s="206"/>
      <c r="K325" s="206"/>
      <c r="L325" s="206"/>
      <c r="M325" s="207"/>
      <c r="N325" s="207"/>
      <c r="O325" s="208"/>
      <c r="P325" s="208"/>
      <c r="Q325" s="208"/>
      <c r="R325" s="206"/>
      <c r="S325" s="206"/>
      <c r="T325" s="206"/>
      <c r="U325" s="206"/>
      <c r="V325" s="206"/>
      <c r="W325" s="206"/>
      <c r="X325" s="207"/>
      <c r="Y325" s="207"/>
      <c r="Z325" s="207"/>
      <c r="AA325" s="206"/>
      <c r="AB325" s="206"/>
      <c r="AC325" s="206"/>
      <c r="AD325" s="206"/>
      <c r="AE325" s="206"/>
      <c r="AF325" s="206"/>
      <c r="AG325" s="206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7"/>
      <c r="AR325" s="206"/>
      <c r="AS325" s="206"/>
      <c r="AT325" s="206"/>
      <c r="AU325" s="206"/>
      <c r="AV325" s="206"/>
      <c r="AW325" s="207"/>
      <c r="AX325" s="207"/>
      <c r="AY325" s="207"/>
      <c r="AZ325" s="207"/>
    </row>
    <row r="326" spans="1:52" ht="12.75" x14ac:dyDescent="0.2">
      <c r="A326" s="206"/>
      <c r="B326" s="206"/>
      <c r="C326" s="206"/>
      <c r="D326" s="206"/>
      <c r="E326" s="206"/>
      <c r="F326" s="206"/>
      <c r="G326" s="206"/>
      <c r="H326" s="206"/>
      <c r="I326" s="206"/>
      <c r="J326" s="206"/>
      <c r="K326" s="206"/>
      <c r="L326" s="206"/>
      <c r="M326" s="207"/>
      <c r="N326" s="207"/>
      <c r="O326" s="208"/>
      <c r="P326" s="208"/>
      <c r="Q326" s="208"/>
      <c r="R326" s="206"/>
      <c r="S326" s="206"/>
      <c r="T326" s="206"/>
      <c r="U326" s="206"/>
      <c r="V326" s="206"/>
      <c r="W326" s="206"/>
      <c r="X326" s="207"/>
      <c r="Y326" s="207"/>
      <c r="Z326" s="207"/>
      <c r="AA326" s="206"/>
      <c r="AB326" s="206"/>
      <c r="AC326" s="206"/>
      <c r="AD326" s="206"/>
      <c r="AE326" s="206"/>
      <c r="AF326" s="206"/>
      <c r="AG326" s="206"/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7"/>
      <c r="AR326" s="206"/>
      <c r="AS326" s="206"/>
      <c r="AT326" s="206"/>
      <c r="AU326" s="206"/>
      <c r="AV326" s="206"/>
      <c r="AW326" s="207"/>
      <c r="AX326" s="207"/>
      <c r="AY326" s="207"/>
      <c r="AZ326" s="207"/>
    </row>
    <row r="327" spans="1:52" ht="12.75" x14ac:dyDescent="0.2">
      <c r="A327" s="206"/>
      <c r="B327" s="206"/>
      <c r="C327" s="206"/>
      <c r="D327" s="206"/>
      <c r="E327" s="206"/>
      <c r="F327" s="206"/>
      <c r="G327" s="206"/>
      <c r="H327" s="206"/>
      <c r="I327" s="206"/>
      <c r="J327" s="206"/>
      <c r="K327" s="206"/>
      <c r="L327" s="206"/>
      <c r="M327" s="207"/>
      <c r="N327" s="207"/>
      <c r="O327" s="208"/>
      <c r="P327" s="208"/>
      <c r="Q327" s="208"/>
      <c r="R327" s="206"/>
      <c r="S327" s="206"/>
      <c r="T327" s="206"/>
      <c r="U327" s="206"/>
      <c r="V327" s="206"/>
      <c r="W327" s="206"/>
      <c r="X327" s="207"/>
      <c r="Y327" s="207"/>
      <c r="Z327" s="207"/>
      <c r="AA327" s="206"/>
      <c r="AB327" s="206"/>
      <c r="AC327" s="206"/>
      <c r="AD327" s="206"/>
      <c r="AE327" s="206"/>
      <c r="AF327" s="206"/>
      <c r="AG327" s="206"/>
      <c r="AH327" s="206"/>
      <c r="AI327" s="206"/>
      <c r="AJ327" s="206"/>
      <c r="AK327" s="206"/>
      <c r="AL327" s="206"/>
      <c r="AM327" s="206"/>
      <c r="AN327" s="206"/>
      <c r="AO327" s="206"/>
      <c r="AP327" s="206"/>
      <c r="AQ327" s="207"/>
      <c r="AR327" s="206"/>
      <c r="AS327" s="206"/>
      <c r="AT327" s="206"/>
      <c r="AU327" s="206"/>
      <c r="AV327" s="206"/>
      <c r="AW327" s="207"/>
      <c r="AX327" s="207"/>
      <c r="AY327" s="207"/>
      <c r="AZ327" s="207"/>
    </row>
    <row r="328" spans="1:52" ht="12.75" x14ac:dyDescent="0.2">
      <c r="A328" s="206"/>
      <c r="B328" s="206"/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  <c r="M328" s="207"/>
      <c r="N328" s="207"/>
      <c r="O328" s="208"/>
      <c r="P328" s="208"/>
      <c r="Q328" s="208"/>
      <c r="R328" s="206"/>
      <c r="S328" s="206"/>
      <c r="T328" s="206"/>
      <c r="U328" s="206"/>
      <c r="V328" s="206"/>
      <c r="W328" s="206"/>
      <c r="X328" s="207"/>
      <c r="Y328" s="207"/>
      <c r="Z328" s="207"/>
      <c r="AA328" s="206"/>
      <c r="AB328" s="206"/>
      <c r="AC328" s="206"/>
      <c r="AD328" s="206"/>
      <c r="AE328" s="206"/>
      <c r="AF328" s="206"/>
      <c r="AG328" s="206"/>
      <c r="AH328" s="206"/>
      <c r="AI328" s="206"/>
      <c r="AJ328" s="206"/>
      <c r="AK328" s="206"/>
      <c r="AL328" s="206"/>
      <c r="AM328" s="206"/>
      <c r="AN328" s="206"/>
      <c r="AO328" s="206"/>
      <c r="AP328" s="206"/>
      <c r="AQ328" s="207"/>
      <c r="AR328" s="206"/>
      <c r="AS328" s="206"/>
      <c r="AT328" s="206"/>
      <c r="AU328" s="206"/>
      <c r="AV328" s="206"/>
      <c r="AW328" s="207"/>
      <c r="AX328" s="207"/>
      <c r="AY328" s="207"/>
      <c r="AZ328" s="207"/>
    </row>
    <row r="329" spans="1:52" ht="12.75" x14ac:dyDescent="0.2">
      <c r="A329" s="206"/>
      <c r="B329" s="206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07"/>
      <c r="N329" s="207"/>
      <c r="O329" s="208"/>
      <c r="P329" s="208"/>
      <c r="Q329" s="208"/>
      <c r="R329" s="206"/>
      <c r="S329" s="206"/>
      <c r="T329" s="206"/>
      <c r="U329" s="206"/>
      <c r="V329" s="206"/>
      <c r="W329" s="206"/>
      <c r="X329" s="207"/>
      <c r="Y329" s="207"/>
      <c r="Z329" s="207"/>
      <c r="AA329" s="206"/>
      <c r="AB329" s="206"/>
      <c r="AC329" s="206"/>
      <c r="AD329" s="206"/>
      <c r="AE329" s="206"/>
      <c r="AF329" s="206"/>
      <c r="AG329" s="206"/>
      <c r="AH329" s="206"/>
      <c r="AI329" s="206"/>
      <c r="AJ329" s="206"/>
      <c r="AK329" s="206"/>
      <c r="AL329" s="206"/>
      <c r="AM329" s="206"/>
      <c r="AN329" s="206"/>
      <c r="AO329" s="206"/>
      <c r="AP329" s="206"/>
      <c r="AQ329" s="207"/>
      <c r="AR329" s="206"/>
      <c r="AS329" s="206"/>
      <c r="AT329" s="206"/>
      <c r="AU329" s="206"/>
      <c r="AV329" s="206"/>
      <c r="AW329" s="207"/>
      <c r="AX329" s="207"/>
      <c r="AY329" s="207"/>
      <c r="AZ329" s="207"/>
    </row>
    <row r="330" spans="1:52" ht="12.75" x14ac:dyDescent="0.2">
      <c r="A330" s="206"/>
      <c r="B330" s="206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07"/>
      <c r="N330" s="207"/>
      <c r="O330" s="208"/>
      <c r="P330" s="208"/>
      <c r="Q330" s="208"/>
      <c r="R330" s="206"/>
      <c r="S330" s="206"/>
      <c r="T330" s="206"/>
      <c r="U330" s="206"/>
      <c r="V330" s="206"/>
      <c r="W330" s="206"/>
      <c r="X330" s="207"/>
      <c r="Y330" s="207"/>
      <c r="Z330" s="207"/>
      <c r="AA330" s="206"/>
      <c r="AB330" s="206"/>
      <c r="AC330" s="206"/>
      <c r="AD330" s="206"/>
      <c r="AE330" s="206"/>
      <c r="AF330" s="206"/>
      <c r="AG330" s="206"/>
      <c r="AH330" s="206"/>
      <c r="AI330" s="206"/>
      <c r="AJ330" s="206"/>
      <c r="AK330" s="206"/>
      <c r="AL330" s="206"/>
      <c r="AM330" s="206"/>
      <c r="AN330" s="206"/>
      <c r="AO330" s="206"/>
      <c r="AP330" s="206"/>
      <c r="AQ330" s="207"/>
      <c r="AR330" s="206"/>
      <c r="AS330" s="206"/>
      <c r="AT330" s="206"/>
      <c r="AU330" s="206"/>
      <c r="AV330" s="206"/>
      <c r="AW330" s="207"/>
      <c r="AX330" s="207"/>
      <c r="AY330" s="207"/>
      <c r="AZ330" s="207"/>
    </row>
    <row r="331" spans="1:52" ht="12.75" x14ac:dyDescent="0.2">
      <c r="A331" s="206"/>
      <c r="B331" s="206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7"/>
      <c r="N331" s="207"/>
      <c r="O331" s="208"/>
      <c r="P331" s="208"/>
      <c r="Q331" s="208"/>
      <c r="R331" s="206"/>
      <c r="S331" s="206"/>
      <c r="T331" s="206"/>
      <c r="U331" s="206"/>
      <c r="V331" s="206"/>
      <c r="W331" s="206"/>
      <c r="X331" s="207"/>
      <c r="Y331" s="207"/>
      <c r="Z331" s="207"/>
      <c r="AA331" s="206"/>
      <c r="AB331" s="206"/>
      <c r="AC331" s="206"/>
      <c r="AD331" s="206"/>
      <c r="AE331" s="206"/>
      <c r="AF331" s="206"/>
      <c r="AG331" s="206"/>
      <c r="AH331" s="206"/>
      <c r="AI331" s="206"/>
      <c r="AJ331" s="206"/>
      <c r="AK331" s="206"/>
      <c r="AL331" s="206"/>
      <c r="AM331" s="206"/>
      <c r="AN331" s="206"/>
      <c r="AO331" s="206"/>
      <c r="AP331" s="206"/>
      <c r="AQ331" s="207"/>
      <c r="AR331" s="206"/>
      <c r="AS331" s="206"/>
      <c r="AT331" s="206"/>
      <c r="AU331" s="206"/>
      <c r="AV331" s="206"/>
      <c r="AW331" s="207"/>
      <c r="AX331" s="207"/>
      <c r="AY331" s="207"/>
      <c r="AZ331" s="207"/>
    </row>
    <row r="332" spans="1:52" ht="12.75" x14ac:dyDescent="0.2">
      <c r="A332" s="206"/>
      <c r="B332" s="206"/>
      <c r="C332" s="206"/>
      <c r="D332" s="206"/>
      <c r="E332" s="206"/>
      <c r="F332" s="206"/>
      <c r="G332" s="206"/>
      <c r="H332" s="206"/>
      <c r="I332" s="206"/>
      <c r="J332" s="206"/>
      <c r="K332" s="206"/>
      <c r="L332" s="206"/>
      <c r="M332" s="207"/>
      <c r="N332" s="207"/>
      <c r="O332" s="208"/>
      <c r="P332" s="208"/>
      <c r="Q332" s="208"/>
      <c r="R332" s="206"/>
      <c r="S332" s="206"/>
      <c r="T332" s="206"/>
      <c r="U332" s="206"/>
      <c r="V332" s="206"/>
      <c r="W332" s="206"/>
      <c r="X332" s="207"/>
      <c r="Y332" s="207"/>
      <c r="Z332" s="207"/>
      <c r="AA332" s="206"/>
      <c r="AB332" s="206"/>
      <c r="AC332" s="206"/>
      <c r="AD332" s="206"/>
      <c r="AE332" s="206"/>
      <c r="AF332" s="206"/>
      <c r="AG332" s="206"/>
      <c r="AH332" s="206"/>
      <c r="AI332" s="206"/>
      <c r="AJ332" s="206"/>
      <c r="AK332" s="206"/>
      <c r="AL332" s="206"/>
      <c r="AM332" s="206"/>
      <c r="AN332" s="206"/>
      <c r="AO332" s="206"/>
      <c r="AP332" s="206"/>
      <c r="AQ332" s="207"/>
      <c r="AR332" s="206"/>
      <c r="AS332" s="206"/>
      <c r="AT332" s="206"/>
      <c r="AU332" s="206"/>
      <c r="AV332" s="206"/>
      <c r="AW332" s="207"/>
      <c r="AX332" s="207"/>
      <c r="AY332" s="207"/>
      <c r="AZ332" s="207"/>
    </row>
    <row r="333" spans="1:52" ht="12.75" x14ac:dyDescent="0.2">
      <c r="A333" s="206"/>
      <c r="B333" s="206"/>
      <c r="C333" s="206"/>
      <c r="D333" s="206"/>
      <c r="E333" s="206"/>
      <c r="F333" s="206"/>
      <c r="G333" s="206"/>
      <c r="H333" s="206"/>
      <c r="I333" s="206"/>
      <c r="J333" s="206"/>
      <c r="K333" s="206"/>
      <c r="L333" s="206"/>
      <c r="M333" s="207"/>
      <c r="N333" s="207"/>
      <c r="O333" s="208"/>
      <c r="P333" s="208"/>
      <c r="Q333" s="208"/>
      <c r="R333" s="206"/>
      <c r="S333" s="206"/>
      <c r="T333" s="206"/>
      <c r="U333" s="206"/>
      <c r="V333" s="206"/>
      <c r="W333" s="206"/>
      <c r="X333" s="207"/>
      <c r="Y333" s="207"/>
      <c r="Z333" s="207"/>
      <c r="AA333" s="206"/>
      <c r="AB333" s="206"/>
      <c r="AC333" s="206"/>
      <c r="AD333" s="206"/>
      <c r="AE333" s="206"/>
      <c r="AF333" s="206"/>
      <c r="AG333" s="206"/>
      <c r="AH333" s="206"/>
      <c r="AI333" s="206"/>
      <c r="AJ333" s="206"/>
      <c r="AK333" s="206"/>
      <c r="AL333" s="206"/>
      <c r="AM333" s="206"/>
      <c r="AN333" s="206"/>
      <c r="AO333" s="206"/>
      <c r="AP333" s="206"/>
      <c r="AQ333" s="207"/>
      <c r="AR333" s="206"/>
      <c r="AS333" s="206"/>
      <c r="AT333" s="206"/>
      <c r="AU333" s="206"/>
      <c r="AV333" s="206"/>
      <c r="AW333" s="207"/>
      <c r="AX333" s="207"/>
      <c r="AY333" s="207"/>
      <c r="AZ333" s="207"/>
    </row>
    <row r="334" spans="1:52" ht="12.75" x14ac:dyDescent="0.2">
      <c r="A334" s="206"/>
      <c r="B334" s="206"/>
      <c r="C334" s="206"/>
      <c r="D334" s="206"/>
      <c r="E334" s="206"/>
      <c r="F334" s="206"/>
      <c r="G334" s="206"/>
      <c r="H334" s="206"/>
      <c r="I334" s="206"/>
      <c r="J334" s="206"/>
      <c r="K334" s="206"/>
      <c r="L334" s="206"/>
      <c r="M334" s="207"/>
      <c r="N334" s="207"/>
      <c r="O334" s="208"/>
      <c r="P334" s="208"/>
      <c r="Q334" s="208"/>
      <c r="R334" s="206"/>
      <c r="S334" s="206"/>
      <c r="T334" s="206"/>
      <c r="U334" s="206"/>
      <c r="V334" s="206"/>
      <c r="W334" s="206"/>
      <c r="X334" s="207"/>
      <c r="Y334" s="207"/>
      <c r="Z334" s="207"/>
      <c r="AA334" s="206"/>
      <c r="AB334" s="206"/>
      <c r="AC334" s="206"/>
      <c r="AD334" s="206"/>
      <c r="AE334" s="206"/>
      <c r="AF334" s="206"/>
      <c r="AG334" s="206"/>
      <c r="AH334" s="206"/>
      <c r="AI334" s="206"/>
      <c r="AJ334" s="206"/>
      <c r="AK334" s="206"/>
      <c r="AL334" s="206"/>
      <c r="AM334" s="206"/>
      <c r="AN334" s="206"/>
      <c r="AO334" s="206"/>
      <c r="AP334" s="206"/>
      <c r="AQ334" s="207"/>
      <c r="AR334" s="206"/>
      <c r="AS334" s="206"/>
      <c r="AT334" s="206"/>
      <c r="AU334" s="206"/>
      <c r="AV334" s="206"/>
      <c r="AW334" s="207"/>
      <c r="AX334" s="207"/>
      <c r="AY334" s="207"/>
      <c r="AZ334" s="207"/>
    </row>
    <row r="335" spans="1:52" ht="12.75" x14ac:dyDescent="0.2">
      <c r="A335" s="206"/>
      <c r="B335" s="206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7"/>
      <c r="N335" s="207"/>
      <c r="O335" s="208"/>
      <c r="P335" s="208"/>
      <c r="Q335" s="208"/>
      <c r="R335" s="206"/>
      <c r="S335" s="206"/>
      <c r="T335" s="206"/>
      <c r="U335" s="206"/>
      <c r="V335" s="206"/>
      <c r="W335" s="206"/>
      <c r="X335" s="207"/>
      <c r="Y335" s="207"/>
      <c r="Z335" s="207"/>
      <c r="AA335" s="206"/>
      <c r="AB335" s="206"/>
      <c r="AC335" s="206"/>
      <c r="AD335" s="206"/>
      <c r="AE335" s="206"/>
      <c r="AF335" s="206"/>
      <c r="AG335" s="206"/>
      <c r="AH335" s="206"/>
      <c r="AI335" s="206"/>
      <c r="AJ335" s="206"/>
      <c r="AK335" s="206"/>
      <c r="AL335" s="206"/>
      <c r="AM335" s="206"/>
      <c r="AN335" s="206"/>
      <c r="AO335" s="206"/>
      <c r="AP335" s="206"/>
      <c r="AQ335" s="207"/>
      <c r="AR335" s="206"/>
      <c r="AS335" s="206"/>
      <c r="AT335" s="206"/>
      <c r="AU335" s="206"/>
      <c r="AV335" s="206"/>
      <c r="AW335" s="207"/>
      <c r="AX335" s="207"/>
      <c r="AY335" s="207"/>
      <c r="AZ335" s="207"/>
    </row>
    <row r="336" spans="1:52" ht="12.75" x14ac:dyDescent="0.2">
      <c r="A336" s="206"/>
      <c r="B336" s="206"/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7"/>
      <c r="N336" s="207"/>
      <c r="O336" s="208"/>
      <c r="P336" s="208"/>
      <c r="Q336" s="208"/>
      <c r="R336" s="206"/>
      <c r="S336" s="206"/>
      <c r="T336" s="206"/>
      <c r="U336" s="206"/>
      <c r="V336" s="206"/>
      <c r="W336" s="206"/>
      <c r="X336" s="207"/>
      <c r="Y336" s="207"/>
      <c r="Z336" s="207"/>
      <c r="AA336" s="206"/>
      <c r="AB336" s="206"/>
      <c r="AC336" s="206"/>
      <c r="AD336" s="206"/>
      <c r="AE336" s="206"/>
      <c r="AF336" s="206"/>
      <c r="AG336" s="206"/>
      <c r="AH336" s="206"/>
      <c r="AI336" s="206"/>
      <c r="AJ336" s="206"/>
      <c r="AK336" s="206"/>
      <c r="AL336" s="206"/>
      <c r="AM336" s="206"/>
      <c r="AN336" s="206"/>
      <c r="AO336" s="206"/>
      <c r="AP336" s="206"/>
      <c r="AQ336" s="207"/>
      <c r="AR336" s="206"/>
      <c r="AS336" s="206"/>
      <c r="AT336" s="206"/>
      <c r="AU336" s="206"/>
      <c r="AV336" s="206"/>
      <c r="AW336" s="207"/>
      <c r="AX336" s="207"/>
      <c r="AY336" s="207"/>
      <c r="AZ336" s="207"/>
    </row>
    <row r="337" spans="1:52" ht="12.75" x14ac:dyDescent="0.2">
      <c r="A337" s="206"/>
      <c r="B337" s="206"/>
      <c r="C337" s="206"/>
      <c r="D337" s="206"/>
      <c r="E337" s="206"/>
      <c r="F337" s="206"/>
      <c r="G337" s="206"/>
      <c r="H337" s="206"/>
      <c r="I337" s="206"/>
      <c r="J337" s="206"/>
      <c r="K337" s="206"/>
      <c r="L337" s="206"/>
      <c r="M337" s="207"/>
      <c r="N337" s="207"/>
      <c r="O337" s="208"/>
      <c r="P337" s="208"/>
      <c r="Q337" s="208"/>
      <c r="R337" s="206"/>
      <c r="S337" s="206"/>
      <c r="T337" s="206"/>
      <c r="U337" s="206"/>
      <c r="V337" s="206"/>
      <c r="W337" s="206"/>
      <c r="X337" s="207"/>
      <c r="Y337" s="207"/>
      <c r="Z337" s="207"/>
      <c r="AA337" s="206"/>
      <c r="AB337" s="206"/>
      <c r="AC337" s="206"/>
      <c r="AD337" s="206"/>
      <c r="AE337" s="206"/>
      <c r="AF337" s="206"/>
      <c r="AG337" s="206"/>
      <c r="AH337" s="206"/>
      <c r="AI337" s="206"/>
      <c r="AJ337" s="206"/>
      <c r="AK337" s="206"/>
      <c r="AL337" s="206"/>
      <c r="AM337" s="206"/>
      <c r="AN337" s="206"/>
      <c r="AO337" s="206"/>
      <c r="AP337" s="206"/>
      <c r="AQ337" s="207"/>
      <c r="AR337" s="206"/>
      <c r="AS337" s="206"/>
      <c r="AT337" s="206"/>
      <c r="AU337" s="206"/>
      <c r="AV337" s="206"/>
      <c r="AW337" s="207"/>
      <c r="AX337" s="207"/>
      <c r="AY337" s="207"/>
      <c r="AZ337" s="207"/>
    </row>
    <row r="338" spans="1:52" ht="12.75" x14ac:dyDescent="0.2">
      <c r="A338" s="206"/>
      <c r="B338" s="206"/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7"/>
      <c r="N338" s="207"/>
      <c r="O338" s="208"/>
      <c r="P338" s="208"/>
      <c r="Q338" s="208"/>
      <c r="R338" s="206"/>
      <c r="S338" s="206"/>
      <c r="T338" s="206"/>
      <c r="U338" s="206"/>
      <c r="V338" s="206"/>
      <c r="W338" s="206"/>
      <c r="X338" s="207"/>
      <c r="Y338" s="207"/>
      <c r="Z338" s="207"/>
      <c r="AA338" s="206"/>
      <c r="AB338" s="206"/>
      <c r="AC338" s="206"/>
      <c r="AD338" s="206"/>
      <c r="AE338" s="206"/>
      <c r="AF338" s="206"/>
      <c r="AG338" s="206"/>
      <c r="AH338" s="206"/>
      <c r="AI338" s="206"/>
      <c r="AJ338" s="206"/>
      <c r="AK338" s="206"/>
      <c r="AL338" s="206"/>
      <c r="AM338" s="206"/>
      <c r="AN338" s="206"/>
      <c r="AO338" s="206"/>
      <c r="AP338" s="206"/>
      <c r="AQ338" s="207"/>
      <c r="AR338" s="206"/>
      <c r="AS338" s="206"/>
      <c r="AT338" s="206"/>
      <c r="AU338" s="206"/>
      <c r="AV338" s="206"/>
      <c r="AW338" s="207"/>
      <c r="AX338" s="207"/>
      <c r="AY338" s="207"/>
      <c r="AZ338" s="207"/>
    </row>
    <row r="339" spans="1:52" ht="12.75" x14ac:dyDescent="0.2">
      <c r="A339" s="206"/>
      <c r="B339" s="206"/>
      <c r="C339" s="206"/>
      <c r="D339" s="206"/>
      <c r="E339" s="206"/>
      <c r="F339" s="206"/>
      <c r="G339" s="206"/>
      <c r="H339" s="206"/>
      <c r="I339" s="206"/>
      <c r="J339" s="206"/>
      <c r="K339" s="206"/>
      <c r="L339" s="206"/>
      <c r="M339" s="207"/>
      <c r="N339" s="207"/>
      <c r="O339" s="208"/>
      <c r="P339" s="208"/>
      <c r="Q339" s="208"/>
      <c r="R339" s="206"/>
      <c r="S339" s="206"/>
      <c r="T339" s="206"/>
      <c r="U339" s="206"/>
      <c r="V339" s="206"/>
      <c r="W339" s="206"/>
      <c r="X339" s="207"/>
      <c r="Y339" s="207"/>
      <c r="Z339" s="207"/>
      <c r="AA339" s="206"/>
      <c r="AB339" s="206"/>
      <c r="AC339" s="206"/>
      <c r="AD339" s="206"/>
      <c r="AE339" s="206"/>
      <c r="AF339" s="206"/>
      <c r="AG339" s="206"/>
      <c r="AH339" s="206"/>
      <c r="AI339" s="206"/>
      <c r="AJ339" s="206"/>
      <c r="AK339" s="206"/>
      <c r="AL339" s="206"/>
      <c r="AM339" s="206"/>
      <c r="AN339" s="206"/>
      <c r="AO339" s="206"/>
      <c r="AP339" s="206"/>
      <c r="AQ339" s="207"/>
      <c r="AR339" s="206"/>
      <c r="AS339" s="206"/>
      <c r="AT339" s="206"/>
      <c r="AU339" s="206"/>
      <c r="AV339" s="206"/>
      <c r="AW339" s="207"/>
      <c r="AX339" s="207"/>
      <c r="AY339" s="207"/>
      <c r="AZ339" s="207"/>
    </row>
    <row r="340" spans="1:52" ht="12.75" x14ac:dyDescent="0.2">
      <c r="A340" s="206"/>
      <c r="B340" s="206"/>
      <c r="C340" s="206"/>
      <c r="D340" s="206"/>
      <c r="E340" s="206"/>
      <c r="F340" s="206"/>
      <c r="G340" s="206"/>
      <c r="H340" s="206"/>
      <c r="I340" s="206"/>
      <c r="J340" s="206"/>
      <c r="K340" s="206"/>
      <c r="L340" s="206"/>
      <c r="M340" s="207"/>
      <c r="N340" s="207"/>
      <c r="O340" s="208"/>
      <c r="P340" s="208"/>
      <c r="Q340" s="208"/>
      <c r="R340" s="206"/>
      <c r="S340" s="206"/>
      <c r="T340" s="206"/>
      <c r="U340" s="206"/>
      <c r="V340" s="206"/>
      <c r="W340" s="206"/>
      <c r="X340" s="207"/>
      <c r="Y340" s="207"/>
      <c r="Z340" s="207"/>
      <c r="AA340" s="206"/>
      <c r="AB340" s="206"/>
      <c r="AC340" s="206"/>
      <c r="AD340" s="206"/>
      <c r="AE340" s="206"/>
      <c r="AF340" s="206"/>
      <c r="AG340" s="206"/>
      <c r="AH340" s="206"/>
      <c r="AI340" s="206"/>
      <c r="AJ340" s="206"/>
      <c r="AK340" s="206"/>
      <c r="AL340" s="206"/>
      <c r="AM340" s="206"/>
      <c r="AN340" s="206"/>
      <c r="AO340" s="206"/>
      <c r="AP340" s="206"/>
      <c r="AQ340" s="207"/>
      <c r="AR340" s="206"/>
      <c r="AS340" s="206"/>
      <c r="AT340" s="206"/>
      <c r="AU340" s="206"/>
      <c r="AV340" s="206"/>
      <c r="AW340" s="207"/>
      <c r="AX340" s="207"/>
      <c r="AY340" s="207"/>
      <c r="AZ340" s="207"/>
    </row>
    <row r="341" spans="1:52" ht="12.75" x14ac:dyDescent="0.2">
      <c r="A341" s="206"/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7"/>
      <c r="N341" s="207"/>
      <c r="O341" s="208"/>
      <c r="P341" s="208"/>
      <c r="Q341" s="208"/>
      <c r="R341" s="206"/>
      <c r="S341" s="206"/>
      <c r="T341" s="206"/>
      <c r="U341" s="206"/>
      <c r="V341" s="206"/>
      <c r="W341" s="206"/>
      <c r="X341" s="207"/>
      <c r="Y341" s="207"/>
      <c r="Z341" s="207"/>
      <c r="AA341" s="206"/>
      <c r="AB341" s="206"/>
      <c r="AC341" s="206"/>
      <c r="AD341" s="206"/>
      <c r="AE341" s="206"/>
      <c r="AF341" s="206"/>
      <c r="AG341" s="206"/>
      <c r="AH341" s="206"/>
      <c r="AI341" s="206"/>
      <c r="AJ341" s="206"/>
      <c r="AK341" s="206"/>
      <c r="AL341" s="206"/>
      <c r="AM341" s="206"/>
      <c r="AN341" s="206"/>
      <c r="AO341" s="206"/>
      <c r="AP341" s="206"/>
      <c r="AQ341" s="207"/>
      <c r="AR341" s="206"/>
      <c r="AS341" s="206"/>
      <c r="AT341" s="206"/>
      <c r="AU341" s="206"/>
      <c r="AV341" s="206"/>
      <c r="AW341" s="207"/>
      <c r="AX341" s="207"/>
      <c r="AY341" s="207"/>
      <c r="AZ341" s="207"/>
    </row>
    <row r="342" spans="1:52" ht="12.75" x14ac:dyDescent="0.2">
      <c r="A342" s="206"/>
      <c r="B342" s="206"/>
      <c r="C342" s="206"/>
      <c r="D342" s="206"/>
      <c r="E342" s="206"/>
      <c r="F342" s="206"/>
      <c r="G342" s="206"/>
      <c r="H342" s="206"/>
      <c r="I342" s="206"/>
      <c r="J342" s="206"/>
      <c r="K342" s="206"/>
      <c r="L342" s="206"/>
      <c r="M342" s="207"/>
      <c r="N342" s="207"/>
      <c r="O342" s="208"/>
      <c r="P342" s="208"/>
      <c r="Q342" s="208"/>
      <c r="R342" s="206"/>
      <c r="S342" s="206"/>
      <c r="T342" s="206"/>
      <c r="U342" s="206"/>
      <c r="V342" s="206"/>
      <c r="W342" s="206"/>
      <c r="X342" s="207"/>
      <c r="Y342" s="207"/>
      <c r="Z342" s="207"/>
      <c r="AA342" s="206"/>
      <c r="AB342" s="206"/>
      <c r="AC342" s="206"/>
      <c r="AD342" s="206"/>
      <c r="AE342" s="206"/>
      <c r="AF342" s="206"/>
      <c r="AG342" s="206"/>
      <c r="AH342" s="206"/>
      <c r="AI342" s="206"/>
      <c r="AJ342" s="206"/>
      <c r="AK342" s="206"/>
      <c r="AL342" s="206"/>
      <c r="AM342" s="206"/>
      <c r="AN342" s="206"/>
      <c r="AO342" s="206"/>
      <c r="AP342" s="206"/>
      <c r="AQ342" s="207"/>
      <c r="AR342" s="206"/>
      <c r="AS342" s="206"/>
      <c r="AT342" s="206"/>
      <c r="AU342" s="206"/>
      <c r="AV342" s="206"/>
      <c r="AW342" s="207"/>
      <c r="AX342" s="207"/>
      <c r="AY342" s="207"/>
      <c r="AZ342" s="207"/>
    </row>
    <row r="343" spans="1:52" ht="12.75" x14ac:dyDescent="0.2">
      <c r="A343" s="206"/>
      <c r="B343" s="206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07"/>
      <c r="N343" s="207"/>
      <c r="O343" s="208"/>
      <c r="P343" s="208"/>
      <c r="Q343" s="208"/>
      <c r="R343" s="206"/>
      <c r="S343" s="206"/>
      <c r="T343" s="206"/>
      <c r="U343" s="206"/>
      <c r="V343" s="206"/>
      <c r="W343" s="206"/>
      <c r="X343" s="207"/>
      <c r="Y343" s="207"/>
      <c r="Z343" s="207"/>
      <c r="AA343" s="206"/>
      <c r="AB343" s="206"/>
      <c r="AC343" s="206"/>
      <c r="AD343" s="206"/>
      <c r="AE343" s="206"/>
      <c r="AF343" s="206"/>
      <c r="AG343" s="206"/>
      <c r="AH343" s="206"/>
      <c r="AI343" s="206"/>
      <c r="AJ343" s="206"/>
      <c r="AK343" s="206"/>
      <c r="AL343" s="206"/>
      <c r="AM343" s="206"/>
      <c r="AN343" s="206"/>
      <c r="AO343" s="206"/>
      <c r="AP343" s="206"/>
      <c r="AQ343" s="207"/>
      <c r="AR343" s="206"/>
      <c r="AS343" s="206"/>
      <c r="AT343" s="206"/>
      <c r="AU343" s="206"/>
      <c r="AV343" s="206"/>
      <c r="AW343" s="207"/>
      <c r="AX343" s="207"/>
      <c r="AY343" s="207"/>
      <c r="AZ343" s="207"/>
    </row>
    <row r="344" spans="1:52" ht="12.75" x14ac:dyDescent="0.2">
      <c r="A344" s="206"/>
      <c r="B344" s="206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7"/>
      <c r="N344" s="207"/>
      <c r="O344" s="208"/>
      <c r="P344" s="208"/>
      <c r="Q344" s="208"/>
      <c r="R344" s="206"/>
      <c r="S344" s="206"/>
      <c r="T344" s="206"/>
      <c r="U344" s="206"/>
      <c r="V344" s="206"/>
      <c r="W344" s="206"/>
      <c r="X344" s="207"/>
      <c r="Y344" s="207"/>
      <c r="Z344" s="207"/>
      <c r="AA344" s="206"/>
      <c r="AB344" s="206"/>
      <c r="AC344" s="206"/>
      <c r="AD344" s="206"/>
      <c r="AE344" s="206"/>
      <c r="AF344" s="206"/>
      <c r="AG344" s="206"/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7"/>
      <c r="AR344" s="206"/>
      <c r="AS344" s="206"/>
      <c r="AT344" s="206"/>
      <c r="AU344" s="206"/>
      <c r="AV344" s="206"/>
      <c r="AW344" s="207"/>
      <c r="AX344" s="207"/>
      <c r="AY344" s="207"/>
      <c r="AZ344" s="207"/>
    </row>
    <row r="345" spans="1:52" ht="12.75" x14ac:dyDescent="0.2">
      <c r="A345" s="206"/>
      <c r="B345" s="206"/>
      <c r="C345" s="206"/>
      <c r="D345" s="206"/>
      <c r="E345" s="206"/>
      <c r="F345" s="206"/>
      <c r="G345" s="206"/>
      <c r="H345" s="206"/>
      <c r="I345" s="206"/>
      <c r="J345" s="206"/>
      <c r="K345" s="206"/>
      <c r="L345" s="206"/>
      <c r="M345" s="207"/>
      <c r="N345" s="207"/>
      <c r="O345" s="208"/>
      <c r="P345" s="208"/>
      <c r="Q345" s="208"/>
      <c r="R345" s="206"/>
      <c r="S345" s="206"/>
      <c r="T345" s="206"/>
      <c r="U345" s="206"/>
      <c r="V345" s="206"/>
      <c r="W345" s="206"/>
      <c r="X345" s="207"/>
      <c r="Y345" s="207"/>
      <c r="Z345" s="207"/>
      <c r="AA345" s="206"/>
      <c r="AB345" s="206"/>
      <c r="AC345" s="206"/>
      <c r="AD345" s="206"/>
      <c r="AE345" s="206"/>
      <c r="AF345" s="206"/>
      <c r="AG345" s="206"/>
      <c r="AH345" s="206"/>
      <c r="AI345" s="206"/>
      <c r="AJ345" s="206"/>
      <c r="AK345" s="206"/>
      <c r="AL345" s="206"/>
      <c r="AM345" s="206"/>
      <c r="AN345" s="206"/>
      <c r="AO345" s="206"/>
      <c r="AP345" s="206"/>
      <c r="AQ345" s="207"/>
      <c r="AR345" s="206"/>
      <c r="AS345" s="206"/>
      <c r="AT345" s="206"/>
      <c r="AU345" s="206"/>
      <c r="AV345" s="206"/>
      <c r="AW345" s="207"/>
      <c r="AX345" s="207"/>
      <c r="AY345" s="207"/>
      <c r="AZ345" s="207"/>
    </row>
    <row r="346" spans="1:52" ht="12.75" x14ac:dyDescent="0.2">
      <c r="A346" s="206"/>
      <c r="B346" s="206"/>
      <c r="C346" s="206"/>
      <c r="D346" s="206"/>
      <c r="E346" s="206"/>
      <c r="F346" s="206"/>
      <c r="G346" s="206"/>
      <c r="H346" s="206"/>
      <c r="I346" s="206"/>
      <c r="J346" s="206"/>
      <c r="K346" s="206"/>
      <c r="L346" s="206"/>
      <c r="M346" s="207"/>
      <c r="N346" s="207"/>
      <c r="O346" s="208"/>
      <c r="P346" s="208"/>
      <c r="Q346" s="208"/>
      <c r="R346" s="206"/>
      <c r="S346" s="206"/>
      <c r="T346" s="206"/>
      <c r="U346" s="206"/>
      <c r="V346" s="206"/>
      <c r="W346" s="206"/>
      <c r="X346" s="207"/>
      <c r="Y346" s="207"/>
      <c r="Z346" s="207"/>
      <c r="AA346" s="206"/>
      <c r="AB346" s="206"/>
      <c r="AC346" s="206"/>
      <c r="AD346" s="206"/>
      <c r="AE346" s="206"/>
      <c r="AF346" s="206"/>
      <c r="AG346" s="206"/>
      <c r="AH346" s="206"/>
      <c r="AI346" s="206"/>
      <c r="AJ346" s="206"/>
      <c r="AK346" s="206"/>
      <c r="AL346" s="206"/>
      <c r="AM346" s="206"/>
      <c r="AN346" s="206"/>
      <c r="AO346" s="206"/>
      <c r="AP346" s="206"/>
      <c r="AQ346" s="207"/>
      <c r="AR346" s="206"/>
      <c r="AS346" s="206"/>
      <c r="AT346" s="206"/>
      <c r="AU346" s="206"/>
      <c r="AV346" s="206"/>
      <c r="AW346" s="207"/>
      <c r="AX346" s="207"/>
      <c r="AY346" s="207"/>
      <c r="AZ346" s="207"/>
    </row>
    <row r="347" spans="1:52" ht="12.75" x14ac:dyDescent="0.2">
      <c r="A347" s="206"/>
      <c r="B347" s="206"/>
      <c r="C347" s="206"/>
      <c r="D347" s="206"/>
      <c r="E347" s="206"/>
      <c r="F347" s="206"/>
      <c r="G347" s="206"/>
      <c r="H347" s="206"/>
      <c r="I347" s="206"/>
      <c r="J347" s="206"/>
      <c r="K347" s="206"/>
      <c r="L347" s="206"/>
      <c r="M347" s="207"/>
      <c r="N347" s="207"/>
      <c r="O347" s="208"/>
      <c r="P347" s="208"/>
      <c r="Q347" s="208"/>
      <c r="R347" s="206"/>
      <c r="S347" s="206"/>
      <c r="T347" s="206"/>
      <c r="U347" s="206"/>
      <c r="V347" s="206"/>
      <c r="W347" s="206"/>
      <c r="X347" s="207"/>
      <c r="Y347" s="207"/>
      <c r="Z347" s="207"/>
      <c r="AA347" s="206"/>
      <c r="AB347" s="206"/>
      <c r="AC347" s="206"/>
      <c r="AD347" s="206"/>
      <c r="AE347" s="206"/>
      <c r="AF347" s="206"/>
      <c r="AG347" s="206"/>
      <c r="AH347" s="206"/>
      <c r="AI347" s="206"/>
      <c r="AJ347" s="206"/>
      <c r="AK347" s="206"/>
      <c r="AL347" s="206"/>
      <c r="AM347" s="206"/>
      <c r="AN347" s="206"/>
      <c r="AO347" s="206"/>
      <c r="AP347" s="206"/>
      <c r="AQ347" s="207"/>
      <c r="AR347" s="206"/>
      <c r="AS347" s="206"/>
      <c r="AT347" s="206"/>
      <c r="AU347" s="206"/>
      <c r="AV347" s="206"/>
      <c r="AW347" s="207"/>
      <c r="AX347" s="207"/>
      <c r="AY347" s="207"/>
      <c r="AZ347" s="207"/>
    </row>
    <row r="348" spans="1:52" ht="12.75" x14ac:dyDescent="0.2">
      <c r="A348" s="206"/>
      <c r="B348" s="206"/>
      <c r="C348" s="206"/>
      <c r="D348" s="206"/>
      <c r="E348" s="206"/>
      <c r="F348" s="206"/>
      <c r="G348" s="206"/>
      <c r="H348" s="206"/>
      <c r="I348" s="206"/>
      <c r="J348" s="206"/>
      <c r="K348" s="206"/>
      <c r="L348" s="206"/>
      <c r="M348" s="207"/>
      <c r="N348" s="207"/>
      <c r="O348" s="208"/>
      <c r="P348" s="208"/>
      <c r="Q348" s="208"/>
      <c r="R348" s="206"/>
      <c r="S348" s="206"/>
      <c r="T348" s="206"/>
      <c r="U348" s="206"/>
      <c r="V348" s="206"/>
      <c r="W348" s="206"/>
      <c r="X348" s="207"/>
      <c r="Y348" s="207"/>
      <c r="Z348" s="207"/>
      <c r="AA348" s="206"/>
      <c r="AB348" s="206"/>
      <c r="AC348" s="206"/>
      <c r="AD348" s="206"/>
      <c r="AE348" s="206"/>
      <c r="AF348" s="206"/>
      <c r="AG348" s="206"/>
      <c r="AH348" s="206"/>
      <c r="AI348" s="206"/>
      <c r="AJ348" s="206"/>
      <c r="AK348" s="206"/>
      <c r="AL348" s="206"/>
      <c r="AM348" s="206"/>
      <c r="AN348" s="206"/>
      <c r="AO348" s="206"/>
      <c r="AP348" s="206"/>
      <c r="AQ348" s="207"/>
      <c r="AR348" s="206"/>
      <c r="AS348" s="206"/>
      <c r="AT348" s="206"/>
      <c r="AU348" s="206"/>
      <c r="AV348" s="206"/>
      <c r="AW348" s="207"/>
      <c r="AX348" s="207"/>
      <c r="AY348" s="207"/>
      <c r="AZ348" s="207"/>
    </row>
    <row r="349" spans="1:52" ht="12.75" x14ac:dyDescent="0.2">
      <c r="A349" s="206"/>
      <c r="B349" s="206"/>
      <c r="C349" s="206"/>
      <c r="D349" s="206"/>
      <c r="E349" s="206"/>
      <c r="F349" s="206"/>
      <c r="G349" s="206"/>
      <c r="H349" s="206"/>
      <c r="I349" s="206"/>
      <c r="J349" s="206"/>
      <c r="K349" s="206"/>
      <c r="L349" s="206"/>
      <c r="M349" s="207"/>
      <c r="N349" s="207"/>
      <c r="O349" s="208"/>
      <c r="P349" s="208"/>
      <c r="Q349" s="208"/>
      <c r="R349" s="206"/>
      <c r="S349" s="206"/>
      <c r="T349" s="206"/>
      <c r="U349" s="206"/>
      <c r="V349" s="206"/>
      <c r="W349" s="206"/>
      <c r="X349" s="207"/>
      <c r="Y349" s="207"/>
      <c r="Z349" s="207"/>
      <c r="AA349" s="206"/>
      <c r="AB349" s="206"/>
      <c r="AC349" s="206"/>
      <c r="AD349" s="206"/>
      <c r="AE349" s="206"/>
      <c r="AF349" s="206"/>
      <c r="AG349" s="206"/>
      <c r="AH349" s="206"/>
      <c r="AI349" s="206"/>
      <c r="AJ349" s="206"/>
      <c r="AK349" s="206"/>
      <c r="AL349" s="206"/>
      <c r="AM349" s="206"/>
      <c r="AN349" s="206"/>
      <c r="AO349" s="206"/>
      <c r="AP349" s="206"/>
      <c r="AQ349" s="207"/>
      <c r="AR349" s="206"/>
      <c r="AS349" s="206"/>
      <c r="AT349" s="206"/>
      <c r="AU349" s="206"/>
      <c r="AV349" s="206"/>
      <c r="AW349" s="207"/>
      <c r="AX349" s="207"/>
      <c r="AY349" s="207"/>
      <c r="AZ349" s="207"/>
    </row>
    <row r="350" spans="1:52" ht="12.75" x14ac:dyDescent="0.2">
      <c r="A350" s="206"/>
      <c r="B350" s="206"/>
      <c r="C350" s="206"/>
      <c r="D350" s="206"/>
      <c r="E350" s="206"/>
      <c r="F350" s="206"/>
      <c r="G350" s="206"/>
      <c r="H350" s="206"/>
      <c r="I350" s="206"/>
      <c r="J350" s="206"/>
      <c r="K350" s="206"/>
      <c r="L350" s="206"/>
      <c r="M350" s="207"/>
      <c r="N350" s="207"/>
      <c r="O350" s="208"/>
      <c r="P350" s="208"/>
      <c r="Q350" s="208"/>
      <c r="R350" s="206"/>
      <c r="S350" s="206"/>
      <c r="T350" s="206"/>
      <c r="U350" s="206"/>
      <c r="V350" s="206"/>
      <c r="W350" s="206"/>
      <c r="X350" s="207"/>
      <c r="Y350" s="207"/>
      <c r="Z350" s="207"/>
      <c r="AA350" s="206"/>
      <c r="AB350" s="206"/>
      <c r="AC350" s="206"/>
      <c r="AD350" s="206"/>
      <c r="AE350" s="206"/>
      <c r="AF350" s="206"/>
      <c r="AG350" s="206"/>
      <c r="AH350" s="206"/>
      <c r="AI350" s="206"/>
      <c r="AJ350" s="206"/>
      <c r="AK350" s="206"/>
      <c r="AL350" s="206"/>
      <c r="AM350" s="206"/>
      <c r="AN350" s="206"/>
      <c r="AO350" s="206"/>
      <c r="AP350" s="206"/>
      <c r="AQ350" s="207"/>
      <c r="AR350" s="206"/>
      <c r="AS350" s="206"/>
      <c r="AT350" s="206"/>
      <c r="AU350" s="206"/>
      <c r="AV350" s="206"/>
      <c r="AW350" s="207"/>
      <c r="AX350" s="207"/>
      <c r="AY350" s="207"/>
      <c r="AZ350" s="207"/>
    </row>
    <row r="351" spans="1:52" ht="12.75" x14ac:dyDescent="0.2">
      <c r="A351" s="206"/>
      <c r="B351" s="206"/>
      <c r="C351" s="206"/>
      <c r="D351" s="206"/>
      <c r="E351" s="206"/>
      <c r="F351" s="206"/>
      <c r="G351" s="206"/>
      <c r="H351" s="206"/>
      <c r="I351" s="206"/>
      <c r="J351" s="206"/>
      <c r="K351" s="206"/>
      <c r="L351" s="206"/>
      <c r="M351" s="207"/>
      <c r="N351" s="207"/>
      <c r="O351" s="208"/>
      <c r="P351" s="208"/>
      <c r="Q351" s="208"/>
      <c r="R351" s="206"/>
      <c r="S351" s="206"/>
      <c r="T351" s="206"/>
      <c r="U351" s="206"/>
      <c r="V351" s="206"/>
      <c r="W351" s="206"/>
      <c r="X351" s="207"/>
      <c r="Y351" s="207"/>
      <c r="Z351" s="207"/>
      <c r="AA351" s="206"/>
      <c r="AB351" s="206"/>
      <c r="AC351" s="206"/>
      <c r="AD351" s="206"/>
      <c r="AE351" s="206"/>
      <c r="AF351" s="206"/>
      <c r="AG351" s="206"/>
      <c r="AH351" s="206"/>
      <c r="AI351" s="206"/>
      <c r="AJ351" s="206"/>
      <c r="AK351" s="206"/>
      <c r="AL351" s="206"/>
      <c r="AM351" s="206"/>
      <c r="AN351" s="206"/>
      <c r="AO351" s="206"/>
      <c r="AP351" s="206"/>
      <c r="AQ351" s="207"/>
      <c r="AR351" s="206"/>
      <c r="AS351" s="206"/>
      <c r="AT351" s="206"/>
      <c r="AU351" s="206"/>
      <c r="AV351" s="206"/>
      <c r="AW351" s="207"/>
      <c r="AX351" s="207"/>
      <c r="AY351" s="207"/>
      <c r="AZ351" s="207"/>
    </row>
    <row r="352" spans="1:52" ht="12.75" x14ac:dyDescent="0.2">
      <c r="A352" s="206"/>
      <c r="B352" s="206"/>
      <c r="C352" s="206"/>
      <c r="D352" s="206"/>
      <c r="E352" s="206"/>
      <c r="F352" s="206"/>
      <c r="G352" s="206"/>
      <c r="H352" s="206"/>
      <c r="I352" s="206"/>
      <c r="J352" s="206"/>
      <c r="K352" s="206"/>
      <c r="L352" s="206"/>
      <c r="M352" s="207"/>
      <c r="N352" s="207"/>
      <c r="O352" s="208"/>
      <c r="P352" s="208"/>
      <c r="Q352" s="208"/>
      <c r="R352" s="206"/>
      <c r="S352" s="206"/>
      <c r="T352" s="206"/>
      <c r="U352" s="206"/>
      <c r="V352" s="206"/>
      <c r="W352" s="206"/>
      <c r="X352" s="207"/>
      <c r="Y352" s="207"/>
      <c r="Z352" s="207"/>
      <c r="AA352" s="206"/>
      <c r="AB352" s="206"/>
      <c r="AC352" s="206"/>
      <c r="AD352" s="206"/>
      <c r="AE352" s="206"/>
      <c r="AF352" s="206"/>
      <c r="AG352" s="206"/>
      <c r="AH352" s="206"/>
      <c r="AI352" s="206"/>
      <c r="AJ352" s="206"/>
      <c r="AK352" s="206"/>
      <c r="AL352" s="206"/>
      <c r="AM352" s="206"/>
      <c r="AN352" s="206"/>
      <c r="AO352" s="206"/>
      <c r="AP352" s="206"/>
      <c r="AQ352" s="207"/>
      <c r="AR352" s="206"/>
      <c r="AS352" s="206"/>
      <c r="AT352" s="206"/>
      <c r="AU352" s="206"/>
      <c r="AV352" s="206"/>
      <c r="AW352" s="207"/>
      <c r="AX352" s="207"/>
      <c r="AY352" s="207"/>
      <c r="AZ352" s="207"/>
    </row>
    <row r="353" spans="1:52" ht="12.75" x14ac:dyDescent="0.2">
      <c r="A353" s="206"/>
      <c r="B353" s="206"/>
      <c r="C353" s="206"/>
      <c r="D353" s="206"/>
      <c r="E353" s="206"/>
      <c r="F353" s="206"/>
      <c r="G353" s="206"/>
      <c r="H353" s="206"/>
      <c r="I353" s="206"/>
      <c r="J353" s="206"/>
      <c r="K353" s="206"/>
      <c r="L353" s="206"/>
      <c r="M353" s="207"/>
      <c r="N353" s="207"/>
      <c r="O353" s="208"/>
      <c r="P353" s="208"/>
      <c r="Q353" s="208"/>
      <c r="R353" s="206"/>
      <c r="S353" s="206"/>
      <c r="T353" s="206"/>
      <c r="U353" s="206"/>
      <c r="V353" s="206"/>
      <c r="W353" s="206"/>
      <c r="X353" s="207"/>
      <c r="Y353" s="207"/>
      <c r="Z353" s="207"/>
      <c r="AA353" s="206"/>
      <c r="AB353" s="206"/>
      <c r="AC353" s="206"/>
      <c r="AD353" s="206"/>
      <c r="AE353" s="206"/>
      <c r="AF353" s="206"/>
      <c r="AG353" s="206"/>
      <c r="AH353" s="206"/>
      <c r="AI353" s="206"/>
      <c r="AJ353" s="206"/>
      <c r="AK353" s="206"/>
      <c r="AL353" s="206"/>
      <c r="AM353" s="206"/>
      <c r="AN353" s="206"/>
      <c r="AO353" s="206"/>
      <c r="AP353" s="206"/>
      <c r="AQ353" s="207"/>
      <c r="AR353" s="206"/>
      <c r="AS353" s="206"/>
      <c r="AT353" s="206"/>
      <c r="AU353" s="206"/>
      <c r="AV353" s="206"/>
      <c r="AW353" s="207"/>
      <c r="AX353" s="207"/>
      <c r="AY353" s="207"/>
      <c r="AZ353" s="207"/>
    </row>
    <row r="354" spans="1:52" ht="12.75" x14ac:dyDescent="0.2">
      <c r="A354" s="206"/>
      <c r="B354" s="206"/>
      <c r="C354" s="206"/>
      <c r="D354" s="206"/>
      <c r="E354" s="206"/>
      <c r="F354" s="206"/>
      <c r="G354" s="206"/>
      <c r="H354" s="206"/>
      <c r="I354" s="206"/>
      <c r="J354" s="206"/>
      <c r="K354" s="206"/>
      <c r="L354" s="206"/>
      <c r="M354" s="207"/>
      <c r="N354" s="207"/>
      <c r="O354" s="208"/>
      <c r="P354" s="208"/>
      <c r="Q354" s="208"/>
      <c r="R354" s="206"/>
      <c r="S354" s="206"/>
      <c r="T354" s="206"/>
      <c r="U354" s="206"/>
      <c r="V354" s="206"/>
      <c r="W354" s="206"/>
      <c r="X354" s="207"/>
      <c r="Y354" s="207"/>
      <c r="Z354" s="207"/>
      <c r="AA354" s="206"/>
      <c r="AB354" s="206"/>
      <c r="AC354" s="206"/>
      <c r="AD354" s="206"/>
      <c r="AE354" s="206"/>
      <c r="AF354" s="206"/>
      <c r="AG354" s="206"/>
      <c r="AH354" s="206"/>
      <c r="AI354" s="206"/>
      <c r="AJ354" s="206"/>
      <c r="AK354" s="206"/>
      <c r="AL354" s="206"/>
      <c r="AM354" s="206"/>
      <c r="AN354" s="206"/>
      <c r="AO354" s="206"/>
      <c r="AP354" s="206"/>
      <c r="AQ354" s="207"/>
      <c r="AR354" s="206"/>
      <c r="AS354" s="206"/>
      <c r="AT354" s="206"/>
      <c r="AU354" s="206"/>
      <c r="AV354" s="206"/>
      <c r="AW354" s="207"/>
      <c r="AX354" s="207"/>
      <c r="AY354" s="207"/>
      <c r="AZ354" s="207"/>
    </row>
    <row r="355" spans="1:52" ht="12.75" x14ac:dyDescent="0.2">
      <c r="A355" s="206"/>
      <c r="B355" s="206"/>
      <c r="C355" s="206"/>
      <c r="D355" s="206"/>
      <c r="E355" s="206"/>
      <c r="F355" s="206"/>
      <c r="G355" s="206"/>
      <c r="H355" s="206"/>
      <c r="I355" s="206"/>
      <c r="J355" s="206"/>
      <c r="K355" s="206"/>
      <c r="L355" s="206"/>
      <c r="M355" s="207"/>
      <c r="N355" s="207"/>
      <c r="O355" s="208"/>
      <c r="P355" s="208"/>
      <c r="Q355" s="208"/>
      <c r="R355" s="206"/>
      <c r="S355" s="206"/>
      <c r="T355" s="206"/>
      <c r="U355" s="206"/>
      <c r="V355" s="206"/>
      <c r="W355" s="206"/>
      <c r="X355" s="207"/>
      <c r="Y355" s="207"/>
      <c r="Z355" s="207"/>
      <c r="AA355" s="206"/>
      <c r="AB355" s="206"/>
      <c r="AC355" s="206"/>
      <c r="AD355" s="206"/>
      <c r="AE355" s="206"/>
      <c r="AF355" s="206"/>
      <c r="AG355" s="206"/>
      <c r="AH355" s="206"/>
      <c r="AI355" s="206"/>
      <c r="AJ355" s="206"/>
      <c r="AK355" s="206"/>
      <c r="AL355" s="206"/>
      <c r="AM355" s="206"/>
      <c r="AN355" s="206"/>
      <c r="AO355" s="206"/>
      <c r="AP355" s="206"/>
      <c r="AQ355" s="207"/>
      <c r="AR355" s="206"/>
      <c r="AS355" s="206"/>
      <c r="AT355" s="206"/>
      <c r="AU355" s="206"/>
      <c r="AV355" s="206"/>
      <c r="AW355" s="207"/>
      <c r="AX355" s="207"/>
      <c r="AY355" s="207"/>
      <c r="AZ355" s="207"/>
    </row>
    <row r="356" spans="1:52" ht="12.75" x14ac:dyDescent="0.2">
      <c r="A356" s="206"/>
      <c r="B356" s="206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7"/>
      <c r="N356" s="207"/>
      <c r="O356" s="208"/>
      <c r="P356" s="208"/>
      <c r="Q356" s="208"/>
      <c r="R356" s="206"/>
      <c r="S356" s="206"/>
      <c r="T356" s="206"/>
      <c r="U356" s="206"/>
      <c r="V356" s="206"/>
      <c r="W356" s="206"/>
      <c r="X356" s="207"/>
      <c r="Y356" s="207"/>
      <c r="Z356" s="207"/>
      <c r="AA356" s="206"/>
      <c r="AB356" s="206"/>
      <c r="AC356" s="206"/>
      <c r="AD356" s="206"/>
      <c r="AE356" s="206"/>
      <c r="AF356" s="206"/>
      <c r="AG356" s="206"/>
      <c r="AH356" s="206"/>
      <c r="AI356" s="206"/>
      <c r="AJ356" s="206"/>
      <c r="AK356" s="206"/>
      <c r="AL356" s="206"/>
      <c r="AM356" s="206"/>
      <c r="AN356" s="206"/>
      <c r="AO356" s="206"/>
      <c r="AP356" s="206"/>
      <c r="AQ356" s="207"/>
      <c r="AR356" s="206"/>
      <c r="AS356" s="206"/>
      <c r="AT356" s="206"/>
      <c r="AU356" s="206"/>
      <c r="AV356" s="206"/>
      <c r="AW356" s="207"/>
      <c r="AX356" s="207"/>
      <c r="AY356" s="207"/>
      <c r="AZ356" s="207"/>
    </row>
    <row r="357" spans="1:52" ht="12.75" x14ac:dyDescent="0.2">
      <c r="A357" s="206"/>
      <c r="B357" s="206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7"/>
      <c r="N357" s="207"/>
      <c r="O357" s="208"/>
      <c r="P357" s="208"/>
      <c r="Q357" s="208"/>
      <c r="R357" s="206"/>
      <c r="S357" s="206"/>
      <c r="T357" s="206"/>
      <c r="U357" s="206"/>
      <c r="V357" s="206"/>
      <c r="W357" s="206"/>
      <c r="X357" s="207"/>
      <c r="Y357" s="207"/>
      <c r="Z357" s="207"/>
      <c r="AA357" s="206"/>
      <c r="AB357" s="206"/>
      <c r="AC357" s="206"/>
      <c r="AD357" s="206"/>
      <c r="AE357" s="206"/>
      <c r="AF357" s="206"/>
      <c r="AG357" s="206"/>
      <c r="AH357" s="206"/>
      <c r="AI357" s="206"/>
      <c r="AJ357" s="206"/>
      <c r="AK357" s="206"/>
      <c r="AL357" s="206"/>
      <c r="AM357" s="206"/>
      <c r="AN357" s="206"/>
      <c r="AO357" s="206"/>
      <c r="AP357" s="206"/>
      <c r="AQ357" s="207"/>
      <c r="AR357" s="206"/>
      <c r="AS357" s="206"/>
      <c r="AT357" s="206"/>
      <c r="AU357" s="206"/>
      <c r="AV357" s="206"/>
      <c r="AW357" s="207"/>
      <c r="AX357" s="207"/>
      <c r="AY357" s="207"/>
      <c r="AZ357" s="207"/>
    </row>
    <row r="358" spans="1:52" ht="12.75" x14ac:dyDescent="0.2">
      <c r="A358" s="206"/>
      <c r="B358" s="206"/>
      <c r="C358" s="206"/>
      <c r="D358" s="206"/>
      <c r="E358" s="206"/>
      <c r="F358" s="206"/>
      <c r="G358" s="206"/>
      <c r="H358" s="206"/>
      <c r="I358" s="206"/>
      <c r="J358" s="206"/>
      <c r="K358" s="206"/>
      <c r="L358" s="206"/>
      <c r="M358" s="207"/>
      <c r="N358" s="207"/>
      <c r="O358" s="208"/>
      <c r="P358" s="208"/>
      <c r="Q358" s="208"/>
      <c r="R358" s="206"/>
      <c r="S358" s="206"/>
      <c r="T358" s="206"/>
      <c r="U358" s="206"/>
      <c r="V358" s="206"/>
      <c r="W358" s="206"/>
      <c r="X358" s="207"/>
      <c r="Y358" s="207"/>
      <c r="Z358" s="207"/>
      <c r="AA358" s="206"/>
      <c r="AB358" s="206"/>
      <c r="AC358" s="206"/>
      <c r="AD358" s="206"/>
      <c r="AE358" s="206"/>
      <c r="AF358" s="206"/>
      <c r="AG358" s="206"/>
      <c r="AH358" s="206"/>
      <c r="AI358" s="206"/>
      <c r="AJ358" s="206"/>
      <c r="AK358" s="206"/>
      <c r="AL358" s="206"/>
      <c r="AM358" s="206"/>
      <c r="AN358" s="206"/>
      <c r="AO358" s="206"/>
      <c r="AP358" s="206"/>
      <c r="AQ358" s="207"/>
      <c r="AR358" s="206"/>
      <c r="AS358" s="206"/>
      <c r="AT358" s="206"/>
      <c r="AU358" s="206"/>
      <c r="AV358" s="206"/>
      <c r="AW358" s="207"/>
      <c r="AX358" s="207"/>
      <c r="AY358" s="207"/>
      <c r="AZ358" s="207"/>
    </row>
    <row r="359" spans="1:52" ht="12.75" x14ac:dyDescent="0.2">
      <c r="A359" s="206"/>
      <c r="B359" s="206"/>
      <c r="C359" s="206"/>
      <c r="D359" s="206"/>
      <c r="E359" s="206"/>
      <c r="F359" s="206"/>
      <c r="G359" s="206"/>
      <c r="H359" s="206"/>
      <c r="I359" s="206"/>
      <c r="J359" s="206"/>
      <c r="K359" s="206"/>
      <c r="L359" s="206"/>
      <c r="M359" s="207"/>
      <c r="N359" s="207"/>
      <c r="O359" s="208"/>
      <c r="P359" s="208"/>
      <c r="Q359" s="208"/>
      <c r="R359" s="206"/>
      <c r="S359" s="206"/>
      <c r="T359" s="206"/>
      <c r="U359" s="206"/>
      <c r="V359" s="206"/>
      <c r="W359" s="206"/>
      <c r="X359" s="207"/>
      <c r="Y359" s="207"/>
      <c r="Z359" s="207"/>
      <c r="AA359" s="206"/>
      <c r="AB359" s="206"/>
      <c r="AC359" s="206"/>
      <c r="AD359" s="206"/>
      <c r="AE359" s="206"/>
      <c r="AF359" s="206"/>
      <c r="AG359" s="206"/>
      <c r="AH359" s="206"/>
      <c r="AI359" s="206"/>
      <c r="AJ359" s="206"/>
      <c r="AK359" s="206"/>
      <c r="AL359" s="206"/>
      <c r="AM359" s="206"/>
      <c r="AN359" s="206"/>
      <c r="AO359" s="206"/>
      <c r="AP359" s="206"/>
      <c r="AQ359" s="207"/>
      <c r="AR359" s="206"/>
      <c r="AS359" s="206"/>
      <c r="AT359" s="206"/>
      <c r="AU359" s="206"/>
      <c r="AV359" s="206"/>
      <c r="AW359" s="207"/>
      <c r="AX359" s="207"/>
      <c r="AY359" s="207"/>
      <c r="AZ359" s="207"/>
    </row>
    <row r="360" spans="1:52" ht="12.75" x14ac:dyDescent="0.2">
      <c r="A360" s="206"/>
      <c r="B360" s="206"/>
      <c r="C360" s="206"/>
      <c r="D360" s="206"/>
      <c r="E360" s="206"/>
      <c r="F360" s="206"/>
      <c r="G360" s="206"/>
      <c r="H360" s="206"/>
      <c r="I360" s="206"/>
      <c r="J360" s="206"/>
      <c r="K360" s="206"/>
      <c r="L360" s="206"/>
      <c r="M360" s="207"/>
      <c r="N360" s="207"/>
      <c r="O360" s="208"/>
      <c r="P360" s="208"/>
      <c r="Q360" s="208"/>
      <c r="R360" s="206"/>
      <c r="S360" s="206"/>
      <c r="T360" s="206"/>
      <c r="U360" s="206"/>
      <c r="V360" s="206"/>
      <c r="W360" s="206"/>
      <c r="X360" s="207"/>
      <c r="Y360" s="207"/>
      <c r="Z360" s="207"/>
      <c r="AA360" s="206"/>
      <c r="AB360" s="206"/>
      <c r="AC360" s="206"/>
      <c r="AD360" s="206"/>
      <c r="AE360" s="206"/>
      <c r="AF360" s="206"/>
      <c r="AG360" s="206"/>
      <c r="AH360" s="206"/>
      <c r="AI360" s="206"/>
      <c r="AJ360" s="206"/>
      <c r="AK360" s="206"/>
      <c r="AL360" s="206"/>
      <c r="AM360" s="206"/>
      <c r="AN360" s="206"/>
      <c r="AO360" s="206"/>
      <c r="AP360" s="206"/>
      <c r="AQ360" s="207"/>
      <c r="AR360" s="206"/>
      <c r="AS360" s="206"/>
      <c r="AT360" s="206"/>
      <c r="AU360" s="206"/>
      <c r="AV360" s="206"/>
      <c r="AW360" s="207"/>
      <c r="AX360" s="207"/>
      <c r="AY360" s="207"/>
      <c r="AZ360" s="207"/>
    </row>
    <row r="361" spans="1:52" ht="12.75" x14ac:dyDescent="0.2">
      <c r="A361" s="206"/>
      <c r="B361" s="206"/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07"/>
      <c r="N361" s="207"/>
      <c r="O361" s="208"/>
      <c r="P361" s="208"/>
      <c r="Q361" s="208"/>
      <c r="R361" s="206"/>
      <c r="S361" s="206"/>
      <c r="T361" s="206"/>
      <c r="U361" s="206"/>
      <c r="V361" s="206"/>
      <c r="W361" s="206"/>
      <c r="X361" s="207"/>
      <c r="Y361" s="207"/>
      <c r="Z361" s="207"/>
      <c r="AA361" s="206"/>
      <c r="AB361" s="206"/>
      <c r="AC361" s="206"/>
      <c r="AD361" s="206"/>
      <c r="AE361" s="206"/>
      <c r="AF361" s="206"/>
      <c r="AG361" s="206"/>
      <c r="AH361" s="206"/>
      <c r="AI361" s="206"/>
      <c r="AJ361" s="206"/>
      <c r="AK361" s="206"/>
      <c r="AL361" s="206"/>
      <c r="AM361" s="206"/>
      <c r="AN361" s="206"/>
      <c r="AO361" s="206"/>
      <c r="AP361" s="206"/>
      <c r="AQ361" s="207"/>
      <c r="AR361" s="206"/>
      <c r="AS361" s="206"/>
      <c r="AT361" s="206"/>
      <c r="AU361" s="206"/>
      <c r="AV361" s="206"/>
      <c r="AW361" s="207"/>
      <c r="AX361" s="207"/>
      <c r="AY361" s="207"/>
      <c r="AZ361" s="207"/>
    </row>
    <row r="362" spans="1:52" ht="12.75" x14ac:dyDescent="0.2">
      <c r="A362" s="206"/>
      <c r="B362" s="206"/>
      <c r="C362" s="206"/>
      <c r="D362" s="206"/>
      <c r="E362" s="206"/>
      <c r="F362" s="206"/>
      <c r="G362" s="206"/>
      <c r="H362" s="206"/>
      <c r="I362" s="206"/>
      <c r="J362" s="206"/>
      <c r="K362" s="206"/>
      <c r="L362" s="206"/>
      <c r="M362" s="207"/>
      <c r="N362" s="207"/>
      <c r="O362" s="208"/>
      <c r="P362" s="208"/>
      <c r="Q362" s="208"/>
      <c r="R362" s="206"/>
      <c r="S362" s="206"/>
      <c r="T362" s="206"/>
      <c r="U362" s="206"/>
      <c r="V362" s="206"/>
      <c r="W362" s="206"/>
      <c r="X362" s="207"/>
      <c r="Y362" s="207"/>
      <c r="Z362" s="207"/>
      <c r="AA362" s="206"/>
      <c r="AB362" s="206"/>
      <c r="AC362" s="206"/>
      <c r="AD362" s="206"/>
      <c r="AE362" s="206"/>
      <c r="AF362" s="206"/>
      <c r="AG362" s="206"/>
      <c r="AH362" s="206"/>
      <c r="AI362" s="206"/>
      <c r="AJ362" s="206"/>
      <c r="AK362" s="206"/>
      <c r="AL362" s="206"/>
      <c r="AM362" s="206"/>
      <c r="AN362" s="206"/>
      <c r="AO362" s="206"/>
      <c r="AP362" s="206"/>
      <c r="AQ362" s="207"/>
      <c r="AR362" s="206"/>
      <c r="AS362" s="206"/>
      <c r="AT362" s="206"/>
      <c r="AU362" s="206"/>
      <c r="AV362" s="206"/>
      <c r="AW362" s="207"/>
      <c r="AX362" s="207"/>
      <c r="AY362" s="207"/>
      <c r="AZ362" s="207"/>
    </row>
    <row r="363" spans="1:52" ht="12.75" x14ac:dyDescent="0.2">
      <c r="A363" s="206"/>
      <c r="B363" s="206"/>
      <c r="C363" s="206"/>
      <c r="D363" s="206"/>
      <c r="E363" s="206"/>
      <c r="F363" s="206"/>
      <c r="G363" s="206"/>
      <c r="H363" s="206"/>
      <c r="I363" s="206"/>
      <c r="J363" s="206"/>
      <c r="K363" s="206"/>
      <c r="L363" s="206"/>
      <c r="M363" s="207"/>
      <c r="N363" s="207"/>
      <c r="O363" s="208"/>
      <c r="P363" s="208"/>
      <c r="Q363" s="208"/>
      <c r="R363" s="206"/>
      <c r="S363" s="206"/>
      <c r="T363" s="206"/>
      <c r="U363" s="206"/>
      <c r="V363" s="206"/>
      <c r="W363" s="206"/>
      <c r="X363" s="207"/>
      <c r="Y363" s="207"/>
      <c r="Z363" s="207"/>
      <c r="AA363" s="206"/>
      <c r="AB363" s="206"/>
      <c r="AC363" s="206"/>
      <c r="AD363" s="206"/>
      <c r="AE363" s="206"/>
      <c r="AF363" s="206"/>
      <c r="AG363" s="206"/>
      <c r="AH363" s="206"/>
      <c r="AI363" s="206"/>
      <c r="AJ363" s="206"/>
      <c r="AK363" s="206"/>
      <c r="AL363" s="206"/>
      <c r="AM363" s="206"/>
      <c r="AN363" s="206"/>
      <c r="AO363" s="206"/>
      <c r="AP363" s="206"/>
      <c r="AQ363" s="207"/>
      <c r="AR363" s="206"/>
      <c r="AS363" s="206"/>
      <c r="AT363" s="206"/>
      <c r="AU363" s="206"/>
      <c r="AV363" s="206"/>
      <c r="AW363" s="207"/>
      <c r="AX363" s="207"/>
      <c r="AY363" s="207"/>
      <c r="AZ363" s="207"/>
    </row>
    <row r="364" spans="1:52" ht="12.75" x14ac:dyDescent="0.2">
      <c r="A364" s="206"/>
      <c r="B364" s="206"/>
      <c r="C364" s="206"/>
      <c r="D364" s="206"/>
      <c r="E364" s="206"/>
      <c r="F364" s="206"/>
      <c r="G364" s="206"/>
      <c r="H364" s="206"/>
      <c r="I364" s="206"/>
      <c r="J364" s="206"/>
      <c r="K364" s="206"/>
      <c r="L364" s="206"/>
      <c r="M364" s="207"/>
      <c r="N364" s="207"/>
      <c r="O364" s="208"/>
      <c r="P364" s="208"/>
      <c r="Q364" s="208"/>
      <c r="R364" s="206"/>
      <c r="S364" s="206"/>
      <c r="T364" s="206"/>
      <c r="U364" s="206"/>
      <c r="V364" s="206"/>
      <c r="W364" s="206"/>
      <c r="X364" s="207"/>
      <c r="Y364" s="207"/>
      <c r="Z364" s="207"/>
      <c r="AA364" s="206"/>
      <c r="AB364" s="206"/>
      <c r="AC364" s="206"/>
      <c r="AD364" s="206"/>
      <c r="AE364" s="206"/>
      <c r="AF364" s="206"/>
      <c r="AG364" s="206"/>
      <c r="AH364" s="206"/>
      <c r="AI364" s="206"/>
      <c r="AJ364" s="206"/>
      <c r="AK364" s="206"/>
      <c r="AL364" s="206"/>
      <c r="AM364" s="206"/>
      <c r="AN364" s="206"/>
      <c r="AO364" s="206"/>
      <c r="AP364" s="206"/>
      <c r="AQ364" s="207"/>
      <c r="AR364" s="206"/>
      <c r="AS364" s="206"/>
      <c r="AT364" s="206"/>
      <c r="AU364" s="206"/>
      <c r="AV364" s="206"/>
      <c r="AW364" s="207"/>
      <c r="AX364" s="207"/>
      <c r="AY364" s="207"/>
      <c r="AZ364" s="207"/>
    </row>
    <row r="365" spans="1:52" ht="12.75" x14ac:dyDescent="0.2">
      <c r="A365" s="206"/>
      <c r="B365" s="206"/>
      <c r="C365" s="206"/>
      <c r="D365" s="206"/>
      <c r="E365" s="206"/>
      <c r="F365" s="206"/>
      <c r="G365" s="206"/>
      <c r="H365" s="206"/>
      <c r="I365" s="206"/>
      <c r="J365" s="206"/>
      <c r="K365" s="206"/>
      <c r="L365" s="206"/>
      <c r="M365" s="207"/>
      <c r="N365" s="207"/>
      <c r="O365" s="208"/>
      <c r="P365" s="208"/>
      <c r="Q365" s="208"/>
      <c r="R365" s="206"/>
      <c r="S365" s="206"/>
      <c r="T365" s="206"/>
      <c r="U365" s="206"/>
      <c r="V365" s="206"/>
      <c r="W365" s="206"/>
      <c r="X365" s="207"/>
      <c r="Y365" s="207"/>
      <c r="Z365" s="207"/>
      <c r="AA365" s="206"/>
      <c r="AB365" s="206"/>
      <c r="AC365" s="206"/>
      <c r="AD365" s="206"/>
      <c r="AE365" s="206"/>
      <c r="AF365" s="206"/>
      <c r="AG365" s="206"/>
      <c r="AH365" s="206"/>
      <c r="AI365" s="206"/>
      <c r="AJ365" s="206"/>
      <c r="AK365" s="206"/>
      <c r="AL365" s="206"/>
      <c r="AM365" s="206"/>
      <c r="AN365" s="206"/>
      <c r="AO365" s="206"/>
      <c r="AP365" s="206"/>
      <c r="AQ365" s="207"/>
      <c r="AR365" s="206"/>
      <c r="AS365" s="206"/>
      <c r="AT365" s="206"/>
      <c r="AU365" s="206"/>
      <c r="AV365" s="206"/>
      <c r="AW365" s="207"/>
      <c r="AX365" s="207"/>
      <c r="AY365" s="207"/>
      <c r="AZ365" s="207"/>
    </row>
    <row r="366" spans="1:52" ht="12.75" x14ac:dyDescent="0.2">
      <c r="A366" s="206"/>
      <c r="B366" s="206"/>
      <c r="C366" s="206"/>
      <c r="D366" s="206"/>
      <c r="E366" s="206"/>
      <c r="F366" s="206"/>
      <c r="G366" s="206"/>
      <c r="H366" s="206"/>
      <c r="I366" s="206"/>
      <c r="J366" s="206"/>
      <c r="K366" s="206"/>
      <c r="L366" s="206"/>
      <c r="M366" s="207"/>
      <c r="N366" s="207"/>
      <c r="O366" s="208"/>
      <c r="P366" s="208"/>
      <c r="Q366" s="208"/>
      <c r="R366" s="206"/>
      <c r="S366" s="206"/>
      <c r="T366" s="206"/>
      <c r="U366" s="206"/>
      <c r="V366" s="206"/>
      <c r="W366" s="206"/>
      <c r="X366" s="207"/>
      <c r="Y366" s="207"/>
      <c r="Z366" s="207"/>
      <c r="AA366" s="206"/>
      <c r="AB366" s="206"/>
      <c r="AC366" s="206"/>
      <c r="AD366" s="206"/>
      <c r="AE366" s="206"/>
      <c r="AF366" s="206"/>
      <c r="AG366" s="206"/>
      <c r="AH366" s="206"/>
      <c r="AI366" s="206"/>
      <c r="AJ366" s="206"/>
      <c r="AK366" s="206"/>
      <c r="AL366" s="206"/>
      <c r="AM366" s="206"/>
      <c r="AN366" s="206"/>
      <c r="AO366" s="206"/>
      <c r="AP366" s="206"/>
      <c r="AQ366" s="207"/>
      <c r="AR366" s="206"/>
      <c r="AS366" s="206"/>
      <c r="AT366" s="206"/>
      <c r="AU366" s="206"/>
      <c r="AV366" s="206"/>
      <c r="AW366" s="207"/>
      <c r="AX366" s="207"/>
      <c r="AY366" s="207"/>
      <c r="AZ366" s="207"/>
    </row>
    <row r="367" spans="1:52" ht="12.75" x14ac:dyDescent="0.2">
      <c r="A367" s="206"/>
      <c r="B367" s="206"/>
      <c r="C367" s="206"/>
      <c r="D367" s="206"/>
      <c r="E367" s="206"/>
      <c r="F367" s="206"/>
      <c r="G367" s="206"/>
      <c r="H367" s="206"/>
      <c r="I367" s="206"/>
      <c r="J367" s="206"/>
      <c r="K367" s="206"/>
      <c r="L367" s="206"/>
      <c r="M367" s="207"/>
      <c r="N367" s="207"/>
      <c r="O367" s="208"/>
      <c r="P367" s="208"/>
      <c r="Q367" s="208"/>
      <c r="R367" s="206"/>
      <c r="S367" s="206"/>
      <c r="T367" s="206"/>
      <c r="U367" s="206"/>
      <c r="V367" s="206"/>
      <c r="W367" s="206"/>
      <c r="X367" s="207"/>
      <c r="Y367" s="207"/>
      <c r="Z367" s="207"/>
      <c r="AA367" s="206"/>
      <c r="AB367" s="206"/>
      <c r="AC367" s="206"/>
      <c r="AD367" s="206"/>
      <c r="AE367" s="206"/>
      <c r="AF367" s="206"/>
      <c r="AG367" s="206"/>
      <c r="AH367" s="206"/>
      <c r="AI367" s="206"/>
      <c r="AJ367" s="206"/>
      <c r="AK367" s="206"/>
      <c r="AL367" s="206"/>
      <c r="AM367" s="206"/>
      <c r="AN367" s="206"/>
      <c r="AO367" s="206"/>
      <c r="AP367" s="206"/>
      <c r="AQ367" s="207"/>
      <c r="AR367" s="206"/>
      <c r="AS367" s="206"/>
      <c r="AT367" s="206"/>
      <c r="AU367" s="206"/>
      <c r="AV367" s="206"/>
      <c r="AW367" s="207"/>
      <c r="AX367" s="207"/>
      <c r="AY367" s="207"/>
      <c r="AZ367" s="207"/>
    </row>
    <row r="368" spans="1:52" ht="12.75" x14ac:dyDescent="0.2">
      <c r="A368" s="206"/>
      <c r="B368" s="206"/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7"/>
      <c r="N368" s="207"/>
      <c r="O368" s="208"/>
      <c r="P368" s="208"/>
      <c r="Q368" s="208"/>
      <c r="R368" s="206"/>
      <c r="S368" s="206"/>
      <c r="T368" s="206"/>
      <c r="U368" s="206"/>
      <c r="V368" s="206"/>
      <c r="W368" s="206"/>
      <c r="X368" s="207"/>
      <c r="Y368" s="207"/>
      <c r="Z368" s="207"/>
      <c r="AA368" s="206"/>
      <c r="AB368" s="206"/>
      <c r="AC368" s="206"/>
      <c r="AD368" s="206"/>
      <c r="AE368" s="206"/>
      <c r="AF368" s="206"/>
      <c r="AG368" s="206"/>
      <c r="AH368" s="206"/>
      <c r="AI368" s="206"/>
      <c r="AJ368" s="206"/>
      <c r="AK368" s="206"/>
      <c r="AL368" s="206"/>
      <c r="AM368" s="206"/>
      <c r="AN368" s="206"/>
      <c r="AO368" s="206"/>
      <c r="AP368" s="206"/>
      <c r="AQ368" s="207"/>
      <c r="AR368" s="206"/>
      <c r="AS368" s="206"/>
      <c r="AT368" s="206"/>
      <c r="AU368" s="206"/>
      <c r="AV368" s="206"/>
      <c r="AW368" s="207"/>
      <c r="AX368" s="207"/>
      <c r="AY368" s="207"/>
      <c r="AZ368" s="207"/>
    </row>
    <row r="369" spans="1:52" ht="12.75" x14ac:dyDescent="0.2">
      <c r="A369" s="206"/>
      <c r="B369" s="206"/>
      <c r="C369" s="206"/>
      <c r="D369" s="206"/>
      <c r="E369" s="206"/>
      <c r="F369" s="206"/>
      <c r="G369" s="206"/>
      <c r="H369" s="206"/>
      <c r="I369" s="206"/>
      <c r="J369" s="206"/>
      <c r="K369" s="206"/>
      <c r="L369" s="206"/>
      <c r="M369" s="207"/>
      <c r="N369" s="207"/>
      <c r="O369" s="208"/>
      <c r="P369" s="208"/>
      <c r="Q369" s="208"/>
      <c r="R369" s="206"/>
      <c r="S369" s="206"/>
      <c r="T369" s="206"/>
      <c r="U369" s="206"/>
      <c r="V369" s="206"/>
      <c r="W369" s="206"/>
      <c r="X369" s="207"/>
      <c r="Y369" s="207"/>
      <c r="Z369" s="207"/>
      <c r="AA369" s="206"/>
      <c r="AB369" s="206"/>
      <c r="AC369" s="206"/>
      <c r="AD369" s="206"/>
      <c r="AE369" s="206"/>
      <c r="AF369" s="206"/>
      <c r="AG369" s="206"/>
      <c r="AH369" s="206"/>
      <c r="AI369" s="206"/>
      <c r="AJ369" s="206"/>
      <c r="AK369" s="206"/>
      <c r="AL369" s="206"/>
      <c r="AM369" s="206"/>
      <c r="AN369" s="206"/>
      <c r="AO369" s="206"/>
      <c r="AP369" s="206"/>
      <c r="AQ369" s="207"/>
      <c r="AR369" s="206"/>
      <c r="AS369" s="206"/>
      <c r="AT369" s="206"/>
      <c r="AU369" s="206"/>
      <c r="AV369" s="206"/>
      <c r="AW369" s="207"/>
      <c r="AX369" s="207"/>
      <c r="AY369" s="207"/>
      <c r="AZ369" s="207"/>
    </row>
    <row r="370" spans="1:52" ht="12.75" x14ac:dyDescent="0.2">
      <c r="A370" s="206"/>
      <c r="B370" s="206"/>
      <c r="C370" s="206"/>
      <c r="D370" s="206"/>
      <c r="E370" s="206"/>
      <c r="F370" s="206"/>
      <c r="G370" s="206"/>
      <c r="H370" s="206"/>
      <c r="I370" s="206"/>
      <c r="J370" s="206"/>
      <c r="K370" s="206"/>
      <c r="L370" s="206"/>
      <c r="M370" s="207"/>
      <c r="N370" s="207"/>
      <c r="O370" s="208"/>
      <c r="P370" s="208"/>
      <c r="Q370" s="208"/>
      <c r="R370" s="206"/>
      <c r="S370" s="206"/>
      <c r="T370" s="206"/>
      <c r="U370" s="206"/>
      <c r="V370" s="206"/>
      <c r="W370" s="206"/>
      <c r="X370" s="207"/>
      <c r="Y370" s="207"/>
      <c r="Z370" s="207"/>
      <c r="AA370" s="206"/>
      <c r="AB370" s="206"/>
      <c r="AC370" s="206"/>
      <c r="AD370" s="206"/>
      <c r="AE370" s="206"/>
      <c r="AF370" s="206"/>
      <c r="AG370" s="206"/>
      <c r="AH370" s="206"/>
      <c r="AI370" s="206"/>
      <c r="AJ370" s="206"/>
      <c r="AK370" s="206"/>
      <c r="AL370" s="206"/>
      <c r="AM370" s="206"/>
      <c r="AN370" s="206"/>
      <c r="AO370" s="206"/>
      <c r="AP370" s="206"/>
      <c r="AQ370" s="207"/>
      <c r="AR370" s="206"/>
      <c r="AS370" s="206"/>
      <c r="AT370" s="206"/>
      <c r="AU370" s="206"/>
      <c r="AV370" s="206"/>
      <c r="AW370" s="207"/>
      <c r="AX370" s="207"/>
      <c r="AY370" s="207"/>
      <c r="AZ370" s="207"/>
    </row>
    <row r="371" spans="1:52" ht="12.75" x14ac:dyDescent="0.2">
      <c r="A371" s="206"/>
      <c r="B371" s="206"/>
      <c r="C371" s="206"/>
      <c r="D371" s="206"/>
      <c r="E371" s="206"/>
      <c r="F371" s="206"/>
      <c r="G371" s="206"/>
      <c r="H371" s="206"/>
      <c r="I371" s="206"/>
      <c r="J371" s="206"/>
      <c r="K371" s="206"/>
      <c r="L371" s="206"/>
      <c r="M371" s="207"/>
      <c r="N371" s="207"/>
      <c r="O371" s="208"/>
      <c r="P371" s="208"/>
      <c r="Q371" s="208"/>
      <c r="R371" s="206"/>
      <c r="S371" s="206"/>
      <c r="T371" s="206"/>
      <c r="U371" s="206"/>
      <c r="V371" s="206"/>
      <c r="W371" s="206"/>
      <c r="X371" s="207"/>
      <c r="Y371" s="207"/>
      <c r="Z371" s="207"/>
      <c r="AA371" s="206"/>
      <c r="AB371" s="206"/>
      <c r="AC371" s="206"/>
      <c r="AD371" s="206"/>
      <c r="AE371" s="206"/>
      <c r="AF371" s="206"/>
      <c r="AG371" s="206"/>
      <c r="AH371" s="206"/>
      <c r="AI371" s="206"/>
      <c r="AJ371" s="206"/>
      <c r="AK371" s="206"/>
      <c r="AL371" s="206"/>
      <c r="AM371" s="206"/>
      <c r="AN371" s="206"/>
      <c r="AO371" s="206"/>
      <c r="AP371" s="206"/>
      <c r="AQ371" s="207"/>
      <c r="AR371" s="206"/>
      <c r="AS371" s="206"/>
      <c r="AT371" s="206"/>
      <c r="AU371" s="206"/>
      <c r="AV371" s="206"/>
      <c r="AW371" s="207"/>
      <c r="AX371" s="207"/>
      <c r="AY371" s="207"/>
      <c r="AZ371" s="207"/>
    </row>
    <row r="372" spans="1:52" ht="12.75" x14ac:dyDescent="0.2">
      <c r="A372" s="206"/>
      <c r="B372" s="206"/>
      <c r="C372" s="206"/>
      <c r="D372" s="206"/>
      <c r="E372" s="206"/>
      <c r="F372" s="206"/>
      <c r="G372" s="206"/>
      <c r="H372" s="206"/>
      <c r="I372" s="206"/>
      <c r="J372" s="206"/>
      <c r="K372" s="206"/>
      <c r="L372" s="206"/>
      <c r="M372" s="207"/>
      <c r="N372" s="207"/>
      <c r="O372" s="208"/>
      <c r="P372" s="208"/>
      <c r="Q372" s="208"/>
      <c r="R372" s="206"/>
      <c r="S372" s="206"/>
      <c r="T372" s="206"/>
      <c r="U372" s="206"/>
      <c r="V372" s="206"/>
      <c r="W372" s="206"/>
      <c r="X372" s="207"/>
      <c r="Y372" s="207"/>
      <c r="Z372" s="207"/>
      <c r="AA372" s="206"/>
      <c r="AB372" s="206"/>
      <c r="AC372" s="206"/>
      <c r="AD372" s="206"/>
      <c r="AE372" s="206"/>
      <c r="AF372" s="206"/>
      <c r="AG372" s="206"/>
      <c r="AH372" s="206"/>
      <c r="AI372" s="206"/>
      <c r="AJ372" s="206"/>
      <c r="AK372" s="206"/>
      <c r="AL372" s="206"/>
      <c r="AM372" s="206"/>
      <c r="AN372" s="206"/>
      <c r="AO372" s="206"/>
      <c r="AP372" s="206"/>
      <c r="AQ372" s="207"/>
      <c r="AR372" s="206"/>
      <c r="AS372" s="206"/>
      <c r="AT372" s="206"/>
      <c r="AU372" s="206"/>
      <c r="AV372" s="206"/>
      <c r="AW372" s="207"/>
      <c r="AX372" s="207"/>
      <c r="AY372" s="207"/>
      <c r="AZ372" s="207"/>
    </row>
    <row r="373" spans="1:52" ht="12.75" x14ac:dyDescent="0.2">
      <c r="A373" s="206"/>
      <c r="B373" s="206"/>
      <c r="C373" s="206"/>
      <c r="D373" s="206"/>
      <c r="E373" s="206"/>
      <c r="F373" s="206"/>
      <c r="G373" s="206"/>
      <c r="H373" s="206"/>
      <c r="I373" s="206"/>
      <c r="J373" s="206"/>
      <c r="K373" s="206"/>
      <c r="L373" s="206"/>
      <c r="M373" s="207"/>
      <c r="N373" s="207"/>
      <c r="O373" s="208"/>
      <c r="P373" s="208"/>
      <c r="Q373" s="208"/>
      <c r="R373" s="206"/>
      <c r="S373" s="206"/>
      <c r="T373" s="206"/>
      <c r="U373" s="206"/>
      <c r="V373" s="206"/>
      <c r="W373" s="206"/>
      <c r="X373" s="207"/>
      <c r="Y373" s="207"/>
      <c r="Z373" s="207"/>
      <c r="AA373" s="206"/>
      <c r="AB373" s="206"/>
      <c r="AC373" s="206"/>
      <c r="AD373" s="206"/>
      <c r="AE373" s="206"/>
      <c r="AF373" s="206"/>
      <c r="AG373" s="206"/>
      <c r="AH373" s="206"/>
      <c r="AI373" s="206"/>
      <c r="AJ373" s="206"/>
      <c r="AK373" s="206"/>
      <c r="AL373" s="206"/>
      <c r="AM373" s="206"/>
      <c r="AN373" s="206"/>
      <c r="AO373" s="206"/>
      <c r="AP373" s="206"/>
      <c r="AQ373" s="207"/>
      <c r="AR373" s="206"/>
      <c r="AS373" s="206"/>
      <c r="AT373" s="206"/>
      <c r="AU373" s="206"/>
      <c r="AV373" s="206"/>
      <c r="AW373" s="207"/>
      <c r="AX373" s="207"/>
      <c r="AY373" s="207"/>
      <c r="AZ373" s="207"/>
    </row>
    <row r="374" spans="1:52" ht="12.75" x14ac:dyDescent="0.2">
      <c r="A374" s="206"/>
      <c r="B374" s="206"/>
      <c r="C374" s="206"/>
      <c r="D374" s="206"/>
      <c r="E374" s="206"/>
      <c r="F374" s="206"/>
      <c r="G374" s="206"/>
      <c r="H374" s="206"/>
      <c r="I374" s="206"/>
      <c r="J374" s="206"/>
      <c r="K374" s="206"/>
      <c r="L374" s="206"/>
      <c r="M374" s="207"/>
      <c r="N374" s="207"/>
      <c r="O374" s="208"/>
      <c r="P374" s="208"/>
      <c r="Q374" s="208"/>
      <c r="R374" s="206"/>
      <c r="S374" s="206"/>
      <c r="T374" s="206"/>
      <c r="U374" s="206"/>
      <c r="V374" s="206"/>
      <c r="W374" s="206"/>
      <c r="X374" s="207"/>
      <c r="Y374" s="207"/>
      <c r="Z374" s="207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7"/>
      <c r="AR374" s="206"/>
      <c r="AS374" s="206"/>
      <c r="AT374" s="206"/>
      <c r="AU374" s="206"/>
      <c r="AV374" s="206"/>
      <c r="AW374" s="207"/>
      <c r="AX374" s="207"/>
      <c r="AY374" s="207"/>
      <c r="AZ374" s="207"/>
    </row>
    <row r="375" spans="1:52" ht="12.75" x14ac:dyDescent="0.2">
      <c r="A375" s="206"/>
      <c r="B375" s="206"/>
      <c r="C375" s="206"/>
      <c r="D375" s="206"/>
      <c r="E375" s="206"/>
      <c r="F375" s="206"/>
      <c r="G375" s="206"/>
      <c r="H375" s="206"/>
      <c r="I375" s="206"/>
      <c r="J375" s="206"/>
      <c r="K375" s="206"/>
      <c r="L375" s="206"/>
      <c r="M375" s="207"/>
      <c r="N375" s="207"/>
      <c r="O375" s="208"/>
      <c r="P375" s="208"/>
      <c r="Q375" s="208"/>
      <c r="R375" s="206"/>
      <c r="S375" s="206"/>
      <c r="T375" s="206"/>
      <c r="U375" s="206"/>
      <c r="V375" s="206"/>
      <c r="W375" s="206"/>
      <c r="X375" s="207"/>
      <c r="Y375" s="207"/>
      <c r="Z375" s="207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7"/>
      <c r="AR375" s="206"/>
      <c r="AS375" s="206"/>
      <c r="AT375" s="206"/>
      <c r="AU375" s="206"/>
      <c r="AV375" s="206"/>
      <c r="AW375" s="207"/>
      <c r="AX375" s="207"/>
      <c r="AY375" s="207"/>
      <c r="AZ375" s="207"/>
    </row>
    <row r="376" spans="1:52" ht="12.75" x14ac:dyDescent="0.2">
      <c r="A376" s="206"/>
      <c r="B376" s="206"/>
      <c r="C376" s="206"/>
      <c r="D376" s="206"/>
      <c r="E376" s="206"/>
      <c r="F376" s="206"/>
      <c r="G376" s="206"/>
      <c r="H376" s="206"/>
      <c r="I376" s="206"/>
      <c r="J376" s="206"/>
      <c r="K376" s="206"/>
      <c r="L376" s="206"/>
      <c r="M376" s="207"/>
      <c r="N376" s="207"/>
      <c r="O376" s="208"/>
      <c r="P376" s="208"/>
      <c r="Q376" s="208"/>
      <c r="R376" s="206"/>
      <c r="S376" s="206"/>
      <c r="T376" s="206"/>
      <c r="U376" s="206"/>
      <c r="V376" s="206"/>
      <c r="W376" s="206"/>
      <c r="X376" s="207"/>
      <c r="Y376" s="207"/>
      <c r="Z376" s="207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7"/>
      <c r="AR376" s="206"/>
      <c r="AS376" s="206"/>
      <c r="AT376" s="206"/>
      <c r="AU376" s="206"/>
      <c r="AV376" s="206"/>
      <c r="AW376" s="207"/>
      <c r="AX376" s="207"/>
      <c r="AY376" s="207"/>
      <c r="AZ376" s="207"/>
    </row>
    <row r="377" spans="1:52" ht="12.75" x14ac:dyDescent="0.2">
      <c r="A377" s="206"/>
      <c r="B377" s="206"/>
      <c r="C377" s="206"/>
      <c r="D377" s="206"/>
      <c r="E377" s="206"/>
      <c r="F377" s="206"/>
      <c r="G377" s="206"/>
      <c r="H377" s="206"/>
      <c r="I377" s="206"/>
      <c r="J377" s="206"/>
      <c r="K377" s="206"/>
      <c r="L377" s="206"/>
      <c r="M377" s="207"/>
      <c r="N377" s="207"/>
      <c r="O377" s="208"/>
      <c r="P377" s="208"/>
      <c r="Q377" s="208"/>
      <c r="R377" s="206"/>
      <c r="S377" s="206"/>
      <c r="T377" s="206"/>
      <c r="U377" s="206"/>
      <c r="V377" s="206"/>
      <c r="W377" s="206"/>
      <c r="X377" s="207"/>
      <c r="Y377" s="207"/>
      <c r="Z377" s="207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7"/>
      <c r="AR377" s="206"/>
      <c r="AS377" s="206"/>
      <c r="AT377" s="206"/>
      <c r="AU377" s="206"/>
      <c r="AV377" s="206"/>
      <c r="AW377" s="207"/>
      <c r="AX377" s="207"/>
      <c r="AY377" s="207"/>
      <c r="AZ377" s="207"/>
    </row>
    <row r="378" spans="1:52" ht="12.75" x14ac:dyDescent="0.2">
      <c r="A378" s="206"/>
      <c r="B378" s="206"/>
      <c r="C378" s="206"/>
      <c r="D378" s="206"/>
      <c r="E378" s="206"/>
      <c r="F378" s="206"/>
      <c r="G378" s="206"/>
      <c r="H378" s="206"/>
      <c r="I378" s="206"/>
      <c r="J378" s="206"/>
      <c r="K378" s="206"/>
      <c r="L378" s="206"/>
      <c r="M378" s="207"/>
      <c r="N378" s="207"/>
      <c r="O378" s="208"/>
      <c r="P378" s="208"/>
      <c r="Q378" s="208"/>
      <c r="R378" s="206"/>
      <c r="S378" s="206"/>
      <c r="T378" s="206"/>
      <c r="U378" s="206"/>
      <c r="V378" s="206"/>
      <c r="W378" s="206"/>
      <c r="X378" s="207"/>
      <c r="Y378" s="207"/>
      <c r="Z378" s="207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7"/>
      <c r="AR378" s="206"/>
      <c r="AS378" s="206"/>
      <c r="AT378" s="206"/>
      <c r="AU378" s="206"/>
      <c r="AV378" s="206"/>
      <c r="AW378" s="207"/>
      <c r="AX378" s="207"/>
      <c r="AY378" s="207"/>
      <c r="AZ378" s="207"/>
    </row>
    <row r="379" spans="1:52" ht="12.75" x14ac:dyDescent="0.2">
      <c r="A379" s="206"/>
      <c r="B379" s="206"/>
      <c r="C379" s="206"/>
      <c r="D379" s="206"/>
      <c r="E379" s="206"/>
      <c r="F379" s="206"/>
      <c r="G379" s="206"/>
      <c r="H379" s="206"/>
      <c r="I379" s="206"/>
      <c r="J379" s="206"/>
      <c r="K379" s="206"/>
      <c r="L379" s="206"/>
      <c r="M379" s="207"/>
      <c r="N379" s="207"/>
      <c r="O379" s="208"/>
      <c r="P379" s="208"/>
      <c r="Q379" s="208"/>
      <c r="R379" s="206"/>
      <c r="S379" s="206"/>
      <c r="T379" s="206"/>
      <c r="U379" s="206"/>
      <c r="V379" s="206"/>
      <c r="W379" s="206"/>
      <c r="X379" s="207"/>
      <c r="Y379" s="207"/>
      <c r="Z379" s="207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7"/>
      <c r="AR379" s="206"/>
      <c r="AS379" s="206"/>
      <c r="AT379" s="206"/>
      <c r="AU379" s="206"/>
      <c r="AV379" s="206"/>
      <c r="AW379" s="207"/>
      <c r="AX379" s="207"/>
      <c r="AY379" s="207"/>
      <c r="AZ379" s="207"/>
    </row>
    <row r="380" spans="1:52" ht="12.75" x14ac:dyDescent="0.2">
      <c r="A380" s="206"/>
      <c r="B380" s="206"/>
      <c r="C380" s="206"/>
      <c r="D380" s="206"/>
      <c r="E380" s="206"/>
      <c r="F380" s="206"/>
      <c r="G380" s="206"/>
      <c r="H380" s="206"/>
      <c r="I380" s="206"/>
      <c r="J380" s="206"/>
      <c r="K380" s="206"/>
      <c r="L380" s="206"/>
      <c r="M380" s="207"/>
      <c r="N380" s="207"/>
      <c r="O380" s="208"/>
      <c r="P380" s="208"/>
      <c r="Q380" s="208"/>
      <c r="R380" s="206"/>
      <c r="S380" s="206"/>
      <c r="T380" s="206"/>
      <c r="U380" s="206"/>
      <c r="V380" s="206"/>
      <c r="W380" s="206"/>
      <c r="X380" s="207"/>
      <c r="Y380" s="207"/>
      <c r="Z380" s="207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7"/>
      <c r="AR380" s="206"/>
      <c r="AS380" s="206"/>
      <c r="AT380" s="206"/>
      <c r="AU380" s="206"/>
      <c r="AV380" s="206"/>
      <c r="AW380" s="207"/>
      <c r="AX380" s="207"/>
      <c r="AY380" s="207"/>
      <c r="AZ380" s="207"/>
    </row>
    <row r="381" spans="1:52" ht="12.75" x14ac:dyDescent="0.2">
      <c r="A381" s="206"/>
      <c r="B381" s="206"/>
      <c r="C381" s="206"/>
      <c r="D381" s="206"/>
      <c r="E381" s="206"/>
      <c r="F381" s="206"/>
      <c r="G381" s="206"/>
      <c r="H381" s="206"/>
      <c r="I381" s="206"/>
      <c r="J381" s="206"/>
      <c r="K381" s="206"/>
      <c r="L381" s="206"/>
      <c r="M381" s="207"/>
      <c r="N381" s="207"/>
      <c r="O381" s="208"/>
      <c r="P381" s="208"/>
      <c r="Q381" s="208"/>
      <c r="R381" s="206"/>
      <c r="S381" s="206"/>
      <c r="T381" s="206"/>
      <c r="U381" s="206"/>
      <c r="V381" s="206"/>
      <c r="W381" s="206"/>
      <c r="X381" s="207"/>
      <c r="Y381" s="207"/>
      <c r="Z381" s="207"/>
      <c r="AA381" s="206"/>
      <c r="AB381" s="206"/>
      <c r="AC381" s="206"/>
      <c r="AD381" s="206"/>
      <c r="AE381" s="206"/>
      <c r="AF381" s="206"/>
      <c r="AG381" s="206"/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7"/>
      <c r="AR381" s="206"/>
      <c r="AS381" s="206"/>
      <c r="AT381" s="206"/>
      <c r="AU381" s="206"/>
      <c r="AV381" s="206"/>
      <c r="AW381" s="207"/>
      <c r="AX381" s="207"/>
      <c r="AY381" s="207"/>
      <c r="AZ381" s="207"/>
    </row>
    <row r="382" spans="1:52" ht="12.75" x14ac:dyDescent="0.2">
      <c r="A382" s="206"/>
      <c r="B382" s="206"/>
      <c r="C382" s="206"/>
      <c r="D382" s="206"/>
      <c r="E382" s="206"/>
      <c r="F382" s="206"/>
      <c r="G382" s="206"/>
      <c r="H382" s="206"/>
      <c r="I382" s="206"/>
      <c r="J382" s="206"/>
      <c r="K382" s="206"/>
      <c r="L382" s="206"/>
      <c r="M382" s="207"/>
      <c r="N382" s="207"/>
      <c r="O382" s="208"/>
      <c r="P382" s="208"/>
      <c r="Q382" s="208"/>
      <c r="R382" s="206"/>
      <c r="S382" s="206"/>
      <c r="T382" s="206"/>
      <c r="U382" s="206"/>
      <c r="V382" s="206"/>
      <c r="W382" s="206"/>
      <c r="X382" s="207"/>
      <c r="Y382" s="207"/>
      <c r="Z382" s="207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7"/>
      <c r="AR382" s="206"/>
      <c r="AS382" s="206"/>
      <c r="AT382" s="206"/>
      <c r="AU382" s="206"/>
      <c r="AV382" s="206"/>
      <c r="AW382" s="207"/>
      <c r="AX382" s="207"/>
      <c r="AY382" s="207"/>
      <c r="AZ382" s="207"/>
    </row>
    <row r="383" spans="1:52" ht="12.75" x14ac:dyDescent="0.2">
      <c r="A383" s="206"/>
      <c r="B383" s="206"/>
      <c r="C383" s="206"/>
      <c r="D383" s="206"/>
      <c r="E383" s="206"/>
      <c r="F383" s="206"/>
      <c r="G383" s="206"/>
      <c r="H383" s="206"/>
      <c r="I383" s="206"/>
      <c r="J383" s="206"/>
      <c r="K383" s="206"/>
      <c r="L383" s="206"/>
      <c r="M383" s="207"/>
      <c r="N383" s="207"/>
      <c r="O383" s="208"/>
      <c r="P383" s="208"/>
      <c r="Q383" s="208"/>
      <c r="R383" s="206"/>
      <c r="S383" s="206"/>
      <c r="T383" s="206"/>
      <c r="U383" s="206"/>
      <c r="V383" s="206"/>
      <c r="W383" s="206"/>
      <c r="X383" s="207"/>
      <c r="Y383" s="207"/>
      <c r="Z383" s="207"/>
      <c r="AA383" s="206"/>
      <c r="AB383" s="206"/>
      <c r="AC383" s="206"/>
      <c r="AD383" s="206"/>
      <c r="AE383" s="206"/>
      <c r="AF383" s="206"/>
      <c r="AG383" s="206"/>
      <c r="AH383" s="206"/>
      <c r="AI383" s="206"/>
      <c r="AJ383" s="206"/>
      <c r="AK383" s="206"/>
      <c r="AL383" s="206"/>
      <c r="AM383" s="206"/>
      <c r="AN383" s="206"/>
      <c r="AO383" s="206"/>
      <c r="AP383" s="206"/>
      <c r="AQ383" s="207"/>
      <c r="AR383" s="206"/>
      <c r="AS383" s="206"/>
      <c r="AT383" s="206"/>
      <c r="AU383" s="206"/>
      <c r="AV383" s="206"/>
      <c r="AW383" s="207"/>
      <c r="AX383" s="207"/>
      <c r="AY383" s="207"/>
      <c r="AZ383" s="207"/>
    </row>
    <row r="384" spans="1:52" ht="12.75" x14ac:dyDescent="0.2">
      <c r="A384" s="206"/>
      <c r="B384" s="206"/>
      <c r="C384" s="206"/>
      <c r="D384" s="206"/>
      <c r="E384" s="206"/>
      <c r="F384" s="206"/>
      <c r="G384" s="206"/>
      <c r="H384" s="206"/>
      <c r="I384" s="206"/>
      <c r="J384" s="206"/>
      <c r="K384" s="206"/>
      <c r="L384" s="206"/>
      <c r="M384" s="207"/>
      <c r="N384" s="207"/>
      <c r="O384" s="208"/>
      <c r="P384" s="208"/>
      <c r="Q384" s="208"/>
      <c r="R384" s="206"/>
      <c r="S384" s="206"/>
      <c r="T384" s="206"/>
      <c r="U384" s="206"/>
      <c r="V384" s="206"/>
      <c r="W384" s="206"/>
      <c r="X384" s="207"/>
      <c r="Y384" s="207"/>
      <c r="Z384" s="207"/>
      <c r="AA384" s="206"/>
      <c r="AB384" s="206"/>
      <c r="AC384" s="206"/>
      <c r="AD384" s="206"/>
      <c r="AE384" s="206"/>
      <c r="AF384" s="206"/>
      <c r="AG384" s="206"/>
      <c r="AH384" s="206"/>
      <c r="AI384" s="206"/>
      <c r="AJ384" s="206"/>
      <c r="AK384" s="206"/>
      <c r="AL384" s="206"/>
      <c r="AM384" s="206"/>
      <c r="AN384" s="206"/>
      <c r="AO384" s="206"/>
      <c r="AP384" s="206"/>
      <c r="AQ384" s="207"/>
      <c r="AR384" s="206"/>
      <c r="AS384" s="206"/>
      <c r="AT384" s="206"/>
      <c r="AU384" s="206"/>
      <c r="AV384" s="206"/>
      <c r="AW384" s="207"/>
      <c r="AX384" s="207"/>
      <c r="AY384" s="207"/>
      <c r="AZ384" s="207"/>
    </row>
    <row r="385" spans="1:52" ht="12.75" x14ac:dyDescent="0.2">
      <c r="A385" s="206"/>
      <c r="B385" s="206"/>
      <c r="C385" s="206"/>
      <c r="D385" s="206"/>
      <c r="E385" s="206"/>
      <c r="F385" s="206"/>
      <c r="G385" s="206"/>
      <c r="H385" s="206"/>
      <c r="I385" s="206"/>
      <c r="J385" s="206"/>
      <c r="K385" s="206"/>
      <c r="L385" s="206"/>
      <c r="M385" s="207"/>
      <c r="N385" s="207"/>
      <c r="O385" s="208"/>
      <c r="P385" s="208"/>
      <c r="Q385" s="208"/>
      <c r="R385" s="206"/>
      <c r="S385" s="206"/>
      <c r="T385" s="206"/>
      <c r="U385" s="206"/>
      <c r="V385" s="206"/>
      <c r="W385" s="206"/>
      <c r="X385" s="207"/>
      <c r="Y385" s="207"/>
      <c r="Z385" s="207"/>
      <c r="AA385" s="206"/>
      <c r="AB385" s="206"/>
      <c r="AC385" s="206"/>
      <c r="AD385" s="206"/>
      <c r="AE385" s="206"/>
      <c r="AF385" s="206"/>
      <c r="AG385" s="206"/>
      <c r="AH385" s="206"/>
      <c r="AI385" s="206"/>
      <c r="AJ385" s="206"/>
      <c r="AK385" s="206"/>
      <c r="AL385" s="206"/>
      <c r="AM385" s="206"/>
      <c r="AN385" s="206"/>
      <c r="AO385" s="206"/>
      <c r="AP385" s="206"/>
      <c r="AQ385" s="207"/>
      <c r="AR385" s="206"/>
      <c r="AS385" s="206"/>
      <c r="AT385" s="206"/>
      <c r="AU385" s="206"/>
      <c r="AV385" s="206"/>
      <c r="AW385" s="207"/>
      <c r="AX385" s="207"/>
      <c r="AY385" s="207"/>
      <c r="AZ385" s="207"/>
    </row>
    <row r="386" spans="1:52" ht="12.75" x14ac:dyDescent="0.2">
      <c r="A386" s="206"/>
      <c r="B386" s="206"/>
      <c r="C386" s="206"/>
      <c r="D386" s="206"/>
      <c r="E386" s="206"/>
      <c r="F386" s="206"/>
      <c r="G386" s="206"/>
      <c r="H386" s="206"/>
      <c r="I386" s="206"/>
      <c r="J386" s="206"/>
      <c r="K386" s="206"/>
      <c r="L386" s="206"/>
      <c r="M386" s="207"/>
      <c r="N386" s="207"/>
      <c r="O386" s="208"/>
      <c r="P386" s="208"/>
      <c r="Q386" s="208"/>
      <c r="R386" s="206"/>
      <c r="S386" s="206"/>
      <c r="T386" s="206"/>
      <c r="U386" s="206"/>
      <c r="V386" s="206"/>
      <c r="W386" s="206"/>
      <c r="X386" s="207"/>
      <c r="Y386" s="207"/>
      <c r="Z386" s="207"/>
      <c r="AA386" s="206"/>
      <c r="AB386" s="206"/>
      <c r="AC386" s="206"/>
      <c r="AD386" s="206"/>
      <c r="AE386" s="206"/>
      <c r="AF386" s="206"/>
      <c r="AG386" s="206"/>
      <c r="AH386" s="206"/>
      <c r="AI386" s="206"/>
      <c r="AJ386" s="206"/>
      <c r="AK386" s="206"/>
      <c r="AL386" s="206"/>
      <c r="AM386" s="206"/>
      <c r="AN386" s="206"/>
      <c r="AO386" s="206"/>
      <c r="AP386" s="206"/>
      <c r="AQ386" s="207"/>
      <c r="AR386" s="206"/>
      <c r="AS386" s="206"/>
      <c r="AT386" s="206"/>
      <c r="AU386" s="206"/>
      <c r="AV386" s="206"/>
      <c r="AW386" s="207"/>
      <c r="AX386" s="207"/>
      <c r="AY386" s="207"/>
      <c r="AZ386" s="207"/>
    </row>
    <row r="387" spans="1:52" ht="12.75" x14ac:dyDescent="0.2">
      <c r="A387" s="206"/>
      <c r="B387" s="206"/>
      <c r="C387" s="206"/>
      <c r="D387" s="206"/>
      <c r="E387" s="206"/>
      <c r="F387" s="206"/>
      <c r="G387" s="206"/>
      <c r="H387" s="206"/>
      <c r="I387" s="206"/>
      <c r="J387" s="206"/>
      <c r="K387" s="206"/>
      <c r="L387" s="206"/>
      <c r="M387" s="207"/>
      <c r="N387" s="207"/>
      <c r="O387" s="208"/>
      <c r="P387" s="208"/>
      <c r="Q387" s="208"/>
      <c r="R387" s="206"/>
      <c r="S387" s="206"/>
      <c r="T387" s="206"/>
      <c r="U387" s="206"/>
      <c r="V387" s="206"/>
      <c r="W387" s="206"/>
      <c r="X387" s="207"/>
      <c r="Y387" s="207"/>
      <c r="Z387" s="207"/>
      <c r="AA387" s="206"/>
      <c r="AB387" s="206"/>
      <c r="AC387" s="206"/>
      <c r="AD387" s="206"/>
      <c r="AE387" s="206"/>
      <c r="AF387" s="206"/>
      <c r="AG387" s="206"/>
      <c r="AH387" s="206"/>
      <c r="AI387" s="206"/>
      <c r="AJ387" s="206"/>
      <c r="AK387" s="206"/>
      <c r="AL387" s="206"/>
      <c r="AM387" s="206"/>
      <c r="AN387" s="206"/>
      <c r="AO387" s="206"/>
      <c r="AP387" s="206"/>
      <c r="AQ387" s="207"/>
      <c r="AR387" s="206"/>
      <c r="AS387" s="206"/>
      <c r="AT387" s="206"/>
      <c r="AU387" s="206"/>
      <c r="AV387" s="206"/>
      <c r="AW387" s="207"/>
      <c r="AX387" s="207"/>
      <c r="AY387" s="207"/>
      <c r="AZ387" s="207"/>
    </row>
    <row r="388" spans="1:52" ht="12.75" x14ac:dyDescent="0.2">
      <c r="A388" s="206"/>
      <c r="B388" s="206"/>
      <c r="C388" s="206"/>
      <c r="D388" s="206"/>
      <c r="E388" s="206"/>
      <c r="F388" s="206"/>
      <c r="G388" s="206"/>
      <c r="H388" s="206"/>
      <c r="I388" s="206"/>
      <c r="J388" s="206"/>
      <c r="K388" s="206"/>
      <c r="L388" s="206"/>
      <c r="M388" s="207"/>
      <c r="N388" s="207"/>
      <c r="O388" s="208"/>
      <c r="P388" s="208"/>
      <c r="Q388" s="208"/>
      <c r="R388" s="206"/>
      <c r="S388" s="206"/>
      <c r="T388" s="206"/>
      <c r="U388" s="206"/>
      <c r="V388" s="206"/>
      <c r="W388" s="206"/>
      <c r="X388" s="207"/>
      <c r="Y388" s="207"/>
      <c r="Z388" s="207"/>
      <c r="AA388" s="206"/>
      <c r="AB388" s="206"/>
      <c r="AC388" s="206"/>
      <c r="AD388" s="206"/>
      <c r="AE388" s="206"/>
      <c r="AF388" s="206"/>
      <c r="AG388" s="206"/>
      <c r="AH388" s="206"/>
      <c r="AI388" s="206"/>
      <c r="AJ388" s="206"/>
      <c r="AK388" s="206"/>
      <c r="AL388" s="206"/>
      <c r="AM388" s="206"/>
      <c r="AN388" s="206"/>
      <c r="AO388" s="206"/>
      <c r="AP388" s="206"/>
      <c r="AQ388" s="207"/>
      <c r="AR388" s="206"/>
      <c r="AS388" s="206"/>
      <c r="AT388" s="206"/>
      <c r="AU388" s="206"/>
      <c r="AV388" s="206"/>
      <c r="AW388" s="207"/>
      <c r="AX388" s="207"/>
      <c r="AY388" s="207"/>
      <c r="AZ388" s="207"/>
    </row>
    <row r="389" spans="1:52" ht="12.75" x14ac:dyDescent="0.2">
      <c r="A389" s="206"/>
      <c r="B389" s="206"/>
      <c r="C389" s="206"/>
      <c r="D389" s="206"/>
      <c r="E389" s="206"/>
      <c r="F389" s="206"/>
      <c r="G389" s="206"/>
      <c r="H389" s="206"/>
      <c r="I389" s="206"/>
      <c r="J389" s="206"/>
      <c r="K389" s="206"/>
      <c r="L389" s="206"/>
      <c r="M389" s="207"/>
      <c r="N389" s="207"/>
      <c r="O389" s="208"/>
      <c r="P389" s="208"/>
      <c r="Q389" s="208"/>
      <c r="R389" s="206"/>
      <c r="S389" s="206"/>
      <c r="T389" s="206"/>
      <c r="U389" s="206"/>
      <c r="V389" s="206"/>
      <c r="W389" s="206"/>
      <c r="X389" s="207"/>
      <c r="Y389" s="207"/>
      <c r="Z389" s="207"/>
      <c r="AA389" s="206"/>
      <c r="AB389" s="206"/>
      <c r="AC389" s="206"/>
      <c r="AD389" s="206"/>
      <c r="AE389" s="206"/>
      <c r="AF389" s="206"/>
      <c r="AG389" s="206"/>
      <c r="AH389" s="206"/>
      <c r="AI389" s="206"/>
      <c r="AJ389" s="206"/>
      <c r="AK389" s="206"/>
      <c r="AL389" s="206"/>
      <c r="AM389" s="206"/>
      <c r="AN389" s="206"/>
      <c r="AO389" s="206"/>
      <c r="AP389" s="206"/>
      <c r="AQ389" s="207"/>
      <c r="AR389" s="206"/>
      <c r="AS389" s="206"/>
      <c r="AT389" s="206"/>
      <c r="AU389" s="206"/>
      <c r="AV389" s="206"/>
      <c r="AW389" s="207"/>
      <c r="AX389" s="207"/>
      <c r="AY389" s="207"/>
      <c r="AZ389" s="207"/>
    </row>
    <row r="390" spans="1:52" ht="12.75" x14ac:dyDescent="0.2">
      <c r="A390" s="206"/>
      <c r="B390" s="206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07"/>
      <c r="N390" s="207"/>
      <c r="O390" s="208"/>
      <c r="P390" s="208"/>
      <c r="Q390" s="208"/>
      <c r="R390" s="206"/>
      <c r="S390" s="206"/>
      <c r="T390" s="206"/>
      <c r="U390" s="206"/>
      <c r="V390" s="206"/>
      <c r="W390" s="206"/>
      <c r="X390" s="207"/>
      <c r="Y390" s="207"/>
      <c r="Z390" s="207"/>
      <c r="AA390" s="206"/>
      <c r="AB390" s="206"/>
      <c r="AC390" s="206"/>
      <c r="AD390" s="206"/>
      <c r="AE390" s="206"/>
      <c r="AF390" s="206"/>
      <c r="AG390" s="206"/>
      <c r="AH390" s="206"/>
      <c r="AI390" s="206"/>
      <c r="AJ390" s="206"/>
      <c r="AK390" s="206"/>
      <c r="AL390" s="206"/>
      <c r="AM390" s="206"/>
      <c r="AN390" s="206"/>
      <c r="AO390" s="206"/>
      <c r="AP390" s="206"/>
      <c r="AQ390" s="207"/>
      <c r="AR390" s="206"/>
      <c r="AS390" s="206"/>
      <c r="AT390" s="206"/>
      <c r="AU390" s="206"/>
      <c r="AV390" s="206"/>
      <c r="AW390" s="207"/>
      <c r="AX390" s="207"/>
      <c r="AY390" s="207"/>
      <c r="AZ390" s="207"/>
    </row>
    <row r="391" spans="1:52" ht="12.75" x14ac:dyDescent="0.2">
      <c r="A391" s="206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7"/>
      <c r="N391" s="207"/>
      <c r="O391" s="208"/>
      <c r="P391" s="208"/>
      <c r="Q391" s="208"/>
      <c r="R391" s="206"/>
      <c r="S391" s="206"/>
      <c r="T391" s="206"/>
      <c r="U391" s="206"/>
      <c r="V391" s="206"/>
      <c r="W391" s="206"/>
      <c r="X391" s="207"/>
      <c r="Y391" s="207"/>
      <c r="Z391" s="207"/>
      <c r="AA391" s="206"/>
      <c r="AB391" s="206"/>
      <c r="AC391" s="206"/>
      <c r="AD391" s="206"/>
      <c r="AE391" s="206"/>
      <c r="AF391" s="206"/>
      <c r="AG391" s="206"/>
      <c r="AH391" s="206"/>
      <c r="AI391" s="206"/>
      <c r="AJ391" s="206"/>
      <c r="AK391" s="206"/>
      <c r="AL391" s="206"/>
      <c r="AM391" s="206"/>
      <c r="AN391" s="206"/>
      <c r="AO391" s="206"/>
      <c r="AP391" s="206"/>
      <c r="AQ391" s="207"/>
      <c r="AR391" s="206"/>
      <c r="AS391" s="206"/>
      <c r="AT391" s="206"/>
      <c r="AU391" s="206"/>
      <c r="AV391" s="206"/>
      <c r="AW391" s="207"/>
      <c r="AX391" s="207"/>
      <c r="AY391" s="207"/>
      <c r="AZ391" s="207"/>
    </row>
    <row r="392" spans="1:52" ht="12.75" x14ac:dyDescent="0.2">
      <c r="A392" s="206"/>
      <c r="B392" s="206"/>
      <c r="C392" s="206"/>
      <c r="D392" s="206"/>
      <c r="E392" s="206"/>
      <c r="F392" s="206"/>
      <c r="G392" s="206"/>
      <c r="H392" s="206"/>
      <c r="I392" s="206"/>
      <c r="J392" s="206"/>
      <c r="K392" s="206"/>
      <c r="L392" s="206"/>
      <c r="M392" s="207"/>
      <c r="N392" s="207"/>
      <c r="O392" s="208"/>
      <c r="P392" s="208"/>
      <c r="Q392" s="208"/>
      <c r="R392" s="206"/>
      <c r="S392" s="206"/>
      <c r="T392" s="206"/>
      <c r="U392" s="206"/>
      <c r="V392" s="206"/>
      <c r="W392" s="206"/>
      <c r="X392" s="207"/>
      <c r="Y392" s="207"/>
      <c r="Z392" s="207"/>
      <c r="AA392" s="206"/>
      <c r="AB392" s="206"/>
      <c r="AC392" s="206"/>
      <c r="AD392" s="206"/>
      <c r="AE392" s="206"/>
      <c r="AF392" s="206"/>
      <c r="AG392" s="206"/>
      <c r="AH392" s="206"/>
      <c r="AI392" s="206"/>
      <c r="AJ392" s="206"/>
      <c r="AK392" s="206"/>
      <c r="AL392" s="206"/>
      <c r="AM392" s="206"/>
      <c r="AN392" s="206"/>
      <c r="AO392" s="206"/>
      <c r="AP392" s="206"/>
      <c r="AQ392" s="207"/>
      <c r="AR392" s="206"/>
      <c r="AS392" s="206"/>
      <c r="AT392" s="206"/>
      <c r="AU392" s="206"/>
      <c r="AV392" s="206"/>
      <c r="AW392" s="207"/>
      <c r="AX392" s="207"/>
      <c r="AY392" s="207"/>
      <c r="AZ392" s="207"/>
    </row>
    <row r="393" spans="1:52" ht="12.75" x14ac:dyDescent="0.2">
      <c r="A393" s="206"/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6"/>
      <c r="M393" s="207"/>
      <c r="N393" s="207"/>
      <c r="O393" s="208"/>
      <c r="P393" s="208"/>
      <c r="Q393" s="208"/>
      <c r="R393" s="206"/>
      <c r="S393" s="206"/>
      <c r="T393" s="206"/>
      <c r="U393" s="206"/>
      <c r="V393" s="206"/>
      <c r="W393" s="206"/>
      <c r="X393" s="207"/>
      <c r="Y393" s="207"/>
      <c r="Z393" s="207"/>
      <c r="AA393" s="206"/>
      <c r="AB393" s="206"/>
      <c r="AC393" s="206"/>
      <c r="AD393" s="206"/>
      <c r="AE393" s="206"/>
      <c r="AF393" s="206"/>
      <c r="AG393" s="206"/>
      <c r="AH393" s="206"/>
      <c r="AI393" s="206"/>
      <c r="AJ393" s="206"/>
      <c r="AK393" s="206"/>
      <c r="AL393" s="206"/>
      <c r="AM393" s="206"/>
      <c r="AN393" s="206"/>
      <c r="AO393" s="206"/>
      <c r="AP393" s="206"/>
      <c r="AQ393" s="207"/>
      <c r="AR393" s="206"/>
      <c r="AS393" s="206"/>
      <c r="AT393" s="206"/>
      <c r="AU393" s="206"/>
      <c r="AV393" s="206"/>
      <c r="AW393" s="207"/>
      <c r="AX393" s="207"/>
      <c r="AY393" s="207"/>
      <c r="AZ393" s="207"/>
    </row>
    <row r="394" spans="1:52" ht="12.75" x14ac:dyDescent="0.2">
      <c r="A394" s="206"/>
      <c r="B394" s="206"/>
      <c r="C394" s="206"/>
      <c r="D394" s="206"/>
      <c r="E394" s="206"/>
      <c r="F394" s="206"/>
      <c r="G394" s="206"/>
      <c r="H394" s="206"/>
      <c r="I394" s="206"/>
      <c r="J394" s="206"/>
      <c r="K394" s="206"/>
      <c r="L394" s="206"/>
      <c r="M394" s="207"/>
      <c r="N394" s="207"/>
      <c r="O394" s="208"/>
      <c r="P394" s="208"/>
      <c r="Q394" s="208"/>
      <c r="R394" s="206"/>
      <c r="S394" s="206"/>
      <c r="T394" s="206"/>
      <c r="U394" s="206"/>
      <c r="V394" s="206"/>
      <c r="W394" s="206"/>
      <c r="X394" s="207"/>
      <c r="Y394" s="207"/>
      <c r="Z394" s="207"/>
      <c r="AA394" s="206"/>
      <c r="AB394" s="206"/>
      <c r="AC394" s="206"/>
      <c r="AD394" s="206"/>
      <c r="AE394" s="206"/>
      <c r="AF394" s="206"/>
      <c r="AG394" s="206"/>
      <c r="AH394" s="206"/>
      <c r="AI394" s="206"/>
      <c r="AJ394" s="206"/>
      <c r="AK394" s="206"/>
      <c r="AL394" s="206"/>
      <c r="AM394" s="206"/>
      <c r="AN394" s="206"/>
      <c r="AO394" s="206"/>
      <c r="AP394" s="206"/>
      <c r="AQ394" s="207"/>
      <c r="AR394" s="206"/>
      <c r="AS394" s="206"/>
      <c r="AT394" s="206"/>
      <c r="AU394" s="206"/>
      <c r="AV394" s="206"/>
      <c r="AW394" s="207"/>
      <c r="AX394" s="207"/>
      <c r="AY394" s="207"/>
      <c r="AZ394" s="207"/>
    </row>
    <row r="395" spans="1:52" ht="12.75" x14ac:dyDescent="0.2">
      <c r="A395" s="206"/>
      <c r="B395" s="206"/>
      <c r="C395" s="206"/>
      <c r="D395" s="206"/>
      <c r="E395" s="206"/>
      <c r="F395" s="206"/>
      <c r="G395" s="206"/>
      <c r="H395" s="206"/>
      <c r="I395" s="206"/>
      <c r="J395" s="206"/>
      <c r="K395" s="206"/>
      <c r="L395" s="206"/>
      <c r="M395" s="207"/>
      <c r="N395" s="207"/>
      <c r="O395" s="208"/>
      <c r="P395" s="208"/>
      <c r="Q395" s="208"/>
      <c r="R395" s="206"/>
      <c r="S395" s="206"/>
      <c r="T395" s="206"/>
      <c r="U395" s="206"/>
      <c r="V395" s="206"/>
      <c r="W395" s="206"/>
      <c r="X395" s="207"/>
      <c r="Y395" s="207"/>
      <c r="Z395" s="207"/>
      <c r="AA395" s="206"/>
      <c r="AB395" s="206"/>
      <c r="AC395" s="206"/>
      <c r="AD395" s="206"/>
      <c r="AE395" s="206"/>
      <c r="AF395" s="206"/>
      <c r="AG395" s="206"/>
      <c r="AH395" s="206"/>
      <c r="AI395" s="206"/>
      <c r="AJ395" s="206"/>
      <c r="AK395" s="206"/>
      <c r="AL395" s="206"/>
      <c r="AM395" s="206"/>
      <c r="AN395" s="206"/>
      <c r="AO395" s="206"/>
      <c r="AP395" s="206"/>
      <c r="AQ395" s="207"/>
      <c r="AR395" s="206"/>
      <c r="AS395" s="206"/>
      <c r="AT395" s="206"/>
      <c r="AU395" s="206"/>
      <c r="AV395" s="206"/>
      <c r="AW395" s="207"/>
      <c r="AX395" s="207"/>
      <c r="AY395" s="207"/>
      <c r="AZ395" s="207"/>
    </row>
    <row r="396" spans="1:52" ht="12.75" x14ac:dyDescent="0.2">
      <c r="A396" s="206"/>
      <c r="B396" s="206"/>
      <c r="C396" s="206"/>
      <c r="D396" s="206"/>
      <c r="E396" s="206"/>
      <c r="F396" s="206"/>
      <c r="G396" s="206"/>
      <c r="H396" s="206"/>
      <c r="I396" s="206"/>
      <c r="J396" s="206"/>
      <c r="K396" s="206"/>
      <c r="L396" s="206"/>
      <c r="M396" s="207"/>
      <c r="N396" s="207"/>
      <c r="O396" s="208"/>
      <c r="P396" s="208"/>
      <c r="Q396" s="208"/>
      <c r="R396" s="206"/>
      <c r="S396" s="206"/>
      <c r="T396" s="206"/>
      <c r="U396" s="206"/>
      <c r="V396" s="206"/>
      <c r="W396" s="206"/>
      <c r="X396" s="207"/>
      <c r="Y396" s="207"/>
      <c r="Z396" s="207"/>
      <c r="AA396" s="206"/>
      <c r="AB396" s="206"/>
      <c r="AC396" s="206"/>
      <c r="AD396" s="206"/>
      <c r="AE396" s="206"/>
      <c r="AF396" s="206"/>
      <c r="AG396" s="206"/>
      <c r="AH396" s="206"/>
      <c r="AI396" s="206"/>
      <c r="AJ396" s="206"/>
      <c r="AK396" s="206"/>
      <c r="AL396" s="206"/>
      <c r="AM396" s="206"/>
      <c r="AN396" s="206"/>
      <c r="AO396" s="206"/>
      <c r="AP396" s="206"/>
      <c r="AQ396" s="207"/>
      <c r="AR396" s="206"/>
      <c r="AS396" s="206"/>
      <c r="AT396" s="206"/>
      <c r="AU396" s="206"/>
      <c r="AV396" s="206"/>
      <c r="AW396" s="207"/>
      <c r="AX396" s="207"/>
      <c r="AY396" s="207"/>
      <c r="AZ396" s="207"/>
    </row>
    <row r="397" spans="1:52" ht="12.75" x14ac:dyDescent="0.2">
      <c r="A397" s="206"/>
      <c r="B397" s="206"/>
      <c r="C397" s="206"/>
      <c r="D397" s="206"/>
      <c r="E397" s="206"/>
      <c r="F397" s="206"/>
      <c r="G397" s="206"/>
      <c r="H397" s="206"/>
      <c r="I397" s="206"/>
      <c r="J397" s="206"/>
      <c r="K397" s="206"/>
      <c r="L397" s="206"/>
      <c r="M397" s="207"/>
      <c r="N397" s="207"/>
      <c r="O397" s="208"/>
      <c r="P397" s="208"/>
      <c r="Q397" s="208"/>
      <c r="R397" s="206"/>
      <c r="S397" s="206"/>
      <c r="T397" s="206"/>
      <c r="U397" s="206"/>
      <c r="V397" s="206"/>
      <c r="W397" s="206"/>
      <c r="X397" s="207"/>
      <c r="Y397" s="207"/>
      <c r="Z397" s="207"/>
      <c r="AA397" s="206"/>
      <c r="AB397" s="206"/>
      <c r="AC397" s="206"/>
      <c r="AD397" s="206"/>
      <c r="AE397" s="206"/>
      <c r="AF397" s="206"/>
      <c r="AG397" s="206"/>
      <c r="AH397" s="206"/>
      <c r="AI397" s="206"/>
      <c r="AJ397" s="206"/>
      <c r="AK397" s="206"/>
      <c r="AL397" s="206"/>
      <c r="AM397" s="206"/>
      <c r="AN397" s="206"/>
      <c r="AO397" s="206"/>
      <c r="AP397" s="206"/>
      <c r="AQ397" s="207"/>
      <c r="AR397" s="206"/>
      <c r="AS397" s="206"/>
      <c r="AT397" s="206"/>
      <c r="AU397" s="206"/>
      <c r="AV397" s="206"/>
      <c r="AW397" s="207"/>
      <c r="AX397" s="207"/>
      <c r="AY397" s="207"/>
      <c r="AZ397" s="207"/>
    </row>
    <row r="398" spans="1:52" ht="12.75" x14ac:dyDescent="0.2">
      <c r="A398" s="206"/>
      <c r="B398" s="206"/>
      <c r="C398" s="206"/>
      <c r="D398" s="206"/>
      <c r="E398" s="206"/>
      <c r="F398" s="206"/>
      <c r="G398" s="206"/>
      <c r="H398" s="206"/>
      <c r="I398" s="206"/>
      <c r="J398" s="206"/>
      <c r="K398" s="206"/>
      <c r="L398" s="206"/>
      <c r="M398" s="207"/>
      <c r="N398" s="207"/>
      <c r="O398" s="208"/>
      <c r="P398" s="208"/>
      <c r="Q398" s="208"/>
      <c r="R398" s="206"/>
      <c r="S398" s="206"/>
      <c r="T398" s="206"/>
      <c r="U398" s="206"/>
      <c r="V398" s="206"/>
      <c r="W398" s="206"/>
      <c r="X398" s="207"/>
      <c r="Y398" s="207"/>
      <c r="Z398" s="207"/>
      <c r="AA398" s="206"/>
      <c r="AB398" s="206"/>
      <c r="AC398" s="206"/>
      <c r="AD398" s="206"/>
      <c r="AE398" s="206"/>
      <c r="AF398" s="206"/>
      <c r="AG398" s="206"/>
      <c r="AH398" s="206"/>
      <c r="AI398" s="206"/>
      <c r="AJ398" s="206"/>
      <c r="AK398" s="206"/>
      <c r="AL398" s="206"/>
      <c r="AM398" s="206"/>
      <c r="AN398" s="206"/>
      <c r="AO398" s="206"/>
      <c r="AP398" s="206"/>
      <c r="AQ398" s="207"/>
      <c r="AR398" s="206"/>
      <c r="AS398" s="206"/>
      <c r="AT398" s="206"/>
      <c r="AU398" s="206"/>
      <c r="AV398" s="206"/>
      <c r="AW398" s="207"/>
      <c r="AX398" s="207"/>
      <c r="AY398" s="207"/>
      <c r="AZ398" s="207"/>
    </row>
    <row r="399" spans="1:52" ht="12.75" x14ac:dyDescent="0.2">
      <c r="A399" s="206"/>
      <c r="B399" s="206"/>
      <c r="C399" s="206"/>
      <c r="D399" s="206"/>
      <c r="E399" s="206"/>
      <c r="F399" s="206"/>
      <c r="G399" s="206"/>
      <c r="H399" s="206"/>
      <c r="I399" s="206"/>
      <c r="J399" s="206"/>
      <c r="K399" s="206"/>
      <c r="L399" s="206"/>
      <c r="M399" s="207"/>
      <c r="N399" s="207"/>
      <c r="O399" s="208"/>
      <c r="P399" s="208"/>
      <c r="Q399" s="208"/>
      <c r="R399" s="206"/>
      <c r="S399" s="206"/>
      <c r="T399" s="206"/>
      <c r="U399" s="206"/>
      <c r="V399" s="206"/>
      <c r="W399" s="206"/>
      <c r="X399" s="207"/>
      <c r="Y399" s="207"/>
      <c r="Z399" s="207"/>
      <c r="AA399" s="206"/>
      <c r="AB399" s="206"/>
      <c r="AC399" s="206"/>
      <c r="AD399" s="206"/>
      <c r="AE399" s="206"/>
      <c r="AF399" s="206"/>
      <c r="AG399" s="206"/>
      <c r="AH399" s="206"/>
      <c r="AI399" s="206"/>
      <c r="AJ399" s="206"/>
      <c r="AK399" s="206"/>
      <c r="AL399" s="206"/>
      <c r="AM399" s="206"/>
      <c r="AN399" s="206"/>
      <c r="AO399" s="206"/>
      <c r="AP399" s="206"/>
      <c r="AQ399" s="207"/>
      <c r="AR399" s="206"/>
      <c r="AS399" s="206"/>
      <c r="AT399" s="206"/>
      <c r="AU399" s="206"/>
      <c r="AV399" s="206"/>
      <c r="AW399" s="207"/>
      <c r="AX399" s="207"/>
      <c r="AY399" s="207"/>
      <c r="AZ399" s="207"/>
    </row>
    <row r="400" spans="1:52" ht="12.75" x14ac:dyDescent="0.2">
      <c r="A400" s="206"/>
      <c r="B400" s="206"/>
      <c r="C400" s="206"/>
      <c r="D400" s="206"/>
      <c r="E400" s="206"/>
      <c r="F400" s="206"/>
      <c r="G400" s="206"/>
      <c r="H400" s="206"/>
      <c r="I400" s="206"/>
      <c r="J400" s="206"/>
      <c r="K400" s="206"/>
      <c r="L400" s="206"/>
      <c r="M400" s="207"/>
      <c r="N400" s="207"/>
      <c r="O400" s="208"/>
      <c r="P400" s="208"/>
      <c r="Q400" s="208"/>
      <c r="R400" s="206"/>
      <c r="S400" s="206"/>
      <c r="T400" s="206"/>
      <c r="U400" s="206"/>
      <c r="V400" s="206"/>
      <c r="W400" s="206"/>
      <c r="X400" s="207"/>
      <c r="Y400" s="207"/>
      <c r="Z400" s="207"/>
      <c r="AA400" s="206"/>
      <c r="AB400" s="206"/>
      <c r="AC400" s="206"/>
      <c r="AD400" s="206"/>
      <c r="AE400" s="206"/>
      <c r="AF400" s="206"/>
      <c r="AG400" s="206"/>
      <c r="AH400" s="206"/>
      <c r="AI400" s="206"/>
      <c r="AJ400" s="206"/>
      <c r="AK400" s="206"/>
      <c r="AL400" s="206"/>
      <c r="AM400" s="206"/>
      <c r="AN400" s="206"/>
      <c r="AO400" s="206"/>
      <c r="AP400" s="206"/>
      <c r="AQ400" s="207"/>
      <c r="AR400" s="206"/>
      <c r="AS400" s="206"/>
      <c r="AT400" s="206"/>
      <c r="AU400" s="206"/>
      <c r="AV400" s="206"/>
      <c r="AW400" s="207"/>
      <c r="AX400" s="207"/>
      <c r="AY400" s="207"/>
      <c r="AZ400" s="207"/>
    </row>
    <row r="401" spans="1:52" ht="12.75" x14ac:dyDescent="0.2">
      <c r="A401" s="206"/>
      <c r="B401" s="206"/>
      <c r="C401" s="206"/>
      <c r="D401" s="206"/>
      <c r="E401" s="206"/>
      <c r="F401" s="206"/>
      <c r="G401" s="206"/>
      <c r="H401" s="206"/>
      <c r="I401" s="206"/>
      <c r="J401" s="206"/>
      <c r="K401" s="206"/>
      <c r="L401" s="206"/>
      <c r="M401" s="207"/>
      <c r="N401" s="207"/>
      <c r="O401" s="208"/>
      <c r="P401" s="208"/>
      <c r="Q401" s="208"/>
      <c r="R401" s="206"/>
      <c r="S401" s="206"/>
      <c r="T401" s="206"/>
      <c r="U401" s="206"/>
      <c r="V401" s="206"/>
      <c r="W401" s="206"/>
      <c r="X401" s="207"/>
      <c r="Y401" s="207"/>
      <c r="Z401" s="207"/>
      <c r="AA401" s="206"/>
      <c r="AB401" s="206"/>
      <c r="AC401" s="206"/>
      <c r="AD401" s="206"/>
      <c r="AE401" s="206"/>
      <c r="AF401" s="206"/>
      <c r="AG401" s="206"/>
      <c r="AH401" s="206"/>
      <c r="AI401" s="206"/>
      <c r="AJ401" s="206"/>
      <c r="AK401" s="206"/>
      <c r="AL401" s="206"/>
      <c r="AM401" s="206"/>
      <c r="AN401" s="206"/>
      <c r="AO401" s="206"/>
      <c r="AP401" s="206"/>
      <c r="AQ401" s="207"/>
      <c r="AR401" s="206"/>
      <c r="AS401" s="206"/>
      <c r="AT401" s="206"/>
      <c r="AU401" s="206"/>
      <c r="AV401" s="206"/>
      <c r="AW401" s="207"/>
      <c r="AX401" s="207"/>
      <c r="AY401" s="207"/>
      <c r="AZ401" s="207"/>
    </row>
    <row r="402" spans="1:52" ht="12.75" x14ac:dyDescent="0.2">
      <c r="A402" s="206"/>
      <c r="B402" s="206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7"/>
      <c r="N402" s="207"/>
      <c r="O402" s="208"/>
      <c r="P402" s="208"/>
      <c r="Q402" s="208"/>
      <c r="R402" s="206"/>
      <c r="S402" s="206"/>
      <c r="T402" s="206"/>
      <c r="U402" s="206"/>
      <c r="V402" s="206"/>
      <c r="W402" s="206"/>
      <c r="X402" s="207"/>
      <c r="Y402" s="207"/>
      <c r="Z402" s="207"/>
      <c r="AA402" s="206"/>
      <c r="AB402" s="206"/>
      <c r="AC402" s="206"/>
      <c r="AD402" s="206"/>
      <c r="AE402" s="206"/>
      <c r="AF402" s="206"/>
      <c r="AG402" s="206"/>
      <c r="AH402" s="206"/>
      <c r="AI402" s="206"/>
      <c r="AJ402" s="206"/>
      <c r="AK402" s="206"/>
      <c r="AL402" s="206"/>
      <c r="AM402" s="206"/>
      <c r="AN402" s="206"/>
      <c r="AO402" s="206"/>
      <c r="AP402" s="206"/>
      <c r="AQ402" s="207"/>
      <c r="AR402" s="206"/>
      <c r="AS402" s="206"/>
      <c r="AT402" s="206"/>
      <c r="AU402" s="206"/>
      <c r="AV402" s="206"/>
      <c r="AW402" s="207"/>
      <c r="AX402" s="207"/>
      <c r="AY402" s="207"/>
      <c r="AZ402" s="207"/>
    </row>
    <row r="403" spans="1:52" ht="12.75" x14ac:dyDescent="0.2">
      <c r="A403" s="206"/>
      <c r="B403" s="206"/>
      <c r="C403" s="206"/>
      <c r="D403" s="206"/>
      <c r="E403" s="206"/>
      <c r="F403" s="206"/>
      <c r="G403" s="206"/>
      <c r="H403" s="206"/>
      <c r="I403" s="206"/>
      <c r="J403" s="206"/>
      <c r="K403" s="206"/>
      <c r="L403" s="206"/>
      <c r="M403" s="207"/>
      <c r="N403" s="207"/>
      <c r="O403" s="208"/>
      <c r="P403" s="208"/>
      <c r="Q403" s="208"/>
      <c r="R403" s="206"/>
      <c r="S403" s="206"/>
      <c r="T403" s="206"/>
      <c r="U403" s="206"/>
      <c r="V403" s="206"/>
      <c r="W403" s="206"/>
      <c r="X403" s="207"/>
      <c r="Y403" s="207"/>
      <c r="Z403" s="207"/>
      <c r="AA403" s="206"/>
      <c r="AB403" s="206"/>
      <c r="AC403" s="206"/>
      <c r="AD403" s="206"/>
      <c r="AE403" s="206"/>
      <c r="AF403" s="206"/>
      <c r="AG403" s="206"/>
      <c r="AH403" s="206"/>
      <c r="AI403" s="206"/>
      <c r="AJ403" s="206"/>
      <c r="AK403" s="206"/>
      <c r="AL403" s="206"/>
      <c r="AM403" s="206"/>
      <c r="AN403" s="206"/>
      <c r="AO403" s="206"/>
      <c r="AP403" s="206"/>
      <c r="AQ403" s="207"/>
      <c r="AR403" s="206"/>
      <c r="AS403" s="206"/>
      <c r="AT403" s="206"/>
      <c r="AU403" s="206"/>
      <c r="AV403" s="206"/>
      <c r="AW403" s="207"/>
      <c r="AX403" s="207"/>
      <c r="AY403" s="207"/>
      <c r="AZ403" s="207"/>
    </row>
    <row r="404" spans="1:52" ht="12.75" x14ac:dyDescent="0.2">
      <c r="A404" s="206"/>
      <c r="B404" s="206"/>
      <c r="C404" s="206"/>
      <c r="D404" s="206"/>
      <c r="E404" s="206"/>
      <c r="F404" s="206"/>
      <c r="G404" s="206"/>
      <c r="H404" s="206"/>
      <c r="I404" s="206"/>
      <c r="J404" s="206"/>
      <c r="K404" s="206"/>
      <c r="L404" s="206"/>
      <c r="M404" s="207"/>
      <c r="N404" s="207"/>
      <c r="O404" s="208"/>
      <c r="P404" s="208"/>
      <c r="Q404" s="208"/>
      <c r="R404" s="206"/>
      <c r="S404" s="206"/>
      <c r="T404" s="206"/>
      <c r="U404" s="206"/>
      <c r="V404" s="206"/>
      <c r="W404" s="206"/>
      <c r="X404" s="207"/>
      <c r="Y404" s="207"/>
      <c r="Z404" s="207"/>
      <c r="AA404" s="206"/>
      <c r="AB404" s="206"/>
      <c r="AC404" s="206"/>
      <c r="AD404" s="206"/>
      <c r="AE404" s="206"/>
      <c r="AF404" s="206"/>
      <c r="AG404" s="206"/>
      <c r="AH404" s="206"/>
      <c r="AI404" s="206"/>
      <c r="AJ404" s="206"/>
      <c r="AK404" s="206"/>
      <c r="AL404" s="206"/>
      <c r="AM404" s="206"/>
      <c r="AN404" s="206"/>
      <c r="AO404" s="206"/>
      <c r="AP404" s="206"/>
      <c r="AQ404" s="207"/>
      <c r="AR404" s="206"/>
      <c r="AS404" s="206"/>
      <c r="AT404" s="206"/>
      <c r="AU404" s="206"/>
      <c r="AV404" s="206"/>
      <c r="AW404" s="207"/>
      <c r="AX404" s="207"/>
      <c r="AY404" s="207"/>
      <c r="AZ404" s="207"/>
    </row>
    <row r="405" spans="1:52" ht="12.75" x14ac:dyDescent="0.2">
      <c r="A405" s="206"/>
      <c r="B405" s="206"/>
      <c r="C405" s="206"/>
      <c r="D405" s="206"/>
      <c r="E405" s="206"/>
      <c r="F405" s="206"/>
      <c r="G405" s="206"/>
      <c r="H405" s="206"/>
      <c r="I405" s="206"/>
      <c r="J405" s="206"/>
      <c r="K405" s="206"/>
      <c r="L405" s="206"/>
      <c r="M405" s="207"/>
      <c r="N405" s="207"/>
      <c r="O405" s="208"/>
      <c r="P405" s="208"/>
      <c r="Q405" s="208"/>
      <c r="R405" s="206"/>
      <c r="S405" s="206"/>
      <c r="T405" s="206"/>
      <c r="U405" s="206"/>
      <c r="V405" s="206"/>
      <c r="W405" s="206"/>
      <c r="X405" s="207"/>
      <c r="Y405" s="207"/>
      <c r="Z405" s="207"/>
      <c r="AA405" s="206"/>
      <c r="AB405" s="206"/>
      <c r="AC405" s="206"/>
      <c r="AD405" s="206"/>
      <c r="AE405" s="206"/>
      <c r="AF405" s="206"/>
      <c r="AG405" s="206"/>
      <c r="AH405" s="206"/>
      <c r="AI405" s="206"/>
      <c r="AJ405" s="206"/>
      <c r="AK405" s="206"/>
      <c r="AL405" s="206"/>
      <c r="AM405" s="206"/>
      <c r="AN405" s="206"/>
      <c r="AO405" s="206"/>
      <c r="AP405" s="206"/>
      <c r="AQ405" s="207"/>
      <c r="AR405" s="206"/>
      <c r="AS405" s="206"/>
      <c r="AT405" s="206"/>
      <c r="AU405" s="206"/>
      <c r="AV405" s="206"/>
      <c r="AW405" s="207"/>
      <c r="AX405" s="207"/>
      <c r="AY405" s="207"/>
      <c r="AZ405" s="207"/>
    </row>
    <row r="406" spans="1:52" ht="12.75" x14ac:dyDescent="0.2">
      <c r="A406" s="206"/>
      <c r="B406" s="206"/>
      <c r="C406" s="206"/>
      <c r="D406" s="206"/>
      <c r="E406" s="206"/>
      <c r="F406" s="206"/>
      <c r="G406" s="206"/>
      <c r="H406" s="206"/>
      <c r="I406" s="206"/>
      <c r="J406" s="206"/>
      <c r="K406" s="206"/>
      <c r="L406" s="206"/>
      <c r="M406" s="207"/>
      <c r="N406" s="207"/>
      <c r="O406" s="208"/>
      <c r="P406" s="208"/>
      <c r="Q406" s="208"/>
      <c r="R406" s="206"/>
      <c r="S406" s="206"/>
      <c r="T406" s="206"/>
      <c r="U406" s="206"/>
      <c r="V406" s="206"/>
      <c r="W406" s="206"/>
      <c r="X406" s="207"/>
      <c r="Y406" s="207"/>
      <c r="Z406" s="207"/>
      <c r="AA406" s="206"/>
      <c r="AB406" s="206"/>
      <c r="AC406" s="206"/>
      <c r="AD406" s="206"/>
      <c r="AE406" s="206"/>
      <c r="AF406" s="206"/>
      <c r="AG406" s="206"/>
      <c r="AH406" s="206"/>
      <c r="AI406" s="206"/>
      <c r="AJ406" s="206"/>
      <c r="AK406" s="206"/>
      <c r="AL406" s="206"/>
      <c r="AM406" s="206"/>
      <c r="AN406" s="206"/>
      <c r="AO406" s="206"/>
      <c r="AP406" s="206"/>
      <c r="AQ406" s="207"/>
      <c r="AR406" s="206"/>
      <c r="AS406" s="206"/>
      <c r="AT406" s="206"/>
      <c r="AU406" s="206"/>
      <c r="AV406" s="206"/>
      <c r="AW406" s="207"/>
      <c r="AX406" s="207"/>
      <c r="AY406" s="207"/>
      <c r="AZ406" s="207"/>
    </row>
    <row r="407" spans="1:52" ht="12.75" x14ac:dyDescent="0.2">
      <c r="A407" s="206"/>
      <c r="B407" s="206"/>
      <c r="C407" s="206"/>
      <c r="D407" s="206"/>
      <c r="E407" s="206"/>
      <c r="F407" s="206"/>
      <c r="G407" s="206"/>
      <c r="H407" s="206"/>
      <c r="I407" s="206"/>
      <c r="J407" s="206"/>
      <c r="K407" s="206"/>
      <c r="L407" s="206"/>
      <c r="M407" s="207"/>
      <c r="N407" s="207"/>
      <c r="O407" s="208"/>
      <c r="P407" s="208"/>
      <c r="Q407" s="208"/>
      <c r="R407" s="206"/>
      <c r="S407" s="206"/>
      <c r="T407" s="206"/>
      <c r="U407" s="206"/>
      <c r="V407" s="206"/>
      <c r="W407" s="206"/>
      <c r="X407" s="207"/>
      <c r="Y407" s="207"/>
      <c r="Z407" s="207"/>
      <c r="AA407" s="206"/>
      <c r="AB407" s="206"/>
      <c r="AC407" s="206"/>
      <c r="AD407" s="206"/>
      <c r="AE407" s="206"/>
      <c r="AF407" s="206"/>
      <c r="AG407" s="206"/>
      <c r="AH407" s="206"/>
      <c r="AI407" s="206"/>
      <c r="AJ407" s="206"/>
      <c r="AK407" s="206"/>
      <c r="AL407" s="206"/>
      <c r="AM407" s="206"/>
      <c r="AN407" s="206"/>
      <c r="AO407" s="206"/>
      <c r="AP407" s="206"/>
      <c r="AQ407" s="207"/>
      <c r="AR407" s="206"/>
      <c r="AS407" s="206"/>
      <c r="AT407" s="206"/>
      <c r="AU407" s="206"/>
      <c r="AV407" s="206"/>
      <c r="AW407" s="207"/>
      <c r="AX407" s="207"/>
      <c r="AY407" s="207"/>
      <c r="AZ407" s="207"/>
    </row>
    <row r="408" spans="1:52" ht="12.75" x14ac:dyDescent="0.2">
      <c r="A408" s="206"/>
      <c r="B408" s="206"/>
      <c r="C408" s="206"/>
      <c r="D408" s="206"/>
      <c r="E408" s="206"/>
      <c r="F408" s="206"/>
      <c r="G408" s="206"/>
      <c r="H408" s="206"/>
      <c r="I408" s="206"/>
      <c r="J408" s="206"/>
      <c r="K408" s="206"/>
      <c r="L408" s="206"/>
      <c r="M408" s="207"/>
      <c r="N408" s="207"/>
      <c r="O408" s="208"/>
      <c r="P408" s="208"/>
      <c r="Q408" s="208"/>
      <c r="R408" s="206"/>
      <c r="S408" s="206"/>
      <c r="T408" s="206"/>
      <c r="U408" s="206"/>
      <c r="V408" s="206"/>
      <c r="W408" s="206"/>
      <c r="X408" s="207"/>
      <c r="Y408" s="207"/>
      <c r="Z408" s="207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7"/>
      <c r="AR408" s="206"/>
      <c r="AS408" s="206"/>
      <c r="AT408" s="206"/>
      <c r="AU408" s="206"/>
      <c r="AV408" s="206"/>
      <c r="AW408" s="207"/>
      <c r="AX408" s="207"/>
      <c r="AY408" s="207"/>
      <c r="AZ408" s="207"/>
    </row>
    <row r="409" spans="1:52" ht="12.75" x14ac:dyDescent="0.2">
      <c r="A409" s="206"/>
      <c r="B409" s="206"/>
      <c r="C409" s="206"/>
      <c r="D409" s="206"/>
      <c r="E409" s="206"/>
      <c r="F409" s="206"/>
      <c r="G409" s="206"/>
      <c r="H409" s="206"/>
      <c r="I409" s="206"/>
      <c r="J409" s="206"/>
      <c r="K409" s="206"/>
      <c r="L409" s="206"/>
      <c r="M409" s="207"/>
      <c r="N409" s="207"/>
      <c r="O409" s="208"/>
      <c r="P409" s="208"/>
      <c r="Q409" s="208"/>
      <c r="R409" s="206"/>
      <c r="S409" s="206"/>
      <c r="T409" s="206"/>
      <c r="U409" s="206"/>
      <c r="V409" s="206"/>
      <c r="W409" s="206"/>
      <c r="X409" s="207"/>
      <c r="Y409" s="207"/>
      <c r="Z409" s="207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7"/>
      <c r="AR409" s="206"/>
      <c r="AS409" s="206"/>
      <c r="AT409" s="206"/>
      <c r="AU409" s="206"/>
      <c r="AV409" s="206"/>
      <c r="AW409" s="207"/>
      <c r="AX409" s="207"/>
      <c r="AY409" s="207"/>
      <c r="AZ409" s="207"/>
    </row>
    <row r="410" spans="1:52" ht="12.75" x14ac:dyDescent="0.2">
      <c r="A410" s="206"/>
      <c r="B410" s="206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7"/>
      <c r="N410" s="207"/>
      <c r="O410" s="208"/>
      <c r="P410" s="208"/>
      <c r="Q410" s="208"/>
      <c r="R410" s="206"/>
      <c r="S410" s="206"/>
      <c r="T410" s="206"/>
      <c r="U410" s="206"/>
      <c r="V410" s="206"/>
      <c r="W410" s="206"/>
      <c r="X410" s="207"/>
      <c r="Y410" s="207"/>
      <c r="Z410" s="207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7"/>
      <c r="AR410" s="206"/>
      <c r="AS410" s="206"/>
      <c r="AT410" s="206"/>
      <c r="AU410" s="206"/>
      <c r="AV410" s="206"/>
      <c r="AW410" s="207"/>
      <c r="AX410" s="207"/>
      <c r="AY410" s="207"/>
      <c r="AZ410" s="207"/>
    </row>
    <row r="411" spans="1:52" ht="12.75" x14ac:dyDescent="0.2">
      <c r="A411" s="206"/>
      <c r="B411" s="206"/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7"/>
      <c r="N411" s="207"/>
      <c r="O411" s="208"/>
      <c r="P411" s="208"/>
      <c r="Q411" s="208"/>
      <c r="R411" s="206"/>
      <c r="S411" s="206"/>
      <c r="T411" s="206"/>
      <c r="U411" s="206"/>
      <c r="V411" s="206"/>
      <c r="W411" s="206"/>
      <c r="X411" s="207"/>
      <c r="Y411" s="207"/>
      <c r="Z411" s="207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7"/>
      <c r="AR411" s="206"/>
      <c r="AS411" s="206"/>
      <c r="AT411" s="206"/>
      <c r="AU411" s="206"/>
      <c r="AV411" s="206"/>
      <c r="AW411" s="207"/>
      <c r="AX411" s="207"/>
      <c r="AY411" s="207"/>
      <c r="AZ411" s="207"/>
    </row>
    <row r="412" spans="1:52" ht="12.75" x14ac:dyDescent="0.2">
      <c r="A412" s="206"/>
      <c r="B412" s="206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07"/>
      <c r="N412" s="207"/>
      <c r="O412" s="208"/>
      <c r="P412" s="208"/>
      <c r="Q412" s="208"/>
      <c r="R412" s="206"/>
      <c r="S412" s="206"/>
      <c r="T412" s="206"/>
      <c r="U412" s="206"/>
      <c r="V412" s="206"/>
      <c r="W412" s="206"/>
      <c r="X412" s="207"/>
      <c r="Y412" s="207"/>
      <c r="Z412" s="207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7"/>
      <c r="AR412" s="206"/>
      <c r="AS412" s="206"/>
      <c r="AT412" s="206"/>
      <c r="AU412" s="206"/>
      <c r="AV412" s="206"/>
      <c r="AW412" s="207"/>
      <c r="AX412" s="207"/>
      <c r="AY412" s="207"/>
      <c r="AZ412" s="207"/>
    </row>
    <row r="413" spans="1:52" ht="12.75" x14ac:dyDescent="0.2">
      <c r="A413" s="206"/>
      <c r="B413" s="206"/>
      <c r="C413" s="206"/>
      <c r="D413" s="206"/>
      <c r="E413" s="206"/>
      <c r="F413" s="206"/>
      <c r="G413" s="206"/>
      <c r="H413" s="206"/>
      <c r="I413" s="206"/>
      <c r="J413" s="206"/>
      <c r="K413" s="206"/>
      <c r="L413" s="206"/>
      <c r="M413" s="207"/>
      <c r="N413" s="207"/>
      <c r="O413" s="208"/>
      <c r="P413" s="208"/>
      <c r="Q413" s="208"/>
      <c r="R413" s="206"/>
      <c r="S413" s="206"/>
      <c r="T413" s="206"/>
      <c r="U413" s="206"/>
      <c r="V413" s="206"/>
      <c r="W413" s="206"/>
      <c r="X413" s="207"/>
      <c r="Y413" s="207"/>
      <c r="Z413" s="207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7"/>
      <c r="AR413" s="206"/>
      <c r="AS413" s="206"/>
      <c r="AT413" s="206"/>
      <c r="AU413" s="206"/>
      <c r="AV413" s="206"/>
      <c r="AW413" s="207"/>
      <c r="AX413" s="207"/>
      <c r="AY413" s="207"/>
      <c r="AZ413" s="207"/>
    </row>
    <row r="414" spans="1:52" ht="12.75" x14ac:dyDescent="0.2">
      <c r="A414" s="206"/>
      <c r="B414" s="206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07"/>
      <c r="N414" s="207"/>
      <c r="O414" s="208"/>
      <c r="P414" s="208"/>
      <c r="Q414" s="208"/>
      <c r="R414" s="206"/>
      <c r="S414" s="206"/>
      <c r="T414" s="206"/>
      <c r="U414" s="206"/>
      <c r="V414" s="206"/>
      <c r="W414" s="206"/>
      <c r="X414" s="207"/>
      <c r="Y414" s="207"/>
      <c r="Z414" s="207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7"/>
      <c r="AR414" s="206"/>
      <c r="AS414" s="206"/>
      <c r="AT414" s="206"/>
      <c r="AU414" s="206"/>
      <c r="AV414" s="206"/>
      <c r="AW414" s="207"/>
      <c r="AX414" s="207"/>
      <c r="AY414" s="207"/>
      <c r="AZ414" s="207"/>
    </row>
    <row r="415" spans="1:52" ht="12.75" x14ac:dyDescent="0.2">
      <c r="A415" s="206"/>
      <c r="B415" s="206"/>
      <c r="C415" s="206"/>
      <c r="D415" s="206"/>
      <c r="E415" s="206"/>
      <c r="F415" s="206"/>
      <c r="G415" s="206"/>
      <c r="H415" s="206"/>
      <c r="I415" s="206"/>
      <c r="J415" s="206"/>
      <c r="K415" s="206"/>
      <c r="L415" s="206"/>
      <c r="M415" s="207"/>
      <c r="N415" s="207"/>
      <c r="O415" s="208"/>
      <c r="P415" s="208"/>
      <c r="Q415" s="208"/>
      <c r="R415" s="206"/>
      <c r="S415" s="206"/>
      <c r="T415" s="206"/>
      <c r="U415" s="206"/>
      <c r="V415" s="206"/>
      <c r="W415" s="206"/>
      <c r="X415" s="207"/>
      <c r="Y415" s="207"/>
      <c r="Z415" s="207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7"/>
      <c r="AR415" s="206"/>
      <c r="AS415" s="206"/>
      <c r="AT415" s="206"/>
      <c r="AU415" s="206"/>
      <c r="AV415" s="206"/>
      <c r="AW415" s="207"/>
      <c r="AX415" s="207"/>
      <c r="AY415" s="207"/>
      <c r="AZ415" s="207"/>
    </row>
    <row r="416" spans="1:52" ht="12.75" x14ac:dyDescent="0.2">
      <c r="A416" s="206"/>
      <c r="B416" s="206"/>
      <c r="C416" s="206"/>
      <c r="D416" s="206"/>
      <c r="E416" s="206"/>
      <c r="F416" s="206"/>
      <c r="G416" s="206"/>
      <c r="H416" s="206"/>
      <c r="I416" s="206"/>
      <c r="J416" s="206"/>
      <c r="K416" s="206"/>
      <c r="L416" s="206"/>
      <c r="M416" s="207"/>
      <c r="N416" s="207"/>
      <c r="O416" s="208"/>
      <c r="P416" s="208"/>
      <c r="Q416" s="208"/>
      <c r="R416" s="206"/>
      <c r="S416" s="206"/>
      <c r="T416" s="206"/>
      <c r="U416" s="206"/>
      <c r="V416" s="206"/>
      <c r="W416" s="206"/>
      <c r="X416" s="207"/>
      <c r="Y416" s="207"/>
      <c r="Z416" s="207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7"/>
      <c r="AR416" s="206"/>
      <c r="AS416" s="206"/>
      <c r="AT416" s="206"/>
      <c r="AU416" s="206"/>
      <c r="AV416" s="206"/>
      <c r="AW416" s="207"/>
      <c r="AX416" s="207"/>
      <c r="AY416" s="207"/>
      <c r="AZ416" s="207"/>
    </row>
    <row r="417" spans="1:52" ht="12.75" x14ac:dyDescent="0.2">
      <c r="A417" s="206"/>
      <c r="B417" s="206"/>
      <c r="C417" s="206"/>
      <c r="D417" s="206"/>
      <c r="E417" s="206"/>
      <c r="F417" s="206"/>
      <c r="G417" s="206"/>
      <c r="H417" s="206"/>
      <c r="I417" s="206"/>
      <c r="J417" s="206"/>
      <c r="K417" s="206"/>
      <c r="L417" s="206"/>
      <c r="M417" s="207"/>
      <c r="N417" s="207"/>
      <c r="O417" s="208"/>
      <c r="P417" s="208"/>
      <c r="Q417" s="208"/>
      <c r="R417" s="206"/>
      <c r="S417" s="206"/>
      <c r="T417" s="206"/>
      <c r="U417" s="206"/>
      <c r="V417" s="206"/>
      <c r="W417" s="206"/>
      <c r="X417" s="207"/>
      <c r="Y417" s="207"/>
      <c r="Z417" s="207"/>
      <c r="AA417" s="206"/>
      <c r="AB417" s="206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7"/>
      <c r="AR417" s="206"/>
      <c r="AS417" s="206"/>
      <c r="AT417" s="206"/>
      <c r="AU417" s="206"/>
      <c r="AV417" s="206"/>
      <c r="AW417" s="207"/>
      <c r="AX417" s="207"/>
      <c r="AY417" s="207"/>
      <c r="AZ417" s="207"/>
    </row>
    <row r="418" spans="1:52" ht="12.75" x14ac:dyDescent="0.2">
      <c r="A418" s="206"/>
      <c r="B418" s="206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07"/>
      <c r="N418" s="207"/>
      <c r="O418" s="208"/>
      <c r="P418" s="208"/>
      <c r="Q418" s="208"/>
      <c r="R418" s="206"/>
      <c r="S418" s="206"/>
      <c r="T418" s="206"/>
      <c r="U418" s="206"/>
      <c r="V418" s="206"/>
      <c r="W418" s="206"/>
      <c r="X418" s="207"/>
      <c r="Y418" s="207"/>
      <c r="Z418" s="207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7"/>
      <c r="AR418" s="206"/>
      <c r="AS418" s="206"/>
      <c r="AT418" s="206"/>
      <c r="AU418" s="206"/>
      <c r="AV418" s="206"/>
      <c r="AW418" s="207"/>
      <c r="AX418" s="207"/>
      <c r="AY418" s="207"/>
      <c r="AZ418" s="207"/>
    </row>
    <row r="419" spans="1:52" ht="12.75" x14ac:dyDescent="0.2">
      <c r="A419" s="206"/>
      <c r="B419" s="206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7"/>
      <c r="N419" s="207"/>
      <c r="O419" s="208"/>
      <c r="P419" s="208"/>
      <c r="Q419" s="208"/>
      <c r="R419" s="206"/>
      <c r="S419" s="206"/>
      <c r="T419" s="206"/>
      <c r="U419" s="206"/>
      <c r="V419" s="206"/>
      <c r="W419" s="206"/>
      <c r="X419" s="207"/>
      <c r="Y419" s="207"/>
      <c r="Z419" s="207"/>
      <c r="AA419" s="206"/>
      <c r="AB419" s="206"/>
      <c r="AC419" s="206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7"/>
      <c r="AR419" s="206"/>
      <c r="AS419" s="206"/>
      <c r="AT419" s="206"/>
      <c r="AU419" s="206"/>
      <c r="AV419" s="206"/>
      <c r="AW419" s="207"/>
      <c r="AX419" s="207"/>
      <c r="AY419" s="207"/>
      <c r="AZ419" s="207"/>
    </row>
    <row r="420" spans="1:52" ht="12.75" x14ac:dyDescent="0.2">
      <c r="A420" s="206"/>
      <c r="B420" s="206"/>
      <c r="C420" s="206"/>
      <c r="D420" s="206"/>
      <c r="E420" s="206"/>
      <c r="F420" s="206"/>
      <c r="G420" s="206"/>
      <c r="H420" s="206"/>
      <c r="I420" s="206"/>
      <c r="J420" s="206"/>
      <c r="K420" s="206"/>
      <c r="L420" s="206"/>
      <c r="M420" s="207"/>
      <c r="N420" s="207"/>
      <c r="O420" s="208"/>
      <c r="P420" s="208"/>
      <c r="Q420" s="208"/>
      <c r="R420" s="206"/>
      <c r="S420" s="206"/>
      <c r="T420" s="206"/>
      <c r="U420" s="206"/>
      <c r="V420" s="206"/>
      <c r="W420" s="206"/>
      <c r="X420" s="207"/>
      <c r="Y420" s="207"/>
      <c r="Z420" s="207"/>
      <c r="AA420" s="206"/>
      <c r="AB420" s="206"/>
      <c r="AC420" s="206"/>
      <c r="AD420" s="206"/>
      <c r="AE420" s="206"/>
      <c r="AF420" s="206"/>
      <c r="AG420" s="206"/>
      <c r="AH420" s="206"/>
      <c r="AI420" s="206"/>
      <c r="AJ420" s="206"/>
      <c r="AK420" s="206"/>
      <c r="AL420" s="206"/>
      <c r="AM420" s="206"/>
      <c r="AN420" s="206"/>
      <c r="AO420" s="206"/>
      <c r="AP420" s="206"/>
      <c r="AQ420" s="207"/>
      <c r="AR420" s="206"/>
      <c r="AS420" s="206"/>
      <c r="AT420" s="206"/>
      <c r="AU420" s="206"/>
      <c r="AV420" s="206"/>
      <c r="AW420" s="207"/>
      <c r="AX420" s="207"/>
      <c r="AY420" s="207"/>
      <c r="AZ420" s="207"/>
    </row>
    <row r="421" spans="1:52" ht="12.75" x14ac:dyDescent="0.2">
      <c r="A421" s="206"/>
      <c r="B421" s="206"/>
      <c r="C421" s="206"/>
      <c r="D421" s="206"/>
      <c r="E421" s="206"/>
      <c r="F421" s="206"/>
      <c r="G421" s="206"/>
      <c r="H421" s="206"/>
      <c r="I421" s="206"/>
      <c r="J421" s="206"/>
      <c r="K421" s="206"/>
      <c r="L421" s="206"/>
      <c r="M421" s="207"/>
      <c r="N421" s="207"/>
      <c r="O421" s="208"/>
      <c r="P421" s="208"/>
      <c r="Q421" s="208"/>
      <c r="R421" s="206"/>
      <c r="S421" s="206"/>
      <c r="T421" s="206"/>
      <c r="U421" s="206"/>
      <c r="V421" s="206"/>
      <c r="W421" s="206"/>
      <c r="X421" s="207"/>
      <c r="Y421" s="207"/>
      <c r="Z421" s="207"/>
      <c r="AA421" s="206"/>
      <c r="AB421" s="206"/>
      <c r="AC421" s="206"/>
      <c r="AD421" s="206"/>
      <c r="AE421" s="206"/>
      <c r="AF421" s="206"/>
      <c r="AG421" s="206"/>
      <c r="AH421" s="206"/>
      <c r="AI421" s="206"/>
      <c r="AJ421" s="206"/>
      <c r="AK421" s="206"/>
      <c r="AL421" s="206"/>
      <c r="AM421" s="206"/>
      <c r="AN421" s="206"/>
      <c r="AO421" s="206"/>
      <c r="AP421" s="206"/>
      <c r="AQ421" s="207"/>
      <c r="AR421" s="206"/>
      <c r="AS421" s="206"/>
      <c r="AT421" s="206"/>
      <c r="AU421" s="206"/>
      <c r="AV421" s="206"/>
      <c r="AW421" s="207"/>
      <c r="AX421" s="207"/>
      <c r="AY421" s="207"/>
      <c r="AZ421" s="207"/>
    </row>
    <row r="422" spans="1:52" ht="12.75" x14ac:dyDescent="0.2">
      <c r="A422" s="206"/>
      <c r="B422" s="206"/>
      <c r="C422" s="206"/>
      <c r="D422" s="206"/>
      <c r="E422" s="206"/>
      <c r="F422" s="206"/>
      <c r="G422" s="206"/>
      <c r="H422" s="206"/>
      <c r="I422" s="206"/>
      <c r="J422" s="206"/>
      <c r="K422" s="206"/>
      <c r="L422" s="206"/>
      <c r="M422" s="207"/>
      <c r="N422" s="207"/>
      <c r="O422" s="208"/>
      <c r="P422" s="208"/>
      <c r="Q422" s="208"/>
      <c r="R422" s="206"/>
      <c r="S422" s="206"/>
      <c r="T422" s="206"/>
      <c r="U422" s="206"/>
      <c r="V422" s="206"/>
      <c r="W422" s="206"/>
      <c r="X422" s="207"/>
      <c r="Y422" s="207"/>
      <c r="Z422" s="207"/>
      <c r="AA422" s="206"/>
      <c r="AB422" s="206"/>
      <c r="AC422" s="206"/>
      <c r="AD422" s="206"/>
      <c r="AE422" s="206"/>
      <c r="AF422" s="206"/>
      <c r="AG422" s="206"/>
      <c r="AH422" s="206"/>
      <c r="AI422" s="206"/>
      <c r="AJ422" s="206"/>
      <c r="AK422" s="206"/>
      <c r="AL422" s="206"/>
      <c r="AM422" s="206"/>
      <c r="AN422" s="206"/>
      <c r="AO422" s="206"/>
      <c r="AP422" s="206"/>
      <c r="AQ422" s="207"/>
      <c r="AR422" s="206"/>
      <c r="AS422" s="206"/>
      <c r="AT422" s="206"/>
      <c r="AU422" s="206"/>
      <c r="AV422" s="206"/>
      <c r="AW422" s="207"/>
      <c r="AX422" s="207"/>
      <c r="AY422" s="207"/>
      <c r="AZ422" s="207"/>
    </row>
    <row r="423" spans="1:52" ht="12.75" x14ac:dyDescent="0.2">
      <c r="A423" s="206"/>
      <c r="B423" s="206"/>
      <c r="C423" s="206"/>
      <c r="D423" s="206"/>
      <c r="E423" s="206"/>
      <c r="F423" s="206"/>
      <c r="G423" s="206"/>
      <c r="H423" s="206"/>
      <c r="I423" s="206"/>
      <c r="J423" s="206"/>
      <c r="K423" s="206"/>
      <c r="L423" s="206"/>
      <c r="M423" s="207"/>
      <c r="N423" s="207"/>
      <c r="O423" s="208"/>
      <c r="P423" s="208"/>
      <c r="Q423" s="208"/>
      <c r="R423" s="206"/>
      <c r="S423" s="206"/>
      <c r="T423" s="206"/>
      <c r="U423" s="206"/>
      <c r="V423" s="206"/>
      <c r="W423" s="206"/>
      <c r="X423" s="207"/>
      <c r="Y423" s="207"/>
      <c r="Z423" s="207"/>
      <c r="AA423" s="206"/>
      <c r="AB423" s="206"/>
      <c r="AC423" s="206"/>
      <c r="AD423" s="206"/>
      <c r="AE423" s="206"/>
      <c r="AF423" s="206"/>
      <c r="AG423" s="206"/>
      <c r="AH423" s="206"/>
      <c r="AI423" s="206"/>
      <c r="AJ423" s="206"/>
      <c r="AK423" s="206"/>
      <c r="AL423" s="206"/>
      <c r="AM423" s="206"/>
      <c r="AN423" s="206"/>
      <c r="AO423" s="206"/>
      <c r="AP423" s="206"/>
      <c r="AQ423" s="207"/>
      <c r="AR423" s="206"/>
      <c r="AS423" s="206"/>
      <c r="AT423" s="206"/>
      <c r="AU423" s="206"/>
      <c r="AV423" s="206"/>
      <c r="AW423" s="207"/>
      <c r="AX423" s="207"/>
      <c r="AY423" s="207"/>
      <c r="AZ423" s="207"/>
    </row>
    <row r="424" spans="1:52" ht="12.75" x14ac:dyDescent="0.2">
      <c r="A424" s="206"/>
      <c r="B424" s="206"/>
      <c r="C424" s="206"/>
      <c r="D424" s="206"/>
      <c r="E424" s="206"/>
      <c r="F424" s="206"/>
      <c r="G424" s="206"/>
      <c r="H424" s="206"/>
      <c r="I424" s="206"/>
      <c r="J424" s="206"/>
      <c r="K424" s="206"/>
      <c r="L424" s="206"/>
      <c r="M424" s="207"/>
      <c r="N424" s="207"/>
      <c r="O424" s="208"/>
      <c r="P424" s="208"/>
      <c r="Q424" s="208"/>
      <c r="R424" s="206"/>
      <c r="S424" s="206"/>
      <c r="T424" s="206"/>
      <c r="U424" s="206"/>
      <c r="V424" s="206"/>
      <c r="W424" s="206"/>
      <c r="X424" s="207"/>
      <c r="Y424" s="207"/>
      <c r="Z424" s="207"/>
      <c r="AA424" s="206"/>
      <c r="AB424" s="206"/>
      <c r="AC424" s="206"/>
      <c r="AD424" s="206"/>
      <c r="AE424" s="206"/>
      <c r="AF424" s="206"/>
      <c r="AG424" s="206"/>
      <c r="AH424" s="206"/>
      <c r="AI424" s="206"/>
      <c r="AJ424" s="206"/>
      <c r="AK424" s="206"/>
      <c r="AL424" s="206"/>
      <c r="AM424" s="206"/>
      <c r="AN424" s="206"/>
      <c r="AO424" s="206"/>
      <c r="AP424" s="206"/>
      <c r="AQ424" s="207"/>
      <c r="AR424" s="206"/>
      <c r="AS424" s="206"/>
      <c r="AT424" s="206"/>
      <c r="AU424" s="206"/>
      <c r="AV424" s="206"/>
      <c r="AW424" s="207"/>
      <c r="AX424" s="207"/>
      <c r="AY424" s="207"/>
      <c r="AZ424" s="207"/>
    </row>
    <row r="425" spans="1:52" ht="12.75" x14ac:dyDescent="0.2">
      <c r="A425" s="206"/>
      <c r="B425" s="206"/>
      <c r="C425" s="206"/>
      <c r="D425" s="206"/>
      <c r="E425" s="206"/>
      <c r="F425" s="206"/>
      <c r="G425" s="206"/>
      <c r="H425" s="206"/>
      <c r="I425" s="206"/>
      <c r="J425" s="206"/>
      <c r="K425" s="206"/>
      <c r="L425" s="206"/>
      <c r="M425" s="207"/>
      <c r="N425" s="207"/>
      <c r="O425" s="208"/>
      <c r="P425" s="208"/>
      <c r="Q425" s="208"/>
      <c r="R425" s="206"/>
      <c r="S425" s="206"/>
      <c r="T425" s="206"/>
      <c r="U425" s="206"/>
      <c r="V425" s="206"/>
      <c r="W425" s="206"/>
      <c r="X425" s="207"/>
      <c r="Y425" s="207"/>
      <c r="Z425" s="207"/>
      <c r="AA425" s="206"/>
      <c r="AB425" s="206"/>
      <c r="AC425" s="206"/>
      <c r="AD425" s="206"/>
      <c r="AE425" s="206"/>
      <c r="AF425" s="206"/>
      <c r="AG425" s="206"/>
      <c r="AH425" s="206"/>
      <c r="AI425" s="206"/>
      <c r="AJ425" s="206"/>
      <c r="AK425" s="206"/>
      <c r="AL425" s="206"/>
      <c r="AM425" s="206"/>
      <c r="AN425" s="206"/>
      <c r="AO425" s="206"/>
      <c r="AP425" s="206"/>
      <c r="AQ425" s="207"/>
      <c r="AR425" s="206"/>
      <c r="AS425" s="206"/>
      <c r="AT425" s="206"/>
      <c r="AU425" s="206"/>
      <c r="AV425" s="206"/>
      <c r="AW425" s="207"/>
      <c r="AX425" s="207"/>
      <c r="AY425" s="207"/>
      <c r="AZ425" s="207"/>
    </row>
    <row r="426" spans="1:52" ht="12.75" x14ac:dyDescent="0.2">
      <c r="A426" s="206"/>
      <c r="B426" s="206"/>
      <c r="C426" s="206"/>
      <c r="D426" s="206"/>
      <c r="E426" s="206"/>
      <c r="F426" s="206"/>
      <c r="G426" s="206"/>
      <c r="H426" s="206"/>
      <c r="I426" s="206"/>
      <c r="J426" s="206"/>
      <c r="K426" s="206"/>
      <c r="L426" s="206"/>
      <c r="M426" s="207"/>
      <c r="N426" s="207"/>
      <c r="O426" s="208"/>
      <c r="P426" s="208"/>
      <c r="Q426" s="208"/>
      <c r="R426" s="206"/>
      <c r="S426" s="206"/>
      <c r="T426" s="206"/>
      <c r="U426" s="206"/>
      <c r="V426" s="206"/>
      <c r="W426" s="206"/>
      <c r="X426" s="207"/>
      <c r="Y426" s="207"/>
      <c r="Z426" s="207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7"/>
      <c r="AR426" s="206"/>
      <c r="AS426" s="206"/>
      <c r="AT426" s="206"/>
      <c r="AU426" s="206"/>
      <c r="AV426" s="206"/>
      <c r="AW426" s="207"/>
      <c r="AX426" s="207"/>
      <c r="AY426" s="207"/>
      <c r="AZ426" s="207"/>
    </row>
    <row r="427" spans="1:52" ht="12.75" x14ac:dyDescent="0.2">
      <c r="A427" s="206"/>
      <c r="B427" s="206"/>
      <c r="C427" s="206"/>
      <c r="D427" s="206"/>
      <c r="E427" s="206"/>
      <c r="F427" s="206"/>
      <c r="G427" s="206"/>
      <c r="H427" s="206"/>
      <c r="I427" s="206"/>
      <c r="J427" s="206"/>
      <c r="K427" s="206"/>
      <c r="L427" s="206"/>
      <c r="M427" s="207"/>
      <c r="N427" s="207"/>
      <c r="O427" s="208"/>
      <c r="P427" s="208"/>
      <c r="Q427" s="208"/>
      <c r="R427" s="206"/>
      <c r="S427" s="206"/>
      <c r="T427" s="206"/>
      <c r="U427" s="206"/>
      <c r="V427" s="206"/>
      <c r="W427" s="206"/>
      <c r="X427" s="207"/>
      <c r="Y427" s="207"/>
      <c r="Z427" s="207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7"/>
      <c r="AR427" s="206"/>
      <c r="AS427" s="206"/>
      <c r="AT427" s="206"/>
      <c r="AU427" s="206"/>
      <c r="AV427" s="206"/>
      <c r="AW427" s="207"/>
      <c r="AX427" s="207"/>
      <c r="AY427" s="207"/>
      <c r="AZ427" s="207"/>
    </row>
    <row r="428" spans="1:52" ht="12.75" x14ac:dyDescent="0.2">
      <c r="A428" s="206"/>
      <c r="B428" s="206"/>
      <c r="C428" s="206"/>
      <c r="D428" s="206"/>
      <c r="E428" s="206"/>
      <c r="F428" s="206"/>
      <c r="G428" s="206"/>
      <c r="H428" s="206"/>
      <c r="I428" s="206"/>
      <c r="J428" s="206"/>
      <c r="K428" s="206"/>
      <c r="L428" s="206"/>
      <c r="M428" s="207"/>
      <c r="N428" s="207"/>
      <c r="O428" s="208"/>
      <c r="P428" s="208"/>
      <c r="Q428" s="208"/>
      <c r="R428" s="206"/>
      <c r="S428" s="206"/>
      <c r="T428" s="206"/>
      <c r="U428" s="206"/>
      <c r="V428" s="206"/>
      <c r="W428" s="206"/>
      <c r="X428" s="207"/>
      <c r="Y428" s="207"/>
      <c r="Z428" s="207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7"/>
      <c r="AR428" s="206"/>
      <c r="AS428" s="206"/>
      <c r="AT428" s="206"/>
      <c r="AU428" s="206"/>
      <c r="AV428" s="206"/>
      <c r="AW428" s="207"/>
      <c r="AX428" s="207"/>
      <c r="AY428" s="207"/>
      <c r="AZ428" s="207"/>
    </row>
    <row r="429" spans="1:52" ht="12.75" x14ac:dyDescent="0.2">
      <c r="A429" s="206"/>
      <c r="B429" s="206"/>
      <c r="C429" s="206"/>
      <c r="D429" s="206"/>
      <c r="E429" s="206"/>
      <c r="F429" s="206"/>
      <c r="G429" s="206"/>
      <c r="H429" s="206"/>
      <c r="I429" s="206"/>
      <c r="J429" s="206"/>
      <c r="K429" s="206"/>
      <c r="L429" s="206"/>
      <c r="M429" s="207"/>
      <c r="N429" s="207"/>
      <c r="O429" s="208"/>
      <c r="P429" s="208"/>
      <c r="Q429" s="208"/>
      <c r="R429" s="206"/>
      <c r="S429" s="206"/>
      <c r="T429" s="206"/>
      <c r="U429" s="206"/>
      <c r="V429" s="206"/>
      <c r="W429" s="206"/>
      <c r="X429" s="207"/>
      <c r="Y429" s="207"/>
      <c r="Z429" s="207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7"/>
      <c r="AR429" s="206"/>
      <c r="AS429" s="206"/>
      <c r="AT429" s="206"/>
      <c r="AU429" s="206"/>
      <c r="AV429" s="206"/>
      <c r="AW429" s="207"/>
      <c r="AX429" s="207"/>
      <c r="AY429" s="207"/>
      <c r="AZ429" s="207"/>
    </row>
    <row r="430" spans="1:52" ht="12.75" x14ac:dyDescent="0.2">
      <c r="A430" s="206"/>
      <c r="B430" s="206"/>
      <c r="C430" s="206"/>
      <c r="D430" s="206"/>
      <c r="E430" s="206"/>
      <c r="F430" s="206"/>
      <c r="G430" s="206"/>
      <c r="H430" s="206"/>
      <c r="I430" s="206"/>
      <c r="J430" s="206"/>
      <c r="K430" s="206"/>
      <c r="L430" s="206"/>
      <c r="M430" s="207"/>
      <c r="N430" s="207"/>
      <c r="O430" s="208"/>
      <c r="P430" s="208"/>
      <c r="Q430" s="208"/>
      <c r="R430" s="206"/>
      <c r="S430" s="206"/>
      <c r="T430" s="206"/>
      <c r="U430" s="206"/>
      <c r="V430" s="206"/>
      <c r="W430" s="206"/>
      <c r="X430" s="207"/>
      <c r="Y430" s="207"/>
      <c r="Z430" s="207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7"/>
      <c r="AR430" s="206"/>
      <c r="AS430" s="206"/>
      <c r="AT430" s="206"/>
      <c r="AU430" s="206"/>
      <c r="AV430" s="206"/>
      <c r="AW430" s="207"/>
      <c r="AX430" s="207"/>
      <c r="AY430" s="207"/>
      <c r="AZ430" s="207"/>
    </row>
    <row r="431" spans="1:52" ht="12.75" x14ac:dyDescent="0.2">
      <c r="A431" s="206"/>
      <c r="B431" s="206"/>
      <c r="C431" s="206"/>
      <c r="D431" s="206"/>
      <c r="E431" s="206"/>
      <c r="F431" s="206"/>
      <c r="G431" s="206"/>
      <c r="H431" s="206"/>
      <c r="I431" s="206"/>
      <c r="J431" s="206"/>
      <c r="K431" s="206"/>
      <c r="L431" s="206"/>
      <c r="M431" s="207"/>
      <c r="N431" s="207"/>
      <c r="O431" s="208"/>
      <c r="P431" s="208"/>
      <c r="Q431" s="208"/>
      <c r="R431" s="206"/>
      <c r="S431" s="206"/>
      <c r="T431" s="206"/>
      <c r="U431" s="206"/>
      <c r="V431" s="206"/>
      <c r="W431" s="206"/>
      <c r="X431" s="207"/>
      <c r="Y431" s="207"/>
      <c r="Z431" s="207"/>
      <c r="AA431" s="206"/>
      <c r="AB431" s="206"/>
      <c r="AC431" s="206"/>
      <c r="AD431" s="206"/>
      <c r="AE431" s="206"/>
      <c r="AF431" s="206"/>
      <c r="AG431" s="206"/>
      <c r="AH431" s="206"/>
      <c r="AI431" s="206"/>
      <c r="AJ431" s="206"/>
      <c r="AK431" s="206"/>
      <c r="AL431" s="206"/>
      <c r="AM431" s="206"/>
      <c r="AN431" s="206"/>
      <c r="AO431" s="206"/>
      <c r="AP431" s="206"/>
      <c r="AQ431" s="207"/>
      <c r="AR431" s="206"/>
      <c r="AS431" s="206"/>
      <c r="AT431" s="206"/>
      <c r="AU431" s="206"/>
      <c r="AV431" s="206"/>
      <c r="AW431" s="207"/>
      <c r="AX431" s="207"/>
      <c r="AY431" s="207"/>
      <c r="AZ431" s="207"/>
    </row>
    <row r="432" spans="1:52" ht="12.75" x14ac:dyDescent="0.2">
      <c r="A432" s="206"/>
      <c r="B432" s="206"/>
      <c r="C432" s="206"/>
      <c r="D432" s="206"/>
      <c r="E432" s="206"/>
      <c r="F432" s="206"/>
      <c r="G432" s="206"/>
      <c r="H432" s="206"/>
      <c r="I432" s="206"/>
      <c r="J432" s="206"/>
      <c r="K432" s="206"/>
      <c r="L432" s="206"/>
      <c r="M432" s="207"/>
      <c r="N432" s="207"/>
      <c r="O432" s="208"/>
      <c r="P432" s="208"/>
      <c r="Q432" s="208"/>
      <c r="R432" s="206"/>
      <c r="S432" s="206"/>
      <c r="T432" s="206"/>
      <c r="U432" s="206"/>
      <c r="V432" s="206"/>
      <c r="W432" s="206"/>
      <c r="X432" s="207"/>
      <c r="Y432" s="207"/>
      <c r="Z432" s="207"/>
      <c r="AA432" s="206"/>
      <c r="AB432" s="206"/>
      <c r="AC432" s="206"/>
      <c r="AD432" s="206"/>
      <c r="AE432" s="206"/>
      <c r="AF432" s="206"/>
      <c r="AG432" s="206"/>
      <c r="AH432" s="206"/>
      <c r="AI432" s="206"/>
      <c r="AJ432" s="206"/>
      <c r="AK432" s="206"/>
      <c r="AL432" s="206"/>
      <c r="AM432" s="206"/>
      <c r="AN432" s="206"/>
      <c r="AO432" s="206"/>
      <c r="AP432" s="206"/>
      <c r="AQ432" s="207"/>
      <c r="AR432" s="206"/>
      <c r="AS432" s="206"/>
      <c r="AT432" s="206"/>
      <c r="AU432" s="206"/>
      <c r="AV432" s="206"/>
      <c r="AW432" s="207"/>
      <c r="AX432" s="207"/>
      <c r="AY432" s="207"/>
      <c r="AZ432" s="207"/>
    </row>
    <row r="433" spans="1:52" ht="12.75" x14ac:dyDescent="0.2">
      <c r="A433" s="206"/>
      <c r="B433" s="206"/>
      <c r="C433" s="206"/>
      <c r="D433" s="206"/>
      <c r="E433" s="206"/>
      <c r="F433" s="206"/>
      <c r="G433" s="206"/>
      <c r="H433" s="206"/>
      <c r="I433" s="206"/>
      <c r="J433" s="206"/>
      <c r="K433" s="206"/>
      <c r="L433" s="206"/>
      <c r="M433" s="207"/>
      <c r="N433" s="207"/>
      <c r="O433" s="208"/>
      <c r="P433" s="208"/>
      <c r="Q433" s="208"/>
      <c r="R433" s="206"/>
      <c r="S433" s="206"/>
      <c r="T433" s="206"/>
      <c r="U433" s="206"/>
      <c r="V433" s="206"/>
      <c r="W433" s="206"/>
      <c r="X433" s="207"/>
      <c r="Y433" s="207"/>
      <c r="Z433" s="207"/>
      <c r="AA433" s="206"/>
      <c r="AB433" s="206"/>
      <c r="AC433" s="206"/>
      <c r="AD433" s="206"/>
      <c r="AE433" s="206"/>
      <c r="AF433" s="206"/>
      <c r="AG433" s="206"/>
      <c r="AH433" s="206"/>
      <c r="AI433" s="206"/>
      <c r="AJ433" s="206"/>
      <c r="AK433" s="206"/>
      <c r="AL433" s="206"/>
      <c r="AM433" s="206"/>
      <c r="AN433" s="206"/>
      <c r="AO433" s="206"/>
      <c r="AP433" s="206"/>
      <c r="AQ433" s="207"/>
      <c r="AR433" s="206"/>
      <c r="AS433" s="206"/>
      <c r="AT433" s="206"/>
      <c r="AU433" s="206"/>
      <c r="AV433" s="206"/>
      <c r="AW433" s="207"/>
      <c r="AX433" s="207"/>
      <c r="AY433" s="207"/>
      <c r="AZ433" s="207"/>
    </row>
    <row r="434" spans="1:52" ht="12.75" x14ac:dyDescent="0.2">
      <c r="A434" s="206"/>
      <c r="B434" s="206"/>
      <c r="C434" s="206"/>
      <c r="D434" s="206"/>
      <c r="E434" s="206"/>
      <c r="F434" s="206"/>
      <c r="G434" s="206"/>
      <c r="H434" s="206"/>
      <c r="I434" s="206"/>
      <c r="J434" s="206"/>
      <c r="K434" s="206"/>
      <c r="L434" s="206"/>
      <c r="M434" s="207"/>
      <c r="N434" s="207"/>
      <c r="O434" s="208"/>
      <c r="P434" s="208"/>
      <c r="Q434" s="208"/>
      <c r="R434" s="206"/>
      <c r="S434" s="206"/>
      <c r="T434" s="206"/>
      <c r="U434" s="206"/>
      <c r="V434" s="206"/>
      <c r="W434" s="206"/>
      <c r="X434" s="207"/>
      <c r="Y434" s="207"/>
      <c r="Z434" s="207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7"/>
      <c r="AR434" s="206"/>
      <c r="AS434" s="206"/>
      <c r="AT434" s="206"/>
      <c r="AU434" s="206"/>
      <c r="AV434" s="206"/>
      <c r="AW434" s="207"/>
      <c r="AX434" s="207"/>
      <c r="AY434" s="207"/>
      <c r="AZ434" s="207"/>
    </row>
    <row r="435" spans="1:52" ht="12.75" x14ac:dyDescent="0.2">
      <c r="A435" s="206"/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7"/>
      <c r="N435" s="207"/>
      <c r="O435" s="208"/>
      <c r="P435" s="208"/>
      <c r="Q435" s="208"/>
      <c r="R435" s="206"/>
      <c r="S435" s="206"/>
      <c r="T435" s="206"/>
      <c r="U435" s="206"/>
      <c r="V435" s="206"/>
      <c r="W435" s="206"/>
      <c r="X435" s="207"/>
      <c r="Y435" s="207"/>
      <c r="Z435" s="207"/>
      <c r="AA435" s="206"/>
      <c r="AB435" s="206"/>
      <c r="AC435" s="206"/>
      <c r="AD435" s="206"/>
      <c r="AE435" s="206"/>
      <c r="AF435" s="206"/>
      <c r="AG435" s="206"/>
      <c r="AH435" s="206"/>
      <c r="AI435" s="206"/>
      <c r="AJ435" s="206"/>
      <c r="AK435" s="206"/>
      <c r="AL435" s="206"/>
      <c r="AM435" s="206"/>
      <c r="AN435" s="206"/>
      <c r="AO435" s="206"/>
      <c r="AP435" s="206"/>
      <c r="AQ435" s="207"/>
      <c r="AR435" s="206"/>
      <c r="AS435" s="206"/>
      <c r="AT435" s="206"/>
      <c r="AU435" s="206"/>
      <c r="AV435" s="206"/>
      <c r="AW435" s="207"/>
      <c r="AX435" s="207"/>
      <c r="AY435" s="207"/>
      <c r="AZ435" s="207"/>
    </row>
    <row r="436" spans="1:52" ht="12.75" x14ac:dyDescent="0.2">
      <c r="A436" s="206"/>
      <c r="B436" s="206"/>
      <c r="C436" s="206"/>
      <c r="D436" s="206"/>
      <c r="E436" s="206"/>
      <c r="F436" s="206"/>
      <c r="G436" s="206"/>
      <c r="H436" s="206"/>
      <c r="I436" s="206"/>
      <c r="J436" s="206"/>
      <c r="K436" s="206"/>
      <c r="L436" s="206"/>
      <c r="M436" s="207"/>
      <c r="N436" s="207"/>
      <c r="O436" s="208"/>
      <c r="P436" s="208"/>
      <c r="Q436" s="208"/>
      <c r="R436" s="206"/>
      <c r="S436" s="206"/>
      <c r="T436" s="206"/>
      <c r="U436" s="206"/>
      <c r="V436" s="206"/>
      <c r="W436" s="206"/>
      <c r="X436" s="207"/>
      <c r="Y436" s="207"/>
      <c r="Z436" s="207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7"/>
      <c r="AR436" s="206"/>
      <c r="AS436" s="206"/>
      <c r="AT436" s="206"/>
      <c r="AU436" s="206"/>
      <c r="AV436" s="206"/>
      <c r="AW436" s="207"/>
      <c r="AX436" s="207"/>
      <c r="AY436" s="207"/>
      <c r="AZ436" s="207"/>
    </row>
    <row r="437" spans="1:52" ht="12.75" x14ac:dyDescent="0.2">
      <c r="A437" s="206"/>
      <c r="B437" s="206"/>
      <c r="C437" s="206"/>
      <c r="D437" s="206"/>
      <c r="E437" s="206"/>
      <c r="F437" s="206"/>
      <c r="G437" s="206"/>
      <c r="H437" s="206"/>
      <c r="I437" s="206"/>
      <c r="J437" s="206"/>
      <c r="K437" s="206"/>
      <c r="L437" s="206"/>
      <c r="M437" s="207"/>
      <c r="N437" s="207"/>
      <c r="O437" s="208"/>
      <c r="P437" s="208"/>
      <c r="Q437" s="208"/>
      <c r="R437" s="206"/>
      <c r="S437" s="206"/>
      <c r="T437" s="206"/>
      <c r="U437" s="206"/>
      <c r="V437" s="206"/>
      <c r="W437" s="206"/>
      <c r="X437" s="207"/>
      <c r="Y437" s="207"/>
      <c r="Z437" s="207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7"/>
      <c r="AR437" s="206"/>
      <c r="AS437" s="206"/>
      <c r="AT437" s="206"/>
      <c r="AU437" s="206"/>
      <c r="AV437" s="206"/>
      <c r="AW437" s="207"/>
      <c r="AX437" s="207"/>
      <c r="AY437" s="207"/>
      <c r="AZ437" s="207"/>
    </row>
    <row r="438" spans="1:52" ht="12.75" x14ac:dyDescent="0.2">
      <c r="A438" s="206"/>
      <c r="B438" s="206"/>
      <c r="C438" s="206"/>
      <c r="D438" s="206"/>
      <c r="E438" s="206"/>
      <c r="F438" s="206"/>
      <c r="G438" s="206"/>
      <c r="H438" s="206"/>
      <c r="I438" s="206"/>
      <c r="J438" s="206"/>
      <c r="K438" s="206"/>
      <c r="L438" s="206"/>
      <c r="M438" s="207"/>
      <c r="N438" s="207"/>
      <c r="O438" s="208"/>
      <c r="P438" s="208"/>
      <c r="Q438" s="208"/>
      <c r="R438" s="206"/>
      <c r="S438" s="206"/>
      <c r="T438" s="206"/>
      <c r="U438" s="206"/>
      <c r="V438" s="206"/>
      <c r="W438" s="206"/>
      <c r="X438" s="207"/>
      <c r="Y438" s="207"/>
      <c r="Z438" s="207"/>
      <c r="AA438" s="206"/>
      <c r="AB438" s="206"/>
      <c r="AC438" s="206"/>
      <c r="AD438" s="206"/>
      <c r="AE438" s="206"/>
      <c r="AF438" s="206"/>
      <c r="AG438" s="206"/>
      <c r="AH438" s="206"/>
      <c r="AI438" s="206"/>
      <c r="AJ438" s="206"/>
      <c r="AK438" s="206"/>
      <c r="AL438" s="206"/>
      <c r="AM438" s="206"/>
      <c r="AN438" s="206"/>
      <c r="AO438" s="206"/>
      <c r="AP438" s="206"/>
      <c r="AQ438" s="207"/>
      <c r="AR438" s="206"/>
      <c r="AS438" s="206"/>
      <c r="AT438" s="206"/>
      <c r="AU438" s="206"/>
      <c r="AV438" s="206"/>
      <c r="AW438" s="207"/>
      <c r="AX438" s="207"/>
      <c r="AY438" s="207"/>
      <c r="AZ438" s="207"/>
    </row>
    <row r="439" spans="1:52" ht="12.75" x14ac:dyDescent="0.2">
      <c r="A439" s="206"/>
      <c r="B439" s="206"/>
      <c r="C439" s="206"/>
      <c r="D439" s="206"/>
      <c r="E439" s="206"/>
      <c r="F439" s="206"/>
      <c r="G439" s="206"/>
      <c r="H439" s="206"/>
      <c r="I439" s="206"/>
      <c r="J439" s="206"/>
      <c r="K439" s="206"/>
      <c r="L439" s="206"/>
      <c r="M439" s="207"/>
      <c r="N439" s="207"/>
      <c r="O439" s="208"/>
      <c r="P439" s="208"/>
      <c r="Q439" s="208"/>
      <c r="R439" s="206"/>
      <c r="S439" s="206"/>
      <c r="T439" s="206"/>
      <c r="U439" s="206"/>
      <c r="V439" s="206"/>
      <c r="W439" s="206"/>
      <c r="X439" s="207"/>
      <c r="Y439" s="207"/>
      <c r="Z439" s="207"/>
      <c r="AA439" s="206"/>
      <c r="AB439" s="206"/>
      <c r="AC439" s="206"/>
      <c r="AD439" s="206"/>
      <c r="AE439" s="206"/>
      <c r="AF439" s="206"/>
      <c r="AG439" s="206"/>
      <c r="AH439" s="206"/>
      <c r="AI439" s="206"/>
      <c r="AJ439" s="206"/>
      <c r="AK439" s="206"/>
      <c r="AL439" s="206"/>
      <c r="AM439" s="206"/>
      <c r="AN439" s="206"/>
      <c r="AO439" s="206"/>
      <c r="AP439" s="206"/>
      <c r="AQ439" s="207"/>
      <c r="AR439" s="206"/>
      <c r="AS439" s="206"/>
      <c r="AT439" s="206"/>
      <c r="AU439" s="206"/>
      <c r="AV439" s="206"/>
      <c r="AW439" s="207"/>
      <c r="AX439" s="207"/>
      <c r="AY439" s="207"/>
      <c r="AZ439" s="207"/>
    </row>
    <row r="440" spans="1:52" ht="12.75" x14ac:dyDescent="0.2">
      <c r="A440" s="206"/>
      <c r="B440" s="206"/>
      <c r="C440" s="206"/>
      <c r="D440" s="206"/>
      <c r="E440" s="206"/>
      <c r="F440" s="206"/>
      <c r="G440" s="206"/>
      <c r="H440" s="206"/>
      <c r="I440" s="206"/>
      <c r="J440" s="206"/>
      <c r="K440" s="206"/>
      <c r="L440" s="206"/>
      <c r="M440" s="207"/>
      <c r="N440" s="207"/>
      <c r="O440" s="208"/>
      <c r="P440" s="208"/>
      <c r="Q440" s="208"/>
      <c r="R440" s="206"/>
      <c r="S440" s="206"/>
      <c r="T440" s="206"/>
      <c r="U440" s="206"/>
      <c r="V440" s="206"/>
      <c r="W440" s="206"/>
      <c r="X440" s="207"/>
      <c r="Y440" s="207"/>
      <c r="Z440" s="207"/>
      <c r="AA440" s="206"/>
      <c r="AB440" s="206"/>
      <c r="AC440" s="206"/>
      <c r="AD440" s="206"/>
      <c r="AE440" s="206"/>
      <c r="AF440" s="206"/>
      <c r="AG440" s="206"/>
      <c r="AH440" s="206"/>
      <c r="AI440" s="206"/>
      <c r="AJ440" s="206"/>
      <c r="AK440" s="206"/>
      <c r="AL440" s="206"/>
      <c r="AM440" s="206"/>
      <c r="AN440" s="206"/>
      <c r="AO440" s="206"/>
      <c r="AP440" s="206"/>
      <c r="AQ440" s="207"/>
      <c r="AR440" s="206"/>
      <c r="AS440" s="206"/>
      <c r="AT440" s="206"/>
      <c r="AU440" s="206"/>
      <c r="AV440" s="206"/>
      <c r="AW440" s="207"/>
      <c r="AX440" s="207"/>
      <c r="AY440" s="207"/>
      <c r="AZ440" s="207"/>
    </row>
    <row r="441" spans="1:52" ht="12.75" x14ac:dyDescent="0.2">
      <c r="A441" s="206"/>
      <c r="B441" s="206"/>
      <c r="C441" s="206"/>
      <c r="D441" s="206"/>
      <c r="E441" s="206"/>
      <c r="F441" s="206"/>
      <c r="G441" s="206"/>
      <c r="H441" s="206"/>
      <c r="I441" s="206"/>
      <c r="J441" s="206"/>
      <c r="K441" s="206"/>
      <c r="L441" s="206"/>
      <c r="M441" s="207"/>
      <c r="N441" s="207"/>
      <c r="O441" s="208"/>
      <c r="P441" s="208"/>
      <c r="Q441" s="208"/>
      <c r="R441" s="206"/>
      <c r="S441" s="206"/>
      <c r="T441" s="206"/>
      <c r="U441" s="206"/>
      <c r="V441" s="206"/>
      <c r="W441" s="206"/>
      <c r="X441" s="207"/>
      <c r="Y441" s="207"/>
      <c r="Z441" s="207"/>
      <c r="AA441" s="206"/>
      <c r="AB441" s="206"/>
      <c r="AC441" s="206"/>
      <c r="AD441" s="206"/>
      <c r="AE441" s="206"/>
      <c r="AF441" s="206"/>
      <c r="AG441" s="206"/>
      <c r="AH441" s="206"/>
      <c r="AI441" s="206"/>
      <c r="AJ441" s="206"/>
      <c r="AK441" s="206"/>
      <c r="AL441" s="206"/>
      <c r="AM441" s="206"/>
      <c r="AN441" s="206"/>
      <c r="AO441" s="206"/>
      <c r="AP441" s="206"/>
      <c r="AQ441" s="207"/>
      <c r="AR441" s="206"/>
      <c r="AS441" s="206"/>
      <c r="AT441" s="206"/>
      <c r="AU441" s="206"/>
      <c r="AV441" s="206"/>
      <c r="AW441" s="207"/>
      <c r="AX441" s="207"/>
      <c r="AY441" s="207"/>
      <c r="AZ441" s="207"/>
    </row>
    <row r="442" spans="1:52" ht="12.75" x14ac:dyDescent="0.2">
      <c r="A442" s="206"/>
      <c r="B442" s="206"/>
      <c r="C442" s="206"/>
      <c r="D442" s="206"/>
      <c r="E442" s="206"/>
      <c r="F442" s="206"/>
      <c r="G442" s="206"/>
      <c r="H442" s="206"/>
      <c r="I442" s="206"/>
      <c r="J442" s="206"/>
      <c r="K442" s="206"/>
      <c r="L442" s="206"/>
      <c r="M442" s="207"/>
      <c r="N442" s="207"/>
      <c r="O442" s="208"/>
      <c r="P442" s="208"/>
      <c r="Q442" s="208"/>
      <c r="R442" s="206"/>
      <c r="S442" s="206"/>
      <c r="T442" s="206"/>
      <c r="U442" s="206"/>
      <c r="V442" s="206"/>
      <c r="W442" s="206"/>
      <c r="X442" s="207"/>
      <c r="Y442" s="207"/>
      <c r="Z442" s="207"/>
      <c r="AA442" s="206"/>
      <c r="AB442" s="206"/>
      <c r="AC442" s="206"/>
      <c r="AD442" s="206"/>
      <c r="AE442" s="206"/>
      <c r="AF442" s="206"/>
      <c r="AG442" s="206"/>
      <c r="AH442" s="206"/>
      <c r="AI442" s="206"/>
      <c r="AJ442" s="206"/>
      <c r="AK442" s="206"/>
      <c r="AL442" s="206"/>
      <c r="AM442" s="206"/>
      <c r="AN442" s="206"/>
      <c r="AO442" s="206"/>
      <c r="AP442" s="206"/>
      <c r="AQ442" s="207"/>
      <c r="AR442" s="206"/>
      <c r="AS442" s="206"/>
      <c r="AT442" s="206"/>
      <c r="AU442" s="206"/>
      <c r="AV442" s="206"/>
      <c r="AW442" s="207"/>
      <c r="AX442" s="207"/>
      <c r="AY442" s="207"/>
      <c r="AZ442" s="207"/>
    </row>
    <row r="443" spans="1:52" ht="12.75" x14ac:dyDescent="0.2">
      <c r="A443" s="206"/>
      <c r="B443" s="206"/>
      <c r="C443" s="206"/>
      <c r="D443" s="206"/>
      <c r="E443" s="206"/>
      <c r="F443" s="206"/>
      <c r="G443" s="206"/>
      <c r="H443" s="206"/>
      <c r="I443" s="206"/>
      <c r="J443" s="206"/>
      <c r="K443" s="206"/>
      <c r="L443" s="206"/>
      <c r="M443" s="207"/>
      <c r="N443" s="207"/>
      <c r="O443" s="208"/>
      <c r="P443" s="208"/>
      <c r="Q443" s="208"/>
      <c r="R443" s="206"/>
      <c r="S443" s="206"/>
      <c r="T443" s="206"/>
      <c r="U443" s="206"/>
      <c r="V443" s="206"/>
      <c r="W443" s="206"/>
      <c r="X443" s="207"/>
      <c r="Y443" s="207"/>
      <c r="Z443" s="207"/>
      <c r="AA443" s="206"/>
      <c r="AB443" s="206"/>
      <c r="AC443" s="206"/>
      <c r="AD443" s="206"/>
      <c r="AE443" s="206"/>
      <c r="AF443" s="206"/>
      <c r="AG443" s="206"/>
      <c r="AH443" s="206"/>
      <c r="AI443" s="206"/>
      <c r="AJ443" s="206"/>
      <c r="AK443" s="206"/>
      <c r="AL443" s="206"/>
      <c r="AM443" s="206"/>
      <c r="AN443" s="206"/>
      <c r="AO443" s="206"/>
      <c r="AP443" s="206"/>
      <c r="AQ443" s="207"/>
      <c r="AR443" s="206"/>
      <c r="AS443" s="206"/>
      <c r="AT443" s="206"/>
      <c r="AU443" s="206"/>
      <c r="AV443" s="206"/>
      <c r="AW443" s="207"/>
      <c r="AX443" s="207"/>
      <c r="AY443" s="207"/>
      <c r="AZ443" s="207"/>
    </row>
    <row r="444" spans="1:52" ht="12.75" x14ac:dyDescent="0.2">
      <c r="A444" s="206"/>
      <c r="B444" s="206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7"/>
      <c r="N444" s="207"/>
      <c r="O444" s="208"/>
      <c r="P444" s="208"/>
      <c r="Q444" s="208"/>
      <c r="R444" s="206"/>
      <c r="S444" s="206"/>
      <c r="T444" s="206"/>
      <c r="U444" s="206"/>
      <c r="V444" s="206"/>
      <c r="W444" s="206"/>
      <c r="X444" s="207"/>
      <c r="Y444" s="207"/>
      <c r="Z444" s="207"/>
      <c r="AA444" s="206"/>
      <c r="AB444" s="206"/>
      <c r="AC444" s="206"/>
      <c r="AD444" s="206"/>
      <c r="AE444" s="206"/>
      <c r="AF444" s="206"/>
      <c r="AG444" s="206"/>
      <c r="AH444" s="206"/>
      <c r="AI444" s="206"/>
      <c r="AJ444" s="206"/>
      <c r="AK444" s="206"/>
      <c r="AL444" s="206"/>
      <c r="AM444" s="206"/>
      <c r="AN444" s="206"/>
      <c r="AO444" s="206"/>
      <c r="AP444" s="206"/>
      <c r="AQ444" s="207"/>
      <c r="AR444" s="206"/>
      <c r="AS444" s="206"/>
      <c r="AT444" s="206"/>
      <c r="AU444" s="206"/>
      <c r="AV444" s="206"/>
      <c r="AW444" s="207"/>
      <c r="AX444" s="207"/>
      <c r="AY444" s="207"/>
      <c r="AZ444" s="207"/>
    </row>
    <row r="445" spans="1:52" ht="12.75" x14ac:dyDescent="0.2">
      <c r="A445" s="206"/>
      <c r="B445" s="206"/>
      <c r="C445" s="206"/>
      <c r="D445" s="206"/>
      <c r="E445" s="206"/>
      <c r="F445" s="206"/>
      <c r="G445" s="206"/>
      <c r="H445" s="206"/>
      <c r="I445" s="206"/>
      <c r="J445" s="206"/>
      <c r="K445" s="206"/>
      <c r="L445" s="206"/>
      <c r="M445" s="207"/>
      <c r="N445" s="207"/>
      <c r="O445" s="208"/>
      <c r="P445" s="208"/>
      <c r="Q445" s="208"/>
      <c r="R445" s="206"/>
      <c r="S445" s="206"/>
      <c r="T445" s="206"/>
      <c r="U445" s="206"/>
      <c r="V445" s="206"/>
      <c r="W445" s="206"/>
      <c r="X445" s="207"/>
      <c r="Y445" s="207"/>
      <c r="Z445" s="207"/>
      <c r="AA445" s="206"/>
      <c r="AB445" s="206"/>
      <c r="AC445" s="206"/>
      <c r="AD445" s="206"/>
      <c r="AE445" s="206"/>
      <c r="AF445" s="206"/>
      <c r="AG445" s="206"/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7"/>
      <c r="AR445" s="206"/>
      <c r="AS445" s="206"/>
      <c r="AT445" s="206"/>
      <c r="AU445" s="206"/>
      <c r="AV445" s="206"/>
      <c r="AW445" s="207"/>
      <c r="AX445" s="207"/>
      <c r="AY445" s="207"/>
      <c r="AZ445" s="207"/>
    </row>
    <row r="446" spans="1:52" ht="12.75" x14ac:dyDescent="0.2">
      <c r="A446" s="206"/>
      <c r="B446" s="206"/>
      <c r="C446" s="206"/>
      <c r="D446" s="206"/>
      <c r="E446" s="206"/>
      <c r="F446" s="206"/>
      <c r="G446" s="206"/>
      <c r="H446" s="206"/>
      <c r="I446" s="206"/>
      <c r="J446" s="206"/>
      <c r="K446" s="206"/>
      <c r="L446" s="206"/>
      <c r="M446" s="207"/>
      <c r="N446" s="207"/>
      <c r="O446" s="208"/>
      <c r="P446" s="208"/>
      <c r="Q446" s="208"/>
      <c r="R446" s="206"/>
      <c r="S446" s="206"/>
      <c r="T446" s="206"/>
      <c r="U446" s="206"/>
      <c r="V446" s="206"/>
      <c r="W446" s="206"/>
      <c r="X446" s="207"/>
      <c r="Y446" s="207"/>
      <c r="Z446" s="207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7"/>
      <c r="AR446" s="206"/>
      <c r="AS446" s="206"/>
      <c r="AT446" s="206"/>
      <c r="AU446" s="206"/>
      <c r="AV446" s="206"/>
      <c r="AW446" s="207"/>
      <c r="AX446" s="207"/>
      <c r="AY446" s="207"/>
      <c r="AZ446" s="207"/>
    </row>
    <row r="447" spans="1:52" ht="12.75" x14ac:dyDescent="0.2">
      <c r="A447" s="206"/>
      <c r="B447" s="206"/>
      <c r="C447" s="206"/>
      <c r="D447" s="206"/>
      <c r="E447" s="206"/>
      <c r="F447" s="206"/>
      <c r="G447" s="206"/>
      <c r="H447" s="206"/>
      <c r="I447" s="206"/>
      <c r="J447" s="206"/>
      <c r="K447" s="206"/>
      <c r="L447" s="206"/>
      <c r="M447" s="207"/>
      <c r="N447" s="207"/>
      <c r="O447" s="208"/>
      <c r="P447" s="208"/>
      <c r="Q447" s="208"/>
      <c r="R447" s="206"/>
      <c r="S447" s="206"/>
      <c r="T447" s="206"/>
      <c r="U447" s="206"/>
      <c r="V447" s="206"/>
      <c r="W447" s="206"/>
      <c r="X447" s="207"/>
      <c r="Y447" s="207"/>
      <c r="Z447" s="207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7"/>
      <c r="AR447" s="206"/>
      <c r="AS447" s="206"/>
      <c r="AT447" s="206"/>
      <c r="AU447" s="206"/>
      <c r="AV447" s="206"/>
      <c r="AW447" s="207"/>
      <c r="AX447" s="207"/>
      <c r="AY447" s="207"/>
      <c r="AZ447" s="207"/>
    </row>
    <row r="448" spans="1:52" ht="12.75" x14ac:dyDescent="0.2">
      <c r="A448" s="206"/>
      <c r="B448" s="206"/>
      <c r="C448" s="206"/>
      <c r="D448" s="206"/>
      <c r="E448" s="206"/>
      <c r="F448" s="206"/>
      <c r="G448" s="206"/>
      <c r="H448" s="206"/>
      <c r="I448" s="206"/>
      <c r="J448" s="206"/>
      <c r="K448" s="206"/>
      <c r="L448" s="206"/>
      <c r="M448" s="207"/>
      <c r="N448" s="207"/>
      <c r="O448" s="208"/>
      <c r="P448" s="208"/>
      <c r="Q448" s="208"/>
      <c r="R448" s="206"/>
      <c r="S448" s="206"/>
      <c r="T448" s="206"/>
      <c r="U448" s="206"/>
      <c r="V448" s="206"/>
      <c r="W448" s="206"/>
      <c r="X448" s="207"/>
      <c r="Y448" s="207"/>
      <c r="Z448" s="207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7"/>
      <c r="AR448" s="206"/>
      <c r="AS448" s="206"/>
      <c r="AT448" s="206"/>
      <c r="AU448" s="206"/>
      <c r="AV448" s="206"/>
      <c r="AW448" s="207"/>
      <c r="AX448" s="207"/>
      <c r="AY448" s="207"/>
      <c r="AZ448" s="207"/>
    </row>
    <row r="449" spans="1:52" ht="12.75" x14ac:dyDescent="0.2">
      <c r="A449" s="206"/>
      <c r="B449" s="206"/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7"/>
      <c r="N449" s="207"/>
      <c r="O449" s="208"/>
      <c r="P449" s="208"/>
      <c r="Q449" s="208"/>
      <c r="R449" s="206"/>
      <c r="S449" s="206"/>
      <c r="T449" s="206"/>
      <c r="U449" s="206"/>
      <c r="V449" s="206"/>
      <c r="W449" s="206"/>
      <c r="X449" s="207"/>
      <c r="Y449" s="207"/>
      <c r="Z449" s="207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7"/>
      <c r="AR449" s="206"/>
      <c r="AS449" s="206"/>
      <c r="AT449" s="206"/>
      <c r="AU449" s="206"/>
      <c r="AV449" s="206"/>
      <c r="AW449" s="207"/>
      <c r="AX449" s="207"/>
      <c r="AY449" s="207"/>
      <c r="AZ449" s="207"/>
    </row>
    <row r="450" spans="1:52" ht="12.75" x14ac:dyDescent="0.2">
      <c r="A450" s="206"/>
      <c r="B450" s="206"/>
      <c r="C450" s="206"/>
      <c r="D450" s="206"/>
      <c r="E450" s="206"/>
      <c r="F450" s="206"/>
      <c r="G450" s="206"/>
      <c r="H450" s="206"/>
      <c r="I450" s="206"/>
      <c r="J450" s="206"/>
      <c r="K450" s="206"/>
      <c r="L450" s="206"/>
      <c r="M450" s="207"/>
      <c r="N450" s="207"/>
      <c r="O450" s="208"/>
      <c r="P450" s="208"/>
      <c r="Q450" s="208"/>
      <c r="R450" s="206"/>
      <c r="S450" s="206"/>
      <c r="T450" s="206"/>
      <c r="U450" s="206"/>
      <c r="V450" s="206"/>
      <c r="W450" s="206"/>
      <c r="X450" s="207"/>
      <c r="Y450" s="207"/>
      <c r="Z450" s="207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7"/>
      <c r="AR450" s="206"/>
      <c r="AS450" s="206"/>
      <c r="AT450" s="206"/>
      <c r="AU450" s="206"/>
      <c r="AV450" s="206"/>
      <c r="AW450" s="207"/>
      <c r="AX450" s="207"/>
      <c r="AY450" s="207"/>
      <c r="AZ450" s="207"/>
    </row>
    <row r="451" spans="1:52" ht="12.75" x14ac:dyDescent="0.2">
      <c r="A451" s="206"/>
      <c r="B451" s="206"/>
      <c r="C451" s="206"/>
      <c r="D451" s="206"/>
      <c r="E451" s="206"/>
      <c r="F451" s="206"/>
      <c r="G451" s="206"/>
      <c r="H451" s="206"/>
      <c r="I451" s="206"/>
      <c r="J451" s="206"/>
      <c r="K451" s="206"/>
      <c r="L451" s="206"/>
      <c r="M451" s="207"/>
      <c r="N451" s="207"/>
      <c r="O451" s="208"/>
      <c r="P451" s="208"/>
      <c r="Q451" s="208"/>
      <c r="R451" s="206"/>
      <c r="S451" s="206"/>
      <c r="T451" s="206"/>
      <c r="U451" s="206"/>
      <c r="V451" s="206"/>
      <c r="W451" s="206"/>
      <c r="X451" s="207"/>
      <c r="Y451" s="207"/>
      <c r="Z451" s="207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7"/>
      <c r="AR451" s="206"/>
      <c r="AS451" s="206"/>
      <c r="AT451" s="206"/>
      <c r="AU451" s="206"/>
      <c r="AV451" s="206"/>
      <c r="AW451" s="207"/>
      <c r="AX451" s="207"/>
      <c r="AY451" s="207"/>
      <c r="AZ451" s="207"/>
    </row>
    <row r="452" spans="1:52" ht="12.75" x14ac:dyDescent="0.2">
      <c r="A452" s="206"/>
      <c r="B452" s="206"/>
      <c r="C452" s="206"/>
      <c r="D452" s="206"/>
      <c r="E452" s="206"/>
      <c r="F452" s="206"/>
      <c r="G452" s="206"/>
      <c r="H452" s="206"/>
      <c r="I452" s="206"/>
      <c r="J452" s="206"/>
      <c r="K452" s="206"/>
      <c r="L452" s="206"/>
      <c r="M452" s="207"/>
      <c r="N452" s="207"/>
      <c r="O452" s="208"/>
      <c r="P452" s="208"/>
      <c r="Q452" s="208"/>
      <c r="R452" s="206"/>
      <c r="S452" s="206"/>
      <c r="T452" s="206"/>
      <c r="U452" s="206"/>
      <c r="V452" s="206"/>
      <c r="W452" s="206"/>
      <c r="X452" s="207"/>
      <c r="Y452" s="207"/>
      <c r="Z452" s="207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7"/>
      <c r="AR452" s="206"/>
      <c r="AS452" s="206"/>
      <c r="AT452" s="206"/>
      <c r="AU452" s="206"/>
      <c r="AV452" s="206"/>
      <c r="AW452" s="207"/>
      <c r="AX452" s="207"/>
      <c r="AY452" s="207"/>
      <c r="AZ452" s="207"/>
    </row>
    <row r="453" spans="1:52" ht="12.75" x14ac:dyDescent="0.2">
      <c r="A453" s="206"/>
      <c r="B453" s="206"/>
      <c r="C453" s="206"/>
      <c r="D453" s="206"/>
      <c r="E453" s="206"/>
      <c r="F453" s="206"/>
      <c r="G453" s="206"/>
      <c r="H453" s="206"/>
      <c r="I453" s="206"/>
      <c r="J453" s="206"/>
      <c r="K453" s="206"/>
      <c r="L453" s="206"/>
      <c r="M453" s="207"/>
      <c r="N453" s="207"/>
      <c r="O453" s="208"/>
      <c r="P453" s="208"/>
      <c r="Q453" s="208"/>
      <c r="R453" s="206"/>
      <c r="S453" s="206"/>
      <c r="T453" s="206"/>
      <c r="U453" s="206"/>
      <c r="V453" s="206"/>
      <c r="W453" s="206"/>
      <c r="X453" s="207"/>
      <c r="Y453" s="207"/>
      <c r="Z453" s="207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7"/>
      <c r="AR453" s="206"/>
      <c r="AS453" s="206"/>
      <c r="AT453" s="206"/>
      <c r="AU453" s="206"/>
      <c r="AV453" s="206"/>
      <c r="AW453" s="207"/>
      <c r="AX453" s="207"/>
      <c r="AY453" s="207"/>
      <c r="AZ453" s="207"/>
    </row>
    <row r="454" spans="1:52" ht="12.75" x14ac:dyDescent="0.2">
      <c r="A454" s="206"/>
      <c r="B454" s="206"/>
      <c r="C454" s="206"/>
      <c r="D454" s="206"/>
      <c r="E454" s="206"/>
      <c r="F454" s="206"/>
      <c r="G454" s="206"/>
      <c r="H454" s="206"/>
      <c r="I454" s="206"/>
      <c r="J454" s="206"/>
      <c r="K454" s="206"/>
      <c r="L454" s="206"/>
      <c r="M454" s="207"/>
      <c r="N454" s="207"/>
      <c r="O454" s="208"/>
      <c r="P454" s="208"/>
      <c r="Q454" s="208"/>
      <c r="R454" s="206"/>
      <c r="S454" s="206"/>
      <c r="T454" s="206"/>
      <c r="U454" s="206"/>
      <c r="V454" s="206"/>
      <c r="W454" s="206"/>
      <c r="X454" s="207"/>
      <c r="Y454" s="207"/>
      <c r="Z454" s="207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7"/>
      <c r="AR454" s="206"/>
      <c r="AS454" s="206"/>
      <c r="AT454" s="206"/>
      <c r="AU454" s="206"/>
      <c r="AV454" s="206"/>
      <c r="AW454" s="207"/>
      <c r="AX454" s="207"/>
      <c r="AY454" s="207"/>
      <c r="AZ454" s="207"/>
    </row>
    <row r="455" spans="1:52" ht="12.75" x14ac:dyDescent="0.2">
      <c r="A455" s="206"/>
      <c r="B455" s="206"/>
      <c r="C455" s="206"/>
      <c r="D455" s="206"/>
      <c r="E455" s="206"/>
      <c r="F455" s="206"/>
      <c r="G455" s="206"/>
      <c r="H455" s="206"/>
      <c r="I455" s="206"/>
      <c r="J455" s="206"/>
      <c r="K455" s="206"/>
      <c r="L455" s="206"/>
      <c r="M455" s="207"/>
      <c r="N455" s="207"/>
      <c r="O455" s="208"/>
      <c r="P455" s="208"/>
      <c r="Q455" s="208"/>
      <c r="R455" s="206"/>
      <c r="S455" s="206"/>
      <c r="T455" s="206"/>
      <c r="U455" s="206"/>
      <c r="V455" s="206"/>
      <c r="W455" s="206"/>
      <c r="X455" s="207"/>
      <c r="Y455" s="207"/>
      <c r="Z455" s="207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7"/>
      <c r="AR455" s="206"/>
      <c r="AS455" s="206"/>
      <c r="AT455" s="206"/>
      <c r="AU455" s="206"/>
      <c r="AV455" s="206"/>
      <c r="AW455" s="207"/>
      <c r="AX455" s="207"/>
      <c r="AY455" s="207"/>
      <c r="AZ455" s="207"/>
    </row>
    <row r="456" spans="1:52" ht="12.75" x14ac:dyDescent="0.2">
      <c r="A456" s="206"/>
      <c r="B456" s="206"/>
      <c r="C456" s="206"/>
      <c r="D456" s="206"/>
      <c r="E456" s="206"/>
      <c r="F456" s="206"/>
      <c r="G456" s="206"/>
      <c r="H456" s="206"/>
      <c r="I456" s="206"/>
      <c r="J456" s="206"/>
      <c r="K456" s="206"/>
      <c r="L456" s="206"/>
      <c r="M456" s="207"/>
      <c r="N456" s="207"/>
      <c r="O456" s="208"/>
      <c r="P456" s="208"/>
      <c r="Q456" s="208"/>
      <c r="R456" s="206"/>
      <c r="S456" s="206"/>
      <c r="T456" s="206"/>
      <c r="U456" s="206"/>
      <c r="V456" s="206"/>
      <c r="W456" s="206"/>
      <c r="X456" s="207"/>
      <c r="Y456" s="207"/>
      <c r="Z456" s="207"/>
      <c r="AA456" s="206"/>
      <c r="AB456" s="206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7"/>
      <c r="AR456" s="206"/>
      <c r="AS456" s="206"/>
      <c r="AT456" s="206"/>
      <c r="AU456" s="206"/>
      <c r="AV456" s="206"/>
      <c r="AW456" s="207"/>
      <c r="AX456" s="207"/>
      <c r="AY456" s="207"/>
      <c r="AZ456" s="207"/>
    </row>
    <row r="457" spans="1:52" ht="12.75" x14ac:dyDescent="0.2">
      <c r="A457" s="206"/>
      <c r="B457" s="206"/>
      <c r="C457" s="206"/>
      <c r="D457" s="206"/>
      <c r="E457" s="206"/>
      <c r="F457" s="206"/>
      <c r="G457" s="206"/>
      <c r="H457" s="206"/>
      <c r="I457" s="206"/>
      <c r="J457" s="206"/>
      <c r="K457" s="206"/>
      <c r="L457" s="206"/>
      <c r="M457" s="207"/>
      <c r="N457" s="207"/>
      <c r="O457" s="208"/>
      <c r="P457" s="208"/>
      <c r="Q457" s="208"/>
      <c r="R457" s="206"/>
      <c r="S457" s="206"/>
      <c r="T457" s="206"/>
      <c r="U457" s="206"/>
      <c r="V457" s="206"/>
      <c r="W457" s="206"/>
      <c r="X457" s="207"/>
      <c r="Y457" s="207"/>
      <c r="Z457" s="207"/>
      <c r="AA457" s="206"/>
      <c r="AB457" s="206"/>
      <c r="AC457" s="206"/>
      <c r="AD457" s="206"/>
      <c r="AE457" s="206"/>
      <c r="AF457" s="206"/>
      <c r="AG457" s="206"/>
      <c r="AH457" s="206"/>
      <c r="AI457" s="206"/>
      <c r="AJ457" s="206"/>
      <c r="AK457" s="206"/>
      <c r="AL457" s="206"/>
      <c r="AM457" s="206"/>
      <c r="AN457" s="206"/>
      <c r="AO457" s="206"/>
      <c r="AP457" s="206"/>
      <c r="AQ457" s="207"/>
      <c r="AR457" s="206"/>
      <c r="AS457" s="206"/>
      <c r="AT457" s="206"/>
      <c r="AU457" s="206"/>
      <c r="AV457" s="206"/>
      <c r="AW457" s="207"/>
      <c r="AX457" s="207"/>
      <c r="AY457" s="207"/>
      <c r="AZ457" s="207"/>
    </row>
    <row r="458" spans="1:52" ht="12.75" x14ac:dyDescent="0.2">
      <c r="A458" s="206"/>
      <c r="B458" s="206"/>
      <c r="C458" s="206"/>
      <c r="D458" s="206"/>
      <c r="E458" s="206"/>
      <c r="F458" s="206"/>
      <c r="G458" s="206"/>
      <c r="H458" s="206"/>
      <c r="I458" s="206"/>
      <c r="J458" s="206"/>
      <c r="K458" s="206"/>
      <c r="L458" s="206"/>
      <c r="M458" s="207"/>
      <c r="N458" s="207"/>
      <c r="O458" s="208"/>
      <c r="P458" s="208"/>
      <c r="Q458" s="208"/>
      <c r="R458" s="206"/>
      <c r="S458" s="206"/>
      <c r="T458" s="206"/>
      <c r="U458" s="206"/>
      <c r="V458" s="206"/>
      <c r="W458" s="206"/>
      <c r="X458" s="207"/>
      <c r="Y458" s="207"/>
      <c r="Z458" s="207"/>
      <c r="AA458" s="206"/>
      <c r="AB458" s="206"/>
      <c r="AC458" s="206"/>
      <c r="AD458" s="206"/>
      <c r="AE458" s="206"/>
      <c r="AF458" s="206"/>
      <c r="AG458" s="206"/>
      <c r="AH458" s="206"/>
      <c r="AI458" s="206"/>
      <c r="AJ458" s="206"/>
      <c r="AK458" s="206"/>
      <c r="AL458" s="206"/>
      <c r="AM458" s="206"/>
      <c r="AN458" s="206"/>
      <c r="AO458" s="206"/>
      <c r="AP458" s="206"/>
      <c r="AQ458" s="207"/>
      <c r="AR458" s="206"/>
      <c r="AS458" s="206"/>
      <c r="AT458" s="206"/>
      <c r="AU458" s="206"/>
      <c r="AV458" s="206"/>
      <c r="AW458" s="207"/>
      <c r="AX458" s="207"/>
      <c r="AY458" s="207"/>
      <c r="AZ458" s="207"/>
    </row>
    <row r="459" spans="1:52" ht="12.75" x14ac:dyDescent="0.2">
      <c r="A459" s="206"/>
      <c r="B459" s="206"/>
      <c r="C459" s="206"/>
      <c r="D459" s="206"/>
      <c r="E459" s="206"/>
      <c r="F459" s="206"/>
      <c r="G459" s="206"/>
      <c r="H459" s="206"/>
      <c r="I459" s="206"/>
      <c r="J459" s="206"/>
      <c r="K459" s="206"/>
      <c r="L459" s="206"/>
      <c r="M459" s="207"/>
      <c r="N459" s="207"/>
      <c r="O459" s="208"/>
      <c r="P459" s="208"/>
      <c r="Q459" s="208"/>
      <c r="R459" s="206"/>
      <c r="S459" s="206"/>
      <c r="T459" s="206"/>
      <c r="U459" s="206"/>
      <c r="V459" s="206"/>
      <c r="W459" s="206"/>
      <c r="X459" s="207"/>
      <c r="Y459" s="207"/>
      <c r="Z459" s="207"/>
      <c r="AA459" s="206"/>
      <c r="AB459" s="206"/>
      <c r="AC459" s="206"/>
      <c r="AD459" s="206"/>
      <c r="AE459" s="206"/>
      <c r="AF459" s="206"/>
      <c r="AG459" s="206"/>
      <c r="AH459" s="206"/>
      <c r="AI459" s="206"/>
      <c r="AJ459" s="206"/>
      <c r="AK459" s="206"/>
      <c r="AL459" s="206"/>
      <c r="AM459" s="206"/>
      <c r="AN459" s="206"/>
      <c r="AO459" s="206"/>
      <c r="AP459" s="206"/>
      <c r="AQ459" s="207"/>
      <c r="AR459" s="206"/>
      <c r="AS459" s="206"/>
      <c r="AT459" s="206"/>
      <c r="AU459" s="206"/>
      <c r="AV459" s="206"/>
      <c r="AW459" s="207"/>
      <c r="AX459" s="207"/>
      <c r="AY459" s="207"/>
      <c r="AZ459" s="207"/>
    </row>
    <row r="460" spans="1:52" ht="12.75" x14ac:dyDescent="0.2">
      <c r="A460" s="206"/>
      <c r="B460" s="206"/>
      <c r="C460" s="206"/>
      <c r="D460" s="206"/>
      <c r="E460" s="206"/>
      <c r="F460" s="206"/>
      <c r="G460" s="206"/>
      <c r="H460" s="206"/>
      <c r="I460" s="206"/>
      <c r="J460" s="206"/>
      <c r="K460" s="206"/>
      <c r="L460" s="206"/>
      <c r="M460" s="207"/>
      <c r="N460" s="207"/>
      <c r="O460" s="208"/>
      <c r="P460" s="208"/>
      <c r="Q460" s="208"/>
      <c r="R460" s="206"/>
      <c r="S460" s="206"/>
      <c r="T460" s="206"/>
      <c r="U460" s="206"/>
      <c r="V460" s="206"/>
      <c r="W460" s="206"/>
      <c r="X460" s="207"/>
      <c r="Y460" s="207"/>
      <c r="Z460" s="207"/>
      <c r="AA460" s="206"/>
      <c r="AB460" s="206"/>
      <c r="AC460" s="206"/>
      <c r="AD460" s="206"/>
      <c r="AE460" s="206"/>
      <c r="AF460" s="206"/>
      <c r="AG460" s="206"/>
      <c r="AH460" s="206"/>
      <c r="AI460" s="206"/>
      <c r="AJ460" s="206"/>
      <c r="AK460" s="206"/>
      <c r="AL460" s="206"/>
      <c r="AM460" s="206"/>
      <c r="AN460" s="206"/>
      <c r="AO460" s="206"/>
      <c r="AP460" s="206"/>
      <c r="AQ460" s="207"/>
      <c r="AR460" s="206"/>
      <c r="AS460" s="206"/>
      <c r="AT460" s="206"/>
      <c r="AU460" s="206"/>
      <c r="AV460" s="206"/>
      <c r="AW460" s="207"/>
      <c r="AX460" s="207"/>
      <c r="AY460" s="207"/>
      <c r="AZ460" s="207"/>
    </row>
    <row r="461" spans="1:52" ht="12.75" x14ac:dyDescent="0.2">
      <c r="A461" s="206"/>
      <c r="B461" s="206"/>
      <c r="C461" s="206"/>
      <c r="D461" s="206"/>
      <c r="E461" s="206"/>
      <c r="F461" s="206"/>
      <c r="G461" s="206"/>
      <c r="H461" s="206"/>
      <c r="I461" s="206"/>
      <c r="J461" s="206"/>
      <c r="K461" s="206"/>
      <c r="L461" s="206"/>
      <c r="M461" s="207"/>
      <c r="N461" s="207"/>
      <c r="O461" s="208"/>
      <c r="P461" s="208"/>
      <c r="Q461" s="208"/>
      <c r="R461" s="206"/>
      <c r="S461" s="206"/>
      <c r="T461" s="206"/>
      <c r="U461" s="206"/>
      <c r="V461" s="206"/>
      <c r="W461" s="206"/>
      <c r="X461" s="207"/>
      <c r="Y461" s="207"/>
      <c r="Z461" s="207"/>
      <c r="AA461" s="206"/>
      <c r="AB461" s="206"/>
      <c r="AC461" s="206"/>
      <c r="AD461" s="206"/>
      <c r="AE461" s="206"/>
      <c r="AF461" s="206"/>
      <c r="AG461" s="206"/>
      <c r="AH461" s="206"/>
      <c r="AI461" s="206"/>
      <c r="AJ461" s="206"/>
      <c r="AK461" s="206"/>
      <c r="AL461" s="206"/>
      <c r="AM461" s="206"/>
      <c r="AN461" s="206"/>
      <c r="AO461" s="206"/>
      <c r="AP461" s="206"/>
      <c r="AQ461" s="207"/>
      <c r="AR461" s="206"/>
      <c r="AS461" s="206"/>
      <c r="AT461" s="206"/>
      <c r="AU461" s="206"/>
      <c r="AV461" s="206"/>
      <c r="AW461" s="207"/>
      <c r="AX461" s="207"/>
      <c r="AY461" s="207"/>
      <c r="AZ461" s="207"/>
    </row>
    <row r="462" spans="1:52" ht="12.75" x14ac:dyDescent="0.2">
      <c r="A462" s="206"/>
      <c r="B462" s="206"/>
      <c r="C462" s="206"/>
      <c r="D462" s="206"/>
      <c r="E462" s="206"/>
      <c r="F462" s="206"/>
      <c r="G462" s="206"/>
      <c r="H462" s="206"/>
      <c r="I462" s="206"/>
      <c r="J462" s="206"/>
      <c r="K462" s="206"/>
      <c r="L462" s="206"/>
      <c r="M462" s="207"/>
      <c r="N462" s="207"/>
      <c r="O462" s="208"/>
      <c r="P462" s="208"/>
      <c r="Q462" s="208"/>
      <c r="R462" s="206"/>
      <c r="S462" s="206"/>
      <c r="T462" s="206"/>
      <c r="U462" s="206"/>
      <c r="V462" s="206"/>
      <c r="W462" s="206"/>
      <c r="X462" s="207"/>
      <c r="Y462" s="207"/>
      <c r="Z462" s="207"/>
      <c r="AA462" s="206"/>
      <c r="AB462" s="206"/>
      <c r="AC462" s="206"/>
      <c r="AD462" s="206"/>
      <c r="AE462" s="206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7"/>
      <c r="AR462" s="206"/>
      <c r="AS462" s="206"/>
      <c r="AT462" s="206"/>
      <c r="AU462" s="206"/>
      <c r="AV462" s="206"/>
      <c r="AW462" s="207"/>
      <c r="AX462" s="207"/>
      <c r="AY462" s="207"/>
      <c r="AZ462" s="207"/>
    </row>
    <row r="463" spans="1:52" ht="12.75" x14ac:dyDescent="0.2">
      <c r="A463" s="206"/>
      <c r="B463" s="206"/>
      <c r="C463" s="206"/>
      <c r="D463" s="206"/>
      <c r="E463" s="206"/>
      <c r="F463" s="206"/>
      <c r="G463" s="206"/>
      <c r="H463" s="206"/>
      <c r="I463" s="206"/>
      <c r="J463" s="206"/>
      <c r="K463" s="206"/>
      <c r="L463" s="206"/>
      <c r="M463" s="207"/>
      <c r="N463" s="207"/>
      <c r="O463" s="208"/>
      <c r="P463" s="208"/>
      <c r="Q463" s="208"/>
      <c r="R463" s="206"/>
      <c r="S463" s="206"/>
      <c r="T463" s="206"/>
      <c r="U463" s="206"/>
      <c r="V463" s="206"/>
      <c r="W463" s="206"/>
      <c r="X463" s="207"/>
      <c r="Y463" s="207"/>
      <c r="Z463" s="207"/>
      <c r="AA463" s="206"/>
      <c r="AB463" s="206"/>
      <c r="AC463" s="206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7"/>
      <c r="AR463" s="206"/>
      <c r="AS463" s="206"/>
      <c r="AT463" s="206"/>
      <c r="AU463" s="206"/>
      <c r="AV463" s="206"/>
      <c r="AW463" s="207"/>
      <c r="AX463" s="207"/>
      <c r="AY463" s="207"/>
      <c r="AZ463" s="207"/>
    </row>
    <row r="464" spans="1:52" ht="12.75" x14ac:dyDescent="0.2">
      <c r="A464" s="206"/>
      <c r="B464" s="206"/>
      <c r="C464" s="206"/>
      <c r="D464" s="206"/>
      <c r="E464" s="206"/>
      <c r="F464" s="206"/>
      <c r="G464" s="206"/>
      <c r="H464" s="206"/>
      <c r="I464" s="206"/>
      <c r="J464" s="206"/>
      <c r="K464" s="206"/>
      <c r="L464" s="206"/>
      <c r="M464" s="207"/>
      <c r="N464" s="207"/>
      <c r="O464" s="208"/>
      <c r="P464" s="208"/>
      <c r="Q464" s="208"/>
      <c r="R464" s="206"/>
      <c r="S464" s="206"/>
      <c r="T464" s="206"/>
      <c r="U464" s="206"/>
      <c r="V464" s="206"/>
      <c r="W464" s="206"/>
      <c r="X464" s="207"/>
      <c r="Y464" s="207"/>
      <c r="Z464" s="207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7"/>
      <c r="AR464" s="206"/>
      <c r="AS464" s="206"/>
      <c r="AT464" s="206"/>
      <c r="AU464" s="206"/>
      <c r="AV464" s="206"/>
      <c r="AW464" s="207"/>
      <c r="AX464" s="207"/>
      <c r="AY464" s="207"/>
      <c r="AZ464" s="207"/>
    </row>
    <row r="465" spans="1:52" ht="12.75" x14ac:dyDescent="0.2">
      <c r="A465" s="206"/>
      <c r="B465" s="206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7"/>
      <c r="N465" s="207"/>
      <c r="O465" s="208"/>
      <c r="P465" s="208"/>
      <c r="Q465" s="208"/>
      <c r="R465" s="206"/>
      <c r="S465" s="206"/>
      <c r="T465" s="206"/>
      <c r="U465" s="206"/>
      <c r="V465" s="206"/>
      <c r="W465" s="206"/>
      <c r="X465" s="207"/>
      <c r="Y465" s="207"/>
      <c r="Z465" s="207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7"/>
      <c r="AR465" s="206"/>
      <c r="AS465" s="206"/>
      <c r="AT465" s="206"/>
      <c r="AU465" s="206"/>
      <c r="AV465" s="206"/>
      <c r="AW465" s="207"/>
      <c r="AX465" s="207"/>
      <c r="AY465" s="207"/>
      <c r="AZ465" s="207"/>
    </row>
    <row r="466" spans="1:52" ht="12.75" x14ac:dyDescent="0.2">
      <c r="A466" s="206"/>
      <c r="B466" s="206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7"/>
      <c r="N466" s="207"/>
      <c r="O466" s="208"/>
      <c r="P466" s="208"/>
      <c r="Q466" s="208"/>
      <c r="R466" s="206"/>
      <c r="S466" s="206"/>
      <c r="T466" s="206"/>
      <c r="U466" s="206"/>
      <c r="V466" s="206"/>
      <c r="W466" s="206"/>
      <c r="X466" s="207"/>
      <c r="Y466" s="207"/>
      <c r="Z466" s="207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7"/>
      <c r="AR466" s="206"/>
      <c r="AS466" s="206"/>
      <c r="AT466" s="206"/>
      <c r="AU466" s="206"/>
      <c r="AV466" s="206"/>
      <c r="AW466" s="207"/>
      <c r="AX466" s="207"/>
      <c r="AY466" s="207"/>
      <c r="AZ466" s="207"/>
    </row>
    <row r="467" spans="1:52" ht="12.75" x14ac:dyDescent="0.2">
      <c r="A467" s="206"/>
      <c r="B467" s="206"/>
      <c r="C467" s="206"/>
      <c r="D467" s="206"/>
      <c r="E467" s="206"/>
      <c r="F467" s="206"/>
      <c r="G467" s="206"/>
      <c r="H467" s="206"/>
      <c r="I467" s="206"/>
      <c r="J467" s="206"/>
      <c r="K467" s="206"/>
      <c r="L467" s="206"/>
      <c r="M467" s="207"/>
      <c r="N467" s="207"/>
      <c r="O467" s="208"/>
      <c r="P467" s="208"/>
      <c r="Q467" s="208"/>
      <c r="R467" s="206"/>
      <c r="S467" s="206"/>
      <c r="T467" s="206"/>
      <c r="U467" s="206"/>
      <c r="V467" s="206"/>
      <c r="W467" s="206"/>
      <c r="X467" s="207"/>
      <c r="Y467" s="207"/>
      <c r="Z467" s="207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7"/>
      <c r="AR467" s="206"/>
      <c r="AS467" s="206"/>
      <c r="AT467" s="206"/>
      <c r="AU467" s="206"/>
      <c r="AV467" s="206"/>
      <c r="AW467" s="207"/>
      <c r="AX467" s="207"/>
      <c r="AY467" s="207"/>
      <c r="AZ467" s="207"/>
    </row>
    <row r="468" spans="1:52" ht="12.75" x14ac:dyDescent="0.2">
      <c r="A468" s="206"/>
      <c r="B468" s="206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7"/>
      <c r="N468" s="207"/>
      <c r="O468" s="208"/>
      <c r="P468" s="208"/>
      <c r="Q468" s="208"/>
      <c r="R468" s="206"/>
      <c r="S468" s="206"/>
      <c r="T468" s="206"/>
      <c r="U468" s="206"/>
      <c r="V468" s="206"/>
      <c r="W468" s="206"/>
      <c r="X468" s="207"/>
      <c r="Y468" s="207"/>
      <c r="Z468" s="207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7"/>
      <c r="AR468" s="206"/>
      <c r="AS468" s="206"/>
      <c r="AT468" s="206"/>
      <c r="AU468" s="206"/>
      <c r="AV468" s="206"/>
      <c r="AW468" s="207"/>
      <c r="AX468" s="207"/>
      <c r="AY468" s="207"/>
      <c r="AZ468" s="207"/>
    </row>
    <row r="469" spans="1:52" ht="12.75" x14ac:dyDescent="0.2">
      <c r="A469" s="206"/>
      <c r="B469" s="206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7"/>
      <c r="N469" s="207"/>
      <c r="O469" s="208"/>
      <c r="P469" s="208"/>
      <c r="Q469" s="208"/>
      <c r="R469" s="206"/>
      <c r="S469" s="206"/>
      <c r="T469" s="206"/>
      <c r="U469" s="206"/>
      <c r="V469" s="206"/>
      <c r="W469" s="206"/>
      <c r="X469" s="207"/>
      <c r="Y469" s="207"/>
      <c r="Z469" s="207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7"/>
      <c r="AR469" s="206"/>
      <c r="AS469" s="206"/>
      <c r="AT469" s="206"/>
      <c r="AU469" s="206"/>
      <c r="AV469" s="206"/>
      <c r="AW469" s="207"/>
      <c r="AX469" s="207"/>
      <c r="AY469" s="207"/>
      <c r="AZ469" s="207"/>
    </row>
    <row r="470" spans="1:52" ht="12.75" x14ac:dyDescent="0.2">
      <c r="A470" s="206"/>
      <c r="B470" s="206"/>
      <c r="C470" s="206"/>
      <c r="D470" s="206"/>
      <c r="E470" s="206"/>
      <c r="F470" s="206"/>
      <c r="G470" s="206"/>
      <c r="H470" s="206"/>
      <c r="I470" s="206"/>
      <c r="J470" s="206"/>
      <c r="K470" s="206"/>
      <c r="L470" s="206"/>
      <c r="M470" s="207"/>
      <c r="N470" s="207"/>
      <c r="O470" s="208"/>
      <c r="P470" s="208"/>
      <c r="Q470" s="208"/>
      <c r="R470" s="206"/>
      <c r="S470" s="206"/>
      <c r="T470" s="206"/>
      <c r="U470" s="206"/>
      <c r="V470" s="206"/>
      <c r="W470" s="206"/>
      <c r="X470" s="207"/>
      <c r="Y470" s="207"/>
      <c r="Z470" s="207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7"/>
      <c r="AR470" s="206"/>
      <c r="AS470" s="206"/>
      <c r="AT470" s="206"/>
      <c r="AU470" s="206"/>
      <c r="AV470" s="206"/>
      <c r="AW470" s="207"/>
      <c r="AX470" s="207"/>
      <c r="AY470" s="207"/>
      <c r="AZ470" s="207"/>
    </row>
    <row r="471" spans="1:52" ht="12.75" x14ac:dyDescent="0.2">
      <c r="A471" s="206"/>
      <c r="B471" s="206"/>
      <c r="C471" s="206"/>
      <c r="D471" s="206"/>
      <c r="E471" s="206"/>
      <c r="F471" s="206"/>
      <c r="G471" s="206"/>
      <c r="H471" s="206"/>
      <c r="I471" s="206"/>
      <c r="J471" s="206"/>
      <c r="K471" s="206"/>
      <c r="L471" s="206"/>
      <c r="M471" s="207"/>
      <c r="N471" s="207"/>
      <c r="O471" s="208"/>
      <c r="P471" s="208"/>
      <c r="Q471" s="208"/>
      <c r="R471" s="206"/>
      <c r="S471" s="206"/>
      <c r="T471" s="206"/>
      <c r="U471" s="206"/>
      <c r="V471" s="206"/>
      <c r="W471" s="206"/>
      <c r="X471" s="207"/>
      <c r="Y471" s="207"/>
      <c r="Z471" s="207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7"/>
      <c r="AR471" s="206"/>
      <c r="AS471" s="206"/>
      <c r="AT471" s="206"/>
      <c r="AU471" s="206"/>
      <c r="AV471" s="206"/>
      <c r="AW471" s="207"/>
      <c r="AX471" s="207"/>
      <c r="AY471" s="207"/>
      <c r="AZ471" s="207"/>
    </row>
    <row r="472" spans="1:52" ht="12.75" x14ac:dyDescent="0.2">
      <c r="A472" s="206"/>
      <c r="B472" s="206"/>
      <c r="C472" s="206"/>
      <c r="D472" s="206"/>
      <c r="E472" s="206"/>
      <c r="F472" s="206"/>
      <c r="G472" s="206"/>
      <c r="H472" s="206"/>
      <c r="I472" s="206"/>
      <c r="J472" s="206"/>
      <c r="K472" s="206"/>
      <c r="L472" s="206"/>
      <c r="M472" s="207"/>
      <c r="N472" s="207"/>
      <c r="O472" s="208"/>
      <c r="P472" s="208"/>
      <c r="Q472" s="208"/>
      <c r="R472" s="206"/>
      <c r="S472" s="206"/>
      <c r="T472" s="206"/>
      <c r="U472" s="206"/>
      <c r="V472" s="206"/>
      <c r="W472" s="206"/>
      <c r="X472" s="207"/>
      <c r="Y472" s="207"/>
      <c r="Z472" s="207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7"/>
      <c r="AR472" s="206"/>
      <c r="AS472" s="206"/>
      <c r="AT472" s="206"/>
      <c r="AU472" s="206"/>
      <c r="AV472" s="206"/>
      <c r="AW472" s="207"/>
      <c r="AX472" s="207"/>
      <c r="AY472" s="207"/>
      <c r="AZ472" s="207"/>
    </row>
    <row r="473" spans="1:52" ht="12.75" x14ac:dyDescent="0.2">
      <c r="A473" s="206"/>
      <c r="B473" s="206"/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07"/>
      <c r="N473" s="207"/>
      <c r="O473" s="208"/>
      <c r="P473" s="208"/>
      <c r="Q473" s="208"/>
      <c r="R473" s="206"/>
      <c r="S473" s="206"/>
      <c r="T473" s="206"/>
      <c r="U473" s="206"/>
      <c r="V473" s="206"/>
      <c r="W473" s="206"/>
      <c r="X473" s="207"/>
      <c r="Y473" s="207"/>
      <c r="Z473" s="207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7"/>
      <c r="AR473" s="206"/>
      <c r="AS473" s="206"/>
      <c r="AT473" s="206"/>
      <c r="AU473" s="206"/>
      <c r="AV473" s="206"/>
      <c r="AW473" s="207"/>
      <c r="AX473" s="207"/>
      <c r="AY473" s="207"/>
      <c r="AZ473" s="207"/>
    </row>
    <row r="474" spans="1:52" ht="12.75" x14ac:dyDescent="0.2">
      <c r="A474" s="206"/>
      <c r="B474" s="206"/>
      <c r="C474" s="206"/>
      <c r="D474" s="206"/>
      <c r="E474" s="206"/>
      <c r="F474" s="206"/>
      <c r="G474" s="206"/>
      <c r="H474" s="206"/>
      <c r="I474" s="206"/>
      <c r="J474" s="206"/>
      <c r="K474" s="206"/>
      <c r="L474" s="206"/>
      <c r="M474" s="207"/>
      <c r="N474" s="207"/>
      <c r="O474" s="208"/>
      <c r="P474" s="208"/>
      <c r="Q474" s="208"/>
      <c r="R474" s="206"/>
      <c r="S474" s="206"/>
      <c r="T474" s="206"/>
      <c r="U474" s="206"/>
      <c r="V474" s="206"/>
      <c r="W474" s="206"/>
      <c r="X474" s="207"/>
      <c r="Y474" s="207"/>
      <c r="Z474" s="207"/>
      <c r="AA474" s="206"/>
      <c r="AB474" s="206"/>
      <c r="AC474" s="206"/>
      <c r="AD474" s="206"/>
      <c r="AE474" s="206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7"/>
      <c r="AR474" s="206"/>
      <c r="AS474" s="206"/>
      <c r="AT474" s="206"/>
      <c r="AU474" s="206"/>
      <c r="AV474" s="206"/>
      <c r="AW474" s="207"/>
      <c r="AX474" s="207"/>
      <c r="AY474" s="207"/>
      <c r="AZ474" s="207"/>
    </row>
    <row r="475" spans="1:52" ht="12.75" x14ac:dyDescent="0.2">
      <c r="A475" s="206"/>
      <c r="B475" s="206"/>
      <c r="C475" s="206"/>
      <c r="D475" s="206"/>
      <c r="E475" s="206"/>
      <c r="F475" s="206"/>
      <c r="G475" s="206"/>
      <c r="H475" s="206"/>
      <c r="I475" s="206"/>
      <c r="J475" s="206"/>
      <c r="K475" s="206"/>
      <c r="L475" s="206"/>
      <c r="M475" s="207"/>
      <c r="N475" s="207"/>
      <c r="O475" s="208"/>
      <c r="P475" s="208"/>
      <c r="Q475" s="208"/>
      <c r="R475" s="206"/>
      <c r="S475" s="206"/>
      <c r="T475" s="206"/>
      <c r="U475" s="206"/>
      <c r="V475" s="206"/>
      <c r="W475" s="206"/>
      <c r="X475" s="207"/>
      <c r="Y475" s="207"/>
      <c r="Z475" s="207"/>
      <c r="AA475" s="206"/>
      <c r="AB475" s="206"/>
      <c r="AC475" s="206"/>
      <c r="AD475" s="206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7"/>
      <c r="AR475" s="206"/>
      <c r="AS475" s="206"/>
      <c r="AT475" s="206"/>
      <c r="AU475" s="206"/>
      <c r="AV475" s="206"/>
      <c r="AW475" s="207"/>
      <c r="AX475" s="207"/>
      <c r="AY475" s="207"/>
      <c r="AZ475" s="207"/>
    </row>
    <row r="476" spans="1:52" ht="12.75" x14ac:dyDescent="0.2">
      <c r="A476" s="206"/>
      <c r="B476" s="206"/>
      <c r="C476" s="206"/>
      <c r="D476" s="206"/>
      <c r="E476" s="206"/>
      <c r="F476" s="206"/>
      <c r="G476" s="206"/>
      <c r="H476" s="206"/>
      <c r="I476" s="206"/>
      <c r="J476" s="206"/>
      <c r="K476" s="206"/>
      <c r="L476" s="206"/>
      <c r="M476" s="207"/>
      <c r="N476" s="207"/>
      <c r="O476" s="208"/>
      <c r="P476" s="208"/>
      <c r="Q476" s="208"/>
      <c r="R476" s="206"/>
      <c r="S476" s="206"/>
      <c r="T476" s="206"/>
      <c r="U476" s="206"/>
      <c r="V476" s="206"/>
      <c r="W476" s="206"/>
      <c r="X476" s="207"/>
      <c r="Y476" s="207"/>
      <c r="Z476" s="207"/>
      <c r="AA476" s="206"/>
      <c r="AB476" s="206"/>
      <c r="AC476" s="206"/>
      <c r="AD476" s="206"/>
      <c r="AE476" s="206"/>
      <c r="AF476" s="206"/>
      <c r="AG476" s="206"/>
      <c r="AH476" s="206"/>
      <c r="AI476" s="206"/>
      <c r="AJ476" s="206"/>
      <c r="AK476" s="206"/>
      <c r="AL476" s="206"/>
      <c r="AM476" s="206"/>
      <c r="AN476" s="206"/>
      <c r="AO476" s="206"/>
      <c r="AP476" s="206"/>
      <c r="AQ476" s="207"/>
      <c r="AR476" s="206"/>
      <c r="AS476" s="206"/>
      <c r="AT476" s="206"/>
      <c r="AU476" s="206"/>
      <c r="AV476" s="206"/>
      <c r="AW476" s="207"/>
      <c r="AX476" s="207"/>
      <c r="AY476" s="207"/>
      <c r="AZ476" s="207"/>
    </row>
    <row r="477" spans="1:52" ht="12.75" x14ac:dyDescent="0.2">
      <c r="A477" s="206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07"/>
      <c r="N477" s="207"/>
      <c r="O477" s="208"/>
      <c r="P477" s="208"/>
      <c r="Q477" s="208"/>
      <c r="R477" s="206"/>
      <c r="S477" s="206"/>
      <c r="T477" s="206"/>
      <c r="U477" s="206"/>
      <c r="V477" s="206"/>
      <c r="W477" s="206"/>
      <c r="X477" s="207"/>
      <c r="Y477" s="207"/>
      <c r="Z477" s="207"/>
      <c r="AA477" s="206"/>
      <c r="AB477" s="206"/>
      <c r="AC477" s="206"/>
      <c r="AD477" s="206"/>
      <c r="AE477" s="206"/>
      <c r="AF477" s="206"/>
      <c r="AG477" s="206"/>
      <c r="AH477" s="206"/>
      <c r="AI477" s="206"/>
      <c r="AJ477" s="206"/>
      <c r="AK477" s="206"/>
      <c r="AL477" s="206"/>
      <c r="AM477" s="206"/>
      <c r="AN477" s="206"/>
      <c r="AO477" s="206"/>
      <c r="AP477" s="206"/>
      <c r="AQ477" s="207"/>
      <c r="AR477" s="206"/>
      <c r="AS477" s="206"/>
      <c r="AT477" s="206"/>
      <c r="AU477" s="206"/>
      <c r="AV477" s="206"/>
      <c r="AW477" s="207"/>
      <c r="AX477" s="207"/>
      <c r="AY477" s="207"/>
      <c r="AZ477" s="207"/>
    </row>
    <row r="478" spans="1:52" ht="12.75" x14ac:dyDescent="0.2">
      <c r="A478" s="206"/>
      <c r="B478" s="206"/>
      <c r="C478" s="206"/>
      <c r="D478" s="206"/>
      <c r="E478" s="206"/>
      <c r="F478" s="206"/>
      <c r="G478" s="206"/>
      <c r="H478" s="206"/>
      <c r="I478" s="206"/>
      <c r="J478" s="206"/>
      <c r="K478" s="206"/>
      <c r="L478" s="206"/>
      <c r="M478" s="207"/>
      <c r="N478" s="207"/>
      <c r="O478" s="208"/>
      <c r="P478" s="208"/>
      <c r="Q478" s="208"/>
      <c r="R478" s="206"/>
      <c r="S478" s="206"/>
      <c r="T478" s="206"/>
      <c r="U478" s="206"/>
      <c r="V478" s="206"/>
      <c r="W478" s="206"/>
      <c r="X478" s="207"/>
      <c r="Y478" s="207"/>
      <c r="Z478" s="207"/>
      <c r="AA478" s="206"/>
      <c r="AB478" s="206"/>
      <c r="AC478" s="206"/>
      <c r="AD478" s="206"/>
      <c r="AE478" s="206"/>
      <c r="AF478" s="206"/>
      <c r="AG478" s="206"/>
      <c r="AH478" s="206"/>
      <c r="AI478" s="206"/>
      <c r="AJ478" s="206"/>
      <c r="AK478" s="206"/>
      <c r="AL478" s="206"/>
      <c r="AM478" s="206"/>
      <c r="AN478" s="206"/>
      <c r="AO478" s="206"/>
      <c r="AP478" s="206"/>
      <c r="AQ478" s="207"/>
      <c r="AR478" s="206"/>
      <c r="AS478" s="206"/>
      <c r="AT478" s="206"/>
      <c r="AU478" s="206"/>
      <c r="AV478" s="206"/>
      <c r="AW478" s="207"/>
      <c r="AX478" s="207"/>
      <c r="AY478" s="207"/>
      <c r="AZ478" s="207"/>
    </row>
    <row r="479" spans="1:52" ht="12.75" x14ac:dyDescent="0.2">
      <c r="A479" s="206"/>
      <c r="B479" s="206"/>
      <c r="C479" s="206"/>
      <c r="D479" s="206"/>
      <c r="E479" s="206"/>
      <c r="F479" s="206"/>
      <c r="G479" s="206"/>
      <c r="H479" s="206"/>
      <c r="I479" s="206"/>
      <c r="J479" s="206"/>
      <c r="K479" s="206"/>
      <c r="L479" s="206"/>
      <c r="M479" s="207"/>
      <c r="N479" s="207"/>
      <c r="O479" s="208"/>
      <c r="P479" s="208"/>
      <c r="Q479" s="208"/>
      <c r="R479" s="206"/>
      <c r="S479" s="206"/>
      <c r="T479" s="206"/>
      <c r="U479" s="206"/>
      <c r="V479" s="206"/>
      <c r="W479" s="206"/>
      <c r="X479" s="207"/>
      <c r="Y479" s="207"/>
      <c r="Z479" s="207"/>
      <c r="AA479" s="206"/>
      <c r="AB479" s="206"/>
      <c r="AC479" s="206"/>
      <c r="AD479" s="206"/>
      <c r="AE479" s="206"/>
      <c r="AF479" s="206"/>
      <c r="AG479" s="206"/>
      <c r="AH479" s="206"/>
      <c r="AI479" s="206"/>
      <c r="AJ479" s="206"/>
      <c r="AK479" s="206"/>
      <c r="AL479" s="206"/>
      <c r="AM479" s="206"/>
      <c r="AN479" s="206"/>
      <c r="AO479" s="206"/>
      <c r="AP479" s="206"/>
      <c r="AQ479" s="207"/>
      <c r="AR479" s="206"/>
      <c r="AS479" s="206"/>
      <c r="AT479" s="206"/>
      <c r="AU479" s="206"/>
      <c r="AV479" s="206"/>
      <c r="AW479" s="207"/>
      <c r="AX479" s="207"/>
      <c r="AY479" s="207"/>
      <c r="AZ479" s="207"/>
    </row>
    <row r="480" spans="1:52" ht="12.75" x14ac:dyDescent="0.2">
      <c r="A480" s="206"/>
      <c r="B480" s="206"/>
      <c r="C480" s="206"/>
      <c r="D480" s="206"/>
      <c r="E480" s="206"/>
      <c r="F480" s="206"/>
      <c r="G480" s="206"/>
      <c r="H480" s="206"/>
      <c r="I480" s="206"/>
      <c r="J480" s="206"/>
      <c r="K480" s="206"/>
      <c r="L480" s="206"/>
      <c r="M480" s="207"/>
      <c r="N480" s="207"/>
      <c r="O480" s="208"/>
      <c r="P480" s="208"/>
      <c r="Q480" s="208"/>
      <c r="R480" s="206"/>
      <c r="S480" s="206"/>
      <c r="T480" s="206"/>
      <c r="U480" s="206"/>
      <c r="V480" s="206"/>
      <c r="W480" s="206"/>
      <c r="X480" s="207"/>
      <c r="Y480" s="207"/>
      <c r="Z480" s="207"/>
      <c r="AA480" s="206"/>
      <c r="AB480" s="206"/>
      <c r="AC480" s="206"/>
      <c r="AD480" s="206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6"/>
      <c r="AQ480" s="207"/>
      <c r="AR480" s="206"/>
      <c r="AS480" s="206"/>
      <c r="AT480" s="206"/>
      <c r="AU480" s="206"/>
      <c r="AV480" s="206"/>
      <c r="AW480" s="207"/>
      <c r="AX480" s="207"/>
      <c r="AY480" s="207"/>
      <c r="AZ480" s="207"/>
    </row>
    <row r="481" spans="1:52" ht="12.75" x14ac:dyDescent="0.2">
      <c r="A481" s="206"/>
      <c r="B481" s="206"/>
      <c r="C481" s="206"/>
      <c r="D481" s="206"/>
      <c r="E481" s="206"/>
      <c r="F481" s="206"/>
      <c r="G481" s="206"/>
      <c r="H481" s="206"/>
      <c r="I481" s="206"/>
      <c r="J481" s="206"/>
      <c r="K481" s="206"/>
      <c r="L481" s="206"/>
      <c r="M481" s="207"/>
      <c r="N481" s="207"/>
      <c r="O481" s="208"/>
      <c r="P481" s="208"/>
      <c r="Q481" s="208"/>
      <c r="R481" s="206"/>
      <c r="S481" s="206"/>
      <c r="T481" s="206"/>
      <c r="U481" s="206"/>
      <c r="V481" s="206"/>
      <c r="W481" s="206"/>
      <c r="X481" s="207"/>
      <c r="Y481" s="207"/>
      <c r="Z481" s="207"/>
      <c r="AA481" s="206"/>
      <c r="AB481" s="206"/>
      <c r="AC481" s="206"/>
      <c r="AD481" s="206"/>
      <c r="AE481" s="206"/>
      <c r="AF481" s="206"/>
      <c r="AG481" s="206"/>
      <c r="AH481" s="206"/>
      <c r="AI481" s="206"/>
      <c r="AJ481" s="206"/>
      <c r="AK481" s="206"/>
      <c r="AL481" s="206"/>
      <c r="AM481" s="206"/>
      <c r="AN481" s="206"/>
      <c r="AO481" s="206"/>
      <c r="AP481" s="206"/>
      <c r="AQ481" s="207"/>
      <c r="AR481" s="206"/>
      <c r="AS481" s="206"/>
      <c r="AT481" s="206"/>
      <c r="AU481" s="206"/>
      <c r="AV481" s="206"/>
      <c r="AW481" s="207"/>
      <c r="AX481" s="207"/>
      <c r="AY481" s="207"/>
      <c r="AZ481" s="207"/>
    </row>
    <row r="482" spans="1:52" ht="12.75" x14ac:dyDescent="0.2">
      <c r="A482" s="206"/>
      <c r="B482" s="206"/>
      <c r="C482" s="206"/>
      <c r="D482" s="206"/>
      <c r="E482" s="206"/>
      <c r="F482" s="206"/>
      <c r="G482" s="206"/>
      <c r="H482" s="206"/>
      <c r="I482" s="206"/>
      <c r="J482" s="206"/>
      <c r="K482" s="206"/>
      <c r="L482" s="206"/>
      <c r="M482" s="207"/>
      <c r="N482" s="207"/>
      <c r="O482" s="208"/>
      <c r="P482" s="208"/>
      <c r="Q482" s="208"/>
      <c r="R482" s="206"/>
      <c r="S482" s="206"/>
      <c r="T482" s="206"/>
      <c r="U482" s="206"/>
      <c r="V482" s="206"/>
      <c r="W482" s="206"/>
      <c r="X482" s="207"/>
      <c r="Y482" s="207"/>
      <c r="Z482" s="207"/>
      <c r="AA482" s="206"/>
      <c r="AB482" s="206"/>
      <c r="AC482" s="206"/>
      <c r="AD482" s="206"/>
      <c r="AE482" s="206"/>
      <c r="AF482" s="206"/>
      <c r="AG482" s="206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7"/>
      <c r="AR482" s="206"/>
      <c r="AS482" s="206"/>
      <c r="AT482" s="206"/>
      <c r="AU482" s="206"/>
      <c r="AV482" s="206"/>
      <c r="AW482" s="207"/>
      <c r="AX482" s="207"/>
      <c r="AY482" s="207"/>
      <c r="AZ482" s="207"/>
    </row>
    <row r="483" spans="1:52" ht="12.75" x14ac:dyDescent="0.2">
      <c r="A483" s="206"/>
      <c r="B483" s="206"/>
      <c r="C483" s="206"/>
      <c r="D483" s="206"/>
      <c r="E483" s="206"/>
      <c r="F483" s="206"/>
      <c r="G483" s="206"/>
      <c r="H483" s="206"/>
      <c r="I483" s="206"/>
      <c r="J483" s="206"/>
      <c r="K483" s="206"/>
      <c r="L483" s="206"/>
      <c r="M483" s="207"/>
      <c r="N483" s="207"/>
      <c r="O483" s="208"/>
      <c r="P483" s="208"/>
      <c r="Q483" s="208"/>
      <c r="R483" s="206"/>
      <c r="S483" s="206"/>
      <c r="T483" s="206"/>
      <c r="U483" s="206"/>
      <c r="V483" s="206"/>
      <c r="W483" s="206"/>
      <c r="X483" s="207"/>
      <c r="Y483" s="207"/>
      <c r="Z483" s="207"/>
      <c r="AA483" s="206"/>
      <c r="AB483" s="206"/>
      <c r="AC483" s="206"/>
      <c r="AD483" s="206"/>
      <c r="AE483" s="206"/>
      <c r="AF483" s="206"/>
      <c r="AG483" s="206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7"/>
      <c r="AR483" s="206"/>
      <c r="AS483" s="206"/>
      <c r="AT483" s="206"/>
      <c r="AU483" s="206"/>
      <c r="AV483" s="206"/>
      <c r="AW483" s="207"/>
      <c r="AX483" s="207"/>
      <c r="AY483" s="207"/>
      <c r="AZ483" s="207"/>
    </row>
    <row r="484" spans="1:52" ht="12.75" x14ac:dyDescent="0.2">
      <c r="A484" s="206"/>
      <c r="B484" s="206"/>
      <c r="C484" s="206"/>
      <c r="D484" s="206"/>
      <c r="E484" s="206"/>
      <c r="F484" s="206"/>
      <c r="G484" s="206"/>
      <c r="H484" s="206"/>
      <c r="I484" s="206"/>
      <c r="J484" s="206"/>
      <c r="K484" s="206"/>
      <c r="L484" s="206"/>
      <c r="M484" s="207"/>
      <c r="N484" s="207"/>
      <c r="O484" s="208"/>
      <c r="P484" s="208"/>
      <c r="Q484" s="208"/>
      <c r="R484" s="206"/>
      <c r="S484" s="206"/>
      <c r="T484" s="206"/>
      <c r="U484" s="206"/>
      <c r="V484" s="206"/>
      <c r="W484" s="206"/>
      <c r="X484" s="207"/>
      <c r="Y484" s="207"/>
      <c r="Z484" s="207"/>
      <c r="AA484" s="206"/>
      <c r="AB484" s="206"/>
      <c r="AC484" s="206"/>
      <c r="AD484" s="206"/>
      <c r="AE484" s="206"/>
      <c r="AF484" s="206"/>
      <c r="AG484" s="206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7"/>
      <c r="AR484" s="206"/>
      <c r="AS484" s="206"/>
      <c r="AT484" s="206"/>
      <c r="AU484" s="206"/>
      <c r="AV484" s="206"/>
      <c r="AW484" s="207"/>
      <c r="AX484" s="207"/>
      <c r="AY484" s="207"/>
      <c r="AZ484" s="207"/>
    </row>
    <row r="485" spans="1:52" ht="12.75" x14ac:dyDescent="0.2">
      <c r="A485" s="206"/>
      <c r="B485" s="206"/>
      <c r="C485" s="206"/>
      <c r="D485" s="206"/>
      <c r="E485" s="206"/>
      <c r="F485" s="206"/>
      <c r="G485" s="206"/>
      <c r="H485" s="206"/>
      <c r="I485" s="206"/>
      <c r="J485" s="206"/>
      <c r="K485" s="206"/>
      <c r="L485" s="206"/>
      <c r="M485" s="207"/>
      <c r="N485" s="207"/>
      <c r="O485" s="208"/>
      <c r="P485" s="208"/>
      <c r="Q485" s="208"/>
      <c r="R485" s="206"/>
      <c r="S485" s="206"/>
      <c r="T485" s="206"/>
      <c r="U485" s="206"/>
      <c r="V485" s="206"/>
      <c r="W485" s="206"/>
      <c r="X485" s="207"/>
      <c r="Y485" s="207"/>
      <c r="Z485" s="207"/>
      <c r="AA485" s="206"/>
      <c r="AB485" s="206"/>
      <c r="AC485" s="206"/>
      <c r="AD485" s="206"/>
      <c r="AE485" s="206"/>
      <c r="AF485" s="206"/>
      <c r="AG485" s="206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7"/>
      <c r="AR485" s="206"/>
      <c r="AS485" s="206"/>
      <c r="AT485" s="206"/>
      <c r="AU485" s="206"/>
      <c r="AV485" s="206"/>
      <c r="AW485" s="207"/>
      <c r="AX485" s="207"/>
      <c r="AY485" s="207"/>
      <c r="AZ485" s="207"/>
    </row>
    <row r="486" spans="1:52" ht="12.75" x14ac:dyDescent="0.2">
      <c r="A486" s="206"/>
      <c r="B486" s="206"/>
      <c r="C486" s="206"/>
      <c r="D486" s="206"/>
      <c r="E486" s="206"/>
      <c r="F486" s="206"/>
      <c r="G486" s="206"/>
      <c r="H486" s="206"/>
      <c r="I486" s="206"/>
      <c r="J486" s="206"/>
      <c r="K486" s="206"/>
      <c r="L486" s="206"/>
      <c r="M486" s="207"/>
      <c r="N486" s="207"/>
      <c r="O486" s="208"/>
      <c r="P486" s="208"/>
      <c r="Q486" s="208"/>
      <c r="R486" s="206"/>
      <c r="S486" s="206"/>
      <c r="T486" s="206"/>
      <c r="U486" s="206"/>
      <c r="V486" s="206"/>
      <c r="W486" s="206"/>
      <c r="X486" s="207"/>
      <c r="Y486" s="207"/>
      <c r="Z486" s="207"/>
      <c r="AA486" s="206"/>
      <c r="AB486" s="206"/>
      <c r="AC486" s="206"/>
      <c r="AD486" s="206"/>
      <c r="AE486" s="206"/>
      <c r="AF486" s="206"/>
      <c r="AG486" s="206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7"/>
      <c r="AR486" s="206"/>
      <c r="AS486" s="206"/>
      <c r="AT486" s="206"/>
      <c r="AU486" s="206"/>
      <c r="AV486" s="206"/>
      <c r="AW486" s="207"/>
      <c r="AX486" s="207"/>
      <c r="AY486" s="207"/>
      <c r="AZ486" s="207"/>
    </row>
    <row r="487" spans="1:52" ht="12.75" x14ac:dyDescent="0.2">
      <c r="A487" s="206"/>
      <c r="B487" s="206"/>
      <c r="C487" s="206"/>
      <c r="D487" s="206"/>
      <c r="E487" s="206"/>
      <c r="F487" s="206"/>
      <c r="G487" s="206"/>
      <c r="H487" s="206"/>
      <c r="I487" s="206"/>
      <c r="J487" s="206"/>
      <c r="K487" s="206"/>
      <c r="L487" s="206"/>
      <c r="M487" s="207"/>
      <c r="N487" s="207"/>
      <c r="O487" s="208"/>
      <c r="P487" s="208"/>
      <c r="Q487" s="208"/>
      <c r="R487" s="206"/>
      <c r="S487" s="206"/>
      <c r="T487" s="206"/>
      <c r="U487" s="206"/>
      <c r="V487" s="206"/>
      <c r="W487" s="206"/>
      <c r="X487" s="207"/>
      <c r="Y487" s="207"/>
      <c r="Z487" s="207"/>
      <c r="AA487" s="206"/>
      <c r="AB487" s="206"/>
      <c r="AC487" s="206"/>
      <c r="AD487" s="206"/>
      <c r="AE487" s="206"/>
      <c r="AF487" s="206"/>
      <c r="AG487" s="206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7"/>
      <c r="AR487" s="206"/>
      <c r="AS487" s="206"/>
      <c r="AT487" s="206"/>
      <c r="AU487" s="206"/>
      <c r="AV487" s="206"/>
      <c r="AW487" s="207"/>
      <c r="AX487" s="207"/>
      <c r="AY487" s="207"/>
      <c r="AZ487" s="207"/>
    </row>
    <row r="488" spans="1:52" ht="12.75" x14ac:dyDescent="0.2">
      <c r="A488" s="206"/>
      <c r="B488" s="206"/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07"/>
      <c r="N488" s="207"/>
      <c r="O488" s="208"/>
      <c r="P488" s="208"/>
      <c r="Q488" s="208"/>
      <c r="R488" s="206"/>
      <c r="S488" s="206"/>
      <c r="T488" s="206"/>
      <c r="U488" s="206"/>
      <c r="V488" s="206"/>
      <c r="W488" s="206"/>
      <c r="X488" s="207"/>
      <c r="Y488" s="207"/>
      <c r="Z488" s="207"/>
      <c r="AA488" s="206"/>
      <c r="AB488" s="206"/>
      <c r="AC488" s="206"/>
      <c r="AD488" s="206"/>
      <c r="AE488" s="206"/>
      <c r="AF488" s="206"/>
      <c r="AG488" s="206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7"/>
      <c r="AR488" s="206"/>
      <c r="AS488" s="206"/>
      <c r="AT488" s="206"/>
      <c r="AU488" s="206"/>
      <c r="AV488" s="206"/>
      <c r="AW488" s="207"/>
      <c r="AX488" s="207"/>
      <c r="AY488" s="207"/>
      <c r="AZ488" s="207"/>
    </row>
    <row r="489" spans="1:52" ht="12.75" x14ac:dyDescent="0.2">
      <c r="A489" s="206"/>
      <c r="B489" s="206"/>
      <c r="C489" s="206"/>
      <c r="D489" s="206"/>
      <c r="E489" s="206"/>
      <c r="F489" s="206"/>
      <c r="G489" s="206"/>
      <c r="H489" s="206"/>
      <c r="I489" s="206"/>
      <c r="J489" s="206"/>
      <c r="K489" s="206"/>
      <c r="L489" s="206"/>
      <c r="M489" s="207"/>
      <c r="N489" s="207"/>
      <c r="O489" s="208"/>
      <c r="P489" s="208"/>
      <c r="Q489" s="208"/>
      <c r="R489" s="206"/>
      <c r="S489" s="206"/>
      <c r="T489" s="206"/>
      <c r="U489" s="206"/>
      <c r="V489" s="206"/>
      <c r="W489" s="206"/>
      <c r="X489" s="207"/>
      <c r="Y489" s="207"/>
      <c r="Z489" s="207"/>
      <c r="AA489" s="206"/>
      <c r="AB489" s="206"/>
      <c r="AC489" s="206"/>
      <c r="AD489" s="206"/>
      <c r="AE489" s="206"/>
      <c r="AF489" s="206"/>
      <c r="AG489" s="206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7"/>
      <c r="AR489" s="206"/>
      <c r="AS489" s="206"/>
      <c r="AT489" s="206"/>
      <c r="AU489" s="206"/>
      <c r="AV489" s="206"/>
      <c r="AW489" s="207"/>
      <c r="AX489" s="207"/>
      <c r="AY489" s="207"/>
      <c r="AZ489" s="207"/>
    </row>
    <row r="490" spans="1:52" ht="12.75" x14ac:dyDescent="0.2">
      <c r="A490" s="206"/>
      <c r="B490" s="206"/>
      <c r="C490" s="206"/>
      <c r="D490" s="206"/>
      <c r="E490" s="206"/>
      <c r="F490" s="206"/>
      <c r="G490" s="206"/>
      <c r="H490" s="206"/>
      <c r="I490" s="206"/>
      <c r="J490" s="206"/>
      <c r="K490" s="206"/>
      <c r="L490" s="206"/>
      <c r="M490" s="207"/>
      <c r="N490" s="207"/>
      <c r="O490" s="208"/>
      <c r="P490" s="208"/>
      <c r="Q490" s="208"/>
      <c r="R490" s="206"/>
      <c r="S490" s="206"/>
      <c r="T490" s="206"/>
      <c r="U490" s="206"/>
      <c r="V490" s="206"/>
      <c r="W490" s="206"/>
      <c r="X490" s="207"/>
      <c r="Y490" s="207"/>
      <c r="Z490" s="207"/>
      <c r="AA490" s="206"/>
      <c r="AB490" s="206"/>
      <c r="AC490" s="206"/>
      <c r="AD490" s="206"/>
      <c r="AE490" s="206"/>
      <c r="AF490" s="206"/>
      <c r="AG490" s="206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7"/>
      <c r="AR490" s="206"/>
      <c r="AS490" s="206"/>
      <c r="AT490" s="206"/>
      <c r="AU490" s="206"/>
      <c r="AV490" s="206"/>
      <c r="AW490" s="207"/>
      <c r="AX490" s="207"/>
      <c r="AY490" s="207"/>
      <c r="AZ490" s="207"/>
    </row>
    <row r="491" spans="1:52" ht="12.75" x14ac:dyDescent="0.2">
      <c r="A491" s="206"/>
      <c r="B491" s="206"/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07"/>
      <c r="N491" s="207"/>
      <c r="O491" s="208"/>
      <c r="P491" s="208"/>
      <c r="Q491" s="208"/>
      <c r="R491" s="206"/>
      <c r="S491" s="206"/>
      <c r="T491" s="206"/>
      <c r="U491" s="206"/>
      <c r="V491" s="206"/>
      <c r="W491" s="206"/>
      <c r="X491" s="207"/>
      <c r="Y491" s="207"/>
      <c r="Z491" s="207"/>
      <c r="AA491" s="206"/>
      <c r="AB491" s="206"/>
      <c r="AC491" s="206"/>
      <c r="AD491" s="206"/>
      <c r="AE491" s="206"/>
      <c r="AF491" s="206"/>
      <c r="AG491" s="206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7"/>
      <c r="AR491" s="206"/>
      <c r="AS491" s="206"/>
      <c r="AT491" s="206"/>
      <c r="AU491" s="206"/>
      <c r="AV491" s="206"/>
      <c r="AW491" s="207"/>
      <c r="AX491" s="207"/>
      <c r="AY491" s="207"/>
      <c r="AZ491" s="207"/>
    </row>
    <row r="492" spans="1:52" ht="12.75" x14ac:dyDescent="0.2">
      <c r="A492" s="206"/>
      <c r="B492" s="206"/>
      <c r="C492" s="206"/>
      <c r="D492" s="206"/>
      <c r="E492" s="206"/>
      <c r="F492" s="206"/>
      <c r="G492" s="206"/>
      <c r="H492" s="206"/>
      <c r="I492" s="206"/>
      <c r="J492" s="206"/>
      <c r="K492" s="206"/>
      <c r="L492" s="206"/>
      <c r="M492" s="207"/>
      <c r="N492" s="207"/>
      <c r="O492" s="208"/>
      <c r="P492" s="208"/>
      <c r="Q492" s="208"/>
      <c r="R492" s="206"/>
      <c r="S492" s="206"/>
      <c r="T492" s="206"/>
      <c r="U492" s="206"/>
      <c r="V492" s="206"/>
      <c r="W492" s="206"/>
      <c r="X492" s="207"/>
      <c r="Y492" s="207"/>
      <c r="Z492" s="207"/>
      <c r="AA492" s="206"/>
      <c r="AB492" s="206"/>
      <c r="AC492" s="206"/>
      <c r="AD492" s="206"/>
      <c r="AE492" s="206"/>
      <c r="AF492" s="206"/>
      <c r="AG492" s="206"/>
      <c r="AH492" s="206"/>
      <c r="AI492" s="206"/>
      <c r="AJ492" s="206"/>
      <c r="AK492" s="206"/>
      <c r="AL492" s="206"/>
      <c r="AM492" s="206"/>
      <c r="AN492" s="206"/>
      <c r="AO492" s="206"/>
      <c r="AP492" s="206"/>
      <c r="AQ492" s="207"/>
      <c r="AR492" s="206"/>
      <c r="AS492" s="206"/>
      <c r="AT492" s="206"/>
      <c r="AU492" s="206"/>
      <c r="AV492" s="206"/>
      <c r="AW492" s="207"/>
      <c r="AX492" s="207"/>
      <c r="AY492" s="207"/>
      <c r="AZ492" s="207"/>
    </row>
    <row r="493" spans="1:52" ht="12.75" x14ac:dyDescent="0.2">
      <c r="A493" s="206"/>
      <c r="B493" s="206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7"/>
      <c r="N493" s="207"/>
      <c r="O493" s="208"/>
      <c r="P493" s="208"/>
      <c r="Q493" s="208"/>
      <c r="R493" s="206"/>
      <c r="S493" s="206"/>
      <c r="T493" s="206"/>
      <c r="U493" s="206"/>
      <c r="V493" s="206"/>
      <c r="W493" s="206"/>
      <c r="X493" s="207"/>
      <c r="Y493" s="207"/>
      <c r="Z493" s="207"/>
      <c r="AA493" s="206"/>
      <c r="AB493" s="206"/>
      <c r="AC493" s="206"/>
      <c r="AD493" s="206"/>
      <c r="AE493" s="206"/>
      <c r="AF493" s="206"/>
      <c r="AG493" s="206"/>
      <c r="AH493" s="206"/>
      <c r="AI493" s="206"/>
      <c r="AJ493" s="206"/>
      <c r="AK493" s="206"/>
      <c r="AL493" s="206"/>
      <c r="AM493" s="206"/>
      <c r="AN493" s="206"/>
      <c r="AO493" s="206"/>
      <c r="AP493" s="206"/>
      <c r="AQ493" s="207"/>
      <c r="AR493" s="206"/>
      <c r="AS493" s="206"/>
      <c r="AT493" s="206"/>
      <c r="AU493" s="206"/>
      <c r="AV493" s="206"/>
      <c r="AW493" s="207"/>
      <c r="AX493" s="207"/>
      <c r="AY493" s="207"/>
      <c r="AZ493" s="207"/>
    </row>
    <row r="494" spans="1:52" ht="12.75" x14ac:dyDescent="0.2">
      <c r="A494" s="206"/>
      <c r="B494" s="206"/>
      <c r="C494" s="206"/>
      <c r="D494" s="206"/>
      <c r="E494" s="206"/>
      <c r="F494" s="206"/>
      <c r="G494" s="206"/>
      <c r="H494" s="206"/>
      <c r="I494" s="206"/>
      <c r="J494" s="206"/>
      <c r="K494" s="206"/>
      <c r="L494" s="206"/>
      <c r="M494" s="207"/>
      <c r="N494" s="207"/>
      <c r="O494" s="208"/>
      <c r="P494" s="208"/>
      <c r="Q494" s="208"/>
      <c r="R494" s="206"/>
      <c r="S494" s="206"/>
      <c r="T494" s="206"/>
      <c r="U494" s="206"/>
      <c r="V494" s="206"/>
      <c r="W494" s="206"/>
      <c r="X494" s="207"/>
      <c r="Y494" s="207"/>
      <c r="Z494" s="207"/>
      <c r="AA494" s="206"/>
      <c r="AB494" s="206"/>
      <c r="AC494" s="206"/>
      <c r="AD494" s="206"/>
      <c r="AE494" s="206"/>
      <c r="AF494" s="206"/>
      <c r="AG494" s="206"/>
      <c r="AH494" s="206"/>
      <c r="AI494" s="206"/>
      <c r="AJ494" s="206"/>
      <c r="AK494" s="206"/>
      <c r="AL494" s="206"/>
      <c r="AM494" s="206"/>
      <c r="AN494" s="206"/>
      <c r="AO494" s="206"/>
      <c r="AP494" s="206"/>
      <c r="AQ494" s="207"/>
      <c r="AR494" s="206"/>
      <c r="AS494" s="206"/>
      <c r="AT494" s="206"/>
      <c r="AU494" s="206"/>
      <c r="AV494" s="206"/>
      <c r="AW494" s="207"/>
      <c r="AX494" s="207"/>
      <c r="AY494" s="207"/>
      <c r="AZ494" s="207"/>
    </row>
    <row r="495" spans="1:52" ht="12.75" x14ac:dyDescent="0.2">
      <c r="A495" s="206"/>
      <c r="B495" s="206"/>
      <c r="C495" s="206"/>
      <c r="D495" s="206"/>
      <c r="E495" s="206"/>
      <c r="F495" s="206"/>
      <c r="G495" s="206"/>
      <c r="H495" s="206"/>
      <c r="I495" s="206"/>
      <c r="J495" s="206"/>
      <c r="K495" s="206"/>
      <c r="L495" s="206"/>
      <c r="M495" s="207"/>
      <c r="N495" s="207"/>
      <c r="O495" s="208"/>
      <c r="P495" s="208"/>
      <c r="Q495" s="208"/>
      <c r="R495" s="206"/>
      <c r="S495" s="206"/>
      <c r="T495" s="206"/>
      <c r="U495" s="206"/>
      <c r="V495" s="206"/>
      <c r="W495" s="206"/>
      <c r="X495" s="207"/>
      <c r="Y495" s="207"/>
      <c r="Z495" s="207"/>
      <c r="AA495" s="206"/>
      <c r="AB495" s="206"/>
      <c r="AC495" s="206"/>
      <c r="AD495" s="206"/>
      <c r="AE495" s="206"/>
      <c r="AF495" s="206"/>
      <c r="AG495" s="206"/>
      <c r="AH495" s="206"/>
      <c r="AI495" s="206"/>
      <c r="AJ495" s="206"/>
      <c r="AK495" s="206"/>
      <c r="AL495" s="206"/>
      <c r="AM495" s="206"/>
      <c r="AN495" s="206"/>
      <c r="AO495" s="206"/>
      <c r="AP495" s="206"/>
      <c r="AQ495" s="207"/>
      <c r="AR495" s="206"/>
      <c r="AS495" s="206"/>
      <c r="AT495" s="206"/>
      <c r="AU495" s="206"/>
      <c r="AV495" s="206"/>
      <c r="AW495" s="207"/>
      <c r="AX495" s="207"/>
      <c r="AY495" s="207"/>
      <c r="AZ495" s="207"/>
    </row>
    <row r="496" spans="1:52" ht="12.75" x14ac:dyDescent="0.2">
      <c r="A496" s="206"/>
      <c r="B496" s="206"/>
      <c r="C496" s="206"/>
      <c r="D496" s="206"/>
      <c r="E496" s="206"/>
      <c r="F496" s="206"/>
      <c r="G496" s="206"/>
      <c r="H496" s="206"/>
      <c r="I496" s="206"/>
      <c r="J496" s="206"/>
      <c r="K496" s="206"/>
      <c r="L496" s="206"/>
      <c r="M496" s="207"/>
      <c r="N496" s="207"/>
      <c r="O496" s="208"/>
      <c r="P496" s="208"/>
      <c r="Q496" s="208"/>
      <c r="R496" s="206"/>
      <c r="S496" s="206"/>
      <c r="T496" s="206"/>
      <c r="U496" s="206"/>
      <c r="V496" s="206"/>
      <c r="W496" s="206"/>
      <c r="X496" s="207"/>
      <c r="Y496" s="207"/>
      <c r="Z496" s="207"/>
      <c r="AA496" s="206"/>
      <c r="AB496" s="206"/>
      <c r="AC496" s="206"/>
      <c r="AD496" s="206"/>
      <c r="AE496" s="206"/>
      <c r="AF496" s="206"/>
      <c r="AG496" s="206"/>
      <c r="AH496" s="206"/>
      <c r="AI496" s="206"/>
      <c r="AJ496" s="206"/>
      <c r="AK496" s="206"/>
      <c r="AL496" s="206"/>
      <c r="AM496" s="206"/>
      <c r="AN496" s="206"/>
      <c r="AO496" s="206"/>
      <c r="AP496" s="206"/>
      <c r="AQ496" s="207"/>
      <c r="AR496" s="206"/>
      <c r="AS496" s="206"/>
      <c r="AT496" s="206"/>
      <c r="AU496" s="206"/>
      <c r="AV496" s="206"/>
      <c r="AW496" s="207"/>
      <c r="AX496" s="207"/>
      <c r="AY496" s="207"/>
      <c r="AZ496" s="207"/>
    </row>
    <row r="497" spans="1:52" ht="12.75" x14ac:dyDescent="0.2">
      <c r="A497" s="206"/>
      <c r="B497" s="206"/>
      <c r="C497" s="206"/>
      <c r="D497" s="206"/>
      <c r="E497" s="206"/>
      <c r="F497" s="206"/>
      <c r="G497" s="206"/>
      <c r="H497" s="206"/>
      <c r="I497" s="206"/>
      <c r="J497" s="206"/>
      <c r="K497" s="206"/>
      <c r="L497" s="206"/>
      <c r="M497" s="207"/>
      <c r="N497" s="207"/>
      <c r="O497" s="208"/>
      <c r="P497" s="208"/>
      <c r="Q497" s="208"/>
      <c r="R497" s="206"/>
      <c r="S497" s="206"/>
      <c r="T497" s="206"/>
      <c r="U497" s="206"/>
      <c r="V497" s="206"/>
      <c r="W497" s="206"/>
      <c r="X497" s="207"/>
      <c r="Y497" s="207"/>
      <c r="Z497" s="207"/>
      <c r="AA497" s="206"/>
      <c r="AB497" s="206"/>
      <c r="AC497" s="206"/>
      <c r="AD497" s="206"/>
      <c r="AE497" s="206"/>
      <c r="AF497" s="206"/>
      <c r="AG497" s="206"/>
      <c r="AH497" s="206"/>
      <c r="AI497" s="206"/>
      <c r="AJ497" s="206"/>
      <c r="AK497" s="206"/>
      <c r="AL497" s="206"/>
      <c r="AM497" s="206"/>
      <c r="AN497" s="206"/>
      <c r="AO497" s="206"/>
      <c r="AP497" s="206"/>
      <c r="AQ497" s="207"/>
      <c r="AR497" s="206"/>
      <c r="AS497" s="206"/>
      <c r="AT497" s="206"/>
      <c r="AU497" s="206"/>
      <c r="AV497" s="206"/>
      <c r="AW497" s="207"/>
      <c r="AX497" s="207"/>
      <c r="AY497" s="207"/>
      <c r="AZ497" s="207"/>
    </row>
    <row r="498" spans="1:52" ht="12.75" x14ac:dyDescent="0.2">
      <c r="A498" s="206"/>
      <c r="B498" s="206"/>
      <c r="C498" s="206"/>
      <c r="D498" s="206"/>
      <c r="E498" s="206"/>
      <c r="F498" s="206"/>
      <c r="G498" s="206"/>
      <c r="H498" s="206"/>
      <c r="I498" s="206"/>
      <c r="J498" s="206"/>
      <c r="K498" s="206"/>
      <c r="L498" s="206"/>
      <c r="M498" s="207"/>
      <c r="N498" s="207"/>
      <c r="O498" s="208"/>
      <c r="P498" s="208"/>
      <c r="Q498" s="208"/>
      <c r="R498" s="206"/>
      <c r="S498" s="206"/>
      <c r="T498" s="206"/>
      <c r="U498" s="206"/>
      <c r="V498" s="206"/>
      <c r="W498" s="206"/>
      <c r="X498" s="207"/>
      <c r="Y498" s="207"/>
      <c r="Z498" s="207"/>
      <c r="AA498" s="206"/>
      <c r="AB498" s="206"/>
      <c r="AC498" s="206"/>
      <c r="AD498" s="206"/>
      <c r="AE498" s="206"/>
      <c r="AF498" s="206"/>
      <c r="AG498" s="206"/>
      <c r="AH498" s="206"/>
      <c r="AI498" s="206"/>
      <c r="AJ498" s="206"/>
      <c r="AK498" s="206"/>
      <c r="AL498" s="206"/>
      <c r="AM498" s="206"/>
      <c r="AN498" s="206"/>
      <c r="AO498" s="206"/>
      <c r="AP498" s="206"/>
      <c r="AQ498" s="207"/>
      <c r="AR498" s="206"/>
      <c r="AS498" s="206"/>
      <c r="AT498" s="206"/>
      <c r="AU498" s="206"/>
      <c r="AV498" s="206"/>
      <c r="AW498" s="207"/>
      <c r="AX498" s="207"/>
      <c r="AY498" s="207"/>
      <c r="AZ498" s="207"/>
    </row>
    <row r="499" spans="1:52" ht="12.75" x14ac:dyDescent="0.2">
      <c r="A499" s="206"/>
      <c r="B499" s="206"/>
      <c r="C499" s="206"/>
      <c r="D499" s="206"/>
      <c r="E499" s="206"/>
      <c r="F499" s="206"/>
      <c r="G499" s="206"/>
      <c r="H499" s="206"/>
      <c r="I499" s="206"/>
      <c r="J499" s="206"/>
      <c r="K499" s="206"/>
      <c r="L499" s="206"/>
      <c r="M499" s="207"/>
      <c r="N499" s="207"/>
      <c r="O499" s="208"/>
      <c r="P499" s="208"/>
      <c r="Q499" s="208"/>
      <c r="R499" s="206"/>
      <c r="S499" s="206"/>
      <c r="T499" s="206"/>
      <c r="U499" s="206"/>
      <c r="V499" s="206"/>
      <c r="W499" s="206"/>
      <c r="X499" s="207"/>
      <c r="Y499" s="207"/>
      <c r="Z499" s="207"/>
      <c r="AA499" s="206"/>
      <c r="AB499" s="206"/>
      <c r="AC499" s="206"/>
      <c r="AD499" s="206"/>
      <c r="AE499" s="206"/>
      <c r="AF499" s="206"/>
      <c r="AG499" s="206"/>
      <c r="AH499" s="206"/>
      <c r="AI499" s="206"/>
      <c r="AJ499" s="206"/>
      <c r="AK499" s="206"/>
      <c r="AL499" s="206"/>
      <c r="AM499" s="206"/>
      <c r="AN499" s="206"/>
      <c r="AO499" s="206"/>
      <c r="AP499" s="206"/>
      <c r="AQ499" s="207"/>
      <c r="AR499" s="206"/>
      <c r="AS499" s="206"/>
      <c r="AT499" s="206"/>
      <c r="AU499" s="206"/>
      <c r="AV499" s="206"/>
      <c r="AW499" s="207"/>
      <c r="AX499" s="207"/>
      <c r="AY499" s="207"/>
      <c r="AZ499" s="207"/>
    </row>
    <row r="500" spans="1:52" ht="12.75" x14ac:dyDescent="0.2">
      <c r="A500" s="206"/>
      <c r="B500" s="206"/>
      <c r="C500" s="206"/>
      <c r="D500" s="206"/>
      <c r="E500" s="206"/>
      <c r="F500" s="206"/>
      <c r="G500" s="206"/>
      <c r="H500" s="206"/>
      <c r="I500" s="206"/>
      <c r="J500" s="206"/>
      <c r="K500" s="206"/>
      <c r="L500" s="206"/>
      <c r="M500" s="207"/>
      <c r="N500" s="207"/>
      <c r="O500" s="208"/>
      <c r="P500" s="208"/>
      <c r="Q500" s="208"/>
      <c r="R500" s="206"/>
      <c r="S500" s="206"/>
      <c r="T500" s="206"/>
      <c r="U500" s="206"/>
      <c r="V500" s="206"/>
      <c r="W500" s="206"/>
      <c r="X500" s="207"/>
      <c r="Y500" s="207"/>
      <c r="Z500" s="207"/>
      <c r="AA500" s="206"/>
      <c r="AB500" s="206"/>
      <c r="AC500" s="206"/>
      <c r="AD500" s="206"/>
      <c r="AE500" s="206"/>
      <c r="AF500" s="206"/>
      <c r="AG500" s="206"/>
      <c r="AH500" s="206"/>
      <c r="AI500" s="206"/>
      <c r="AJ500" s="206"/>
      <c r="AK500" s="206"/>
      <c r="AL500" s="206"/>
      <c r="AM500" s="206"/>
      <c r="AN500" s="206"/>
      <c r="AO500" s="206"/>
      <c r="AP500" s="206"/>
      <c r="AQ500" s="207"/>
      <c r="AR500" s="206"/>
      <c r="AS500" s="206"/>
      <c r="AT500" s="206"/>
      <c r="AU500" s="206"/>
      <c r="AV500" s="206"/>
      <c r="AW500" s="207"/>
      <c r="AX500" s="207"/>
      <c r="AY500" s="207"/>
      <c r="AZ500" s="207"/>
    </row>
    <row r="501" spans="1:52" ht="12.75" x14ac:dyDescent="0.2">
      <c r="A501" s="206"/>
      <c r="B501" s="206"/>
      <c r="C501" s="206"/>
      <c r="D501" s="206"/>
      <c r="E501" s="206"/>
      <c r="F501" s="206"/>
      <c r="G501" s="206"/>
      <c r="H501" s="206"/>
      <c r="I501" s="206"/>
      <c r="J501" s="206"/>
      <c r="K501" s="206"/>
      <c r="L501" s="206"/>
      <c r="M501" s="207"/>
      <c r="N501" s="207"/>
      <c r="O501" s="208"/>
      <c r="P501" s="208"/>
      <c r="Q501" s="208"/>
      <c r="R501" s="206"/>
      <c r="S501" s="206"/>
      <c r="T501" s="206"/>
      <c r="U501" s="206"/>
      <c r="V501" s="206"/>
      <c r="W501" s="206"/>
      <c r="X501" s="207"/>
      <c r="Y501" s="207"/>
      <c r="Z501" s="207"/>
      <c r="AA501" s="206"/>
      <c r="AB501" s="206"/>
      <c r="AC501" s="206"/>
      <c r="AD501" s="206"/>
      <c r="AE501" s="206"/>
      <c r="AF501" s="206"/>
      <c r="AG501" s="206"/>
      <c r="AH501" s="206"/>
      <c r="AI501" s="206"/>
      <c r="AJ501" s="206"/>
      <c r="AK501" s="206"/>
      <c r="AL501" s="206"/>
      <c r="AM501" s="206"/>
      <c r="AN501" s="206"/>
      <c r="AO501" s="206"/>
      <c r="AP501" s="206"/>
      <c r="AQ501" s="207"/>
      <c r="AR501" s="206"/>
      <c r="AS501" s="206"/>
      <c r="AT501" s="206"/>
      <c r="AU501" s="206"/>
      <c r="AV501" s="206"/>
      <c r="AW501" s="207"/>
      <c r="AX501" s="207"/>
      <c r="AY501" s="207"/>
      <c r="AZ501" s="207"/>
    </row>
    <row r="502" spans="1:52" ht="12.75" x14ac:dyDescent="0.2">
      <c r="A502" s="206"/>
      <c r="B502" s="206"/>
      <c r="C502" s="206"/>
      <c r="D502" s="206"/>
      <c r="E502" s="206"/>
      <c r="F502" s="206"/>
      <c r="G502" s="206"/>
      <c r="H502" s="206"/>
      <c r="I502" s="206"/>
      <c r="J502" s="206"/>
      <c r="K502" s="206"/>
      <c r="L502" s="206"/>
      <c r="M502" s="207"/>
      <c r="N502" s="207"/>
      <c r="O502" s="208"/>
      <c r="P502" s="208"/>
      <c r="Q502" s="208"/>
      <c r="R502" s="206"/>
      <c r="S502" s="206"/>
      <c r="T502" s="206"/>
      <c r="U502" s="206"/>
      <c r="V502" s="206"/>
      <c r="W502" s="206"/>
      <c r="X502" s="207"/>
      <c r="Y502" s="207"/>
      <c r="Z502" s="207"/>
      <c r="AA502" s="206"/>
      <c r="AB502" s="206"/>
      <c r="AC502" s="206"/>
      <c r="AD502" s="206"/>
      <c r="AE502" s="206"/>
      <c r="AF502" s="206"/>
      <c r="AG502" s="206"/>
      <c r="AH502" s="206"/>
      <c r="AI502" s="206"/>
      <c r="AJ502" s="206"/>
      <c r="AK502" s="206"/>
      <c r="AL502" s="206"/>
      <c r="AM502" s="206"/>
      <c r="AN502" s="206"/>
      <c r="AO502" s="206"/>
      <c r="AP502" s="206"/>
      <c r="AQ502" s="207"/>
      <c r="AR502" s="206"/>
      <c r="AS502" s="206"/>
      <c r="AT502" s="206"/>
      <c r="AU502" s="206"/>
      <c r="AV502" s="206"/>
      <c r="AW502" s="207"/>
      <c r="AX502" s="207"/>
      <c r="AY502" s="207"/>
      <c r="AZ502" s="207"/>
    </row>
    <row r="503" spans="1:52" ht="12.75" x14ac:dyDescent="0.2">
      <c r="A503" s="206"/>
      <c r="B503" s="206"/>
      <c r="C503" s="206"/>
      <c r="D503" s="206"/>
      <c r="E503" s="206"/>
      <c r="F503" s="206"/>
      <c r="G503" s="206"/>
      <c r="H503" s="206"/>
      <c r="I503" s="206"/>
      <c r="J503" s="206"/>
      <c r="K503" s="206"/>
      <c r="L503" s="206"/>
      <c r="M503" s="207"/>
      <c r="N503" s="207"/>
      <c r="O503" s="208"/>
      <c r="P503" s="208"/>
      <c r="Q503" s="208"/>
      <c r="R503" s="206"/>
      <c r="S503" s="206"/>
      <c r="T503" s="206"/>
      <c r="U503" s="206"/>
      <c r="V503" s="206"/>
      <c r="W503" s="206"/>
      <c r="X503" s="207"/>
      <c r="Y503" s="207"/>
      <c r="Z503" s="207"/>
      <c r="AA503" s="206"/>
      <c r="AB503" s="206"/>
      <c r="AC503" s="206"/>
      <c r="AD503" s="206"/>
      <c r="AE503" s="206"/>
      <c r="AF503" s="206"/>
      <c r="AG503" s="206"/>
      <c r="AH503" s="206"/>
      <c r="AI503" s="206"/>
      <c r="AJ503" s="206"/>
      <c r="AK503" s="206"/>
      <c r="AL503" s="206"/>
      <c r="AM503" s="206"/>
      <c r="AN503" s="206"/>
      <c r="AO503" s="206"/>
      <c r="AP503" s="206"/>
      <c r="AQ503" s="207"/>
      <c r="AR503" s="206"/>
      <c r="AS503" s="206"/>
      <c r="AT503" s="206"/>
      <c r="AU503" s="206"/>
      <c r="AV503" s="206"/>
      <c r="AW503" s="207"/>
      <c r="AX503" s="207"/>
      <c r="AY503" s="207"/>
      <c r="AZ503" s="207"/>
    </row>
    <row r="504" spans="1:52" ht="12.75" x14ac:dyDescent="0.2">
      <c r="A504" s="206"/>
      <c r="B504" s="206"/>
      <c r="C504" s="206"/>
      <c r="D504" s="206"/>
      <c r="E504" s="206"/>
      <c r="F504" s="206"/>
      <c r="G504" s="206"/>
      <c r="H504" s="206"/>
      <c r="I504" s="206"/>
      <c r="J504" s="206"/>
      <c r="K504" s="206"/>
      <c r="L504" s="206"/>
      <c r="M504" s="207"/>
      <c r="N504" s="207"/>
      <c r="O504" s="208"/>
      <c r="P504" s="208"/>
      <c r="Q504" s="208"/>
      <c r="R504" s="206"/>
      <c r="S504" s="206"/>
      <c r="T504" s="206"/>
      <c r="U504" s="206"/>
      <c r="V504" s="206"/>
      <c r="W504" s="206"/>
      <c r="X504" s="207"/>
      <c r="Y504" s="207"/>
      <c r="Z504" s="207"/>
      <c r="AA504" s="206"/>
      <c r="AB504" s="206"/>
      <c r="AC504" s="206"/>
      <c r="AD504" s="206"/>
      <c r="AE504" s="206"/>
      <c r="AF504" s="206"/>
      <c r="AG504" s="206"/>
      <c r="AH504" s="206"/>
      <c r="AI504" s="206"/>
      <c r="AJ504" s="206"/>
      <c r="AK504" s="206"/>
      <c r="AL504" s="206"/>
      <c r="AM504" s="206"/>
      <c r="AN504" s="206"/>
      <c r="AO504" s="206"/>
      <c r="AP504" s="206"/>
      <c r="AQ504" s="207"/>
      <c r="AR504" s="206"/>
      <c r="AS504" s="206"/>
      <c r="AT504" s="206"/>
      <c r="AU504" s="206"/>
      <c r="AV504" s="206"/>
      <c r="AW504" s="207"/>
      <c r="AX504" s="207"/>
      <c r="AY504" s="207"/>
      <c r="AZ504" s="207"/>
    </row>
    <row r="505" spans="1:52" ht="12.75" x14ac:dyDescent="0.2">
      <c r="A505" s="206"/>
      <c r="B505" s="206"/>
      <c r="C505" s="206"/>
      <c r="D505" s="206"/>
      <c r="E505" s="206"/>
      <c r="F505" s="206"/>
      <c r="G505" s="206"/>
      <c r="H505" s="206"/>
      <c r="I505" s="206"/>
      <c r="J505" s="206"/>
      <c r="K505" s="206"/>
      <c r="L505" s="206"/>
      <c r="M505" s="207"/>
      <c r="N505" s="207"/>
      <c r="O505" s="208"/>
      <c r="P505" s="208"/>
      <c r="Q505" s="208"/>
      <c r="R505" s="206"/>
      <c r="S505" s="206"/>
      <c r="T505" s="206"/>
      <c r="U505" s="206"/>
      <c r="V505" s="206"/>
      <c r="W505" s="206"/>
      <c r="X505" s="207"/>
      <c r="Y505" s="207"/>
      <c r="Z505" s="207"/>
      <c r="AA505" s="206"/>
      <c r="AB505" s="206"/>
      <c r="AC505" s="206"/>
      <c r="AD505" s="206"/>
      <c r="AE505" s="206"/>
      <c r="AF505" s="206"/>
      <c r="AG505" s="206"/>
      <c r="AH505" s="206"/>
      <c r="AI505" s="206"/>
      <c r="AJ505" s="206"/>
      <c r="AK505" s="206"/>
      <c r="AL505" s="206"/>
      <c r="AM505" s="206"/>
      <c r="AN505" s="206"/>
      <c r="AO505" s="206"/>
      <c r="AP505" s="206"/>
      <c r="AQ505" s="207"/>
      <c r="AR505" s="206"/>
      <c r="AS505" s="206"/>
      <c r="AT505" s="206"/>
      <c r="AU505" s="206"/>
      <c r="AV505" s="206"/>
      <c r="AW505" s="207"/>
      <c r="AX505" s="207"/>
      <c r="AY505" s="207"/>
      <c r="AZ505" s="207"/>
    </row>
    <row r="506" spans="1:52" ht="12.75" x14ac:dyDescent="0.2">
      <c r="A506" s="206"/>
      <c r="B506" s="206"/>
      <c r="C506" s="206"/>
      <c r="D506" s="206"/>
      <c r="E506" s="206"/>
      <c r="F506" s="206"/>
      <c r="G506" s="206"/>
      <c r="H506" s="206"/>
      <c r="I506" s="206"/>
      <c r="J506" s="206"/>
      <c r="K506" s="206"/>
      <c r="L506" s="206"/>
      <c r="M506" s="207"/>
      <c r="N506" s="207"/>
      <c r="O506" s="208"/>
      <c r="P506" s="208"/>
      <c r="Q506" s="208"/>
      <c r="R506" s="206"/>
      <c r="S506" s="206"/>
      <c r="T506" s="206"/>
      <c r="U506" s="206"/>
      <c r="V506" s="206"/>
      <c r="W506" s="206"/>
      <c r="X506" s="207"/>
      <c r="Y506" s="207"/>
      <c r="Z506" s="207"/>
      <c r="AA506" s="206"/>
      <c r="AB506" s="206"/>
      <c r="AC506" s="206"/>
      <c r="AD506" s="206"/>
      <c r="AE506" s="206"/>
      <c r="AF506" s="206"/>
      <c r="AG506" s="206"/>
      <c r="AH506" s="206"/>
      <c r="AI506" s="206"/>
      <c r="AJ506" s="206"/>
      <c r="AK506" s="206"/>
      <c r="AL506" s="206"/>
      <c r="AM506" s="206"/>
      <c r="AN506" s="206"/>
      <c r="AO506" s="206"/>
      <c r="AP506" s="206"/>
      <c r="AQ506" s="207"/>
      <c r="AR506" s="206"/>
      <c r="AS506" s="206"/>
      <c r="AT506" s="206"/>
      <c r="AU506" s="206"/>
      <c r="AV506" s="206"/>
      <c r="AW506" s="207"/>
      <c r="AX506" s="207"/>
      <c r="AY506" s="207"/>
      <c r="AZ506" s="207"/>
    </row>
    <row r="507" spans="1:52" ht="12.75" x14ac:dyDescent="0.2">
      <c r="A507" s="206"/>
      <c r="B507" s="206"/>
      <c r="C507" s="206"/>
      <c r="D507" s="206"/>
      <c r="E507" s="206"/>
      <c r="F507" s="206"/>
      <c r="G507" s="206"/>
      <c r="H507" s="206"/>
      <c r="I507" s="206"/>
      <c r="J507" s="206"/>
      <c r="K507" s="206"/>
      <c r="L507" s="206"/>
      <c r="M507" s="207"/>
      <c r="N507" s="207"/>
      <c r="O507" s="208"/>
      <c r="P507" s="208"/>
      <c r="Q507" s="208"/>
      <c r="R507" s="206"/>
      <c r="S507" s="206"/>
      <c r="T507" s="206"/>
      <c r="U507" s="206"/>
      <c r="V507" s="206"/>
      <c r="W507" s="206"/>
      <c r="X507" s="207"/>
      <c r="Y507" s="207"/>
      <c r="Z507" s="207"/>
      <c r="AA507" s="206"/>
      <c r="AB507" s="206"/>
      <c r="AC507" s="206"/>
      <c r="AD507" s="206"/>
      <c r="AE507" s="206"/>
      <c r="AF507" s="206"/>
      <c r="AG507" s="206"/>
      <c r="AH507" s="206"/>
      <c r="AI507" s="206"/>
      <c r="AJ507" s="206"/>
      <c r="AK507" s="206"/>
      <c r="AL507" s="206"/>
      <c r="AM507" s="206"/>
      <c r="AN507" s="206"/>
      <c r="AO507" s="206"/>
      <c r="AP507" s="206"/>
      <c r="AQ507" s="207"/>
      <c r="AR507" s="206"/>
      <c r="AS507" s="206"/>
      <c r="AT507" s="206"/>
      <c r="AU507" s="206"/>
      <c r="AV507" s="206"/>
      <c r="AW507" s="207"/>
      <c r="AX507" s="207"/>
      <c r="AY507" s="207"/>
      <c r="AZ507" s="207"/>
    </row>
    <row r="508" spans="1:52" ht="12.75" x14ac:dyDescent="0.2">
      <c r="A508" s="206"/>
      <c r="B508" s="206"/>
      <c r="C508" s="206"/>
      <c r="D508" s="206"/>
      <c r="E508" s="206"/>
      <c r="F508" s="206"/>
      <c r="G508" s="206"/>
      <c r="H508" s="206"/>
      <c r="I508" s="206"/>
      <c r="J508" s="206"/>
      <c r="K508" s="206"/>
      <c r="L508" s="206"/>
      <c r="M508" s="207"/>
      <c r="N508" s="207"/>
      <c r="O508" s="208"/>
      <c r="P508" s="208"/>
      <c r="Q508" s="208"/>
      <c r="R508" s="206"/>
      <c r="S508" s="206"/>
      <c r="T508" s="206"/>
      <c r="U508" s="206"/>
      <c r="V508" s="206"/>
      <c r="W508" s="206"/>
      <c r="X508" s="207"/>
      <c r="Y508" s="207"/>
      <c r="Z508" s="207"/>
      <c r="AA508" s="206"/>
      <c r="AB508" s="206"/>
      <c r="AC508" s="206"/>
      <c r="AD508" s="206"/>
      <c r="AE508" s="206"/>
      <c r="AF508" s="206"/>
      <c r="AG508" s="206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7"/>
      <c r="AR508" s="206"/>
      <c r="AS508" s="206"/>
      <c r="AT508" s="206"/>
      <c r="AU508" s="206"/>
      <c r="AV508" s="206"/>
      <c r="AW508" s="207"/>
      <c r="AX508" s="207"/>
      <c r="AY508" s="207"/>
      <c r="AZ508" s="207"/>
    </row>
    <row r="509" spans="1:52" ht="12.75" x14ac:dyDescent="0.2">
      <c r="A509" s="206"/>
      <c r="B509" s="206"/>
      <c r="C509" s="206"/>
      <c r="D509" s="206"/>
      <c r="E509" s="206"/>
      <c r="F509" s="206"/>
      <c r="G509" s="206"/>
      <c r="H509" s="206"/>
      <c r="I509" s="206"/>
      <c r="J509" s="206"/>
      <c r="K509" s="206"/>
      <c r="L509" s="206"/>
      <c r="M509" s="207"/>
      <c r="N509" s="207"/>
      <c r="O509" s="208"/>
      <c r="P509" s="208"/>
      <c r="Q509" s="208"/>
      <c r="R509" s="206"/>
      <c r="S509" s="206"/>
      <c r="T509" s="206"/>
      <c r="U509" s="206"/>
      <c r="V509" s="206"/>
      <c r="W509" s="206"/>
      <c r="X509" s="207"/>
      <c r="Y509" s="207"/>
      <c r="Z509" s="207"/>
      <c r="AA509" s="206"/>
      <c r="AB509" s="206"/>
      <c r="AC509" s="206"/>
      <c r="AD509" s="206"/>
      <c r="AE509" s="206"/>
      <c r="AF509" s="206"/>
      <c r="AG509" s="206"/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7"/>
      <c r="AR509" s="206"/>
      <c r="AS509" s="206"/>
      <c r="AT509" s="206"/>
      <c r="AU509" s="206"/>
      <c r="AV509" s="206"/>
      <c r="AW509" s="207"/>
      <c r="AX509" s="207"/>
      <c r="AY509" s="207"/>
      <c r="AZ509" s="207"/>
    </row>
    <row r="510" spans="1:52" ht="12.75" x14ac:dyDescent="0.2">
      <c r="A510" s="206"/>
      <c r="B510" s="206"/>
      <c r="C510" s="206"/>
      <c r="D510" s="206"/>
      <c r="E510" s="206"/>
      <c r="F510" s="206"/>
      <c r="G510" s="206"/>
      <c r="H510" s="206"/>
      <c r="I510" s="206"/>
      <c r="J510" s="206"/>
      <c r="K510" s="206"/>
      <c r="L510" s="206"/>
      <c r="M510" s="207"/>
      <c r="N510" s="207"/>
      <c r="O510" s="208"/>
      <c r="P510" s="208"/>
      <c r="Q510" s="208"/>
      <c r="R510" s="206"/>
      <c r="S510" s="206"/>
      <c r="T510" s="206"/>
      <c r="U510" s="206"/>
      <c r="V510" s="206"/>
      <c r="W510" s="206"/>
      <c r="X510" s="207"/>
      <c r="Y510" s="207"/>
      <c r="Z510" s="207"/>
      <c r="AA510" s="206"/>
      <c r="AB510" s="206"/>
      <c r="AC510" s="206"/>
      <c r="AD510" s="206"/>
      <c r="AE510" s="206"/>
      <c r="AF510" s="206"/>
      <c r="AG510" s="206"/>
      <c r="AH510" s="206"/>
      <c r="AI510" s="206"/>
      <c r="AJ510" s="206"/>
      <c r="AK510" s="206"/>
      <c r="AL510" s="206"/>
      <c r="AM510" s="206"/>
      <c r="AN510" s="206"/>
      <c r="AO510" s="206"/>
      <c r="AP510" s="206"/>
      <c r="AQ510" s="207"/>
      <c r="AR510" s="206"/>
      <c r="AS510" s="206"/>
      <c r="AT510" s="206"/>
      <c r="AU510" s="206"/>
      <c r="AV510" s="206"/>
      <c r="AW510" s="207"/>
      <c r="AX510" s="207"/>
      <c r="AY510" s="207"/>
      <c r="AZ510" s="207"/>
    </row>
    <row r="511" spans="1:52" ht="12.75" x14ac:dyDescent="0.2">
      <c r="A511" s="206"/>
      <c r="B511" s="206"/>
      <c r="C511" s="206"/>
      <c r="D511" s="206"/>
      <c r="E511" s="206"/>
      <c r="F511" s="206"/>
      <c r="G511" s="206"/>
      <c r="H511" s="206"/>
      <c r="I511" s="206"/>
      <c r="J511" s="206"/>
      <c r="K511" s="206"/>
      <c r="L511" s="206"/>
      <c r="M511" s="207"/>
      <c r="N511" s="207"/>
      <c r="O511" s="208"/>
      <c r="P511" s="208"/>
      <c r="Q511" s="208"/>
      <c r="R511" s="206"/>
      <c r="S511" s="206"/>
      <c r="T511" s="206"/>
      <c r="U511" s="206"/>
      <c r="V511" s="206"/>
      <c r="W511" s="206"/>
      <c r="X511" s="207"/>
      <c r="Y511" s="207"/>
      <c r="Z511" s="207"/>
      <c r="AA511" s="206"/>
      <c r="AB511" s="206"/>
      <c r="AC511" s="206"/>
      <c r="AD511" s="206"/>
      <c r="AE511" s="206"/>
      <c r="AF511" s="206"/>
      <c r="AG511" s="206"/>
      <c r="AH511" s="206"/>
      <c r="AI511" s="206"/>
      <c r="AJ511" s="206"/>
      <c r="AK511" s="206"/>
      <c r="AL511" s="206"/>
      <c r="AM511" s="206"/>
      <c r="AN511" s="206"/>
      <c r="AO511" s="206"/>
      <c r="AP511" s="206"/>
      <c r="AQ511" s="207"/>
      <c r="AR511" s="206"/>
      <c r="AS511" s="206"/>
      <c r="AT511" s="206"/>
      <c r="AU511" s="206"/>
      <c r="AV511" s="206"/>
      <c r="AW511" s="207"/>
      <c r="AX511" s="207"/>
      <c r="AY511" s="207"/>
      <c r="AZ511" s="207"/>
    </row>
    <row r="512" spans="1:52" ht="12.75" x14ac:dyDescent="0.2">
      <c r="A512" s="206"/>
      <c r="B512" s="206"/>
      <c r="C512" s="206"/>
      <c r="D512" s="206"/>
      <c r="E512" s="206"/>
      <c r="F512" s="206"/>
      <c r="G512" s="206"/>
      <c r="H512" s="206"/>
      <c r="I512" s="206"/>
      <c r="J512" s="206"/>
      <c r="K512" s="206"/>
      <c r="L512" s="206"/>
      <c r="M512" s="207"/>
      <c r="N512" s="207"/>
      <c r="O512" s="208"/>
      <c r="P512" s="208"/>
      <c r="Q512" s="208"/>
      <c r="R512" s="206"/>
      <c r="S512" s="206"/>
      <c r="T512" s="206"/>
      <c r="U512" s="206"/>
      <c r="V512" s="206"/>
      <c r="W512" s="206"/>
      <c r="X512" s="207"/>
      <c r="Y512" s="207"/>
      <c r="Z512" s="207"/>
      <c r="AA512" s="206"/>
      <c r="AB512" s="206"/>
      <c r="AC512" s="206"/>
      <c r="AD512" s="206"/>
      <c r="AE512" s="206"/>
      <c r="AF512" s="206"/>
      <c r="AG512" s="206"/>
      <c r="AH512" s="206"/>
      <c r="AI512" s="206"/>
      <c r="AJ512" s="206"/>
      <c r="AK512" s="206"/>
      <c r="AL512" s="206"/>
      <c r="AM512" s="206"/>
      <c r="AN512" s="206"/>
      <c r="AO512" s="206"/>
      <c r="AP512" s="206"/>
      <c r="AQ512" s="207"/>
      <c r="AR512" s="206"/>
      <c r="AS512" s="206"/>
      <c r="AT512" s="206"/>
      <c r="AU512" s="206"/>
      <c r="AV512" s="206"/>
      <c r="AW512" s="207"/>
      <c r="AX512" s="207"/>
      <c r="AY512" s="207"/>
      <c r="AZ512" s="207"/>
    </row>
    <row r="513" spans="1:52" ht="12.75" x14ac:dyDescent="0.2">
      <c r="A513" s="206"/>
      <c r="B513" s="206"/>
      <c r="C513" s="206"/>
      <c r="D513" s="206"/>
      <c r="E513" s="206"/>
      <c r="F513" s="206"/>
      <c r="G513" s="206"/>
      <c r="H513" s="206"/>
      <c r="I513" s="206"/>
      <c r="J513" s="206"/>
      <c r="K513" s="206"/>
      <c r="L513" s="206"/>
      <c r="M513" s="207"/>
      <c r="N513" s="207"/>
      <c r="O513" s="208"/>
      <c r="P513" s="208"/>
      <c r="Q513" s="208"/>
      <c r="R513" s="206"/>
      <c r="S513" s="206"/>
      <c r="T513" s="206"/>
      <c r="U513" s="206"/>
      <c r="V513" s="206"/>
      <c r="W513" s="206"/>
      <c r="X513" s="207"/>
      <c r="Y513" s="207"/>
      <c r="Z513" s="207"/>
      <c r="AA513" s="206"/>
      <c r="AB513" s="206"/>
      <c r="AC513" s="206"/>
      <c r="AD513" s="206"/>
      <c r="AE513" s="206"/>
      <c r="AF513" s="206"/>
      <c r="AG513" s="206"/>
      <c r="AH513" s="206"/>
      <c r="AI513" s="206"/>
      <c r="AJ513" s="206"/>
      <c r="AK513" s="206"/>
      <c r="AL513" s="206"/>
      <c r="AM513" s="206"/>
      <c r="AN513" s="206"/>
      <c r="AO513" s="206"/>
      <c r="AP513" s="206"/>
      <c r="AQ513" s="207"/>
      <c r="AR513" s="206"/>
      <c r="AS513" s="206"/>
      <c r="AT513" s="206"/>
      <c r="AU513" s="206"/>
      <c r="AV513" s="206"/>
      <c r="AW513" s="207"/>
      <c r="AX513" s="207"/>
      <c r="AY513" s="207"/>
      <c r="AZ513" s="207"/>
    </row>
    <row r="514" spans="1:52" ht="12.75" x14ac:dyDescent="0.2">
      <c r="A514" s="206"/>
      <c r="B514" s="206"/>
      <c r="C514" s="206"/>
      <c r="D514" s="206"/>
      <c r="E514" s="206"/>
      <c r="F514" s="206"/>
      <c r="G514" s="206"/>
      <c r="H514" s="206"/>
      <c r="I514" s="206"/>
      <c r="J514" s="206"/>
      <c r="K514" s="206"/>
      <c r="L514" s="206"/>
      <c r="M514" s="207"/>
      <c r="N514" s="207"/>
      <c r="O514" s="208"/>
      <c r="P514" s="208"/>
      <c r="Q514" s="208"/>
      <c r="R514" s="206"/>
      <c r="S514" s="206"/>
      <c r="T514" s="206"/>
      <c r="U514" s="206"/>
      <c r="V514" s="206"/>
      <c r="W514" s="206"/>
      <c r="X514" s="207"/>
      <c r="Y514" s="207"/>
      <c r="Z514" s="207"/>
      <c r="AA514" s="206"/>
      <c r="AB514" s="206"/>
      <c r="AC514" s="206"/>
      <c r="AD514" s="206"/>
      <c r="AE514" s="206"/>
      <c r="AF514" s="206"/>
      <c r="AG514" s="206"/>
      <c r="AH514" s="206"/>
      <c r="AI514" s="206"/>
      <c r="AJ514" s="206"/>
      <c r="AK514" s="206"/>
      <c r="AL514" s="206"/>
      <c r="AM514" s="206"/>
      <c r="AN514" s="206"/>
      <c r="AO514" s="206"/>
      <c r="AP514" s="206"/>
      <c r="AQ514" s="207"/>
      <c r="AR514" s="206"/>
      <c r="AS514" s="206"/>
      <c r="AT514" s="206"/>
      <c r="AU514" s="206"/>
      <c r="AV514" s="206"/>
      <c r="AW514" s="207"/>
      <c r="AX514" s="207"/>
      <c r="AY514" s="207"/>
      <c r="AZ514" s="207"/>
    </row>
    <row r="515" spans="1:52" ht="12.75" x14ac:dyDescent="0.2">
      <c r="A515" s="206"/>
      <c r="B515" s="206"/>
      <c r="C515" s="206"/>
      <c r="D515" s="206"/>
      <c r="E515" s="206"/>
      <c r="F515" s="206"/>
      <c r="G515" s="206"/>
      <c r="H515" s="206"/>
      <c r="I515" s="206"/>
      <c r="J515" s="206"/>
      <c r="K515" s="206"/>
      <c r="L515" s="206"/>
      <c r="M515" s="207"/>
      <c r="N515" s="207"/>
      <c r="O515" s="208"/>
      <c r="P515" s="208"/>
      <c r="Q515" s="208"/>
      <c r="R515" s="206"/>
      <c r="S515" s="206"/>
      <c r="T515" s="206"/>
      <c r="U515" s="206"/>
      <c r="V515" s="206"/>
      <c r="W515" s="206"/>
      <c r="X515" s="207"/>
      <c r="Y515" s="207"/>
      <c r="Z515" s="207"/>
      <c r="AA515" s="206"/>
      <c r="AB515" s="206"/>
      <c r="AC515" s="206"/>
      <c r="AD515" s="206"/>
      <c r="AE515" s="206"/>
      <c r="AF515" s="206"/>
      <c r="AG515" s="206"/>
      <c r="AH515" s="206"/>
      <c r="AI515" s="206"/>
      <c r="AJ515" s="206"/>
      <c r="AK515" s="206"/>
      <c r="AL515" s="206"/>
      <c r="AM515" s="206"/>
      <c r="AN515" s="206"/>
      <c r="AO515" s="206"/>
      <c r="AP515" s="206"/>
      <c r="AQ515" s="207"/>
      <c r="AR515" s="206"/>
      <c r="AS515" s="206"/>
      <c r="AT515" s="206"/>
      <c r="AU515" s="206"/>
      <c r="AV515" s="206"/>
      <c r="AW515" s="207"/>
      <c r="AX515" s="207"/>
      <c r="AY515" s="207"/>
      <c r="AZ515" s="207"/>
    </row>
    <row r="516" spans="1:52" ht="12.75" x14ac:dyDescent="0.2">
      <c r="A516" s="206"/>
      <c r="B516" s="206"/>
      <c r="C516" s="206"/>
      <c r="D516" s="206"/>
      <c r="E516" s="206"/>
      <c r="F516" s="206"/>
      <c r="G516" s="206"/>
      <c r="H516" s="206"/>
      <c r="I516" s="206"/>
      <c r="J516" s="206"/>
      <c r="K516" s="206"/>
      <c r="L516" s="206"/>
      <c r="M516" s="207"/>
      <c r="N516" s="207"/>
      <c r="O516" s="208"/>
      <c r="P516" s="208"/>
      <c r="Q516" s="208"/>
      <c r="R516" s="206"/>
      <c r="S516" s="206"/>
      <c r="T516" s="206"/>
      <c r="U516" s="206"/>
      <c r="V516" s="206"/>
      <c r="W516" s="206"/>
      <c r="X516" s="207"/>
      <c r="Y516" s="207"/>
      <c r="Z516" s="207"/>
      <c r="AA516" s="206"/>
      <c r="AB516" s="206"/>
      <c r="AC516" s="206"/>
      <c r="AD516" s="206"/>
      <c r="AE516" s="206"/>
      <c r="AF516" s="206"/>
      <c r="AG516" s="206"/>
      <c r="AH516" s="206"/>
      <c r="AI516" s="206"/>
      <c r="AJ516" s="206"/>
      <c r="AK516" s="206"/>
      <c r="AL516" s="206"/>
      <c r="AM516" s="206"/>
      <c r="AN516" s="206"/>
      <c r="AO516" s="206"/>
      <c r="AP516" s="206"/>
      <c r="AQ516" s="207"/>
      <c r="AR516" s="206"/>
      <c r="AS516" s="206"/>
      <c r="AT516" s="206"/>
      <c r="AU516" s="206"/>
      <c r="AV516" s="206"/>
      <c r="AW516" s="207"/>
      <c r="AX516" s="207"/>
      <c r="AY516" s="207"/>
      <c r="AZ516" s="207"/>
    </row>
    <row r="517" spans="1:52" ht="12.75" x14ac:dyDescent="0.2">
      <c r="A517" s="206"/>
      <c r="B517" s="206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7"/>
      <c r="N517" s="207"/>
      <c r="O517" s="208"/>
      <c r="P517" s="208"/>
      <c r="Q517" s="208"/>
      <c r="R517" s="206"/>
      <c r="S517" s="206"/>
      <c r="T517" s="206"/>
      <c r="U517" s="206"/>
      <c r="V517" s="206"/>
      <c r="W517" s="206"/>
      <c r="X517" s="207"/>
      <c r="Y517" s="207"/>
      <c r="Z517" s="207"/>
      <c r="AA517" s="206"/>
      <c r="AB517" s="206"/>
      <c r="AC517" s="206"/>
      <c r="AD517" s="206"/>
      <c r="AE517" s="206"/>
      <c r="AF517" s="206"/>
      <c r="AG517" s="206"/>
      <c r="AH517" s="206"/>
      <c r="AI517" s="206"/>
      <c r="AJ517" s="206"/>
      <c r="AK517" s="206"/>
      <c r="AL517" s="206"/>
      <c r="AM517" s="206"/>
      <c r="AN517" s="206"/>
      <c r="AO517" s="206"/>
      <c r="AP517" s="206"/>
      <c r="AQ517" s="207"/>
      <c r="AR517" s="206"/>
      <c r="AS517" s="206"/>
      <c r="AT517" s="206"/>
      <c r="AU517" s="206"/>
      <c r="AV517" s="206"/>
      <c r="AW517" s="207"/>
      <c r="AX517" s="207"/>
      <c r="AY517" s="207"/>
      <c r="AZ517" s="207"/>
    </row>
    <row r="518" spans="1:52" ht="12.75" x14ac:dyDescent="0.2">
      <c r="A518" s="206"/>
      <c r="B518" s="206"/>
      <c r="C518" s="206"/>
      <c r="D518" s="206"/>
      <c r="E518" s="206"/>
      <c r="F518" s="206"/>
      <c r="G518" s="206"/>
      <c r="H518" s="206"/>
      <c r="I518" s="206"/>
      <c r="J518" s="206"/>
      <c r="K518" s="206"/>
      <c r="L518" s="206"/>
      <c r="M518" s="207"/>
      <c r="N518" s="207"/>
      <c r="O518" s="208"/>
      <c r="P518" s="208"/>
      <c r="Q518" s="208"/>
      <c r="R518" s="206"/>
      <c r="S518" s="206"/>
      <c r="T518" s="206"/>
      <c r="U518" s="206"/>
      <c r="V518" s="206"/>
      <c r="W518" s="206"/>
      <c r="X518" s="207"/>
      <c r="Y518" s="207"/>
      <c r="Z518" s="207"/>
      <c r="AA518" s="206"/>
      <c r="AB518" s="206"/>
      <c r="AC518" s="206"/>
      <c r="AD518" s="206"/>
      <c r="AE518" s="206"/>
      <c r="AF518" s="206"/>
      <c r="AG518" s="206"/>
      <c r="AH518" s="206"/>
      <c r="AI518" s="206"/>
      <c r="AJ518" s="206"/>
      <c r="AK518" s="206"/>
      <c r="AL518" s="206"/>
      <c r="AM518" s="206"/>
      <c r="AN518" s="206"/>
      <c r="AO518" s="206"/>
      <c r="AP518" s="206"/>
      <c r="AQ518" s="207"/>
      <c r="AR518" s="206"/>
      <c r="AS518" s="206"/>
      <c r="AT518" s="206"/>
      <c r="AU518" s="206"/>
      <c r="AV518" s="206"/>
      <c r="AW518" s="207"/>
      <c r="AX518" s="207"/>
      <c r="AY518" s="207"/>
      <c r="AZ518" s="207"/>
    </row>
    <row r="519" spans="1:52" ht="12.75" x14ac:dyDescent="0.2">
      <c r="A519" s="206"/>
      <c r="B519" s="206"/>
      <c r="C519" s="206"/>
      <c r="D519" s="206"/>
      <c r="E519" s="206"/>
      <c r="F519" s="206"/>
      <c r="G519" s="206"/>
      <c r="H519" s="206"/>
      <c r="I519" s="206"/>
      <c r="J519" s="206"/>
      <c r="K519" s="206"/>
      <c r="L519" s="206"/>
      <c r="M519" s="207"/>
      <c r="N519" s="207"/>
      <c r="O519" s="208"/>
      <c r="P519" s="208"/>
      <c r="Q519" s="208"/>
      <c r="R519" s="206"/>
      <c r="S519" s="206"/>
      <c r="T519" s="206"/>
      <c r="U519" s="206"/>
      <c r="V519" s="206"/>
      <c r="W519" s="206"/>
      <c r="X519" s="207"/>
      <c r="Y519" s="207"/>
      <c r="Z519" s="207"/>
      <c r="AA519" s="206"/>
      <c r="AB519" s="206"/>
      <c r="AC519" s="206"/>
      <c r="AD519" s="206"/>
      <c r="AE519" s="206"/>
      <c r="AF519" s="206"/>
      <c r="AG519" s="206"/>
      <c r="AH519" s="206"/>
      <c r="AI519" s="206"/>
      <c r="AJ519" s="206"/>
      <c r="AK519" s="206"/>
      <c r="AL519" s="206"/>
      <c r="AM519" s="206"/>
      <c r="AN519" s="206"/>
      <c r="AO519" s="206"/>
      <c r="AP519" s="206"/>
      <c r="AQ519" s="207"/>
      <c r="AR519" s="206"/>
      <c r="AS519" s="206"/>
      <c r="AT519" s="206"/>
      <c r="AU519" s="206"/>
      <c r="AV519" s="206"/>
      <c r="AW519" s="207"/>
      <c r="AX519" s="207"/>
      <c r="AY519" s="207"/>
      <c r="AZ519" s="207"/>
    </row>
    <row r="520" spans="1:52" ht="12.75" x14ac:dyDescent="0.2">
      <c r="A520" s="206"/>
      <c r="B520" s="206"/>
      <c r="C520" s="206"/>
      <c r="D520" s="206"/>
      <c r="E520" s="206"/>
      <c r="F520" s="206"/>
      <c r="G520" s="206"/>
      <c r="H520" s="206"/>
      <c r="I520" s="206"/>
      <c r="J520" s="206"/>
      <c r="K520" s="206"/>
      <c r="L520" s="206"/>
      <c r="M520" s="207"/>
      <c r="N520" s="207"/>
      <c r="O520" s="208"/>
      <c r="P520" s="208"/>
      <c r="Q520" s="208"/>
      <c r="R520" s="206"/>
      <c r="S520" s="206"/>
      <c r="T520" s="206"/>
      <c r="U520" s="206"/>
      <c r="V520" s="206"/>
      <c r="W520" s="206"/>
      <c r="X520" s="207"/>
      <c r="Y520" s="207"/>
      <c r="Z520" s="207"/>
      <c r="AA520" s="206"/>
      <c r="AB520" s="206"/>
      <c r="AC520" s="206"/>
      <c r="AD520" s="206"/>
      <c r="AE520" s="206"/>
      <c r="AF520" s="206"/>
      <c r="AG520" s="206"/>
      <c r="AH520" s="206"/>
      <c r="AI520" s="206"/>
      <c r="AJ520" s="206"/>
      <c r="AK520" s="206"/>
      <c r="AL520" s="206"/>
      <c r="AM520" s="206"/>
      <c r="AN520" s="206"/>
      <c r="AO520" s="206"/>
      <c r="AP520" s="206"/>
      <c r="AQ520" s="207"/>
      <c r="AR520" s="206"/>
      <c r="AS520" s="206"/>
      <c r="AT520" s="206"/>
      <c r="AU520" s="206"/>
      <c r="AV520" s="206"/>
      <c r="AW520" s="207"/>
      <c r="AX520" s="207"/>
      <c r="AY520" s="207"/>
      <c r="AZ520" s="207"/>
    </row>
    <row r="521" spans="1:52" ht="12.75" x14ac:dyDescent="0.2">
      <c r="A521" s="206"/>
      <c r="B521" s="206"/>
      <c r="C521" s="206"/>
      <c r="D521" s="206"/>
      <c r="E521" s="206"/>
      <c r="F521" s="206"/>
      <c r="G521" s="206"/>
      <c r="H521" s="206"/>
      <c r="I521" s="206"/>
      <c r="J521" s="206"/>
      <c r="K521" s="206"/>
      <c r="L521" s="206"/>
      <c r="M521" s="207"/>
      <c r="N521" s="207"/>
      <c r="O521" s="208"/>
      <c r="P521" s="208"/>
      <c r="Q521" s="208"/>
      <c r="R521" s="206"/>
      <c r="S521" s="206"/>
      <c r="T521" s="206"/>
      <c r="U521" s="206"/>
      <c r="V521" s="206"/>
      <c r="W521" s="206"/>
      <c r="X521" s="207"/>
      <c r="Y521" s="207"/>
      <c r="Z521" s="207"/>
      <c r="AA521" s="206"/>
      <c r="AB521" s="206"/>
      <c r="AC521" s="206"/>
      <c r="AD521" s="206"/>
      <c r="AE521" s="206"/>
      <c r="AF521" s="206"/>
      <c r="AG521" s="206"/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7"/>
      <c r="AR521" s="206"/>
      <c r="AS521" s="206"/>
      <c r="AT521" s="206"/>
      <c r="AU521" s="206"/>
      <c r="AV521" s="206"/>
      <c r="AW521" s="207"/>
      <c r="AX521" s="207"/>
      <c r="AY521" s="207"/>
      <c r="AZ521" s="207"/>
    </row>
    <row r="522" spans="1:52" ht="12.75" x14ac:dyDescent="0.2">
      <c r="A522" s="206"/>
      <c r="B522" s="206"/>
      <c r="C522" s="206"/>
      <c r="D522" s="206"/>
      <c r="E522" s="206"/>
      <c r="F522" s="206"/>
      <c r="G522" s="206"/>
      <c r="H522" s="206"/>
      <c r="I522" s="206"/>
      <c r="J522" s="206"/>
      <c r="K522" s="206"/>
      <c r="L522" s="206"/>
      <c r="M522" s="207"/>
      <c r="N522" s="207"/>
      <c r="O522" s="208"/>
      <c r="P522" s="208"/>
      <c r="Q522" s="208"/>
      <c r="R522" s="206"/>
      <c r="S522" s="206"/>
      <c r="T522" s="206"/>
      <c r="U522" s="206"/>
      <c r="V522" s="206"/>
      <c r="W522" s="206"/>
      <c r="X522" s="207"/>
      <c r="Y522" s="207"/>
      <c r="Z522" s="207"/>
      <c r="AA522" s="206"/>
      <c r="AB522" s="206"/>
      <c r="AC522" s="206"/>
      <c r="AD522" s="206"/>
      <c r="AE522" s="206"/>
      <c r="AF522" s="206"/>
      <c r="AG522" s="206"/>
      <c r="AH522" s="206"/>
      <c r="AI522" s="206"/>
      <c r="AJ522" s="206"/>
      <c r="AK522" s="206"/>
      <c r="AL522" s="206"/>
      <c r="AM522" s="206"/>
      <c r="AN522" s="206"/>
      <c r="AO522" s="206"/>
      <c r="AP522" s="206"/>
      <c r="AQ522" s="207"/>
      <c r="AR522" s="206"/>
      <c r="AS522" s="206"/>
      <c r="AT522" s="206"/>
      <c r="AU522" s="206"/>
      <c r="AV522" s="206"/>
      <c r="AW522" s="207"/>
      <c r="AX522" s="207"/>
      <c r="AY522" s="207"/>
      <c r="AZ522" s="207"/>
    </row>
    <row r="523" spans="1:52" ht="12.75" x14ac:dyDescent="0.2">
      <c r="A523" s="206"/>
      <c r="B523" s="206"/>
      <c r="C523" s="206"/>
      <c r="D523" s="206"/>
      <c r="E523" s="206"/>
      <c r="F523" s="206"/>
      <c r="G523" s="206"/>
      <c r="H523" s="206"/>
      <c r="I523" s="206"/>
      <c r="J523" s="206"/>
      <c r="K523" s="206"/>
      <c r="L523" s="206"/>
      <c r="M523" s="207"/>
      <c r="N523" s="207"/>
      <c r="O523" s="208"/>
      <c r="P523" s="208"/>
      <c r="Q523" s="208"/>
      <c r="R523" s="206"/>
      <c r="S523" s="206"/>
      <c r="T523" s="206"/>
      <c r="U523" s="206"/>
      <c r="V523" s="206"/>
      <c r="W523" s="206"/>
      <c r="X523" s="207"/>
      <c r="Y523" s="207"/>
      <c r="Z523" s="207"/>
      <c r="AA523" s="206"/>
      <c r="AB523" s="206"/>
      <c r="AC523" s="206"/>
      <c r="AD523" s="206"/>
      <c r="AE523" s="206"/>
      <c r="AF523" s="206"/>
      <c r="AG523" s="206"/>
      <c r="AH523" s="206"/>
      <c r="AI523" s="206"/>
      <c r="AJ523" s="206"/>
      <c r="AK523" s="206"/>
      <c r="AL523" s="206"/>
      <c r="AM523" s="206"/>
      <c r="AN523" s="206"/>
      <c r="AO523" s="206"/>
      <c r="AP523" s="206"/>
      <c r="AQ523" s="207"/>
      <c r="AR523" s="206"/>
      <c r="AS523" s="206"/>
      <c r="AT523" s="206"/>
      <c r="AU523" s="206"/>
      <c r="AV523" s="206"/>
      <c r="AW523" s="207"/>
      <c r="AX523" s="207"/>
      <c r="AY523" s="207"/>
      <c r="AZ523" s="207"/>
    </row>
    <row r="524" spans="1:52" ht="12.75" x14ac:dyDescent="0.2">
      <c r="A524" s="206"/>
      <c r="B524" s="206"/>
      <c r="C524" s="206"/>
      <c r="D524" s="206"/>
      <c r="E524" s="206"/>
      <c r="F524" s="206"/>
      <c r="G524" s="206"/>
      <c r="H524" s="206"/>
      <c r="I524" s="206"/>
      <c r="J524" s="206"/>
      <c r="K524" s="206"/>
      <c r="L524" s="206"/>
      <c r="M524" s="207"/>
      <c r="N524" s="207"/>
      <c r="O524" s="208"/>
      <c r="P524" s="208"/>
      <c r="Q524" s="208"/>
      <c r="R524" s="206"/>
      <c r="S524" s="206"/>
      <c r="T524" s="206"/>
      <c r="U524" s="206"/>
      <c r="V524" s="206"/>
      <c r="W524" s="206"/>
      <c r="X524" s="207"/>
      <c r="Y524" s="207"/>
      <c r="Z524" s="207"/>
      <c r="AA524" s="206"/>
      <c r="AB524" s="206"/>
      <c r="AC524" s="206"/>
      <c r="AD524" s="206"/>
      <c r="AE524" s="206"/>
      <c r="AF524" s="206"/>
      <c r="AG524" s="206"/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7"/>
      <c r="AR524" s="206"/>
      <c r="AS524" s="206"/>
      <c r="AT524" s="206"/>
      <c r="AU524" s="206"/>
      <c r="AV524" s="206"/>
      <c r="AW524" s="207"/>
      <c r="AX524" s="207"/>
      <c r="AY524" s="207"/>
      <c r="AZ524" s="207"/>
    </row>
    <row r="525" spans="1:52" ht="12.75" x14ac:dyDescent="0.2">
      <c r="A525" s="206"/>
      <c r="B525" s="206"/>
      <c r="C525" s="206"/>
      <c r="D525" s="206"/>
      <c r="E525" s="206"/>
      <c r="F525" s="206"/>
      <c r="G525" s="206"/>
      <c r="H525" s="206"/>
      <c r="I525" s="206"/>
      <c r="J525" s="206"/>
      <c r="K525" s="206"/>
      <c r="L525" s="206"/>
      <c r="M525" s="207"/>
      <c r="N525" s="207"/>
      <c r="O525" s="208"/>
      <c r="P525" s="208"/>
      <c r="Q525" s="208"/>
      <c r="R525" s="206"/>
      <c r="S525" s="206"/>
      <c r="T525" s="206"/>
      <c r="U525" s="206"/>
      <c r="V525" s="206"/>
      <c r="W525" s="206"/>
      <c r="X525" s="207"/>
      <c r="Y525" s="207"/>
      <c r="Z525" s="207"/>
      <c r="AA525" s="206"/>
      <c r="AB525" s="206"/>
      <c r="AC525" s="206"/>
      <c r="AD525" s="206"/>
      <c r="AE525" s="206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7"/>
      <c r="AR525" s="206"/>
      <c r="AS525" s="206"/>
      <c r="AT525" s="206"/>
      <c r="AU525" s="206"/>
      <c r="AV525" s="206"/>
      <c r="AW525" s="207"/>
      <c r="AX525" s="207"/>
      <c r="AY525" s="207"/>
      <c r="AZ525" s="207"/>
    </row>
    <row r="526" spans="1:52" ht="12.75" x14ac:dyDescent="0.2">
      <c r="A526" s="206"/>
      <c r="B526" s="206"/>
      <c r="C526" s="206"/>
      <c r="D526" s="206"/>
      <c r="E526" s="206"/>
      <c r="F526" s="206"/>
      <c r="G526" s="206"/>
      <c r="H526" s="206"/>
      <c r="I526" s="206"/>
      <c r="J526" s="206"/>
      <c r="K526" s="206"/>
      <c r="L526" s="206"/>
      <c r="M526" s="207"/>
      <c r="N526" s="207"/>
      <c r="O526" s="208"/>
      <c r="P526" s="208"/>
      <c r="Q526" s="208"/>
      <c r="R526" s="206"/>
      <c r="S526" s="206"/>
      <c r="T526" s="206"/>
      <c r="U526" s="206"/>
      <c r="V526" s="206"/>
      <c r="W526" s="206"/>
      <c r="X526" s="207"/>
      <c r="Y526" s="207"/>
      <c r="Z526" s="207"/>
      <c r="AA526" s="206"/>
      <c r="AB526" s="206"/>
      <c r="AC526" s="206"/>
      <c r="AD526" s="206"/>
      <c r="AE526" s="206"/>
      <c r="AF526" s="206"/>
      <c r="AG526" s="206"/>
      <c r="AH526" s="206"/>
      <c r="AI526" s="206"/>
      <c r="AJ526" s="206"/>
      <c r="AK526" s="206"/>
      <c r="AL526" s="206"/>
      <c r="AM526" s="206"/>
      <c r="AN526" s="206"/>
      <c r="AO526" s="206"/>
      <c r="AP526" s="206"/>
      <c r="AQ526" s="207"/>
      <c r="AR526" s="206"/>
      <c r="AS526" s="206"/>
      <c r="AT526" s="206"/>
      <c r="AU526" s="206"/>
      <c r="AV526" s="206"/>
      <c r="AW526" s="207"/>
      <c r="AX526" s="207"/>
      <c r="AY526" s="207"/>
      <c r="AZ526" s="207"/>
    </row>
    <row r="527" spans="1:52" ht="12.75" x14ac:dyDescent="0.2">
      <c r="A527" s="206"/>
      <c r="B527" s="206"/>
      <c r="C527" s="206"/>
      <c r="D527" s="206"/>
      <c r="E527" s="206"/>
      <c r="F527" s="206"/>
      <c r="G527" s="206"/>
      <c r="H527" s="206"/>
      <c r="I527" s="206"/>
      <c r="J527" s="206"/>
      <c r="K527" s="206"/>
      <c r="L527" s="206"/>
      <c r="M527" s="207"/>
      <c r="N527" s="207"/>
      <c r="O527" s="208"/>
      <c r="P527" s="208"/>
      <c r="Q527" s="208"/>
      <c r="R527" s="206"/>
      <c r="S527" s="206"/>
      <c r="T527" s="206"/>
      <c r="U527" s="206"/>
      <c r="V527" s="206"/>
      <c r="W527" s="206"/>
      <c r="X527" s="207"/>
      <c r="Y527" s="207"/>
      <c r="Z527" s="207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7"/>
      <c r="AR527" s="206"/>
      <c r="AS527" s="206"/>
      <c r="AT527" s="206"/>
      <c r="AU527" s="206"/>
      <c r="AV527" s="206"/>
      <c r="AW527" s="207"/>
      <c r="AX527" s="207"/>
      <c r="AY527" s="207"/>
      <c r="AZ527" s="207"/>
    </row>
    <row r="528" spans="1:52" ht="12.75" x14ac:dyDescent="0.2">
      <c r="A528" s="206"/>
      <c r="B528" s="206"/>
      <c r="C528" s="206"/>
      <c r="D528" s="206"/>
      <c r="E528" s="206"/>
      <c r="F528" s="206"/>
      <c r="G528" s="206"/>
      <c r="H528" s="206"/>
      <c r="I528" s="206"/>
      <c r="J528" s="206"/>
      <c r="K528" s="206"/>
      <c r="L528" s="206"/>
      <c r="M528" s="207"/>
      <c r="N528" s="207"/>
      <c r="O528" s="208"/>
      <c r="P528" s="208"/>
      <c r="Q528" s="208"/>
      <c r="R528" s="206"/>
      <c r="S528" s="206"/>
      <c r="T528" s="206"/>
      <c r="U528" s="206"/>
      <c r="V528" s="206"/>
      <c r="W528" s="206"/>
      <c r="X528" s="207"/>
      <c r="Y528" s="207"/>
      <c r="Z528" s="207"/>
      <c r="AA528" s="206"/>
      <c r="AB528" s="206"/>
      <c r="AC528" s="206"/>
      <c r="AD528" s="206"/>
      <c r="AE528" s="206"/>
      <c r="AF528" s="206"/>
      <c r="AG528" s="206"/>
      <c r="AH528" s="206"/>
      <c r="AI528" s="206"/>
      <c r="AJ528" s="206"/>
      <c r="AK528" s="206"/>
      <c r="AL528" s="206"/>
      <c r="AM528" s="206"/>
      <c r="AN528" s="206"/>
      <c r="AO528" s="206"/>
      <c r="AP528" s="206"/>
      <c r="AQ528" s="207"/>
      <c r="AR528" s="206"/>
      <c r="AS528" s="206"/>
      <c r="AT528" s="206"/>
      <c r="AU528" s="206"/>
      <c r="AV528" s="206"/>
      <c r="AW528" s="207"/>
      <c r="AX528" s="207"/>
      <c r="AY528" s="207"/>
      <c r="AZ528" s="207"/>
    </row>
    <row r="529" spans="1:52" ht="12.75" x14ac:dyDescent="0.2">
      <c r="A529" s="206"/>
      <c r="B529" s="206"/>
      <c r="C529" s="206"/>
      <c r="D529" s="206"/>
      <c r="E529" s="206"/>
      <c r="F529" s="206"/>
      <c r="G529" s="206"/>
      <c r="H529" s="206"/>
      <c r="I529" s="206"/>
      <c r="J529" s="206"/>
      <c r="K529" s="206"/>
      <c r="L529" s="206"/>
      <c r="M529" s="207"/>
      <c r="N529" s="207"/>
      <c r="O529" s="208"/>
      <c r="P529" s="208"/>
      <c r="Q529" s="208"/>
      <c r="R529" s="206"/>
      <c r="S529" s="206"/>
      <c r="T529" s="206"/>
      <c r="U529" s="206"/>
      <c r="V529" s="206"/>
      <c r="W529" s="206"/>
      <c r="X529" s="207"/>
      <c r="Y529" s="207"/>
      <c r="Z529" s="207"/>
      <c r="AA529" s="206"/>
      <c r="AB529" s="206"/>
      <c r="AC529" s="206"/>
      <c r="AD529" s="206"/>
      <c r="AE529" s="206"/>
      <c r="AF529" s="206"/>
      <c r="AG529" s="206"/>
      <c r="AH529" s="206"/>
      <c r="AI529" s="206"/>
      <c r="AJ529" s="206"/>
      <c r="AK529" s="206"/>
      <c r="AL529" s="206"/>
      <c r="AM529" s="206"/>
      <c r="AN529" s="206"/>
      <c r="AO529" s="206"/>
      <c r="AP529" s="206"/>
      <c r="AQ529" s="207"/>
      <c r="AR529" s="206"/>
      <c r="AS529" s="206"/>
      <c r="AT529" s="206"/>
      <c r="AU529" s="206"/>
      <c r="AV529" s="206"/>
      <c r="AW529" s="207"/>
      <c r="AX529" s="207"/>
      <c r="AY529" s="207"/>
      <c r="AZ529" s="207"/>
    </row>
    <row r="530" spans="1:52" ht="12.75" x14ac:dyDescent="0.2">
      <c r="A530" s="206"/>
      <c r="B530" s="206"/>
      <c r="C530" s="206"/>
      <c r="D530" s="206"/>
      <c r="E530" s="206"/>
      <c r="F530" s="206"/>
      <c r="G530" s="206"/>
      <c r="H530" s="206"/>
      <c r="I530" s="206"/>
      <c r="J530" s="206"/>
      <c r="K530" s="206"/>
      <c r="L530" s="206"/>
      <c r="M530" s="207"/>
      <c r="N530" s="207"/>
      <c r="O530" s="208"/>
      <c r="P530" s="208"/>
      <c r="Q530" s="208"/>
      <c r="R530" s="206"/>
      <c r="S530" s="206"/>
      <c r="T530" s="206"/>
      <c r="U530" s="206"/>
      <c r="V530" s="206"/>
      <c r="W530" s="206"/>
      <c r="X530" s="207"/>
      <c r="Y530" s="207"/>
      <c r="Z530" s="207"/>
      <c r="AA530" s="206"/>
      <c r="AB530" s="206"/>
      <c r="AC530" s="206"/>
      <c r="AD530" s="206"/>
      <c r="AE530" s="206"/>
      <c r="AF530" s="206"/>
      <c r="AG530" s="206"/>
      <c r="AH530" s="206"/>
      <c r="AI530" s="206"/>
      <c r="AJ530" s="206"/>
      <c r="AK530" s="206"/>
      <c r="AL530" s="206"/>
      <c r="AM530" s="206"/>
      <c r="AN530" s="206"/>
      <c r="AO530" s="206"/>
      <c r="AP530" s="206"/>
      <c r="AQ530" s="207"/>
      <c r="AR530" s="206"/>
      <c r="AS530" s="206"/>
      <c r="AT530" s="206"/>
      <c r="AU530" s="206"/>
      <c r="AV530" s="206"/>
      <c r="AW530" s="207"/>
      <c r="AX530" s="207"/>
      <c r="AY530" s="207"/>
      <c r="AZ530" s="207"/>
    </row>
    <row r="531" spans="1:52" ht="12.75" x14ac:dyDescent="0.2">
      <c r="A531" s="206"/>
      <c r="B531" s="206"/>
      <c r="C531" s="206"/>
      <c r="D531" s="206"/>
      <c r="E531" s="206"/>
      <c r="F531" s="206"/>
      <c r="G531" s="206"/>
      <c r="H531" s="206"/>
      <c r="I531" s="206"/>
      <c r="J531" s="206"/>
      <c r="K531" s="206"/>
      <c r="L531" s="206"/>
      <c r="M531" s="207"/>
      <c r="N531" s="207"/>
      <c r="O531" s="208"/>
      <c r="P531" s="208"/>
      <c r="Q531" s="208"/>
      <c r="R531" s="206"/>
      <c r="S531" s="206"/>
      <c r="T531" s="206"/>
      <c r="U531" s="206"/>
      <c r="V531" s="206"/>
      <c r="W531" s="206"/>
      <c r="X531" s="207"/>
      <c r="Y531" s="207"/>
      <c r="Z531" s="207"/>
      <c r="AA531" s="206"/>
      <c r="AB531" s="206"/>
      <c r="AC531" s="206"/>
      <c r="AD531" s="206"/>
      <c r="AE531" s="206"/>
      <c r="AF531" s="206"/>
      <c r="AG531" s="206"/>
      <c r="AH531" s="206"/>
      <c r="AI531" s="206"/>
      <c r="AJ531" s="206"/>
      <c r="AK531" s="206"/>
      <c r="AL531" s="206"/>
      <c r="AM531" s="206"/>
      <c r="AN531" s="206"/>
      <c r="AO531" s="206"/>
      <c r="AP531" s="206"/>
      <c r="AQ531" s="207"/>
      <c r="AR531" s="206"/>
      <c r="AS531" s="206"/>
      <c r="AT531" s="206"/>
      <c r="AU531" s="206"/>
      <c r="AV531" s="206"/>
      <c r="AW531" s="207"/>
      <c r="AX531" s="207"/>
      <c r="AY531" s="207"/>
      <c r="AZ531" s="207"/>
    </row>
    <row r="532" spans="1:52" ht="12.75" x14ac:dyDescent="0.2">
      <c r="A532" s="206"/>
      <c r="B532" s="206"/>
      <c r="C532" s="206"/>
      <c r="D532" s="206"/>
      <c r="E532" s="206"/>
      <c r="F532" s="206"/>
      <c r="G532" s="206"/>
      <c r="H532" s="206"/>
      <c r="I532" s="206"/>
      <c r="J532" s="206"/>
      <c r="K532" s="206"/>
      <c r="L532" s="206"/>
      <c r="M532" s="207"/>
      <c r="N532" s="207"/>
      <c r="O532" s="208"/>
      <c r="P532" s="208"/>
      <c r="Q532" s="208"/>
      <c r="R532" s="206"/>
      <c r="S532" s="206"/>
      <c r="T532" s="206"/>
      <c r="U532" s="206"/>
      <c r="V532" s="206"/>
      <c r="W532" s="206"/>
      <c r="X532" s="207"/>
      <c r="Y532" s="207"/>
      <c r="Z532" s="207"/>
      <c r="AA532" s="206"/>
      <c r="AB532" s="206"/>
      <c r="AC532" s="206"/>
      <c r="AD532" s="206"/>
      <c r="AE532" s="206"/>
      <c r="AF532" s="206"/>
      <c r="AG532" s="206"/>
      <c r="AH532" s="206"/>
      <c r="AI532" s="206"/>
      <c r="AJ532" s="206"/>
      <c r="AK532" s="206"/>
      <c r="AL532" s="206"/>
      <c r="AM532" s="206"/>
      <c r="AN532" s="206"/>
      <c r="AO532" s="206"/>
      <c r="AP532" s="206"/>
      <c r="AQ532" s="207"/>
      <c r="AR532" s="206"/>
      <c r="AS532" s="206"/>
      <c r="AT532" s="206"/>
      <c r="AU532" s="206"/>
      <c r="AV532" s="206"/>
      <c r="AW532" s="207"/>
      <c r="AX532" s="207"/>
      <c r="AY532" s="207"/>
      <c r="AZ532" s="207"/>
    </row>
    <row r="533" spans="1:52" ht="12.75" x14ac:dyDescent="0.2">
      <c r="A533" s="206"/>
      <c r="B533" s="206"/>
      <c r="C533" s="206"/>
      <c r="D533" s="206"/>
      <c r="E533" s="206"/>
      <c r="F533" s="206"/>
      <c r="G533" s="206"/>
      <c r="H533" s="206"/>
      <c r="I533" s="206"/>
      <c r="J533" s="206"/>
      <c r="K533" s="206"/>
      <c r="L533" s="206"/>
      <c r="M533" s="207"/>
      <c r="N533" s="207"/>
      <c r="O533" s="208"/>
      <c r="P533" s="208"/>
      <c r="Q533" s="208"/>
      <c r="R533" s="206"/>
      <c r="S533" s="206"/>
      <c r="T533" s="206"/>
      <c r="U533" s="206"/>
      <c r="V533" s="206"/>
      <c r="W533" s="206"/>
      <c r="X533" s="207"/>
      <c r="Y533" s="207"/>
      <c r="Z533" s="207"/>
      <c r="AA533" s="206"/>
      <c r="AB533" s="206"/>
      <c r="AC533" s="206"/>
      <c r="AD533" s="206"/>
      <c r="AE533" s="206"/>
      <c r="AF533" s="206"/>
      <c r="AG533" s="206"/>
      <c r="AH533" s="206"/>
      <c r="AI533" s="206"/>
      <c r="AJ533" s="206"/>
      <c r="AK533" s="206"/>
      <c r="AL533" s="206"/>
      <c r="AM533" s="206"/>
      <c r="AN533" s="206"/>
      <c r="AO533" s="206"/>
      <c r="AP533" s="206"/>
      <c r="AQ533" s="207"/>
      <c r="AR533" s="206"/>
      <c r="AS533" s="206"/>
      <c r="AT533" s="206"/>
      <c r="AU533" s="206"/>
      <c r="AV533" s="206"/>
      <c r="AW533" s="207"/>
      <c r="AX533" s="207"/>
      <c r="AY533" s="207"/>
      <c r="AZ533" s="207"/>
    </row>
    <row r="534" spans="1:52" ht="12.75" x14ac:dyDescent="0.2">
      <c r="A534" s="206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7"/>
      <c r="N534" s="207"/>
      <c r="O534" s="208"/>
      <c r="P534" s="208"/>
      <c r="Q534" s="208"/>
      <c r="R534" s="206"/>
      <c r="S534" s="206"/>
      <c r="T534" s="206"/>
      <c r="U534" s="206"/>
      <c r="V534" s="206"/>
      <c r="W534" s="206"/>
      <c r="X534" s="207"/>
      <c r="Y534" s="207"/>
      <c r="Z534" s="207"/>
      <c r="AA534" s="206"/>
      <c r="AB534" s="206"/>
      <c r="AC534" s="206"/>
      <c r="AD534" s="206"/>
      <c r="AE534" s="206"/>
      <c r="AF534" s="206"/>
      <c r="AG534" s="206"/>
      <c r="AH534" s="206"/>
      <c r="AI534" s="206"/>
      <c r="AJ534" s="206"/>
      <c r="AK534" s="206"/>
      <c r="AL534" s="206"/>
      <c r="AM534" s="206"/>
      <c r="AN534" s="206"/>
      <c r="AO534" s="206"/>
      <c r="AP534" s="206"/>
      <c r="AQ534" s="207"/>
      <c r="AR534" s="206"/>
      <c r="AS534" s="206"/>
      <c r="AT534" s="206"/>
      <c r="AU534" s="206"/>
      <c r="AV534" s="206"/>
      <c r="AW534" s="207"/>
      <c r="AX534" s="207"/>
      <c r="AY534" s="207"/>
      <c r="AZ534" s="207"/>
    </row>
    <row r="535" spans="1:52" ht="12.75" x14ac:dyDescent="0.2">
      <c r="A535" s="206"/>
      <c r="B535" s="206"/>
      <c r="C535" s="206"/>
      <c r="D535" s="206"/>
      <c r="E535" s="206"/>
      <c r="F535" s="206"/>
      <c r="G535" s="206"/>
      <c r="H535" s="206"/>
      <c r="I535" s="206"/>
      <c r="J535" s="206"/>
      <c r="K535" s="206"/>
      <c r="L535" s="206"/>
      <c r="M535" s="207"/>
      <c r="N535" s="207"/>
      <c r="O535" s="208"/>
      <c r="P535" s="208"/>
      <c r="Q535" s="208"/>
      <c r="R535" s="206"/>
      <c r="S535" s="206"/>
      <c r="T535" s="206"/>
      <c r="U535" s="206"/>
      <c r="V535" s="206"/>
      <c r="W535" s="206"/>
      <c r="X535" s="207"/>
      <c r="Y535" s="207"/>
      <c r="Z535" s="207"/>
      <c r="AA535" s="206"/>
      <c r="AB535" s="206"/>
      <c r="AC535" s="206"/>
      <c r="AD535" s="206"/>
      <c r="AE535" s="206"/>
      <c r="AF535" s="206"/>
      <c r="AG535" s="206"/>
      <c r="AH535" s="206"/>
      <c r="AI535" s="206"/>
      <c r="AJ535" s="206"/>
      <c r="AK535" s="206"/>
      <c r="AL535" s="206"/>
      <c r="AM535" s="206"/>
      <c r="AN535" s="206"/>
      <c r="AO535" s="206"/>
      <c r="AP535" s="206"/>
      <c r="AQ535" s="207"/>
      <c r="AR535" s="206"/>
      <c r="AS535" s="206"/>
      <c r="AT535" s="206"/>
      <c r="AU535" s="206"/>
      <c r="AV535" s="206"/>
      <c r="AW535" s="207"/>
      <c r="AX535" s="207"/>
      <c r="AY535" s="207"/>
      <c r="AZ535" s="207"/>
    </row>
    <row r="536" spans="1:52" ht="12.75" x14ac:dyDescent="0.2">
      <c r="A536" s="206"/>
      <c r="B536" s="206"/>
      <c r="C536" s="206"/>
      <c r="D536" s="206"/>
      <c r="E536" s="206"/>
      <c r="F536" s="206"/>
      <c r="G536" s="206"/>
      <c r="H536" s="206"/>
      <c r="I536" s="206"/>
      <c r="J536" s="206"/>
      <c r="K536" s="206"/>
      <c r="L536" s="206"/>
      <c r="M536" s="207"/>
      <c r="N536" s="207"/>
      <c r="O536" s="208"/>
      <c r="P536" s="208"/>
      <c r="Q536" s="208"/>
      <c r="R536" s="206"/>
      <c r="S536" s="206"/>
      <c r="T536" s="206"/>
      <c r="U536" s="206"/>
      <c r="V536" s="206"/>
      <c r="W536" s="206"/>
      <c r="X536" s="207"/>
      <c r="Y536" s="207"/>
      <c r="Z536" s="207"/>
      <c r="AA536" s="206"/>
      <c r="AB536" s="206"/>
      <c r="AC536" s="206"/>
      <c r="AD536" s="206"/>
      <c r="AE536" s="206"/>
      <c r="AF536" s="206"/>
      <c r="AG536" s="206"/>
      <c r="AH536" s="206"/>
      <c r="AI536" s="206"/>
      <c r="AJ536" s="206"/>
      <c r="AK536" s="206"/>
      <c r="AL536" s="206"/>
      <c r="AM536" s="206"/>
      <c r="AN536" s="206"/>
      <c r="AO536" s="206"/>
      <c r="AP536" s="206"/>
      <c r="AQ536" s="207"/>
      <c r="AR536" s="206"/>
      <c r="AS536" s="206"/>
      <c r="AT536" s="206"/>
      <c r="AU536" s="206"/>
      <c r="AV536" s="206"/>
      <c r="AW536" s="207"/>
      <c r="AX536" s="207"/>
      <c r="AY536" s="207"/>
      <c r="AZ536" s="207"/>
    </row>
    <row r="537" spans="1:52" ht="12.75" x14ac:dyDescent="0.2">
      <c r="A537" s="206"/>
      <c r="B537" s="206"/>
      <c r="C537" s="206"/>
      <c r="D537" s="206"/>
      <c r="E537" s="206"/>
      <c r="F537" s="206"/>
      <c r="G537" s="206"/>
      <c r="H537" s="206"/>
      <c r="I537" s="206"/>
      <c r="J537" s="206"/>
      <c r="K537" s="206"/>
      <c r="L537" s="206"/>
      <c r="M537" s="207"/>
      <c r="N537" s="207"/>
      <c r="O537" s="208"/>
      <c r="P537" s="208"/>
      <c r="Q537" s="208"/>
      <c r="R537" s="206"/>
      <c r="S537" s="206"/>
      <c r="T537" s="206"/>
      <c r="U537" s="206"/>
      <c r="V537" s="206"/>
      <c r="W537" s="206"/>
      <c r="X537" s="207"/>
      <c r="Y537" s="207"/>
      <c r="Z537" s="207"/>
      <c r="AA537" s="206"/>
      <c r="AB537" s="206"/>
      <c r="AC537" s="206"/>
      <c r="AD537" s="206"/>
      <c r="AE537" s="206"/>
      <c r="AF537" s="206"/>
      <c r="AG537" s="206"/>
      <c r="AH537" s="206"/>
      <c r="AI537" s="206"/>
      <c r="AJ537" s="206"/>
      <c r="AK537" s="206"/>
      <c r="AL537" s="206"/>
      <c r="AM537" s="206"/>
      <c r="AN537" s="206"/>
      <c r="AO537" s="206"/>
      <c r="AP537" s="206"/>
      <c r="AQ537" s="207"/>
      <c r="AR537" s="206"/>
      <c r="AS537" s="206"/>
      <c r="AT537" s="206"/>
      <c r="AU537" s="206"/>
      <c r="AV537" s="206"/>
      <c r="AW537" s="207"/>
      <c r="AX537" s="207"/>
      <c r="AY537" s="207"/>
      <c r="AZ537" s="207"/>
    </row>
    <row r="538" spans="1:52" ht="12.75" x14ac:dyDescent="0.2">
      <c r="A538" s="206"/>
      <c r="B538" s="206"/>
      <c r="C538" s="206"/>
      <c r="D538" s="206"/>
      <c r="E538" s="206"/>
      <c r="F538" s="206"/>
      <c r="G538" s="206"/>
      <c r="H538" s="206"/>
      <c r="I538" s="206"/>
      <c r="J538" s="206"/>
      <c r="K538" s="206"/>
      <c r="L538" s="206"/>
      <c r="M538" s="207"/>
      <c r="N538" s="207"/>
      <c r="O538" s="208"/>
      <c r="P538" s="208"/>
      <c r="Q538" s="208"/>
      <c r="R538" s="206"/>
      <c r="S538" s="206"/>
      <c r="T538" s="206"/>
      <c r="U538" s="206"/>
      <c r="V538" s="206"/>
      <c r="W538" s="206"/>
      <c r="X538" s="207"/>
      <c r="Y538" s="207"/>
      <c r="Z538" s="207"/>
      <c r="AA538" s="206"/>
      <c r="AB538" s="206"/>
      <c r="AC538" s="206"/>
      <c r="AD538" s="206"/>
      <c r="AE538" s="206"/>
      <c r="AF538" s="206"/>
      <c r="AG538" s="206"/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7"/>
      <c r="AR538" s="206"/>
      <c r="AS538" s="206"/>
      <c r="AT538" s="206"/>
      <c r="AU538" s="206"/>
      <c r="AV538" s="206"/>
      <c r="AW538" s="207"/>
      <c r="AX538" s="207"/>
      <c r="AY538" s="207"/>
      <c r="AZ538" s="207"/>
    </row>
    <row r="539" spans="1:52" ht="12.75" x14ac:dyDescent="0.2">
      <c r="A539" s="206"/>
      <c r="B539" s="206"/>
      <c r="C539" s="206"/>
      <c r="D539" s="206"/>
      <c r="E539" s="206"/>
      <c r="F539" s="206"/>
      <c r="G539" s="206"/>
      <c r="H539" s="206"/>
      <c r="I539" s="206"/>
      <c r="J539" s="206"/>
      <c r="K539" s="206"/>
      <c r="L539" s="206"/>
      <c r="M539" s="207"/>
      <c r="N539" s="207"/>
      <c r="O539" s="208"/>
      <c r="P539" s="208"/>
      <c r="Q539" s="208"/>
      <c r="R539" s="206"/>
      <c r="S539" s="206"/>
      <c r="T539" s="206"/>
      <c r="U539" s="206"/>
      <c r="V539" s="206"/>
      <c r="W539" s="206"/>
      <c r="X539" s="207"/>
      <c r="Y539" s="207"/>
      <c r="Z539" s="207"/>
      <c r="AA539" s="206"/>
      <c r="AB539" s="206"/>
      <c r="AC539" s="206"/>
      <c r="AD539" s="206"/>
      <c r="AE539" s="206"/>
      <c r="AF539" s="206"/>
      <c r="AG539" s="206"/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7"/>
      <c r="AR539" s="206"/>
      <c r="AS539" s="206"/>
      <c r="AT539" s="206"/>
      <c r="AU539" s="206"/>
      <c r="AV539" s="206"/>
      <c r="AW539" s="207"/>
      <c r="AX539" s="207"/>
      <c r="AY539" s="207"/>
      <c r="AZ539" s="207"/>
    </row>
    <row r="540" spans="1:52" ht="12.75" x14ac:dyDescent="0.2">
      <c r="A540" s="206"/>
      <c r="B540" s="206"/>
      <c r="C540" s="206"/>
      <c r="D540" s="206"/>
      <c r="E540" s="206"/>
      <c r="F540" s="206"/>
      <c r="G540" s="206"/>
      <c r="H540" s="206"/>
      <c r="I540" s="206"/>
      <c r="J540" s="206"/>
      <c r="K540" s="206"/>
      <c r="L540" s="206"/>
      <c r="M540" s="207"/>
      <c r="N540" s="207"/>
      <c r="O540" s="208"/>
      <c r="P540" s="208"/>
      <c r="Q540" s="208"/>
      <c r="R540" s="206"/>
      <c r="S540" s="206"/>
      <c r="T540" s="206"/>
      <c r="U540" s="206"/>
      <c r="V540" s="206"/>
      <c r="W540" s="206"/>
      <c r="X540" s="207"/>
      <c r="Y540" s="207"/>
      <c r="Z540" s="207"/>
      <c r="AA540" s="206"/>
      <c r="AB540" s="206"/>
      <c r="AC540" s="206"/>
      <c r="AD540" s="206"/>
      <c r="AE540" s="206"/>
      <c r="AF540" s="206"/>
      <c r="AG540" s="206"/>
      <c r="AH540" s="206"/>
      <c r="AI540" s="206"/>
      <c r="AJ540" s="206"/>
      <c r="AK540" s="206"/>
      <c r="AL540" s="206"/>
      <c r="AM540" s="206"/>
      <c r="AN540" s="206"/>
      <c r="AO540" s="206"/>
      <c r="AP540" s="206"/>
      <c r="AQ540" s="207"/>
      <c r="AR540" s="206"/>
      <c r="AS540" s="206"/>
      <c r="AT540" s="206"/>
      <c r="AU540" s="206"/>
      <c r="AV540" s="206"/>
      <c r="AW540" s="207"/>
      <c r="AX540" s="207"/>
      <c r="AY540" s="207"/>
      <c r="AZ540" s="207"/>
    </row>
    <row r="541" spans="1:52" ht="12.75" x14ac:dyDescent="0.2">
      <c r="A541" s="206"/>
      <c r="B541" s="206"/>
      <c r="C541" s="206"/>
      <c r="D541" s="206"/>
      <c r="E541" s="206"/>
      <c r="F541" s="206"/>
      <c r="G541" s="206"/>
      <c r="H541" s="206"/>
      <c r="I541" s="206"/>
      <c r="J541" s="206"/>
      <c r="K541" s="206"/>
      <c r="L541" s="206"/>
      <c r="M541" s="207"/>
      <c r="N541" s="207"/>
      <c r="O541" s="208"/>
      <c r="P541" s="208"/>
      <c r="Q541" s="208"/>
      <c r="R541" s="206"/>
      <c r="S541" s="206"/>
      <c r="T541" s="206"/>
      <c r="U541" s="206"/>
      <c r="V541" s="206"/>
      <c r="W541" s="206"/>
      <c r="X541" s="207"/>
      <c r="Y541" s="207"/>
      <c r="Z541" s="207"/>
      <c r="AA541" s="206"/>
      <c r="AB541" s="206"/>
      <c r="AC541" s="206"/>
      <c r="AD541" s="206"/>
      <c r="AE541" s="206"/>
      <c r="AF541" s="206"/>
      <c r="AG541" s="206"/>
      <c r="AH541" s="206"/>
      <c r="AI541" s="206"/>
      <c r="AJ541" s="206"/>
      <c r="AK541" s="206"/>
      <c r="AL541" s="206"/>
      <c r="AM541" s="206"/>
      <c r="AN541" s="206"/>
      <c r="AO541" s="206"/>
      <c r="AP541" s="206"/>
      <c r="AQ541" s="207"/>
      <c r="AR541" s="206"/>
      <c r="AS541" s="206"/>
      <c r="AT541" s="206"/>
      <c r="AU541" s="206"/>
      <c r="AV541" s="206"/>
      <c r="AW541" s="207"/>
      <c r="AX541" s="207"/>
      <c r="AY541" s="207"/>
      <c r="AZ541" s="207"/>
    </row>
    <row r="542" spans="1:52" ht="12.75" x14ac:dyDescent="0.2">
      <c r="A542" s="206"/>
      <c r="B542" s="206"/>
      <c r="C542" s="206"/>
      <c r="D542" s="206"/>
      <c r="E542" s="206"/>
      <c r="F542" s="206"/>
      <c r="G542" s="206"/>
      <c r="H542" s="206"/>
      <c r="I542" s="206"/>
      <c r="J542" s="206"/>
      <c r="K542" s="206"/>
      <c r="L542" s="206"/>
      <c r="M542" s="207"/>
      <c r="N542" s="207"/>
      <c r="O542" s="208"/>
      <c r="P542" s="208"/>
      <c r="Q542" s="208"/>
      <c r="R542" s="206"/>
      <c r="S542" s="206"/>
      <c r="T542" s="206"/>
      <c r="U542" s="206"/>
      <c r="V542" s="206"/>
      <c r="W542" s="206"/>
      <c r="X542" s="207"/>
      <c r="Y542" s="207"/>
      <c r="Z542" s="207"/>
      <c r="AA542" s="206"/>
      <c r="AB542" s="206"/>
      <c r="AC542" s="206"/>
      <c r="AD542" s="206"/>
      <c r="AE542" s="206"/>
      <c r="AF542" s="206"/>
      <c r="AG542" s="206"/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7"/>
      <c r="AR542" s="206"/>
      <c r="AS542" s="206"/>
      <c r="AT542" s="206"/>
      <c r="AU542" s="206"/>
      <c r="AV542" s="206"/>
      <c r="AW542" s="207"/>
      <c r="AX542" s="207"/>
      <c r="AY542" s="207"/>
      <c r="AZ542" s="207"/>
    </row>
    <row r="543" spans="1:52" ht="12.75" x14ac:dyDescent="0.2">
      <c r="A543" s="206"/>
      <c r="B543" s="206"/>
      <c r="C543" s="206"/>
      <c r="D543" s="206"/>
      <c r="E543" s="206"/>
      <c r="F543" s="206"/>
      <c r="G543" s="206"/>
      <c r="H543" s="206"/>
      <c r="I543" s="206"/>
      <c r="J543" s="206"/>
      <c r="K543" s="206"/>
      <c r="L543" s="206"/>
      <c r="M543" s="207"/>
      <c r="N543" s="207"/>
      <c r="O543" s="208"/>
      <c r="P543" s="208"/>
      <c r="Q543" s="208"/>
      <c r="R543" s="206"/>
      <c r="S543" s="206"/>
      <c r="T543" s="206"/>
      <c r="U543" s="206"/>
      <c r="V543" s="206"/>
      <c r="W543" s="206"/>
      <c r="X543" s="207"/>
      <c r="Y543" s="207"/>
      <c r="Z543" s="207"/>
      <c r="AA543" s="206"/>
      <c r="AB543" s="206"/>
      <c r="AC543" s="206"/>
      <c r="AD543" s="206"/>
      <c r="AE543" s="206"/>
      <c r="AF543" s="206"/>
      <c r="AG543" s="206"/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7"/>
      <c r="AR543" s="206"/>
      <c r="AS543" s="206"/>
      <c r="AT543" s="206"/>
      <c r="AU543" s="206"/>
      <c r="AV543" s="206"/>
      <c r="AW543" s="207"/>
      <c r="AX543" s="207"/>
      <c r="AY543" s="207"/>
      <c r="AZ543" s="207"/>
    </row>
    <row r="544" spans="1:52" ht="12.75" x14ac:dyDescent="0.2">
      <c r="A544" s="206"/>
      <c r="B544" s="206"/>
      <c r="C544" s="206"/>
      <c r="D544" s="206"/>
      <c r="E544" s="206"/>
      <c r="F544" s="206"/>
      <c r="G544" s="206"/>
      <c r="H544" s="206"/>
      <c r="I544" s="206"/>
      <c r="J544" s="206"/>
      <c r="K544" s="206"/>
      <c r="L544" s="206"/>
      <c r="M544" s="207"/>
      <c r="N544" s="207"/>
      <c r="O544" s="208"/>
      <c r="P544" s="208"/>
      <c r="Q544" s="208"/>
      <c r="R544" s="206"/>
      <c r="S544" s="206"/>
      <c r="T544" s="206"/>
      <c r="U544" s="206"/>
      <c r="V544" s="206"/>
      <c r="W544" s="206"/>
      <c r="X544" s="207"/>
      <c r="Y544" s="207"/>
      <c r="Z544" s="207"/>
      <c r="AA544" s="206"/>
      <c r="AB544" s="206"/>
      <c r="AC544" s="206"/>
      <c r="AD544" s="206"/>
      <c r="AE544" s="206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7"/>
      <c r="AR544" s="206"/>
      <c r="AS544" s="206"/>
      <c r="AT544" s="206"/>
      <c r="AU544" s="206"/>
      <c r="AV544" s="206"/>
      <c r="AW544" s="207"/>
      <c r="AX544" s="207"/>
      <c r="AY544" s="207"/>
      <c r="AZ544" s="207"/>
    </row>
    <row r="545" spans="1:52" ht="12.75" x14ac:dyDescent="0.2">
      <c r="A545" s="206"/>
      <c r="B545" s="206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7"/>
      <c r="N545" s="207"/>
      <c r="O545" s="208"/>
      <c r="P545" s="208"/>
      <c r="Q545" s="208"/>
      <c r="R545" s="206"/>
      <c r="S545" s="206"/>
      <c r="T545" s="206"/>
      <c r="U545" s="206"/>
      <c r="V545" s="206"/>
      <c r="W545" s="206"/>
      <c r="X545" s="207"/>
      <c r="Y545" s="207"/>
      <c r="Z545" s="207"/>
      <c r="AA545" s="206"/>
      <c r="AB545" s="206"/>
      <c r="AC545" s="206"/>
      <c r="AD545" s="206"/>
      <c r="AE545" s="206"/>
      <c r="AF545" s="206"/>
      <c r="AG545" s="206"/>
      <c r="AH545" s="206"/>
      <c r="AI545" s="206"/>
      <c r="AJ545" s="206"/>
      <c r="AK545" s="206"/>
      <c r="AL545" s="206"/>
      <c r="AM545" s="206"/>
      <c r="AN545" s="206"/>
      <c r="AO545" s="206"/>
      <c r="AP545" s="206"/>
      <c r="AQ545" s="207"/>
      <c r="AR545" s="206"/>
      <c r="AS545" s="206"/>
      <c r="AT545" s="206"/>
      <c r="AU545" s="206"/>
      <c r="AV545" s="206"/>
      <c r="AW545" s="207"/>
      <c r="AX545" s="207"/>
      <c r="AY545" s="207"/>
      <c r="AZ545" s="207"/>
    </row>
    <row r="546" spans="1:52" ht="12.75" x14ac:dyDescent="0.2">
      <c r="A546" s="206"/>
      <c r="B546" s="206"/>
      <c r="C546" s="206"/>
      <c r="D546" s="206"/>
      <c r="E546" s="206"/>
      <c r="F546" s="206"/>
      <c r="G546" s="206"/>
      <c r="H546" s="206"/>
      <c r="I546" s="206"/>
      <c r="J546" s="206"/>
      <c r="K546" s="206"/>
      <c r="L546" s="206"/>
      <c r="M546" s="207"/>
      <c r="N546" s="207"/>
      <c r="O546" s="208"/>
      <c r="P546" s="208"/>
      <c r="Q546" s="208"/>
      <c r="R546" s="206"/>
      <c r="S546" s="206"/>
      <c r="T546" s="206"/>
      <c r="U546" s="206"/>
      <c r="V546" s="206"/>
      <c r="W546" s="206"/>
      <c r="X546" s="207"/>
      <c r="Y546" s="207"/>
      <c r="Z546" s="207"/>
      <c r="AA546" s="206"/>
      <c r="AB546" s="206"/>
      <c r="AC546" s="206"/>
      <c r="AD546" s="206"/>
      <c r="AE546" s="206"/>
      <c r="AF546" s="206"/>
      <c r="AG546" s="206"/>
      <c r="AH546" s="206"/>
      <c r="AI546" s="206"/>
      <c r="AJ546" s="206"/>
      <c r="AK546" s="206"/>
      <c r="AL546" s="206"/>
      <c r="AM546" s="206"/>
      <c r="AN546" s="206"/>
      <c r="AO546" s="206"/>
      <c r="AP546" s="206"/>
      <c r="AQ546" s="207"/>
      <c r="AR546" s="206"/>
      <c r="AS546" s="206"/>
      <c r="AT546" s="206"/>
      <c r="AU546" s="206"/>
      <c r="AV546" s="206"/>
      <c r="AW546" s="207"/>
      <c r="AX546" s="207"/>
      <c r="AY546" s="207"/>
      <c r="AZ546" s="207"/>
    </row>
    <row r="547" spans="1:52" ht="12.75" x14ac:dyDescent="0.2">
      <c r="A547" s="206"/>
      <c r="B547" s="206"/>
      <c r="C547" s="206"/>
      <c r="D547" s="206"/>
      <c r="E547" s="206"/>
      <c r="F547" s="206"/>
      <c r="G547" s="206"/>
      <c r="H547" s="206"/>
      <c r="I547" s="206"/>
      <c r="J547" s="206"/>
      <c r="K547" s="206"/>
      <c r="L547" s="206"/>
      <c r="M547" s="207"/>
      <c r="N547" s="207"/>
      <c r="O547" s="208"/>
      <c r="P547" s="208"/>
      <c r="Q547" s="208"/>
      <c r="R547" s="206"/>
      <c r="S547" s="206"/>
      <c r="T547" s="206"/>
      <c r="U547" s="206"/>
      <c r="V547" s="206"/>
      <c r="W547" s="206"/>
      <c r="X547" s="207"/>
      <c r="Y547" s="207"/>
      <c r="Z547" s="207"/>
      <c r="AA547" s="206"/>
      <c r="AB547" s="206"/>
      <c r="AC547" s="206"/>
      <c r="AD547" s="206"/>
      <c r="AE547" s="206"/>
      <c r="AF547" s="206"/>
      <c r="AG547" s="206"/>
      <c r="AH547" s="206"/>
      <c r="AI547" s="206"/>
      <c r="AJ547" s="206"/>
      <c r="AK547" s="206"/>
      <c r="AL547" s="206"/>
      <c r="AM547" s="206"/>
      <c r="AN547" s="206"/>
      <c r="AO547" s="206"/>
      <c r="AP547" s="206"/>
      <c r="AQ547" s="207"/>
      <c r="AR547" s="206"/>
      <c r="AS547" s="206"/>
      <c r="AT547" s="206"/>
      <c r="AU547" s="206"/>
      <c r="AV547" s="206"/>
      <c r="AW547" s="207"/>
      <c r="AX547" s="207"/>
      <c r="AY547" s="207"/>
      <c r="AZ547" s="207"/>
    </row>
    <row r="548" spans="1:52" ht="12.75" x14ac:dyDescent="0.2">
      <c r="A548" s="206"/>
      <c r="B548" s="206"/>
      <c r="C548" s="206"/>
      <c r="D548" s="206"/>
      <c r="E548" s="206"/>
      <c r="F548" s="206"/>
      <c r="G548" s="206"/>
      <c r="H548" s="206"/>
      <c r="I548" s="206"/>
      <c r="J548" s="206"/>
      <c r="K548" s="206"/>
      <c r="L548" s="206"/>
      <c r="M548" s="207"/>
      <c r="N548" s="207"/>
      <c r="O548" s="208"/>
      <c r="P548" s="208"/>
      <c r="Q548" s="208"/>
      <c r="R548" s="206"/>
      <c r="S548" s="206"/>
      <c r="T548" s="206"/>
      <c r="U548" s="206"/>
      <c r="V548" s="206"/>
      <c r="W548" s="206"/>
      <c r="X548" s="207"/>
      <c r="Y548" s="207"/>
      <c r="Z548" s="207"/>
      <c r="AA548" s="206"/>
      <c r="AB548" s="206"/>
      <c r="AC548" s="206"/>
      <c r="AD548" s="206"/>
      <c r="AE548" s="206"/>
      <c r="AF548" s="206"/>
      <c r="AG548" s="206"/>
      <c r="AH548" s="206"/>
      <c r="AI548" s="206"/>
      <c r="AJ548" s="206"/>
      <c r="AK548" s="206"/>
      <c r="AL548" s="206"/>
      <c r="AM548" s="206"/>
      <c r="AN548" s="206"/>
      <c r="AO548" s="206"/>
      <c r="AP548" s="206"/>
      <c r="AQ548" s="207"/>
      <c r="AR548" s="206"/>
      <c r="AS548" s="206"/>
      <c r="AT548" s="206"/>
      <c r="AU548" s="206"/>
      <c r="AV548" s="206"/>
      <c r="AW548" s="207"/>
      <c r="AX548" s="207"/>
      <c r="AY548" s="207"/>
      <c r="AZ548" s="207"/>
    </row>
    <row r="549" spans="1:52" ht="12.75" x14ac:dyDescent="0.2">
      <c r="A549" s="206"/>
      <c r="B549" s="206"/>
      <c r="C549" s="206"/>
      <c r="D549" s="206"/>
      <c r="E549" s="206"/>
      <c r="F549" s="206"/>
      <c r="G549" s="206"/>
      <c r="H549" s="206"/>
      <c r="I549" s="206"/>
      <c r="J549" s="206"/>
      <c r="K549" s="206"/>
      <c r="L549" s="206"/>
      <c r="M549" s="207"/>
      <c r="N549" s="207"/>
      <c r="O549" s="208"/>
      <c r="P549" s="208"/>
      <c r="Q549" s="208"/>
      <c r="R549" s="206"/>
      <c r="S549" s="206"/>
      <c r="T549" s="206"/>
      <c r="U549" s="206"/>
      <c r="V549" s="206"/>
      <c r="W549" s="206"/>
      <c r="X549" s="207"/>
      <c r="Y549" s="207"/>
      <c r="Z549" s="207"/>
      <c r="AA549" s="206"/>
      <c r="AB549" s="206"/>
      <c r="AC549" s="206"/>
      <c r="AD549" s="206"/>
      <c r="AE549" s="206"/>
      <c r="AF549" s="206"/>
      <c r="AG549" s="206"/>
      <c r="AH549" s="206"/>
      <c r="AI549" s="206"/>
      <c r="AJ549" s="206"/>
      <c r="AK549" s="206"/>
      <c r="AL549" s="206"/>
      <c r="AM549" s="206"/>
      <c r="AN549" s="206"/>
      <c r="AO549" s="206"/>
      <c r="AP549" s="206"/>
      <c r="AQ549" s="207"/>
      <c r="AR549" s="206"/>
      <c r="AS549" s="206"/>
      <c r="AT549" s="206"/>
      <c r="AU549" s="206"/>
      <c r="AV549" s="206"/>
      <c r="AW549" s="207"/>
      <c r="AX549" s="207"/>
      <c r="AY549" s="207"/>
      <c r="AZ549" s="207"/>
    </row>
    <row r="550" spans="1:52" ht="12.75" x14ac:dyDescent="0.2">
      <c r="A550" s="206"/>
      <c r="B550" s="206"/>
      <c r="C550" s="206"/>
      <c r="D550" s="206"/>
      <c r="E550" s="206"/>
      <c r="F550" s="206"/>
      <c r="G550" s="206"/>
      <c r="H550" s="206"/>
      <c r="I550" s="206"/>
      <c r="J550" s="206"/>
      <c r="K550" s="206"/>
      <c r="L550" s="206"/>
      <c r="M550" s="207"/>
      <c r="N550" s="207"/>
      <c r="O550" s="208"/>
      <c r="P550" s="208"/>
      <c r="Q550" s="208"/>
      <c r="R550" s="206"/>
      <c r="S550" s="206"/>
      <c r="T550" s="206"/>
      <c r="U550" s="206"/>
      <c r="V550" s="206"/>
      <c r="W550" s="206"/>
      <c r="X550" s="207"/>
      <c r="Y550" s="207"/>
      <c r="Z550" s="207"/>
      <c r="AA550" s="206"/>
      <c r="AB550" s="206"/>
      <c r="AC550" s="206"/>
      <c r="AD550" s="206"/>
      <c r="AE550" s="206"/>
      <c r="AF550" s="206"/>
      <c r="AG550" s="206"/>
      <c r="AH550" s="206"/>
      <c r="AI550" s="206"/>
      <c r="AJ550" s="206"/>
      <c r="AK550" s="206"/>
      <c r="AL550" s="206"/>
      <c r="AM550" s="206"/>
      <c r="AN550" s="206"/>
      <c r="AO550" s="206"/>
      <c r="AP550" s="206"/>
      <c r="AQ550" s="207"/>
      <c r="AR550" s="206"/>
      <c r="AS550" s="206"/>
      <c r="AT550" s="206"/>
      <c r="AU550" s="206"/>
      <c r="AV550" s="206"/>
      <c r="AW550" s="207"/>
      <c r="AX550" s="207"/>
      <c r="AY550" s="207"/>
      <c r="AZ550" s="207"/>
    </row>
    <row r="551" spans="1:52" ht="12.75" x14ac:dyDescent="0.2">
      <c r="A551" s="206"/>
      <c r="B551" s="206"/>
      <c r="C551" s="206"/>
      <c r="D551" s="206"/>
      <c r="E551" s="206"/>
      <c r="F551" s="206"/>
      <c r="G551" s="206"/>
      <c r="H551" s="206"/>
      <c r="I551" s="206"/>
      <c r="J551" s="206"/>
      <c r="K551" s="206"/>
      <c r="L551" s="206"/>
      <c r="M551" s="207"/>
      <c r="N551" s="207"/>
      <c r="O551" s="208"/>
      <c r="P551" s="208"/>
      <c r="Q551" s="208"/>
      <c r="R551" s="206"/>
      <c r="S551" s="206"/>
      <c r="T551" s="206"/>
      <c r="U551" s="206"/>
      <c r="V551" s="206"/>
      <c r="W551" s="206"/>
      <c r="X551" s="207"/>
      <c r="Y551" s="207"/>
      <c r="Z551" s="207"/>
      <c r="AA551" s="206"/>
      <c r="AB551" s="206"/>
      <c r="AC551" s="206"/>
      <c r="AD551" s="206"/>
      <c r="AE551" s="206"/>
      <c r="AF551" s="206"/>
      <c r="AG551" s="206"/>
      <c r="AH551" s="206"/>
      <c r="AI551" s="206"/>
      <c r="AJ551" s="206"/>
      <c r="AK551" s="206"/>
      <c r="AL551" s="206"/>
      <c r="AM551" s="206"/>
      <c r="AN551" s="206"/>
      <c r="AO551" s="206"/>
      <c r="AP551" s="206"/>
      <c r="AQ551" s="207"/>
      <c r="AR551" s="206"/>
      <c r="AS551" s="206"/>
      <c r="AT551" s="206"/>
      <c r="AU551" s="206"/>
      <c r="AV551" s="206"/>
      <c r="AW551" s="207"/>
      <c r="AX551" s="207"/>
      <c r="AY551" s="207"/>
      <c r="AZ551" s="207"/>
    </row>
    <row r="552" spans="1:52" ht="12.75" x14ac:dyDescent="0.2">
      <c r="A552" s="206"/>
      <c r="B552" s="206"/>
      <c r="C552" s="206"/>
      <c r="D552" s="206"/>
      <c r="E552" s="206"/>
      <c r="F552" s="206"/>
      <c r="G552" s="206"/>
      <c r="H552" s="206"/>
      <c r="I552" s="206"/>
      <c r="J552" s="206"/>
      <c r="K552" s="206"/>
      <c r="L552" s="206"/>
      <c r="M552" s="207"/>
      <c r="N552" s="207"/>
      <c r="O552" s="208"/>
      <c r="P552" s="208"/>
      <c r="Q552" s="208"/>
      <c r="R552" s="206"/>
      <c r="S552" s="206"/>
      <c r="T552" s="206"/>
      <c r="U552" s="206"/>
      <c r="V552" s="206"/>
      <c r="W552" s="206"/>
      <c r="X552" s="207"/>
      <c r="Y552" s="207"/>
      <c r="Z552" s="207"/>
      <c r="AA552" s="206"/>
      <c r="AB552" s="206"/>
      <c r="AC552" s="206"/>
      <c r="AD552" s="206"/>
      <c r="AE552" s="206"/>
      <c r="AF552" s="206"/>
      <c r="AG552" s="206"/>
      <c r="AH552" s="206"/>
      <c r="AI552" s="206"/>
      <c r="AJ552" s="206"/>
      <c r="AK552" s="206"/>
      <c r="AL552" s="206"/>
      <c r="AM552" s="206"/>
      <c r="AN552" s="206"/>
      <c r="AO552" s="206"/>
      <c r="AP552" s="206"/>
      <c r="AQ552" s="207"/>
      <c r="AR552" s="206"/>
      <c r="AS552" s="206"/>
      <c r="AT552" s="206"/>
      <c r="AU552" s="206"/>
      <c r="AV552" s="206"/>
      <c r="AW552" s="207"/>
      <c r="AX552" s="207"/>
      <c r="AY552" s="207"/>
      <c r="AZ552" s="207"/>
    </row>
    <row r="553" spans="1:52" ht="12.75" x14ac:dyDescent="0.2">
      <c r="A553" s="206"/>
      <c r="B553" s="206"/>
      <c r="C553" s="206"/>
      <c r="D553" s="206"/>
      <c r="E553" s="206"/>
      <c r="F553" s="206"/>
      <c r="G553" s="206"/>
      <c r="H553" s="206"/>
      <c r="I553" s="206"/>
      <c r="J553" s="206"/>
      <c r="K553" s="206"/>
      <c r="L553" s="206"/>
      <c r="M553" s="207"/>
      <c r="N553" s="207"/>
      <c r="O553" s="208"/>
      <c r="P553" s="208"/>
      <c r="Q553" s="208"/>
      <c r="R553" s="206"/>
      <c r="S553" s="206"/>
      <c r="T553" s="206"/>
      <c r="U553" s="206"/>
      <c r="V553" s="206"/>
      <c r="W553" s="206"/>
      <c r="X553" s="207"/>
      <c r="Y553" s="207"/>
      <c r="Z553" s="207"/>
      <c r="AA553" s="206"/>
      <c r="AB553" s="206"/>
      <c r="AC553" s="206"/>
      <c r="AD553" s="206"/>
      <c r="AE553" s="206"/>
      <c r="AF553" s="206"/>
      <c r="AG553" s="206"/>
      <c r="AH553" s="206"/>
      <c r="AI553" s="206"/>
      <c r="AJ553" s="206"/>
      <c r="AK553" s="206"/>
      <c r="AL553" s="206"/>
      <c r="AM553" s="206"/>
      <c r="AN553" s="206"/>
      <c r="AO553" s="206"/>
      <c r="AP553" s="206"/>
      <c r="AQ553" s="207"/>
      <c r="AR553" s="206"/>
      <c r="AS553" s="206"/>
      <c r="AT553" s="206"/>
      <c r="AU553" s="206"/>
      <c r="AV553" s="206"/>
      <c r="AW553" s="207"/>
      <c r="AX553" s="207"/>
      <c r="AY553" s="207"/>
      <c r="AZ553" s="207"/>
    </row>
    <row r="554" spans="1:52" ht="12.75" x14ac:dyDescent="0.2">
      <c r="A554" s="206"/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7"/>
      <c r="N554" s="207"/>
      <c r="O554" s="208"/>
      <c r="P554" s="208"/>
      <c r="Q554" s="208"/>
      <c r="R554" s="206"/>
      <c r="S554" s="206"/>
      <c r="T554" s="206"/>
      <c r="U554" s="206"/>
      <c r="V554" s="206"/>
      <c r="W554" s="206"/>
      <c r="X554" s="207"/>
      <c r="Y554" s="207"/>
      <c r="Z554" s="207"/>
      <c r="AA554" s="206"/>
      <c r="AB554" s="206"/>
      <c r="AC554" s="206"/>
      <c r="AD554" s="206"/>
      <c r="AE554" s="206"/>
      <c r="AF554" s="206"/>
      <c r="AG554" s="206"/>
      <c r="AH554" s="206"/>
      <c r="AI554" s="206"/>
      <c r="AJ554" s="206"/>
      <c r="AK554" s="206"/>
      <c r="AL554" s="206"/>
      <c r="AM554" s="206"/>
      <c r="AN554" s="206"/>
      <c r="AO554" s="206"/>
      <c r="AP554" s="206"/>
      <c r="AQ554" s="207"/>
      <c r="AR554" s="206"/>
      <c r="AS554" s="206"/>
      <c r="AT554" s="206"/>
      <c r="AU554" s="206"/>
      <c r="AV554" s="206"/>
      <c r="AW554" s="207"/>
      <c r="AX554" s="207"/>
      <c r="AY554" s="207"/>
      <c r="AZ554" s="207"/>
    </row>
    <row r="555" spans="1:52" ht="12.75" x14ac:dyDescent="0.2">
      <c r="A555" s="206"/>
      <c r="B555" s="206"/>
      <c r="C555" s="206"/>
      <c r="D555" s="206"/>
      <c r="E555" s="206"/>
      <c r="F555" s="206"/>
      <c r="G555" s="206"/>
      <c r="H555" s="206"/>
      <c r="I555" s="206"/>
      <c r="J555" s="206"/>
      <c r="K555" s="206"/>
      <c r="L555" s="206"/>
      <c r="M555" s="207"/>
      <c r="N555" s="207"/>
      <c r="O555" s="208"/>
      <c r="P555" s="208"/>
      <c r="Q555" s="208"/>
      <c r="R555" s="206"/>
      <c r="S555" s="206"/>
      <c r="T555" s="206"/>
      <c r="U555" s="206"/>
      <c r="V555" s="206"/>
      <c r="W555" s="206"/>
      <c r="X555" s="207"/>
      <c r="Y555" s="207"/>
      <c r="Z555" s="207"/>
      <c r="AA555" s="206"/>
      <c r="AB555" s="206"/>
      <c r="AC555" s="206"/>
      <c r="AD555" s="206"/>
      <c r="AE555" s="206"/>
      <c r="AF555" s="206"/>
      <c r="AG555" s="206"/>
      <c r="AH555" s="206"/>
      <c r="AI555" s="206"/>
      <c r="AJ555" s="206"/>
      <c r="AK555" s="206"/>
      <c r="AL555" s="206"/>
      <c r="AM555" s="206"/>
      <c r="AN555" s="206"/>
      <c r="AO555" s="206"/>
      <c r="AP555" s="206"/>
      <c r="AQ555" s="207"/>
      <c r="AR555" s="206"/>
      <c r="AS555" s="206"/>
      <c r="AT555" s="206"/>
      <c r="AU555" s="206"/>
      <c r="AV555" s="206"/>
      <c r="AW555" s="207"/>
      <c r="AX555" s="207"/>
      <c r="AY555" s="207"/>
      <c r="AZ555" s="207"/>
    </row>
    <row r="556" spans="1:52" ht="12.75" x14ac:dyDescent="0.2">
      <c r="A556" s="206"/>
      <c r="B556" s="206"/>
      <c r="C556" s="206"/>
      <c r="D556" s="206"/>
      <c r="E556" s="206"/>
      <c r="F556" s="206"/>
      <c r="G556" s="206"/>
      <c r="H556" s="206"/>
      <c r="I556" s="206"/>
      <c r="J556" s="206"/>
      <c r="K556" s="206"/>
      <c r="L556" s="206"/>
      <c r="M556" s="207"/>
      <c r="N556" s="207"/>
      <c r="O556" s="208"/>
      <c r="P556" s="208"/>
      <c r="Q556" s="208"/>
      <c r="R556" s="206"/>
      <c r="S556" s="206"/>
      <c r="T556" s="206"/>
      <c r="U556" s="206"/>
      <c r="V556" s="206"/>
      <c r="W556" s="206"/>
      <c r="X556" s="207"/>
      <c r="Y556" s="207"/>
      <c r="Z556" s="207"/>
      <c r="AA556" s="206"/>
      <c r="AB556" s="206"/>
      <c r="AC556" s="206"/>
      <c r="AD556" s="206"/>
      <c r="AE556" s="206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7"/>
      <c r="AR556" s="206"/>
      <c r="AS556" s="206"/>
      <c r="AT556" s="206"/>
      <c r="AU556" s="206"/>
      <c r="AV556" s="206"/>
      <c r="AW556" s="207"/>
      <c r="AX556" s="207"/>
      <c r="AY556" s="207"/>
      <c r="AZ556" s="207"/>
    </row>
    <row r="557" spans="1:52" ht="12.75" x14ac:dyDescent="0.2">
      <c r="A557" s="206"/>
      <c r="B557" s="206"/>
      <c r="C557" s="206"/>
      <c r="D557" s="206"/>
      <c r="E557" s="206"/>
      <c r="F557" s="206"/>
      <c r="G557" s="206"/>
      <c r="H557" s="206"/>
      <c r="I557" s="206"/>
      <c r="J557" s="206"/>
      <c r="K557" s="206"/>
      <c r="L557" s="206"/>
      <c r="M557" s="207"/>
      <c r="N557" s="207"/>
      <c r="O557" s="208"/>
      <c r="P557" s="208"/>
      <c r="Q557" s="208"/>
      <c r="R557" s="206"/>
      <c r="S557" s="206"/>
      <c r="T557" s="206"/>
      <c r="U557" s="206"/>
      <c r="V557" s="206"/>
      <c r="W557" s="206"/>
      <c r="X557" s="207"/>
      <c r="Y557" s="207"/>
      <c r="Z557" s="207"/>
      <c r="AA557" s="206"/>
      <c r="AB557" s="206"/>
      <c r="AC557" s="206"/>
      <c r="AD557" s="206"/>
      <c r="AE557" s="206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7"/>
      <c r="AR557" s="206"/>
      <c r="AS557" s="206"/>
      <c r="AT557" s="206"/>
      <c r="AU557" s="206"/>
      <c r="AV557" s="206"/>
      <c r="AW557" s="207"/>
      <c r="AX557" s="207"/>
      <c r="AY557" s="207"/>
      <c r="AZ557" s="207"/>
    </row>
    <row r="558" spans="1:52" ht="12.75" x14ac:dyDescent="0.2">
      <c r="A558" s="206"/>
      <c r="B558" s="206"/>
      <c r="C558" s="206"/>
      <c r="D558" s="206"/>
      <c r="E558" s="206"/>
      <c r="F558" s="206"/>
      <c r="G558" s="206"/>
      <c r="H558" s="206"/>
      <c r="I558" s="206"/>
      <c r="J558" s="206"/>
      <c r="K558" s="206"/>
      <c r="L558" s="206"/>
      <c r="M558" s="207"/>
      <c r="N558" s="207"/>
      <c r="O558" s="208"/>
      <c r="P558" s="208"/>
      <c r="Q558" s="208"/>
      <c r="R558" s="206"/>
      <c r="S558" s="206"/>
      <c r="T558" s="206"/>
      <c r="U558" s="206"/>
      <c r="V558" s="206"/>
      <c r="W558" s="206"/>
      <c r="X558" s="207"/>
      <c r="Y558" s="207"/>
      <c r="Z558" s="207"/>
      <c r="AA558" s="206"/>
      <c r="AB558" s="206"/>
      <c r="AC558" s="206"/>
      <c r="AD558" s="206"/>
      <c r="AE558" s="206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7"/>
      <c r="AR558" s="206"/>
      <c r="AS558" s="206"/>
      <c r="AT558" s="206"/>
      <c r="AU558" s="206"/>
      <c r="AV558" s="206"/>
      <c r="AW558" s="207"/>
      <c r="AX558" s="207"/>
      <c r="AY558" s="207"/>
      <c r="AZ558" s="207"/>
    </row>
    <row r="559" spans="1:52" ht="12.75" x14ac:dyDescent="0.2">
      <c r="A559" s="206"/>
      <c r="B559" s="206"/>
      <c r="C559" s="206"/>
      <c r="D559" s="206"/>
      <c r="E559" s="206"/>
      <c r="F559" s="206"/>
      <c r="G559" s="206"/>
      <c r="H559" s="206"/>
      <c r="I559" s="206"/>
      <c r="J559" s="206"/>
      <c r="K559" s="206"/>
      <c r="L559" s="206"/>
      <c r="M559" s="207"/>
      <c r="N559" s="207"/>
      <c r="O559" s="208"/>
      <c r="P559" s="208"/>
      <c r="Q559" s="208"/>
      <c r="R559" s="206"/>
      <c r="S559" s="206"/>
      <c r="T559" s="206"/>
      <c r="U559" s="206"/>
      <c r="V559" s="206"/>
      <c r="W559" s="206"/>
      <c r="X559" s="207"/>
      <c r="Y559" s="207"/>
      <c r="Z559" s="207"/>
      <c r="AA559" s="206"/>
      <c r="AB559" s="206"/>
      <c r="AC559" s="206"/>
      <c r="AD559" s="206"/>
      <c r="AE559" s="206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7"/>
      <c r="AR559" s="206"/>
      <c r="AS559" s="206"/>
      <c r="AT559" s="206"/>
      <c r="AU559" s="206"/>
      <c r="AV559" s="206"/>
      <c r="AW559" s="207"/>
      <c r="AX559" s="207"/>
      <c r="AY559" s="207"/>
      <c r="AZ559" s="207"/>
    </row>
    <row r="560" spans="1:52" ht="12.75" x14ac:dyDescent="0.2">
      <c r="A560" s="206"/>
      <c r="B560" s="206"/>
      <c r="C560" s="206"/>
      <c r="D560" s="206"/>
      <c r="E560" s="206"/>
      <c r="F560" s="206"/>
      <c r="G560" s="206"/>
      <c r="H560" s="206"/>
      <c r="I560" s="206"/>
      <c r="J560" s="206"/>
      <c r="K560" s="206"/>
      <c r="L560" s="206"/>
      <c r="M560" s="207"/>
      <c r="N560" s="207"/>
      <c r="O560" s="208"/>
      <c r="P560" s="208"/>
      <c r="Q560" s="208"/>
      <c r="R560" s="206"/>
      <c r="S560" s="206"/>
      <c r="T560" s="206"/>
      <c r="U560" s="206"/>
      <c r="V560" s="206"/>
      <c r="W560" s="206"/>
      <c r="X560" s="207"/>
      <c r="Y560" s="207"/>
      <c r="Z560" s="207"/>
      <c r="AA560" s="206"/>
      <c r="AB560" s="206"/>
      <c r="AC560" s="206"/>
      <c r="AD560" s="206"/>
      <c r="AE560" s="206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7"/>
      <c r="AR560" s="206"/>
      <c r="AS560" s="206"/>
      <c r="AT560" s="206"/>
      <c r="AU560" s="206"/>
      <c r="AV560" s="206"/>
      <c r="AW560" s="207"/>
      <c r="AX560" s="207"/>
      <c r="AY560" s="207"/>
      <c r="AZ560" s="207"/>
    </row>
    <row r="561" spans="1:52" ht="12.75" x14ac:dyDescent="0.2">
      <c r="A561" s="206"/>
      <c r="B561" s="206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7"/>
      <c r="N561" s="207"/>
      <c r="O561" s="208"/>
      <c r="P561" s="208"/>
      <c r="Q561" s="208"/>
      <c r="R561" s="206"/>
      <c r="S561" s="206"/>
      <c r="T561" s="206"/>
      <c r="U561" s="206"/>
      <c r="V561" s="206"/>
      <c r="W561" s="206"/>
      <c r="X561" s="207"/>
      <c r="Y561" s="207"/>
      <c r="Z561" s="207"/>
      <c r="AA561" s="206"/>
      <c r="AB561" s="206"/>
      <c r="AC561" s="206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7"/>
      <c r="AR561" s="206"/>
      <c r="AS561" s="206"/>
      <c r="AT561" s="206"/>
      <c r="AU561" s="206"/>
      <c r="AV561" s="206"/>
      <c r="AW561" s="207"/>
      <c r="AX561" s="207"/>
      <c r="AY561" s="207"/>
      <c r="AZ561" s="207"/>
    </row>
    <row r="562" spans="1:52" ht="12.75" x14ac:dyDescent="0.2">
      <c r="A562" s="206"/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07"/>
      <c r="N562" s="207"/>
      <c r="O562" s="208"/>
      <c r="P562" s="208"/>
      <c r="Q562" s="208"/>
      <c r="R562" s="206"/>
      <c r="S562" s="206"/>
      <c r="T562" s="206"/>
      <c r="U562" s="206"/>
      <c r="V562" s="206"/>
      <c r="W562" s="206"/>
      <c r="X562" s="207"/>
      <c r="Y562" s="207"/>
      <c r="Z562" s="207"/>
      <c r="AA562" s="206"/>
      <c r="AB562" s="206"/>
      <c r="AC562" s="206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7"/>
      <c r="AR562" s="206"/>
      <c r="AS562" s="206"/>
      <c r="AT562" s="206"/>
      <c r="AU562" s="206"/>
      <c r="AV562" s="206"/>
      <c r="AW562" s="207"/>
      <c r="AX562" s="207"/>
      <c r="AY562" s="207"/>
      <c r="AZ562" s="207"/>
    </row>
    <row r="563" spans="1:52" ht="12.75" x14ac:dyDescent="0.2">
      <c r="A563" s="206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07"/>
      <c r="N563" s="207"/>
      <c r="O563" s="208"/>
      <c r="P563" s="208"/>
      <c r="Q563" s="208"/>
      <c r="R563" s="206"/>
      <c r="S563" s="206"/>
      <c r="T563" s="206"/>
      <c r="U563" s="206"/>
      <c r="V563" s="206"/>
      <c r="W563" s="206"/>
      <c r="X563" s="207"/>
      <c r="Y563" s="207"/>
      <c r="Z563" s="207"/>
      <c r="AA563" s="206"/>
      <c r="AB563" s="206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7"/>
      <c r="AR563" s="206"/>
      <c r="AS563" s="206"/>
      <c r="AT563" s="206"/>
      <c r="AU563" s="206"/>
      <c r="AV563" s="206"/>
      <c r="AW563" s="207"/>
      <c r="AX563" s="207"/>
      <c r="AY563" s="207"/>
      <c r="AZ563" s="207"/>
    </row>
    <row r="564" spans="1:52" ht="12.75" x14ac:dyDescent="0.2">
      <c r="A564" s="206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7"/>
      <c r="N564" s="207"/>
      <c r="O564" s="208"/>
      <c r="P564" s="208"/>
      <c r="Q564" s="208"/>
      <c r="R564" s="206"/>
      <c r="S564" s="206"/>
      <c r="T564" s="206"/>
      <c r="U564" s="206"/>
      <c r="V564" s="206"/>
      <c r="W564" s="206"/>
      <c r="X564" s="207"/>
      <c r="Y564" s="207"/>
      <c r="Z564" s="207"/>
      <c r="AA564" s="206"/>
      <c r="AB564" s="206"/>
      <c r="AC564" s="206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7"/>
      <c r="AR564" s="206"/>
      <c r="AS564" s="206"/>
      <c r="AT564" s="206"/>
      <c r="AU564" s="206"/>
      <c r="AV564" s="206"/>
      <c r="AW564" s="207"/>
      <c r="AX564" s="207"/>
      <c r="AY564" s="207"/>
      <c r="AZ564" s="207"/>
    </row>
    <row r="565" spans="1:52" ht="12.75" x14ac:dyDescent="0.2">
      <c r="A565" s="206"/>
      <c r="B565" s="206"/>
      <c r="C565" s="206"/>
      <c r="D565" s="206"/>
      <c r="E565" s="206"/>
      <c r="F565" s="206"/>
      <c r="G565" s="206"/>
      <c r="H565" s="206"/>
      <c r="I565" s="206"/>
      <c r="J565" s="206"/>
      <c r="K565" s="206"/>
      <c r="L565" s="206"/>
      <c r="M565" s="207"/>
      <c r="N565" s="207"/>
      <c r="O565" s="208"/>
      <c r="P565" s="208"/>
      <c r="Q565" s="208"/>
      <c r="R565" s="206"/>
      <c r="S565" s="206"/>
      <c r="T565" s="206"/>
      <c r="U565" s="206"/>
      <c r="V565" s="206"/>
      <c r="W565" s="206"/>
      <c r="X565" s="207"/>
      <c r="Y565" s="207"/>
      <c r="Z565" s="207"/>
      <c r="AA565" s="206"/>
      <c r="AB565" s="206"/>
      <c r="AC565" s="206"/>
      <c r="AD565" s="206"/>
      <c r="AE565" s="206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7"/>
      <c r="AR565" s="206"/>
      <c r="AS565" s="206"/>
      <c r="AT565" s="206"/>
      <c r="AU565" s="206"/>
      <c r="AV565" s="206"/>
      <c r="AW565" s="207"/>
      <c r="AX565" s="207"/>
      <c r="AY565" s="207"/>
      <c r="AZ565" s="207"/>
    </row>
    <row r="566" spans="1:52" ht="12.75" x14ac:dyDescent="0.2">
      <c r="A566" s="206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07"/>
      <c r="N566" s="207"/>
      <c r="O566" s="208"/>
      <c r="P566" s="208"/>
      <c r="Q566" s="208"/>
      <c r="R566" s="206"/>
      <c r="S566" s="206"/>
      <c r="T566" s="206"/>
      <c r="U566" s="206"/>
      <c r="V566" s="206"/>
      <c r="W566" s="206"/>
      <c r="X566" s="207"/>
      <c r="Y566" s="207"/>
      <c r="Z566" s="207"/>
      <c r="AA566" s="206"/>
      <c r="AB566" s="206"/>
      <c r="AC566" s="206"/>
      <c r="AD566" s="206"/>
      <c r="AE566" s="206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7"/>
      <c r="AR566" s="206"/>
      <c r="AS566" s="206"/>
      <c r="AT566" s="206"/>
      <c r="AU566" s="206"/>
      <c r="AV566" s="206"/>
      <c r="AW566" s="207"/>
      <c r="AX566" s="207"/>
      <c r="AY566" s="207"/>
      <c r="AZ566" s="207"/>
    </row>
    <row r="567" spans="1:52" ht="12.75" x14ac:dyDescent="0.2">
      <c r="A567" s="206"/>
      <c r="B567" s="206"/>
      <c r="C567" s="206"/>
      <c r="D567" s="206"/>
      <c r="E567" s="206"/>
      <c r="F567" s="206"/>
      <c r="G567" s="206"/>
      <c r="H567" s="206"/>
      <c r="I567" s="206"/>
      <c r="J567" s="206"/>
      <c r="K567" s="206"/>
      <c r="L567" s="206"/>
      <c r="M567" s="207"/>
      <c r="N567" s="207"/>
      <c r="O567" s="208"/>
      <c r="P567" s="208"/>
      <c r="Q567" s="208"/>
      <c r="R567" s="206"/>
      <c r="S567" s="206"/>
      <c r="T567" s="206"/>
      <c r="U567" s="206"/>
      <c r="V567" s="206"/>
      <c r="W567" s="206"/>
      <c r="X567" s="207"/>
      <c r="Y567" s="207"/>
      <c r="Z567" s="207"/>
      <c r="AA567" s="206"/>
      <c r="AB567" s="206"/>
      <c r="AC567" s="206"/>
      <c r="AD567" s="206"/>
      <c r="AE567" s="206"/>
      <c r="AF567" s="206"/>
      <c r="AG567" s="206"/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7"/>
      <c r="AR567" s="206"/>
      <c r="AS567" s="206"/>
      <c r="AT567" s="206"/>
      <c r="AU567" s="206"/>
      <c r="AV567" s="206"/>
      <c r="AW567" s="207"/>
      <c r="AX567" s="207"/>
      <c r="AY567" s="207"/>
      <c r="AZ567" s="207"/>
    </row>
    <row r="568" spans="1:52" ht="12.75" x14ac:dyDescent="0.2">
      <c r="A568" s="206"/>
      <c r="B568" s="206"/>
      <c r="C568" s="206"/>
      <c r="D568" s="206"/>
      <c r="E568" s="206"/>
      <c r="F568" s="206"/>
      <c r="G568" s="206"/>
      <c r="H568" s="206"/>
      <c r="I568" s="206"/>
      <c r="J568" s="206"/>
      <c r="K568" s="206"/>
      <c r="L568" s="206"/>
      <c r="M568" s="207"/>
      <c r="N568" s="207"/>
      <c r="O568" s="208"/>
      <c r="P568" s="208"/>
      <c r="Q568" s="208"/>
      <c r="R568" s="206"/>
      <c r="S568" s="206"/>
      <c r="T568" s="206"/>
      <c r="U568" s="206"/>
      <c r="V568" s="206"/>
      <c r="W568" s="206"/>
      <c r="X568" s="207"/>
      <c r="Y568" s="207"/>
      <c r="Z568" s="207"/>
      <c r="AA568" s="206"/>
      <c r="AB568" s="206"/>
      <c r="AC568" s="206"/>
      <c r="AD568" s="206"/>
      <c r="AE568" s="206"/>
      <c r="AF568" s="206"/>
      <c r="AG568" s="206"/>
      <c r="AH568" s="206"/>
      <c r="AI568" s="206"/>
      <c r="AJ568" s="206"/>
      <c r="AK568" s="206"/>
      <c r="AL568" s="206"/>
      <c r="AM568" s="206"/>
      <c r="AN568" s="206"/>
      <c r="AO568" s="206"/>
      <c r="AP568" s="206"/>
      <c r="AQ568" s="207"/>
      <c r="AR568" s="206"/>
      <c r="AS568" s="206"/>
      <c r="AT568" s="206"/>
      <c r="AU568" s="206"/>
      <c r="AV568" s="206"/>
      <c r="AW568" s="207"/>
      <c r="AX568" s="207"/>
      <c r="AY568" s="207"/>
      <c r="AZ568" s="207"/>
    </row>
    <row r="569" spans="1:52" ht="12.75" x14ac:dyDescent="0.2">
      <c r="A569" s="206"/>
      <c r="B569" s="206"/>
      <c r="C569" s="206"/>
      <c r="D569" s="206"/>
      <c r="E569" s="206"/>
      <c r="F569" s="206"/>
      <c r="G569" s="206"/>
      <c r="H569" s="206"/>
      <c r="I569" s="206"/>
      <c r="J569" s="206"/>
      <c r="K569" s="206"/>
      <c r="L569" s="206"/>
      <c r="M569" s="207"/>
      <c r="N569" s="207"/>
      <c r="O569" s="208"/>
      <c r="P569" s="208"/>
      <c r="Q569" s="208"/>
      <c r="R569" s="206"/>
      <c r="S569" s="206"/>
      <c r="T569" s="206"/>
      <c r="U569" s="206"/>
      <c r="V569" s="206"/>
      <c r="W569" s="206"/>
      <c r="X569" s="207"/>
      <c r="Y569" s="207"/>
      <c r="Z569" s="207"/>
      <c r="AA569" s="206"/>
      <c r="AB569" s="206"/>
      <c r="AC569" s="206"/>
      <c r="AD569" s="206"/>
      <c r="AE569" s="206"/>
      <c r="AF569" s="206"/>
      <c r="AG569" s="206"/>
      <c r="AH569" s="206"/>
      <c r="AI569" s="206"/>
      <c r="AJ569" s="206"/>
      <c r="AK569" s="206"/>
      <c r="AL569" s="206"/>
      <c r="AM569" s="206"/>
      <c r="AN569" s="206"/>
      <c r="AO569" s="206"/>
      <c r="AP569" s="206"/>
      <c r="AQ569" s="207"/>
      <c r="AR569" s="206"/>
      <c r="AS569" s="206"/>
      <c r="AT569" s="206"/>
      <c r="AU569" s="206"/>
      <c r="AV569" s="206"/>
      <c r="AW569" s="207"/>
      <c r="AX569" s="207"/>
      <c r="AY569" s="207"/>
      <c r="AZ569" s="207"/>
    </row>
    <row r="570" spans="1:52" ht="12.75" x14ac:dyDescent="0.2">
      <c r="A570" s="206"/>
      <c r="B570" s="206"/>
      <c r="C570" s="206"/>
      <c r="D570" s="206"/>
      <c r="E570" s="206"/>
      <c r="F570" s="206"/>
      <c r="G570" s="206"/>
      <c r="H570" s="206"/>
      <c r="I570" s="206"/>
      <c r="J570" s="206"/>
      <c r="K570" s="206"/>
      <c r="L570" s="206"/>
      <c r="M570" s="207"/>
      <c r="N570" s="207"/>
      <c r="O570" s="208"/>
      <c r="P570" s="208"/>
      <c r="Q570" s="208"/>
      <c r="R570" s="206"/>
      <c r="S570" s="206"/>
      <c r="T570" s="206"/>
      <c r="U570" s="206"/>
      <c r="V570" s="206"/>
      <c r="W570" s="206"/>
      <c r="X570" s="207"/>
      <c r="Y570" s="207"/>
      <c r="Z570" s="207"/>
      <c r="AA570" s="206"/>
      <c r="AB570" s="206"/>
      <c r="AC570" s="206"/>
      <c r="AD570" s="206"/>
      <c r="AE570" s="206"/>
      <c r="AF570" s="206"/>
      <c r="AG570" s="206"/>
      <c r="AH570" s="206"/>
      <c r="AI570" s="206"/>
      <c r="AJ570" s="206"/>
      <c r="AK570" s="206"/>
      <c r="AL570" s="206"/>
      <c r="AM570" s="206"/>
      <c r="AN570" s="206"/>
      <c r="AO570" s="206"/>
      <c r="AP570" s="206"/>
      <c r="AQ570" s="207"/>
      <c r="AR570" s="206"/>
      <c r="AS570" s="206"/>
      <c r="AT570" s="206"/>
      <c r="AU570" s="206"/>
      <c r="AV570" s="206"/>
      <c r="AW570" s="207"/>
      <c r="AX570" s="207"/>
      <c r="AY570" s="207"/>
      <c r="AZ570" s="207"/>
    </row>
    <row r="571" spans="1:52" ht="12.75" x14ac:dyDescent="0.2">
      <c r="A571" s="206"/>
      <c r="B571" s="206"/>
      <c r="C571" s="206"/>
      <c r="D571" s="206"/>
      <c r="E571" s="206"/>
      <c r="F571" s="206"/>
      <c r="G571" s="206"/>
      <c r="H571" s="206"/>
      <c r="I571" s="206"/>
      <c r="J571" s="206"/>
      <c r="K571" s="206"/>
      <c r="L571" s="206"/>
      <c r="M571" s="207"/>
      <c r="N571" s="207"/>
      <c r="O571" s="208"/>
      <c r="P571" s="208"/>
      <c r="Q571" s="208"/>
      <c r="R571" s="206"/>
      <c r="S571" s="206"/>
      <c r="T571" s="206"/>
      <c r="U571" s="206"/>
      <c r="V571" s="206"/>
      <c r="W571" s="206"/>
      <c r="X571" s="207"/>
      <c r="Y571" s="207"/>
      <c r="Z571" s="207"/>
      <c r="AA571" s="206"/>
      <c r="AB571" s="206"/>
      <c r="AC571" s="206"/>
      <c r="AD571" s="206"/>
      <c r="AE571" s="206"/>
      <c r="AF571" s="206"/>
      <c r="AG571" s="206"/>
      <c r="AH571" s="206"/>
      <c r="AI571" s="206"/>
      <c r="AJ571" s="206"/>
      <c r="AK571" s="206"/>
      <c r="AL571" s="206"/>
      <c r="AM571" s="206"/>
      <c r="AN571" s="206"/>
      <c r="AO571" s="206"/>
      <c r="AP571" s="206"/>
      <c r="AQ571" s="207"/>
      <c r="AR571" s="206"/>
      <c r="AS571" s="206"/>
      <c r="AT571" s="206"/>
      <c r="AU571" s="206"/>
      <c r="AV571" s="206"/>
      <c r="AW571" s="207"/>
      <c r="AX571" s="207"/>
      <c r="AY571" s="207"/>
      <c r="AZ571" s="207"/>
    </row>
    <row r="572" spans="1:52" ht="12.75" x14ac:dyDescent="0.2">
      <c r="A572" s="206"/>
      <c r="B572" s="206"/>
      <c r="C572" s="206"/>
      <c r="D572" s="206"/>
      <c r="E572" s="206"/>
      <c r="F572" s="206"/>
      <c r="G572" s="206"/>
      <c r="H572" s="206"/>
      <c r="I572" s="206"/>
      <c r="J572" s="206"/>
      <c r="K572" s="206"/>
      <c r="L572" s="206"/>
      <c r="M572" s="207"/>
      <c r="N572" s="207"/>
      <c r="O572" s="208"/>
      <c r="P572" s="208"/>
      <c r="Q572" s="208"/>
      <c r="R572" s="206"/>
      <c r="S572" s="206"/>
      <c r="T572" s="206"/>
      <c r="U572" s="206"/>
      <c r="V572" s="206"/>
      <c r="W572" s="206"/>
      <c r="X572" s="207"/>
      <c r="Y572" s="207"/>
      <c r="Z572" s="207"/>
      <c r="AA572" s="206"/>
      <c r="AB572" s="206"/>
      <c r="AC572" s="206"/>
      <c r="AD572" s="206"/>
      <c r="AE572" s="206"/>
      <c r="AF572" s="206"/>
      <c r="AG572" s="206"/>
      <c r="AH572" s="206"/>
      <c r="AI572" s="206"/>
      <c r="AJ572" s="206"/>
      <c r="AK572" s="206"/>
      <c r="AL572" s="206"/>
      <c r="AM572" s="206"/>
      <c r="AN572" s="206"/>
      <c r="AO572" s="206"/>
      <c r="AP572" s="206"/>
      <c r="AQ572" s="207"/>
      <c r="AR572" s="206"/>
      <c r="AS572" s="206"/>
      <c r="AT572" s="206"/>
      <c r="AU572" s="206"/>
      <c r="AV572" s="206"/>
      <c r="AW572" s="207"/>
      <c r="AX572" s="207"/>
      <c r="AY572" s="207"/>
      <c r="AZ572" s="207"/>
    </row>
    <row r="573" spans="1:52" ht="12.75" x14ac:dyDescent="0.2">
      <c r="A573" s="206"/>
      <c r="B573" s="206"/>
      <c r="C573" s="206"/>
      <c r="D573" s="206"/>
      <c r="E573" s="206"/>
      <c r="F573" s="206"/>
      <c r="G573" s="206"/>
      <c r="H573" s="206"/>
      <c r="I573" s="206"/>
      <c r="J573" s="206"/>
      <c r="K573" s="206"/>
      <c r="L573" s="206"/>
      <c r="M573" s="207"/>
      <c r="N573" s="207"/>
      <c r="O573" s="208"/>
      <c r="P573" s="208"/>
      <c r="Q573" s="208"/>
      <c r="R573" s="206"/>
      <c r="S573" s="206"/>
      <c r="T573" s="206"/>
      <c r="U573" s="206"/>
      <c r="V573" s="206"/>
      <c r="W573" s="206"/>
      <c r="X573" s="207"/>
      <c r="Y573" s="207"/>
      <c r="Z573" s="207"/>
      <c r="AA573" s="206"/>
      <c r="AB573" s="206"/>
      <c r="AC573" s="206"/>
      <c r="AD573" s="206"/>
      <c r="AE573" s="206"/>
      <c r="AF573" s="206"/>
      <c r="AG573" s="206"/>
      <c r="AH573" s="206"/>
      <c r="AI573" s="206"/>
      <c r="AJ573" s="206"/>
      <c r="AK573" s="206"/>
      <c r="AL573" s="206"/>
      <c r="AM573" s="206"/>
      <c r="AN573" s="206"/>
      <c r="AO573" s="206"/>
      <c r="AP573" s="206"/>
      <c r="AQ573" s="207"/>
      <c r="AR573" s="206"/>
      <c r="AS573" s="206"/>
      <c r="AT573" s="206"/>
      <c r="AU573" s="206"/>
      <c r="AV573" s="206"/>
      <c r="AW573" s="207"/>
      <c r="AX573" s="207"/>
      <c r="AY573" s="207"/>
      <c r="AZ573" s="207"/>
    </row>
    <row r="574" spans="1:52" ht="12.75" x14ac:dyDescent="0.2">
      <c r="A574" s="206"/>
      <c r="B574" s="206"/>
      <c r="C574" s="206"/>
      <c r="D574" s="206"/>
      <c r="E574" s="206"/>
      <c r="F574" s="206"/>
      <c r="G574" s="206"/>
      <c r="H574" s="206"/>
      <c r="I574" s="206"/>
      <c r="J574" s="206"/>
      <c r="K574" s="206"/>
      <c r="L574" s="206"/>
      <c r="M574" s="207"/>
      <c r="N574" s="207"/>
      <c r="O574" s="208"/>
      <c r="P574" s="208"/>
      <c r="Q574" s="208"/>
      <c r="R574" s="206"/>
      <c r="S574" s="206"/>
      <c r="T574" s="206"/>
      <c r="U574" s="206"/>
      <c r="V574" s="206"/>
      <c r="W574" s="206"/>
      <c r="X574" s="207"/>
      <c r="Y574" s="207"/>
      <c r="Z574" s="207"/>
      <c r="AA574" s="206"/>
      <c r="AB574" s="206"/>
      <c r="AC574" s="206"/>
      <c r="AD574" s="206"/>
      <c r="AE574" s="206"/>
      <c r="AF574" s="206"/>
      <c r="AG574" s="206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7"/>
      <c r="AR574" s="206"/>
      <c r="AS574" s="206"/>
      <c r="AT574" s="206"/>
      <c r="AU574" s="206"/>
      <c r="AV574" s="206"/>
      <c r="AW574" s="207"/>
      <c r="AX574" s="207"/>
      <c r="AY574" s="207"/>
      <c r="AZ574" s="207"/>
    </row>
    <row r="575" spans="1:52" ht="12.75" x14ac:dyDescent="0.2">
      <c r="A575" s="206"/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7"/>
      <c r="N575" s="207"/>
      <c r="O575" s="208"/>
      <c r="P575" s="208"/>
      <c r="Q575" s="208"/>
      <c r="R575" s="206"/>
      <c r="S575" s="206"/>
      <c r="T575" s="206"/>
      <c r="U575" s="206"/>
      <c r="V575" s="206"/>
      <c r="W575" s="206"/>
      <c r="X575" s="207"/>
      <c r="Y575" s="207"/>
      <c r="Z575" s="207"/>
      <c r="AA575" s="206"/>
      <c r="AB575" s="206"/>
      <c r="AC575" s="206"/>
      <c r="AD575" s="206"/>
      <c r="AE575" s="206"/>
      <c r="AF575" s="206"/>
      <c r="AG575" s="206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7"/>
      <c r="AR575" s="206"/>
      <c r="AS575" s="206"/>
      <c r="AT575" s="206"/>
      <c r="AU575" s="206"/>
      <c r="AV575" s="206"/>
      <c r="AW575" s="207"/>
      <c r="AX575" s="207"/>
      <c r="AY575" s="207"/>
      <c r="AZ575" s="207"/>
    </row>
    <row r="576" spans="1:52" ht="12.75" x14ac:dyDescent="0.2">
      <c r="A576" s="206"/>
      <c r="B576" s="206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7"/>
      <c r="N576" s="207"/>
      <c r="O576" s="208"/>
      <c r="P576" s="208"/>
      <c r="Q576" s="208"/>
      <c r="R576" s="206"/>
      <c r="S576" s="206"/>
      <c r="T576" s="206"/>
      <c r="U576" s="206"/>
      <c r="V576" s="206"/>
      <c r="W576" s="206"/>
      <c r="X576" s="207"/>
      <c r="Y576" s="207"/>
      <c r="Z576" s="207"/>
      <c r="AA576" s="206"/>
      <c r="AB576" s="206"/>
      <c r="AC576" s="206"/>
      <c r="AD576" s="206"/>
      <c r="AE576" s="206"/>
      <c r="AF576" s="206"/>
      <c r="AG576" s="206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7"/>
      <c r="AR576" s="206"/>
      <c r="AS576" s="206"/>
      <c r="AT576" s="206"/>
      <c r="AU576" s="206"/>
      <c r="AV576" s="206"/>
      <c r="AW576" s="207"/>
      <c r="AX576" s="207"/>
      <c r="AY576" s="207"/>
      <c r="AZ576" s="207"/>
    </row>
    <row r="577" spans="1:52" ht="12.75" x14ac:dyDescent="0.2">
      <c r="A577" s="206"/>
      <c r="B577" s="206"/>
      <c r="C577" s="206"/>
      <c r="D577" s="206"/>
      <c r="E577" s="206"/>
      <c r="F577" s="206"/>
      <c r="G577" s="206"/>
      <c r="H577" s="206"/>
      <c r="I577" s="206"/>
      <c r="J577" s="206"/>
      <c r="K577" s="206"/>
      <c r="L577" s="206"/>
      <c r="M577" s="207"/>
      <c r="N577" s="207"/>
      <c r="O577" s="208"/>
      <c r="P577" s="208"/>
      <c r="Q577" s="208"/>
      <c r="R577" s="206"/>
      <c r="S577" s="206"/>
      <c r="T577" s="206"/>
      <c r="U577" s="206"/>
      <c r="V577" s="206"/>
      <c r="W577" s="206"/>
      <c r="X577" s="207"/>
      <c r="Y577" s="207"/>
      <c r="Z577" s="207"/>
      <c r="AA577" s="206"/>
      <c r="AB577" s="206"/>
      <c r="AC577" s="206"/>
      <c r="AD577" s="206"/>
      <c r="AE577" s="206"/>
      <c r="AF577" s="206"/>
      <c r="AG577" s="206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7"/>
      <c r="AR577" s="206"/>
      <c r="AS577" s="206"/>
      <c r="AT577" s="206"/>
      <c r="AU577" s="206"/>
      <c r="AV577" s="206"/>
      <c r="AW577" s="207"/>
      <c r="AX577" s="207"/>
      <c r="AY577" s="207"/>
      <c r="AZ577" s="207"/>
    </row>
    <row r="578" spans="1:52" ht="12.75" x14ac:dyDescent="0.2">
      <c r="A578" s="206"/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07"/>
      <c r="N578" s="207"/>
      <c r="O578" s="208"/>
      <c r="P578" s="208"/>
      <c r="Q578" s="208"/>
      <c r="R578" s="206"/>
      <c r="S578" s="206"/>
      <c r="T578" s="206"/>
      <c r="U578" s="206"/>
      <c r="V578" s="206"/>
      <c r="W578" s="206"/>
      <c r="X578" s="207"/>
      <c r="Y578" s="207"/>
      <c r="Z578" s="207"/>
      <c r="AA578" s="206"/>
      <c r="AB578" s="206"/>
      <c r="AC578" s="206"/>
      <c r="AD578" s="206"/>
      <c r="AE578" s="206"/>
      <c r="AF578" s="206"/>
      <c r="AG578" s="206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7"/>
      <c r="AR578" s="206"/>
      <c r="AS578" s="206"/>
      <c r="AT578" s="206"/>
      <c r="AU578" s="206"/>
      <c r="AV578" s="206"/>
      <c r="AW578" s="207"/>
      <c r="AX578" s="207"/>
      <c r="AY578" s="207"/>
      <c r="AZ578" s="207"/>
    </row>
    <row r="579" spans="1:52" ht="12.75" x14ac:dyDescent="0.2">
      <c r="A579" s="206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07"/>
      <c r="N579" s="207"/>
      <c r="O579" s="208"/>
      <c r="P579" s="208"/>
      <c r="Q579" s="208"/>
      <c r="R579" s="206"/>
      <c r="S579" s="206"/>
      <c r="T579" s="206"/>
      <c r="U579" s="206"/>
      <c r="V579" s="206"/>
      <c r="W579" s="206"/>
      <c r="X579" s="207"/>
      <c r="Y579" s="207"/>
      <c r="Z579" s="207"/>
      <c r="AA579" s="206"/>
      <c r="AB579" s="206"/>
      <c r="AC579" s="206"/>
      <c r="AD579" s="206"/>
      <c r="AE579" s="206"/>
      <c r="AF579" s="206"/>
      <c r="AG579" s="206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7"/>
      <c r="AR579" s="206"/>
      <c r="AS579" s="206"/>
      <c r="AT579" s="206"/>
      <c r="AU579" s="206"/>
      <c r="AV579" s="206"/>
      <c r="AW579" s="207"/>
      <c r="AX579" s="207"/>
      <c r="AY579" s="207"/>
      <c r="AZ579" s="207"/>
    </row>
    <row r="580" spans="1:52" ht="12.75" x14ac:dyDescent="0.2">
      <c r="A580" s="206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7"/>
      <c r="N580" s="207"/>
      <c r="O580" s="208"/>
      <c r="P580" s="208"/>
      <c r="Q580" s="208"/>
      <c r="R580" s="206"/>
      <c r="S580" s="206"/>
      <c r="T580" s="206"/>
      <c r="U580" s="206"/>
      <c r="V580" s="206"/>
      <c r="W580" s="206"/>
      <c r="X580" s="207"/>
      <c r="Y580" s="207"/>
      <c r="Z580" s="207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7"/>
      <c r="AR580" s="206"/>
      <c r="AS580" s="206"/>
      <c r="AT580" s="206"/>
      <c r="AU580" s="206"/>
      <c r="AV580" s="206"/>
      <c r="AW580" s="207"/>
      <c r="AX580" s="207"/>
      <c r="AY580" s="207"/>
      <c r="AZ580" s="207"/>
    </row>
    <row r="581" spans="1:52" ht="12.75" x14ac:dyDescent="0.2">
      <c r="A581" s="206"/>
      <c r="B581" s="206"/>
      <c r="C581" s="206"/>
      <c r="D581" s="206"/>
      <c r="E581" s="206"/>
      <c r="F581" s="206"/>
      <c r="G581" s="206"/>
      <c r="H581" s="206"/>
      <c r="I581" s="206"/>
      <c r="J581" s="206"/>
      <c r="K581" s="206"/>
      <c r="L581" s="206"/>
      <c r="M581" s="207"/>
      <c r="N581" s="207"/>
      <c r="O581" s="208"/>
      <c r="P581" s="208"/>
      <c r="Q581" s="208"/>
      <c r="R581" s="206"/>
      <c r="S581" s="206"/>
      <c r="T581" s="206"/>
      <c r="U581" s="206"/>
      <c r="V581" s="206"/>
      <c r="W581" s="206"/>
      <c r="X581" s="207"/>
      <c r="Y581" s="207"/>
      <c r="Z581" s="207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7"/>
      <c r="AR581" s="206"/>
      <c r="AS581" s="206"/>
      <c r="AT581" s="206"/>
      <c r="AU581" s="206"/>
      <c r="AV581" s="206"/>
      <c r="AW581" s="207"/>
      <c r="AX581" s="207"/>
      <c r="AY581" s="207"/>
      <c r="AZ581" s="207"/>
    </row>
    <row r="582" spans="1:52" ht="12.75" x14ac:dyDescent="0.2">
      <c r="A582" s="206"/>
      <c r="B582" s="206"/>
      <c r="C582" s="206"/>
      <c r="D582" s="206"/>
      <c r="E582" s="206"/>
      <c r="F582" s="206"/>
      <c r="G582" s="206"/>
      <c r="H582" s="206"/>
      <c r="I582" s="206"/>
      <c r="J582" s="206"/>
      <c r="K582" s="206"/>
      <c r="L582" s="206"/>
      <c r="M582" s="207"/>
      <c r="N582" s="207"/>
      <c r="O582" s="208"/>
      <c r="P582" s="208"/>
      <c r="Q582" s="208"/>
      <c r="R582" s="206"/>
      <c r="S582" s="206"/>
      <c r="T582" s="206"/>
      <c r="U582" s="206"/>
      <c r="V582" s="206"/>
      <c r="W582" s="206"/>
      <c r="X582" s="207"/>
      <c r="Y582" s="207"/>
      <c r="Z582" s="207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7"/>
      <c r="AR582" s="206"/>
      <c r="AS582" s="206"/>
      <c r="AT582" s="206"/>
      <c r="AU582" s="206"/>
      <c r="AV582" s="206"/>
      <c r="AW582" s="207"/>
      <c r="AX582" s="207"/>
      <c r="AY582" s="207"/>
      <c r="AZ582" s="207"/>
    </row>
    <row r="583" spans="1:52" ht="12.75" x14ac:dyDescent="0.2">
      <c r="A583" s="206"/>
      <c r="B583" s="206"/>
      <c r="C583" s="206"/>
      <c r="D583" s="206"/>
      <c r="E583" s="206"/>
      <c r="F583" s="206"/>
      <c r="G583" s="206"/>
      <c r="H583" s="206"/>
      <c r="I583" s="206"/>
      <c r="J583" s="206"/>
      <c r="K583" s="206"/>
      <c r="L583" s="206"/>
      <c r="M583" s="207"/>
      <c r="N583" s="207"/>
      <c r="O583" s="208"/>
      <c r="P583" s="208"/>
      <c r="Q583" s="208"/>
      <c r="R583" s="206"/>
      <c r="S583" s="206"/>
      <c r="T583" s="206"/>
      <c r="U583" s="206"/>
      <c r="V583" s="206"/>
      <c r="W583" s="206"/>
      <c r="X583" s="207"/>
      <c r="Y583" s="207"/>
      <c r="Z583" s="207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7"/>
      <c r="AR583" s="206"/>
      <c r="AS583" s="206"/>
      <c r="AT583" s="206"/>
      <c r="AU583" s="206"/>
      <c r="AV583" s="206"/>
      <c r="AW583" s="207"/>
      <c r="AX583" s="207"/>
      <c r="AY583" s="207"/>
      <c r="AZ583" s="207"/>
    </row>
    <row r="584" spans="1:52" ht="12.75" x14ac:dyDescent="0.2">
      <c r="A584" s="206"/>
      <c r="B584" s="206"/>
      <c r="C584" s="206"/>
      <c r="D584" s="206"/>
      <c r="E584" s="206"/>
      <c r="F584" s="206"/>
      <c r="G584" s="206"/>
      <c r="H584" s="206"/>
      <c r="I584" s="206"/>
      <c r="J584" s="206"/>
      <c r="K584" s="206"/>
      <c r="L584" s="206"/>
      <c r="M584" s="207"/>
      <c r="N584" s="207"/>
      <c r="O584" s="208"/>
      <c r="P584" s="208"/>
      <c r="Q584" s="208"/>
      <c r="R584" s="206"/>
      <c r="S584" s="206"/>
      <c r="T584" s="206"/>
      <c r="U584" s="206"/>
      <c r="V584" s="206"/>
      <c r="W584" s="206"/>
      <c r="X584" s="207"/>
      <c r="Y584" s="207"/>
      <c r="Z584" s="207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7"/>
      <c r="AR584" s="206"/>
      <c r="AS584" s="206"/>
      <c r="AT584" s="206"/>
      <c r="AU584" s="206"/>
      <c r="AV584" s="206"/>
      <c r="AW584" s="207"/>
      <c r="AX584" s="207"/>
      <c r="AY584" s="207"/>
      <c r="AZ584" s="207"/>
    </row>
    <row r="585" spans="1:52" ht="12.75" x14ac:dyDescent="0.2">
      <c r="A585" s="206"/>
      <c r="B585" s="206"/>
      <c r="C585" s="206"/>
      <c r="D585" s="206"/>
      <c r="E585" s="206"/>
      <c r="F585" s="206"/>
      <c r="G585" s="206"/>
      <c r="H585" s="206"/>
      <c r="I585" s="206"/>
      <c r="J585" s="206"/>
      <c r="K585" s="206"/>
      <c r="L585" s="206"/>
      <c r="M585" s="207"/>
      <c r="N585" s="207"/>
      <c r="O585" s="208"/>
      <c r="P585" s="208"/>
      <c r="Q585" s="208"/>
      <c r="R585" s="206"/>
      <c r="S585" s="206"/>
      <c r="T585" s="206"/>
      <c r="U585" s="206"/>
      <c r="V585" s="206"/>
      <c r="W585" s="206"/>
      <c r="X585" s="207"/>
      <c r="Y585" s="207"/>
      <c r="Z585" s="207"/>
      <c r="AA585" s="206"/>
      <c r="AB585" s="206"/>
      <c r="AC585" s="206"/>
      <c r="AD585" s="206"/>
      <c r="AE585" s="206"/>
      <c r="AF585" s="206"/>
      <c r="AG585" s="206"/>
      <c r="AH585" s="206"/>
      <c r="AI585" s="206"/>
      <c r="AJ585" s="206"/>
      <c r="AK585" s="206"/>
      <c r="AL585" s="206"/>
      <c r="AM585" s="206"/>
      <c r="AN585" s="206"/>
      <c r="AO585" s="206"/>
      <c r="AP585" s="206"/>
      <c r="AQ585" s="207"/>
      <c r="AR585" s="206"/>
      <c r="AS585" s="206"/>
      <c r="AT585" s="206"/>
      <c r="AU585" s="206"/>
      <c r="AV585" s="206"/>
      <c r="AW585" s="207"/>
      <c r="AX585" s="207"/>
      <c r="AY585" s="207"/>
      <c r="AZ585" s="207"/>
    </row>
    <row r="586" spans="1:52" ht="12.75" x14ac:dyDescent="0.2">
      <c r="A586" s="206"/>
      <c r="B586" s="206"/>
      <c r="C586" s="206"/>
      <c r="D586" s="206"/>
      <c r="E586" s="206"/>
      <c r="F586" s="206"/>
      <c r="G586" s="206"/>
      <c r="H586" s="206"/>
      <c r="I586" s="206"/>
      <c r="J586" s="206"/>
      <c r="K586" s="206"/>
      <c r="L586" s="206"/>
      <c r="M586" s="207"/>
      <c r="N586" s="207"/>
      <c r="O586" s="208"/>
      <c r="P586" s="208"/>
      <c r="Q586" s="208"/>
      <c r="R586" s="206"/>
      <c r="S586" s="206"/>
      <c r="T586" s="206"/>
      <c r="U586" s="206"/>
      <c r="V586" s="206"/>
      <c r="W586" s="206"/>
      <c r="X586" s="207"/>
      <c r="Y586" s="207"/>
      <c r="Z586" s="207"/>
      <c r="AA586" s="206"/>
      <c r="AB586" s="206"/>
      <c r="AC586" s="206"/>
      <c r="AD586" s="206"/>
      <c r="AE586" s="206"/>
      <c r="AF586" s="206"/>
      <c r="AG586" s="206"/>
      <c r="AH586" s="206"/>
      <c r="AI586" s="206"/>
      <c r="AJ586" s="206"/>
      <c r="AK586" s="206"/>
      <c r="AL586" s="206"/>
      <c r="AM586" s="206"/>
      <c r="AN586" s="206"/>
      <c r="AO586" s="206"/>
      <c r="AP586" s="206"/>
      <c r="AQ586" s="207"/>
      <c r="AR586" s="206"/>
      <c r="AS586" s="206"/>
      <c r="AT586" s="206"/>
      <c r="AU586" s="206"/>
      <c r="AV586" s="206"/>
      <c r="AW586" s="207"/>
      <c r="AX586" s="207"/>
      <c r="AY586" s="207"/>
      <c r="AZ586" s="207"/>
    </row>
    <row r="587" spans="1:52" ht="12.75" x14ac:dyDescent="0.2">
      <c r="A587" s="206"/>
      <c r="B587" s="206"/>
      <c r="C587" s="206"/>
      <c r="D587" s="206"/>
      <c r="E587" s="206"/>
      <c r="F587" s="206"/>
      <c r="G587" s="206"/>
      <c r="H587" s="206"/>
      <c r="I587" s="206"/>
      <c r="J587" s="206"/>
      <c r="K587" s="206"/>
      <c r="L587" s="206"/>
      <c r="M587" s="207"/>
      <c r="N587" s="207"/>
      <c r="O587" s="208"/>
      <c r="P587" s="208"/>
      <c r="Q587" s="208"/>
      <c r="R587" s="206"/>
      <c r="S587" s="206"/>
      <c r="T587" s="206"/>
      <c r="U587" s="206"/>
      <c r="V587" s="206"/>
      <c r="W587" s="206"/>
      <c r="X587" s="207"/>
      <c r="Y587" s="207"/>
      <c r="Z587" s="207"/>
      <c r="AA587" s="206"/>
      <c r="AB587" s="206"/>
      <c r="AC587" s="206"/>
      <c r="AD587" s="206"/>
      <c r="AE587" s="206"/>
      <c r="AF587" s="206"/>
      <c r="AG587" s="206"/>
      <c r="AH587" s="206"/>
      <c r="AI587" s="206"/>
      <c r="AJ587" s="206"/>
      <c r="AK587" s="206"/>
      <c r="AL587" s="206"/>
      <c r="AM587" s="206"/>
      <c r="AN587" s="206"/>
      <c r="AO587" s="206"/>
      <c r="AP587" s="206"/>
      <c r="AQ587" s="207"/>
      <c r="AR587" s="206"/>
      <c r="AS587" s="206"/>
      <c r="AT587" s="206"/>
      <c r="AU587" s="206"/>
      <c r="AV587" s="206"/>
      <c r="AW587" s="207"/>
      <c r="AX587" s="207"/>
      <c r="AY587" s="207"/>
      <c r="AZ587" s="207"/>
    </row>
    <row r="588" spans="1:52" ht="12.75" x14ac:dyDescent="0.2">
      <c r="A588" s="206"/>
      <c r="B588" s="206"/>
      <c r="C588" s="206"/>
      <c r="D588" s="206"/>
      <c r="E588" s="206"/>
      <c r="F588" s="206"/>
      <c r="G588" s="206"/>
      <c r="H588" s="206"/>
      <c r="I588" s="206"/>
      <c r="J588" s="206"/>
      <c r="K588" s="206"/>
      <c r="L588" s="206"/>
      <c r="M588" s="207"/>
      <c r="N588" s="207"/>
      <c r="O588" s="208"/>
      <c r="P588" s="208"/>
      <c r="Q588" s="208"/>
      <c r="R588" s="206"/>
      <c r="S588" s="206"/>
      <c r="T588" s="206"/>
      <c r="U588" s="206"/>
      <c r="V588" s="206"/>
      <c r="W588" s="206"/>
      <c r="X588" s="207"/>
      <c r="Y588" s="207"/>
      <c r="Z588" s="207"/>
      <c r="AA588" s="206"/>
      <c r="AB588" s="206"/>
      <c r="AC588" s="206"/>
      <c r="AD588" s="206"/>
      <c r="AE588" s="206"/>
      <c r="AF588" s="206"/>
      <c r="AG588" s="206"/>
      <c r="AH588" s="206"/>
      <c r="AI588" s="206"/>
      <c r="AJ588" s="206"/>
      <c r="AK588" s="206"/>
      <c r="AL588" s="206"/>
      <c r="AM588" s="206"/>
      <c r="AN588" s="206"/>
      <c r="AO588" s="206"/>
      <c r="AP588" s="206"/>
      <c r="AQ588" s="207"/>
      <c r="AR588" s="206"/>
      <c r="AS588" s="206"/>
      <c r="AT588" s="206"/>
      <c r="AU588" s="206"/>
      <c r="AV588" s="206"/>
      <c r="AW588" s="207"/>
      <c r="AX588" s="207"/>
      <c r="AY588" s="207"/>
      <c r="AZ588" s="207"/>
    </row>
    <row r="589" spans="1:52" ht="12.75" x14ac:dyDescent="0.2">
      <c r="A589" s="206"/>
      <c r="B589" s="206"/>
      <c r="C589" s="206"/>
      <c r="D589" s="206"/>
      <c r="E589" s="206"/>
      <c r="F589" s="206"/>
      <c r="G589" s="206"/>
      <c r="H589" s="206"/>
      <c r="I589" s="206"/>
      <c r="J589" s="206"/>
      <c r="K589" s="206"/>
      <c r="L589" s="206"/>
      <c r="M589" s="207"/>
      <c r="N589" s="207"/>
      <c r="O589" s="208"/>
      <c r="P589" s="208"/>
      <c r="Q589" s="208"/>
      <c r="R589" s="206"/>
      <c r="S589" s="206"/>
      <c r="T589" s="206"/>
      <c r="U589" s="206"/>
      <c r="V589" s="206"/>
      <c r="W589" s="206"/>
      <c r="X589" s="207"/>
      <c r="Y589" s="207"/>
      <c r="Z589" s="207"/>
      <c r="AA589" s="206"/>
      <c r="AB589" s="206"/>
      <c r="AC589" s="206"/>
      <c r="AD589" s="206"/>
      <c r="AE589" s="206"/>
      <c r="AF589" s="206"/>
      <c r="AG589" s="206"/>
      <c r="AH589" s="206"/>
      <c r="AI589" s="206"/>
      <c r="AJ589" s="206"/>
      <c r="AK589" s="206"/>
      <c r="AL589" s="206"/>
      <c r="AM589" s="206"/>
      <c r="AN589" s="206"/>
      <c r="AO589" s="206"/>
      <c r="AP589" s="206"/>
      <c r="AQ589" s="207"/>
      <c r="AR589" s="206"/>
      <c r="AS589" s="206"/>
      <c r="AT589" s="206"/>
      <c r="AU589" s="206"/>
      <c r="AV589" s="206"/>
      <c r="AW589" s="207"/>
      <c r="AX589" s="207"/>
      <c r="AY589" s="207"/>
      <c r="AZ589" s="207"/>
    </row>
    <row r="590" spans="1:52" ht="12.75" x14ac:dyDescent="0.2">
      <c r="A590" s="206"/>
      <c r="B590" s="206"/>
      <c r="C590" s="206"/>
      <c r="D590" s="206"/>
      <c r="E590" s="206"/>
      <c r="F590" s="206"/>
      <c r="G590" s="206"/>
      <c r="H590" s="206"/>
      <c r="I590" s="206"/>
      <c r="J590" s="206"/>
      <c r="K590" s="206"/>
      <c r="L590" s="206"/>
      <c r="M590" s="207"/>
      <c r="N590" s="207"/>
      <c r="O590" s="208"/>
      <c r="P590" s="208"/>
      <c r="Q590" s="208"/>
      <c r="R590" s="206"/>
      <c r="S590" s="206"/>
      <c r="T590" s="206"/>
      <c r="U590" s="206"/>
      <c r="V590" s="206"/>
      <c r="W590" s="206"/>
      <c r="X590" s="207"/>
      <c r="Y590" s="207"/>
      <c r="Z590" s="207"/>
      <c r="AA590" s="206"/>
      <c r="AB590" s="206"/>
      <c r="AC590" s="206"/>
      <c r="AD590" s="206"/>
      <c r="AE590" s="206"/>
      <c r="AF590" s="206"/>
      <c r="AG590" s="206"/>
      <c r="AH590" s="206"/>
      <c r="AI590" s="206"/>
      <c r="AJ590" s="206"/>
      <c r="AK590" s="206"/>
      <c r="AL590" s="206"/>
      <c r="AM590" s="206"/>
      <c r="AN590" s="206"/>
      <c r="AO590" s="206"/>
      <c r="AP590" s="206"/>
      <c r="AQ590" s="207"/>
      <c r="AR590" s="206"/>
      <c r="AS590" s="206"/>
      <c r="AT590" s="206"/>
      <c r="AU590" s="206"/>
      <c r="AV590" s="206"/>
      <c r="AW590" s="207"/>
      <c r="AX590" s="207"/>
      <c r="AY590" s="207"/>
      <c r="AZ590" s="207"/>
    </row>
    <row r="591" spans="1:52" ht="12.75" x14ac:dyDescent="0.2">
      <c r="A591" s="206"/>
      <c r="B591" s="206"/>
      <c r="C591" s="206"/>
      <c r="D591" s="206"/>
      <c r="E591" s="206"/>
      <c r="F591" s="206"/>
      <c r="G591" s="206"/>
      <c r="H591" s="206"/>
      <c r="I591" s="206"/>
      <c r="J591" s="206"/>
      <c r="K591" s="206"/>
      <c r="L591" s="206"/>
      <c r="M591" s="207"/>
      <c r="N591" s="207"/>
      <c r="O591" s="208"/>
      <c r="P591" s="208"/>
      <c r="Q591" s="208"/>
      <c r="R591" s="206"/>
      <c r="S591" s="206"/>
      <c r="T591" s="206"/>
      <c r="U591" s="206"/>
      <c r="V591" s="206"/>
      <c r="W591" s="206"/>
      <c r="X591" s="207"/>
      <c r="Y591" s="207"/>
      <c r="Z591" s="207"/>
      <c r="AA591" s="206"/>
      <c r="AB591" s="206"/>
      <c r="AC591" s="206"/>
      <c r="AD591" s="206"/>
      <c r="AE591" s="206"/>
      <c r="AF591" s="206"/>
      <c r="AG591" s="206"/>
      <c r="AH591" s="206"/>
      <c r="AI591" s="206"/>
      <c r="AJ591" s="206"/>
      <c r="AK591" s="206"/>
      <c r="AL591" s="206"/>
      <c r="AM591" s="206"/>
      <c r="AN591" s="206"/>
      <c r="AO591" s="206"/>
      <c r="AP591" s="206"/>
      <c r="AQ591" s="207"/>
      <c r="AR591" s="206"/>
      <c r="AS591" s="206"/>
      <c r="AT591" s="206"/>
      <c r="AU591" s="206"/>
      <c r="AV591" s="206"/>
      <c r="AW591" s="207"/>
      <c r="AX591" s="207"/>
      <c r="AY591" s="207"/>
      <c r="AZ591" s="207"/>
    </row>
    <row r="592" spans="1:52" ht="12.75" x14ac:dyDescent="0.2">
      <c r="A592" s="206"/>
      <c r="B592" s="206"/>
      <c r="C592" s="206"/>
      <c r="D592" s="206"/>
      <c r="E592" s="206"/>
      <c r="F592" s="206"/>
      <c r="G592" s="206"/>
      <c r="H592" s="206"/>
      <c r="I592" s="206"/>
      <c r="J592" s="206"/>
      <c r="K592" s="206"/>
      <c r="L592" s="206"/>
      <c r="M592" s="207"/>
      <c r="N592" s="207"/>
      <c r="O592" s="208"/>
      <c r="P592" s="208"/>
      <c r="Q592" s="208"/>
      <c r="R592" s="206"/>
      <c r="S592" s="206"/>
      <c r="T592" s="206"/>
      <c r="U592" s="206"/>
      <c r="V592" s="206"/>
      <c r="W592" s="206"/>
      <c r="X592" s="207"/>
      <c r="Y592" s="207"/>
      <c r="Z592" s="207"/>
      <c r="AA592" s="206"/>
      <c r="AB592" s="206"/>
      <c r="AC592" s="206"/>
      <c r="AD592" s="206"/>
      <c r="AE592" s="206"/>
      <c r="AF592" s="206"/>
      <c r="AG592" s="206"/>
      <c r="AH592" s="206"/>
      <c r="AI592" s="206"/>
      <c r="AJ592" s="206"/>
      <c r="AK592" s="206"/>
      <c r="AL592" s="206"/>
      <c r="AM592" s="206"/>
      <c r="AN592" s="206"/>
      <c r="AO592" s="206"/>
      <c r="AP592" s="206"/>
      <c r="AQ592" s="207"/>
      <c r="AR592" s="206"/>
      <c r="AS592" s="206"/>
      <c r="AT592" s="206"/>
      <c r="AU592" s="206"/>
      <c r="AV592" s="206"/>
      <c r="AW592" s="207"/>
      <c r="AX592" s="207"/>
      <c r="AY592" s="207"/>
      <c r="AZ592" s="207"/>
    </row>
    <row r="593" spans="1:52" ht="12.75" x14ac:dyDescent="0.2">
      <c r="A593" s="206"/>
      <c r="B593" s="206"/>
      <c r="C593" s="206"/>
      <c r="D593" s="206"/>
      <c r="E593" s="206"/>
      <c r="F593" s="206"/>
      <c r="G593" s="206"/>
      <c r="H593" s="206"/>
      <c r="I593" s="206"/>
      <c r="J593" s="206"/>
      <c r="K593" s="206"/>
      <c r="L593" s="206"/>
      <c r="M593" s="207"/>
      <c r="N593" s="207"/>
      <c r="O593" s="208"/>
      <c r="P593" s="208"/>
      <c r="Q593" s="208"/>
      <c r="R593" s="206"/>
      <c r="S593" s="206"/>
      <c r="T593" s="206"/>
      <c r="U593" s="206"/>
      <c r="V593" s="206"/>
      <c r="W593" s="206"/>
      <c r="X593" s="207"/>
      <c r="Y593" s="207"/>
      <c r="Z593" s="207"/>
      <c r="AA593" s="206"/>
      <c r="AB593" s="206"/>
      <c r="AC593" s="206"/>
      <c r="AD593" s="206"/>
      <c r="AE593" s="206"/>
      <c r="AF593" s="206"/>
      <c r="AG593" s="206"/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7"/>
      <c r="AR593" s="206"/>
      <c r="AS593" s="206"/>
      <c r="AT593" s="206"/>
      <c r="AU593" s="206"/>
      <c r="AV593" s="206"/>
      <c r="AW593" s="207"/>
      <c r="AX593" s="207"/>
      <c r="AY593" s="207"/>
      <c r="AZ593" s="207"/>
    </row>
    <row r="594" spans="1:52" ht="12.75" x14ac:dyDescent="0.2">
      <c r="A594" s="206"/>
      <c r="B594" s="206"/>
      <c r="C594" s="206"/>
      <c r="D594" s="206"/>
      <c r="E594" s="206"/>
      <c r="F594" s="206"/>
      <c r="G594" s="206"/>
      <c r="H594" s="206"/>
      <c r="I594" s="206"/>
      <c r="J594" s="206"/>
      <c r="K594" s="206"/>
      <c r="L594" s="206"/>
      <c r="M594" s="207"/>
      <c r="N594" s="207"/>
      <c r="O594" s="208"/>
      <c r="P594" s="208"/>
      <c r="Q594" s="208"/>
      <c r="R594" s="206"/>
      <c r="S594" s="206"/>
      <c r="T594" s="206"/>
      <c r="U594" s="206"/>
      <c r="V594" s="206"/>
      <c r="W594" s="206"/>
      <c r="X594" s="207"/>
      <c r="Y594" s="207"/>
      <c r="Z594" s="207"/>
      <c r="AA594" s="206"/>
      <c r="AB594" s="206"/>
      <c r="AC594" s="206"/>
      <c r="AD594" s="206"/>
      <c r="AE594" s="206"/>
      <c r="AF594" s="206"/>
      <c r="AG594" s="206"/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7"/>
      <c r="AR594" s="206"/>
      <c r="AS594" s="206"/>
      <c r="AT594" s="206"/>
      <c r="AU594" s="206"/>
      <c r="AV594" s="206"/>
      <c r="AW594" s="207"/>
      <c r="AX594" s="207"/>
      <c r="AY594" s="207"/>
      <c r="AZ594" s="207"/>
    </row>
    <row r="595" spans="1:52" ht="12.75" x14ac:dyDescent="0.2">
      <c r="A595" s="206"/>
      <c r="B595" s="206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07"/>
      <c r="N595" s="207"/>
      <c r="O595" s="208"/>
      <c r="P595" s="208"/>
      <c r="Q595" s="208"/>
      <c r="R595" s="206"/>
      <c r="S595" s="206"/>
      <c r="T595" s="206"/>
      <c r="U595" s="206"/>
      <c r="V595" s="206"/>
      <c r="W595" s="206"/>
      <c r="X595" s="207"/>
      <c r="Y595" s="207"/>
      <c r="Z595" s="207"/>
      <c r="AA595" s="206"/>
      <c r="AB595" s="206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7"/>
      <c r="AR595" s="206"/>
      <c r="AS595" s="206"/>
      <c r="AT595" s="206"/>
      <c r="AU595" s="206"/>
      <c r="AV595" s="206"/>
      <c r="AW595" s="207"/>
      <c r="AX595" s="207"/>
      <c r="AY595" s="207"/>
      <c r="AZ595" s="207"/>
    </row>
    <row r="596" spans="1:52" ht="12.75" x14ac:dyDescent="0.2">
      <c r="A596" s="206"/>
      <c r="B596" s="206"/>
      <c r="C596" s="206"/>
      <c r="D596" s="206"/>
      <c r="E596" s="206"/>
      <c r="F596" s="206"/>
      <c r="G596" s="206"/>
      <c r="H596" s="206"/>
      <c r="I596" s="206"/>
      <c r="J596" s="206"/>
      <c r="K596" s="206"/>
      <c r="L596" s="206"/>
      <c r="M596" s="207"/>
      <c r="N596" s="207"/>
      <c r="O596" s="208"/>
      <c r="P596" s="208"/>
      <c r="Q596" s="208"/>
      <c r="R596" s="206"/>
      <c r="S596" s="206"/>
      <c r="T596" s="206"/>
      <c r="U596" s="206"/>
      <c r="V596" s="206"/>
      <c r="W596" s="206"/>
      <c r="X596" s="207"/>
      <c r="Y596" s="207"/>
      <c r="Z596" s="207"/>
      <c r="AA596" s="206"/>
      <c r="AB596" s="206"/>
      <c r="AC596" s="206"/>
      <c r="AD596" s="206"/>
      <c r="AE596" s="206"/>
      <c r="AF596" s="206"/>
      <c r="AG596" s="206"/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7"/>
      <c r="AR596" s="206"/>
      <c r="AS596" s="206"/>
      <c r="AT596" s="206"/>
      <c r="AU596" s="206"/>
      <c r="AV596" s="206"/>
      <c r="AW596" s="207"/>
      <c r="AX596" s="207"/>
      <c r="AY596" s="207"/>
      <c r="AZ596" s="207"/>
    </row>
    <row r="597" spans="1:52" ht="12.75" x14ac:dyDescent="0.2">
      <c r="A597" s="206"/>
      <c r="B597" s="206"/>
      <c r="C597" s="206"/>
      <c r="D597" s="206"/>
      <c r="E597" s="206"/>
      <c r="F597" s="206"/>
      <c r="G597" s="206"/>
      <c r="H597" s="206"/>
      <c r="I597" s="206"/>
      <c r="J597" s="206"/>
      <c r="K597" s="206"/>
      <c r="L597" s="206"/>
      <c r="M597" s="207"/>
      <c r="N597" s="207"/>
      <c r="O597" s="208"/>
      <c r="P597" s="208"/>
      <c r="Q597" s="208"/>
      <c r="R597" s="206"/>
      <c r="S597" s="206"/>
      <c r="T597" s="206"/>
      <c r="U597" s="206"/>
      <c r="V597" s="206"/>
      <c r="W597" s="206"/>
      <c r="X597" s="207"/>
      <c r="Y597" s="207"/>
      <c r="Z597" s="207"/>
      <c r="AA597" s="206"/>
      <c r="AB597" s="206"/>
      <c r="AC597" s="206"/>
      <c r="AD597" s="206"/>
      <c r="AE597" s="206"/>
      <c r="AF597" s="206"/>
      <c r="AG597" s="206"/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7"/>
      <c r="AR597" s="206"/>
      <c r="AS597" s="206"/>
      <c r="AT597" s="206"/>
      <c r="AU597" s="206"/>
      <c r="AV597" s="206"/>
      <c r="AW597" s="207"/>
      <c r="AX597" s="207"/>
      <c r="AY597" s="207"/>
      <c r="AZ597" s="207"/>
    </row>
    <row r="598" spans="1:52" ht="12.75" x14ac:dyDescent="0.2">
      <c r="A598" s="206"/>
      <c r="B598" s="206"/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7"/>
      <c r="N598" s="207"/>
      <c r="O598" s="208"/>
      <c r="P598" s="208"/>
      <c r="Q598" s="208"/>
      <c r="R598" s="206"/>
      <c r="S598" s="206"/>
      <c r="T598" s="206"/>
      <c r="U598" s="206"/>
      <c r="V598" s="206"/>
      <c r="W598" s="206"/>
      <c r="X598" s="207"/>
      <c r="Y598" s="207"/>
      <c r="Z598" s="207"/>
      <c r="AA598" s="206"/>
      <c r="AB598" s="206"/>
      <c r="AC598" s="206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7"/>
      <c r="AR598" s="206"/>
      <c r="AS598" s="206"/>
      <c r="AT598" s="206"/>
      <c r="AU598" s="206"/>
      <c r="AV598" s="206"/>
      <c r="AW598" s="207"/>
      <c r="AX598" s="207"/>
      <c r="AY598" s="207"/>
      <c r="AZ598" s="207"/>
    </row>
    <row r="599" spans="1:52" ht="12.75" x14ac:dyDescent="0.2">
      <c r="A599" s="206"/>
      <c r="B599" s="206"/>
      <c r="C599" s="206"/>
      <c r="D599" s="206"/>
      <c r="E599" s="206"/>
      <c r="F599" s="206"/>
      <c r="G599" s="206"/>
      <c r="H599" s="206"/>
      <c r="I599" s="206"/>
      <c r="J599" s="206"/>
      <c r="K599" s="206"/>
      <c r="L599" s="206"/>
      <c r="M599" s="207"/>
      <c r="N599" s="207"/>
      <c r="O599" s="208"/>
      <c r="P599" s="208"/>
      <c r="Q599" s="208"/>
      <c r="R599" s="206"/>
      <c r="S599" s="206"/>
      <c r="T599" s="206"/>
      <c r="U599" s="206"/>
      <c r="V599" s="206"/>
      <c r="W599" s="206"/>
      <c r="X599" s="207"/>
      <c r="Y599" s="207"/>
      <c r="Z599" s="207"/>
      <c r="AA599" s="206"/>
      <c r="AB599" s="206"/>
      <c r="AC599" s="206"/>
      <c r="AD599" s="206"/>
      <c r="AE599" s="206"/>
      <c r="AF599" s="206"/>
      <c r="AG599" s="206"/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7"/>
      <c r="AR599" s="206"/>
      <c r="AS599" s="206"/>
      <c r="AT599" s="206"/>
      <c r="AU599" s="206"/>
      <c r="AV599" s="206"/>
      <c r="AW599" s="207"/>
      <c r="AX599" s="207"/>
      <c r="AY599" s="207"/>
      <c r="AZ599" s="207"/>
    </row>
    <row r="600" spans="1:52" ht="12.75" x14ac:dyDescent="0.2">
      <c r="A600" s="206"/>
      <c r="B600" s="206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7"/>
      <c r="N600" s="207"/>
      <c r="O600" s="208"/>
      <c r="P600" s="208"/>
      <c r="Q600" s="208"/>
      <c r="R600" s="206"/>
      <c r="S600" s="206"/>
      <c r="T600" s="206"/>
      <c r="U600" s="206"/>
      <c r="V600" s="206"/>
      <c r="W600" s="206"/>
      <c r="X600" s="207"/>
      <c r="Y600" s="207"/>
      <c r="Z600" s="207"/>
      <c r="AA600" s="206"/>
      <c r="AB600" s="206"/>
      <c r="AC600" s="206"/>
      <c r="AD600" s="206"/>
      <c r="AE600" s="206"/>
      <c r="AF600" s="206"/>
      <c r="AG600" s="206"/>
      <c r="AH600" s="206"/>
      <c r="AI600" s="206"/>
      <c r="AJ600" s="206"/>
      <c r="AK600" s="206"/>
      <c r="AL600" s="206"/>
      <c r="AM600" s="206"/>
      <c r="AN600" s="206"/>
      <c r="AO600" s="206"/>
      <c r="AP600" s="206"/>
      <c r="AQ600" s="207"/>
      <c r="AR600" s="206"/>
      <c r="AS600" s="206"/>
      <c r="AT600" s="206"/>
      <c r="AU600" s="206"/>
      <c r="AV600" s="206"/>
      <c r="AW600" s="207"/>
      <c r="AX600" s="207"/>
      <c r="AY600" s="207"/>
      <c r="AZ600" s="207"/>
    </row>
    <row r="601" spans="1:52" ht="12.75" x14ac:dyDescent="0.2">
      <c r="A601" s="206"/>
      <c r="B601" s="206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7"/>
      <c r="N601" s="207"/>
      <c r="O601" s="208"/>
      <c r="P601" s="208"/>
      <c r="Q601" s="208"/>
      <c r="R601" s="206"/>
      <c r="S601" s="206"/>
      <c r="T601" s="206"/>
      <c r="U601" s="206"/>
      <c r="V601" s="206"/>
      <c r="W601" s="206"/>
      <c r="X601" s="207"/>
      <c r="Y601" s="207"/>
      <c r="Z601" s="207"/>
      <c r="AA601" s="206"/>
      <c r="AB601" s="206"/>
      <c r="AC601" s="206"/>
      <c r="AD601" s="206"/>
      <c r="AE601" s="206"/>
      <c r="AF601" s="206"/>
      <c r="AG601" s="206"/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7"/>
      <c r="AR601" s="206"/>
      <c r="AS601" s="206"/>
      <c r="AT601" s="206"/>
      <c r="AU601" s="206"/>
      <c r="AV601" s="206"/>
      <c r="AW601" s="207"/>
      <c r="AX601" s="207"/>
      <c r="AY601" s="207"/>
      <c r="AZ601" s="207"/>
    </row>
    <row r="602" spans="1:52" ht="12.75" x14ac:dyDescent="0.2">
      <c r="A602" s="206"/>
      <c r="B602" s="206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7"/>
      <c r="N602" s="207"/>
      <c r="O602" s="208"/>
      <c r="P602" s="208"/>
      <c r="Q602" s="208"/>
      <c r="R602" s="206"/>
      <c r="S602" s="206"/>
      <c r="T602" s="206"/>
      <c r="U602" s="206"/>
      <c r="V602" s="206"/>
      <c r="W602" s="206"/>
      <c r="X602" s="207"/>
      <c r="Y602" s="207"/>
      <c r="Z602" s="207"/>
      <c r="AA602" s="206"/>
      <c r="AB602" s="206"/>
      <c r="AC602" s="206"/>
      <c r="AD602" s="206"/>
      <c r="AE602" s="206"/>
      <c r="AF602" s="206"/>
      <c r="AG602" s="206"/>
      <c r="AH602" s="206"/>
      <c r="AI602" s="206"/>
      <c r="AJ602" s="206"/>
      <c r="AK602" s="206"/>
      <c r="AL602" s="206"/>
      <c r="AM602" s="206"/>
      <c r="AN602" s="206"/>
      <c r="AO602" s="206"/>
      <c r="AP602" s="206"/>
      <c r="AQ602" s="207"/>
      <c r="AR602" s="206"/>
      <c r="AS602" s="206"/>
      <c r="AT602" s="206"/>
      <c r="AU602" s="206"/>
      <c r="AV602" s="206"/>
      <c r="AW602" s="207"/>
      <c r="AX602" s="207"/>
      <c r="AY602" s="207"/>
      <c r="AZ602" s="207"/>
    </row>
    <row r="603" spans="1:52" ht="12.75" x14ac:dyDescent="0.2">
      <c r="A603" s="206"/>
      <c r="B603" s="206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7"/>
      <c r="N603" s="207"/>
      <c r="O603" s="208"/>
      <c r="P603" s="208"/>
      <c r="Q603" s="208"/>
      <c r="R603" s="206"/>
      <c r="S603" s="206"/>
      <c r="T603" s="206"/>
      <c r="U603" s="206"/>
      <c r="V603" s="206"/>
      <c r="W603" s="206"/>
      <c r="X603" s="207"/>
      <c r="Y603" s="207"/>
      <c r="Z603" s="207"/>
      <c r="AA603" s="206"/>
      <c r="AB603" s="206"/>
      <c r="AC603" s="206"/>
      <c r="AD603" s="206"/>
      <c r="AE603" s="206"/>
      <c r="AF603" s="206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7"/>
      <c r="AR603" s="206"/>
      <c r="AS603" s="206"/>
      <c r="AT603" s="206"/>
      <c r="AU603" s="206"/>
      <c r="AV603" s="206"/>
      <c r="AW603" s="207"/>
      <c r="AX603" s="207"/>
      <c r="AY603" s="207"/>
      <c r="AZ603" s="207"/>
    </row>
    <row r="604" spans="1:52" ht="12.75" x14ac:dyDescent="0.2">
      <c r="A604" s="206"/>
      <c r="B604" s="206"/>
      <c r="C604" s="206"/>
      <c r="D604" s="206"/>
      <c r="E604" s="206"/>
      <c r="F604" s="206"/>
      <c r="G604" s="206"/>
      <c r="H604" s="206"/>
      <c r="I604" s="206"/>
      <c r="J604" s="206"/>
      <c r="K604" s="206"/>
      <c r="L604" s="206"/>
      <c r="M604" s="207"/>
      <c r="N604" s="207"/>
      <c r="O604" s="208"/>
      <c r="P604" s="208"/>
      <c r="Q604" s="208"/>
      <c r="R604" s="206"/>
      <c r="S604" s="206"/>
      <c r="T604" s="206"/>
      <c r="U604" s="206"/>
      <c r="V604" s="206"/>
      <c r="W604" s="206"/>
      <c r="X604" s="207"/>
      <c r="Y604" s="207"/>
      <c r="Z604" s="207"/>
      <c r="AA604" s="206"/>
      <c r="AB604" s="206"/>
      <c r="AC604" s="206"/>
      <c r="AD604" s="206"/>
      <c r="AE604" s="206"/>
      <c r="AF604" s="206"/>
      <c r="AG604" s="206"/>
      <c r="AH604" s="206"/>
      <c r="AI604" s="206"/>
      <c r="AJ604" s="206"/>
      <c r="AK604" s="206"/>
      <c r="AL604" s="206"/>
      <c r="AM604" s="206"/>
      <c r="AN604" s="206"/>
      <c r="AO604" s="206"/>
      <c r="AP604" s="206"/>
      <c r="AQ604" s="207"/>
      <c r="AR604" s="206"/>
      <c r="AS604" s="206"/>
      <c r="AT604" s="206"/>
      <c r="AU604" s="206"/>
      <c r="AV604" s="206"/>
      <c r="AW604" s="207"/>
      <c r="AX604" s="207"/>
      <c r="AY604" s="207"/>
      <c r="AZ604" s="207"/>
    </row>
    <row r="605" spans="1:52" ht="12.75" x14ac:dyDescent="0.2">
      <c r="A605" s="206"/>
      <c r="B605" s="206"/>
      <c r="C605" s="206"/>
      <c r="D605" s="206"/>
      <c r="E605" s="206"/>
      <c r="F605" s="206"/>
      <c r="G605" s="206"/>
      <c r="H605" s="206"/>
      <c r="I605" s="206"/>
      <c r="J605" s="206"/>
      <c r="K605" s="206"/>
      <c r="L605" s="206"/>
      <c r="M605" s="207"/>
      <c r="N605" s="207"/>
      <c r="O605" s="208"/>
      <c r="P605" s="208"/>
      <c r="Q605" s="208"/>
      <c r="R605" s="206"/>
      <c r="S605" s="206"/>
      <c r="T605" s="206"/>
      <c r="U605" s="206"/>
      <c r="V605" s="206"/>
      <c r="W605" s="206"/>
      <c r="X605" s="207"/>
      <c r="Y605" s="207"/>
      <c r="Z605" s="207"/>
      <c r="AA605" s="206"/>
      <c r="AB605" s="206"/>
      <c r="AC605" s="206"/>
      <c r="AD605" s="206"/>
      <c r="AE605" s="206"/>
      <c r="AF605" s="206"/>
      <c r="AG605" s="206"/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7"/>
      <c r="AR605" s="206"/>
      <c r="AS605" s="206"/>
      <c r="AT605" s="206"/>
      <c r="AU605" s="206"/>
      <c r="AV605" s="206"/>
      <c r="AW605" s="207"/>
      <c r="AX605" s="207"/>
      <c r="AY605" s="207"/>
      <c r="AZ605" s="207"/>
    </row>
    <row r="606" spans="1:52" ht="12.75" x14ac:dyDescent="0.2">
      <c r="A606" s="206"/>
      <c r="B606" s="206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7"/>
      <c r="N606" s="207"/>
      <c r="O606" s="208"/>
      <c r="P606" s="208"/>
      <c r="Q606" s="208"/>
      <c r="R606" s="206"/>
      <c r="S606" s="206"/>
      <c r="T606" s="206"/>
      <c r="U606" s="206"/>
      <c r="V606" s="206"/>
      <c r="W606" s="206"/>
      <c r="X606" s="207"/>
      <c r="Y606" s="207"/>
      <c r="Z606" s="207"/>
      <c r="AA606" s="206"/>
      <c r="AB606" s="206"/>
      <c r="AC606" s="206"/>
      <c r="AD606" s="206"/>
      <c r="AE606" s="206"/>
      <c r="AF606" s="206"/>
      <c r="AG606" s="206"/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7"/>
      <c r="AR606" s="206"/>
      <c r="AS606" s="206"/>
      <c r="AT606" s="206"/>
      <c r="AU606" s="206"/>
      <c r="AV606" s="206"/>
      <c r="AW606" s="207"/>
      <c r="AX606" s="207"/>
      <c r="AY606" s="207"/>
      <c r="AZ606" s="207"/>
    </row>
    <row r="607" spans="1:52" ht="12.75" x14ac:dyDescent="0.2">
      <c r="A607" s="206"/>
      <c r="B607" s="206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7"/>
      <c r="N607" s="207"/>
      <c r="O607" s="208"/>
      <c r="P607" s="208"/>
      <c r="Q607" s="208"/>
      <c r="R607" s="206"/>
      <c r="S607" s="206"/>
      <c r="T607" s="206"/>
      <c r="U607" s="206"/>
      <c r="V607" s="206"/>
      <c r="W607" s="206"/>
      <c r="X607" s="207"/>
      <c r="Y607" s="207"/>
      <c r="Z607" s="207"/>
      <c r="AA607" s="206"/>
      <c r="AB607" s="206"/>
      <c r="AC607" s="206"/>
      <c r="AD607" s="206"/>
      <c r="AE607" s="206"/>
      <c r="AF607" s="206"/>
      <c r="AG607" s="206"/>
      <c r="AH607" s="206"/>
      <c r="AI607" s="206"/>
      <c r="AJ607" s="206"/>
      <c r="AK607" s="206"/>
      <c r="AL607" s="206"/>
      <c r="AM607" s="206"/>
      <c r="AN607" s="206"/>
      <c r="AO607" s="206"/>
      <c r="AP607" s="206"/>
      <c r="AQ607" s="207"/>
      <c r="AR607" s="206"/>
      <c r="AS607" s="206"/>
      <c r="AT607" s="206"/>
      <c r="AU607" s="206"/>
      <c r="AV607" s="206"/>
      <c r="AW607" s="207"/>
      <c r="AX607" s="207"/>
      <c r="AY607" s="207"/>
      <c r="AZ607" s="207"/>
    </row>
    <row r="608" spans="1:52" ht="12.75" x14ac:dyDescent="0.2">
      <c r="A608" s="206"/>
      <c r="B608" s="206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7"/>
      <c r="N608" s="207"/>
      <c r="O608" s="208"/>
      <c r="P608" s="208"/>
      <c r="Q608" s="208"/>
      <c r="R608" s="206"/>
      <c r="S608" s="206"/>
      <c r="T608" s="206"/>
      <c r="U608" s="206"/>
      <c r="V608" s="206"/>
      <c r="W608" s="206"/>
      <c r="X608" s="207"/>
      <c r="Y608" s="207"/>
      <c r="Z608" s="207"/>
      <c r="AA608" s="206"/>
      <c r="AB608" s="206"/>
      <c r="AC608" s="206"/>
      <c r="AD608" s="206"/>
      <c r="AE608" s="206"/>
      <c r="AF608" s="206"/>
      <c r="AG608" s="206"/>
      <c r="AH608" s="206"/>
      <c r="AI608" s="206"/>
      <c r="AJ608" s="206"/>
      <c r="AK608" s="206"/>
      <c r="AL608" s="206"/>
      <c r="AM608" s="206"/>
      <c r="AN608" s="206"/>
      <c r="AO608" s="206"/>
      <c r="AP608" s="206"/>
      <c r="AQ608" s="207"/>
      <c r="AR608" s="206"/>
      <c r="AS608" s="206"/>
      <c r="AT608" s="206"/>
      <c r="AU608" s="206"/>
      <c r="AV608" s="206"/>
      <c r="AW608" s="207"/>
      <c r="AX608" s="207"/>
      <c r="AY608" s="207"/>
      <c r="AZ608" s="207"/>
    </row>
    <row r="609" spans="1:52" ht="12.75" x14ac:dyDescent="0.2">
      <c r="A609" s="206"/>
      <c r="B609" s="206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7"/>
      <c r="N609" s="207"/>
      <c r="O609" s="208"/>
      <c r="P609" s="208"/>
      <c r="Q609" s="208"/>
      <c r="R609" s="206"/>
      <c r="S609" s="206"/>
      <c r="T609" s="206"/>
      <c r="U609" s="206"/>
      <c r="V609" s="206"/>
      <c r="W609" s="206"/>
      <c r="X609" s="207"/>
      <c r="Y609" s="207"/>
      <c r="Z609" s="207"/>
      <c r="AA609" s="206"/>
      <c r="AB609" s="206"/>
      <c r="AC609" s="206"/>
      <c r="AD609" s="206"/>
      <c r="AE609" s="206"/>
      <c r="AF609" s="206"/>
      <c r="AG609" s="206"/>
      <c r="AH609" s="206"/>
      <c r="AI609" s="206"/>
      <c r="AJ609" s="206"/>
      <c r="AK609" s="206"/>
      <c r="AL609" s="206"/>
      <c r="AM609" s="206"/>
      <c r="AN609" s="206"/>
      <c r="AO609" s="206"/>
      <c r="AP609" s="206"/>
      <c r="AQ609" s="207"/>
      <c r="AR609" s="206"/>
      <c r="AS609" s="206"/>
      <c r="AT609" s="206"/>
      <c r="AU609" s="206"/>
      <c r="AV609" s="206"/>
      <c r="AW609" s="207"/>
      <c r="AX609" s="207"/>
      <c r="AY609" s="207"/>
      <c r="AZ609" s="207"/>
    </row>
    <row r="610" spans="1:52" ht="12.75" x14ac:dyDescent="0.2">
      <c r="A610" s="206"/>
      <c r="B610" s="206"/>
      <c r="C610" s="206"/>
      <c r="D610" s="206"/>
      <c r="E610" s="206"/>
      <c r="F610" s="206"/>
      <c r="G610" s="206"/>
      <c r="H610" s="206"/>
      <c r="I610" s="206"/>
      <c r="J610" s="206"/>
      <c r="K610" s="206"/>
      <c r="L610" s="206"/>
      <c r="M610" s="207"/>
      <c r="N610" s="207"/>
      <c r="O610" s="208"/>
      <c r="P610" s="208"/>
      <c r="Q610" s="208"/>
      <c r="R610" s="206"/>
      <c r="S610" s="206"/>
      <c r="T610" s="206"/>
      <c r="U610" s="206"/>
      <c r="V610" s="206"/>
      <c r="W610" s="206"/>
      <c r="X610" s="207"/>
      <c r="Y610" s="207"/>
      <c r="Z610" s="207"/>
      <c r="AA610" s="206"/>
      <c r="AB610" s="206"/>
      <c r="AC610" s="206"/>
      <c r="AD610" s="206"/>
      <c r="AE610" s="206"/>
      <c r="AF610" s="206"/>
      <c r="AG610" s="206"/>
      <c r="AH610" s="206"/>
      <c r="AI610" s="206"/>
      <c r="AJ610" s="206"/>
      <c r="AK610" s="206"/>
      <c r="AL610" s="206"/>
      <c r="AM610" s="206"/>
      <c r="AN610" s="206"/>
      <c r="AO610" s="206"/>
      <c r="AP610" s="206"/>
      <c r="AQ610" s="207"/>
      <c r="AR610" s="206"/>
      <c r="AS610" s="206"/>
      <c r="AT610" s="206"/>
      <c r="AU610" s="206"/>
      <c r="AV610" s="206"/>
      <c r="AW610" s="207"/>
      <c r="AX610" s="207"/>
      <c r="AY610" s="207"/>
      <c r="AZ610" s="207"/>
    </row>
    <row r="611" spans="1:52" ht="12.75" x14ac:dyDescent="0.2">
      <c r="A611" s="206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7"/>
      <c r="N611" s="207"/>
      <c r="O611" s="208"/>
      <c r="P611" s="208"/>
      <c r="Q611" s="208"/>
      <c r="R611" s="206"/>
      <c r="S611" s="206"/>
      <c r="T611" s="206"/>
      <c r="U611" s="206"/>
      <c r="V611" s="206"/>
      <c r="W611" s="206"/>
      <c r="X611" s="207"/>
      <c r="Y611" s="207"/>
      <c r="Z611" s="207"/>
      <c r="AA611" s="206"/>
      <c r="AB611" s="206"/>
      <c r="AC611" s="206"/>
      <c r="AD611" s="206"/>
      <c r="AE611" s="206"/>
      <c r="AF611" s="206"/>
      <c r="AG611" s="206"/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7"/>
      <c r="AR611" s="206"/>
      <c r="AS611" s="206"/>
      <c r="AT611" s="206"/>
      <c r="AU611" s="206"/>
      <c r="AV611" s="206"/>
      <c r="AW611" s="207"/>
      <c r="AX611" s="207"/>
      <c r="AY611" s="207"/>
      <c r="AZ611" s="207"/>
    </row>
    <row r="612" spans="1:52" ht="12.75" x14ac:dyDescent="0.2">
      <c r="A612" s="206"/>
      <c r="B612" s="206"/>
      <c r="C612" s="206"/>
      <c r="D612" s="206"/>
      <c r="E612" s="206"/>
      <c r="F612" s="206"/>
      <c r="G612" s="206"/>
      <c r="H612" s="206"/>
      <c r="I612" s="206"/>
      <c r="J612" s="206"/>
      <c r="K612" s="206"/>
      <c r="L612" s="206"/>
      <c r="M612" s="207"/>
      <c r="N612" s="207"/>
      <c r="O612" s="208"/>
      <c r="P612" s="208"/>
      <c r="Q612" s="208"/>
      <c r="R612" s="206"/>
      <c r="S612" s="206"/>
      <c r="T612" s="206"/>
      <c r="U612" s="206"/>
      <c r="V612" s="206"/>
      <c r="W612" s="206"/>
      <c r="X612" s="207"/>
      <c r="Y612" s="207"/>
      <c r="Z612" s="207"/>
      <c r="AA612" s="206"/>
      <c r="AB612" s="206"/>
      <c r="AC612" s="206"/>
      <c r="AD612" s="206"/>
      <c r="AE612" s="206"/>
      <c r="AF612" s="206"/>
      <c r="AG612" s="206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7"/>
      <c r="AR612" s="206"/>
      <c r="AS612" s="206"/>
      <c r="AT612" s="206"/>
      <c r="AU612" s="206"/>
      <c r="AV612" s="206"/>
      <c r="AW612" s="207"/>
      <c r="AX612" s="207"/>
      <c r="AY612" s="207"/>
      <c r="AZ612" s="207"/>
    </row>
    <row r="613" spans="1:52" ht="12.75" x14ac:dyDescent="0.2">
      <c r="A613" s="206"/>
      <c r="B613" s="206"/>
      <c r="C613" s="206"/>
      <c r="D613" s="206"/>
      <c r="E613" s="206"/>
      <c r="F613" s="206"/>
      <c r="G613" s="206"/>
      <c r="H613" s="206"/>
      <c r="I613" s="206"/>
      <c r="J613" s="206"/>
      <c r="K613" s="206"/>
      <c r="L613" s="206"/>
      <c r="M613" s="207"/>
      <c r="N613" s="207"/>
      <c r="O613" s="208"/>
      <c r="P613" s="208"/>
      <c r="Q613" s="208"/>
      <c r="R613" s="206"/>
      <c r="S613" s="206"/>
      <c r="T613" s="206"/>
      <c r="U613" s="206"/>
      <c r="V613" s="206"/>
      <c r="W613" s="206"/>
      <c r="X613" s="207"/>
      <c r="Y613" s="207"/>
      <c r="Z613" s="207"/>
      <c r="AA613" s="206"/>
      <c r="AB613" s="206"/>
      <c r="AC613" s="206"/>
      <c r="AD613" s="206"/>
      <c r="AE613" s="206"/>
      <c r="AF613" s="206"/>
      <c r="AG613" s="206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7"/>
      <c r="AR613" s="206"/>
      <c r="AS613" s="206"/>
      <c r="AT613" s="206"/>
      <c r="AU613" s="206"/>
      <c r="AV613" s="206"/>
      <c r="AW613" s="207"/>
      <c r="AX613" s="207"/>
      <c r="AY613" s="207"/>
      <c r="AZ613" s="207"/>
    </row>
    <row r="614" spans="1:52" ht="12.75" x14ac:dyDescent="0.2">
      <c r="A614" s="206"/>
      <c r="B614" s="206"/>
      <c r="C614" s="206"/>
      <c r="D614" s="206"/>
      <c r="E614" s="206"/>
      <c r="F614" s="206"/>
      <c r="G614" s="206"/>
      <c r="H614" s="206"/>
      <c r="I614" s="206"/>
      <c r="J614" s="206"/>
      <c r="K614" s="206"/>
      <c r="L614" s="206"/>
      <c r="M614" s="207"/>
      <c r="N614" s="207"/>
      <c r="O614" s="208"/>
      <c r="P614" s="208"/>
      <c r="Q614" s="208"/>
      <c r="R614" s="206"/>
      <c r="S614" s="206"/>
      <c r="T614" s="206"/>
      <c r="U614" s="206"/>
      <c r="V614" s="206"/>
      <c r="W614" s="206"/>
      <c r="X614" s="207"/>
      <c r="Y614" s="207"/>
      <c r="Z614" s="207"/>
      <c r="AA614" s="206"/>
      <c r="AB614" s="206"/>
      <c r="AC614" s="206"/>
      <c r="AD614" s="206"/>
      <c r="AE614" s="206"/>
      <c r="AF614" s="206"/>
      <c r="AG614" s="206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7"/>
      <c r="AR614" s="206"/>
      <c r="AS614" s="206"/>
      <c r="AT614" s="206"/>
      <c r="AU614" s="206"/>
      <c r="AV614" s="206"/>
      <c r="AW614" s="207"/>
      <c r="AX614" s="207"/>
      <c r="AY614" s="207"/>
      <c r="AZ614" s="207"/>
    </row>
    <row r="615" spans="1:52" ht="12.75" x14ac:dyDescent="0.2">
      <c r="A615" s="206"/>
      <c r="B615" s="206"/>
      <c r="C615" s="206"/>
      <c r="D615" s="206"/>
      <c r="E615" s="206"/>
      <c r="F615" s="206"/>
      <c r="G615" s="206"/>
      <c r="H615" s="206"/>
      <c r="I615" s="206"/>
      <c r="J615" s="206"/>
      <c r="K615" s="206"/>
      <c r="L615" s="206"/>
      <c r="M615" s="207"/>
      <c r="N615" s="207"/>
      <c r="O615" s="208"/>
      <c r="P615" s="208"/>
      <c r="Q615" s="208"/>
      <c r="R615" s="206"/>
      <c r="S615" s="206"/>
      <c r="T615" s="206"/>
      <c r="U615" s="206"/>
      <c r="V615" s="206"/>
      <c r="W615" s="206"/>
      <c r="X615" s="207"/>
      <c r="Y615" s="207"/>
      <c r="Z615" s="207"/>
      <c r="AA615" s="206"/>
      <c r="AB615" s="206"/>
      <c r="AC615" s="206"/>
      <c r="AD615" s="206"/>
      <c r="AE615" s="206"/>
      <c r="AF615" s="206"/>
      <c r="AG615" s="206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7"/>
      <c r="AR615" s="206"/>
      <c r="AS615" s="206"/>
      <c r="AT615" s="206"/>
      <c r="AU615" s="206"/>
      <c r="AV615" s="206"/>
      <c r="AW615" s="207"/>
      <c r="AX615" s="207"/>
      <c r="AY615" s="207"/>
      <c r="AZ615" s="207"/>
    </row>
    <row r="616" spans="1:52" ht="12.75" x14ac:dyDescent="0.2">
      <c r="A616" s="206"/>
      <c r="B616" s="206"/>
      <c r="C616" s="206"/>
      <c r="D616" s="206"/>
      <c r="E616" s="206"/>
      <c r="F616" s="206"/>
      <c r="G616" s="206"/>
      <c r="H616" s="206"/>
      <c r="I616" s="206"/>
      <c r="J616" s="206"/>
      <c r="K616" s="206"/>
      <c r="L616" s="206"/>
      <c r="M616" s="207"/>
      <c r="N616" s="207"/>
      <c r="O616" s="208"/>
      <c r="P616" s="208"/>
      <c r="Q616" s="208"/>
      <c r="R616" s="206"/>
      <c r="S616" s="206"/>
      <c r="T616" s="206"/>
      <c r="U616" s="206"/>
      <c r="V616" s="206"/>
      <c r="W616" s="206"/>
      <c r="X616" s="207"/>
      <c r="Y616" s="207"/>
      <c r="Z616" s="207"/>
      <c r="AA616" s="206"/>
      <c r="AB616" s="206"/>
      <c r="AC616" s="206"/>
      <c r="AD616" s="206"/>
      <c r="AE616" s="206"/>
      <c r="AF616" s="206"/>
      <c r="AG616" s="206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7"/>
      <c r="AR616" s="206"/>
      <c r="AS616" s="206"/>
      <c r="AT616" s="206"/>
      <c r="AU616" s="206"/>
      <c r="AV616" s="206"/>
      <c r="AW616" s="207"/>
      <c r="AX616" s="207"/>
      <c r="AY616" s="207"/>
      <c r="AZ616" s="207"/>
    </row>
    <row r="617" spans="1:52" ht="12.75" x14ac:dyDescent="0.2">
      <c r="A617" s="206"/>
      <c r="B617" s="206"/>
      <c r="C617" s="206"/>
      <c r="D617" s="206"/>
      <c r="E617" s="206"/>
      <c r="F617" s="206"/>
      <c r="G617" s="206"/>
      <c r="H617" s="206"/>
      <c r="I617" s="206"/>
      <c r="J617" s="206"/>
      <c r="K617" s="206"/>
      <c r="L617" s="206"/>
      <c r="M617" s="207"/>
      <c r="N617" s="207"/>
      <c r="O617" s="208"/>
      <c r="P617" s="208"/>
      <c r="Q617" s="208"/>
      <c r="R617" s="206"/>
      <c r="S617" s="206"/>
      <c r="T617" s="206"/>
      <c r="U617" s="206"/>
      <c r="V617" s="206"/>
      <c r="W617" s="206"/>
      <c r="X617" s="207"/>
      <c r="Y617" s="207"/>
      <c r="Z617" s="207"/>
      <c r="AA617" s="206"/>
      <c r="AB617" s="206"/>
      <c r="AC617" s="206"/>
      <c r="AD617" s="206"/>
      <c r="AE617" s="206"/>
      <c r="AF617" s="206"/>
      <c r="AG617" s="206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7"/>
      <c r="AR617" s="206"/>
      <c r="AS617" s="206"/>
      <c r="AT617" s="206"/>
      <c r="AU617" s="206"/>
      <c r="AV617" s="206"/>
      <c r="AW617" s="207"/>
      <c r="AX617" s="207"/>
      <c r="AY617" s="207"/>
      <c r="AZ617" s="207"/>
    </row>
    <row r="618" spans="1:52" ht="12.75" x14ac:dyDescent="0.2">
      <c r="A618" s="206"/>
      <c r="B618" s="206"/>
      <c r="C618" s="206"/>
      <c r="D618" s="206"/>
      <c r="E618" s="206"/>
      <c r="F618" s="206"/>
      <c r="G618" s="206"/>
      <c r="H618" s="206"/>
      <c r="I618" s="206"/>
      <c r="J618" s="206"/>
      <c r="K618" s="206"/>
      <c r="L618" s="206"/>
      <c r="M618" s="207"/>
      <c r="N618" s="207"/>
      <c r="O618" s="208"/>
      <c r="P618" s="208"/>
      <c r="Q618" s="208"/>
      <c r="R618" s="206"/>
      <c r="S618" s="206"/>
      <c r="T618" s="206"/>
      <c r="U618" s="206"/>
      <c r="V618" s="206"/>
      <c r="W618" s="206"/>
      <c r="X618" s="207"/>
      <c r="Y618" s="207"/>
      <c r="Z618" s="207"/>
      <c r="AA618" s="206"/>
      <c r="AB618" s="206"/>
      <c r="AC618" s="206"/>
      <c r="AD618" s="206"/>
      <c r="AE618" s="206"/>
      <c r="AF618" s="206"/>
      <c r="AG618" s="206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7"/>
      <c r="AR618" s="206"/>
      <c r="AS618" s="206"/>
      <c r="AT618" s="206"/>
      <c r="AU618" s="206"/>
      <c r="AV618" s="206"/>
      <c r="AW618" s="207"/>
      <c r="AX618" s="207"/>
      <c r="AY618" s="207"/>
      <c r="AZ618" s="207"/>
    </row>
    <row r="619" spans="1:52" ht="12.75" x14ac:dyDescent="0.2">
      <c r="A619" s="206"/>
      <c r="B619" s="206"/>
      <c r="C619" s="206"/>
      <c r="D619" s="206"/>
      <c r="E619" s="206"/>
      <c r="F619" s="206"/>
      <c r="G619" s="206"/>
      <c r="H619" s="206"/>
      <c r="I619" s="206"/>
      <c r="J619" s="206"/>
      <c r="K619" s="206"/>
      <c r="L619" s="206"/>
      <c r="M619" s="207"/>
      <c r="N619" s="207"/>
      <c r="O619" s="208"/>
      <c r="P619" s="208"/>
      <c r="Q619" s="208"/>
      <c r="R619" s="206"/>
      <c r="S619" s="206"/>
      <c r="T619" s="206"/>
      <c r="U619" s="206"/>
      <c r="V619" s="206"/>
      <c r="W619" s="206"/>
      <c r="X619" s="207"/>
      <c r="Y619" s="207"/>
      <c r="Z619" s="207"/>
      <c r="AA619" s="206"/>
      <c r="AB619" s="206"/>
      <c r="AC619" s="206"/>
      <c r="AD619" s="206"/>
      <c r="AE619" s="206"/>
      <c r="AF619" s="206"/>
      <c r="AG619" s="206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7"/>
      <c r="AR619" s="206"/>
      <c r="AS619" s="206"/>
      <c r="AT619" s="206"/>
      <c r="AU619" s="206"/>
      <c r="AV619" s="206"/>
      <c r="AW619" s="207"/>
      <c r="AX619" s="207"/>
      <c r="AY619" s="207"/>
      <c r="AZ619" s="207"/>
    </row>
    <row r="620" spans="1:52" ht="12.75" x14ac:dyDescent="0.2">
      <c r="A620" s="206"/>
      <c r="B620" s="206"/>
      <c r="C620" s="206"/>
      <c r="D620" s="206"/>
      <c r="E620" s="206"/>
      <c r="F620" s="206"/>
      <c r="G620" s="206"/>
      <c r="H620" s="206"/>
      <c r="I620" s="206"/>
      <c r="J620" s="206"/>
      <c r="K620" s="206"/>
      <c r="L620" s="206"/>
      <c r="M620" s="207"/>
      <c r="N620" s="207"/>
      <c r="O620" s="208"/>
      <c r="P620" s="208"/>
      <c r="Q620" s="208"/>
      <c r="R620" s="206"/>
      <c r="S620" s="206"/>
      <c r="T620" s="206"/>
      <c r="U620" s="206"/>
      <c r="V620" s="206"/>
      <c r="W620" s="206"/>
      <c r="X620" s="207"/>
      <c r="Y620" s="207"/>
      <c r="Z620" s="207"/>
      <c r="AA620" s="206"/>
      <c r="AB620" s="206"/>
      <c r="AC620" s="206"/>
      <c r="AD620" s="206"/>
      <c r="AE620" s="206"/>
      <c r="AF620" s="206"/>
      <c r="AG620" s="206"/>
      <c r="AH620" s="206"/>
      <c r="AI620" s="206"/>
      <c r="AJ620" s="206"/>
      <c r="AK620" s="206"/>
      <c r="AL620" s="206"/>
      <c r="AM620" s="206"/>
      <c r="AN620" s="206"/>
      <c r="AO620" s="206"/>
      <c r="AP620" s="206"/>
      <c r="AQ620" s="207"/>
      <c r="AR620" s="206"/>
      <c r="AS620" s="206"/>
      <c r="AT620" s="206"/>
      <c r="AU620" s="206"/>
      <c r="AV620" s="206"/>
      <c r="AW620" s="207"/>
      <c r="AX620" s="207"/>
      <c r="AY620" s="207"/>
      <c r="AZ620" s="207"/>
    </row>
    <row r="621" spans="1:52" ht="12.75" x14ac:dyDescent="0.2">
      <c r="A621" s="206"/>
      <c r="B621" s="206"/>
      <c r="C621" s="206"/>
      <c r="D621" s="206"/>
      <c r="E621" s="206"/>
      <c r="F621" s="206"/>
      <c r="G621" s="206"/>
      <c r="H621" s="206"/>
      <c r="I621" s="206"/>
      <c r="J621" s="206"/>
      <c r="K621" s="206"/>
      <c r="L621" s="206"/>
      <c r="M621" s="207"/>
      <c r="N621" s="207"/>
      <c r="O621" s="208"/>
      <c r="P621" s="208"/>
      <c r="Q621" s="208"/>
      <c r="R621" s="206"/>
      <c r="S621" s="206"/>
      <c r="T621" s="206"/>
      <c r="U621" s="206"/>
      <c r="V621" s="206"/>
      <c r="W621" s="206"/>
      <c r="X621" s="207"/>
      <c r="Y621" s="207"/>
      <c r="Z621" s="207"/>
      <c r="AA621" s="206"/>
      <c r="AB621" s="206"/>
      <c r="AC621" s="206"/>
      <c r="AD621" s="206"/>
      <c r="AE621" s="206"/>
      <c r="AF621" s="206"/>
      <c r="AG621" s="206"/>
      <c r="AH621" s="206"/>
      <c r="AI621" s="206"/>
      <c r="AJ621" s="206"/>
      <c r="AK621" s="206"/>
      <c r="AL621" s="206"/>
      <c r="AM621" s="206"/>
      <c r="AN621" s="206"/>
      <c r="AO621" s="206"/>
      <c r="AP621" s="206"/>
      <c r="AQ621" s="207"/>
      <c r="AR621" s="206"/>
      <c r="AS621" s="206"/>
      <c r="AT621" s="206"/>
      <c r="AU621" s="206"/>
      <c r="AV621" s="206"/>
      <c r="AW621" s="207"/>
      <c r="AX621" s="207"/>
      <c r="AY621" s="207"/>
      <c r="AZ621" s="207"/>
    </row>
    <row r="622" spans="1:52" ht="12.75" x14ac:dyDescent="0.2">
      <c r="A622" s="206"/>
      <c r="B622" s="206"/>
      <c r="C622" s="206"/>
      <c r="D622" s="206"/>
      <c r="E622" s="206"/>
      <c r="F622" s="206"/>
      <c r="G622" s="206"/>
      <c r="H622" s="206"/>
      <c r="I622" s="206"/>
      <c r="J622" s="206"/>
      <c r="K622" s="206"/>
      <c r="L622" s="206"/>
      <c r="M622" s="207"/>
      <c r="N622" s="207"/>
      <c r="O622" s="208"/>
      <c r="P622" s="208"/>
      <c r="Q622" s="208"/>
      <c r="R622" s="206"/>
      <c r="S622" s="206"/>
      <c r="T622" s="206"/>
      <c r="U622" s="206"/>
      <c r="V622" s="206"/>
      <c r="W622" s="206"/>
      <c r="X622" s="207"/>
      <c r="Y622" s="207"/>
      <c r="Z622" s="207"/>
      <c r="AA622" s="206"/>
      <c r="AB622" s="206"/>
      <c r="AC622" s="206"/>
      <c r="AD622" s="206"/>
      <c r="AE622" s="206"/>
      <c r="AF622" s="206"/>
      <c r="AG622" s="206"/>
      <c r="AH622" s="206"/>
      <c r="AI622" s="206"/>
      <c r="AJ622" s="206"/>
      <c r="AK622" s="206"/>
      <c r="AL622" s="206"/>
      <c r="AM622" s="206"/>
      <c r="AN622" s="206"/>
      <c r="AO622" s="206"/>
      <c r="AP622" s="206"/>
      <c r="AQ622" s="207"/>
      <c r="AR622" s="206"/>
      <c r="AS622" s="206"/>
      <c r="AT622" s="206"/>
      <c r="AU622" s="206"/>
      <c r="AV622" s="206"/>
      <c r="AW622" s="207"/>
      <c r="AX622" s="207"/>
      <c r="AY622" s="207"/>
      <c r="AZ622" s="207"/>
    </row>
    <row r="623" spans="1:52" ht="12.75" x14ac:dyDescent="0.2">
      <c r="A623" s="206"/>
      <c r="B623" s="206"/>
      <c r="C623" s="206"/>
      <c r="D623" s="206"/>
      <c r="E623" s="206"/>
      <c r="F623" s="206"/>
      <c r="G623" s="206"/>
      <c r="H623" s="206"/>
      <c r="I623" s="206"/>
      <c r="J623" s="206"/>
      <c r="K623" s="206"/>
      <c r="L623" s="206"/>
      <c r="M623" s="207"/>
      <c r="N623" s="207"/>
      <c r="O623" s="208"/>
      <c r="P623" s="208"/>
      <c r="Q623" s="208"/>
      <c r="R623" s="206"/>
      <c r="S623" s="206"/>
      <c r="T623" s="206"/>
      <c r="U623" s="206"/>
      <c r="V623" s="206"/>
      <c r="W623" s="206"/>
      <c r="X623" s="207"/>
      <c r="Y623" s="207"/>
      <c r="Z623" s="207"/>
      <c r="AA623" s="206"/>
      <c r="AB623" s="206"/>
      <c r="AC623" s="206"/>
      <c r="AD623" s="206"/>
      <c r="AE623" s="206"/>
      <c r="AF623" s="206"/>
      <c r="AG623" s="206"/>
      <c r="AH623" s="206"/>
      <c r="AI623" s="206"/>
      <c r="AJ623" s="206"/>
      <c r="AK623" s="206"/>
      <c r="AL623" s="206"/>
      <c r="AM623" s="206"/>
      <c r="AN623" s="206"/>
      <c r="AO623" s="206"/>
      <c r="AP623" s="206"/>
      <c r="AQ623" s="207"/>
      <c r="AR623" s="206"/>
      <c r="AS623" s="206"/>
      <c r="AT623" s="206"/>
      <c r="AU623" s="206"/>
      <c r="AV623" s="206"/>
      <c r="AW623" s="207"/>
      <c r="AX623" s="207"/>
      <c r="AY623" s="207"/>
      <c r="AZ623" s="207"/>
    </row>
    <row r="624" spans="1:52" ht="12.75" x14ac:dyDescent="0.2">
      <c r="A624" s="206"/>
      <c r="B624" s="206"/>
      <c r="C624" s="206"/>
      <c r="D624" s="206"/>
      <c r="E624" s="206"/>
      <c r="F624" s="206"/>
      <c r="G624" s="206"/>
      <c r="H624" s="206"/>
      <c r="I624" s="206"/>
      <c r="J624" s="206"/>
      <c r="K624" s="206"/>
      <c r="L624" s="206"/>
      <c r="M624" s="207"/>
      <c r="N624" s="207"/>
      <c r="O624" s="208"/>
      <c r="P624" s="208"/>
      <c r="Q624" s="208"/>
      <c r="R624" s="206"/>
      <c r="S624" s="206"/>
      <c r="T624" s="206"/>
      <c r="U624" s="206"/>
      <c r="V624" s="206"/>
      <c r="W624" s="206"/>
      <c r="X624" s="207"/>
      <c r="Y624" s="207"/>
      <c r="Z624" s="207"/>
      <c r="AA624" s="206"/>
      <c r="AB624" s="206"/>
      <c r="AC624" s="206"/>
      <c r="AD624" s="206"/>
      <c r="AE624" s="206"/>
      <c r="AF624" s="206"/>
      <c r="AG624" s="206"/>
      <c r="AH624" s="206"/>
      <c r="AI624" s="206"/>
      <c r="AJ624" s="206"/>
      <c r="AK624" s="206"/>
      <c r="AL624" s="206"/>
      <c r="AM624" s="206"/>
      <c r="AN624" s="206"/>
      <c r="AO624" s="206"/>
      <c r="AP624" s="206"/>
      <c r="AQ624" s="207"/>
      <c r="AR624" s="206"/>
      <c r="AS624" s="206"/>
      <c r="AT624" s="206"/>
      <c r="AU624" s="206"/>
      <c r="AV624" s="206"/>
      <c r="AW624" s="207"/>
      <c r="AX624" s="207"/>
      <c r="AY624" s="207"/>
      <c r="AZ624" s="207"/>
    </row>
    <row r="625" spans="1:52" ht="12.75" x14ac:dyDescent="0.2">
      <c r="A625" s="206"/>
      <c r="B625" s="206"/>
      <c r="C625" s="206"/>
      <c r="D625" s="206"/>
      <c r="E625" s="206"/>
      <c r="F625" s="206"/>
      <c r="G625" s="206"/>
      <c r="H625" s="206"/>
      <c r="I625" s="206"/>
      <c r="J625" s="206"/>
      <c r="K625" s="206"/>
      <c r="L625" s="206"/>
      <c r="M625" s="207"/>
      <c r="N625" s="207"/>
      <c r="O625" s="208"/>
      <c r="P625" s="208"/>
      <c r="Q625" s="208"/>
      <c r="R625" s="206"/>
      <c r="S625" s="206"/>
      <c r="T625" s="206"/>
      <c r="U625" s="206"/>
      <c r="V625" s="206"/>
      <c r="W625" s="206"/>
      <c r="X625" s="207"/>
      <c r="Y625" s="207"/>
      <c r="Z625" s="207"/>
      <c r="AA625" s="206"/>
      <c r="AB625" s="206"/>
      <c r="AC625" s="206"/>
      <c r="AD625" s="206"/>
      <c r="AE625" s="206"/>
      <c r="AF625" s="206"/>
      <c r="AG625" s="206"/>
      <c r="AH625" s="206"/>
      <c r="AI625" s="206"/>
      <c r="AJ625" s="206"/>
      <c r="AK625" s="206"/>
      <c r="AL625" s="206"/>
      <c r="AM625" s="206"/>
      <c r="AN625" s="206"/>
      <c r="AO625" s="206"/>
      <c r="AP625" s="206"/>
      <c r="AQ625" s="207"/>
      <c r="AR625" s="206"/>
      <c r="AS625" s="206"/>
      <c r="AT625" s="206"/>
      <c r="AU625" s="206"/>
      <c r="AV625" s="206"/>
      <c r="AW625" s="207"/>
      <c r="AX625" s="207"/>
      <c r="AY625" s="207"/>
      <c r="AZ625" s="207"/>
    </row>
    <row r="626" spans="1:52" ht="12.75" x14ac:dyDescent="0.2">
      <c r="A626" s="206"/>
      <c r="B626" s="206"/>
      <c r="C626" s="206"/>
      <c r="D626" s="206"/>
      <c r="E626" s="206"/>
      <c r="F626" s="206"/>
      <c r="G626" s="206"/>
      <c r="H626" s="206"/>
      <c r="I626" s="206"/>
      <c r="J626" s="206"/>
      <c r="K626" s="206"/>
      <c r="L626" s="206"/>
      <c r="M626" s="207"/>
      <c r="N626" s="207"/>
      <c r="O626" s="208"/>
      <c r="P626" s="208"/>
      <c r="Q626" s="208"/>
      <c r="R626" s="206"/>
      <c r="S626" s="206"/>
      <c r="T626" s="206"/>
      <c r="U626" s="206"/>
      <c r="V626" s="206"/>
      <c r="W626" s="206"/>
      <c r="X626" s="207"/>
      <c r="Y626" s="207"/>
      <c r="Z626" s="207"/>
      <c r="AA626" s="206"/>
      <c r="AB626" s="206"/>
      <c r="AC626" s="206"/>
      <c r="AD626" s="206"/>
      <c r="AE626" s="206"/>
      <c r="AF626" s="206"/>
      <c r="AG626" s="206"/>
      <c r="AH626" s="206"/>
      <c r="AI626" s="206"/>
      <c r="AJ626" s="206"/>
      <c r="AK626" s="206"/>
      <c r="AL626" s="206"/>
      <c r="AM626" s="206"/>
      <c r="AN626" s="206"/>
      <c r="AO626" s="206"/>
      <c r="AP626" s="206"/>
      <c r="AQ626" s="207"/>
      <c r="AR626" s="206"/>
      <c r="AS626" s="206"/>
      <c r="AT626" s="206"/>
      <c r="AU626" s="206"/>
      <c r="AV626" s="206"/>
      <c r="AW626" s="207"/>
      <c r="AX626" s="207"/>
      <c r="AY626" s="207"/>
      <c r="AZ626" s="207"/>
    </row>
    <row r="627" spans="1:52" ht="12.75" x14ac:dyDescent="0.2">
      <c r="A627" s="206"/>
      <c r="B627" s="206"/>
      <c r="C627" s="206"/>
      <c r="D627" s="206"/>
      <c r="E627" s="206"/>
      <c r="F627" s="206"/>
      <c r="G627" s="206"/>
      <c r="H627" s="206"/>
      <c r="I627" s="206"/>
      <c r="J627" s="206"/>
      <c r="K627" s="206"/>
      <c r="L627" s="206"/>
      <c r="M627" s="207"/>
      <c r="N627" s="207"/>
      <c r="O627" s="208"/>
      <c r="P627" s="208"/>
      <c r="Q627" s="208"/>
      <c r="R627" s="206"/>
      <c r="S627" s="206"/>
      <c r="T627" s="206"/>
      <c r="U627" s="206"/>
      <c r="V627" s="206"/>
      <c r="W627" s="206"/>
      <c r="X627" s="207"/>
      <c r="Y627" s="207"/>
      <c r="Z627" s="207"/>
      <c r="AA627" s="206"/>
      <c r="AB627" s="206"/>
      <c r="AC627" s="206"/>
      <c r="AD627" s="206"/>
      <c r="AE627" s="206"/>
      <c r="AF627" s="206"/>
      <c r="AG627" s="206"/>
      <c r="AH627" s="206"/>
      <c r="AI627" s="206"/>
      <c r="AJ627" s="206"/>
      <c r="AK627" s="206"/>
      <c r="AL627" s="206"/>
      <c r="AM627" s="206"/>
      <c r="AN627" s="206"/>
      <c r="AO627" s="206"/>
      <c r="AP627" s="206"/>
      <c r="AQ627" s="207"/>
      <c r="AR627" s="206"/>
      <c r="AS627" s="206"/>
      <c r="AT627" s="206"/>
      <c r="AU627" s="206"/>
      <c r="AV627" s="206"/>
      <c r="AW627" s="207"/>
      <c r="AX627" s="207"/>
      <c r="AY627" s="207"/>
      <c r="AZ627" s="207"/>
    </row>
    <row r="628" spans="1:52" ht="12.75" x14ac:dyDescent="0.2">
      <c r="A628" s="206"/>
      <c r="B628" s="206"/>
      <c r="C628" s="206"/>
      <c r="D628" s="206"/>
      <c r="E628" s="206"/>
      <c r="F628" s="206"/>
      <c r="G628" s="206"/>
      <c r="H628" s="206"/>
      <c r="I628" s="206"/>
      <c r="J628" s="206"/>
      <c r="K628" s="206"/>
      <c r="L628" s="206"/>
      <c r="M628" s="207"/>
      <c r="N628" s="207"/>
      <c r="O628" s="208"/>
      <c r="P628" s="208"/>
      <c r="Q628" s="208"/>
      <c r="R628" s="206"/>
      <c r="S628" s="206"/>
      <c r="T628" s="206"/>
      <c r="U628" s="206"/>
      <c r="V628" s="206"/>
      <c r="W628" s="206"/>
      <c r="X628" s="207"/>
      <c r="Y628" s="207"/>
      <c r="Z628" s="207"/>
      <c r="AA628" s="206"/>
      <c r="AB628" s="206"/>
      <c r="AC628" s="206"/>
      <c r="AD628" s="206"/>
      <c r="AE628" s="206"/>
      <c r="AF628" s="206"/>
      <c r="AG628" s="206"/>
      <c r="AH628" s="206"/>
      <c r="AI628" s="206"/>
      <c r="AJ628" s="206"/>
      <c r="AK628" s="206"/>
      <c r="AL628" s="206"/>
      <c r="AM628" s="206"/>
      <c r="AN628" s="206"/>
      <c r="AO628" s="206"/>
      <c r="AP628" s="206"/>
      <c r="AQ628" s="207"/>
      <c r="AR628" s="206"/>
      <c r="AS628" s="206"/>
      <c r="AT628" s="206"/>
      <c r="AU628" s="206"/>
      <c r="AV628" s="206"/>
      <c r="AW628" s="207"/>
      <c r="AX628" s="207"/>
      <c r="AY628" s="207"/>
      <c r="AZ628" s="207"/>
    </row>
    <row r="629" spans="1:52" ht="12.75" x14ac:dyDescent="0.2">
      <c r="A629" s="206"/>
      <c r="B629" s="206"/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07"/>
      <c r="N629" s="207"/>
      <c r="O629" s="208"/>
      <c r="P629" s="208"/>
      <c r="Q629" s="208"/>
      <c r="R629" s="206"/>
      <c r="S629" s="206"/>
      <c r="T629" s="206"/>
      <c r="U629" s="206"/>
      <c r="V629" s="206"/>
      <c r="W629" s="206"/>
      <c r="X629" s="207"/>
      <c r="Y629" s="207"/>
      <c r="Z629" s="207"/>
      <c r="AA629" s="206"/>
      <c r="AB629" s="206"/>
      <c r="AC629" s="206"/>
      <c r="AD629" s="206"/>
      <c r="AE629" s="206"/>
      <c r="AF629" s="206"/>
      <c r="AG629" s="206"/>
      <c r="AH629" s="206"/>
      <c r="AI629" s="206"/>
      <c r="AJ629" s="206"/>
      <c r="AK629" s="206"/>
      <c r="AL629" s="206"/>
      <c r="AM629" s="206"/>
      <c r="AN629" s="206"/>
      <c r="AO629" s="206"/>
      <c r="AP629" s="206"/>
      <c r="AQ629" s="207"/>
      <c r="AR629" s="206"/>
      <c r="AS629" s="206"/>
      <c r="AT629" s="206"/>
      <c r="AU629" s="206"/>
      <c r="AV629" s="206"/>
      <c r="AW629" s="207"/>
      <c r="AX629" s="207"/>
      <c r="AY629" s="207"/>
      <c r="AZ629" s="207"/>
    </row>
    <row r="630" spans="1:52" ht="12.75" x14ac:dyDescent="0.2">
      <c r="A630" s="206"/>
      <c r="B630" s="206"/>
      <c r="C630" s="206"/>
      <c r="D630" s="206"/>
      <c r="E630" s="206"/>
      <c r="F630" s="206"/>
      <c r="G630" s="206"/>
      <c r="H630" s="206"/>
      <c r="I630" s="206"/>
      <c r="J630" s="206"/>
      <c r="K630" s="206"/>
      <c r="L630" s="206"/>
      <c r="M630" s="207"/>
      <c r="N630" s="207"/>
      <c r="O630" s="208"/>
      <c r="P630" s="208"/>
      <c r="Q630" s="208"/>
      <c r="R630" s="206"/>
      <c r="S630" s="206"/>
      <c r="T630" s="206"/>
      <c r="U630" s="206"/>
      <c r="V630" s="206"/>
      <c r="W630" s="206"/>
      <c r="X630" s="207"/>
      <c r="Y630" s="207"/>
      <c r="Z630" s="207"/>
      <c r="AA630" s="206"/>
      <c r="AB630" s="206"/>
      <c r="AC630" s="206"/>
      <c r="AD630" s="206"/>
      <c r="AE630" s="206"/>
      <c r="AF630" s="206"/>
      <c r="AG630" s="206"/>
      <c r="AH630" s="206"/>
      <c r="AI630" s="206"/>
      <c r="AJ630" s="206"/>
      <c r="AK630" s="206"/>
      <c r="AL630" s="206"/>
      <c r="AM630" s="206"/>
      <c r="AN630" s="206"/>
      <c r="AO630" s="206"/>
      <c r="AP630" s="206"/>
      <c r="AQ630" s="207"/>
      <c r="AR630" s="206"/>
      <c r="AS630" s="206"/>
      <c r="AT630" s="206"/>
      <c r="AU630" s="206"/>
      <c r="AV630" s="206"/>
      <c r="AW630" s="207"/>
      <c r="AX630" s="207"/>
      <c r="AY630" s="207"/>
      <c r="AZ630" s="207"/>
    </row>
    <row r="631" spans="1:52" ht="12.75" x14ac:dyDescent="0.2">
      <c r="A631" s="206"/>
      <c r="B631" s="206"/>
      <c r="C631" s="206"/>
      <c r="D631" s="206"/>
      <c r="E631" s="206"/>
      <c r="F631" s="206"/>
      <c r="G631" s="206"/>
      <c r="H631" s="206"/>
      <c r="I631" s="206"/>
      <c r="J631" s="206"/>
      <c r="K631" s="206"/>
      <c r="L631" s="206"/>
      <c r="M631" s="207"/>
      <c r="N631" s="207"/>
      <c r="O631" s="208"/>
      <c r="P631" s="208"/>
      <c r="Q631" s="208"/>
      <c r="R631" s="206"/>
      <c r="S631" s="206"/>
      <c r="T631" s="206"/>
      <c r="U631" s="206"/>
      <c r="V631" s="206"/>
      <c r="W631" s="206"/>
      <c r="X631" s="207"/>
      <c r="Y631" s="207"/>
      <c r="Z631" s="207"/>
      <c r="AA631" s="206"/>
      <c r="AB631" s="206"/>
      <c r="AC631" s="206"/>
      <c r="AD631" s="206"/>
      <c r="AE631" s="206"/>
      <c r="AF631" s="206"/>
      <c r="AG631" s="206"/>
      <c r="AH631" s="206"/>
      <c r="AI631" s="206"/>
      <c r="AJ631" s="206"/>
      <c r="AK631" s="206"/>
      <c r="AL631" s="206"/>
      <c r="AM631" s="206"/>
      <c r="AN631" s="206"/>
      <c r="AO631" s="206"/>
      <c r="AP631" s="206"/>
      <c r="AQ631" s="207"/>
      <c r="AR631" s="206"/>
      <c r="AS631" s="206"/>
      <c r="AT631" s="206"/>
      <c r="AU631" s="206"/>
      <c r="AV631" s="206"/>
      <c r="AW631" s="207"/>
      <c r="AX631" s="207"/>
      <c r="AY631" s="207"/>
      <c r="AZ631" s="207"/>
    </row>
    <row r="632" spans="1:52" ht="12.75" x14ac:dyDescent="0.2">
      <c r="A632" s="206"/>
      <c r="B632" s="206"/>
      <c r="C632" s="206"/>
      <c r="D632" s="206"/>
      <c r="E632" s="206"/>
      <c r="F632" s="206"/>
      <c r="G632" s="206"/>
      <c r="H632" s="206"/>
      <c r="I632" s="206"/>
      <c r="J632" s="206"/>
      <c r="K632" s="206"/>
      <c r="L632" s="206"/>
      <c r="M632" s="207"/>
      <c r="N632" s="207"/>
      <c r="O632" s="208"/>
      <c r="P632" s="208"/>
      <c r="Q632" s="208"/>
      <c r="R632" s="206"/>
      <c r="S632" s="206"/>
      <c r="T632" s="206"/>
      <c r="U632" s="206"/>
      <c r="V632" s="206"/>
      <c r="W632" s="206"/>
      <c r="X632" s="207"/>
      <c r="Y632" s="207"/>
      <c r="Z632" s="207"/>
      <c r="AA632" s="206"/>
      <c r="AB632" s="206"/>
      <c r="AC632" s="206"/>
      <c r="AD632" s="206"/>
      <c r="AE632" s="206"/>
      <c r="AF632" s="206"/>
      <c r="AG632" s="206"/>
      <c r="AH632" s="206"/>
      <c r="AI632" s="206"/>
      <c r="AJ632" s="206"/>
      <c r="AK632" s="206"/>
      <c r="AL632" s="206"/>
      <c r="AM632" s="206"/>
      <c r="AN632" s="206"/>
      <c r="AO632" s="206"/>
      <c r="AP632" s="206"/>
      <c r="AQ632" s="207"/>
      <c r="AR632" s="206"/>
      <c r="AS632" s="206"/>
      <c r="AT632" s="206"/>
      <c r="AU632" s="206"/>
      <c r="AV632" s="206"/>
      <c r="AW632" s="207"/>
      <c r="AX632" s="207"/>
      <c r="AY632" s="207"/>
      <c r="AZ632" s="207"/>
    </row>
    <row r="633" spans="1:52" ht="12.75" x14ac:dyDescent="0.2">
      <c r="A633" s="206"/>
      <c r="B633" s="206"/>
      <c r="C633" s="206"/>
      <c r="D633" s="206"/>
      <c r="E633" s="206"/>
      <c r="F633" s="206"/>
      <c r="G633" s="206"/>
      <c r="H633" s="206"/>
      <c r="I633" s="206"/>
      <c r="J633" s="206"/>
      <c r="K633" s="206"/>
      <c r="L633" s="206"/>
      <c r="M633" s="207"/>
      <c r="N633" s="207"/>
      <c r="O633" s="208"/>
      <c r="P633" s="208"/>
      <c r="Q633" s="208"/>
      <c r="R633" s="206"/>
      <c r="S633" s="206"/>
      <c r="T633" s="206"/>
      <c r="U633" s="206"/>
      <c r="V633" s="206"/>
      <c r="W633" s="206"/>
      <c r="X633" s="207"/>
      <c r="Y633" s="207"/>
      <c r="Z633" s="207"/>
      <c r="AA633" s="206"/>
      <c r="AB633" s="206"/>
      <c r="AC633" s="206"/>
      <c r="AD633" s="206"/>
      <c r="AE633" s="206"/>
      <c r="AF633" s="206"/>
      <c r="AG633" s="206"/>
      <c r="AH633" s="206"/>
      <c r="AI633" s="206"/>
      <c r="AJ633" s="206"/>
      <c r="AK633" s="206"/>
      <c r="AL633" s="206"/>
      <c r="AM633" s="206"/>
      <c r="AN633" s="206"/>
      <c r="AO633" s="206"/>
      <c r="AP633" s="206"/>
      <c r="AQ633" s="207"/>
      <c r="AR633" s="206"/>
      <c r="AS633" s="206"/>
      <c r="AT633" s="206"/>
      <c r="AU633" s="206"/>
      <c r="AV633" s="206"/>
      <c r="AW633" s="207"/>
      <c r="AX633" s="207"/>
      <c r="AY633" s="207"/>
      <c r="AZ633" s="207"/>
    </row>
    <row r="634" spans="1:52" ht="12.75" x14ac:dyDescent="0.2">
      <c r="A634" s="206"/>
      <c r="B634" s="206"/>
      <c r="C634" s="206"/>
      <c r="D634" s="206"/>
      <c r="E634" s="206"/>
      <c r="F634" s="206"/>
      <c r="G634" s="206"/>
      <c r="H634" s="206"/>
      <c r="I634" s="206"/>
      <c r="J634" s="206"/>
      <c r="K634" s="206"/>
      <c r="L634" s="206"/>
      <c r="M634" s="207"/>
      <c r="N634" s="207"/>
      <c r="O634" s="208"/>
      <c r="P634" s="208"/>
      <c r="Q634" s="208"/>
      <c r="R634" s="206"/>
      <c r="S634" s="206"/>
      <c r="T634" s="206"/>
      <c r="U634" s="206"/>
      <c r="V634" s="206"/>
      <c r="W634" s="206"/>
      <c r="X634" s="207"/>
      <c r="Y634" s="207"/>
      <c r="Z634" s="207"/>
      <c r="AA634" s="206"/>
      <c r="AB634" s="206"/>
      <c r="AC634" s="206"/>
      <c r="AD634" s="206"/>
      <c r="AE634" s="206"/>
      <c r="AF634" s="206"/>
      <c r="AG634" s="206"/>
      <c r="AH634" s="206"/>
      <c r="AI634" s="206"/>
      <c r="AJ634" s="206"/>
      <c r="AK634" s="206"/>
      <c r="AL634" s="206"/>
      <c r="AM634" s="206"/>
      <c r="AN634" s="206"/>
      <c r="AO634" s="206"/>
      <c r="AP634" s="206"/>
      <c r="AQ634" s="207"/>
      <c r="AR634" s="206"/>
      <c r="AS634" s="206"/>
      <c r="AT634" s="206"/>
      <c r="AU634" s="206"/>
      <c r="AV634" s="206"/>
      <c r="AW634" s="207"/>
      <c r="AX634" s="207"/>
      <c r="AY634" s="207"/>
      <c r="AZ634" s="207"/>
    </row>
    <row r="635" spans="1:52" ht="12.75" x14ac:dyDescent="0.2">
      <c r="A635" s="206"/>
      <c r="B635" s="206"/>
      <c r="C635" s="206"/>
      <c r="D635" s="206"/>
      <c r="E635" s="206"/>
      <c r="F635" s="206"/>
      <c r="G635" s="206"/>
      <c r="H635" s="206"/>
      <c r="I635" s="206"/>
      <c r="J635" s="206"/>
      <c r="K635" s="206"/>
      <c r="L635" s="206"/>
      <c r="M635" s="207"/>
      <c r="N635" s="207"/>
      <c r="O635" s="208"/>
      <c r="P635" s="208"/>
      <c r="Q635" s="208"/>
      <c r="R635" s="206"/>
      <c r="S635" s="206"/>
      <c r="T635" s="206"/>
      <c r="U635" s="206"/>
      <c r="V635" s="206"/>
      <c r="W635" s="206"/>
      <c r="X635" s="207"/>
      <c r="Y635" s="207"/>
      <c r="Z635" s="207"/>
      <c r="AA635" s="206"/>
      <c r="AB635" s="206"/>
      <c r="AC635" s="206"/>
      <c r="AD635" s="206"/>
      <c r="AE635" s="206"/>
      <c r="AF635" s="206"/>
      <c r="AG635" s="206"/>
      <c r="AH635" s="206"/>
      <c r="AI635" s="206"/>
      <c r="AJ635" s="206"/>
      <c r="AK635" s="206"/>
      <c r="AL635" s="206"/>
      <c r="AM635" s="206"/>
      <c r="AN635" s="206"/>
      <c r="AO635" s="206"/>
      <c r="AP635" s="206"/>
      <c r="AQ635" s="207"/>
      <c r="AR635" s="206"/>
      <c r="AS635" s="206"/>
      <c r="AT635" s="206"/>
      <c r="AU635" s="206"/>
      <c r="AV635" s="206"/>
      <c r="AW635" s="207"/>
      <c r="AX635" s="207"/>
      <c r="AY635" s="207"/>
      <c r="AZ635" s="207"/>
    </row>
    <row r="636" spans="1:52" ht="12.75" x14ac:dyDescent="0.2">
      <c r="A636" s="206"/>
      <c r="B636" s="206"/>
      <c r="C636" s="206"/>
      <c r="D636" s="206"/>
      <c r="E636" s="206"/>
      <c r="F636" s="206"/>
      <c r="G636" s="206"/>
      <c r="H636" s="206"/>
      <c r="I636" s="206"/>
      <c r="J636" s="206"/>
      <c r="K636" s="206"/>
      <c r="L636" s="206"/>
      <c r="M636" s="207"/>
      <c r="N636" s="207"/>
      <c r="O636" s="208"/>
      <c r="P636" s="208"/>
      <c r="Q636" s="208"/>
      <c r="R636" s="206"/>
      <c r="S636" s="206"/>
      <c r="T636" s="206"/>
      <c r="U636" s="206"/>
      <c r="V636" s="206"/>
      <c r="W636" s="206"/>
      <c r="X636" s="207"/>
      <c r="Y636" s="207"/>
      <c r="Z636" s="207"/>
      <c r="AA636" s="206"/>
      <c r="AB636" s="206"/>
      <c r="AC636" s="206"/>
      <c r="AD636" s="206"/>
      <c r="AE636" s="206"/>
      <c r="AF636" s="206"/>
      <c r="AG636" s="206"/>
      <c r="AH636" s="206"/>
      <c r="AI636" s="206"/>
      <c r="AJ636" s="206"/>
      <c r="AK636" s="206"/>
      <c r="AL636" s="206"/>
      <c r="AM636" s="206"/>
      <c r="AN636" s="206"/>
      <c r="AO636" s="206"/>
      <c r="AP636" s="206"/>
      <c r="AQ636" s="207"/>
      <c r="AR636" s="206"/>
      <c r="AS636" s="206"/>
      <c r="AT636" s="206"/>
      <c r="AU636" s="206"/>
      <c r="AV636" s="206"/>
      <c r="AW636" s="207"/>
      <c r="AX636" s="207"/>
      <c r="AY636" s="207"/>
      <c r="AZ636" s="207"/>
    </row>
    <row r="637" spans="1:52" ht="12.75" x14ac:dyDescent="0.2">
      <c r="A637" s="206"/>
      <c r="B637" s="206"/>
      <c r="C637" s="206"/>
      <c r="D637" s="206"/>
      <c r="E637" s="206"/>
      <c r="F637" s="206"/>
      <c r="G637" s="206"/>
      <c r="H637" s="206"/>
      <c r="I637" s="206"/>
      <c r="J637" s="206"/>
      <c r="K637" s="206"/>
      <c r="L637" s="206"/>
      <c r="M637" s="207"/>
      <c r="N637" s="207"/>
      <c r="O637" s="208"/>
      <c r="P637" s="208"/>
      <c r="Q637" s="208"/>
      <c r="R637" s="206"/>
      <c r="S637" s="206"/>
      <c r="T637" s="206"/>
      <c r="U637" s="206"/>
      <c r="V637" s="206"/>
      <c r="W637" s="206"/>
      <c r="X637" s="207"/>
      <c r="Y637" s="207"/>
      <c r="Z637" s="207"/>
      <c r="AA637" s="206"/>
      <c r="AB637" s="206"/>
      <c r="AC637" s="206"/>
      <c r="AD637" s="206"/>
      <c r="AE637" s="206"/>
      <c r="AF637" s="206"/>
      <c r="AG637" s="206"/>
      <c r="AH637" s="206"/>
      <c r="AI637" s="206"/>
      <c r="AJ637" s="206"/>
      <c r="AK637" s="206"/>
      <c r="AL637" s="206"/>
      <c r="AM637" s="206"/>
      <c r="AN637" s="206"/>
      <c r="AO637" s="206"/>
      <c r="AP637" s="206"/>
      <c r="AQ637" s="207"/>
      <c r="AR637" s="206"/>
      <c r="AS637" s="206"/>
      <c r="AT637" s="206"/>
      <c r="AU637" s="206"/>
      <c r="AV637" s="206"/>
      <c r="AW637" s="207"/>
      <c r="AX637" s="207"/>
      <c r="AY637" s="207"/>
      <c r="AZ637" s="207"/>
    </row>
    <row r="638" spans="1:52" ht="12.75" x14ac:dyDescent="0.2">
      <c r="A638" s="206"/>
      <c r="B638" s="206"/>
      <c r="C638" s="206"/>
      <c r="D638" s="206"/>
      <c r="E638" s="206"/>
      <c r="F638" s="206"/>
      <c r="G638" s="206"/>
      <c r="H638" s="206"/>
      <c r="I638" s="206"/>
      <c r="J638" s="206"/>
      <c r="K638" s="206"/>
      <c r="L638" s="206"/>
      <c r="M638" s="207"/>
      <c r="N638" s="207"/>
      <c r="O638" s="208"/>
      <c r="P638" s="208"/>
      <c r="Q638" s="208"/>
      <c r="R638" s="206"/>
      <c r="S638" s="206"/>
      <c r="T638" s="206"/>
      <c r="U638" s="206"/>
      <c r="V638" s="206"/>
      <c r="W638" s="206"/>
      <c r="X638" s="207"/>
      <c r="Y638" s="207"/>
      <c r="Z638" s="207"/>
      <c r="AA638" s="206"/>
      <c r="AB638" s="206"/>
      <c r="AC638" s="206"/>
      <c r="AD638" s="206"/>
      <c r="AE638" s="206"/>
      <c r="AF638" s="206"/>
      <c r="AG638" s="206"/>
      <c r="AH638" s="206"/>
      <c r="AI638" s="206"/>
      <c r="AJ638" s="206"/>
      <c r="AK638" s="206"/>
      <c r="AL638" s="206"/>
      <c r="AM638" s="206"/>
      <c r="AN638" s="206"/>
      <c r="AO638" s="206"/>
      <c r="AP638" s="206"/>
      <c r="AQ638" s="207"/>
      <c r="AR638" s="206"/>
      <c r="AS638" s="206"/>
      <c r="AT638" s="206"/>
      <c r="AU638" s="206"/>
      <c r="AV638" s="206"/>
      <c r="AW638" s="207"/>
      <c r="AX638" s="207"/>
      <c r="AY638" s="207"/>
      <c r="AZ638" s="207"/>
    </row>
    <row r="639" spans="1:52" ht="12.75" x14ac:dyDescent="0.2">
      <c r="A639" s="206"/>
      <c r="B639" s="206"/>
      <c r="C639" s="206"/>
      <c r="D639" s="206"/>
      <c r="E639" s="206"/>
      <c r="F639" s="206"/>
      <c r="G639" s="206"/>
      <c r="H639" s="206"/>
      <c r="I639" s="206"/>
      <c r="J639" s="206"/>
      <c r="K639" s="206"/>
      <c r="L639" s="206"/>
      <c r="M639" s="207"/>
      <c r="N639" s="207"/>
      <c r="O639" s="208"/>
      <c r="P639" s="208"/>
      <c r="Q639" s="208"/>
      <c r="R639" s="206"/>
      <c r="S639" s="206"/>
      <c r="T639" s="206"/>
      <c r="U639" s="206"/>
      <c r="V639" s="206"/>
      <c r="W639" s="206"/>
      <c r="X639" s="207"/>
      <c r="Y639" s="207"/>
      <c r="Z639" s="207"/>
      <c r="AA639" s="206"/>
      <c r="AB639" s="206"/>
      <c r="AC639" s="206"/>
      <c r="AD639" s="206"/>
      <c r="AE639" s="206"/>
      <c r="AF639" s="206"/>
      <c r="AG639" s="206"/>
      <c r="AH639" s="206"/>
      <c r="AI639" s="206"/>
      <c r="AJ639" s="206"/>
      <c r="AK639" s="206"/>
      <c r="AL639" s="206"/>
      <c r="AM639" s="206"/>
      <c r="AN639" s="206"/>
      <c r="AO639" s="206"/>
      <c r="AP639" s="206"/>
      <c r="AQ639" s="207"/>
      <c r="AR639" s="206"/>
      <c r="AS639" s="206"/>
      <c r="AT639" s="206"/>
      <c r="AU639" s="206"/>
      <c r="AV639" s="206"/>
      <c r="AW639" s="207"/>
      <c r="AX639" s="207"/>
      <c r="AY639" s="207"/>
      <c r="AZ639" s="207"/>
    </row>
    <row r="640" spans="1:52" ht="12.75" x14ac:dyDescent="0.2">
      <c r="A640" s="206"/>
      <c r="B640" s="206"/>
      <c r="C640" s="206"/>
      <c r="D640" s="206"/>
      <c r="E640" s="206"/>
      <c r="F640" s="206"/>
      <c r="G640" s="206"/>
      <c r="H640" s="206"/>
      <c r="I640" s="206"/>
      <c r="J640" s="206"/>
      <c r="K640" s="206"/>
      <c r="L640" s="206"/>
      <c r="M640" s="207"/>
      <c r="N640" s="207"/>
      <c r="O640" s="208"/>
      <c r="P640" s="208"/>
      <c r="Q640" s="208"/>
      <c r="R640" s="206"/>
      <c r="S640" s="206"/>
      <c r="T640" s="206"/>
      <c r="U640" s="206"/>
      <c r="V640" s="206"/>
      <c r="W640" s="206"/>
      <c r="X640" s="207"/>
      <c r="Y640" s="207"/>
      <c r="Z640" s="207"/>
      <c r="AA640" s="206"/>
      <c r="AB640" s="206"/>
      <c r="AC640" s="206"/>
      <c r="AD640" s="206"/>
      <c r="AE640" s="206"/>
      <c r="AF640" s="206"/>
      <c r="AG640" s="206"/>
      <c r="AH640" s="206"/>
      <c r="AI640" s="206"/>
      <c r="AJ640" s="206"/>
      <c r="AK640" s="206"/>
      <c r="AL640" s="206"/>
      <c r="AM640" s="206"/>
      <c r="AN640" s="206"/>
      <c r="AO640" s="206"/>
      <c r="AP640" s="206"/>
      <c r="AQ640" s="207"/>
      <c r="AR640" s="206"/>
      <c r="AS640" s="206"/>
      <c r="AT640" s="206"/>
      <c r="AU640" s="206"/>
      <c r="AV640" s="206"/>
      <c r="AW640" s="207"/>
      <c r="AX640" s="207"/>
      <c r="AY640" s="207"/>
      <c r="AZ640" s="207"/>
    </row>
    <row r="641" spans="1:52" ht="12.75" x14ac:dyDescent="0.2">
      <c r="A641" s="206"/>
      <c r="B641" s="206"/>
      <c r="C641" s="206"/>
      <c r="D641" s="206"/>
      <c r="E641" s="206"/>
      <c r="F641" s="206"/>
      <c r="G641" s="206"/>
      <c r="H641" s="206"/>
      <c r="I641" s="206"/>
      <c r="J641" s="206"/>
      <c r="K641" s="206"/>
      <c r="L641" s="206"/>
      <c r="M641" s="207"/>
      <c r="N641" s="207"/>
      <c r="O641" s="208"/>
      <c r="P641" s="208"/>
      <c r="Q641" s="208"/>
      <c r="R641" s="206"/>
      <c r="S641" s="206"/>
      <c r="T641" s="206"/>
      <c r="U641" s="206"/>
      <c r="V641" s="206"/>
      <c r="W641" s="206"/>
      <c r="X641" s="207"/>
      <c r="Y641" s="207"/>
      <c r="Z641" s="207"/>
      <c r="AA641" s="206"/>
      <c r="AB641" s="206"/>
      <c r="AC641" s="206"/>
      <c r="AD641" s="206"/>
      <c r="AE641" s="206"/>
      <c r="AF641" s="206"/>
      <c r="AG641" s="206"/>
      <c r="AH641" s="206"/>
      <c r="AI641" s="206"/>
      <c r="AJ641" s="206"/>
      <c r="AK641" s="206"/>
      <c r="AL641" s="206"/>
      <c r="AM641" s="206"/>
      <c r="AN641" s="206"/>
      <c r="AO641" s="206"/>
      <c r="AP641" s="206"/>
      <c r="AQ641" s="207"/>
      <c r="AR641" s="206"/>
      <c r="AS641" s="206"/>
      <c r="AT641" s="206"/>
      <c r="AU641" s="206"/>
      <c r="AV641" s="206"/>
      <c r="AW641" s="207"/>
      <c r="AX641" s="207"/>
      <c r="AY641" s="207"/>
      <c r="AZ641" s="207"/>
    </row>
    <row r="642" spans="1:52" ht="12.75" x14ac:dyDescent="0.2">
      <c r="A642" s="206"/>
      <c r="B642" s="206"/>
      <c r="C642" s="206"/>
      <c r="D642" s="206"/>
      <c r="E642" s="206"/>
      <c r="F642" s="206"/>
      <c r="G642" s="206"/>
      <c r="H642" s="206"/>
      <c r="I642" s="206"/>
      <c r="J642" s="206"/>
      <c r="K642" s="206"/>
      <c r="L642" s="206"/>
      <c r="M642" s="207"/>
      <c r="N642" s="207"/>
      <c r="O642" s="208"/>
      <c r="P642" s="208"/>
      <c r="Q642" s="208"/>
      <c r="R642" s="206"/>
      <c r="S642" s="206"/>
      <c r="T642" s="206"/>
      <c r="U642" s="206"/>
      <c r="V642" s="206"/>
      <c r="W642" s="206"/>
      <c r="X642" s="207"/>
      <c r="Y642" s="207"/>
      <c r="Z642" s="207"/>
      <c r="AA642" s="206"/>
      <c r="AB642" s="206"/>
      <c r="AC642" s="206"/>
      <c r="AD642" s="206"/>
      <c r="AE642" s="206"/>
      <c r="AF642" s="206"/>
      <c r="AG642" s="206"/>
      <c r="AH642" s="206"/>
      <c r="AI642" s="206"/>
      <c r="AJ642" s="206"/>
      <c r="AK642" s="206"/>
      <c r="AL642" s="206"/>
      <c r="AM642" s="206"/>
      <c r="AN642" s="206"/>
      <c r="AO642" s="206"/>
      <c r="AP642" s="206"/>
      <c r="AQ642" s="207"/>
      <c r="AR642" s="206"/>
      <c r="AS642" s="206"/>
      <c r="AT642" s="206"/>
      <c r="AU642" s="206"/>
      <c r="AV642" s="206"/>
      <c r="AW642" s="207"/>
      <c r="AX642" s="207"/>
      <c r="AY642" s="207"/>
      <c r="AZ642" s="207"/>
    </row>
    <row r="643" spans="1:52" ht="12.75" x14ac:dyDescent="0.2">
      <c r="A643" s="206"/>
      <c r="B643" s="206"/>
      <c r="C643" s="206"/>
      <c r="D643" s="206"/>
      <c r="E643" s="206"/>
      <c r="F643" s="206"/>
      <c r="G643" s="206"/>
      <c r="H643" s="206"/>
      <c r="I643" s="206"/>
      <c r="J643" s="206"/>
      <c r="K643" s="206"/>
      <c r="L643" s="206"/>
      <c r="M643" s="207"/>
      <c r="N643" s="207"/>
      <c r="O643" s="208"/>
      <c r="P643" s="208"/>
      <c r="Q643" s="208"/>
      <c r="R643" s="206"/>
      <c r="S643" s="206"/>
      <c r="T643" s="206"/>
      <c r="U643" s="206"/>
      <c r="V643" s="206"/>
      <c r="W643" s="206"/>
      <c r="X643" s="207"/>
      <c r="Y643" s="207"/>
      <c r="Z643" s="207"/>
      <c r="AA643" s="206"/>
      <c r="AB643" s="206"/>
      <c r="AC643" s="206"/>
      <c r="AD643" s="206"/>
      <c r="AE643" s="206"/>
      <c r="AF643" s="206"/>
      <c r="AG643" s="206"/>
      <c r="AH643" s="206"/>
      <c r="AI643" s="206"/>
      <c r="AJ643" s="206"/>
      <c r="AK643" s="206"/>
      <c r="AL643" s="206"/>
      <c r="AM643" s="206"/>
      <c r="AN643" s="206"/>
      <c r="AO643" s="206"/>
      <c r="AP643" s="206"/>
      <c r="AQ643" s="207"/>
      <c r="AR643" s="206"/>
      <c r="AS643" s="206"/>
      <c r="AT643" s="206"/>
      <c r="AU643" s="206"/>
      <c r="AV643" s="206"/>
      <c r="AW643" s="207"/>
      <c r="AX643" s="207"/>
      <c r="AY643" s="207"/>
      <c r="AZ643" s="207"/>
    </row>
    <row r="644" spans="1:52" ht="12.75" x14ac:dyDescent="0.2">
      <c r="A644" s="206"/>
      <c r="B644" s="206"/>
      <c r="C644" s="206"/>
      <c r="D644" s="206"/>
      <c r="E644" s="206"/>
      <c r="F644" s="206"/>
      <c r="G644" s="206"/>
      <c r="H644" s="206"/>
      <c r="I644" s="206"/>
      <c r="J644" s="206"/>
      <c r="K644" s="206"/>
      <c r="L644" s="206"/>
      <c r="M644" s="207"/>
      <c r="N644" s="207"/>
      <c r="O644" s="208"/>
      <c r="P644" s="208"/>
      <c r="Q644" s="208"/>
      <c r="R644" s="206"/>
      <c r="S644" s="206"/>
      <c r="T644" s="206"/>
      <c r="U644" s="206"/>
      <c r="V644" s="206"/>
      <c r="W644" s="206"/>
      <c r="X644" s="207"/>
      <c r="Y644" s="207"/>
      <c r="Z644" s="207"/>
      <c r="AA644" s="206"/>
      <c r="AB644" s="206"/>
      <c r="AC644" s="206"/>
      <c r="AD644" s="206"/>
      <c r="AE644" s="206"/>
      <c r="AF644" s="206"/>
      <c r="AG644" s="206"/>
      <c r="AH644" s="206"/>
      <c r="AI644" s="206"/>
      <c r="AJ644" s="206"/>
      <c r="AK644" s="206"/>
      <c r="AL644" s="206"/>
      <c r="AM644" s="206"/>
      <c r="AN644" s="206"/>
      <c r="AO644" s="206"/>
      <c r="AP644" s="206"/>
      <c r="AQ644" s="207"/>
      <c r="AR644" s="206"/>
      <c r="AS644" s="206"/>
      <c r="AT644" s="206"/>
      <c r="AU644" s="206"/>
      <c r="AV644" s="206"/>
      <c r="AW644" s="207"/>
      <c r="AX644" s="207"/>
      <c r="AY644" s="207"/>
      <c r="AZ644" s="207"/>
    </row>
    <row r="645" spans="1:52" ht="12.75" x14ac:dyDescent="0.2">
      <c r="A645" s="206"/>
      <c r="B645" s="206"/>
      <c r="C645" s="206"/>
      <c r="D645" s="206"/>
      <c r="E645" s="206"/>
      <c r="F645" s="206"/>
      <c r="G645" s="206"/>
      <c r="H645" s="206"/>
      <c r="I645" s="206"/>
      <c r="J645" s="206"/>
      <c r="K645" s="206"/>
      <c r="L645" s="206"/>
      <c r="M645" s="207"/>
      <c r="N645" s="207"/>
      <c r="O645" s="208"/>
      <c r="P645" s="208"/>
      <c r="Q645" s="208"/>
      <c r="R645" s="206"/>
      <c r="S645" s="206"/>
      <c r="T645" s="206"/>
      <c r="U645" s="206"/>
      <c r="V645" s="206"/>
      <c r="W645" s="206"/>
      <c r="X645" s="207"/>
      <c r="Y645" s="207"/>
      <c r="Z645" s="207"/>
      <c r="AA645" s="206"/>
      <c r="AB645" s="206"/>
      <c r="AC645" s="206"/>
      <c r="AD645" s="206"/>
      <c r="AE645" s="206"/>
      <c r="AF645" s="206"/>
      <c r="AG645" s="206"/>
      <c r="AH645" s="206"/>
      <c r="AI645" s="206"/>
      <c r="AJ645" s="206"/>
      <c r="AK645" s="206"/>
      <c r="AL645" s="206"/>
      <c r="AM645" s="206"/>
      <c r="AN645" s="206"/>
      <c r="AO645" s="206"/>
      <c r="AP645" s="206"/>
      <c r="AQ645" s="207"/>
      <c r="AR645" s="206"/>
      <c r="AS645" s="206"/>
      <c r="AT645" s="206"/>
      <c r="AU645" s="206"/>
      <c r="AV645" s="206"/>
      <c r="AW645" s="207"/>
      <c r="AX645" s="207"/>
      <c r="AY645" s="207"/>
      <c r="AZ645" s="207"/>
    </row>
    <row r="646" spans="1:52" ht="12.75" x14ac:dyDescent="0.2">
      <c r="A646" s="206"/>
      <c r="B646" s="206"/>
      <c r="C646" s="206"/>
      <c r="D646" s="206"/>
      <c r="E646" s="206"/>
      <c r="F646" s="206"/>
      <c r="G646" s="206"/>
      <c r="H646" s="206"/>
      <c r="I646" s="206"/>
      <c r="J646" s="206"/>
      <c r="K646" s="206"/>
      <c r="L646" s="206"/>
      <c r="M646" s="207"/>
      <c r="N646" s="207"/>
      <c r="O646" s="208"/>
      <c r="P646" s="208"/>
      <c r="Q646" s="208"/>
      <c r="R646" s="206"/>
      <c r="S646" s="206"/>
      <c r="T646" s="206"/>
      <c r="U646" s="206"/>
      <c r="V646" s="206"/>
      <c r="W646" s="206"/>
      <c r="X646" s="207"/>
      <c r="Y646" s="207"/>
      <c r="Z646" s="207"/>
      <c r="AA646" s="206"/>
      <c r="AB646" s="206"/>
      <c r="AC646" s="206"/>
      <c r="AD646" s="206"/>
      <c r="AE646" s="206"/>
      <c r="AF646" s="206"/>
      <c r="AG646" s="206"/>
      <c r="AH646" s="206"/>
      <c r="AI646" s="206"/>
      <c r="AJ646" s="206"/>
      <c r="AK646" s="206"/>
      <c r="AL646" s="206"/>
      <c r="AM646" s="206"/>
      <c r="AN646" s="206"/>
      <c r="AO646" s="206"/>
      <c r="AP646" s="206"/>
      <c r="AQ646" s="207"/>
      <c r="AR646" s="206"/>
      <c r="AS646" s="206"/>
      <c r="AT646" s="206"/>
      <c r="AU646" s="206"/>
      <c r="AV646" s="206"/>
      <c r="AW646" s="207"/>
      <c r="AX646" s="207"/>
      <c r="AY646" s="207"/>
      <c r="AZ646" s="207"/>
    </row>
    <row r="647" spans="1:52" ht="12.75" x14ac:dyDescent="0.2">
      <c r="A647" s="206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7"/>
      <c r="N647" s="207"/>
      <c r="O647" s="208"/>
      <c r="P647" s="208"/>
      <c r="Q647" s="208"/>
      <c r="R647" s="206"/>
      <c r="S647" s="206"/>
      <c r="T647" s="206"/>
      <c r="U647" s="206"/>
      <c r="V647" s="206"/>
      <c r="W647" s="206"/>
      <c r="X647" s="207"/>
      <c r="Y647" s="207"/>
      <c r="Z647" s="207"/>
      <c r="AA647" s="206"/>
      <c r="AB647" s="206"/>
      <c r="AC647" s="206"/>
      <c r="AD647" s="206"/>
      <c r="AE647" s="206"/>
      <c r="AF647" s="206"/>
      <c r="AG647" s="206"/>
      <c r="AH647" s="206"/>
      <c r="AI647" s="206"/>
      <c r="AJ647" s="206"/>
      <c r="AK647" s="206"/>
      <c r="AL647" s="206"/>
      <c r="AM647" s="206"/>
      <c r="AN647" s="206"/>
      <c r="AO647" s="206"/>
      <c r="AP647" s="206"/>
      <c r="AQ647" s="207"/>
      <c r="AR647" s="206"/>
      <c r="AS647" s="206"/>
      <c r="AT647" s="206"/>
      <c r="AU647" s="206"/>
      <c r="AV647" s="206"/>
      <c r="AW647" s="207"/>
      <c r="AX647" s="207"/>
      <c r="AY647" s="207"/>
      <c r="AZ647" s="207"/>
    </row>
    <row r="648" spans="1:52" ht="12.75" x14ac:dyDescent="0.2">
      <c r="A648" s="206"/>
      <c r="B648" s="206"/>
      <c r="C648" s="206"/>
      <c r="D648" s="206"/>
      <c r="E648" s="206"/>
      <c r="F648" s="206"/>
      <c r="G648" s="206"/>
      <c r="H648" s="206"/>
      <c r="I648" s="206"/>
      <c r="J648" s="206"/>
      <c r="K648" s="206"/>
      <c r="L648" s="206"/>
      <c r="M648" s="207"/>
      <c r="N648" s="207"/>
      <c r="O648" s="208"/>
      <c r="P648" s="208"/>
      <c r="Q648" s="208"/>
      <c r="R648" s="206"/>
      <c r="S648" s="206"/>
      <c r="T648" s="206"/>
      <c r="U648" s="206"/>
      <c r="V648" s="206"/>
      <c r="W648" s="206"/>
      <c r="X648" s="207"/>
      <c r="Y648" s="207"/>
      <c r="Z648" s="207"/>
      <c r="AA648" s="206"/>
      <c r="AB648" s="206"/>
      <c r="AC648" s="206"/>
      <c r="AD648" s="206"/>
      <c r="AE648" s="206"/>
      <c r="AF648" s="206"/>
      <c r="AG648" s="206"/>
      <c r="AH648" s="206"/>
      <c r="AI648" s="206"/>
      <c r="AJ648" s="206"/>
      <c r="AK648" s="206"/>
      <c r="AL648" s="206"/>
      <c r="AM648" s="206"/>
      <c r="AN648" s="206"/>
      <c r="AO648" s="206"/>
      <c r="AP648" s="206"/>
      <c r="AQ648" s="207"/>
      <c r="AR648" s="206"/>
      <c r="AS648" s="206"/>
      <c r="AT648" s="206"/>
      <c r="AU648" s="206"/>
      <c r="AV648" s="206"/>
      <c r="AW648" s="207"/>
      <c r="AX648" s="207"/>
      <c r="AY648" s="207"/>
      <c r="AZ648" s="207"/>
    </row>
    <row r="649" spans="1:52" ht="12.75" x14ac:dyDescent="0.2">
      <c r="A649" s="206"/>
      <c r="B649" s="206"/>
      <c r="C649" s="206"/>
      <c r="D649" s="206"/>
      <c r="E649" s="206"/>
      <c r="F649" s="206"/>
      <c r="G649" s="206"/>
      <c r="H649" s="206"/>
      <c r="I649" s="206"/>
      <c r="J649" s="206"/>
      <c r="K649" s="206"/>
      <c r="L649" s="206"/>
      <c r="M649" s="207"/>
      <c r="N649" s="207"/>
      <c r="O649" s="208"/>
      <c r="P649" s="208"/>
      <c r="Q649" s="208"/>
      <c r="R649" s="206"/>
      <c r="S649" s="206"/>
      <c r="T649" s="206"/>
      <c r="U649" s="206"/>
      <c r="V649" s="206"/>
      <c r="W649" s="206"/>
      <c r="X649" s="207"/>
      <c r="Y649" s="207"/>
      <c r="Z649" s="207"/>
      <c r="AA649" s="206"/>
      <c r="AB649" s="206"/>
      <c r="AC649" s="206"/>
      <c r="AD649" s="206"/>
      <c r="AE649" s="206"/>
      <c r="AF649" s="206"/>
      <c r="AG649" s="206"/>
      <c r="AH649" s="206"/>
      <c r="AI649" s="206"/>
      <c r="AJ649" s="206"/>
      <c r="AK649" s="206"/>
      <c r="AL649" s="206"/>
      <c r="AM649" s="206"/>
      <c r="AN649" s="206"/>
      <c r="AO649" s="206"/>
      <c r="AP649" s="206"/>
      <c r="AQ649" s="207"/>
      <c r="AR649" s="206"/>
      <c r="AS649" s="206"/>
      <c r="AT649" s="206"/>
      <c r="AU649" s="206"/>
      <c r="AV649" s="206"/>
      <c r="AW649" s="207"/>
      <c r="AX649" s="207"/>
      <c r="AY649" s="207"/>
      <c r="AZ649" s="207"/>
    </row>
    <row r="650" spans="1:52" ht="12.75" x14ac:dyDescent="0.2">
      <c r="A650" s="206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7"/>
      <c r="N650" s="207"/>
      <c r="O650" s="208"/>
      <c r="P650" s="208"/>
      <c r="Q650" s="208"/>
      <c r="R650" s="206"/>
      <c r="S650" s="206"/>
      <c r="T650" s="206"/>
      <c r="U650" s="206"/>
      <c r="V650" s="206"/>
      <c r="W650" s="206"/>
      <c r="X650" s="207"/>
      <c r="Y650" s="207"/>
      <c r="Z650" s="207"/>
      <c r="AA650" s="206"/>
      <c r="AB650" s="206"/>
      <c r="AC650" s="206"/>
      <c r="AD650" s="206"/>
      <c r="AE650" s="206"/>
      <c r="AF650" s="206"/>
      <c r="AG650" s="206"/>
      <c r="AH650" s="206"/>
      <c r="AI650" s="206"/>
      <c r="AJ650" s="206"/>
      <c r="AK650" s="206"/>
      <c r="AL650" s="206"/>
      <c r="AM650" s="206"/>
      <c r="AN650" s="206"/>
      <c r="AO650" s="206"/>
      <c r="AP650" s="206"/>
      <c r="AQ650" s="207"/>
      <c r="AR650" s="206"/>
      <c r="AS650" s="206"/>
      <c r="AT650" s="206"/>
      <c r="AU650" s="206"/>
      <c r="AV650" s="206"/>
      <c r="AW650" s="207"/>
      <c r="AX650" s="207"/>
      <c r="AY650" s="207"/>
      <c r="AZ650" s="207"/>
    </row>
    <row r="651" spans="1:52" ht="12.75" x14ac:dyDescent="0.2">
      <c r="A651" s="206"/>
      <c r="B651" s="206"/>
      <c r="C651" s="206"/>
      <c r="D651" s="206"/>
      <c r="E651" s="206"/>
      <c r="F651" s="206"/>
      <c r="G651" s="206"/>
      <c r="H651" s="206"/>
      <c r="I651" s="206"/>
      <c r="J651" s="206"/>
      <c r="K651" s="206"/>
      <c r="L651" s="206"/>
      <c r="M651" s="207"/>
      <c r="N651" s="207"/>
      <c r="O651" s="208"/>
      <c r="P651" s="208"/>
      <c r="Q651" s="208"/>
      <c r="R651" s="206"/>
      <c r="S651" s="206"/>
      <c r="T651" s="206"/>
      <c r="U651" s="206"/>
      <c r="V651" s="206"/>
      <c r="W651" s="206"/>
      <c r="X651" s="207"/>
      <c r="Y651" s="207"/>
      <c r="Z651" s="207"/>
      <c r="AA651" s="206"/>
      <c r="AB651" s="206"/>
      <c r="AC651" s="206"/>
      <c r="AD651" s="206"/>
      <c r="AE651" s="206"/>
      <c r="AF651" s="206"/>
      <c r="AG651" s="206"/>
      <c r="AH651" s="206"/>
      <c r="AI651" s="206"/>
      <c r="AJ651" s="206"/>
      <c r="AK651" s="206"/>
      <c r="AL651" s="206"/>
      <c r="AM651" s="206"/>
      <c r="AN651" s="206"/>
      <c r="AO651" s="206"/>
      <c r="AP651" s="206"/>
      <c r="AQ651" s="207"/>
      <c r="AR651" s="206"/>
      <c r="AS651" s="206"/>
      <c r="AT651" s="206"/>
      <c r="AU651" s="206"/>
      <c r="AV651" s="206"/>
      <c r="AW651" s="207"/>
      <c r="AX651" s="207"/>
      <c r="AY651" s="207"/>
      <c r="AZ651" s="207"/>
    </row>
    <row r="652" spans="1:52" ht="12.75" x14ac:dyDescent="0.2">
      <c r="A652" s="206"/>
      <c r="B652" s="206"/>
      <c r="C652" s="206"/>
      <c r="D652" s="206"/>
      <c r="E652" s="206"/>
      <c r="F652" s="206"/>
      <c r="G652" s="206"/>
      <c r="H652" s="206"/>
      <c r="I652" s="206"/>
      <c r="J652" s="206"/>
      <c r="K652" s="206"/>
      <c r="L652" s="206"/>
      <c r="M652" s="207"/>
      <c r="N652" s="207"/>
      <c r="O652" s="208"/>
      <c r="P652" s="208"/>
      <c r="Q652" s="208"/>
      <c r="R652" s="206"/>
      <c r="S652" s="206"/>
      <c r="T652" s="206"/>
      <c r="U652" s="206"/>
      <c r="V652" s="206"/>
      <c r="W652" s="206"/>
      <c r="X652" s="207"/>
      <c r="Y652" s="207"/>
      <c r="Z652" s="207"/>
      <c r="AA652" s="206"/>
      <c r="AB652" s="206"/>
      <c r="AC652" s="206"/>
      <c r="AD652" s="206"/>
      <c r="AE652" s="206"/>
      <c r="AF652" s="206"/>
      <c r="AG652" s="206"/>
      <c r="AH652" s="206"/>
      <c r="AI652" s="206"/>
      <c r="AJ652" s="206"/>
      <c r="AK652" s="206"/>
      <c r="AL652" s="206"/>
      <c r="AM652" s="206"/>
      <c r="AN652" s="206"/>
      <c r="AO652" s="206"/>
      <c r="AP652" s="206"/>
      <c r="AQ652" s="207"/>
      <c r="AR652" s="206"/>
      <c r="AS652" s="206"/>
      <c r="AT652" s="206"/>
      <c r="AU652" s="206"/>
      <c r="AV652" s="206"/>
      <c r="AW652" s="207"/>
      <c r="AX652" s="207"/>
      <c r="AY652" s="207"/>
      <c r="AZ652" s="207"/>
    </row>
    <row r="653" spans="1:52" ht="12.75" x14ac:dyDescent="0.2">
      <c r="A653" s="206"/>
      <c r="B653" s="206"/>
      <c r="C653" s="206"/>
      <c r="D653" s="206"/>
      <c r="E653" s="206"/>
      <c r="F653" s="206"/>
      <c r="G653" s="206"/>
      <c r="H653" s="206"/>
      <c r="I653" s="206"/>
      <c r="J653" s="206"/>
      <c r="K653" s="206"/>
      <c r="L653" s="206"/>
      <c r="M653" s="207"/>
      <c r="N653" s="207"/>
      <c r="O653" s="208"/>
      <c r="P653" s="208"/>
      <c r="Q653" s="208"/>
      <c r="R653" s="206"/>
      <c r="S653" s="206"/>
      <c r="T653" s="206"/>
      <c r="U653" s="206"/>
      <c r="V653" s="206"/>
      <c r="W653" s="206"/>
      <c r="X653" s="207"/>
      <c r="Y653" s="207"/>
      <c r="Z653" s="207"/>
      <c r="AA653" s="206"/>
      <c r="AB653" s="206"/>
      <c r="AC653" s="206"/>
      <c r="AD653" s="206"/>
      <c r="AE653" s="206"/>
      <c r="AF653" s="206"/>
      <c r="AG653" s="206"/>
      <c r="AH653" s="206"/>
      <c r="AI653" s="206"/>
      <c r="AJ653" s="206"/>
      <c r="AK653" s="206"/>
      <c r="AL653" s="206"/>
      <c r="AM653" s="206"/>
      <c r="AN653" s="206"/>
      <c r="AO653" s="206"/>
      <c r="AP653" s="206"/>
      <c r="AQ653" s="207"/>
      <c r="AR653" s="206"/>
      <c r="AS653" s="206"/>
      <c r="AT653" s="206"/>
      <c r="AU653" s="206"/>
      <c r="AV653" s="206"/>
      <c r="AW653" s="207"/>
      <c r="AX653" s="207"/>
      <c r="AY653" s="207"/>
      <c r="AZ653" s="207"/>
    </row>
    <row r="654" spans="1:52" ht="12.75" x14ac:dyDescent="0.2">
      <c r="A654" s="206"/>
      <c r="B654" s="206"/>
      <c r="C654" s="206"/>
      <c r="D654" s="206"/>
      <c r="E654" s="206"/>
      <c r="F654" s="206"/>
      <c r="G654" s="206"/>
      <c r="H654" s="206"/>
      <c r="I654" s="206"/>
      <c r="J654" s="206"/>
      <c r="K654" s="206"/>
      <c r="L654" s="206"/>
      <c r="M654" s="207"/>
      <c r="N654" s="207"/>
      <c r="O654" s="208"/>
      <c r="P654" s="208"/>
      <c r="Q654" s="208"/>
      <c r="R654" s="206"/>
      <c r="S654" s="206"/>
      <c r="T654" s="206"/>
      <c r="U654" s="206"/>
      <c r="V654" s="206"/>
      <c r="W654" s="206"/>
      <c r="X654" s="207"/>
      <c r="Y654" s="207"/>
      <c r="Z654" s="207"/>
      <c r="AA654" s="206"/>
      <c r="AB654" s="206"/>
      <c r="AC654" s="206"/>
      <c r="AD654" s="206"/>
      <c r="AE654" s="206"/>
      <c r="AF654" s="206"/>
      <c r="AG654" s="206"/>
      <c r="AH654" s="206"/>
      <c r="AI654" s="206"/>
      <c r="AJ654" s="206"/>
      <c r="AK654" s="206"/>
      <c r="AL654" s="206"/>
      <c r="AM654" s="206"/>
      <c r="AN654" s="206"/>
      <c r="AO654" s="206"/>
      <c r="AP654" s="206"/>
      <c r="AQ654" s="207"/>
      <c r="AR654" s="206"/>
      <c r="AS654" s="206"/>
      <c r="AT654" s="206"/>
      <c r="AU654" s="206"/>
      <c r="AV654" s="206"/>
      <c r="AW654" s="207"/>
      <c r="AX654" s="207"/>
      <c r="AY654" s="207"/>
      <c r="AZ654" s="207"/>
    </row>
    <row r="655" spans="1:52" ht="12.75" x14ac:dyDescent="0.2">
      <c r="A655" s="206"/>
      <c r="B655" s="206"/>
      <c r="C655" s="206"/>
      <c r="D655" s="206"/>
      <c r="E655" s="206"/>
      <c r="F655" s="206"/>
      <c r="G655" s="206"/>
      <c r="H655" s="206"/>
      <c r="I655" s="206"/>
      <c r="J655" s="206"/>
      <c r="K655" s="206"/>
      <c r="L655" s="206"/>
      <c r="M655" s="207"/>
      <c r="N655" s="207"/>
      <c r="O655" s="208"/>
      <c r="P655" s="208"/>
      <c r="Q655" s="208"/>
      <c r="R655" s="206"/>
      <c r="S655" s="206"/>
      <c r="T655" s="206"/>
      <c r="U655" s="206"/>
      <c r="V655" s="206"/>
      <c r="W655" s="206"/>
      <c r="X655" s="207"/>
      <c r="Y655" s="207"/>
      <c r="Z655" s="207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7"/>
      <c r="AR655" s="206"/>
      <c r="AS655" s="206"/>
      <c r="AT655" s="206"/>
      <c r="AU655" s="206"/>
      <c r="AV655" s="206"/>
      <c r="AW655" s="207"/>
      <c r="AX655" s="207"/>
      <c r="AY655" s="207"/>
      <c r="AZ655" s="207"/>
    </row>
    <row r="656" spans="1:52" ht="12.75" x14ac:dyDescent="0.2">
      <c r="A656" s="206"/>
      <c r="B656" s="206"/>
      <c r="C656" s="206"/>
      <c r="D656" s="206"/>
      <c r="E656" s="206"/>
      <c r="F656" s="206"/>
      <c r="G656" s="206"/>
      <c r="H656" s="206"/>
      <c r="I656" s="206"/>
      <c r="J656" s="206"/>
      <c r="K656" s="206"/>
      <c r="L656" s="206"/>
      <c r="M656" s="207"/>
      <c r="N656" s="207"/>
      <c r="O656" s="208"/>
      <c r="P656" s="208"/>
      <c r="Q656" s="208"/>
      <c r="R656" s="206"/>
      <c r="S656" s="206"/>
      <c r="T656" s="206"/>
      <c r="U656" s="206"/>
      <c r="V656" s="206"/>
      <c r="W656" s="206"/>
      <c r="X656" s="207"/>
      <c r="Y656" s="207"/>
      <c r="Z656" s="207"/>
      <c r="AA656" s="206"/>
      <c r="AB656" s="206"/>
      <c r="AC656" s="206"/>
      <c r="AD656" s="206"/>
      <c r="AE656" s="206"/>
      <c r="AF656" s="206"/>
      <c r="AG656" s="206"/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7"/>
      <c r="AR656" s="206"/>
      <c r="AS656" s="206"/>
      <c r="AT656" s="206"/>
      <c r="AU656" s="206"/>
      <c r="AV656" s="206"/>
      <c r="AW656" s="207"/>
      <c r="AX656" s="207"/>
      <c r="AY656" s="207"/>
      <c r="AZ656" s="207"/>
    </row>
    <row r="657" spans="1:52" ht="12.75" x14ac:dyDescent="0.2">
      <c r="A657" s="206"/>
      <c r="B657" s="206"/>
      <c r="C657" s="206"/>
      <c r="D657" s="206"/>
      <c r="E657" s="206"/>
      <c r="F657" s="206"/>
      <c r="G657" s="206"/>
      <c r="H657" s="206"/>
      <c r="I657" s="206"/>
      <c r="J657" s="206"/>
      <c r="K657" s="206"/>
      <c r="L657" s="206"/>
      <c r="M657" s="207"/>
      <c r="N657" s="207"/>
      <c r="O657" s="208"/>
      <c r="P657" s="208"/>
      <c r="Q657" s="208"/>
      <c r="R657" s="206"/>
      <c r="S657" s="206"/>
      <c r="T657" s="206"/>
      <c r="U657" s="206"/>
      <c r="V657" s="206"/>
      <c r="W657" s="206"/>
      <c r="X657" s="207"/>
      <c r="Y657" s="207"/>
      <c r="Z657" s="207"/>
      <c r="AA657" s="206"/>
      <c r="AB657" s="206"/>
      <c r="AC657" s="206"/>
      <c r="AD657" s="206"/>
      <c r="AE657" s="206"/>
      <c r="AF657" s="206"/>
      <c r="AG657" s="206"/>
      <c r="AH657" s="206"/>
      <c r="AI657" s="206"/>
      <c r="AJ657" s="206"/>
      <c r="AK657" s="206"/>
      <c r="AL657" s="206"/>
      <c r="AM657" s="206"/>
      <c r="AN657" s="206"/>
      <c r="AO657" s="206"/>
      <c r="AP657" s="206"/>
      <c r="AQ657" s="207"/>
      <c r="AR657" s="206"/>
      <c r="AS657" s="206"/>
      <c r="AT657" s="206"/>
      <c r="AU657" s="206"/>
      <c r="AV657" s="206"/>
      <c r="AW657" s="207"/>
      <c r="AX657" s="207"/>
      <c r="AY657" s="207"/>
      <c r="AZ657" s="207"/>
    </row>
    <row r="658" spans="1:52" ht="12.75" x14ac:dyDescent="0.2">
      <c r="A658" s="206"/>
      <c r="B658" s="206"/>
      <c r="C658" s="206"/>
      <c r="D658" s="206"/>
      <c r="E658" s="206"/>
      <c r="F658" s="206"/>
      <c r="G658" s="206"/>
      <c r="H658" s="206"/>
      <c r="I658" s="206"/>
      <c r="J658" s="206"/>
      <c r="K658" s="206"/>
      <c r="L658" s="206"/>
      <c r="M658" s="207"/>
      <c r="N658" s="207"/>
      <c r="O658" s="208"/>
      <c r="P658" s="208"/>
      <c r="Q658" s="208"/>
      <c r="R658" s="206"/>
      <c r="S658" s="206"/>
      <c r="T658" s="206"/>
      <c r="U658" s="206"/>
      <c r="V658" s="206"/>
      <c r="W658" s="206"/>
      <c r="X658" s="207"/>
      <c r="Y658" s="207"/>
      <c r="Z658" s="207"/>
      <c r="AA658" s="206"/>
      <c r="AB658" s="206"/>
      <c r="AC658" s="206"/>
      <c r="AD658" s="206"/>
      <c r="AE658" s="206"/>
      <c r="AF658" s="206"/>
      <c r="AG658" s="206"/>
      <c r="AH658" s="206"/>
      <c r="AI658" s="206"/>
      <c r="AJ658" s="206"/>
      <c r="AK658" s="206"/>
      <c r="AL658" s="206"/>
      <c r="AM658" s="206"/>
      <c r="AN658" s="206"/>
      <c r="AO658" s="206"/>
      <c r="AP658" s="206"/>
      <c r="AQ658" s="207"/>
      <c r="AR658" s="206"/>
      <c r="AS658" s="206"/>
      <c r="AT658" s="206"/>
      <c r="AU658" s="206"/>
      <c r="AV658" s="206"/>
      <c r="AW658" s="207"/>
      <c r="AX658" s="207"/>
      <c r="AY658" s="207"/>
      <c r="AZ658" s="207"/>
    </row>
    <row r="659" spans="1:52" ht="12.75" x14ac:dyDescent="0.2">
      <c r="A659" s="206"/>
      <c r="B659" s="206"/>
      <c r="C659" s="206"/>
      <c r="D659" s="206"/>
      <c r="E659" s="206"/>
      <c r="F659" s="206"/>
      <c r="G659" s="206"/>
      <c r="H659" s="206"/>
      <c r="I659" s="206"/>
      <c r="J659" s="206"/>
      <c r="K659" s="206"/>
      <c r="L659" s="206"/>
      <c r="M659" s="207"/>
      <c r="N659" s="207"/>
      <c r="O659" s="208"/>
      <c r="P659" s="208"/>
      <c r="Q659" s="208"/>
      <c r="R659" s="206"/>
      <c r="S659" s="206"/>
      <c r="T659" s="206"/>
      <c r="U659" s="206"/>
      <c r="V659" s="206"/>
      <c r="W659" s="206"/>
      <c r="X659" s="207"/>
      <c r="Y659" s="207"/>
      <c r="Z659" s="207"/>
      <c r="AA659" s="206"/>
      <c r="AB659" s="206"/>
      <c r="AC659" s="206"/>
      <c r="AD659" s="206"/>
      <c r="AE659" s="206"/>
      <c r="AF659" s="206"/>
      <c r="AG659" s="206"/>
      <c r="AH659" s="206"/>
      <c r="AI659" s="206"/>
      <c r="AJ659" s="206"/>
      <c r="AK659" s="206"/>
      <c r="AL659" s="206"/>
      <c r="AM659" s="206"/>
      <c r="AN659" s="206"/>
      <c r="AO659" s="206"/>
      <c r="AP659" s="206"/>
      <c r="AQ659" s="207"/>
      <c r="AR659" s="206"/>
      <c r="AS659" s="206"/>
      <c r="AT659" s="206"/>
      <c r="AU659" s="206"/>
      <c r="AV659" s="206"/>
      <c r="AW659" s="207"/>
      <c r="AX659" s="207"/>
      <c r="AY659" s="207"/>
      <c r="AZ659" s="207"/>
    </row>
    <row r="660" spans="1:52" ht="12.75" x14ac:dyDescent="0.2">
      <c r="A660" s="206"/>
      <c r="B660" s="206"/>
      <c r="C660" s="206"/>
      <c r="D660" s="206"/>
      <c r="E660" s="206"/>
      <c r="F660" s="206"/>
      <c r="G660" s="206"/>
      <c r="H660" s="206"/>
      <c r="I660" s="206"/>
      <c r="J660" s="206"/>
      <c r="K660" s="206"/>
      <c r="L660" s="206"/>
      <c r="M660" s="207"/>
      <c r="N660" s="207"/>
      <c r="O660" s="208"/>
      <c r="P660" s="208"/>
      <c r="Q660" s="208"/>
      <c r="R660" s="206"/>
      <c r="S660" s="206"/>
      <c r="T660" s="206"/>
      <c r="U660" s="206"/>
      <c r="V660" s="206"/>
      <c r="W660" s="206"/>
      <c r="X660" s="207"/>
      <c r="Y660" s="207"/>
      <c r="Z660" s="207"/>
      <c r="AA660" s="206"/>
      <c r="AB660" s="206"/>
      <c r="AC660" s="206"/>
      <c r="AD660" s="206"/>
      <c r="AE660" s="206"/>
      <c r="AF660" s="206"/>
      <c r="AG660" s="206"/>
      <c r="AH660" s="206"/>
      <c r="AI660" s="206"/>
      <c r="AJ660" s="206"/>
      <c r="AK660" s="206"/>
      <c r="AL660" s="206"/>
      <c r="AM660" s="206"/>
      <c r="AN660" s="206"/>
      <c r="AO660" s="206"/>
      <c r="AP660" s="206"/>
      <c r="AQ660" s="207"/>
      <c r="AR660" s="206"/>
      <c r="AS660" s="206"/>
      <c r="AT660" s="206"/>
      <c r="AU660" s="206"/>
      <c r="AV660" s="206"/>
      <c r="AW660" s="207"/>
      <c r="AX660" s="207"/>
      <c r="AY660" s="207"/>
      <c r="AZ660" s="207"/>
    </row>
    <row r="661" spans="1:52" ht="12.75" x14ac:dyDescent="0.2">
      <c r="A661" s="206"/>
      <c r="B661" s="206"/>
      <c r="C661" s="206"/>
      <c r="D661" s="206"/>
      <c r="E661" s="206"/>
      <c r="F661" s="206"/>
      <c r="G661" s="206"/>
      <c r="H661" s="206"/>
      <c r="I661" s="206"/>
      <c r="J661" s="206"/>
      <c r="K661" s="206"/>
      <c r="L661" s="206"/>
      <c r="M661" s="207"/>
      <c r="N661" s="207"/>
      <c r="O661" s="208"/>
      <c r="P661" s="208"/>
      <c r="Q661" s="208"/>
      <c r="R661" s="206"/>
      <c r="S661" s="206"/>
      <c r="T661" s="206"/>
      <c r="U661" s="206"/>
      <c r="V661" s="206"/>
      <c r="W661" s="206"/>
      <c r="X661" s="207"/>
      <c r="Y661" s="207"/>
      <c r="Z661" s="207"/>
      <c r="AA661" s="206"/>
      <c r="AB661" s="206"/>
      <c r="AC661" s="206"/>
      <c r="AD661" s="206"/>
      <c r="AE661" s="206"/>
      <c r="AF661" s="206"/>
      <c r="AG661" s="206"/>
      <c r="AH661" s="206"/>
      <c r="AI661" s="206"/>
      <c r="AJ661" s="206"/>
      <c r="AK661" s="206"/>
      <c r="AL661" s="206"/>
      <c r="AM661" s="206"/>
      <c r="AN661" s="206"/>
      <c r="AO661" s="206"/>
      <c r="AP661" s="206"/>
      <c r="AQ661" s="207"/>
      <c r="AR661" s="206"/>
      <c r="AS661" s="206"/>
      <c r="AT661" s="206"/>
      <c r="AU661" s="206"/>
      <c r="AV661" s="206"/>
      <c r="AW661" s="207"/>
      <c r="AX661" s="207"/>
      <c r="AY661" s="207"/>
      <c r="AZ661" s="207"/>
    </row>
    <row r="662" spans="1:52" ht="12.75" x14ac:dyDescent="0.2">
      <c r="A662" s="206"/>
      <c r="B662" s="206"/>
      <c r="C662" s="206"/>
      <c r="D662" s="206"/>
      <c r="E662" s="206"/>
      <c r="F662" s="206"/>
      <c r="G662" s="206"/>
      <c r="H662" s="206"/>
      <c r="I662" s="206"/>
      <c r="J662" s="206"/>
      <c r="K662" s="206"/>
      <c r="L662" s="206"/>
      <c r="M662" s="207"/>
      <c r="N662" s="207"/>
      <c r="O662" s="208"/>
      <c r="P662" s="208"/>
      <c r="Q662" s="208"/>
      <c r="R662" s="206"/>
      <c r="S662" s="206"/>
      <c r="T662" s="206"/>
      <c r="U662" s="206"/>
      <c r="V662" s="206"/>
      <c r="W662" s="206"/>
      <c r="X662" s="207"/>
      <c r="Y662" s="207"/>
      <c r="Z662" s="207"/>
      <c r="AA662" s="206"/>
      <c r="AB662" s="206"/>
      <c r="AC662" s="206"/>
      <c r="AD662" s="206"/>
      <c r="AE662" s="206"/>
      <c r="AF662" s="206"/>
      <c r="AG662" s="206"/>
      <c r="AH662" s="206"/>
      <c r="AI662" s="206"/>
      <c r="AJ662" s="206"/>
      <c r="AK662" s="206"/>
      <c r="AL662" s="206"/>
      <c r="AM662" s="206"/>
      <c r="AN662" s="206"/>
      <c r="AO662" s="206"/>
      <c r="AP662" s="206"/>
      <c r="AQ662" s="207"/>
      <c r="AR662" s="206"/>
      <c r="AS662" s="206"/>
      <c r="AT662" s="206"/>
      <c r="AU662" s="206"/>
      <c r="AV662" s="206"/>
      <c r="AW662" s="207"/>
      <c r="AX662" s="207"/>
      <c r="AY662" s="207"/>
      <c r="AZ662" s="207"/>
    </row>
    <row r="663" spans="1:52" ht="12.75" x14ac:dyDescent="0.2">
      <c r="A663" s="206"/>
      <c r="B663" s="206"/>
      <c r="C663" s="206"/>
      <c r="D663" s="206"/>
      <c r="E663" s="206"/>
      <c r="F663" s="206"/>
      <c r="G663" s="206"/>
      <c r="H663" s="206"/>
      <c r="I663" s="206"/>
      <c r="J663" s="206"/>
      <c r="K663" s="206"/>
      <c r="L663" s="206"/>
      <c r="M663" s="207"/>
      <c r="N663" s="207"/>
      <c r="O663" s="208"/>
      <c r="P663" s="208"/>
      <c r="Q663" s="208"/>
      <c r="R663" s="206"/>
      <c r="S663" s="206"/>
      <c r="T663" s="206"/>
      <c r="U663" s="206"/>
      <c r="V663" s="206"/>
      <c r="W663" s="206"/>
      <c r="X663" s="207"/>
      <c r="Y663" s="207"/>
      <c r="Z663" s="207"/>
      <c r="AA663" s="206"/>
      <c r="AB663" s="206"/>
      <c r="AC663" s="206"/>
      <c r="AD663" s="206"/>
      <c r="AE663" s="206"/>
      <c r="AF663" s="206"/>
      <c r="AG663" s="206"/>
      <c r="AH663" s="206"/>
      <c r="AI663" s="206"/>
      <c r="AJ663" s="206"/>
      <c r="AK663" s="206"/>
      <c r="AL663" s="206"/>
      <c r="AM663" s="206"/>
      <c r="AN663" s="206"/>
      <c r="AO663" s="206"/>
      <c r="AP663" s="206"/>
      <c r="AQ663" s="207"/>
      <c r="AR663" s="206"/>
      <c r="AS663" s="206"/>
      <c r="AT663" s="206"/>
      <c r="AU663" s="206"/>
      <c r="AV663" s="206"/>
      <c r="AW663" s="207"/>
      <c r="AX663" s="207"/>
      <c r="AY663" s="207"/>
      <c r="AZ663" s="207"/>
    </row>
    <row r="664" spans="1:52" ht="12.75" x14ac:dyDescent="0.2">
      <c r="A664" s="206"/>
      <c r="B664" s="206"/>
      <c r="C664" s="206"/>
      <c r="D664" s="206"/>
      <c r="E664" s="206"/>
      <c r="F664" s="206"/>
      <c r="G664" s="206"/>
      <c r="H664" s="206"/>
      <c r="I664" s="206"/>
      <c r="J664" s="206"/>
      <c r="K664" s="206"/>
      <c r="L664" s="206"/>
      <c r="M664" s="207"/>
      <c r="N664" s="207"/>
      <c r="O664" s="208"/>
      <c r="P664" s="208"/>
      <c r="Q664" s="208"/>
      <c r="R664" s="206"/>
      <c r="S664" s="206"/>
      <c r="T664" s="206"/>
      <c r="U664" s="206"/>
      <c r="V664" s="206"/>
      <c r="W664" s="206"/>
      <c r="X664" s="207"/>
      <c r="Y664" s="207"/>
      <c r="Z664" s="207"/>
      <c r="AA664" s="206"/>
      <c r="AB664" s="206"/>
      <c r="AC664" s="206"/>
      <c r="AD664" s="206"/>
      <c r="AE664" s="206"/>
      <c r="AF664" s="206"/>
      <c r="AG664" s="206"/>
      <c r="AH664" s="206"/>
      <c r="AI664" s="206"/>
      <c r="AJ664" s="206"/>
      <c r="AK664" s="206"/>
      <c r="AL664" s="206"/>
      <c r="AM664" s="206"/>
      <c r="AN664" s="206"/>
      <c r="AO664" s="206"/>
      <c r="AP664" s="206"/>
      <c r="AQ664" s="207"/>
      <c r="AR664" s="206"/>
      <c r="AS664" s="206"/>
      <c r="AT664" s="206"/>
      <c r="AU664" s="206"/>
      <c r="AV664" s="206"/>
      <c r="AW664" s="207"/>
      <c r="AX664" s="207"/>
      <c r="AY664" s="207"/>
      <c r="AZ664" s="207"/>
    </row>
    <row r="665" spans="1:52" ht="12.75" x14ac:dyDescent="0.2">
      <c r="A665" s="206"/>
      <c r="B665" s="206"/>
      <c r="C665" s="206"/>
      <c r="D665" s="206"/>
      <c r="E665" s="206"/>
      <c r="F665" s="206"/>
      <c r="G665" s="206"/>
      <c r="H665" s="206"/>
      <c r="I665" s="206"/>
      <c r="J665" s="206"/>
      <c r="K665" s="206"/>
      <c r="L665" s="206"/>
      <c r="M665" s="207"/>
      <c r="N665" s="207"/>
      <c r="O665" s="208"/>
      <c r="P665" s="208"/>
      <c r="Q665" s="208"/>
      <c r="R665" s="206"/>
      <c r="S665" s="206"/>
      <c r="T665" s="206"/>
      <c r="U665" s="206"/>
      <c r="V665" s="206"/>
      <c r="W665" s="206"/>
      <c r="X665" s="207"/>
      <c r="Y665" s="207"/>
      <c r="Z665" s="207"/>
      <c r="AA665" s="206"/>
      <c r="AB665" s="206"/>
      <c r="AC665" s="206"/>
      <c r="AD665" s="206"/>
      <c r="AE665" s="206"/>
      <c r="AF665" s="206"/>
      <c r="AG665" s="206"/>
      <c r="AH665" s="206"/>
      <c r="AI665" s="206"/>
      <c r="AJ665" s="206"/>
      <c r="AK665" s="206"/>
      <c r="AL665" s="206"/>
      <c r="AM665" s="206"/>
      <c r="AN665" s="206"/>
      <c r="AO665" s="206"/>
      <c r="AP665" s="206"/>
      <c r="AQ665" s="207"/>
      <c r="AR665" s="206"/>
      <c r="AS665" s="206"/>
      <c r="AT665" s="206"/>
      <c r="AU665" s="206"/>
      <c r="AV665" s="206"/>
      <c r="AW665" s="207"/>
      <c r="AX665" s="207"/>
      <c r="AY665" s="207"/>
      <c r="AZ665" s="207"/>
    </row>
    <row r="666" spans="1:52" ht="12.75" x14ac:dyDescent="0.2">
      <c r="A666" s="206"/>
      <c r="B666" s="206"/>
      <c r="C666" s="206"/>
      <c r="D666" s="206"/>
      <c r="E666" s="206"/>
      <c r="F666" s="206"/>
      <c r="G666" s="206"/>
      <c r="H666" s="206"/>
      <c r="I666" s="206"/>
      <c r="J666" s="206"/>
      <c r="K666" s="206"/>
      <c r="L666" s="206"/>
      <c r="M666" s="207"/>
      <c r="N666" s="207"/>
      <c r="O666" s="208"/>
      <c r="P666" s="208"/>
      <c r="Q666" s="208"/>
      <c r="R666" s="206"/>
      <c r="S666" s="206"/>
      <c r="T666" s="206"/>
      <c r="U666" s="206"/>
      <c r="V666" s="206"/>
      <c r="W666" s="206"/>
      <c r="X666" s="207"/>
      <c r="Y666" s="207"/>
      <c r="Z666" s="207"/>
      <c r="AA666" s="206"/>
      <c r="AB666" s="206"/>
      <c r="AC666" s="206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7"/>
      <c r="AR666" s="206"/>
      <c r="AS666" s="206"/>
      <c r="AT666" s="206"/>
      <c r="AU666" s="206"/>
      <c r="AV666" s="206"/>
      <c r="AW666" s="207"/>
      <c r="AX666" s="207"/>
      <c r="AY666" s="207"/>
      <c r="AZ666" s="207"/>
    </row>
    <row r="667" spans="1:52" ht="12.75" x14ac:dyDescent="0.2">
      <c r="A667" s="206"/>
      <c r="B667" s="206"/>
      <c r="C667" s="206"/>
      <c r="D667" s="206"/>
      <c r="E667" s="206"/>
      <c r="F667" s="206"/>
      <c r="G667" s="206"/>
      <c r="H667" s="206"/>
      <c r="I667" s="206"/>
      <c r="J667" s="206"/>
      <c r="K667" s="206"/>
      <c r="L667" s="206"/>
      <c r="M667" s="207"/>
      <c r="N667" s="207"/>
      <c r="O667" s="208"/>
      <c r="P667" s="208"/>
      <c r="Q667" s="208"/>
      <c r="R667" s="206"/>
      <c r="S667" s="206"/>
      <c r="T667" s="206"/>
      <c r="U667" s="206"/>
      <c r="V667" s="206"/>
      <c r="W667" s="206"/>
      <c r="X667" s="207"/>
      <c r="Y667" s="207"/>
      <c r="Z667" s="207"/>
      <c r="AA667" s="206"/>
      <c r="AB667" s="206"/>
      <c r="AC667" s="206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7"/>
      <c r="AR667" s="206"/>
      <c r="AS667" s="206"/>
      <c r="AT667" s="206"/>
      <c r="AU667" s="206"/>
      <c r="AV667" s="206"/>
      <c r="AW667" s="207"/>
      <c r="AX667" s="207"/>
      <c r="AY667" s="207"/>
      <c r="AZ667" s="207"/>
    </row>
    <row r="668" spans="1:52" ht="12.75" x14ac:dyDescent="0.2">
      <c r="A668" s="206"/>
      <c r="B668" s="206"/>
      <c r="C668" s="206"/>
      <c r="D668" s="206"/>
      <c r="E668" s="206"/>
      <c r="F668" s="206"/>
      <c r="G668" s="206"/>
      <c r="H668" s="206"/>
      <c r="I668" s="206"/>
      <c r="J668" s="206"/>
      <c r="K668" s="206"/>
      <c r="L668" s="206"/>
      <c r="M668" s="207"/>
      <c r="N668" s="207"/>
      <c r="O668" s="208"/>
      <c r="P668" s="208"/>
      <c r="Q668" s="208"/>
      <c r="R668" s="206"/>
      <c r="S668" s="206"/>
      <c r="T668" s="206"/>
      <c r="U668" s="206"/>
      <c r="V668" s="206"/>
      <c r="W668" s="206"/>
      <c r="X668" s="207"/>
      <c r="Y668" s="207"/>
      <c r="Z668" s="207"/>
      <c r="AA668" s="206"/>
      <c r="AB668" s="206"/>
      <c r="AC668" s="206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7"/>
      <c r="AR668" s="206"/>
      <c r="AS668" s="206"/>
      <c r="AT668" s="206"/>
      <c r="AU668" s="206"/>
      <c r="AV668" s="206"/>
      <c r="AW668" s="207"/>
      <c r="AX668" s="207"/>
      <c r="AY668" s="207"/>
      <c r="AZ668" s="207"/>
    </row>
    <row r="669" spans="1:52" ht="12.75" x14ac:dyDescent="0.2">
      <c r="A669" s="206"/>
      <c r="B669" s="206"/>
      <c r="C669" s="206"/>
      <c r="D669" s="206"/>
      <c r="E669" s="206"/>
      <c r="F669" s="206"/>
      <c r="G669" s="206"/>
      <c r="H669" s="206"/>
      <c r="I669" s="206"/>
      <c r="J669" s="206"/>
      <c r="K669" s="206"/>
      <c r="L669" s="206"/>
      <c r="M669" s="207"/>
      <c r="N669" s="207"/>
      <c r="O669" s="208"/>
      <c r="P669" s="208"/>
      <c r="Q669" s="208"/>
      <c r="R669" s="206"/>
      <c r="S669" s="206"/>
      <c r="T669" s="206"/>
      <c r="U669" s="206"/>
      <c r="V669" s="206"/>
      <c r="W669" s="206"/>
      <c r="X669" s="207"/>
      <c r="Y669" s="207"/>
      <c r="Z669" s="207"/>
      <c r="AA669" s="206"/>
      <c r="AB669" s="206"/>
      <c r="AC669" s="206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7"/>
      <c r="AR669" s="206"/>
      <c r="AS669" s="206"/>
      <c r="AT669" s="206"/>
      <c r="AU669" s="206"/>
      <c r="AV669" s="206"/>
      <c r="AW669" s="207"/>
      <c r="AX669" s="207"/>
      <c r="AY669" s="207"/>
      <c r="AZ669" s="207"/>
    </row>
    <row r="670" spans="1:52" ht="12.75" x14ac:dyDescent="0.2">
      <c r="A670" s="206"/>
      <c r="B670" s="206"/>
      <c r="C670" s="206"/>
      <c r="D670" s="206"/>
      <c r="E670" s="206"/>
      <c r="F670" s="206"/>
      <c r="G670" s="206"/>
      <c r="H670" s="206"/>
      <c r="I670" s="206"/>
      <c r="J670" s="206"/>
      <c r="K670" s="206"/>
      <c r="L670" s="206"/>
      <c r="M670" s="207"/>
      <c r="N670" s="207"/>
      <c r="O670" s="208"/>
      <c r="P670" s="208"/>
      <c r="Q670" s="208"/>
      <c r="R670" s="206"/>
      <c r="S670" s="206"/>
      <c r="T670" s="206"/>
      <c r="U670" s="206"/>
      <c r="V670" s="206"/>
      <c r="W670" s="206"/>
      <c r="X670" s="207"/>
      <c r="Y670" s="207"/>
      <c r="Z670" s="207"/>
      <c r="AA670" s="206"/>
      <c r="AB670" s="206"/>
      <c r="AC670" s="206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7"/>
      <c r="AR670" s="206"/>
      <c r="AS670" s="206"/>
      <c r="AT670" s="206"/>
      <c r="AU670" s="206"/>
      <c r="AV670" s="206"/>
      <c r="AW670" s="207"/>
      <c r="AX670" s="207"/>
      <c r="AY670" s="207"/>
      <c r="AZ670" s="207"/>
    </row>
    <row r="671" spans="1:52" ht="12.75" x14ac:dyDescent="0.2">
      <c r="A671" s="206"/>
      <c r="B671" s="206"/>
      <c r="C671" s="206"/>
      <c r="D671" s="206"/>
      <c r="E671" s="206"/>
      <c r="F671" s="206"/>
      <c r="G671" s="206"/>
      <c r="H671" s="206"/>
      <c r="I671" s="206"/>
      <c r="J671" s="206"/>
      <c r="K671" s="206"/>
      <c r="L671" s="206"/>
      <c r="M671" s="207"/>
      <c r="N671" s="207"/>
      <c r="O671" s="208"/>
      <c r="P671" s="208"/>
      <c r="Q671" s="208"/>
      <c r="R671" s="206"/>
      <c r="S671" s="206"/>
      <c r="T671" s="206"/>
      <c r="U671" s="206"/>
      <c r="V671" s="206"/>
      <c r="W671" s="206"/>
      <c r="X671" s="207"/>
      <c r="Y671" s="207"/>
      <c r="Z671" s="207"/>
      <c r="AA671" s="206"/>
      <c r="AB671" s="206"/>
      <c r="AC671" s="206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7"/>
      <c r="AR671" s="206"/>
      <c r="AS671" s="206"/>
      <c r="AT671" s="206"/>
      <c r="AU671" s="206"/>
      <c r="AV671" s="206"/>
      <c r="AW671" s="207"/>
      <c r="AX671" s="207"/>
      <c r="AY671" s="207"/>
      <c r="AZ671" s="207"/>
    </row>
    <row r="672" spans="1:52" ht="12.75" x14ac:dyDescent="0.2">
      <c r="A672" s="206"/>
      <c r="B672" s="206"/>
      <c r="C672" s="206"/>
      <c r="D672" s="206"/>
      <c r="E672" s="206"/>
      <c r="F672" s="206"/>
      <c r="G672" s="206"/>
      <c r="H672" s="206"/>
      <c r="I672" s="206"/>
      <c r="J672" s="206"/>
      <c r="K672" s="206"/>
      <c r="L672" s="206"/>
      <c r="M672" s="207"/>
      <c r="N672" s="207"/>
      <c r="O672" s="208"/>
      <c r="P672" s="208"/>
      <c r="Q672" s="208"/>
      <c r="R672" s="206"/>
      <c r="S672" s="206"/>
      <c r="T672" s="206"/>
      <c r="U672" s="206"/>
      <c r="V672" s="206"/>
      <c r="W672" s="206"/>
      <c r="X672" s="207"/>
      <c r="Y672" s="207"/>
      <c r="Z672" s="207"/>
      <c r="AA672" s="206"/>
      <c r="AB672" s="206"/>
      <c r="AC672" s="206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7"/>
      <c r="AR672" s="206"/>
      <c r="AS672" s="206"/>
      <c r="AT672" s="206"/>
      <c r="AU672" s="206"/>
      <c r="AV672" s="206"/>
      <c r="AW672" s="207"/>
      <c r="AX672" s="207"/>
      <c r="AY672" s="207"/>
      <c r="AZ672" s="207"/>
    </row>
    <row r="673" spans="1:52" ht="12.75" x14ac:dyDescent="0.2">
      <c r="A673" s="206"/>
      <c r="B673" s="206"/>
      <c r="C673" s="206"/>
      <c r="D673" s="206"/>
      <c r="E673" s="206"/>
      <c r="F673" s="206"/>
      <c r="G673" s="206"/>
      <c r="H673" s="206"/>
      <c r="I673" s="206"/>
      <c r="J673" s="206"/>
      <c r="K673" s="206"/>
      <c r="L673" s="206"/>
      <c r="M673" s="207"/>
      <c r="N673" s="207"/>
      <c r="O673" s="208"/>
      <c r="P673" s="208"/>
      <c r="Q673" s="208"/>
      <c r="R673" s="206"/>
      <c r="S673" s="206"/>
      <c r="T673" s="206"/>
      <c r="U673" s="206"/>
      <c r="V673" s="206"/>
      <c r="W673" s="206"/>
      <c r="X673" s="207"/>
      <c r="Y673" s="207"/>
      <c r="Z673" s="207"/>
      <c r="AA673" s="206"/>
      <c r="AB673" s="206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7"/>
      <c r="AR673" s="206"/>
      <c r="AS673" s="206"/>
      <c r="AT673" s="206"/>
      <c r="AU673" s="206"/>
      <c r="AV673" s="206"/>
      <c r="AW673" s="207"/>
      <c r="AX673" s="207"/>
      <c r="AY673" s="207"/>
      <c r="AZ673" s="207"/>
    </row>
    <row r="674" spans="1:52" ht="12.75" x14ac:dyDescent="0.2">
      <c r="A674" s="206"/>
      <c r="B674" s="206"/>
      <c r="C674" s="206"/>
      <c r="D674" s="206"/>
      <c r="E674" s="206"/>
      <c r="F674" s="206"/>
      <c r="G674" s="206"/>
      <c r="H674" s="206"/>
      <c r="I674" s="206"/>
      <c r="J674" s="206"/>
      <c r="K674" s="206"/>
      <c r="L674" s="206"/>
      <c r="M674" s="207"/>
      <c r="N674" s="207"/>
      <c r="O674" s="208"/>
      <c r="P674" s="208"/>
      <c r="Q674" s="208"/>
      <c r="R674" s="206"/>
      <c r="S674" s="206"/>
      <c r="T674" s="206"/>
      <c r="U674" s="206"/>
      <c r="V674" s="206"/>
      <c r="W674" s="206"/>
      <c r="X674" s="207"/>
      <c r="Y674" s="207"/>
      <c r="Z674" s="207"/>
      <c r="AA674" s="206"/>
      <c r="AB674" s="206"/>
      <c r="AC674" s="206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7"/>
      <c r="AR674" s="206"/>
      <c r="AS674" s="206"/>
      <c r="AT674" s="206"/>
      <c r="AU674" s="206"/>
      <c r="AV674" s="206"/>
      <c r="AW674" s="207"/>
      <c r="AX674" s="207"/>
      <c r="AY674" s="207"/>
      <c r="AZ674" s="207"/>
    </row>
    <row r="675" spans="1:52" ht="12.75" x14ac:dyDescent="0.2">
      <c r="A675" s="206"/>
      <c r="B675" s="206"/>
      <c r="C675" s="206"/>
      <c r="D675" s="206"/>
      <c r="E675" s="206"/>
      <c r="F675" s="206"/>
      <c r="G675" s="206"/>
      <c r="H675" s="206"/>
      <c r="I675" s="206"/>
      <c r="J675" s="206"/>
      <c r="K675" s="206"/>
      <c r="L675" s="206"/>
      <c r="M675" s="207"/>
      <c r="N675" s="207"/>
      <c r="O675" s="208"/>
      <c r="P675" s="208"/>
      <c r="Q675" s="208"/>
      <c r="R675" s="206"/>
      <c r="S675" s="206"/>
      <c r="T675" s="206"/>
      <c r="U675" s="206"/>
      <c r="V675" s="206"/>
      <c r="W675" s="206"/>
      <c r="X675" s="207"/>
      <c r="Y675" s="207"/>
      <c r="Z675" s="207"/>
      <c r="AA675" s="206"/>
      <c r="AB675" s="206"/>
      <c r="AC675" s="206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7"/>
      <c r="AR675" s="206"/>
      <c r="AS675" s="206"/>
      <c r="AT675" s="206"/>
      <c r="AU675" s="206"/>
      <c r="AV675" s="206"/>
      <c r="AW675" s="207"/>
      <c r="AX675" s="207"/>
      <c r="AY675" s="207"/>
      <c r="AZ675" s="207"/>
    </row>
    <row r="676" spans="1:52" ht="12.75" x14ac:dyDescent="0.2">
      <c r="A676" s="206"/>
      <c r="B676" s="206"/>
      <c r="C676" s="206"/>
      <c r="D676" s="206"/>
      <c r="E676" s="206"/>
      <c r="F676" s="206"/>
      <c r="G676" s="206"/>
      <c r="H676" s="206"/>
      <c r="I676" s="206"/>
      <c r="J676" s="206"/>
      <c r="K676" s="206"/>
      <c r="L676" s="206"/>
      <c r="M676" s="207"/>
      <c r="N676" s="207"/>
      <c r="O676" s="208"/>
      <c r="P676" s="208"/>
      <c r="Q676" s="208"/>
      <c r="R676" s="206"/>
      <c r="S676" s="206"/>
      <c r="T676" s="206"/>
      <c r="U676" s="206"/>
      <c r="V676" s="206"/>
      <c r="W676" s="206"/>
      <c r="X676" s="207"/>
      <c r="Y676" s="207"/>
      <c r="Z676" s="207"/>
      <c r="AA676" s="206"/>
      <c r="AB676" s="206"/>
      <c r="AC676" s="206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7"/>
      <c r="AR676" s="206"/>
      <c r="AS676" s="206"/>
      <c r="AT676" s="206"/>
      <c r="AU676" s="206"/>
      <c r="AV676" s="206"/>
      <c r="AW676" s="207"/>
      <c r="AX676" s="207"/>
      <c r="AY676" s="207"/>
      <c r="AZ676" s="207"/>
    </row>
    <row r="677" spans="1:52" ht="12.75" x14ac:dyDescent="0.2">
      <c r="A677" s="206"/>
      <c r="B677" s="206"/>
      <c r="C677" s="206"/>
      <c r="D677" s="206"/>
      <c r="E677" s="206"/>
      <c r="F677" s="206"/>
      <c r="G677" s="206"/>
      <c r="H677" s="206"/>
      <c r="I677" s="206"/>
      <c r="J677" s="206"/>
      <c r="K677" s="206"/>
      <c r="L677" s="206"/>
      <c r="M677" s="207"/>
      <c r="N677" s="207"/>
      <c r="O677" s="208"/>
      <c r="P677" s="208"/>
      <c r="Q677" s="208"/>
      <c r="R677" s="206"/>
      <c r="S677" s="206"/>
      <c r="T677" s="206"/>
      <c r="U677" s="206"/>
      <c r="V677" s="206"/>
      <c r="W677" s="206"/>
      <c r="X677" s="207"/>
      <c r="Y677" s="207"/>
      <c r="Z677" s="207"/>
      <c r="AA677" s="206"/>
      <c r="AB677" s="206"/>
      <c r="AC677" s="206"/>
      <c r="AD677" s="206"/>
      <c r="AE677" s="206"/>
      <c r="AF677" s="206"/>
      <c r="AG677" s="206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7"/>
      <c r="AR677" s="206"/>
      <c r="AS677" s="206"/>
      <c r="AT677" s="206"/>
      <c r="AU677" s="206"/>
      <c r="AV677" s="206"/>
      <c r="AW677" s="207"/>
      <c r="AX677" s="207"/>
      <c r="AY677" s="207"/>
      <c r="AZ677" s="207"/>
    </row>
    <row r="678" spans="1:52" ht="12.75" x14ac:dyDescent="0.2">
      <c r="A678" s="206"/>
      <c r="B678" s="206"/>
      <c r="C678" s="206"/>
      <c r="D678" s="206"/>
      <c r="E678" s="206"/>
      <c r="F678" s="206"/>
      <c r="G678" s="206"/>
      <c r="H678" s="206"/>
      <c r="I678" s="206"/>
      <c r="J678" s="206"/>
      <c r="K678" s="206"/>
      <c r="L678" s="206"/>
      <c r="M678" s="207"/>
      <c r="N678" s="207"/>
      <c r="O678" s="208"/>
      <c r="P678" s="208"/>
      <c r="Q678" s="208"/>
      <c r="R678" s="206"/>
      <c r="S678" s="206"/>
      <c r="T678" s="206"/>
      <c r="U678" s="206"/>
      <c r="V678" s="206"/>
      <c r="W678" s="206"/>
      <c r="X678" s="207"/>
      <c r="Y678" s="207"/>
      <c r="Z678" s="207"/>
      <c r="AA678" s="206"/>
      <c r="AB678" s="206"/>
      <c r="AC678" s="206"/>
      <c r="AD678" s="206"/>
      <c r="AE678" s="206"/>
      <c r="AF678" s="206"/>
      <c r="AG678" s="206"/>
      <c r="AH678" s="206"/>
      <c r="AI678" s="206"/>
      <c r="AJ678" s="206"/>
      <c r="AK678" s="206"/>
      <c r="AL678" s="206"/>
      <c r="AM678" s="206"/>
      <c r="AN678" s="206"/>
      <c r="AO678" s="206"/>
      <c r="AP678" s="206"/>
      <c r="AQ678" s="207"/>
      <c r="AR678" s="206"/>
      <c r="AS678" s="206"/>
      <c r="AT678" s="206"/>
      <c r="AU678" s="206"/>
      <c r="AV678" s="206"/>
      <c r="AW678" s="207"/>
      <c r="AX678" s="207"/>
      <c r="AY678" s="207"/>
      <c r="AZ678" s="207"/>
    </row>
    <row r="679" spans="1:52" ht="12.75" x14ac:dyDescent="0.2">
      <c r="A679" s="206"/>
      <c r="B679" s="206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7"/>
      <c r="N679" s="207"/>
      <c r="O679" s="208"/>
      <c r="P679" s="208"/>
      <c r="Q679" s="208"/>
      <c r="R679" s="206"/>
      <c r="S679" s="206"/>
      <c r="T679" s="206"/>
      <c r="U679" s="206"/>
      <c r="V679" s="206"/>
      <c r="W679" s="206"/>
      <c r="X679" s="207"/>
      <c r="Y679" s="207"/>
      <c r="Z679" s="207"/>
      <c r="AA679" s="206"/>
      <c r="AB679" s="206"/>
      <c r="AC679" s="206"/>
      <c r="AD679" s="206"/>
      <c r="AE679" s="206"/>
      <c r="AF679" s="206"/>
      <c r="AG679" s="206"/>
      <c r="AH679" s="206"/>
      <c r="AI679" s="206"/>
      <c r="AJ679" s="206"/>
      <c r="AK679" s="206"/>
      <c r="AL679" s="206"/>
      <c r="AM679" s="206"/>
      <c r="AN679" s="206"/>
      <c r="AO679" s="206"/>
      <c r="AP679" s="206"/>
      <c r="AQ679" s="207"/>
      <c r="AR679" s="206"/>
      <c r="AS679" s="206"/>
      <c r="AT679" s="206"/>
      <c r="AU679" s="206"/>
      <c r="AV679" s="206"/>
      <c r="AW679" s="207"/>
      <c r="AX679" s="207"/>
      <c r="AY679" s="207"/>
      <c r="AZ679" s="207"/>
    </row>
    <row r="680" spans="1:52" ht="12.75" x14ac:dyDescent="0.2">
      <c r="A680" s="206"/>
      <c r="B680" s="206"/>
      <c r="C680" s="206"/>
      <c r="D680" s="206"/>
      <c r="E680" s="206"/>
      <c r="F680" s="206"/>
      <c r="G680" s="206"/>
      <c r="H680" s="206"/>
      <c r="I680" s="206"/>
      <c r="J680" s="206"/>
      <c r="K680" s="206"/>
      <c r="L680" s="206"/>
      <c r="M680" s="207"/>
      <c r="N680" s="207"/>
      <c r="O680" s="208"/>
      <c r="P680" s="208"/>
      <c r="Q680" s="208"/>
      <c r="R680" s="206"/>
      <c r="S680" s="206"/>
      <c r="T680" s="206"/>
      <c r="U680" s="206"/>
      <c r="V680" s="206"/>
      <c r="W680" s="206"/>
      <c r="X680" s="207"/>
      <c r="Y680" s="207"/>
      <c r="Z680" s="207"/>
      <c r="AA680" s="206"/>
      <c r="AB680" s="206"/>
      <c r="AC680" s="206"/>
      <c r="AD680" s="206"/>
      <c r="AE680" s="206"/>
      <c r="AF680" s="206"/>
      <c r="AG680" s="206"/>
      <c r="AH680" s="206"/>
      <c r="AI680" s="206"/>
      <c r="AJ680" s="206"/>
      <c r="AK680" s="206"/>
      <c r="AL680" s="206"/>
      <c r="AM680" s="206"/>
      <c r="AN680" s="206"/>
      <c r="AO680" s="206"/>
      <c r="AP680" s="206"/>
      <c r="AQ680" s="207"/>
      <c r="AR680" s="206"/>
      <c r="AS680" s="206"/>
      <c r="AT680" s="206"/>
      <c r="AU680" s="206"/>
      <c r="AV680" s="206"/>
      <c r="AW680" s="207"/>
      <c r="AX680" s="207"/>
      <c r="AY680" s="207"/>
      <c r="AZ680" s="207"/>
    </row>
    <row r="681" spans="1:52" ht="12.75" x14ac:dyDescent="0.2">
      <c r="A681" s="206"/>
      <c r="B681" s="206"/>
      <c r="C681" s="206"/>
      <c r="D681" s="206"/>
      <c r="E681" s="206"/>
      <c r="F681" s="206"/>
      <c r="G681" s="206"/>
      <c r="H681" s="206"/>
      <c r="I681" s="206"/>
      <c r="J681" s="206"/>
      <c r="K681" s="206"/>
      <c r="L681" s="206"/>
      <c r="M681" s="207"/>
      <c r="N681" s="207"/>
      <c r="O681" s="208"/>
      <c r="P681" s="208"/>
      <c r="Q681" s="208"/>
      <c r="R681" s="206"/>
      <c r="S681" s="206"/>
      <c r="T681" s="206"/>
      <c r="U681" s="206"/>
      <c r="V681" s="206"/>
      <c r="W681" s="206"/>
      <c r="X681" s="207"/>
      <c r="Y681" s="207"/>
      <c r="Z681" s="207"/>
      <c r="AA681" s="206"/>
      <c r="AB681" s="206"/>
      <c r="AC681" s="206"/>
      <c r="AD681" s="206"/>
      <c r="AE681" s="206"/>
      <c r="AF681" s="206"/>
      <c r="AG681" s="206"/>
      <c r="AH681" s="206"/>
      <c r="AI681" s="206"/>
      <c r="AJ681" s="206"/>
      <c r="AK681" s="206"/>
      <c r="AL681" s="206"/>
      <c r="AM681" s="206"/>
      <c r="AN681" s="206"/>
      <c r="AO681" s="206"/>
      <c r="AP681" s="206"/>
      <c r="AQ681" s="207"/>
      <c r="AR681" s="206"/>
      <c r="AS681" s="206"/>
      <c r="AT681" s="206"/>
      <c r="AU681" s="206"/>
      <c r="AV681" s="206"/>
      <c r="AW681" s="207"/>
      <c r="AX681" s="207"/>
      <c r="AY681" s="207"/>
      <c r="AZ681" s="207"/>
    </row>
    <row r="682" spans="1:52" ht="12.75" x14ac:dyDescent="0.2">
      <c r="A682" s="206"/>
      <c r="B682" s="206"/>
      <c r="C682" s="206"/>
      <c r="D682" s="206"/>
      <c r="E682" s="206"/>
      <c r="F682" s="206"/>
      <c r="G682" s="206"/>
      <c r="H682" s="206"/>
      <c r="I682" s="206"/>
      <c r="J682" s="206"/>
      <c r="K682" s="206"/>
      <c r="L682" s="206"/>
      <c r="M682" s="207"/>
      <c r="N682" s="207"/>
      <c r="O682" s="208"/>
      <c r="P682" s="208"/>
      <c r="Q682" s="208"/>
      <c r="R682" s="206"/>
      <c r="S682" s="206"/>
      <c r="T682" s="206"/>
      <c r="U682" s="206"/>
      <c r="V682" s="206"/>
      <c r="W682" s="206"/>
      <c r="X682" s="207"/>
      <c r="Y682" s="207"/>
      <c r="Z682" s="207"/>
      <c r="AA682" s="206"/>
      <c r="AB682" s="206"/>
      <c r="AC682" s="206"/>
      <c r="AD682" s="206"/>
      <c r="AE682" s="206"/>
      <c r="AF682" s="206"/>
      <c r="AG682" s="206"/>
      <c r="AH682" s="206"/>
      <c r="AI682" s="206"/>
      <c r="AJ682" s="206"/>
      <c r="AK682" s="206"/>
      <c r="AL682" s="206"/>
      <c r="AM682" s="206"/>
      <c r="AN682" s="206"/>
      <c r="AO682" s="206"/>
      <c r="AP682" s="206"/>
      <c r="AQ682" s="207"/>
      <c r="AR682" s="206"/>
      <c r="AS682" s="206"/>
      <c r="AT682" s="206"/>
      <c r="AU682" s="206"/>
      <c r="AV682" s="206"/>
      <c r="AW682" s="207"/>
      <c r="AX682" s="207"/>
      <c r="AY682" s="207"/>
      <c r="AZ682" s="207"/>
    </row>
    <row r="683" spans="1:52" ht="12.75" x14ac:dyDescent="0.2">
      <c r="A683" s="206"/>
      <c r="B683" s="206"/>
      <c r="C683" s="206"/>
      <c r="D683" s="206"/>
      <c r="E683" s="206"/>
      <c r="F683" s="206"/>
      <c r="G683" s="206"/>
      <c r="H683" s="206"/>
      <c r="I683" s="206"/>
      <c r="J683" s="206"/>
      <c r="K683" s="206"/>
      <c r="L683" s="206"/>
      <c r="M683" s="207"/>
      <c r="N683" s="207"/>
      <c r="O683" s="208"/>
      <c r="P683" s="208"/>
      <c r="Q683" s="208"/>
      <c r="R683" s="206"/>
      <c r="S683" s="206"/>
      <c r="T683" s="206"/>
      <c r="U683" s="206"/>
      <c r="V683" s="206"/>
      <c r="W683" s="206"/>
      <c r="X683" s="207"/>
      <c r="Y683" s="207"/>
      <c r="Z683" s="207"/>
      <c r="AA683" s="206"/>
      <c r="AB683" s="206"/>
      <c r="AC683" s="206"/>
      <c r="AD683" s="206"/>
      <c r="AE683" s="206"/>
      <c r="AF683" s="206"/>
      <c r="AG683" s="206"/>
      <c r="AH683" s="206"/>
      <c r="AI683" s="206"/>
      <c r="AJ683" s="206"/>
      <c r="AK683" s="206"/>
      <c r="AL683" s="206"/>
      <c r="AM683" s="206"/>
      <c r="AN683" s="206"/>
      <c r="AO683" s="206"/>
      <c r="AP683" s="206"/>
      <c r="AQ683" s="207"/>
      <c r="AR683" s="206"/>
      <c r="AS683" s="206"/>
      <c r="AT683" s="206"/>
      <c r="AU683" s="206"/>
      <c r="AV683" s="206"/>
      <c r="AW683" s="207"/>
      <c r="AX683" s="207"/>
      <c r="AY683" s="207"/>
      <c r="AZ683" s="207"/>
    </row>
    <row r="684" spans="1:52" ht="12.75" x14ac:dyDescent="0.2">
      <c r="A684" s="206"/>
      <c r="B684" s="206"/>
      <c r="C684" s="206"/>
      <c r="D684" s="206"/>
      <c r="E684" s="206"/>
      <c r="F684" s="206"/>
      <c r="G684" s="206"/>
      <c r="H684" s="206"/>
      <c r="I684" s="206"/>
      <c r="J684" s="206"/>
      <c r="K684" s="206"/>
      <c r="L684" s="206"/>
      <c r="M684" s="207"/>
      <c r="N684" s="207"/>
      <c r="O684" s="208"/>
      <c r="P684" s="208"/>
      <c r="Q684" s="208"/>
      <c r="R684" s="206"/>
      <c r="S684" s="206"/>
      <c r="T684" s="206"/>
      <c r="U684" s="206"/>
      <c r="V684" s="206"/>
      <c r="W684" s="206"/>
      <c r="X684" s="207"/>
      <c r="Y684" s="207"/>
      <c r="Z684" s="207"/>
      <c r="AA684" s="206"/>
      <c r="AB684" s="206"/>
      <c r="AC684" s="206"/>
      <c r="AD684" s="206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7"/>
      <c r="AR684" s="206"/>
      <c r="AS684" s="206"/>
      <c r="AT684" s="206"/>
      <c r="AU684" s="206"/>
      <c r="AV684" s="206"/>
      <c r="AW684" s="207"/>
      <c r="AX684" s="207"/>
      <c r="AY684" s="207"/>
      <c r="AZ684" s="207"/>
    </row>
    <row r="685" spans="1:52" ht="12.75" x14ac:dyDescent="0.2">
      <c r="A685" s="206"/>
      <c r="B685" s="206"/>
      <c r="C685" s="206"/>
      <c r="D685" s="206"/>
      <c r="E685" s="206"/>
      <c r="F685" s="206"/>
      <c r="G685" s="206"/>
      <c r="H685" s="206"/>
      <c r="I685" s="206"/>
      <c r="J685" s="206"/>
      <c r="K685" s="206"/>
      <c r="L685" s="206"/>
      <c r="M685" s="207"/>
      <c r="N685" s="207"/>
      <c r="O685" s="208"/>
      <c r="P685" s="208"/>
      <c r="Q685" s="208"/>
      <c r="R685" s="206"/>
      <c r="S685" s="206"/>
      <c r="T685" s="206"/>
      <c r="U685" s="206"/>
      <c r="V685" s="206"/>
      <c r="W685" s="206"/>
      <c r="X685" s="207"/>
      <c r="Y685" s="207"/>
      <c r="Z685" s="207"/>
      <c r="AA685" s="206"/>
      <c r="AB685" s="206"/>
      <c r="AC685" s="206"/>
      <c r="AD685" s="206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7"/>
      <c r="AR685" s="206"/>
      <c r="AS685" s="206"/>
      <c r="AT685" s="206"/>
      <c r="AU685" s="206"/>
      <c r="AV685" s="206"/>
      <c r="AW685" s="207"/>
      <c r="AX685" s="207"/>
      <c r="AY685" s="207"/>
      <c r="AZ685" s="207"/>
    </row>
    <row r="686" spans="1:52" ht="12.75" x14ac:dyDescent="0.2">
      <c r="A686" s="206"/>
      <c r="B686" s="206"/>
      <c r="C686" s="206"/>
      <c r="D686" s="206"/>
      <c r="E686" s="206"/>
      <c r="F686" s="206"/>
      <c r="G686" s="206"/>
      <c r="H686" s="206"/>
      <c r="I686" s="206"/>
      <c r="J686" s="206"/>
      <c r="K686" s="206"/>
      <c r="L686" s="206"/>
      <c r="M686" s="207"/>
      <c r="N686" s="207"/>
      <c r="O686" s="208"/>
      <c r="P686" s="208"/>
      <c r="Q686" s="208"/>
      <c r="R686" s="206"/>
      <c r="S686" s="206"/>
      <c r="T686" s="206"/>
      <c r="U686" s="206"/>
      <c r="V686" s="206"/>
      <c r="W686" s="206"/>
      <c r="X686" s="207"/>
      <c r="Y686" s="207"/>
      <c r="Z686" s="207"/>
      <c r="AA686" s="206"/>
      <c r="AB686" s="206"/>
      <c r="AC686" s="206"/>
      <c r="AD686" s="206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7"/>
      <c r="AR686" s="206"/>
      <c r="AS686" s="206"/>
      <c r="AT686" s="206"/>
      <c r="AU686" s="206"/>
      <c r="AV686" s="206"/>
      <c r="AW686" s="207"/>
      <c r="AX686" s="207"/>
      <c r="AY686" s="207"/>
      <c r="AZ686" s="207"/>
    </row>
    <row r="687" spans="1:52" ht="12.75" x14ac:dyDescent="0.2">
      <c r="A687" s="206"/>
      <c r="B687" s="206"/>
      <c r="C687" s="206"/>
      <c r="D687" s="206"/>
      <c r="E687" s="206"/>
      <c r="F687" s="206"/>
      <c r="G687" s="206"/>
      <c r="H687" s="206"/>
      <c r="I687" s="206"/>
      <c r="J687" s="206"/>
      <c r="K687" s="206"/>
      <c r="L687" s="206"/>
      <c r="M687" s="207"/>
      <c r="N687" s="207"/>
      <c r="O687" s="208"/>
      <c r="P687" s="208"/>
      <c r="Q687" s="208"/>
      <c r="R687" s="206"/>
      <c r="S687" s="206"/>
      <c r="T687" s="206"/>
      <c r="U687" s="206"/>
      <c r="V687" s="206"/>
      <c r="W687" s="206"/>
      <c r="X687" s="207"/>
      <c r="Y687" s="207"/>
      <c r="Z687" s="207"/>
      <c r="AA687" s="206"/>
      <c r="AB687" s="206"/>
      <c r="AC687" s="206"/>
      <c r="AD687" s="206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7"/>
      <c r="AR687" s="206"/>
      <c r="AS687" s="206"/>
      <c r="AT687" s="206"/>
      <c r="AU687" s="206"/>
      <c r="AV687" s="206"/>
      <c r="AW687" s="207"/>
      <c r="AX687" s="207"/>
      <c r="AY687" s="207"/>
      <c r="AZ687" s="207"/>
    </row>
    <row r="688" spans="1:52" ht="12.75" x14ac:dyDescent="0.2">
      <c r="A688" s="206"/>
      <c r="B688" s="206"/>
      <c r="C688" s="206"/>
      <c r="D688" s="206"/>
      <c r="E688" s="206"/>
      <c r="F688" s="206"/>
      <c r="G688" s="206"/>
      <c r="H688" s="206"/>
      <c r="I688" s="206"/>
      <c r="J688" s="206"/>
      <c r="K688" s="206"/>
      <c r="L688" s="206"/>
      <c r="M688" s="207"/>
      <c r="N688" s="207"/>
      <c r="O688" s="208"/>
      <c r="P688" s="208"/>
      <c r="Q688" s="208"/>
      <c r="R688" s="206"/>
      <c r="S688" s="206"/>
      <c r="T688" s="206"/>
      <c r="U688" s="206"/>
      <c r="V688" s="206"/>
      <c r="W688" s="206"/>
      <c r="X688" s="207"/>
      <c r="Y688" s="207"/>
      <c r="Z688" s="207"/>
      <c r="AA688" s="206"/>
      <c r="AB688" s="206"/>
      <c r="AC688" s="206"/>
      <c r="AD688" s="206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7"/>
      <c r="AR688" s="206"/>
      <c r="AS688" s="206"/>
      <c r="AT688" s="206"/>
      <c r="AU688" s="206"/>
      <c r="AV688" s="206"/>
      <c r="AW688" s="207"/>
      <c r="AX688" s="207"/>
      <c r="AY688" s="207"/>
      <c r="AZ688" s="207"/>
    </row>
    <row r="689" spans="1:52" ht="12.75" x14ac:dyDescent="0.2">
      <c r="A689" s="206"/>
      <c r="B689" s="206"/>
      <c r="C689" s="206"/>
      <c r="D689" s="206"/>
      <c r="E689" s="206"/>
      <c r="F689" s="206"/>
      <c r="G689" s="206"/>
      <c r="H689" s="206"/>
      <c r="I689" s="206"/>
      <c r="J689" s="206"/>
      <c r="K689" s="206"/>
      <c r="L689" s="206"/>
      <c r="M689" s="207"/>
      <c r="N689" s="207"/>
      <c r="O689" s="208"/>
      <c r="P689" s="208"/>
      <c r="Q689" s="208"/>
      <c r="R689" s="206"/>
      <c r="S689" s="206"/>
      <c r="T689" s="206"/>
      <c r="U689" s="206"/>
      <c r="V689" s="206"/>
      <c r="W689" s="206"/>
      <c r="X689" s="207"/>
      <c r="Y689" s="207"/>
      <c r="Z689" s="207"/>
      <c r="AA689" s="206"/>
      <c r="AB689" s="206"/>
      <c r="AC689" s="206"/>
      <c r="AD689" s="206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7"/>
      <c r="AR689" s="206"/>
      <c r="AS689" s="206"/>
      <c r="AT689" s="206"/>
      <c r="AU689" s="206"/>
      <c r="AV689" s="206"/>
      <c r="AW689" s="207"/>
      <c r="AX689" s="207"/>
      <c r="AY689" s="207"/>
      <c r="AZ689" s="207"/>
    </row>
    <row r="690" spans="1:52" ht="12.75" x14ac:dyDescent="0.2">
      <c r="A690" s="206"/>
      <c r="B690" s="206"/>
      <c r="C690" s="206"/>
      <c r="D690" s="206"/>
      <c r="E690" s="206"/>
      <c r="F690" s="206"/>
      <c r="G690" s="206"/>
      <c r="H690" s="206"/>
      <c r="I690" s="206"/>
      <c r="J690" s="206"/>
      <c r="K690" s="206"/>
      <c r="L690" s="206"/>
      <c r="M690" s="207"/>
      <c r="N690" s="207"/>
      <c r="O690" s="208"/>
      <c r="P690" s="208"/>
      <c r="Q690" s="208"/>
      <c r="R690" s="206"/>
      <c r="S690" s="206"/>
      <c r="T690" s="206"/>
      <c r="U690" s="206"/>
      <c r="V690" s="206"/>
      <c r="W690" s="206"/>
      <c r="X690" s="207"/>
      <c r="Y690" s="207"/>
      <c r="Z690" s="207"/>
      <c r="AA690" s="206"/>
      <c r="AB690" s="206"/>
      <c r="AC690" s="206"/>
      <c r="AD690" s="206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7"/>
      <c r="AR690" s="206"/>
      <c r="AS690" s="206"/>
      <c r="AT690" s="206"/>
      <c r="AU690" s="206"/>
      <c r="AV690" s="206"/>
      <c r="AW690" s="207"/>
      <c r="AX690" s="207"/>
      <c r="AY690" s="207"/>
      <c r="AZ690" s="207"/>
    </row>
    <row r="691" spans="1:52" ht="12.75" x14ac:dyDescent="0.2">
      <c r="A691" s="206"/>
      <c r="B691" s="206"/>
      <c r="C691" s="206"/>
      <c r="D691" s="206"/>
      <c r="E691" s="206"/>
      <c r="F691" s="206"/>
      <c r="G691" s="206"/>
      <c r="H691" s="206"/>
      <c r="I691" s="206"/>
      <c r="J691" s="206"/>
      <c r="K691" s="206"/>
      <c r="L691" s="206"/>
      <c r="M691" s="207"/>
      <c r="N691" s="207"/>
      <c r="O691" s="208"/>
      <c r="P691" s="208"/>
      <c r="Q691" s="208"/>
      <c r="R691" s="206"/>
      <c r="S691" s="206"/>
      <c r="T691" s="206"/>
      <c r="U691" s="206"/>
      <c r="V691" s="206"/>
      <c r="W691" s="206"/>
      <c r="X691" s="207"/>
      <c r="Y691" s="207"/>
      <c r="Z691" s="207"/>
      <c r="AA691" s="206"/>
      <c r="AB691" s="206"/>
      <c r="AC691" s="206"/>
      <c r="AD691" s="206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7"/>
      <c r="AR691" s="206"/>
      <c r="AS691" s="206"/>
      <c r="AT691" s="206"/>
      <c r="AU691" s="206"/>
      <c r="AV691" s="206"/>
      <c r="AW691" s="207"/>
      <c r="AX691" s="207"/>
      <c r="AY691" s="207"/>
      <c r="AZ691" s="207"/>
    </row>
    <row r="692" spans="1:52" ht="12.75" x14ac:dyDescent="0.2">
      <c r="A692" s="206"/>
      <c r="B692" s="206"/>
      <c r="C692" s="206"/>
      <c r="D692" s="206"/>
      <c r="E692" s="206"/>
      <c r="F692" s="206"/>
      <c r="G692" s="206"/>
      <c r="H692" s="206"/>
      <c r="I692" s="206"/>
      <c r="J692" s="206"/>
      <c r="K692" s="206"/>
      <c r="L692" s="206"/>
      <c r="M692" s="207"/>
      <c r="N692" s="207"/>
      <c r="O692" s="208"/>
      <c r="P692" s="208"/>
      <c r="Q692" s="208"/>
      <c r="R692" s="206"/>
      <c r="S692" s="206"/>
      <c r="T692" s="206"/>
      <c r="U692" s="206"/>
      <c r="V692" s="206"/>
      <c r="W692" s="206"/>
      <c r="X692" s="207"/>
      <c r="Y692" s="207"/>
      <c r="Z692" s="207"/>
      <c r="AA692" s="206"/>
      <c r="AB692" s="206"/>
      <c r="AC692" s="206"/>
      <c r="AD692" s="206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7"/>
      <c r="AR692" s="206"/>
      <c r="AS692" s="206"/>
      <c r="AT692" s="206"/>
      <c r="AU692" s="206"/>
      <c r="AV692" s="206"/>
      <c r="AW692" s="207"/>
      <c r="AX692" s="207"/>
      <c r="AY692" s="207"/>
      <c r="AZ692" s="207"/>
    </row>
    <row r="693" spans="1:52" ht="12.75" x14ac:dyDescent="0.2">
      <c r="A693" s="206"/>
      <c r="B693" s="206"/>
      <c r="C693" s="206"/>
      <c r="D693" s="206"/>
      <c r="E693" s="206"/>
      <c r="F693" s="206"/>
      <c r="G693" s="206"/>
      <c r="H693" s="206"/>
      <c r="I693" s="206"/>
      <c r="J693" s="206"/>
      <c r="K693" s="206"/>
      <c r="L693" s="206"/>
      <c r="M693" s="207"/>
      <c r="N693" s="207"/>
      <c r="O693" s="208"/>
      <c r="P693" s="208"/>
      <c r="Q693" s="208"/>
      <c r="R693" s="206"/>
      <c r="S693" s="206"/>
      <c r="T693" s="206"/>
      <c r="U693" s="206"/>
      <c r="V693" s="206"/>
      <c r="W693" s="206"/>
      <c r="X693" s="207"/>
      <c r="Y693" s="207"/>
      <c r="Z693" s="207"/>
      <c r="AA693" s="206"/>
      <c r="AB693" s="206"/>
      <c r="AC693" s="206"/>
      <c r="AD693" s="206"/>
      <c r="AE693" s="206"/>
      <c r="AF693" s="206"/>
      <c r="AG693" s="206"/>
      <c r="AH693" s="206"/>
      <c r="AI693" s="206"/>
      <c r="AJ693" s="206"/>
      <c r="AK693" s="206"/>
      <c r="AL693" s="206"/>
      <c r="AM693" s="206"/>
      <c r="AN693" s="206"/>
      <c r="AO693" s="206"/>
      <c r="AP693" s="206"/>
      <c r="AQ693" s="207"/>
      <c r="AR693" s="206"/>
      <c r="AS693" s="206"/>
      <c r="AT693" s="206"/>
      <c r="AU693" s="206"/>
      <c r="AV693" s="206"/>
      <c r="AW693" s="207"/>
      <c r="AX693" s="207"/>
      <c r="AY693" s="207"/>
      <c r="AZ693" s="207"/>
    </row>
    <row r="694" spans="1:52" ht="12.75" x14ac:dyDescent="0.2">
      <c r="A694" s="206"/>
      <c r="B694" s="206"/>
      <c r="C694" s="206"/>
      <c r="D694" s="206"/>
      <c r="E694" s="206"/>
      <c r="F694" s="206"/>
      <c r="G694" s="206"/>
      <c r="H694" s="206"/>
      <c r="I694" s="206"/>
      <c r="J694" s="206"/>
      <c r="K694" s="206"/>
      <c r="L694" s="206"/>
      <c r="M694" s="207"/>
      <c r="N694" s="207"/>
      <c r="O694" s="208"/>
      <c r="P694" s="208"/>
      <c r="Q694" s="208"/>
      <c r="R694" s="206"/>
      <c r="S694" s="206"/>
      <c r="T694" s="206"/>
      <c r="U694" s="206"/>
      <c r="V694" s="206"/>
      <c r="W694" s="206"/>
      <c r="X694" s="207"/>
      <c r="Y694" s="207"/>
      <c r="Z694" s="207"/>
      <c r="AA694" s="206"/>
      <c r="AB694" s="206"/>
      <c r="AC694" s="206"/>
      <c r="AD694" s="206"/>
      <c r="AE694" s="206"/>
      <c r="AF694" s="206"/>
      <c r="AG694" s="206"/>
      <c r="AH694" s="206"/>
      <c r="AI694" s="206"/>
      <c r="AJ694" s="206"/>
      <c r="AK694" s="206"/>
      <c r="AL694" s="206"/>
      <c r="AM694" s="206"/>
      <c r="AN694" s="206"/>
      <c r="AO694" s="206"/>
      <c r="AP694" s="206"/>
      <c r="AQ694" s="207"/>
      <c r="AR694" s="206"/>
      <c r="AS694" s="206"/>
      <c r="AT694" s="206"/>
      <c r="AU694" s="206"/>
      <c r="AV694" s="206"/>
      <c r="AW694" s="207"/>
      <c r="AX694" s="207"/>
      <c r="AY694" s="207"/>
      <c r="AZ694" s="207"/>
    </row>
    <row r="695" spans="1:52" ht="12.75" x14ac:dyDescent="0.2">
      <c r="A695" s="206"/>
      <c r="B695" s="206"/>
      <c r="C695" s="206"/>
      <c r="D695" s="206"/>
      <c r="E695" s="206"/>
      <c r="F695" s="206"/>
      <c r="G695" s="206"/>
      <c r="H695" s="206"/>
      <c r="I695" s="206"/>
      <c r="J695" s="206"/>
      <c r="K695" s="206"/>
      <c r="L695" s="206"/>
      <c r="M695" s="207"/>
      <c r="N695" s="207"/>
      <c r="O695" s="208"/>
      <c r="P695" s="208"/>
      <c r="Q695" s="208"/>
      <c r="R695" s="206"/>
      <c r="S695" s="206"/>
      <c r="T695" s="206"/>
      <c r="U695" s="206"/>
      <c r="V695" s="206"/>
      <c r="W695" s="206"/>
      <c r="X695" s="207"/>
      <c r="Y695" s="207"/>
      <c r="Z695" s="207"/>
      <c r="AA695" s="206"/>
      <c r="AB695" s="206"/>
      <c r="AC695" s="206"/>
      <c r="AD695" s="206"/>
      <c r="AE695" s="206"/>
      <c r="AF695" s="206"/>
      <c r="AG695" s="206"/>
      <c r="AH695" s="206"/>
      <c r="AI695" s="206"/>
      <c r="AJ695" s="206"/>
      <c r="AK695" s="206"/>
      <c r="AL695" s="206"/>
      <c r="AM695" s="206"/>
      <c r="AN695" s="206"/>
      <c r="AO695" s="206"/>
      <c r="AP695" s="206"/>
      <c r="AQ695" s="207"/>
      <c r="AR695" s="206"/>
      <c r="AS695" s="206"/>
      <c r="AT695" s="206"/>
      <c r="AU695" s="206"/>
      <c r="AV695" s="206"/>
      <c r="AW695" s="207"/>
      <c r="AX695" s="207"/>
      <c r="AY695" s="207"/>
      <c r="AZ695" s="207"/>
    </row>
    <row r="696" spans="1:52" ht="12.75" x14ac:dyDescent="0.2">
      <c r="A696" s="206"/>
      <c r="B696" s="206"/>
      <c r="C696" s="206"/>
      <c r="D696" s="206"/>
      <c r="E696" s="206"/>
      <c r="F696" s="206"/>
      <c r="G696" s="206"/>
      <c r="H696" s="206"/>
      <c r="I696" s="206"/>
      <c r="J696" s="206"/>
      <c r="K696" s="206"/>
      <c r="L696" s="206"/>
      <c r="M696" s="207"/>
      <c r="N696" s="207"/>
      <c r="O696" s="208"/>
      <c r="P696" s="208"/>
      <c r="Q696" s="208"/>
      <c r="R696" s="206"/>
      <c r="S696" s="206"/>
      <c r="T696" s="206"/>
      <c r="U696" s="206"/>
      <c r="V696" s="206"/>
      <c r="W696" s="206"/>
      <c r="X696" s="207"/>
      <c r="Y696" s="207"/>
      <c r="Z696" s="207"/>
      <c r="AA696" s="206"/>
      <c r="AB696" s="206"/>
      <c r="AC696" s="206"/>
      <c r="AD696" s="206"/>
      <c r="AE696" s="206"/>
      <c r="AF696" s="206"/>
      <c r="AG696" s="206"/>
      <c r="AH696" s="206"/>
      <c r="AI696" s="206"/>
      <c r="AJ696" s="206"/>
      <c r="AK696" s="206"/>
      <c r="AL696" s="206"/>
      <c r="AM696" s="206"/>
      <c r="AN696" s="206"/>
      <c r="AO696" s="206"/>
      <c r="AP696" s="206"/>
      <c r="AQ696" s="207"/>
      <c r="AR696" s="206"/>
      <c r="AS696" s="206"/>
      <c r="AT696" s="206"/>
      <c r="AU696" s="206"/>
      <c r="AV696" s="206"/>
      <c r="AW696" s="207"/>
      <c r="AX696" s="207"/>
      <c r="AY696" s="207"/>
      <c r="AZ696" s="207"/>
    </row>
    <row r="697" spans="1:52" ht="12.75" x14ac:dyDescent="0.2">
      <c r="A697" s="206"/>
      <c r="B697" s="206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07"/>
      <c r="N697" s="207"/>
      <c r="O697" s="208"/>
      <c r="P697" s="208"/>
      <c r="Q697" s="208"/>
      <c r="R697" s="206"/>
      <c r="S697" s="206"/>
      <c r="T697" s="206"/>
      <c r="U697" s="206"/>
      <c r="V697" s="206"/>
      <c r="W697" s="206"/>
      <c r="X697" s="207"/>
      <c r="Y697" s="207"/>
      <c r="Z697" s="207"/>
      <c r="AA697" s="206"/>
      <c r="AB697" s="206"/>
      <c r="AC697" s="206"/>
      <c r="AD697" s="206"/>
      <c r="AE697" s="206"/>
      <c r="AF697" s="206"/>
      <c r="AG697" s="206"/>
      <c r="AH697" s="206"/>
      <c r="AI697" s="206"/>
      <c r="AJ697" s="206"/>
      <c r="AK697" s="206"/>
      <c r="AL697" s="206"/>
      <c r="AM697" s="206"/>
      <c r="AN697" s="206"/>
      <c r="AO697" s="206"/>
      <c r="AP697" s="206"/>
      <c r="AQ697" s="207"/>
      <c r="AR697" s="206"/>
      <c r="AS697" s="206"/>
      <c r="AT697" s="206"/>
      <c r="AU697" s="206"/>
      <c r="AV697" s="206"/>
      <c r="AW697" s="207"/>
      <c r="AX697" s="207"/>
      <c r="AY697" s="207"/>
      <c r="AZ697" s="207"/>
    </row>
    <row r="698" spans="1:52" ht="12.75" x14ac:dyDescent="0.2">
      <c r="A698" s="206"/>
      <c r="B698" s="206"/>
      <c r="C698" s="206"/>
      <c r="D698" s="206"/>
      <c r="E698" s="206"/>
      <c r="F698" s="206"/>
      <c r="G698" s="206"/>
      <c r="H698" s="206"/>
      <c r="I698" s="206"/>
      <c r="J698" s="206"/>
      <c r="K698" s="206"/>
      <c r="L698" s="206"/>
      <c r="M698" s="207"/>
      <c r="N698" s="207"/>
      <c r="O698" s="208"/>
      <c r="P698" s="208"/>
      <c r="Q698" s="208"/>
      <c r="R698" s="206"/>
      <c r="S698" s="206"/>
      <c r="T698" s="206"/>
      <c r="U698" s="206"/>
      <c r="V698" s="206"/>
      <c r="W698" s="206"/>
      <c r="X698" s="207"/>
      <c r="Y698" s="207"/>
      <c r="Z698" s="207"/>
      <c r="AA698" s="206"/>
      <c r="AB698" s="206"/>
      <c r="AC698" s="206"/>
      <c r="AD698" s="206"/>
      <c r="AE698" s="206"/>
      <c r="AF698" s="206"/>
      <c r="AG698" s="206"/>
      <c r="AH698" s="206"/>
      <c r="AI698" s="206"/>
      <c r="AJ698" s="206"/>
      <c r="AK698" s="206"/>
      <c r="AL698" s="206"/>
      <c r="AM698" s="206"/>
      <c r="AN698" s="206"/>
      <c r="AO698" s="206"/>
      <c r="AP698" s="206"/>
      <c r="AQ698" s="207"/>
      <c r="AR698" s="206"/>
      <c r="AS698" s="206"/>
      <c r="AT698" s="206"/>
      <c r="AU698" s="206"/>
      <c r="AV698" s="206"/>
      <c r="AW698" s="207"/>
      <c r="AX698" s="207"/>
      <c r="AY698" s="207"/>
      <c r="AZ698" s="207"/>
    </row>
    <row r="699" spans="1:52" ht="12.75" x14ac:dyDescent="0.2">
      <c r="A699" s="206"/>
      <c r="B699" s="206"/>
      <c r="C699" s="206"/>
      <c r="D699" s="206"/>
      <c r="E699" s="206"/>
      <c r="F699" s="206"/>
      <c r="G699" s="206"/>
      <c r="H699" s="206"/>
      <c r="I699" s="206"/>
      <c r="J699" s="206"/>
      <c r="K699" s="206"/>
      <c r="L699" s="206"/>
      <c r="M699" s="207"/>
      <c r="N699" s="207"/>
      <c r="O699" s="208"/>
      <c r="P699" s="208"/>
      <c r="Q699" s="208"/>
      <c r="R699" s="206"/>
      <c r="S699" s="206"/>
      <c r="T699" s="206"/>
      <c r="U699" s="206"/>
      <c r="V699" s="206"/>
      <c r="W699" s="206"/>
      <c r="X699" s="207"/>
      <c r="Y699" s="207"/>
      <c r="Z699" s="207"/>
      <c r="AA699" s="206"/>
      <c r="AB699" s="206"/>
      <c r="AC699" s="206"/>
      <c r="AD699" s="206"/>
      <c r="AE699" s="206"/>
      <c r="AF699" s="206"/>
      <c r="AG699" s="206"/>
      <c r="AH699" s="206"/>
      <c r="AI699" s="206"/>
      <c r="AJ699" s="206"/>
      <c r="AK699" s="206"/>
      <c r="AL699" s="206"/>
      <c r="AM699" s="206"/>
      <c r="AN699" s="206"/>
      <c r="AO699" s="206"/>
      <c r="AP699" s="206"/>
      <c r="AQ699" s="207"/>
      <c r="AR699" s="206"/>
      <c r="AS699" s="206"/>
      <c r="AT699" s="206"/>
      <c r="AU699" s="206"/>
      <c r="AV699" s="206"/>
      <c r="AW699" s="207"/>
      <c r="AX699" s="207"/>
      <c r="AY699" s="207"/>
      <c r="AZ699" s="207"/>
    </row>
    <row r="700" spans="1:52" ht="12.75" x14ac:dyDescent="0.2">
      <c r="A700" s="206"/>
      <c r="B700" s="206"/>
      <c r="C700" s="206"/>
      <c r="D700" s="206"/>
      <c r="E700" s="206"/>
      <c r="F700" s="206"/>
      <c r="G700" s="206"/>
      <c r="H700" s="206"/>
      <c r="I700" s="206"/>
      <c r="J700" s="206"/>
      <c r="K700" s="206"/>
      <c r="L700" s="206"/>
      <c r="M700" s="207"/>
      <c r="N700" s="207"/>
      <c r="O700" s="208"/>
      <c r="P700" s="208"/>
      <c r="Q700" s="208"/>
      <c r="R700" s="206"/>
      <c r="S700" s="206"/>
      <c r="T700" s="206"/>
      <c r="U700" s="206"/>
      <c r="V700" s="206"/>
      <c r="W700" s="206"/>
      <c r="X700" s="207"/>
      <c r="Y700" s="207"/>
      <c r="Z700" s="207"/>
      <c r="AA700" s="206"/>
      <c r="AB700" s="206"/>
      <c r="AC700" s="206"/>
      <c r="AD700" s="206"/>
      <c r="AE700" s="206"/>
      <c r="AF700" s="206"/>
      <c r="AG700" s="206"/>
      <c r="AH700" s="206"/>
      <c r="AI700" s="206"/>
      <c r="AJ700" s="206"/>
      <c r="AK700" s="206"/>
      <c r="AL700" s="206"/>
      <c r="AM700" s="206"/>
      <c r="AN700" s="206"/>
      <c r="AO700" s="206"/>
      <c r="AP700" s="206"/>
      <c r="AQ700" s="207"/>
      <c r="AR700" s="206"/>
      <c r="AS700" s="206"/>
      <c r="AT700" s="206"/>
      <c r="AU700" s="206"/>
      <c r="AV700" s="206"/>
      <c r="AW700" s="207"/>
      <c r="AX700" s="207"/>
      <c r="AY700" s="207"/>
      <c r="AZ700" s="207"/>
    </row>
    <row r="701" spans="1:52" ht="12.75" x14ac:dyDescent="0.2">
      <c r="A701" s="206"/>
      <c r="B701" s="206"/>
      <c r="C701" s="206"/>
      <c r="D701" s="206"/>
      <c r="E701" s="206"/>
      <c r="F701" s="206"/>
      <c r="G701" s="206"/>
      <c r="H701" s="206"/>
      <c r="I701" s="206"/>
      <c r="J701" s="206"/>
      <c r="K701" s="206"/>
      <c r="L701" s="206"/>
      <c r="M701" s="207"/>
      <c r="N701" s="207"/>
      <c r="O701" s="208"/>
      <c r="P701" s="208"/>
      <c r="Q701" s="208"/>
      <c r="R701" s="206"/>
      <c r="S701" s="206"/>
      <c r="T701" s="206"/>
      <c r="U701" s="206"/>
      <c r="V701" s="206"/>
      <c r="W701" s="206"/>
      <c r="X701" s="207"/>
      <c r="Y701" s="207"/>
      <c r="Z701" s="207"/>
      <c r="AA701" s="206"/>
      <c r="AB701" s="206"/>
      <c r="AC701" s="206"/>
      <c r="AD701" s="206"/>
      <c r="AE701" s="206"/>
      <c r="AF701" s="206"/>
      <c r="AG701" s="206"/>
      <c r="AH701" s="206"/>
      <c r="AI701" s="206"/>
      <c r="AJ701" s="206"/>
      <c r="AK701" s="206"/>
      <c r="AL701" s="206"/>
      <c r="AM701" s="206"/>
      <c r="AN701" s="206"/>
      <c r="AO701" s="206"/>
      <c r="AP701" s="206"/>
      <c r="AQ701" s="207"/>
      <c r="AR701" s="206"/>
      <c r="AS701" s="206"/>
      <c r="AT701" s="206"/>
      <c r="AU701" s="206"/>
      <c r="AV701" s="206"/>
      <c r="AW701" s="207"/>
      <c r="AX701" s="207"/>
      <c r="AY701" s="207"/>
      <c r="AZ701" s="207"/>
    </row>
    <row r="702" spans="1:52" ht="12.75" x14ac:dyDescent="0.2">
      <c r="A702" s="206"/>
      <c r="B702" s="206"/>
      <c r="C702" s="206"/>
      <c r="D702" s="206"/>
      <c r="E702" s="206"/>
      <c r="F702" s="206"/>
      <c r="G702" s="206"/>
      <c r="H702" s="206"/>
      <c r="I702" s="206"/>
      <c r="J702" s="206"/>
      <c r="K702" s="206"/>
      <c r="L702" s="206"/>
      <c r="M702" s="207"/>
      <c r="N702" s="207"/>
      <c r="O702" s="208"/>
      <c r="P702" s="208"/>
      <c r="Q702" s="208"/>
      <c r="R702" s="206"/>
      <c r="S702" s="206"/>
      <c r="T702" s="206"/>
      <c r="U702" s="206"/>
      <c r="V702" s="206"/>
      <c r="W702" s="206"/>
      <c r="X702" s="207"/>
      <c r="Y702" s="207"/>
      <c r="Z702" s="207"/>
      <c r="AA702" s="206"/>
      <c r="AB702" s="206"/>
      <c r="AC702" s="206"/>
      <c r="AD702" s="206"/>
      <c r="AE702" s="206"/>
      <c r="AF702" s="206"/>
      <c r="AG702" s="206"/>
      <c r="AH702" s="206"/>
      <c r="AI702" s="206"/>
      <c r="AJ702" s="206"/>
      <c r="AK702" s="206"/>
      <c r="AL702" s="206"/>
      <c r="AM702" s="206"/>
      <c r="AN702" s="206"/>
      <c r="AO702" s="206"/>
      <c r="AP702" s="206"/>
      <c r="AQ702" s="207"/>
      <c r="AR702" s="206"/>
      <c r="AS702" s="206"/>
      <c r="AT702" s="206"/>
      <c r="AU702" s="206"/>
      <c r="AV702" s="206"/>
      <c r="AW702" s="207"/>
      <c r="AX702" s="207"/>
      <c r="AY702" s="207"/>
      <c r="AZ702" s="207"/>
    </row>
    <row r="703" spans="1:52" ht="12.75" x14ac:dyDescent="0.2">
      <c r="A703" s="206"/>
      <c r="B703" s="206"/>
      <c r="C703" s="206"/>
      <c r="D703" s="206"/>
      <c r="E703" s="206"/>
      <c r="F703" s="206"/>
      <c r="G703" s="206"/>
      <c r="H703" s="206"/>
      <c r="I703" s="206"/>
      <c r="J703" s="206"/>
      <c r="K703" s="206"/>
      <c r="L703" s="206"/>
      <c r="M703" s="207"/>
      <c r="N703" s="207"/>
      <c r="O703" s="208"/>
      <c r="P703" s="208"/>
      <c r="Q703" s="208"/>
      <c r="R703" s="206"/>
      <c r="S703" s="206"/>
      <c r="T703" s="206"/>
      <c r="U703" s="206"/>
      <c r="V703" s="206"/>
      <c r="W703" s="206"/>
      <c r="X703" s="207"/>
      <c r="Y703" s="207"/>
      <c r="Z703" s="207"/>
      <c r="AA703" s="206"/>
      <c r="AB703" s="206"/>
      <c r="AC703" s="206"/>
      <c r="AD703" s="206"/>
      <c r="AE703" s="206"/>
      <c r="AF703" s="206"/>
      <c r="AG703" s="206"/>
      <c r="AH703" s="206"/>
      <c r="AI703" s="206"/>
      <c r="AJ703" s="206"/>
      <c r="AK703" s="206"/>
      <c r="AL703" s="206"/>
      <c r="AM703" s="206"/>
      <c r="AN703" s="206"/>
      <c r="AO703" s="206"/>
      <c r="AP703" s="206"/>
      <c r="AQ703" s="207"/>
      <c r="AR703" s="206"/>
      <c r="AS703" s="206"/>
      <c r="AT703" s="206"/>
      <c r="AU703" s="206"/>
      <c r="AV703" s="206"/>
      <c r="AW703" s="207"/>
      <c r="AX703" s="207"/>
      <c r="AY703" s="207"/>
      <c r="AZ703" s="207"/>
    </row>
    <row r="704" spans="1:52" ht="12.75" x14ac:dyDescent="0.2">
      <c r="A704" s="206"/>
      <c r="B704" s="206"/>
      <c r="C704" s="206"/>
      <c r="D704" s="206"/>
      <c r="E704" s="206"/>
      <c r="F704" s="206"/>
      <c r="G704" s="206"/>
      <c r="H704" s="206"/>
      <c r="I704" s="206"/>
      <c r="J704" s="206"/>
      <c r="K704" s="206"/>
      <c r="L704" s="206"/>
      <c r="M704" s="207"/>
      <c r="N704" s="207"/>
      <c r="O704" s="208"/>
      <c r="P704" s="208"/>
      <c r="Q704" s="208"/>
      <c r="R704" s="206"/>
      <c r="S704" s="206"/>
      <c r="T704" s="206"/>
      <c r="U704" s="206"/>
      <c r="V704" s="206"/>
      <c r="W704" s="206"/>
      <c r="X704" s="207"/>
      <c r="Y704" s="207"/>
      <c r="Z704" s="207"/>
      <c r="AA704" s="206"/>
      <c r="AB704" s="206"/>
      <c r="AC704" s="206"/>
      <c r="AD704" s="206"/>
      <c r="AE704" s="206"/>
      <c r="AF704" s="206"/>
      <c r="AG704" s="206"/>
      <c r="AH704" s="206"/>
      <c r="AI704" s="206"/>
      <c r="AJ704" s="206"/>
      <c r="AK704" s="206"/>
      <c r="AL704" s="206"/>
      <c r="AM704" s="206"/>
      <c r="AN704" s="206"/>
      <c r="AO704" s="206"/>
      <c r="AP704" s="206"/>
      <c r="AQ704" s="207"/>
      <c r="AR704" s="206"/>
      <c r="AS704" s="206"/>
      <c r="AT704" s="206"/>
      <c r="AU704" s="206"/>
      <c r="AV704" s="206"/>
      <c r="AW704" s="207"/>
      <c r="AX704" s="207"/>
      <c r="AY704" s="207"/>
      <c r="AZ704" s="207"/>
    </row>
    <row r="705" spans="1:52" ht="12.75" x14ac:dyDescent="0.2">
      <c r="A705" s="206"/>
      <c r="B705" s="206"/>
      <c r="C705" s="206"/>
      <c r="D705" s="206"/>
      <c r="E705" s="206"/>
      <c r="F705" s="206"/>
      <c r="G705" s="206"/>
      <c r="H705" s="206"/>
      <c r="I705" s="206"/>
      <c r="J705" s="206"/>
      <c r="K705" s="206"/>
      <c r="L705" s="206"/>
      <c r="M705" s="207"/>
      <c r="N705" s="207"/>
      <c r="O705" s="208"/>
      <c r="P705" s="208"/>
      <c r="Q705" s="208"/>
      <c r="R705" s="206"/>
      <c r="S705" s="206"/>
      <c r="T705" s="206"/>
      <c r="U705" s="206"/>
      <c r="V705" s="206"/>
      <c r="W705" s="206"/>
      <c r="X705" s="207"/>
      <c r="Y705" s="207"/>
      <c r="Z705" s="207"/>
      <c r="AA705" s="206"/>
      <c r="AB705" s="206"/>
      <c r="AC705" s="206"/>
      <c r="AD705" s="206"/>
      <c r="AE705" s="206"/>
      <c r="AF705" s="206"/>
      <c r="AG705" s="206"/>
      <c r="AH705" s="206"/>
      <c r="AI705" s="206"/>
      <c r="AJ705" s="206"/>
      <c r="AK705" s="206"/>
      <c r="AL705" s="206"/>
      <c r="AM705" s="206"/>
      <c r="AN705" s="206"/>
      <c r="AO705" s="206"/>
      <c r="AP705" s="206"/>
      <c r="AQ705" s="207"/>
      <c r="AR705" s="206"/>
      <c r="AS705" s="206"/>
      <c r="AT705" s="206"/>
      <c r="AU705" s="206"/>
      <c r="AV705" s="206"/>
      <c r="AW705" s="207"/>
      <c r="AX705" s="207"/>
      <c r="AY705" s="207"/>
      <c r="AZ705" s="207"/>
    </row>
    <row r="706" spans="1:52" ht="12.75" x14ac:dyDescent="0.2">
      <c r="A706" s="206"/>
      <c r="B706" s="206"/>
      <c r="C706" s="206"/>
      <c r="D706" s="206"/>
      <c r="E706" s="206"/>
      <c r="F706" s="206"/>
      <c r="G706" s="206"/>
      <c r="H706" s="206"/>
      <c r="I706" s="206"/>
      <c r="J706" s="206"/>
      <c r="K706" s="206"/>
      <c r="L706" s="206"/>
      <c r="M706" s="207"/>
      <c r="N706" s="207"/>
      <c r="O706" s="208"/>
      <c r="P706" s="208"/>
      <c r="Q706" s="208"/>
      <c r="R706" s="206"/>
      <c r="S706" s="206"/>
      <c r="T706" s="206"/>
      <c r="U706" s="206"/>
      <c r="V706" s="206"/>
      <c r="W706" s="206"/>
      <c r="X706" s="207"/>
      <c r="Y706" s="207"/>
      <c r="Z706" s="207"/>
      <c r="AA706" s="206"/>
      <c r="AB706" s="206"/>
      <c r="AC706" s="206"/>
      <c r="AD706" s="206"/>
      <c r="AE706" s="206"/>
      <c r="AF706" s="206"/>
      <c r="AG706" s="206"/>
      <c r="AH706" s="206"/>
      <c r="AI706" s="206"/>
      <c r="AJ706" s="206"/>
      <c r="AK706" s="206"/>
      <c r="AL706" s="206"/>
      <c r="AM706" s="206"/>
      <c r="AN706" s="206"/>
      <c r="AO706" s="206"/>
      <c r="AP706" s="206"/>
      <c r="AQ706" s="207"/>
      <c r="AR706" s="206"/>
      <c r="AS706" s="206"/>
      <c r="AT706" s="206"/>
      <c r="AU706" s="206"/>
      <c r="AV706" s="206"/>
      <c r="AW706" s="207"/>
      <c r="AX706" s="207"/>
      <c r="AY706" s="207"/>
      <c r="AZ706" s="207"/>
    </row>
    <row r="707" spans="1:52" ht="12.75" x14ac:dyDescent="0.2">
      <c r="A707" s="206"/>
      <c r="B707" s="206"/>
      <c r="C707" s="206"/>
      <c r="D707" s="206"/>
      <c r="E707" s="206"/>
      <c r="F707" s="206"/>
      <c r="G707" s="206"/>
      <c r="H707" s="206"/>
      <c r="I707" s="206"/>
      <c r="J707" s="206"/>
      <c r="K707" s="206"/>
      <c r="L707" s="206"/>
      <c r="M707" s="207"/>
      <c r="N707" s="207"/>
      <c r="O707" s="208"/>
      <c r="P707" s="208"/>
      <c r="Q707" s="208"/>
      <c r="R707" s="206"/>
      <c r="S707" s="206"/>
      <c r="T707" s="206"/>
      <c r="U707" s="206"/>
      <c r="V707" s="206"/>
      <c r="W707" s="206"/>
      <c r="X707" s="207"/>
      <c r="Y707" s="207"/>
      <c r="Z707" s="207"/>
      <c r="AA707" s="206"/>
      <c r="AB707" s="206"/>
      <c r="AC707" s="206"/>
      <c r="AD707" s="206"/>
      <c r="AE707" s="206"/>
      <c r="AF707" s="206"/>
      <c r="AG707" s="206"/>
      <c r="AH707" s="206"/>
      <c r="AI707" s="206"/>
      <c r="AJ707" s="206"/>
      <c r="AK707" s="206"/>
      <c r="AL707" s="206"/>
      <c r="AM707" s="206"/>
      <c r="AN707" s="206"/>
      <c r="AO707" s="206"/>
      <c r="AP707" s="206"/>
      <c r="AQ707" s="207"/>
      <c r="AR707" s="206"/>
      <c r="AS707" s="206"/>
      <c r="AT707" s="206"/>
      <c r="AU707" s="206"/>
      <c r="AV707" s="206"/>
      <c r="AW707" s="207"/>
      <c r="AX707" s="207"/>
      <c r="AY707" s="207"/>
      <c r="AZ707" s="207"/>
    </row>
    <row r="708" spans="1:52" ht="12.75" x14ac:dyDescent="0.2">
      <c r="A708" s="206"/>
      <c r="B708" s="206"/>
      <c r="C708" s="206"/>
      <c r="D708" s="206"/>
      <c r="E708" s="206"/>
      <c r="F708" s="206"/>
      <c r="G708" s="206"/>
      <c r="H708" s="206"/>
      <c r="I708" s="206"/>
      <c r="J708" s="206"/>
      <c r="K708" s="206"/>
      <c r="L708" s="206"/>
      <c r="M708" s="207"/>
      <c r="N708" s="207"/>
      <c r="O708" s="208"/>
      <c r="P708" s="208"/>
      <c r="Q708" s="208"/>
      <c r="R708" s="206"/>
      <c r="S708" s="206"/>
      <c r="T708" s="206"/>
      <c r="U708" s="206"/>
      <c r="V708" s="206"/>
      <c r="W708" s="206"/>
      <c r="X708" s="207"/>
      <c r="Y708" s="207"/>
      <c r="Z708" s="207"/>
      <c r="AA708" s="206"/>
      <c r="AB708" s="206"/>
      <c r="AC708" s="206"/>
      <c r="AD708" s="206"/>
      <c r="AE708" s="206"/>
      <c r="AF708" s="206"/>
      <c r="AG708" s="206"/>
      <c r="AH708" s="206"/>
      <c r="AI708" s="206"/>
      <c r="AJ708" s="206"/>
      <c r="AK708" s="206"/>
      <c r="AL708" s="206"/>
      <c r="AM708" s="206"/>
      <c r="AN708" s="206"/>
      <c r="AO708" s="206"/>
      <c r="AP708" s="206"/>
      <c r="AQ708" s="207"/>
      <c r="AR708" s="206"/>
      <c r="AS708" s="206"/>
      <c r="AT708" s="206"/>
      <c r="AU708" s="206"/>
      <c r="AV708" s="206"/>
      <c r="AW708" s="207"/>
      <c r="AX708" s="207"/>
      <c r="AY708" s="207"/>
      <c r="AZ708" s="207"/>
    </row>
    <row r="709" spans="1:52" ht="12.75" x14ac:dyDescent="0.2">
      <c r="A709" s="206"/>
      <c r="B709" s="206"/>
      <c r="C709" s="206"/>
      <c r="D709" s="206"/>
      <c r="E709" s="206"/>
      <c r="F709" s="206"/>
      <c r="G709" s="206"/>
      <c r="H709" s="206"/>
      <c r="I709" s="206"/>
      <c r="J709" s="206"/>
      <c r="K709" s="206"/>
      <c r="L709" s="206"/>
      <c r="M709" s="207"/>
      <c r="N709" s="207"/>
      <c r="O709" s="208"/>
      <c r="P709" s="208"/>
      <c r="Q709" s="208"/>
      <c r="R709" s="206"/>
      <c r="S709" s="206"/>
      <c r="T709" s="206"/>
      <c r="U709" s="206"/>
      <c r="V709" s="206"/>
      <c r="W709" s="206"/>
      <c r="X709" s="207"/>
      <c r="Y709" s="207"/>
      <c r="Z709" s="207"/>
      <c r="AA709" s="206"/>
      <c r="AB709" s="206"/>
      <c r="AC709" s="206"/>
      <c r="AD709" s="206"/>
      <c r="AE709" s="206"/>
      <c r="AF709" s="206"/>
      <c r="AG709" s="206"/>
      <c r="AH709" s="206"/>
      <c r="AI709" s="206"/>
      <c r="AJ709" s="206"/>
      <c r="AK709" s="206"/>
      <c r="AL709" s="206"/>
      <c r="AM709" s="206"/>
      <c r="AN709" s="206"/>
      <c r="AO709" s="206"/>
      <c r="AP709" s="206"/>
      <c r="AQ709" s="207"/>
      <c r="AR709" s="206"/>
      <c r="AS709" s="206"/>
      <c r="AT709" s="206"/>
      <c r="AU709" s="206"/>
      <c r="AV709" s="206"/>
      <c r="AW709" s="207"/>
      <c r="AX709" s="207"/>
      <c r="AY709" s="207"/>
      <c r="AZ709" s="207"/>
    </row>
    <row r="710" spans="1:52" ht="12.75" x14ac:dyDescent="0.2">
      <c r="A710" s="206"/>
      <c r="B710" s="206"/>
      <c r="C710" s="206"/>
      <c r="D710" s="206"/>
      <c r="E710" s="206"/>
      <c r="F710" s="206"/>
      <c r="G710" s="206"/>
      <c r="H710" s="206"/>
      <c r="I710" s="206"/>
      <c r="J710" s="206"/>
      <c r="K710" s="206"/>
      <c r="L710" s="206"/>
      <c r="M710" s="207"/>
      <c r="N710" s="207"/>
      <c r="O710" s="208"/>
      <c r="P710" s="208"/>
      <c r="Q710" s="208"/>
      <c r="R710" s="206"/>
      <c r="S710" s="206"/>
      <c r="T710" s="206"/>
      <c r="U710" s="206"/>
      <c r="V710" s="206"/>
      <c r="W710" s="206"/>
      <c r="X710" s="207"/>
      <c r="Y710" s="207"/>
      <c r="Z710" s="207"/>
      <c r="AA710" s="206"/>
      <c r="AB710" s="206"/>
      <c r="AC710" s="206"/>
      <c r="AD710" s="206"/>
      <c r="AE710" s="206"/>
      <c r="AF710" s="206"/>
      <c r="AG710" s="206"/>
      <c r="AH710" s="206"/>
      <c r="AI710" s="206"/>
      <c r="AJ710" s="206"/>
      <c r="AK710" s="206"/>
      <c r="AL710" s="206"/>
      <c r="AM710" s="206"/>
      <c r="AN710" s="206"/>
      <c r="AO710" s="206"/>
      <c r="AP710" s="206"/>
      <c r="AQ710" s="207"/>
      <c r="AR710" s="206"/>
      <c r="AS710" s="206"/>
      <c r="AT710" s="206"/>
      <c r="AU710" s="206"/>
      <c r="AV710" s="206"/>
      <c r="AW710" s="207"/>
      <c r="AX710" s="207"/>
      <c r="AY710" s="207"/>
      <c r="AZ710" s="207"/>
    </row>
    <row r="711" spans="1:52" ht="12.75" x14ac:dyDescent="0.2">
      <c r="A711" s="206"/>
      <c r="B711" s="206"/>
      <c r="C711" s="206"/>
      <c r="D711" s="206"/>
      <c r="E711" s="206"/>
      <c r="F711" s="206"/>
      <c r="G711" s="206"/>
      <c r="H711" s="206"/>
      <c r="I711" s="206"/>
      <c r="J711" s="206"/>
      <c r="K711" s="206"/>
      <c r="L711" s="206"/>
      <c r="M711" s="207"/>
      <c r="N711" s="207"/>
      <c r="O711" s="208"/>
      <c r="P711" s="208"/>
      <c r="Q711" s="208"/>
      <c r="R711" s="206"/>
      <c r="S711" s="206"/>
      <c r="T711" s="206"/>
      <c r="U711" s="206"/>
      <c r="V711" s="206"/>
      <c r="W711" s="206"/>
      <c r="X711" s="207"/>
      <c r="Y711" s="207"/>
      <c r="Z711" s="207"/>
      <c r="AA711" s="206"/>
      <c r="AB711" s="206"/>
      <c r="AC711" s="206"/>
      <c r="AD711" s="206"/>
      <c r="AE711" s="206"/>
      <c r="AF711" s="206"/>
      <c r="AG711" s="206"/>
      <c r="AH711" s="206"/>
      <c r="AI711" s="206"/>
      <c r="AJ711" s="206"/>
      <c r="AK711" s="206"/>
      <c r="AL711" s="206"/>
      <c r="AM711" s="206"/>
      <c r="AN711" s="206"/>
      <c r="AO711" s="206"/>
      <c r="AP711" s="206"/>
      <c r="AQ711" s="207"/>
      <c r="AR711" s="206"/>
      <c r="AS711" s="206"/>
      <c r="AT711" s="206"/>
      <c r="AU711" s="206"/>
      <c r="AV711" s="206"/>
      <c r="AW711" s="207"/>
      <c r="AX711" s="207"/>
      <c r="AY711" s="207"/>
      <c r="AZ711" s="207"/>
    </row>
    <row r="712" spans="1:52" ht="12.75" x14ac:dyDescent="0.2">
      <c r="A712" s="206"/>
      <c r="B712" s="206"/>
      <c r="C712" s="206"/>
      <c r="D712" s="206"/>
      <c r="E712" s="206"/>
      <c r="F712" s="206"/>
      <c r="G712" s="206"/>
      <c r="H712" s="206"/>
      <c r="I712" s="206"/>
      <c r="J712" s="206"/>
      <c r="K712" s="206"/>
      <c r="L712" s="206"/>
      <c r="M712" s="207"/>
      <c r="N712" s="207"/>
      <c r="O712" s="208"/>
      <c r="P712" s="208"/>
      <c r="Q712" s="208"/>
      <c r="R712" s="206"/>
      <c r="S712" s="206"/>
      <c r="T712" s="206"/>
      <c r="U712" s="206"/>
      <c r="V712" s="206"/>
      <c r="W712" s="206"/>
      <c r="X712" s="207"/>
      <c r="Y712" s="207"/>
      <c r="Z712" s="207"/>
      <c r="AA712" s="206"/>
      <c r="AB712" s="206"/>
      <c r="AC712" s="206"/>
      <c r="AD712" s="206"/>
      <c r="AE712" s="206"/>
      <c r="AF712" s="206"/>
      <c r="AG712" s="206"/>
      <c r="AH712" s="206"/>
      <c r="AI712" s="206"/>
      <c r="AJ712" s="206"/>
      <c r="AK712" s="206"/>
      <c r="AL712" s="206"/>
      <c r="AM712" s="206"/>
      <c r="AN712" s="206"/>
      <c r="AO712" s="206"/>
      <c r="AP712" s="206"/>
      <c r="AQ712" s="207"/>
      <c r="AR712" s="206"/>
      <c r="AS712" s="206"/>
      <c r="AT712" s="206"/>
      <c r="AU712" s="206"/>
      <c r="AV712" s="206"/>
      <c r="AW712" s="207"/>
      <c r="AX712" s="207"/>
      <c r="AY712" s="207"/>
      <c r="AZ712" s="207"/>
    </row>
    <row r="713" spans="1:52" ht="12.75" x14ac:dyDescent="0.2">
      <c r="A713" s="206"/>
      <c r="B713" s="206"/>
      <c r="C713" s="206"/>
      <c r="D713" s="206"/>
      <c r="E713" s="206"/>
      <c r="F713" s="206"/>
      <c r="G713" s="206"/>
      <c r="H713" s="206"/>
      <c r="I713" s="206"/>
      <c r="J713" s="206"/>
      <c r="K713" s="206"/>
      <c r="L713" s="206"/>
      <c r="M713" s="207"/>
      <c r="N713" s="207"/>
      <c r="O713" s="208"/>
      <c r="P713" s="208"/>
      <c r="Q713" s="208"/>
      <c r="R713" s="206"/>
      <c r="S713" s="206"/>
      <c r="T713" s="206"/>
      <c r="U713" s="206"/>
      <c r="V713" s="206"/>
      <c r="W713" s="206"/>
      <c r="X713" s="207"/>
      <c r="Y713" s="207"/>
      <c r="Z713" s="207"/>
      <c r="AA713" s="206"/>
      <c r="AB713" s="206"/>
      <c r="AC713" s="206"/>
      <c r="AD713" s="206"/>
      <c r="AE713" s="206"/>
      <c r="AF713" s="206"/>
      <c r="AG713" s="206"/>
      <c r="AH713" s="206"/>
      <c r="AI713" s="206"/>
      <c r="AJ713" s="206"/>
      <c r="AK713" s="206"/>
      <c r="AL713" s="206"/>
      <c r="AM713" s="206"/>
      <c r="AN713" s="206"/>
      <c r="AO713" s="206"/>
      <c r="AP713" s="206"/>
      <c r="AQ713" s="207"/>
      <c r="AR713" s="206"/>
      <c r="AS713" s="206"/>
      <c r="AT713" s="206"/>
      <c r="AU713" s="206"/>
      <c r="AV713" s="206"/>
      <c r="AW713" s="207"/>
      <c r="AX713" s="207"/>
      <c r="AY713" s="207"/>
      <c r="AZ713" s="207"/>
    </row>
    <row r="714" spans="1:52" ht="12.75" x14ac:dyDescent="0.2">
      <c r="A714" s="206"/>
      <c r="B714" s="206"/>
      <c r="C714" s="206"/>
      <c r="D714" s="206"/>
      <c r="E714" s="206"/>
      <c r="F714" s="206"/>
      <c r="G714" s="206"/>
      <c r="H714" s="206"/>
      <c r="I714" s="206"/>
      <c r="J714" s="206"/>
      <c r="K714" s="206"/>
      <c r="L714" s="206"/>
      <c r="M714" s="207"/>
      <c r="N714" s="207"/>
      <c r="O714" s="208"/>
      <c r="P714" s="208"/>
      <c r="Q714" s="208"/>
      <c r="R714" s="206"/>
      <c r="S714" s="206"/>
      <c r="T714" s="206"/>
      <c r="U714" s="206"/>
      <c r="V714" s="206"/>
      <c r="W714" s="206"/>
      <c r="X714" s="207"/>
      <c r="Y714" s="207"/>
      <c r="Z714" s="207"/>
      <c r="AA714" s="206"/>
      <c r="AB714" s="206"/>
      <c r="AC714" s="206"/>
      <c r="AD714" s="206"/>
      <c r="AE714" s="206"/>
      <c r="AF714" s="206"/>
      <c r="AG714" s="206"/>
      <c r="AH714" s="206"/>
      <c r="AI714" s="206"/>
      <c r="AJ714" s="206"/>
      <c r="AK714" s="206"/>
      <c r="AL714" s="206"/>
      <c r="AM714" s="206"/>
      <c r="AN714" s="206"/>
      <c r="AO714" s="206"/>
      <c r="AP714" s="206"/>
      <c r="AQ714" s="207"/>
      <c r="AR714" s="206"/>
      <c r="AS714" s="206"/>
      <c r="AT714" s="206"/>
      <c r="AU714" s="206"/>
      <c r="AV714" s="206"/>
      <c r="AW714" s="207"/>
      <c r="AX714" s="207"/>
      <c r="AY714" s="207"/>
      <c r="AZ714" s="207"/>
    </row>
    <row r="715" spans="1:52" ht="12.75" x14ac:dyDescent="0.2">
      <c r="A715" s="206"/>
      <c r="B715" s="206"/>
      <c r="C715" s="206"/>
      <c r="D715" s="206"/>
      <c r="E715" s="206"/>
      <c r="F715" s="206"/>
      <c r="G715" s="206"/>
      <c r="H715" s="206"/>
      <c r="I715" s="206"/>
      <c r="J715" s="206"/>
      <c r="K715" s="206"/>
      <c r="L715" s="206"/>
      <c r="M715" s="207"/>
      <c r="N715" s="207"/>
      <c r="O715" s="208"/>
      <c r="P715" s="208"/>
      <c r="Q715" s="208"/>
      <c r="R715" s="206"/>
      <c r="S715" s="206"/>
      <c r="T715" s="206"/>
      <c r="U715" s="206"/>
      <c r="V715" s="206"/>
      <c r="W715" s="206"/>
      <c r="X715" s="207"/>
      <c r="Y715" s="207"/>
      <c r="Z715" s="207"/>
      <c r="AA715" s="206"/>
      <c r="AB715" s="206"/>
      <c r="AC715" s="206"/>
      <c r="AD715" s="206"/>
      <c r="AE715" s="206"/>
      <c r="AF715" s="206"/>
      <c r="AG715" s="206"/>
      <c r="AH715" s="206"/>
      <c r="AI715" s="206"/>
      <c r="AJ715" s="206"/>
      <c r="AK715" s="206"/>
      <c r="AL715" s="206"/>
      <c r="AM715" s="206"/>
      <c r="AN715" s="206"/>
      <c r="AO715" s="206"/>
      <c r="AP715" s="206"/>
      <c r="AQ715" s="207"/>
      <c r="AR715" s="206"/>
      <c r="AS715" s="206"/>
      <c r="AT715" s="206"/>
      <c r="AU715" s="206"/>
      <c r="AV715" s="206"/>
      <c r="AW715" s="207"/>
      <c r="AX715" s="207"/>
      <c r="AY715" s="207"/>
      <c r="AZ715" s="207"/>
    </row>
    <row r="716" spans="1:52" ht="12.75" x14ac:dyDescent="0.2">
      <c r="A716" s="206"/>
      <c r="B716" s="206"/>
      <c r="C716" s="206"/>
      <c r="D716" s="206"/>
      <c r="E716" s="206"/>
      <c r="F716" s="206"/>
      <c r="G716" s="206"/>
      <c r="H716" s="206"/>
      <c r="I716" s="206"/>
      <c r="J716" s="206"/>
      <c r="K716" s="206"/>
      <c r="L716" s="206"/>
      <c r="M716" s="207"/>
      <c r="N716" s="207"/>
      <c r="O716" s="208"/>
      <c r="P716" s="208"/>
      <c r="Q716" s="208"/>
      <c r="R716" s="206"/>
      <c r="S716" s="206"/>
      <c r="T716" s="206"/>
      <c r="U716" s="206"/>
      <c r="V716" s="206"/>
      <c r="W716" s="206"/>
      <c r="X716" s="207"/>
      <c r="Y716" s="207"/>
      <c r="Z716" s="207"/>
      <c r="AA716" s="206"/>
      <c r="AB716" s="206"/>
      <c r="AC716" s="206"/>
      <c r="AD716" s="206"/>
      <c r="AE716" s="206"/>
      <c r="AF716" s="206"/>
      <c r="AG716" s="206"/>
      <c r="AH716" s="206"/>
      <c r="AI716" s="206"/>
      <c r="AJ716" s="206"/>
      <c r="AK716" s="206"/>
      <c r="AL716" s="206"/>
      <c r="AM716" s="206"/>
      <c r="AN716" s="206"/>
      <c r="AO716" s="206"/>
      <c r="AP716" s="206"/>
      <c r="AQ716" s="207"/>
      <c r="AR716" s="206"/>
      <c r="AS716" s="206"/>
      <c r="AT716" s="206"/>
      <c r="AU716" s="206"/>
      <c r="AV716" s="206"/>
      <c r="AW716" s="207"/>
      <c r="AX716" s="207"/>
      <c r="AY716" s="207"/>
      <c r="AZ716" s="207"/>
    </row>
    <row r="717" spans="1:52" ht="12.75" x14ac:dyDescent="0.2">
      <c r="A717" s="206"/>
      <c r="B717" s="206"/>
      <c r="C717" s="206"/>
      <c r="D717" s="206"/>
      <c r="E717" s="206"/>
      <c r="F717" s="206"/>
      <c r="G717" s="206"/>
      <c r="H717" s="206"/>
      <c r="I717" s="206"/>
      <c r="J717" s="206"/>
      <c r="K717" s="206"/>
      <c r="L717" s="206"/>
      <c r="M717" s="207"/>
      <c r="N717" s="207"/>
      <c r="O717" s="208"/>
      <c r="P717" s="208"/>
      <c r="Q717" s="208"/>
      <c r="R717" s="206"/>
      <c r="S717" s="206"/>
      <c r="T717" s="206"/>
      <c r="U717" s="206"/>
      <c r="V717" s="206"/>
      <c r="W717" s="206"/>
      <c r="X717" s="207"/>
      <c r="Y717" s="207"/>
      <c r="Z717" s="207"/>
      <c r="AA717" s="206"/>
      <c r="AB717" s="206"/>
      <c r="AC717" s="206"/>
      <c r="AD717" s="206"/>
      <c r="AE717" s="206"/>
      <c r="AF717" s="206"/>
      <c r="AG717" s="206"/>
      <c r="AH717" s="206"/>
      <c r="AI717" s="206"/>
      <c r="AJ717" s="206"/>
      <c r="AK717" s="206"/>
      <c r="AL717" s="206"/>
      <c r="AM717" s="206"/>
      <c r="AN717" s="206"/>
      <c r="AO717" s="206"/>
      <c r="AP717" s="206"/>
      <c r="AQ717" s="207"/>
      <c r="AR717" s="206"/>
      <c r="AS717" s="206"/>
      <c r="AT717" s="206"/>
      <c r="AU717" s="206"/>
      <c r="AV717" s="206"/>
      <c r="AW717" s="207"/>
      <c r="AX717" s="207"/>
      <c r="AY717" s="207"/>
      <c r="AZ717" s="207"/>
    </row>
    <row r="718" spans="1:52" ht="12.75" x14ac:dyDescent="0.2">
      <c r="A718" s="206"/>
      <c r="B718" s="206"/>
      <c r="C718" s="206"/>
      <c r="D718" s="206"/>
      <c r="E718" s="206"/>
      <c r="F718" s="206"/>
      <c r="G718" s="206"/>
      <c r="H718" s="206"/>
      <c r="I718" s="206"/>
      <c r="J718" s="206"/>
      <c r="K718" s="206"/>
      <c r="L718" s="206"/>
      <c r="M718" s="207"/>
      <c r="N718" s="207"/>
      <c r="O718" s="208"/>
      <c r="P718" s="208"/>
      <c r="Q718" s="208"/>
      <c r="R718" s="206"/>
      <c r="S718" s="206"/>
      <c r="T718" s="206"/>
      <c r="U718" s="206"/>
      <c r="V718" s="206"/>
      <c r="W718" s="206"/>
      <c r="X718" s="207"/>
      <c r="Y718" s="207"/>
      <c r="Z718" s="207"/>
      <c r="AA718" s="206"/>
      <c r="AB718" s="206"/>
      <c r="AC718" s="206"/>
      <c r="AD718" s="206"/>
      <c r="AE718" s="206"/>
      <c r="AF718" s="206"/>
      <c r="AG718" s="206"/>
      <c r="AH718" s="206"/>
      <c r="AI718" s="206"/>
      <c r="AJ718" s="206"/>
      <c r="AK718" s="206"/>
      <c r="AL718" s="206"/>
      <c r="AM718" s="206"/>
      <c r="AN718" s="206"/>
      <c r="AO718" s="206"/>
      <c r="AP718" s="206"/>
      <c r="AQ718" s="207"/>
      <c r="AR718" s="206"/>
      <c r="AS718" s="206"/>
      <c r="AT718" s="206"/>
      <c r="AU718" s="206"/>
      <c r="AV718" s="206"/>
      <c r="AW718" s="207"/>
      <c r="AX718" s="207"/>
      <c r="AY718" s="207"/>
      <c r="AZ718" s="207"/>
    </row>
    <row r="719" spans="1:52" ht="12.75" x14ac:dyDescent="0.2">
      <c r="A719" s="206"/>
      <c r="B719" s="206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7"/>
      <c r="N719" s="207"/>
      <c r="O719" s="208"/>
      <c r="P719" s="208"/>
      <c r="Q719" s="208"/>
      <c r="R719" s="206"/>
      <c r="S719" s="206"/>
      <c r="T719" s="206"/>
      <c r="U719" s="206"/>
      <c r="V719" s="206"/>
      <c r="W719" s="206"/>
      <c r="X719" s="207"/>
      <c r="Y719" s="207"/>
      <c r="Z719" s="207"/>
      <c r="AA719" s="206"/>
      <c r="AB719" s="206"/>
      <c r="AC719" s="206"/>
      <c r="AD719" s="206"/>
      <c r="AE719" s="206"/>
      <c r="AF719" s="206"/>
      <c r="AG719" s="206"/>
      <c r="AH719" s="206"/>
      <c r="AI719" s="206"/>
      <c r="AJ719" s="206"/>
      <c r="AK719" s="206"/>
      <c r="AL719" s="206"/>
      <c r="AM719" s="206"/>
      <c r="AN719" s="206"/>
      <c r="AO719" s="206"/>
      <c r="AP719" s="206"/>
      <c r="AQ719" s="207"/>
      <c r="AR719" s="206"/>
      <c r="AS719" s="206"/>
      <c r="AT719" s="206"/>
      <c r="AU719" s="206"/>
      <c r="AV719" s="206"/>
      <c r="AW719" s="207"/>
      <c r="AX719" s="207"/>
      <c r="AY719" s="207"/>
      <c r="AZ719" s="207"/>
    </row>
    <row r="720" spans="1:52" ht="12.75" x14ac:dyDescent="0.2">
      <c r="A720" s="206"/>
      <c r="B720" s="206"/>
      <c r="C720" s="206"/>
      <c r="D720" s="206"/>
      <c r="E720" s="206"/>
      <c r="F720" s="206"/>
      <c r="G720" s="206"/>
      <c r="H720" s="206"/>
      <c r="I720" s="206"/>
      <c r="J720" s="206"/>
      <c r="K720" s="206"/>
      <c r="L720" s="206"/>
      <c r="M720" s="207"/>
      <c r="N720" s="207"/>
      <c r="O720" s="208"/>
      <c r="P720" s="208"/>
      <c r="Q720" s="208"/>
      <c r="R720" s="206"/>
      <c r="S720" s="206"/>
      <c r="T720" s="206"/>
      <c r="U720" s="206"/>
      <c r="V720" s="206"/>
      <c r="W720" s="206"/>
      <c r="X720" s="207"/>
      <c r="Y720" s="207"/>
      <c r="Z720" s="207"/>
      <c r="AA720" s="206"/>
      <c r="AB720" s="206"/>
      <c r="AC720" s="206"/>
      <c r="AD720" s="206"/>
      <c r="AE720" s="206"/>
      <c r="AF720" s="206"/>
      <c r="AG720" s="206"/>
      <c r="AH720" s="206"/>
      <c r="AI720" s="206"/>
      <c r="AJ720" s="206"/>
      <c r="AK720" s="206"/>
      <c r="AL720" s="206"/>
      <c r="AM720" s="206"/>
      <c r="AN720" s="206"/>
      <c r="AO720" s="206"/>
      <c r="AP720" s="206"/>
      <c r="AQ720" s="207"/>
      <c r="AR720" s="206"/>
      <c r="AS720" s="206"/>
      <c r="AT720" s="206"/>
      <c r="AU720" s="206"/>
      <c r="AV720" s="206"/>
      <c r="AW720" s="207"/>
      <c r="AX720" s="207"/>
      <c r="AY720" s="207"/>
      <c r="AZ720" s="207"/>
    </row>
    <row r="721" spans="1:52" ht="12.75" x14ac:dyDescent="0.2">
      <c r="A721" s="206"/>
      <c r="B721" s="206"/>
      <c r="C721" s="206"/>
      <c r="D721" s="206"/>
      <c r="E721" s="206"/>
      <c r="F721" s="206"/>
      <c r="G721" s="206"/>
      <c r="H721" s="206"/>
      <c r="I721" s="206"/>
      <c r="J721" s="206"/>
      <c r="K721" s="206"/>
      <c r="L721" s="206"/>
      <c r="M721" s="207"/>
      <c r="N721" s="207"/>
      <c r="O721" s="208"/>
      <c r="P721" s="208"/>
      <c r="Q721" s="208"/>
      <c r="R721" s="206"/>
      <c r="S721" s="206"/>
      <c r="T721" s="206"/>
      <c r="U721" s="206"/>
      <c r="V721" s="206"/>
      <c r="W721" s="206"/>
      <c r="X721" s="207"/>
      <c r="Y721" s="207"/>
      <c r="Z721" s="207"/>
      <c r="AA721" s="206"/>
      <c r="AB721" s="206"/>
      <c r="AC721" s="206"/>
      <c r="AD721" s="206"/>
      <c r="AE721" s="206"/>
      <c r="AF721" s="206"/>
      <c r="AG721" s="206"/>
      <c r="AH721" s="206"/>
      <c r="AI721" s="206"/>
      <c r="AJ721" s="206"/>
      <c r="AK721" s="206"/>
      <c r="AL721" s="206"/>
      <c r="AM721" s="206"/>
      <c r="AN721" s="206"/>
      <c r="AO721" s="206"/>
      <c r="AP721" s="206"/>
      <c r="AQ721" s="207"/>
      <c r="AR721" s="206"/>
      <c r="AS721" s="206"/>
      <c r="AT721" s="206"/>
      <c r="AU721" s="206"/>
      <c r="AV721" s="206"/>
      <c r="AW721" s="207"/>
      <c r="AX721" s="207"/>
      <c r="AY721" s="207"/>
      <c r="AZ721" s="207"/>
    </row>
    <row r="722" spans="1:52" ht="12.75" x14ac:dyDescent="0.2">
      <c r="A722" s="206"/>
      <c r="B722" s="206"/>
      <c r="C722" s="206"/>
      <c r="D722" s="206"/>
      <c r="E722" s="206"/>
      <c r="F722" s="206"/>
      <c r="G722" s="206"/>
      <c r="H722" s="206"/>
      <c r="I722" s="206"/>
      <c r="J722" s="206"/>
      <c r="K722" s="206"/>
      <c r="L722" s="206"/>
      <c r="M722" s="207"/>
      <c r="N722" s="207"/>
      <c r="O722" s="208"/>
      <c r="P722" s="208"/>
      <c r="Q722" s="208"/>
      <c r="R722" s="206"/>
      <c r="S722" s="206"/>
      <c r="T722" s="206"/>
      <c r="U722" s="206"/>
      <c r="V722" s="206"/>
      <c r="W722" s="206"/>
      <c r="X722" s="207"/>
      <c r="Y722" s="207"/>
      <c r="Z722" s="207"/>
      <c r="AA722" s="206"/>
      <c r="AB722" s="206"/>
      <c r="AC722" s="206"/>
      <c r="AD722" s="206"/>
      <c r="AE722" s="206"/>
      <c r="AF722" s="206"/>
      <c r="AG722" s="206"/>
      <c r="AH722" s="206"/>
      <c r="AI722" s="206"/>
      <c r="AJ722" s="206"/>
      <c r="AK722" s="206"/>
      <c r="AL722" s="206"/>
      <c r="AM722" s="206"/>
      <c r="AN722" s="206"/>
      <c r="AO722" s="206"/>
      <c r="AP722" s="206"/>
      <c r="AQ722" s="207"/>
      <c r="AR722" s="206"/>
      <c r="AS722" s="206"/>
      <c r="AT722" s="206"/>
      <c r="AU722" s="206"/>
      <c r="AV722" s="206"/>
      <c r="AW722" s="207"/>
      <c r="AX722" s="207"/>
      <c r="AY722" s="207"/>
      <c r="AZ722" s="207"/>
    </row>
    <row r="723" spans="1:52" ht="12.75" x14ac:dyDescent="0.2">
      <c r="A723" s="206"/>
      <c r="B723" s="206"/>
      <c r="C723" s="206"/>
      <c r="D723" s="206"/>
      <c r="E723" s="206"/>
      <c r="F723" s="206"/>
      <c r="G723" s="206"/>
      <c r="H723" s="206"/>
      <c r="I723" s="206"/>
      <c r="J723" s="206"/>
      <c r="K723" s="206"/>
      <c r="L723" s="206"/>
      <c r="M723" s="207"/>
      <c r="N723" s="207"/>
      <c r="O723" s="208"/>
      <c r="P723" s="208"/>
      <c r="Q723" s="208"/>
      <c r="R723" s="206"/>
      <c r="S723" s="206"/>
      <c r="T723" s="206"/>
      <c r="U723" s="206"/>
      <c r="V723" s="206"/>
      <c r="W723" s="206"/>
      <c r="X723" s="207"/>
      <c r="Y723" s="207"/>
      <c r="Z723" s="207"/>
      <c r="AA723" s="206"/>
      <c r="AB723" s="206"/>
      <c r="AC723" s="206"/>
      <c r="AD723" s="206"/>
      <c r="AE723" s="206"/>
      <c r="AF723" s="206"/>
      <c r="AG723" s="206"/>
      <c r="AH723" s="206"/>
      <c r="AI723" s="206"/>
      <c r="AJ723" s="206"/>
      <c r="AK723" s="206"/>
      <c r="AL723" s="206"/>
      <c r="AM723" s="206"/>
      <c r="AN723" s="206"/>
      <c r="AO723" s="206"/>
      <c r="AP723" s="206"/>
      <c r="AQ723" s="207"/>
      <c r="AR723" s="206"/>
      <c r="AS723" s="206"/>
      <c r="AT723" s="206"/>
      <c r="AU723" s="206"/>
      <c r="AV723" s="206"/>
      <c r="AW723" s="207"/>
      <c r="AX723" s="207"/>
      <c r="AY723" s="207"/>
      <c r="AZ723" s="207"/>
    </row>
    <row r="724" spans="1:52" ht="12.75" x14ac:dyDescent="0.2">
      <c r="A724" s="206"/>
      <c r="B724" s="206"/>
      <c r="C724" s="206"/>
      <c r="D724" s="206"/>
      <c r="E724" s="206"/>
      <c r="F724" s="206"/>
      <c r="G724" s="206"/>
      <c r="H724" s="206"/>
      <c r="I724" s="206"/>
      <c r="J724" s="206"/>
      <c r="K724" s="206"/>
      <c r="L724" s="206"/>
      <c r="M724" s="207"/>
      <c r="N724" s="207"/>
      <c r="O724" s="208"/>
      <c r="P724" s="208"/>
      <c r="Q724" s="208"/>
      <c r="R724" s="206"/>
      <c r="S724" s="206"/>
      <c r="T724" s="206"/>
      <c r="U724" s="206"/>
      <c r="V724" s="206"/>
      <c r="W724" s="206"/>
      <c r="X724" s="207"/>
      <c r="Y724" s="207"/>
      <c r="Z724" s="207"/>
      <c r="AA724" s="206"/>
      <c r="AB724" s="206"/>
      <c r="AC724" s="206"/>
      <c r="AD724" s="206"/>
      <c r="AE724" s="206"/>
      <c r="AF724" s="206"/>
      <c r="AG724" s="206"/>
      <c r="AH724" s="206"/>
      <c r="AI724" s="206"/>
      <c r="AJ724" s="206"/>
      <c r="AK724" s="206"/>
      <c r="AL724" s="206"/>
      <c r="AM724" s="206"/>
      <c r="AN724" s="206"/>
      <c r="AO724" s="206"/>
      <c r="AP724" s="206"/>
      <c r="AQ724" s="207"/>
      <c r="AR724" s="206"/>
      <c r="AS724" s="206"/>
      <c r="AT724" s="206"/>
      <c r="AU724" s="206"/>
      <c r="AV724" s="206"/>
      <c r="AW724" s="207"/>
      <c r="AX724" s="207"/>
      <c r="AY724" s="207"/>
      <c r="AZ724" s="207"/>
    </row>
    <row r="725" spans="1:52" ht="12.75" x14ac:dyDescent="0.2">
      <c r="A725" s="206"/>
      <c r="B725" s="206"/>
      <c r="C725" s="206"/>
      <c r="D725" s="206"/>
      <c r="E725" s="206"/>
      <c r="F725" s="206"/>
      <c r="G725" s="206"/>
      <c r="H725" s="206"/>
      <c r="I725" s="206"/>
      <c r="J725" s="206"/>
      <c r="K725" s="206"/>
      <c r="L725" s="206"/>
      <c r="M725" s="207"/>
      <c r="N725" s="207"/>
      <c r="O725" s="208"/>
      <c r="P725" s="208"/>
      <c r="Q725" s="208"/>
      <c r="R725" s="206"/>
      <c r="S725" s="206"/>
      <c r="T725" s="206"/>
      <c r="U725" s="206"/>
      <c r="V725" s="206"/>
      <c r="W725" s="206"/>
      <c r="X725" s="207"/>
      <c r="Y725" s="207"/>
      <c r="Z725" s="207"/>
      <c r="AA725" s="206"/>
      <c r="AB725" s="206"/>
      <c r="AC725" s="206"/>
      <c r="AD725" s="206"/>
      <c r="AE725" s="206"/>
      <c r="AF725" s="206"/>
      <c r="AG725" s="206"/>
      <c r="AH725" s="206"/>
      <c r="AI725" s="206"/>
      <c r="AJ725" s="206"/>
      <c r="AK725" s="206"/>
      <c r="AL725" s="206"/>
      <c r="AM725" s="206"/>
      <c r="AN725" s="206"/>
      <c r="AO725" s="206"/>
      <c r="AP725" s="206"/>
      <c r="AQ725" s="207"/>
      <c r="AR725" s="206"/>
      <c r="AS725" s="206"/>
      <c r="AT725" s="206"/>
      <c r="AU725" s="206"/>
      <c r="AV725" s="206"/>
      <c r="AW725" s="207"/>
      <c r="AX725" s="207"/>
      <c r="AY725" s="207"/>
      <c r="AZ725" s="207"/>
    </row>
    <row r="726" spans="1:52" ht="12.75" x14ac:dyDescent="0.2">
      <c r="A726" s="206"/>
      <c r="B726" s="206"/>
      <c r="C726" s="206"/>
      <c r="D726" s="206"/>
      <c r="E726" s="206"/>
      <c r="F726" s="206"/>
      <c r="G726" s="206"/>
      <c r="H726" s="206"/>
      <c r="I726" s="206"/>
      <c r="J726" s="206"/>
      <c r="K726" s="206"/>
      <c r="L726" s="206"/>
      <c r="M726" s="207"/>
      <c r="N726" s="207"/>
      <c r="O726" s="208"/>
      <c r="P726" s="208"/>
      <c r="Q726" s="208"/>
      <c r="R726" s="206"/>
      <c r="S726" s="206"/>
      <c r="T726" s="206"/>
      <c r="U726" s="206"/>
      <c r="V726" s="206"/>
      <c r="W726" s="206"/>
      <c r="X726" s="207"/>
      <c r="Y726" s="207"/>
      <c r="Z726" s="207"/>
      <c r="AA726" s="206"/>
      <c r="AB726" s="206"/>
      <c r="AC726" s="206"/>
      <c r="AD726" s="206"/>
      <c r="AE726" s="206"/>
      <c r="AF726" s="206"/>
      <c r="AG726" s="206"/>
      <c r="AH726" s="206"/>
      <c r="AI726" s="206"/>
      <c r="AJ726" s="206"/>
      <c r="AK726" s="206"/>
      <c r="AL726" s="206"/>
      <c r="AM726" s="206"/>
      <c r="AN726" s="206"/>
      <c r="AO726" s="206"/>
      <c r="AP726" s="206"/>
      <c r="AQ726" s="207"/>
      <c r="AR726" s="206"/>
      <c r="AS726" s="206"/>
      <c r="AT726" s="206"/>
      <c r="AU726" s="206"/>
      <c r="AV726" s="206"/>
      <c r="AW726" s="207"/>
      <c r="AX726" s="207"/>
      <c r="AY726" s="207"/>
      <c r="AZ726" s="207"/>
    </row>
    <row r="727" spans="1:52" ht="12.75" x14ac:dyDescent="0.2">
      <c r="A727" s="206"/>
      <c r="B727" s="206"/>
      <c r="C727" s="206"/>
      <c r="D727" s="206"/>
      <c r="E727" s="206"/>
      <c r="F727" s="206"/>
      <c r="G727" s="206"/>
      <c r="H727" s="206"/>
      <c r="I727" s="206"/>
      <c r="J727" s="206"/>
      <c r="K727" s="206"/>
      <c r="L727" s="206"/>
      <c r="M727" s="207"/>
      <c r="N727" s="207"/>
      <c r="O727" s="208"/>
      <c r="P727" s="208"/>
      <c r="Q727" s="208"/>
      <c r="R727" s="206"/>
      <c r="S727" s="206"/>
      <c r="T727" s="206"/>
      <c r="U727" s="206"/>
      <c r="V727" s="206"/>
      <c r="W727" s="206"/>
      <c r="X727" s="207"/>
      <c r="Y727" s="207"/>
      <c r="Z727" s="207"/>
      <c r="AA727" s="206"/>
      <c r="AB727" s="206"/>
      <c r="AC727" s="206"/>
      <c r="AD727" s="206"/>
      <c r="AE727" s="206"/>
      <c r="AF727" s="206"/>
      <c r="AG727" s="206"/>
      <c r="AH727" s="206"/>
      <c r="AI727" s="206"/>
      <c r="AJ727" s="206"/>
      <c r="AK727" s="206"/>
      <c r="AL727" s="206"/>
      <c r="AM727" s="206"/>
      <c r="AN727" s="206"/>
      <c r="AO727" s="206"/>
      <c r="AP727" s="206"/>
      <c r="AQ727" s="207"/>
      <c r="AR727" s="206"/>
      <c r="AS727" s="206"/>
      <c r="AT727" s="206"/>
      <c r="AU727" s="206"/>
      <c r="AV727" s="206"/>
      <c r="AW727" s="207"/>
      <c r="AX727" s="207"/>
      <c r="AY727" s="207"/>
      <c r="AZ727" s="207"/>
    </row>
    <row r="728" spans="1:52" ht="12.75" x14ac:dyDescent="0.2">
      <c r="A728" s="206"/>
      <c r="B728" s="206"/>
      <c r="C728" s="206"/>
      <c r="D728" s="206"/>
      <c r="E728" s="206"/>
      <c r="F728" s="206"/>
      <c r="G728" s="206"/>
      <c r="H728" s="206"/>
      <c r="I728" s="206"/>
      <c r="J728" s="206"/>
      <c r="K728" s="206"/>
      <c r="L728" s="206"/>
      <c r="M728" s="207"/>
      <c r="N728" s="207"/>
      <c r="O728" s="208"/>
      <c r="P728" s="208"/>
      <c r="Q728" s="208"/>
      <c r="R728" s="206"/>
      <c r="S728" s="206"/>
      <c r="T728" s="206"/>
      <c r="U728" s="206"/>
      <c r="V728" s="206"/>
      <c r="W728" s="206"/>
      <c r="X728" s="207"/>
      <c r="Y728" s="207"/>
      <c r="Z728" s="207"/>
      <c r="AA728" s="206"/>
      <c r="AB728" s="206"/>
      <c r="AC728" s="206"/>
      <c r="AD728" s="206"/>
      <c r="AE728" s="206"/>
      <c r="AF728" s="206"/>
      <c r="AG728" s="206"/>
      <c r="AH728" s="206"/>
      <c r="AI728" s="206"/>
      <c r="AJ728" s="206"/>
      <c r="AK728" s="206"/>
      <c r="AL728" s="206"/>
      <c r="AM728" s="206"/>
      <c r="AN728" s="206"/>
      <c r="AO728" s="206"/>
      <c r="AP728" s="206"/>
      <c r="AQ728" s="207"/>
      <c r="AR728" s="206"/>
      <c r="AS728" s="206"/>
      <c r="AT728" s="206"/>
      <c r="AU728" s="206"/>
      <c r="AV728" s="206"/>
      <c r="AW728" s="207"/>
      <c r="AX728" s="207"/>
      <c r="AY728" s="207"/>
      <c r="AZ728" s="207"/>
    </row>
    <row r="729" spans="1:52" ht="12.75" x14ac:dyDescent="0.2">
      <c r="A729" s="206"/>
      <c r="B729" s="206"/>
      <c r="C729" s="206"/>
      <c r="D729" s="206"/>
      <c r="E729" s="206"/>
      <c r="F729" s="206"/>
      <c r="G729" s="206"/>
      <c r="H729" s="206"/>
      <c r="I729" s="206"/>
      <c r="J729" s="206"/>
      <c r="K729" s="206"/>
      <c r="L729" s="206"/>
      <c r="M729" s="207"/>
      <c r="N729" s="207"/>
      <c r="O729" s="208"/>
      <c r="P729" s="208"/>
      <c r="Q729" s="208"/>
      <c r="R729" s="206"/>
      <c r="S729" s="206"/>
      <c r="T729" s="206"/>
      <c r="U729" s="206"/>
      <c r="V729" s="206"/>
      <c r="W729" s="206"/>
      <c r="X729" s="207"/>
      <c r="Y729" s="207"/>
      <c r="Z729" s="207"/>
      <c r="AA729" s="206"/>
      <c r="AB729" s="206"/>
      <c r="AC729" s="206"/>
      <c r="AD729" s="206"/>
      <c r="AE729" s="206"/>
      <c r="AF729" s="206"/>
      <c r="AG729" s="206"/>
      <c r="AH729" s="206"/>
      <c r="AI729" s="206"/>
      <c r="AJ729" s="206"/>
      <c r="AK729" s="206"/>
      <c r="AL729" s="206"/>
      <c r="AM729" s="206"/>
      <c r="AN729" s="206"/>
      <c r="AO729" s="206"/>
      <c r="AP729" s="206"/>
      <c r="AQ729" s="207"/>
      <c r="AR729" s="206"/>
      <c r="AS729" s="206"/>
      <c r="AT729" s="206"/>
      <c r="AU729" s="206"/>
      <c r="AV729" s="206"/>
      <c r="AW729" s="207"/>
      <c r="AX729" s="207"/>
      <c r="AY729" s="207"/>
      <c r="AZ729" s="207"/>
    </row>
    <row r="730" spans="1:52" ht="12.75" x14ac:dyDescent="0.2">
      <c r="A730" s="206"/>
      <c r="B730" s="206"/>
      <c r="C730" s="206"/>
      <c r="D730" s="206"/>
      <c r="E730" s="206"/>
      <c r="F730" s="206"/>
      <c r="G730" s="206"/>
      <c r="H730" s="206"/>
      <c r="I730" s="206"/>
      <c r="J730" s="206"/>
      <c r="K730" s="206"/>
      <c r="L730" s="206"/>
      <c r="M730" s="207"/>
      <c r="N730" s="207"/>
      <c r="O730" s="208"/>
      <c r="P730" s="208"/>
      <c r="Q730" s="208"/>
      <c r="R730" s="206"/>
      <c r="S730" s="206"/>
      <c r="T730" s="206"/>
      <c r="U730" s="206"/>
      <c r="V730" s="206"/>
      <c r="W730" s="206"/>
      <c r="X730" s="207"/>
      <c r="Y730" s="207"/>
      <c r="Z730" s="207"/>
      <c r="AA730" s="206"/>
      <c r="AB730" s="206"/>
      <c r="AC730" s="206"/>
      <c r="AD730" s="206"/>
      <c r="AE730" s="206"/>
      <c r="AF730" s="206"/>
      <c r="AG730" s="206"/>
      <c r="AH730" s="206"/>
      <c r="AI730" s="206"/>
      <c r="AJ730" s="206"/>
      <c r="AK730" s="206"/>
      <c r="AL730" s="206"/>
      <c r="AM730" s="206"/>
      <c r="AN730" s="206"/>
      <c r="AO730" s="206"/>
      <c r="AP730" s="206"/>
      <c r="AQ730" s="207"/>
      <c r="AR730" s="206"/>
      <c r="AS730" s="206"/>
      <c r="AT730" s="206"/>
      <c r="AU730" s="206"/>
      <c r="AV730" s="206"/>
      <c r="AW730" s="207"/>
      <c r="AX730" s="207"/>
      <c r="AY730" s="207"/>
      <c r="AZ730" s="207"/>
    </row>
    <row r="731" spans="1:52" ht="12.75" x14ac:dyDescent="0.2">
      <c r="A731" s="206"/>
      <c r="B731" s="206"/>
      <c r="C731" s="206"/>
      <c r="D731" s="206"/>
      <c r="E731" s="206"/>
      <c r="F731" s="206"/>
      <c r="G731" s="206"/>
      <c r="H731" s="206"/>
      <c r="I731" s="206"/>
      <c r="J731" s="206"/>
      <c r="K731" s="206"/>
      <c r="L731" s="206"/>
      <c r="M731" s="207"/>
      <c r="N731" s="207"/>
      <c r="O731" s="208"/>
      <c r="P731" s="208"/>
      <c r="Q731" s="208"/>
      <c r="R731" s="206"/>
      <c r="S731" s="206"/>
      <c r="T731" s="206"/>
      <c r="U731" s="206"/>
      <c r="V731" s="206"/>
      <c r="W731" s="206"/>
      <c r="X731" s="207"/>
      <c r="Y731" s="207"/>
      <c r="Z731" s="207"/>
      <c r="AA731" s="206"/>
      <c r="AB731" s="206"/>
      <c r="AC731" s="206"/>
      <c r="AD731" s="206"/>
      <c r="AE731" s="206"/>
      <c r="AF731" s="206"/>
      <c r="AG731" s="206"/>
      <c r="AH731" s="206"/>
      <c r="AI731" s="206"/>
      <c r="AJ731" s="206"/>
      <c r="AK731" s="206"/>
      <c r="AL731" s="206"/>
      <c r="AM731" s="206"/>
      <c r="AN731" s="206"/>
      <c r="AO731" s="206"/>
      <c r="AP731" s="206"/>
      <c r="AQ731" s="207"/>
      <c r="AR731" s="206"/>
      <c r="AS731" s="206"/>
      <c r="AT731" s="206"/>
      <c r="AU731" s="206"/>
      <c r="AV731" s="206"/>
      <c r="AW731" s="207"/>
      <c r="AX731" s="207"/>
      <c r="AY731" s="207"/>
      <c r="AZ731" s="207"/>
    </row>
    <row r="732" spans="1:52" ht="12.75" x14ac:dyDescent="0.2">
      <c r="A732" s="206"/>
      <c r="B732" s="206"/>
      <c r="C732" s="206"/>
      <c r="D732" s="206"/>
      <c r="E732" s="206"/>
      <c r="F732" s="206"/>
      <c r="G732" s="206"/>
      <c r="H732" s="206"/>
      <c r="I732" s="206"/>
      <c r="J732" s="206"/>
      <c r="K732" s="206"/>
      <c r="L732" s="206"/>
      <c r="M732" s="207"/>
      <c r="N732" s="207"/>
      <c r="O732" s="208"/>
      <c r="P732" s="208"/>
      <c r="Q732" s="208"/>
      <c r="R732" s="206"/>
      <c r="S732" s="206"/>
      <c r="T732" s="206"/>
      <c r="U732" s="206"/>
      <c r="V732" s="206"/>
      <c r="W732" s="206"/>
      <c r="X732" s="207"/>
      <c r="Y732" s="207"/>
      <c r="Z732" s="207"/>
      <c r="AA732" s="206"/>
      <c r="AB732" s="206"/>
      <c r="AC732" s="206"/>
      <c r="AD732" s="206"/>
      <c r="AE732" s="206"/>
      <c r="AF732" s="206"/>
      <c r="AG732" s="206"/>
      <c r="AH732" s="206"/>
      <c r="AI732" s="206"/>
      <c r="AJ732" s="206"/>
      <c r="AK732" s="206"/>
      <c r="AL732" s="206"/>
      <c r="AM732" s="206"/>
      <c r="AN732" s="206"/>
      <c r="AO732" s="206"/>
      <c r="AP732" s="206"/>
      <c r="AQ732" s="207"/>
      <c r="AR732" s="206"/>
      <c r="AS732" s="206"/>
      <c r="AT732" s="206"/>
      <c r="AU732" s="206"/>
      <c r="AV732" s="206"/>
      <c r="AW732" s="207"/>
      <c r="AX732" s="207"/>
      <c r="AY732" s="207"/>
      <c r="AZ732" s="207"/>
    </row>
    <row r="733" spans="1:52" ht="12.75" x14ac:dyDescent="0.2">
      <c r="A733" s="206"/>
      <c r="B733" s="206"/>
      <c r="C733" s="206"/>
      <c r="D733" s="206"/>
      <c r="E733" s="206"/>
      <c r="F733" s="206"/>
      <c r="G733" s="206"/>
      <c r="H733" s="206"/>
      <c r="I733" s="206"/>
      <c r="J733" s="206"/>
      <c r="K733" s="206"/>
      <c r="L733" s="206"/>
      <c r="M733" s="207"/>
      <c r="N733" s="207"/>
      <c r="O733" s="208"/>
      <c r="P733" s="208"/>
      <c r="Q733" s="208"/>
      <c r="R733" s="206"/>
      <c r="S733" s="206"/>
      <c r="T733" s="206"/>
      <c r="U733" s="206"/>
      <c r="V733" s="206"/>
      <c r="W733" s="206"/>
      <c r="X733" s="207"/>
      <c r="Y733" s="207"/>
      <c r="Z733" s="207"/>
      <c r="AA733" s="206"/>
      <c r="AB733" s="206"/>
      <c r="AC733" s="206"/>
      <c r="AD733" s="206"/>
      <c r="AE733" s="206"/>
      <c r="AF733" s="206"/>
      <c r="AG733" s="206"/>
      <c r="AH733" s="206"/>
      <c r="AI733" s="206"/>
      <c r="AJ733" s="206"/>
      <c r="AK733" s="206"/>
      <c r="AL733" s="206"/>
      <c r="AM733" s="206"/>
      <c r="AN733" s="206"/>
      <c r="AO733" s="206"/>
      <c r="AP733" s="206"/>
      <c r="AQ733" s="207"/>
      <c r="AR733" s="206"/>
      <c r="AS733" s="206"/>
      <c r="AT733" s="206"/>
      <c r="AU733" s="206"/>
      <c r="AV733" s="206"/>
      <c r="AW733" s="207"/>
      <c r="AX733" s="207"/>
      <c r="AY733" s="207"/>
      <c r="AZ733" s="207"/>
    </row>
    <row r="734" spans="1:52" ht="12.75" x14ac:dyDescent="0.2">
      <c r="A734" s="206"/>
      <c r="B734" s="206"/>
      <c r="C734" s="206"/>
      <c r="D734" s="206"/>
      <c r="E734" s="206"/>
      <c r="F734" s="206"/>
      <c r="G734" s="206"/>
      <c r="H734" s="206"/>
      <c r="I734" s="206"/>
      <c r="J734" s="206"/>
      <c r="K734" s="206"/>
      <c r="L734" s="206"/>
      <c r="M734" s="207"/>
      <c r="N734" s="207"/>
      <c r="O734" s="208"/>
      <c r="P734" s="208"/>
      <c r="Q734" s="208"/>
      <c r="R734" s="206"/>
      <c r="S734" s="206"/>
      <c r="T734" s="206"/>
      <c r="U734" s="206"/>
      <c r="V734" s="206"/>
      <c r="W734" s="206"/>
      <c r="X734" s="207"/>
      <c r="Y734" s="207"/>
      <c r="Z734" s="207"/>
      <c r="AA734" s="206"/>
      <c r="AB734" s="206"/>
      <c r="AC734" s="206"/>
      <c r="AD734" s="206"/>
      <c r="AE734" s="206"/>
      <c r="AF734" s="206"/>
      <c r="AG734" s="206"/>
      <c r="AH734" s="206"/>
      <c r="AI734" s="206"/>
      <c r="AJ734" s="206"/>
      <c r="AK734" s="206"/>
      <c r="AL734" s="206"/>
      <c r="AM734" s="206"/>
      <c r="AN734" s="206"/>
      <c r="AO734" s="206"/>
      <c r="AP734" s="206"/>
      <c r="AQ734" s="207"/>
      <c r="AR734" s="206"/>
      <c r="AS734" s="206"/>
      <c r="AT734" s="206"/>
      <c r="AU734" s="206"/>
      <c r="AV734" s="206"/>
      <c r="AW734" s="207"/>
      <c r="AX734" s="207"/>
      <c r="AY734" s="207"/>
      <c r="AZ734" s="207"/>
    </row>
    <row r="735" spans="1:52" ht="12.75" x14ac:dyDescent="0.2">
      <c r="A735" s="206"/>
      <c r="B735" s="206"/>
      <c r="C735" s="206"/>
      <c r="D735" s="206"/>
      <c r="E735" s="206"/>
      <c r="F735" s="206"/>
      <c r="G735" s="206"/>
      <c r="H735" s="206"/>
      <c r="I735" s="206"/>
      <c r="J735" s="206"/>
      <c r="K735" s="206"/>
      <c r="L735" s="206"/>
      <c r="M735" s="207"/>
      <c r="N735" s="207"/>
      <c r="O735" s="208"/>
      <c r="P735" s="208"/>
      <c r="Q735" s="208"/>
      <c r="R735" s="206"/>
      <c r="S735" s="206"/>
      <c r="T735" s="206"/>
      <c r="U735" s="206"/>
      <c r="V735" s="206"/>
      <c r="W735" s="206"/>
      <c r="X735" s="207"/>
      <c r="Y735" s="207"/>
      <c r="Z735" s="207"/>
      <c r="AA735" s="206"/>
      <c r="AB735" s="206"/>
      <c r="AC735" s="206"/>
      <c r="AD735" s="206"/>
      <c r="AE735" s="206"/>
      <c r="AF735" s="206"/>
      <c r="AG735" s="206"/>
      <c r="AH735" s="206"/>
      <c r="AI735" s="206"/>
      <c r="AJ735" s="206"/>
      <c r="AK735" s="206"/>
      <c r="AL735" s="206"/>
      <c r="AM735" s="206"/>
      <c r="AN735" s="206"/>
      <c r="AO735" s="206"/>
      <c r="AP735" s="206"/>
      <c r="AQ735" s="207"/>
      <c r="AR735" s="206"/>
      <c r="AS735" s="206"/>
      <c r="AT735" s="206"/>
      <c r="AU735" s="206"/>
      <c r="AV735" s="206"/>
      <c r="AW735" s="207"/>
      <c r="AX735" s="207"/>
      <c r="AY735" s="207"/>
      <c r="AZ735" s="207"/>
    </row>
    <row r="736" spans="1:52" ht="12.75" x14ac:dyDescent="0.2">
      <c r="A736" s="206"/>
      <c r="B736" s="206"/>
      <c r="C736" s="206"/>
      <c r="D736" s="206"/>
      <c r="E736" s="206"/>
      <c r="F736" s="206"/>
      <c r="G736" s="206"/>
      <c r="H736" s="206"/>
      <c r="I736" s="206"/>
      <c r="J736" s="206"/>
      <c r="K736" s="206"/>
      <c r="L736" s="206"/>
      <c r="M736" s="207"/>
      <c r="N736" s="207"/>
      <c r="O736" s="208"/>
      <c r="P736" s="208"/>
      <c r="Q736" s="208"/>
      <c r="R736" s="206"/>
      <c r="S736" s="206"/>
      <c r="T736" s="206"/>
      <c r="U736" s="206"/>
      <c r="V736" s="206"/>
      <c r="W736" s="206"/>
      <c r="X736" s="207"/>
      <c r="Y736" s="207"/>
      <c r="Z736" s="207"/>
      <c r="AA736" s="206"/>
      <c r="AB736" s="206"/>
      <c r="AC736" s="206"/>
      <c r="AD736" s="206"/>
      <c r="AE736" s="206"/>
      <c r="AF736" s="206"/>
      <c r="AG736" s="206"/>
      <c r="AH736" s="206"/>
      <c r="AI736" s="206"/>
      <c r="AJ736" s="206"/>
      <c r="AK736" s="206"/>
      <c r="AL736" s="206"/>
      <c r="AM736" s="206"/>
      <c r="AN736" s="206"/>
      <c r="AO736" s="206"/>
      <c r="AP736" s="206"/>
      <c r="AQ736" s="207"/>
      <c r="AR736" s="206"/>
      <c r="AS736" s="206"/>
      <c r="AT736" s="206"/>
      <c r="AU736" s="206"/>
      <c r="AV736" s="206"/>
      <c r="AW736" s="207"/>
      <c r="AX736" s="207"/>
      <c r="AY736" s="207"/>
      <c r="AZ736" s="207"/>
    </row>
    <row r="737" spans="1:52" ht="12.75" x14ac:dyDescent="0.2">
      <c r="A737" s="206"/>
      <c r="B737" s="206"/>
      <c r="C737" s="206"/>
      <c r="D737" s="206"/>
      <c r="E737" s="206"/>
      <c r="F737" s="206"/>
      <c r="G737" s="206"/>
      <c r="H737" s="206"/>
      <c r="I737" s="206"/>
      <c r="J737" s="206"/>
      <c r="K737" s="206"/>
      <c r="L737" s="206"/>
      <c r="M737" s="207"/>
      <c r="N737" s="207"/>
      <c r="O737" s="208"/>
      <c r="P737" s="208"/>
      <c r="Q737" s="208"/>
      <c r="R737" s="206"/>
      <c r="S737" s="206"/>
      <c r="T737" s="206"/>
      <c r="U737" s="206"/>
      <c r="V737" s="206"/>
      <c r="W737" s="206"/>
      <c r="X737" s="207"/>
      <c r="Y737" s="207"/>
      <c r="Z737" s="207"/>
      <c r="AA737" s="206"/>
      <c r="AB737" s="206"/>
      <c r="AC737" s="206"/>
      <c r="AD737" s="206"/>
      <c r="AE737" s="206"/>
      <c r="AF737" s="206"/>
      <c r="AG737" s="206"/>
      <c r="AH737" s="206"/>
      <c r="AI737" s="206"/>
      <c r="AJ737" s="206"/>
      <c r="AK737" s="206"/>
      <c r="AL737" s="206"/>
      <c r="AM737" s="206"/>
      <c r="AN737" s="206"/>
      <c r="AO737" s="206"/>
      <c r="AP737" s="206"/>
      <c r="AQ737" s="207"/>
      <c r="AR737" s="206"/>
      <c r="AS737" s="206"/>
      <c r="AT737" s="206"/>
      <c r="AU737" s="206"/>
      <c r="AV737" s="206"/>
      <c r="AW737" s="207"/>
      <c r="AX737" s="207"/>
      <c r="AY737" s="207"/>
      <c r="AZ737" s="207"/>
    </row>
    <row r="738" spans="1:52" ht="12.75" x14ac:dyDescent="0.2">
      <c r="A738" s="206"/>
      <c r="B738" s="206"/>
      <c r="C738" s="206"/>
      <c r="D738" s="206"/>
      <c r="E738" s="206"/>
      <c r="F738" s="206"/>
      <c r="G738" s="206"/>
      <c r="H738" s="206"/>
      <c r="I738" s="206"/>
      <c r="J738" s="206"/>
      <c r="K738" s="206"/>
      <c r="L738" s="206"/>
      <c r="M738" s="207"/>
      <c r="N738" s="207"/>
      <c r="O738" s="208"/>
      <c r="P738" s="208"/>
      <c r="Q738" s="208"/>
      <c r="R738" s="206"/>
      <c r="S738" s="206"/>
      <c r="T738" s="206"/>
      <c r="U738" s="206"/>
      <c r="V738" s="206"/>
      <c r="W738" s="206"/>
      <c r="X738" s="207"/>
      <c r="Y738" s="207"/>
      <c r="Z738" s="207"/>
      <c r="AA738" s="206"/>
      <c r="AB738" s="206"/>
      <c r="AC738" s="206"/>
      <c r="AD738" s="206"/>
      <c r="AE738" s="206"/>
      <c r="AF738" s="206"/>
      <c r="AG738" s="206"/>
      <c r="AH738" s="206"/>
      <c r="AI738" s="206"/>
      <c r="AJ738" s="206"/>
      <c r="AK738" s="206"/>
      <c r="AL738" s="206"/>
      <c r="AM738" s="206"/>
      <c r="AN738" s="206"/>
      <c r="AO738" s="206"/>
      <c r="AP738" s="206"/>
      <c r="AQ738" s="207"/>
      <c r="AR738" s="206"/>
      <c r="AS738" s="206"/>
      <c r="AT738" s="206"/>
      <c r="AU738" s="206"/>
      <c r="AV738" s="206"/>
      <c r="AW738" s="207"/>
      <c r="AX738" s="207"/>
      <c r="AY738" s="207"/>
      <c r="AZ738" s="207"/>
    </row>
    <row r="739" spans="1:52" ht="12.75" x14ac:dyDescent="0.2">
      <c r="A739" s="206"/>
      <c r="B739" s="206"/>
      <c r="C739" s="206"/>
      <c r="D739" s="206"/>
      <c r="E739" s="206"/>
      <c r="F739" s="206"/>
      <c r="G739" s="206"/>
      <c r="H739" s="206"/>
      <c r="I739" s="206"/>
      <c r="J739" s="206"/>
      <c r="K739" s="206"/>
      <c r="L739" s="206"/>
      <c r="M739" s="207"/>
      <c r="N739" s="207"/>
      <c r="O739" s="208"/>
      <c r="P739" s="208"/>
      <c r="Q739" s="208"/>
      <c r="R739" s="206"/>
      <c r="S739" s="206"/>
      <c r="T739" s="206"/>
      <c r="U739" s="206"/>
      <c r="V739" s="206"/>
      <c r="W739" s="206"/>
      <c r="X739" s="207"/>
      <c r="Y739" s="207"/>
      <c r="Z739" s="207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7"/>
      <c r="AR739" s="206"/>
      <c r="AS739" s="206"/>
      <c r="AT739" s="206"/>
      <c r="AU739" s="206"/>
      <c r="AV739" s="206"/>
      <c r="AW739" s="207"/>
      <c r="AX739" s="207"/>
      <c r="AY739" s="207"/>
      <c r="AZ739" s="207"/>
    </row>
    <row r="740" spans="1:52" ht="12.75" x14ac:dyDescent="0.2">
      <c r="A740" s="206"/>
      <c r="B740" s="206"/>
      <c r="C740" s="206"/>
      <c r="D740" s="206"/>
      <c r="E740" s="206"/>
      <c r="F740" s="206"/>
      <c r="G740" s="206"/>
      <c r="H740" s="206"/>
      <c r="I740" s="206"/>
      <c r="J740" s="206"/>
      <c r="K740" s="206"/>
      <c r="L740" s="206"/>
      <c r="M740" s="207"/>
      <c r="N740" s="207"/>
      <c r="O740" s="208"/>
      <c r="P740" s="208"/>
      <c r="Q740" s="208"/>
      <c r="R740" s="206"/>
      <c r="S740" s="206"/>
      <c r="T740" s="206"/>
      <c r="U740" s="206"/>
      <c r="V740" s="206"/>
      <c r="W740" s="206"/>
      <c r="X740" s="207"/>
      <c r="Y740" s="207"/>
      <c r="Z740" s="207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7"/>
      <c r="AR740" s="206"/>
      <c r="AS740" s="206"/>
      <c r="AT740" s="206"/>
      <c r="AU740" s="206"/>
      <c r="AV740" s="206"/>
      <c r="AW740" s="207"/>
      <c r="AX740" s="207"/>
      <c r="AY740" s="207"/>
      <c r="AZ740" s="207"/>
    </row>
    <row r="741" spans="1:52" ht="12.75" x14ac:dyDescent="0.2">
      <c r="A741" s="206"/>
      <c r="B741" s="206"/>
      <c r="C741" s="206"/>
      <c r="D741" s="206"/>
      <c r="E741" s="206"/>
      <c r="F741" s="206"/>
      <c r="G741" s="206"/>
      <c r="H741" s="206"/>
      <c r="I741" s="206"/>
      <c r="J741" s="206"/>
      <c r="K741" s="206"/>
      <c r="L741" s="206"/>
      <c r="M741" s="207"/>
      <c r="N741" s="207"/>
      <c r="O741" s="208"/>
      <c r="P741" s="208"/>
      <c r="Q741" s="208"/>
      <c r="R741" s="206"/>
      <c r="S741" s="206"/>
      <c r="T741" s="206"/>
      <c r="U741" s="206"/>
      <c r="V741" s="206"/>
      <c r="W741" s="206"/>
      <c r="X741" s="207"/>
      <c r="Y741" s="207"/>
      <c r="Z741" s="207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7"/>
      <c r="AR741" s="206"/>
      <c r="AS741" s="206"/>
      <c r="AT741" s="206"/>
      <c r="AU741" s="206"/>
      <c r="AV741" s="206"/>
      <c r="AW741" s="207"/>
      <c r="AX741" s="207"/>
      <c r="AY741" s="207"/>
      <c r="AZ741" s="207"/>
    </row>
    <row r="742" spans="1:52" ht="12.75" x14ac:dyDescent="0.2">
      <c r="A742" s="206"/>
      <c r="B742" s="206"/>
      <c r="C742" s="206"/>
      <c r="D742" s="206"/>
      <c r="E742" s="206"/>
      <c r="F742" s="206"/>
      <c r="G742" s="206"/>
      <c r="H742" s="206"/>
      <c r="I742" s="206"/>
      <c r="J742" s="206"/>
      <c r="K742" s="206"/>
      <c r="L742" s="206"/>
      <c r="M742" s="207"/>
      <c r="N742" s="207"/>
      <c r="O742" s="208"/>
      <c r="P742" s="208"/>
      <c r="Q742" s="208"/>
      <c r="R742" s="206"/>
      <c r="S742" s="206"/>
      <c r="T742" s="206"/>
      <c r="U742" s="206"/>
      <c r="V742" s="206"/>
      <c r="W742" s="206"/>
      <c r="X742" s="207"/>
      <c r="Y742" s="207"/>
      <c r="Z742" s="207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7"/>
      <c r="AR742" s="206"/>
      <c r="AS742" s="206"/>
      <c r="AT742" s="206"/>
      <c r="AU742" s="206"/>
      <c r="AV742" s="206"/>
      <c r="AW742" s="207"/>
      <c r="AX742" s="207"/>
      <c r="AY742" s="207"/>
      <c r="AZ742" s="207"/>
    </row>
    <row r="743" spans="1:52" ht="12.75" x14ac:dyDescent="0.2">
      <c r="A743" s="206"/>
      <c r="B743" s="206"/>
      <c r="C743" s="206"/>
      <c r="D743" s="206"/>
      <c r="E743" s="206"/>
      <c r="F743" s="206"/>
      <c r="G743" s="206"/>
      <c r="H743" s="206"/>
      <c r="I743" s="206"/>
      <c r="J743" s="206"/>
      <c r="K743" s="206"/>
      <c r="L743" s="206"/>
      <c r="M743" s="207"/>
      <c r="N743" s="207"/>
      <c r="O743" s="208"/>
      <c r="P743" s="208"/>
      <c r="Q743" s="208"/>
      <c r="R743" s="206"/>
      <c r="S743" s="206"/>
      <c r="T743" s="206"/>
      <c r="U743" s="206"/>
      <c r="V743" s="206"/>
      <c r="W743" s="206"/>
      <c r="X743" s="207"/>
      <c r="Y743" s="207"/>
      <c r="Z743" s="207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7"/>
      <c r="AR743" s="206"/>
      <c r="AS743" s="206"/>
      <c r="AT743" s="206"/>
      <c r="AU743" s="206"/>
      <c r="AV743" s="206"/>
      <c r="AW743" s="207"/>
      <c r="AX743" s="207"/>
      <c r="AY743" s="207"/>
      <c r="AZ743" s="207"/>
    </row>
    <row r="744" spans="1:52" ht="12.75" x14ac:dyDescent="0.2">
      <c r="A744" s="206"/>
      <c r="B744" s="206"/>
      <c r="C744" s="206"/>
      <c r="D744" s="206"/>
      <c r="E744" s="206"/>
      <c r="F744" s="206"/>
      <c r="G744" s="206"/>
      <c r="H744" s="206"/>
      <c r="I744" s="206"/>
      <c r="J744" s="206"/>
      <c r="K744" s="206"/>
      <c r="L744" s="206"/>
      <c r="M744" s="207"/>
      <c r="N744" s="207"/>
      <c r="O744" s="208"/>
      <c r="P744" s="208"/>
      <c r="Q744" s="208"/>
      <c r="R744" s="206"/>
      <c r="S744" s="206"/>
      <c r="T744" s="206"/>
      <c r="U744" s="206"/>
      <c r="V744" s="206"/>
      <c r="W744" s="206"/>
      <c r="X744" s="207"/>
      <c r="Y744" s="207"/>
      <c r="Z744" s="207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7"/>
      <c r="AR744" s="206"/>
      <c r="AS744" s="206"/>
      <c r="AT744" s="206"/>
      <c r="AU744" s="206"/>
      <c r="AV744" s="206"/>
      <c r="AW744" s="207"/>
      <c r="AX744" s="207"/>
      <c r="AY744" s="207"/>
      <c r="AZ744" s="207"/>
    </row>
    <row r="745" spans="1:52" ht="12.75" x14ac:dyDescent="0.2">
      <c r="A745" s="206"/>
      <c r="B745" s="206"/>
      <c r="C745" s="206"/>
      <c r="D745" s="206"/>
      <c r="E745" s="206"/>
      <c r="F745" s="206"/>
      <c r="G745" s="206"/>
      <c r="H745" s="206"/>
      <c r="I745" s="206"/>
      <c r="J745" s="206"/>
      <c r="K745" s="206"/>
      <c r="L745" s="206"/>
      <c r="M745" s="207"/>
      <c r="N745" s="207"/>
      <c r="O745" s="208"/>
      <c r="P745" s="208"/>
      <c r="Q745" s="208"/>
      <c r="R745" s="206"/>
      <c r="S745" s="206"/>
      <c r="T745" s="206"/>
      <c r="U745" s="206"/>
      <c r="V745" s="206"/>
      <c r="W745" s="206"/>
      <c r="X745" s="207"/>
      <c r="Y745" s="207"/>
      <c r="Z745" s="207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7"/>
      <c r="AR745" s="206"/>
      <c r="AS745" s="206"/>
      <c r="AT745" s="206"/>
      <c r="AU745" s="206"/>
      <c r="AV745" s="206"/>
      <c r="AW745" s="207"/>
      <c r="AX745" s="207"/>
      <c r="AY745" s="207"/>
      <c r="AZ745" s="207"/>
    </row>
    <row r="746" spans="1:52" ht="12.75" x14ac:dyDescent="0.2">
      <c r="A746" s="206"/>
      <c r="B746" s="206"/>
      <c r="C746" s="206"/>
      <c r="D746" s="206"/>
      <c r="E746" s="206"/>
      <c r="F746" s="206"/>
      <c r="G746" s="206"/>
      <c r="H746" s="206"/>
      <c r="I746" s="206"/>
      <c r="J746" s="206"/>
      <c r="K746" s="206"/>
      <c r="L746" s="206"/>
      <c r="M746" s="207"/>
      <c r="N746" s="207"/>
      <c r="O746" s="208"/>
      <c r="P746" s="208"/>
      <c r="Q746" s="208"/>
      <c r="R746" s="206"/>
      <c r="S746" s="206"/>
      <c r="T746" s="206"/>
      <c r="U746" s="206"/>
      <c r="V746" s="206"/>
      <c r="W746" s="206"/>
      <c r="X746" s="207"/>
      <c r="Y746" s="207"/>
      <c r="Z746" s="207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7"/>
      <c r="AR746" s="206"/>
      <c r="AS746" s="206"/>
      <c r="AT746" s="206"/>
      <c r="AU746" s="206"/>
      <c r="AV746" s="206"/>
      <c r="AW746" s="207"/>
      <c r="AX746" s="207"/>
      <c r="AY746" s="207"/>
      <c r="AZ746" s="207"/>
    </row>
    <row r="747" spans="1:52" ht="12.75" x14ac:dyDescent="0.2">
      <c r="A747" s="206"/>
      <c r="B747" s="206"/>
      <c r="C747" s="206"/>
      <c r="D747" s="206"/>
      <c r="E747" s="206"/>
      <c r="F747" s="206"/>
      <c r="G747" s="206"/>
      <c r="H747" s="206"/>
      <c r="I747" s="206"/>
      <c r="J747" s="206"/>
      <c r="K747" s="206"/>
      <c r="L747" s="206"/>
      <c r="M747" s="207"/>
      <c r="N747" s="207"/>
      <c r="O747" s="208"/>
      <c r="P747" s="208"/>
      <c r="Q747" s="208"/>
      <c r="R747" s="206"/>
      <c r="S747" s="206"/>
      <c r="T747" s="206"/>
      <c r="U747" s="206"/>
      <c r="V747" s="206"/>
      <c r="W747" s="206"/>
      <c r="X747" s="207"/>
      <c r="Y747" s="207"/>
      <c r="Z747" s="207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7"/>
      <c r="AR747" s="206"/>
      <c r="AS747" s="206"/>
      <c r="AT747" s="206"/>
      <c r="AU747" s="206"/>
      <c r="AV747" s="206"/>
      <c r="AW747" s="207"/>
      <c r="AX747" s="207"/>
      <c r="AY747" s="207"/>
      <c r="AZ747" s="207"/>
    </row>
    <row r="748" spans="1:52" ht="12.75" x14ac:dyDescent="0.2">
      <c r="A748" s="206"/>
      <c r="B748" s="206"/>
      <c r="C748" s="206"/>
      <c r="D748" s="206"/>
      <c r="E748" s="206"/>
      <c r="F748" s="206"/>
      <c r="G748" s="206"/>
      <c r="H748" s="206"/>
      <c r="I748" s="206"/>
      <c r="J748" s="206"/>
      <c r="K748" s="206"/>
      <c r="L748" s="206"/>
      <c r="M748" s="207"/>
      <c r="N748" s="207"/>
      <c r="O748" s="208"/>
      <c r="P748" s="208"/>
      <c r="Q748" s="208"/>
      <c r="R748" s="206"/>
      <c r="S748" s="206"/>
      <c r="T748" s="206"/>
      <c r="U748" s="206"/>
      <c r="V748" s="206"/>
      <c r="W748" s="206"/>
      <c r="X748" s="207"/>
      <c r="Y748" s="207"/>
      <c r="Z748" s="207"/>
      <c r="AA748" s="206"/>
      <c r="AB748" s="206"/>
      <c r="AC748" s="206"/>
      <c r="AD748" s="206"/>
      <c r="AE748" s="206"/>
      <c r="AF748" s="206"/>
      <c r="AG748" s="206"/>
      <c r="AH748" s="206"/>
      <c r="AI748" s="206"/>
      <c r="AJ748" s="206"/>
      <c r="AK748" s="206"/>
      <c r="AL748" s="206"/>
      <c r="AM748" s="206"/>
      <c r="AN748" s="206"/>
      <c r="AO748" s="206"/>
      <c r="AP748" s="206"/>
      <c r="AQ748" s="207"/>
      <c r="AR748" s="206"/>
      <c r="AS748" s="206"/>
      <c r="AT748" s="206"/>
      <c r="AU748" s="206"/>
      <c r="AV748" s="206"/>
      <c r="AW748" s="207"/>
      <c r="AX748" s="207"/>
      <c r="AY748" s="207"/>
      <c r="AZ748" s="207"/>
    </row>
    <row r="749" spans="1:52" ht="12.75" x14ac:dyDescent="0.2">
      <c r="A749" s="206"/>
      <c r="B749" s="206"/>
      <c r="C749" s="206"/>
      <c r="D749" s="206"/>
      <c r="E749" s="206"/>
      <c r="F749" s="206"/>
      <c r="G749" s="206"/>
      <c r="H749" s="206"/>
      <c r="I749" s="206"/>
      <c r="J749" s="206"/>
      <c r="K749" s="206"/>
      <c r="L749" s="206"/>
      <c r="M749" s="207"/>
      <c r="N749" s="207"/>
      <c r="O749" s="208"/>
      <c r="P749" s="208"/>
      <c r="Q749" s="208"/>
      <c r="R749" s="206"/>
      <c r="S749" s="206"/>
      <c r="T749" s="206"/>
      <c r="U749" s="206"/>
      <c r="V749" s="206"/>
      <c r="W749" s="206"/>
      <c r="X749" s="207"/>
      <c r="Y749" s="207"/>
      <c r="Z749" s="207"/>
      <c r="AA749" s="206"/>
      <c r="AB749" s="206"/>
      <c r="AC749" s="206"/>
      <c r="AD749" s="206"/>
      <c r="AE749" s="206"/>
      <c r="AF749" s="206"/>
      <c r="AG749" s="206"/>
      <c r="AH749" s="206"/>
      <c r="AI749" s="206"/>
      <c r="AJ749" s="206"/>
      <c r="AK749" s="206"/>
      <c r="AL749" s="206"/>
      <c r="AM749" s="206"/>
      <c r="AN749" s="206"/>
      <c r="AO749" s="206"/>
      <c r="AP749" s="206"/>
      <c r="AQ749" s="207"/>
      <c r="AR749" s="206"/>
      <c r="AS749" s="206"/>
      <c r="AT749" s="206"/>
      <c r="AU749" s="206"/>
      <c r="AV749" s="206"/>
      <c r="AW749" s="207"/>
      <c r="AX749" s="207"/>
      <c r="AY749" s="207"/>
      <c r="AZ749" s="207"/>
    </row>
    <row r="750" spans="1:52" ht="12.75" x14ac:dyDescent="0.2">
      <c r="A750" s="206"/>
      <c r="B750" s="206"/>
      <c r="C750" s="206"/>
      <c r="D750" s="206"/>
      <c r="E750" s="206"/>
      <c r="F750" s="206"/>
      <c r="G750" s="206"/>
      <c r="H750" s="206"/>
      <c r="I750" s="206"/>
      <c r="J750" s="206"/>
      <c r="K750" s="206"/>
      <c r="L750" s="206"/>
      <c r="M750" s="207"/>
      <c r="N750" s="207"/>
      <c r="O750" s="208"/>
      <c r="P750" s="208"/>
      <c r="Q750" s="208"/>
      <c r="R750" s="206"/>
      <c r="S750" s="206"/>
      <c r="T750" s="206"/>
      <c r="U750" s="206"/>
      <c r="V750" s="206"/>
      <c r="W750" s="206"/>
      <c r="X750" s="207"/>
      <c r="Y750" s="207"/>
      <c r="Z750" s="207"/>
      <c r="AA750" s="206"/>
      <c r="AB750" s="206"/>
      <c r="AC750" s="206"/>
      <c r="AD750" s="206"/>
      <c r="AE750" s="206"/>
      <c r="AF750" s="206"/>
      <c r="AG750" s="206"/>
      <c r="AH750" s="206"/>
      <c r="AI750" s="206"/>
      <c r="AJ750" s="206"/>
      <c r="AK750" s="206"/>
      <c r="AL750" s="206"/>
      <c r="AM750" s="206"/>
      <c r="AN750" s="206"/>
      <c r="AO750" s="206"/>
      <c r="AP750" s="206"/>
      <c r="AQ750" s="207"/>
      <c r="AR750" s="206"/>
      <c r="AS750" s="206"/>
      <c r="AT750" s="206"/>
      <c r="AU750" s="206"/>
      <c r="AV750" s="206"/>
      <c r="AW750" s="207"/>
      <c r="AX750" s="207"/>
      <c r="AY750" s="207"/>
      <c r="AZ750" s="207"/>
    </row>
    <row r="751" spans="1:52" ht="12.75" x14ac:dyDescent="0.2">
      <c r="A751" s="206"/>
      <c r="B751" s="206"/>
      <c r="C751" s="206"/>
      <c r="D751" s="206"/>
      <c r="E751" s="206"/>
      <c r="F751" s="206"/>
      <c r="G751" s="206"/>
      <c r="H751" s="206"/>
      <c r="I751" s="206"/>
      <c r="J751" s="206"/>
      <c r="K751" s="206"/>
      <c r="L751" s="206"/>
      <c r="M751" s="207"/>
      <c r="N751" s="207"/>
      <c r="O751" s="208"/>
      <c r="P751" s="208"/>
      <c r="Q751" s="208"/>
      <c r="R751" s="206"/>
      <c r="S751" s="206"/>
      <c r="T751" s="206"/>
      <c r="U751" s="206"/>
      <c r="V751" s="206"/>
      <c r="W751" s="206"/>
      <c r="X751" s="207"/>
      <c r="Y751" s="207"/>
      <c r="Z751" s="207"/>
      <c r="AA751" s="206"/>
      <c r="AB751" s="206"/>
      <c r="AC751" s="206"/>
      <c r="AD751" s="206"/>
      <c r="AE751" s="206"/>
      <c r="AF751" s="206"/>
      <c r="AG751" s="206"/>
      <c r="AH751" s="206"/>
      <c r="AI751" s="206"/>
      <c r="AJ751" s="206"/>
      <c r="AK751" s="206"/>
      <c r="AL751" s="206"/>
      <c r="AM751" s="206"/>
      <c r="AN751" s="206"/>
      <c r="AO751" s="206"/>
      <c r="AP751" s="206"/>
      <c r="AQ751" s="207"/>
      <c r="AR751" s="206"/>
      <c r="AS751" s="206"/>
      <c r="AT751" s="206"/>
      <c r="AU751" s="206"/>
      <c r="AV751" s="206"/>
      <c r="AW751" s="207"/>
      <c r="AX751" s="207"/>
      <c r="AY751" s="207"/>
      <c r="AZ751" s="207"/>
    </row>
    <row r="752" spans="1:52" ht="12.75" x14ac:dyDescent="0.2">
      <c r="A752" s="206"/>
      <c r="B752" s="206"/>
      <c r="C752" s="206"/>
      <c r="D752" s="206"/>
      <c r="E752" s="206"/>
      <c r="F752" s="206"/>
      <c r="G752" s="206"/>
      <c r="H752" s="206"/>
      <c r="I752" s="206"/>
      <c r="J752" s="206"/>
      <c r="K752" s="206"/>
      <c r="L752" s="206"/>
      <c r="M752" s="207"/>
      <c r="N752" s="207"/>
      <c r="O752" s="208"/>
      <c r="P752" s="208"/>
      <c r="Q752" s="208"/>
      <c r="R752" s="206"/>
      <c r="S752" s="206"/>
      <c r="T752" s="206"/>
      <c r="U752" s="206"/>
      <c r="V752" s="206"/>
      <c r="W752" s="206"/>
      <c r="X752" s="207"/>
      <c r="Y752" s="207"/>
      <c r="Z752" s="207"/>
      <c r="AA752" s="206"/>
      <c r="AB752" s="206"/>
      <c r="AC752" s="206"/>
      <c r="AD752" s="206"/>
      <c r="AE752" s="206"/>
      <c r="AF752" s="206"/>
      <c r="AG752" s="206"/>
      <c r="AH752" s="206"/>
      <c r="AI752" s="206"/>
      <c r="AJ752" s="206"/>
      <c r="AK752" s="206"/>
      <c r="AL752" s="206"/>
      <c r="AM752" s="206"/>
      <c r="AN752" s="206"/>
      <c r="AO752" s="206"/>
      <c r="AP752" s="206"/>
      <c r="AQ752" s="207"/>
      <c r="AR752" s="206"/>
      <c r="AS752" s="206"/>
      <c r="AT752" s="206"/>
      <c r="AU752" s="206"/>
      <c r="AV752" s="206"/>
      <c r="AW752" s="207"/>
      <c r="AX752" s="207"/>
      <c r="AY752" s="207"/>
      <c r="AZ752" s="207"/>
    </row>
    <row r="753" spans="1:52" ht="12.75" x14ac:dyDescent="0.2">
      <c r="A753" s="206"/>
      <c r="B753" s="206"/>
      <c r="C753" s="206"/>
      <c r="D753" s="206"/>
      <c r="E753" s="206"/>
      <c r="F753" s="206"/>
      <c r="G753" s="206"/>
      <c r="H753" s="206"/>
      <c r="I753" s="206"/>
      <c r="J753" s="206"/>
      <c r="K753" s="206"/>
      <c r="L753" s="206"/>
      <c r="M753" s="207"/>
      <c r="N753" s="207"/>
      <c r="O753" s="208"/>
      <c r="P753" s="208"/>
      <c r="Q753" s="208"/>
      <c r="R753" s="206"/>
      <c r="S753" s="206"/>
      <c r="T753" s="206"/>
      <c r="U753" s="206"/>
      <c r="V753" s="206"/>
      <c r="W753" s="206"/>
      <c r="X753" s="207"/>
      <c r="Y753" s="207"/>
      <c r="Z753" s="207"/>
      <c r="AA753" s="206"/>
      <c r="AB753" s="206"/>
      <c r="AC753" s="206"/>
      <c r="AD753" s="206"/>
      <c r="AE753" s="206"/>
      <c r="AF753" s="206"/>
      <c r="AG753" s="206"/>
      <c r="AH753" s="206"/>
      <c r="AI753" s="206"/>
      <c r="AJ753" s="206"/>
      <c r="AK753" s="206"/>
      <c r="AL753" s="206"/>
      <c r="AM753" s="206"/>
      <c r="AN753" s="206"/>
      <c r="AO753" s="206"/>
      <c r="AP753" s="206"/>
      <c r="AQ753" s="207"/>
      <c r="AR753" s="206"/>
      <c r="AS753" s="206"/>
      <c r="AT753" s="206"/>
      <c r="AU753" s="206"/>
      <c r="AV753" s="206"/>
      <c r="AW753" s="207"/>
      <c r="AX753" s="207"/>
      <c r="AY753" s="207"/>
      <c r="AZ753" s="207"/>
    </row>
    <row r="754" spans="1:52" ht="12.75" x14ac:dyDescent="0.2">
      <c r="A754" s="206"/>
      <c r="B754" s="206"/>
      <c r="C754" s="206"/>
      <c r="D754" s="206"/>
      <c r="E754" s="206"/>
      <c r="F754" s="206"/>
      <c r="G754" s="206"/>
      <c r="H754" s="206"/>
      <c r="I754" s="206"/>
      <c r="J754" s="206"/>
      <c r="K754" s="206"/>
      <c r="L754" s="206"/>
      <c r="M754" s="207"/>
      <c r="N754" s="207"/>
      <c r="O754" s="208"/>
      <c r="P754" s="208"/>
      <c r="Q754" s="208"/>
      <c r="R754" s="206"/>
      <c r="S754" s="206"/>
      <c r="T754" s="206"/>
      <c r="U754" s="206"/>
      <c r="V754" s="206"/>
      <c r="W754" s="206"/>
      <c r="X754" s="207"/>
      <c r="Y754" s="207"/>
      <c r="Z754" s="207"/>
      <c r="AA754" s="206"/>
      <c r="AB754" s="206"/>
      <c r="AC754" s="206"/>
      <c r="AD754" s="206"/>
      <c r="AE754" s="206"/>
      <c r="AF754" s="206"/>
      <c r="AG754" s="206"/>
      <c r="AH754" s="206"/>
      <c r="AI754" s="206"/>
      <c r="AJ754" s="206"/>
      <c r="AK754" s="206"/>
      <c r="AL754" s="206"/>
      <c r="AM754" s="206"/>
      <c r="AN754" s="206"/>
      <c r="AO754" s="206"/>
      <c r="AP754" s="206"/>
      <c r="AQ754" s="207"/>
      <c r="AR754" s="206"/>
      <c r="AS754" s="206"/>
      <c r="AT754" s="206"/>
      <c r="AU754" s="206"/>
      <c r="AV754" s="206"/>
      <c r="AW754" s="207"/>
      <c r="AX754" s="207"/>
      <c r="AY754" s="207"/>
      <c r="AZ754" s="207"/>
    </row>
    <row r="755" spans="1:52" ht="12.75" x14ac:dyDescent="0.2">
      <c r="A755" s="206"/>
      <c r="B755" s="206"/>
      <c r="C755" s="206"/>
      <c r="D755" s="206"/>
      <c r="E755" s="206"/>
      <c r="F755" s="206"/>
      <c r="G755" s="206"/>
      <c r="H755" s="206"/>
      <c r="I755" s="206"/>
      <c r="J755" s="206"/>
      <c r="K755" s="206"/>
      <c r="L755" s="206"/>
      <c r="M755" s="207"/>
      <c r="N755" s="207"/>
      <c r="O755" s="208"/>
      <c r="P755" s="208"/>
      <c r="Q755" s="208"/>
      <c r="R755" s="206"/>
      <c r="S755" s="206"/>
      <c r="T755" s="206"/>
      <c r="U755" s="206"/>
      <c r="V755" s="206"/>
      <c r="W755" s="206"/>
      <c r="X755" s="207"/>
      <c r="Y755" s="207"/>
      <c r="Z755" s="207"/>
      <c r="AA755" s="206"/>
      <c r="AB755" s="206"/>
      <c r="AC755" s="206"/>
      <c r="AD755" s="206"/>
      <c r="AE755" s="206"/>
      <c r="AF755" s="206"/>
      <c r="AG755" s="206"/>
      <c r="AH755" s="206"/>
      <c r="AI755" s="206"/>
      <c r="AJ755" s="206"/>
      <c r="AK755" s="206"/>
      <c r="AL755" s="206"/>
      <c r="AM755" s="206"/>
      <c r="AN755" s="206"/>
      <c r="AO755" s="206"/>
      <c r="AP755" s="206"/>
      <c r="AQ755" s="207"/>
      <c r="AR755" s="206"/>
      <c r="AS755" s="206"/>
      <c r="AT755" s="206"/>
      <c r="AU755" s="206"/>
      <c r="AV755" s="206"/>
      <c r="AW755" s="207"/>
      <c r="AX755" s="207"/>
      <c r="AY755" s="207"/>
      <c r="AZ755" s="207"/>
    </row>
    <row r="756" spans="1:52" ht="12.75" x14ac:dyDescent="0.2">
      <c r="A756" s="206"/>
      <c r="B756" s="206"/>
      <c r="C756" s="206"/>
      <c r="D756" s="206"/>
      <c r="E756" s="206"/>
      <c r="F756" s="206"/>
      <c r="G756" s="206"/>
      <c r="H756" s="206"/>
      <c r="I756" s="206"/>
      <c r="J756" s="206"/>
      <c r="K756" s="206"/>
      <c r="L756" s="206"/>
      <c r="M756" s="207"/>
      <c r="N756" s="207"/>
      <c r="O756" s="208"/>
      <c r="P756" s="208"/>
      <c r="Q756" s="208"/>
      <c r="R756" s="206"/>
      <c r="S756" s="206"/>
      <c r="T756" s="206"/>
      <c r="U756" s="206"/>
      <c r="V756" s="206"/>
      <c r="W756" s="206"/>
      <c r="X756" s="207"/>
      <c r="Y756" s="207"/>
      <c r="Z756" s="207"/>
      <c r="AA756" s="206"/>
      <c r="AB756" s="206"/>
      <c r="AC756" s="206"/>
      <c r="AD756" s="206"/>
      <c r="AE756" s="206"/>
      <c r="AF756" s="206"/>
      <c r="AG756" s="206"/>
      <c r="AH756" s="206"/>
      <c r="AI756" s="206"/>
      <c r="AJ756" s="206"/>
      <c r="AK756" s="206"/>
      <c r="AL756" s="206"/>
      <c r="AM756" s="206"/>
      <c r="AN756" s="206"/>
      <c r="AO756" s="206"/>
      <c r="AP756" s="206"/>
      <c r="AQ756" s="207"/>
      <c r="AR756" s="206"/>
      <c r="AS756" s="206"/>
      <c r="AT756" s="206"/>
      <c r="AU756" s="206"/>
      <c r="AV756" s="206"/>
      <c r="AW756" s="207"/>
      <c r="AX756" s="207"/>
      <c r="AY756" s="207"/>
      <c r="AZ756" s="207"/>
    </row>
    <row r="757" spans="1:52" ht="12.75" x14ac:dyDescent="0.2">
      <c r="A757" s="206"/>
      <c r="B757" s="206"/>
      <c r="C757" s="206"/>
      <c r="D757" s="206"/>
      <c r="E757" s="206"/>
      <c r="F757" s="206"/>
      <c r="G757" s="206"/>
      <c r="H757" s="206"/>
      <c r="I757" s="206"/>
      <c r="J757" s="206"/>
      <c r="K757" s="206"/>
      <c r="L757" s="206"/>
      <c r="M757" s="207"/>
      <c r="N757" s="207"/>
      <c r="O757" s="208"/>
      <c r="P757" s="208"/>
      <c r="Q757" s="208"/>
      <c r="R757" s="206"/>
      <c r="S757" s="206"/>
      <c r="T757" s="206"/>
      <c r="U757" s="206"/>
      <c r="V757" s="206"/>
      <c r="W757" s="206"/>
      <c r="X757" s="207"/>
      <c r="Y757" s="207"/>
      <c r="Z757" s="207"/>
      <c r="AA757" s="206"/>
      <c r="AB757" s="206"/>
      <c r="AC757" s="206"/>
      <c r="AD757" s="206"/>
      <c r="AE757" s="206"/>
      <c r="AF757" s="206"/>
      <c r="AG757" s="206"/>
      <c r="AH757" s="206"/>
      <c r="AI757" s="206"/>
      <c r="AJ757" s="206"/>
      <c r="AK757" s="206"/>
      <c r="AL757" s="206"/>
      <c r="AM757" s="206"/>
      <c r="AN757" s="206"/>
      <c r="AO757" s="206"/>
      <c r="AP757" s="206"/>
      <c r="AQ757" s="207"/>
      <c r="AR757" s="206"/>
      <c r="AS757" s="206"/>
      <c r="AT757" s="206"/>
      <c r="AU757" s="206"/>
      <c r="AV757" s="206"/>
      <c r="AW757" s="207"/>
      <c r="AX757" s="207"/>
      <c r="AY757" s="207"/>
      <c r="AZ757" s="207"/>
    </row>
    <row r="758" spans="1:52" ht="12.75" x14ac:dyDescent="0.2">
      <c r="A758" s="206"/>
      <c r="B758" s="206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7"/>
      <c r="N758" s="207"/>
      <c r="O758" s="208"/>
      <c r="P758" s="208"/>
      <c r="Q758" s="208"/>
      <c r="R758" s="206"/>
      <c r="S758" s="206"/>
      <c r="T758" s="206"/>
      <c r="U758" s="206"/>
      <c r="V758" s="206"/>
      <c r="W758" s="206"/>
      <c r="X758" s="207"/>
      <c r="Y758" s="207"/>
      <c r="Z758" s="207"/>
      <c r="AA758" s="206"/>
      <c r="AB758" s="206"/>
      <c r="AC758" s="206"/>
      <c r="AD758" s="206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7"/>
      <c r="AR758" s="206"/>
      <c r="AS758" s="206"/>
      <c r="AT758" s="206"/>
      <c r="AU758" s="206"/>
      <c r="AV758" s="206"/>
      <c r="AW758" s="207"/>
      <c r="AX758" s="207"/>
      <c r="AY758" s="207"/>
      <c r="AZ758" s="207"/>
    </row>
    <row r="759" spans="1:52" ht="12.75" x14ac:dyDescent="0.2">
      <c r="A759" s="206"/>
      <c r="B759" s="206"/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7"/>
      <c r="N759" s="207"/>
      <c r="O759" s="208"/>
      <c r="P759" s="208"/>
      <c r="Q759" s="208"/>
      <c r="R759" s="206"/>
      <c r="S759" s="206"/>
      <c r="T759" s="206"/>
      <c r="U759" s="206"/>
      <c r="V759" s="206"/>
      <c r="W759" s="206"/>
      <c r="X759" s="207"/>
      <c r="Y759" s="207"/>
      <c r="Z759" s="207"/>
      <c r="AA759" s="206"/>
      <c r="AB759" s="206"/>
      <c r="AC759" s="206"/>
      <c r="AD759" s="206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7"/>
      <c r="AR759" s="206"/>
      <c r="AS759" s="206"/>
      <c r="AT759" s="206"/>
      <c r="AU759" s="206"/>
      <c r="AV759" s="206"/>
      <c r="AW759" s="207"/>
      <c r="AX759" s="207"/>
      <c r="AY759" s="207"/>
      <c r="AZ759" s="207"/>
    </row>
    <row r="760" spans="1:52" ht="12.75" x14ac:dyDescent="0.2">
      <c r="A760" s="206"/>
      <c r="B760" s="206"/>
      <c r="C760" s="206"/>
      <c r="D760" s="206"/>
      <c r="E760" s="206"/>
      <c r="F760" s="206"/>
      <c r="G760" s="206"/>
      <c r="H760" s="206"/>
      <c r="I760" s="206"/>
      <c r="J760" s="206"/>
      <c r="K760" s="206"/>
      <c r="L760" s="206"/>
      <c r="M760" s="207"/>
      <c r="N760" s="207"/>
      <c r="O760" s="208"/>
      <c r="P760" s="208"/>
      <c r="Q760" s="208"/>
      <c r="R760" s="206"/>
      <c r="S760" s="206"/>
      <c r="T760" s="206"/>
      <c r="U760" s="206"/>
      <c r="V760" s="206"/>
      <c r="W760" s="206"/>
      <c r="X760" s="207"/>
      <c r="Y760" s="207"/>
      <c r="Z760" s="207"/>
      <c r="AA760" s="206"/>
      <c r="AB760" s="206"/>
      <c r="AC760" s="206"/>
      <c r="AD760" s="206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7"/>
      <c r="AR760" s="206"/>
      <c r="AS760" s="206"/>
      <c r="AT760" s="206"/>
      <c r="AU760" s="206"/>
      <c r="AV760" s="206"/>
      <c r="AW760" s="207"/>
      <c r="AX760" s="207"/>
      <c r="AY760" s="207"/>
      <c r="AZ760" s="207"/>
    </row>
    <row r="761" spans="1:52" ht="12.75" x14ac:dyDescent="0.2">
      <c r="A761" s="206"/>
      <c r="B761" s="206"/>
      <c r="C761" s="206"/>
      <c r="D761" s="206"/>
      <c r="E761" s="206"/>
      <c r="F761" s="206"/>
      <c r="G761" s="206"/>
      <c r="H761" s="206"/>
      <c r="I761" s="206"/>
      <c r="J761" s="206"/>
      <c r="K761" s="206"/>
      <c r="L761" s="206"/>
      <c r="M761" s="207"/>
      <c r="N761" s="207"/>
      <c r="O761" s="208"/>
      <c r="P761" s="208"/>
      <c r="Q761" s="208"/>
      <c r="R761" s="206"/>
      <c r="S761" s="206"/>
      <c r="T761" s="206"/>
      <c r="U761" s="206"/>
      <c r="V761" s="206"/>
      <c r="W761" s="206"/>
      <c r="X761" s="207"/>
      <c r="Y761" s="207"/>
      <c r="Z761" s="207"/>
      <c r="AA761" s="206"/>
      <c r="AB761" s="206"/>
      <c r="AC761" s="206"/>
      <c r="AD761" s="206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7"/>
      <c r="AR761" s="206"/>
      <c r="AS761" s="206"/>
      <c r="AT761" s="206"/>
      <c r="AU761" s="206"/>
      <c r="AV761" s="206"/>
      <c r="AW761" s="207"/>
      <c r="AX761" s="207"/>
      <c r="AY761" s="207"/>
      <c r="AZ761" s="207"/>
    </row>
    <row r="762" spans="1:52" ht="12.75" x14ac:dyDescent="0.2">
      <c r="A762" s="206"/>
      <c r="B762" s="206"/>
      <c r="C762" s="206"/>
      <c r="D762" s="206"/>
      <c r="E762" s="206"/>
      <c r="F762" s="206"/>
      <c r="G762" s="206"/>
      <c r="H762" s="206"/>
      <c r="I762" s="206"/>
      <c r="J762" s="206"/>
      <c r="K762" s="206"/>
      <c r="L762" s="206"/>
      <c r="M762" s="207"/>
      <c r="N762" s="207"/>
      <c r="O762" s="208"/>
      <c r="P762" s="208"/>
      <c r="Q762" s="208"/>
      <c r="R762" s="206"/>
      <c r="S762" s="206"/>
      <c r="T762" s="206"/>
      <c r="U762" s="206"/>
      <c r="V762" s="206"/>
      <c r="W762" s="206"/>
      <c r="X762" s="207"/>
      <c r="Y762" s="207"/>
      <c r="Z762" s="207"/>
      <c r="AA762" s="206"/>
      <c r="AB762" s="206"/>
      <c r="AC762" s="206"/>
      <c r="AD762" s="206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7"/>
      <c r="AR762" s="206"/>
      <c r="AS762" s="206"/>
      <c r="AT762" s="206"/>
      <c r="AU762" s="206"/>
      <c r="AV762" s="206"/>
      <c r="AW762" s="207"/>
      <c r="AX762" s="207"/>
      <c r="AY762" s="207"/>
      <c r="AZ762" s="207"/>
    </row>
    <row r="763" spans="1:52" ht="12.75" x14ac:dyDescent="0.2">
      <c r="A763" s="206"/>
      <c r="B763" s="206"/>
      <c r="C763" s="206"/>
      <c r="D763" s="206"/>
      <c r="E763" s="206"/>
      <c r="F763" s="206"/>
      <c r="G763" s="206"/>
      <c r="H763" s="206"/>
      <c r="I763" s="206"/>
      <c r="J763" s="206"/>
      <c r="K763" s="206"/>
      <c r="L763" s="206"/>
      <c r="M763" s="207"/>
      <c r="N763" s="207"/>
      <c r="O763" s="208"/>
      <c r="P763" s="208"/>
      <c r="Q763" s="208"/>
      <c r="R763" s="206"/>
      <c r="S763" s="206"/>
      <c r="T763" s="206"/>
      <c r="U763" s="206"/>
      <c r="V763" s="206"/>
      <c r="W763" s="206"/>
      <c r="X763" s="207"/>
      <c r="Y763" s="207"/>
      <c r="Z763" s="207"/>
      <c r="AA763" s="206"/>
      <c r="AB763" s="206"/>
      <c r="AC763" s="206"/>
      <c r="AD763" s="206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7"/>
      <c r="AR763" s="206"/>
      <c r="AS763" s="206"/>
      <c r="AT763" s="206"/>
      <c r="AU763" s="206"/>
      <c r="AV763" s="206"/>
      <c r="AW763" s="207"/>
      <c r="AX763" s="207"/>
      <c r="AY763" s="207"/>
      <c r="AZ763" s="207"/>
    </row>
    <row r="764" spans="1:52" ht="12.75" x14ac:dyDescent="0.2">
      <c r="A764" s="206"/>
      <c r="B764" s="206"/>
      <c r="C764" s="206"/>
      <c r="D764" s="206"/>
      <c r="E764" s="206"/>
      <c r="F764" s="206"/>
      <c r="G764" s="206"/>
      <c r="H764" s="206"/>
      <c r="I764" s="206"/>
      <c r="J764" s="206"/>
      <c r="K764" s="206"/>
      <c r="L764" s="206"/>
      <c r="M764" s="207"/>
      <c r="N764" s="207"/>
      <c r="O764" s="208"/>
      <c r="P764" s="208"/>
      <c r="Q764" s="208"/>
      <c r="R764" s="206"/>
      <c r="S764" s="206"/>
      <c r="T764" s="206"/>
      <c r="U764" s="206"/>
      <c r="V764" s="206"/>
      <c r="W764" s="206"/>
      <c r="X764" s="207"/>
      <c r="Y764" s="207"/>
      <c r="Z764" s="207"/>
      <c r="AA764" s="206"/>
      <c r="AB764" s="206"/>
      <c r="AC764" s="206"/>
      <c r="AD764" s="206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7"/>
      <c r="AR764" s="206"/>
      <c r="AS764" s="206"/>
      <c r="AT764" s="206"/>
      <c r="AU764" s="206"/>
      <c r="AV764" s="206"/>
      <c r="AW764" s="207"/>
      <c r="AX764" s="207"/>
      <c r="AY764" s="207"/>
      <c r="AZ764" s="207"/>
    </row>
    <row r="765" spans="1:52" ht="12.75" x14ac:dyDescent="0.2">
      <c r="A765" s="206"/>
      <c r="B765" s="206"/>
      <c r="C765" s="206"/>
      <c r="D765" s="206"/>
      <c r="E765" s="206"/>
      <c r="F765" s="206"/>
      <c r="G765" s="206"/>
      <c r="H765" s="206"/>
      <c r="I765" s="206"/>
      <c r="J765" s="206"/>
      <c r="K765" s="206"/>
      <c r="L765" s="206"/>
      <c r="M765" s="207"/>
      <c r="N765" s="207"/>
      <c r="O765" s="208"/>
      <c r="P765" s="208"/>
      <c r="Q765" s="208"/>
      <c r="R765" s="206"/>
      <c r="S765" s="206"/>
      <c r="T765" s="206"/>
      <c r="U765" s="206"/>
      <c r="V765" s="206"/>
      <c r="W765" s="206"/>
      <c r="X765" s="207"/>
      <c r="Y765" s="207"/>
      <c r="Z765" s="207"/>
      <c r="AA765" s="206"/>
      <c r="AB765" s="206"/>
      <c r="AC765" s="206"/>
      <c r="AD765" s="206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7"/>
      <c r="AR765" s="206"/>
      <c r="AS765" s="206"/>
      <c r="AT765" s="206"/>
      <c r="AU765" s="206"/>
      <c r="AV765" s="206"/>
      <c r="AW765" s="207"/>
      <c r="AX765" s="207"/>
      <c r="AY765" s="207"/>
      <c r="AZ765" s="207"/>
    </row>
    <row r="766" spans="1:52" ht="12.75" x14ac:dyDescent="0.2">
      <c r="A766" s="206"/>
      <c r="B766" s="206"/>
      <c r="C766" s="206"/>
      <c r="D766" s="206"/>
      <c r="E766" s="206"/>
      <c r="F766" s="206"/>
      <c r="G766" s="206"/>
      <c r="H766" s="206"/>
      <c r="I766" s="206"/>
      <c r="J766" s="206"/>
      <c r="K766" s="206"/>
      <c r="L766" s="206"/>
      <c r="M766" s="207"/>
      <c r="N766" s="207"/>
      <c r="O766" s="208"/>
      <c r="P766" s="208"/>
      <c r="Q766" s="208"/>
      <c r="R766" s="206"/>
      <c r="S766" s="206"/>
      <c r="T766" s="206"/>
      <c r="U766" s="206"/>
      <c r="V766" s="206"/>
      <c r="W766" s="206"/>
      <c r="X766" s="207"/>
      <c r="Y766" s="207"/>
      <c r="Z766" s="207"/>
      <c r="AA766" s="206"/>
      <c r="AB766" s="206"/>
      <c r="AC766" s="206"/>
      <c r="AD766" s="206"/>
      <c r="AE766" s="206"/>
      <c r="AF766" s="206"/>
      <c r="AG766" s="206"/>
      <c r="AH766" s="206"/>
      <c r="AI766" s="206"/>
      <c r="AJ766" s="206"/>
      <c r="AK766" s="206"/>
      <c r="AL766" s="206"/>
      <c r="AM766" s="206"/>
      <c r="AN766" s="206"/>
      <c r="AO766" s="206"/>
      <c r="AP766" s="206"/>
      <c r="AQ766" s="207"/>
      <c r="AR766" s="206"/>
      <c r="AS766" s="206"/>
      <c r="AT766" s="206"/>
      <c r="AU766" s="206"/>
      <c r="AV766" s="206"/>
      <c r="AW766" s="207"/>
      <c r="AX766" s="207"/>
      <c r="AY766" s="207"/>
      <c r="AZ766" s="207"/>
    </row>
    <row r="767" spans="1:52" ht="12.75" x14ac:dyDescent="0.2">
      <c r="A767" s="206"/>
      <c r="B767" s="206"/>
      <c r="C767" s="206"/>
      <c r="D767" s="206"/>
      <c r="E767" s="206"/>
      <c r="F767" s="206"/>
      <c r="G767" s="206"/>
      <c r="H767" s="206"/>
      <c r="I767" s="206"/>
      <c r="J767" s="206"/>
      <c r="K767" s="206"/>
      <c r="L767" s="206"/>
      <c r="M767" s="207"/>
      <c r="N767" s="207"/>
      <c r="O767" s="208"/>
      <c r="P767" s="208"/>
      <c r="Q767" s="208"/>
      <c r="R767" s="206"/>
      <c r="S767" s="206"/>
      <c r="T767" s="206"/>
      <c r="U767" s="206"/>
      <c r="V767" s="206"/>
      <c r="W767" s="206"/>
      <c r="X767" s="207"/>
      <c r="Y767" s="207"/>
      <c r="Z767" s="207"/>
      <c r="AA767" s="206"/>
      <c r="AB767" s="206"/>
      <c r="AC767" s="206"/>
      <c r="AD767" s="206"/>
      <c r="AE767" s="206"/>
      <c r="AF767" s="206"/>
      <c r="AG767" s="206"/>
      <c r="AH767" s="206"/>
      <c r="AI767" s="206"/>
      <c r="AJ767" s="206"/>
      <c r="AK767" s="206"/>
      <c r="AL767" s="206"/>
      <c r="AM767" s="206"/>
      <c r="AN767" s="206"/>
      <c r="AO767" s="206"/>
      <c r="AP767" s="206"/>
      <c r="AQ767" s="207"/>
      <c r="AR767" s="206"/>
      <c r="AS767" s="206"/>
      <c r="AT767" s="206"/>
      <c r="AU767" s="206"/>
      <c r="AV767" s="206"/>
      <c r="AW767" s="207"/>
      <c r="AX767" s="207"/>
      <c r="AY767" s="207"/>
      <c r="AZ767" s="207"/>
    </row>
    <row r="768" spans="1:52" ht="12.75" x14ac:dyDescent="0.2">
      <c r="A768" s="206"/>
      <c r="B768" s="206"/>
      <c r="C768" s="206"/>
      <c r="D768" s="206"/>
      <c r="E768" s="206"/>
      <c r="F768" s="206"/>
      <c r="G768" s="206"/>
      <c r="H768" s="206"/>
      <c r="I768" s="206"/>
      <c r="J768" s="206"/>
      <c r="K768" s="206"/>
      <c r="L768" s="206"/>
      <c r="M768" s="207"/>
      <c r="N768" s="207"/>
      <c r="O768" s="208"/>
      <c r="P768" s="208"/>
      <c r="Q768" s="208"/>
      <c r="R768" s="206"/>
      <c r="S768" s="206"/>
      <c r="T768" s="206"/>
      <c r="U768" s="206"/>
      <c r="V768" s="206"/>
      <c r="W768" s="206"/>
      <c r="X768" s="207"/>
      <c r="Y768" s="207"/>
      <c r="Z768" s="207"/>
      <c r="AA768" s="206"/>
      <c r="AB768" s="206"/>
      <c r="AC768" s="206"/>
      <c r="AD768" s="206"/>
      <c r="AE768" s="206"/>
      <c r="AF768" s="206"/>
      <c r="AG768" s="206"/>
      <c r="AH768" s="206"/>
      <c r="AI768" s="206"/>
      <c r="AJ768" s="206"/>
      <c r="AK768" s="206"/>
      <c r="AL768" s="206"/>
      <c r="AM768" s="206"/>
      <c r="AN768" s="206"/>
      <c r="AO768" s="206"/>
      <c r="AP768" s="206"/>
      <c r="AQ768" s="207"/>
      <c r="AR768" s="206"/>
      <c r="AS768" s="206"/>
      <c r="AT768" s="206"/>
      <c r="AU768" s="206"/>
      <c r="AV768" s="206"/>
      <c r="AW768" s="207"/>
      <c r="AX768" s="207"/>
      <c r="AY768" s="207"/>
      <c r="AZ768" s="207"/>
    </row>
    <row r="769" spans="1:52" ht="12.75" x14ac:dyDescent="0.2">
      <c r="A769" s="206"/>
      <c r="B769" s="206"/>
      <c r="C769" s="206"/>
      <c r="D769" s="206"/>
      <c r="E769" s="206"/>
      <c r="F769" s="206"/>
      <c r="G769" s="206"/>
      <c r="H769" s="206"/>
      <c r="I769" s="206"/>
      <c r="J769" s="206"/>
      <c r="K769" s="206"/>
      <c r="L769" s="206"/>
      <c r="M769" s="207"/>
      <c r="N769" s="207"/>
      <c r="O769" s="208"/>
      <c r="P769" s="208"/>
      <c r="Q769" s="208"/>
      <c r="R769" s="206"/>
      <c r="S769" s="206"/>
      <c r="T769" s="206"/>
      <c r="U769" s="206"/>
      <c r="V769" s="206"/>
      <c r="W769" s="206"/>
      <c r="X769" s="207"/>
      <c r="Y769" s="207"/>
      <c r="Z769" s="207"/>
      <c r="AA769" s="206"/>
      <c r="AB769" s="206"/>
      <c r="AC769" s="206"/>
      <c r="AD769" s="206"/>
      <c r="AE769" s="206"/>
      <c r="AF769" s="206"/>
      <c r="AG769" s="206"/>
      <c r="AH769" s="206"/>
      <c r="AI769" s="206"/>
      <c r="AJ769" s="206"/>
      <c r="AK769" s="206"/>
      <c r="AL769" s="206"/>
      <c r="AM769" s="206"/>
      <c r="AN769" s="206"/>
      <c r="AO769" s="206"/>
      <c r="AP769" s="206"/>
      <c r="AQ769" s="207"/>
      <c r="AR769" s="206"/>
      <c r="AS769" s="206"/>
      <c r="AT769" s="206"/>
      <c r="AU769" s="206"/>
      <c r="AV769" s="206"/>
      <c r="AW769" s="207"/>
      <c r="AX769" s="207"/>
      <c r="AY769" s="207"/>
      <c r="AZ769" s="207"/>
    </row>
    <row r="770" spans="1:52" ht="12.75" x14ac:dyDescent="0.2">
      <c r="A770" s="206"/>
      <c r="B770" s="206"/>
      <c r="C770" s="206"/>
      <c r="D770" s="206"/>
      <c r="E770" s="206"/>
      <c r="F770" s="206"/>
      <c r="G770" s="206"/>
      <c r="H770" s="206"/>
      <c r="I770" s="206"/>
      <c r="J770" s="206"/>
      <c r="K770" s="206"/>
      <c r="L770" s="206"/>
      <c r="M770" s="207"/>
      <c r="N770" s="207"/>
      <c r="O770" s="208"/>
      <c r="P770" s="208"/>
      <c r="Q770" s="208"/>
      <c r="R770" s="206"/>
      <c r="S770" s="206"/>
      <c r="T770" s="206"/>
      <c r="U770" s="206"/>
      <c r="V770" s="206"/>
      <c r="W770" s="206"/>
      <c r="X770" s="207"/>
      <c r="Y770" s="207"/>
      <c r="Z770" s="207"/>
      <c r="AA770" s="206"/>
      <c r="AB770" s="206"/>
      <c r="AC770" s="206"/>
      <c r="AD770" s="206"/>
      <c r="AE770" s="206"/>
      <c r="AF770" s="206"/>
      <c r="AG770" s="206"/>
      <c r="AH770" s="206"/>
      <c r="AI770" s="206"/>
      <c r="AJ770" s="206"/>
      <c r="AK770" s="206"/>
      <c r="AL770" s="206"/>
      <c r="AM770" s="206"/>
      <c r="AN770" s="206"/>
      <c r="AO770" s="206"/>
      <c r="AP770" s="206"/>
      <c r="AQ770" s="207"/>
      <c r="AR770" s="206"/>
      <c r="AS770" s="206"/>
      <c r="AT770" s="206"/>
      <c r="AU770" s="206"/>
      <c r="AV770" s="206"/>
      <c r="AW770" s="207"/>
      <c r="AX770" s="207"/>
      <c r="AY770" s="207"/>
      <c r="AZ770" s="207"/>
    </row>
    <row r="771" spans="1:52" ht="12.75" x14ac:dyDescent="0.2">
      <c r="A771" s="206"/>
      <c r="B771" s="206"/>
      <c r="C771" s="206"/>
      <c r="D771" s="206"/>
      <c r="E771" s="206"/>
      <c r="F771" s="206"/>
      <c r="G771" s="206"/>
      <c r="H771" s="206"/>
      <c r="I771" s="206"/>
      <c r="J771" s="206"/>
      <c r="K771" s="206"/>
      <c r="L771" s="206"/>
      <c r="M771" s="207"/>
      <c r="N771" s="207"/>
      <c r="O771" s="208"/>
      <c r="P771" s="208"/>
      <c r="Q771" s="208"/>
      <c r="R771" s="206"/>
      <c r="S771" s="206"/>
      <c r="T771" s="206"/>
      <c r="U771" s="206"/>
      <c r="V771" s="206"/>
      <c r="W771" s="206"/>
      <c r="X771" s="207"/>
      <c r="Y771" s="207"/>
      <c r="Z771" s="207"/>
      <c r="AA771" s="206"/>
      <c r="AB771" s="206"/>
      <c r="AC771" s="206"/>
      <c r="AD771" s="206"/>
      <c r="AE771" s="206"/>
      <c r="AF771" s="206"/>
      <c r="AG771" s="206"/>
      <c r="AH771" s="206"/>
      <c r="AI771" s="206"/>
      <c r="AJ771" s="206"/>
      <c r="AK771" s="206"/>
      <c r="AL771" s="206"/>
      <c r="AM771" s="206"/>
      <c r="AN771" s="206"/>
      <c r="AO771" s="206"/>
      <c r="AP771" s="206"/>
      <c r="AQ771" s="207"/>
      <c r="AR771" s="206"/>
      <c r="AS771" s="206"/>
      <c r="AT771" s="206"/>
      <c r="AU771" s="206"/>
      <c r="AV771" s="206"/>
      <c r="AW771" s="207"/>
      <c r="AX771" s="207"/>
      <c r="AY771" s="207"/>
      <c r="AZ771" s="207"/>
    </row>
    <row r="772" spans="1:52" ht="12.75" x14ac:dyDescent="0.2">
      <c r="A772" s="206"/>
      <c r="B772" s="206"/>
      <c r="C772" s="206"/>
      <c r="D772" s="206"/>
      <c r="E772" s="206"/>
      <c r="F772" s="206"/>
      <c r="G772" s="206"/>
      <c r="H772" s="206"/>
      <c r="I772" s="206"/>
      <c r="J772" s="206"/>
      <c r="K772" s="206"/>
      <c r="L772" s="206"/>
      <c r="M772" s="207"/>
      <c r="N772" s="207"/>
      <c r="O772" s="208"/>
      <c r="P772" s="208"/>
      <c r="Q772" s="208"/>
      <c r="R772" s="206"/>
      <c r="S772" s="206"/>
      <c r="T772" s="206"/>
      <c r="U772" s="206"/>
      <c r="V772" s="206"/>
      <c r="W772" s="206"/>
      <c r="X772" s="207"/>
      <c r="Y772" s="207"/>
      <c r="Z772" s="207"/>
      <c r="AA772" s="206"/>
      <c r="AB772" s="206"/>
      <c r="AC772" s="206"/>
      <c r="AD772" s="206"/>
      <c r="AE772" s="206"/>
      <c r="AF772" s="206"/>
      <c r="AG772" s="206"/>
      <c r="AH772" s="206"/>
      <c r="AI772" s="206"/>
      <c r="AJ772" s="206"/>
      <c r="AK772" s="206"/>
      <c r="AL772" s="206"/>
      <c r="AM772" s="206"/>
      <c r="AN772" s="206"/>
      <c r="AO772" s="206"/>
      <c r="AP772" s="206"/>
      <c r="AQ772" s="207"/>
      <c r="AR772" s="206"/>
      <c r="AS772" s="206"/>
      <c r="AT772" s="206"/>
      <c r="AU772" s="206"/>
      <c r="AV772" s="206"/>
      <c r="AW772" s="207"/>
      <c r="AX772" s="207"/>
      <c r="AY772" s="207"/>
      <c r="AZ772" s="207"/>
    </row>
    <row r="773" spans="1:52" ht="12.75" x14ac:dyDescent="0.2">
      <c r="A773" s="206"/>
      <c r="B773" s="206"/>
      <c r="C773" s="206"/>
      <c r="D773" s="206"/>
      <c r="E773" s="206"/>
      <c r="F773" s="206"/>
      <c r="G773" s="206"/>
      <c r="H773" s="206"/>
      <c r="I773" s="206"/>
      <c r="J773" s="206"/>
      <c r="K773" s="206"/>
      <c r="L773" s="206"/>
      <c r="M773" s="207"/>
      <c r="N773" s="207"/>
      <c r="O773" s="208"/>
      <c r="P773" s="208"/>
      <c r="Q773" s="208"/>
      <c r="R773" s="206"/>
      <c r="S773" s="206"/>
      <c r="T773" s="206"/>
      <c r="U773" s="206"/>
      <c r="V773" s="206"/>
      <c r="W773" s="206"/>
      <c r="X773" s="207"/>
      <c r="Y773" s="207"/>
      <c r="Z773" s="207"/>
      <c r="AA773" s="206"/>
      <c r="AB773" s="206"/>
      <c r="AC773" s="206"/>
      <c r="AD773" s="206"/>
      <c r="AE773" s="206"/>
      <c r="AF773" s="206"/>
      <c r="AG773" s="206"/>
      <c r="AH773" s="206"/>
      <c r="AI773" s="206"/>
      <c r="AJ773" s="206"/>
      <c r="AK773" s="206"/>
      <c r="AL773" s="206"/>
      <c r="AM773" s="206"/>
      <c r="AN773" s="206"/>
      <c r="AO773" s="206"/>
      <c r="AP773" s="206"/>
      <c r="AQ773" s="207"/>
      <c r="AR773" s="206"/>
      <c r="AS773" s="206"/>
      <c r="AT773" s="206"/>
      <c r="AU773" s="206"/>
      <c r="AV773" s="206"/>
      <c r="AW773" s="207"/>
      <c r="AX773" s="207"/>
      <c r="AY773" s="207"/>
      <c r="AZ773" s="207"/>
    </row>
    <row r="774" spans="1:52" ht="12.75" x14ac:dyDescent="0.2">
      <c r="A774" s="206"/>
      <c r="B774" s="206"/>
      <c r="C774" s="206"/>
      <c r="D774" s="206"/>
      <c r="E774" s="206"/>
      <c r="F774" s="206"/>
      <c r="G774" s="206"/>
      <c r="H774" s="206"/>
      <c r="I774" s="206"/>
      <c r="J774" s="206"/>
      <c r="K774" s="206"/>
      <c r="L774" s="206"/>
      <c r="M774" s="207"/>
      <c r="N774" s="207"/>
      <c r="O774" s="208"/>
      <c r="P774" s="208"/>
      <c r="Q774" s="208"/>
      <c r="R774" s="206"/>
      <c r="S774" s="206"/>
      <c r="T774" s="206"/>
      <c r="U774" s="206"/>
      <c r="V774" s="206"/>
      <c r="W774" s="206"/>
      <c r="X774" s="207"/>
      <c r="Y774" s="207"/>
      <c r="Z774" s="207"/>
      <c r="AA774" s="206"/>
      <c r="AB774" s="206"/>
      <c r="AC774" s="206"/>
      <c r="AD774" s="206"/>
      <c r="AE774" s="206"/>
      <c r="AF774" s="206"/>
      <c r="AG774" s="206"/>
      <c r="AH774" s="206"/>
      <c r="AI774" s="206"/>
      <c r="AJ774" s="206"/>
      <c r="AK774" s="206"/>
      <c r="AL774" s="206"/>
      <c r="AM774" s="206"/>
      <c r="AN774" s="206"/>
      <c r="AO774" s="206"/>
      <c r="AP774" s="206"/>
      <c r="AQ774" s="207"/>
      <c r="AR774" s="206"/>
      <c r="AS774" s="206"/>
      <c r="AT774" s="206"/>
      <c r="AU774" s="206"/>
      <c r="AV774" s="206"/>
      <c r="AW774" s="207"/>
      <c r="AX774" s="207"/>
      <c r="AY774" s="207"/>
      <c r="AZ774" s="207"/>
    </row>
    <row r="775" spans="1:52" ht="12.75" x14ac:dyDescent="0.2">
      <c r="A775" s="206"/>
      <c r="B775" s="206"/>
      <c r="C775" s="206"/>
      <c r="D775" s="206"/>
      <c r="E775" s="206"/>
      <c r="F775" s="206"/>
      <c r="G775" s="206"/>
      <c r="H775" s="206"/>
      <c r="I775" s="206"/>
      <c r="J775" s="206"/>
      <c r="K775" s="206"/>
      <c r="L775" s="206"/>
      <c r="M775" s="207"/>
      <c r="N775" s="207"/>
      <c r="O775" s="208"/>
      <c r="P775" s="208"/>
      <c r="Q775" s="208"/>
      <c r="R775" s="206"/>
      <c r="S775" s="206"/>
      <c r="T775" s="206"/>
      <c r="U775" s="206"/>
      <c r="V775" s="206"/>
      <c r="W775" s="206"/>
      <c r="X775" s="207"/>
      <c r="Y775" s="207"/>
      <c r="Z775" s="207"/>
      <c r="AA775" s="206"/>
      <c r="AB775" s="206"/>
      <c r="AC775" s="206"/>
      <c r="AD775" s="206"/>
      <c r="AE775" s="206"/>
      <c r="AF775" s="206"/>
      <c r="AG775" s="206"/>
      <c r="AH775" s="206"/>
      <c r="AI775" s="206"/>
      <c r="AJ775" s="206"/>
      <c r="AK775" s="206"/>
      <c r="AL775" s="206"/>
      <c r="AM775" s="206"/>
      <c r="AN775" s="206"/>
      <c r="AO775" s="206"/>
      <c r="AP775" s="206"/>
      <c r="AQ775" s="207"/>
      <c r="AR775" s="206"/>
      <c r="AS775" s="206"/>
      <c r="AT775" s="206"/>
      <c r="AU775" s="206"/>
      <c r="AV775" s="206"/>
      <c r="AW775" s="207"/>
      <c r="AX775" s="207"/>
      <c r="AY775" s="207"/>
      <c r="AZ775" s="207"/>
    </row>
    <row r="776" spans="1:52" ht="12.75" x14ac:dyDescent="0.2">
      <c r="A776" s="206"/>
      <c r="B776" s="206"/>
      <c r="C776" s="206"/>
      <c r="D776" s="206"/>
      <c r="E776" s="206"/>
      <c r="F776" s="206"/>
      <c r="G776" s="206"/>
      <c r="H776" s="206"/>
      <c r="I776" s="206"/>
      <c r="J776" s="206"/>
      <c r="K776" s="206"/>
      <c r="L776" s="206"/>
      <c r="M776" s="207"/>
      <c r="N776" s="207"/>
      <c r="O776" s="208"/>
      <c r="P776" s="208"/>
      <c r="Q776" s="208"/>
      <c r="R776" s="206"/>
      <c r="S776" s="206"/>
      <c r="T776" s="206"/>
      <c r="U776" s="206"/>
      <c r="V776" s="206"/>
      <c r="W776" s="206"/>
      <c r="X776" s="207"/>
      <c r="Y776" s="207"/>
      <c r="Z776" s="207"/>
      <c r="AA776" s="206"/>
      <c r="AB776" s="206"/>
      <c r="AC776" s="206"/>
      <c r="AD776" s="206"/>
      <c r="AE776" s="206"/>
      <c r="AF776" s="206"/>
      <c r="AG776" s="206"/>
      <c r="AH776" s="206"/>
      <c r="AI776" s="206"/>
      <c r="AJ776" s="206"/>
      <c r="AK776" s="206"/>
      <c r="AL776" s="206"/>
      <c r="AM776" s="206"/>
      <c r="AN776" s="206"/>
      <c r="AO776" s="206"/>
      <c r="AP776" s="206"/>
      <c r="AQ776" s="207"/>
      <c r="AR776" s="206"/>
      <c r="AS776" s="206"/>
      <c r="AT776" s="206"/>
      <c r="AU776" s="206"/>
      <c r="AV776" s="206"/>
      <c r="AW776" s="207"/>
      <c r="AX776" s="207"/>
      <c r="AY776" s="207"/>
      <c r="AZ776" s="207"/>
    </row>
    <row r="777" spans="1:52" ht="12.75" x14ac:dyDescent="0.2">
      <c r="A777" s="206"/>
      <c r="B777" s="206"/>
      <c r="C777" s="206"/>
      <c r="D777" s="206"/>
      <c r="E777" s="206"/>
      <c r="F777" s="206"/>
      <c r="G777" s="206"/>
      <c r="H777" s="206"/>
      <c r="I777" s="206"/>
      <c r="J777" s="206"/>
      <c r="K777" s="206"/>
      <c r="L777" s="206"/>
      <c r="M777" s="207"/>
      <c r="N777" s="207"/>
      <c r="O777" s="208"/>
      <c r="P777" s="208"/>
      <c r="Q777" s="208"/>
      <c r="R777" s="206"/>
      <c r="S777" s="206"/>
      <c r="T777" s="206"/>
      <c r="U777" s="206"/>
      <c r="V777" s="206"/>
      <c r="W777" s="206"/>
      <c r="X777" s="207"/>
      <c r="Y777" s="207"/>
      <c r="Z777" s="207"/>
      <c r="AA777" s="206"/>
      <c r="AB777" s="206"/>
      <c r="AC777" s="206"/>
      <c r="AD777" s="206"/>
      <c r="AE777" s="206"/>
      <c r="AF777" s="206"/>
      <c r="AG777" s="206"/>
      <c r="AH777" s="206"/>
      <c r="AI777" s="206"/>
      <c r="AJ777" s="206"/>
      <c r="AK777" s="206"/>
      <c r="AL777" s="206"/>
      <c r="AM777" s="206"/>
      <c r="AN777" s="206"/>
      <c r="AO777" s="206"/>
      <c r="AP777" s="206"/>
      <c r="AQ777" s="207"/>
      <c r="AR777" s="206"/>
      <c r="AS777" s="206"/>
      <c r="AT777" s="206"/>
      <c r="AU777" s="206"/>
      <c r="AV777" s="206"/>
      <c r="AW777" s="207"/>
      <c r="AX777" s="207"/>
      <c r="AY777" s="207"/>
      <c r="AZ777" s="207"/>
    </row>
    <row r="778" spans="1:52" ht="12.75" x14ac:dyDescent="0.2">
      <c r="A778" s="206"/>
      <c r="B778" s="206"/>
      <c r="C778" s="206"/>
      <c r="D778" s="206"/>
      <c r="E778" s="206"/>
      <c r="F778" s="206"/>
      <c r="G778" s="206"/>
      <c r="H778" s="206"/>
      <c r="I778" s="206"/>
      <c r="J778" s="206"/>
      <c r="K778" s="206"/>
      <c r="L778" s="206"/>
      <c r="M778" s="207"/>
      <c r="N778" s="207"/>
      <c r="O778" s="208"/>
      <c r="P778" s="208"/>
      <c r="Q778" s="208"/>
      <c r="R778" s="206"/>
      <c r="S778" s="206"/>
      <c r="T778" s="206"/>
      <c r="U778" s="206"/>
      <c r="V778" s="206"/>
      <c r="W778" s="206"/>
      <c r="X778" s="207"/>
      <c r="Y778" s="207"/>
      <c r="Z778" s="207"/>
      <c r="AA778" s="206"/>
      <c r="AB778" s="206"/>
      <c r="AC778" s="206"/>
      <c r="AD778" s="206"/>
      <c r="AE778" s="206"/>
      <c r="AF778" s="206"/>
      <c r="AG778" s="206"/>
      <c r="AH778" s="206"/>
      <c r="AI778" s="206"/>
      <c r="AJ778" s="206"/>
      <c r="AK778" s="206"/>
      <c r="AL778" s="206"/>
      <c r="AM778" s="206"/>
      <c r="AN778" s="206"/>
      <c r="AO778" s="206"/>
      <c r="AP778" s="206"/>
      <c r="AQ778" s="207"/>
      <c r="AR778" s="206"/>
      <c r="AS778" s="206"/>
      <c r="AT778" s="206"/>
      <c r="AU778" s="206"/>
      <c r="AV778" s="206"/>
      <c r="AW778" s="207"/>
      <c r="AX778" s="207"/>
      <c r="AY778" s="207"/>
      <c r="AZ778" s="207"/>
    </row>
    <row r="779" spans="1:52" ht="12.75" x14ac:dyDescent="0.2">
      <c r="A779" s="206"/>
      <c r="B779" s="206"/>
      <c r="C779" s="206"/>
      <c r="D779" s="206"/>
      <c r="E779" s="206"/>
      <c r="F779" s="206"/>
      <c r="G779" s="206"/>
      <c r="H779" s="206"/>
      <c r="I779" s="206"/>
      <c r="J779" s="206"/>
      <c r="K779" s="206"/>
      <c r="L779" s="206"/>
      <c r="M779" s="207"/>
      <c r="N779" s="207"/>
      <c r="O779" s="208"/>
      <c r="P779" s="208"/>
      <c r="Q779" s="208"/>
      <c r="R779" s="206"/>
      <c r="S779" s="206"/>
      <c r="T779" s="206"/>
      <c r="U779" s="206"/>
      <c r="V779" s="206"/>
      <c r="W779" s="206"/>
      <c r="X779" s="207"/>
      <c r="Y779" s="207"/>
      <c r="Z779" s="207"/>
      <c r="AA779" s="206"/>
      <c r="AB779" s="206"/>
      <c r="AC779" s="206"/>
      <c r="AD779" s="206"/>
      <c r="AE779" s="206"/>
      <c r="AF779" s="206"/>
      <c r="AG779" s="206"/>
      <c r="AH779" s="206"/>
      <c r="AI779" s="206"/>
      <c r="AJ779" s="206"/>
      <c r="AK779" s="206"/>
      <c r="AL779" s="206"/>
      <c r="AM779" s="206"/>
      <c r="AN779" s="206"/>
      <c r="AO779" s="206"/>
      <c r="AP779" s="206"/>
      <c r="AQ779" s="207"/>
      <c r="AR779" s="206"/>
      <c r="AS779" s="206"/>
      <c r="AT779" s="206"/>
      <c r="AU779" s="206"/>
      <c r="AV779" s="206"/>
      <c r="AW779" s="207"/>
      <c r="AX779" s="207"/>
      <c r="AY779" s="207"/>
      <c r="AZ779" s="207"/>
    </row>
    <row r="780" spans="1:52" ht="12.75" x14ac:dyDescent="0.2">
      <c r="A780" s="206"/>
      <c r="B780" s="206"/>
      <c r="C780" s="206"/>
      <c r="D780" s="206"/>
      <c r="E780" s="206"/>
      <c r="F780" s="206"/>
      <c r="G780" s="206"/>
      <c r="H780" s="206"/>
      <c r="I780" s="206"/>
      <c r="J780" s="206"/>
      <c r="K780" s="206"/>
      <c r="L780" s="206"/>
      <c r="M780" s="207"/>
      <c r="N780" s="207"/>
      <c r="O780" s="208"/>
      <c r="P780" s="208"/>
      <c r="Q780" s="208"/>
      <c r="R780" s="206"/>
      <c r="S780" s="206"/>
      <c r="T780" s="206"/>
      <c r="U780" s="206"/>
      <c r="V780" s="206"/>
      <c r="W780" s="206"/>
      <c r="X780" s="207"/>
      <c r="Y780" s="207"/>
      <c r="Z780" s="207"/>
      <c r="AA780" s="206"/>
      <c r="AB780" s="206"/>
      <c r="AC780" s="206"/>
      <c r="AD780" s="206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7"/>
      <c r="AR780" s="206"/>
      <c r="AS780" s="206"/>
      <c r="AT780" s="206"/>
      <c r="AU780" s="206"/>
      <c r="AV780" s="206"/>
      <c r="AW780" s="207"/>
      <c r="AX780" s="207"/>
      <c r="AY780" s="207"/>
      <c r="AZ780" s="207"/>
    </row>
    <row r="781" spans="1:52" ht="12.75" x14ac:dyDescent="0.2">
      <c r="A781" s="206"/>
      <c r="B781" s="206"/>
      <c r="C781" s="206"/>
      <c r="D781" s="206"/>
      <c r="E781" s="206"/>
      <c r="F781" s="206"/>
      <c r="G781" s="206"/>
      <c r="H781" s="206"/>
      <c r="I781" s="206"/>
      <c r="J781" s="206"/>
      <c r="K781" s="206"/>
      <c r="L781" s="206"/>
      <c r="M781" s="207"/>
      <c r="N781" s="207"/>
      <c r="O781" s="208"/>
      <c r="P781" s="208"/>
      <c r="Q781" s="208"/>
      <c r="R781" s="206"/>
      <c r="S781" s="206"/>
      <c r="T781" s="206"/>
      <c r="U781" s="206"/>
      <c r="V781" s="206"/>
      <c r="W781" s="206"/>
      <c r="X781" s="207"/>
      <c r="Y781" s="207"/>
      <c r="Z781" s="207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7"/>
      <c r="AR781" s="206"/>
      <c r="AS781" s="206"/>
      <c r="AT781" s="206"/>
      <c r="AU781" s="206"/>
      <c r="AV781" s="206"/>
      <c r="AW781" s="207"/>
      <c r="AX781" s="207"/>
      <c r="AY781" s="207"/>
      <c r="AZ781" s="207"/>
    </row>
    <row r="782" spans="1:52" ht="12.75" x14ac:dyDescent="0.2">
      <c r="A782" s="206"/>
      <c r="B782" s="206"/>
      <c r="C782" s="206"/>
      <c r="D782" s="206"/>
      <c r="E782" s="206"/>
      <c r="F782" s="206"/>
      <c r="G782" s="206"/>
      <c r="H782" s="206"/>
      <c r="I782" s="206"/>
      <c r="J782" s="206"/>
      <c r="K782" s="206"/>
      <c r="L782" s="206"/>
      <c r="M782" s="207"/>
      <c r="N782" s="207"/>
      <c r="O782" s="208"/>
      <c r="P782" s="208"/>
      <c r="Q782" s="208"/>
      <c r="R782" s="206"/>
      <c r="S782" s="206"/>
      <c r="T782" s="206"/>
      <c r="U782" s="206"/>
      <c r="V782" s="206"/>
      <c r="W782" s="206"/>
      <c r="X782" s="207"/>
      <c r="Y782" s="207"/>
      <c r="Z782" s="207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7"/>
      <c r="AR782" s="206"/>
      <c r="AS782" s="206"/>
      <c r="AT782" s="206"/>
      <c r="AU782" s="206"/>
      <c r="AV782" s="206"/>
      <c r="AW782" s="207"/>
      <c r="AX782" s="207"/>
      <c r="AY782" s="207"/>
      <c r="AZ782" s="207"/>
    </row>
    <row r="783" spans="1:52" ht="12.75" x14ac:dyDescent="0.2">
      <c r="A783" s="206"/>
      <c r="B783" s="206"/>
      <c r="C783" s="206"/>
      <c r="D783" s="206"/>
      <c r="E783" s="206"/>
      <c r="F783" s="206"/>
      <c r="G783" s="206"/>
      <c r="H783" s="206"/>
      <c r="I783" s="206"/>
      <c r="J783" s="206"/>
      <c r="K783" s="206"/>
      <c r="L783" s="206"/>
      <c r="M783" s="207"/>
      <c r="N783" s="207"/>
      <c r="O783" s="208"/>
      <c r="P783" s="208"/>
      <c r="Q783" s="208"/>
      <c r="R783" s="206"/>
      <c r="S783" s="206"/>
      <c r="T783" s="206"/>
      <c r="U783" s="206"/>
      <c r="V783" s="206"/>
      <c r="W783" s="206"/>
      <c r="X783" s="207"/>
      <c r="Y783" s="207"/>
      <c r="Z783" s="207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7"/>
      <c r="AR783" s="206"/>
      <c r="AS783" s="206"/>
      <c r="AT783" s="206"/>
      <c r="AU783" s="206"/>
      <c r="AV783" s="206"/>
      <c r="AW783" s="207"/>
      <c r="AX783" s="207"/>
      <c r="AY783" s="207"/>
      <c r="AZ783" s="207"/>
    </row>
    <row r="784" spans="1:52" ht="12.75" x14ac:dyDescent="0.2">
      <c r="A784" s="206"/>
      <c r="B784" s="206"/>
      <c r="C784" s="206"/>
      <c r="D784" s="206"/>
      <c r="E784" s="206"/>
      <c r="F784" s="206"/>
      <c r="G784" s="206"/>
      <c r="H784" s="206"/>
      <c r="I784" s="206"/>
      <c r="J784" s="206"/>
      <c r="K784" s="206"/>
      <c r="L784" s="206"/>
      <c r="M784" s="207"/>
      <c r="N784" s="207"/>
      <c r="O784" s="208"/>
      <c r="P784" s="208"/>
      <c r="Q784" s="208"/>
      <c r="R784" s="206"/>
      <c r="S784" s="206"/>
      <c r="T784" s="206"/>
      <c r="U784" s="206"/>
      <c r="V784" s="206"/>
      <c r="W784" s="206"/>
      <c r="X784" s="207"/>
      <c r="Y784" s="207"/>
      <c r="Z784" s="207"/>
      <c r="AA784" s="206"/>
      <c r="AB784" s="206"/>
      <c r="AC784" s="206"/>
      <c r="AD784" s="206"/>
      <c r="AE784" s="206"/>
      <c r="AF784" s="206"/>
      <c r="AG784" s="206"/>
      <c r="AH784" s="206"/>
      <c r="AI784" s="206"/>
      <c r="AJ784" s="206"/>
      <c r="AK784" s="206"/>
      <c r="AL784" s="206"/>
      <c r="AM784" s="206"/>
      <c r="AN784" s="206"/>
      <c r="AO784" s="206"/>
      <c r="AP784" s="206"/>
      <c r="AQ784" s="207"/>
      <c r="AR784" s="206"/>
      <c r="AS784" s="206"/>
      <c r="AT784" s="206"/>
      <c r="AU784" s="206"/>
      <c r="AV784" s="206"/>
      <c r="AW784" s="207"/>
      <c r="AX784" s="207"/>
      <c r="AY784" s="207"/>
      <c r="AZ784" s="207"/>
    </row>
    <row r="785" spans="1:52" ht="12.75" x14ac:dyDescent="0.2">
      <c r="A785" s="206"/>
      <c r="B785" s="206"/>
      <c r="C785" s="206"/>
      <c r="D785" s="206"/>
      <c r="E785" s="206"/>
      <c r="F785" s="206"/>
      <c r="G785" s="206"/>
      <c r="H785" s="206"/>
      <c r="I785" s="206"/>
      <c r="J785" s="206"/>
      <c r="K785" s="206"/>
      <c r="L785" s="206"/>
      <c r="M785" s="207"/>
      <c r="N785" s="207"/>
      <c r="O785" s="208"/>
      <c r="P785" s="208"/>
      <c r="Q785" s="208"/>
      <c r="R785" s="206"/>
      <c r="S785" s="206"/>
      <c r="T785" s="206"/>
      <c r="U785" s="206"/>
      <c r="V785" s="206"/>
      <c r="W785" s="206"/>
      <c r="X785" s="207"/>
      <c r="Y785" s="207"/>
      <c r="Z785" s="207"/>
      <c r="AA785" s="206"/>
      <c r="AB785" s="206"/>
      <c r="AC785" s="206"/>
      <c r="AD785" s="206"/>
      <c r="AE785" s="206"/>
      <c r="AF785" s="206"/>
      <c r="AG785" s="206"/>
      <c r="AH785" s="206"/>
      <c r="AI785" s="206"/>
      <c r="AJ785" s="206"/>
      <c r="AK785" s="206"/>
      <c r="AL785" s="206"/>
      <c r="AM785" s="206"/>
      <c r="AN785" s="206"/>
      <c r="AO785" s="206"/>
      <c r="AP785" s="206"/>
      <c r="AQ785" s="207"/>
      <c r="AR785" s="206"/>
      <c r="AS785" s="206"/>
      <c r="AT785" s="206"/>
      <c r="AU785" s="206"/>
      <c r="AV785" s="206"/>
      <c r="AW785" s="207"/>
      <c r="AX785" s="207"/>
      <c r="AY785" s="207"/>
      <c r="AZ785" s="207"/>
    </row>
    <row r="786" spans="1:52" ht="12.75" x14ac:dyDescent="0.2">
      <c r="A786" s="206"/>
      <c r="B786" s="206"/>
      <c r="C786" s="206"/>
      <c r="D786" s="206"/>
      <c r="E786" s="206"/>
      <c r="F786" s="206"/>
      <c r="G786" s="206"/>
      <c r="H786" s="206"/>
      <c r="I786" s="206"/>
      <c r="J786" s="206"/>
      <c r="K786" s="206"/>
      <c r="L786" s="206"/>
      <c r="M786" s="207"/>
      <c r="N786" s="207"/>
      <c r="O786" s="208"/>
      <c r="P786" s="208"/>
      <c r="Q786" s="208"/>
      <c r="R786" s="206"/>
      <c r="S786" s="206"/>
      <c r="T786" s="206"/>
      <c r="U786" s="206"/>
      <c r="V786" s="206"/>
      <c r="W786" s="206"/>
      <c r="X786" s="207"/>
      <c r="Y786" s="207"/>
      <c r="Z786" s="207"/>
      <c r="AA786" s="206"/>
      <c r="AB786" s="206"/>
      <c r="AC786" s="206"/>
      <c r="AD786" s="206"/>
      <c r="AE786" s="206"/>
      <c r="AF786" s="206"/>
      <c r="AG786" s="206"/>
      <c r="AH786" s="206"/>
      <c r="AI786" s="206"/>
      <c r="AJ786" s="206"/>
      <c r="AK786" s="206"/>
      <c r="AL786" s="206"/>
      <c r="AM786" s="206"/>
      <c r="AN786" s="206"/>
      <c r="AO786" s="206"/>
      <c r="AP786" s="206"/>
      <c r="AQ786" s="207"/>
      <c r="AR786" s="206"/>
      <c r="AS786" s="206"/>
      <c r="AT786" s="206"/>
      <c r="AU786" s="206"/>
      <c r="AV786" s="206"/>
      <c r="AW786" s="207"/>
      <c r="AX786" s="207"/>
      <c r="AY786" s="207"/>
      <c r="AZ786" s="207"/>
    </row>
    <row r="787" spans="1:52" ht="12.75" x14ac:dyDescent="0.2">
      <c r="A787" s="206"/>
      <c r="B787" s="206"/>
      <c r="C787" s="206"/>
      <c r="D787" s="206"/>
      <c r="E787" s="206"/>
      <c r="F787" s="206"/>
      <c r="G787" s="206"/>
      <c r="H787" s="206"/>
      <c r="I787" s="206"/>
      <c r="J787" s="206"/>
      <c r="K787" s="206"/>
      <c r="L787" s="206"/>
      <c r="M787" s="207"/>
      <c r="N787" s="207"/>
      <c r="O787" s="208"/>
      <c r="P787" s="208"/>
      <c r="Q787" s="208"/>
      <c r="R787" s="206"/>
      <c r="S787" s="206"/>
      <c r="T787" s="206"/>
      <c r="U787" s="206"/>
      <c r="V787" s="206"/>
      <c r="W787" s="206"/>
      <c r="X787" s="207"/>
      <c r="Y787" s="207"/>
      <c r="Z787" s="207"/>
      <c r="AA787" s="206"/>
      <c r="AB787" s="206"/>
      <c r="AC787" s="206"/>
      <c r="AD787" s="206"/>
      <c r="AE787" s="206"/>
      <c r="AF787" s="206"/>
      <c r="AG787" s="206"/>
      <c r="AH787" s="206"/>
      <c r="AI787" s="206"/>
      <c r="AJ787" s="206"/>
      <c r="AK787" s="206"/>
      <c r="AL787" s="206"/>
      <c r="AM787" s="206"/>
      <c r="AN787" s="206"/>
      <c r="AO787" s="206"/>
      <c r="AP787" s="206"/>
      <c r="AQ787" s="207"/>
      <c r="AR787" s="206"/>
      <c r="AS787" s="206"/>
      <c r="AT787" s="206"/>
      <c r="AU787" s="206"/>
      <c r="AV787" s="206"/>
      <c r="AW787" s="207"/>
      <c r="AX787" s="207"/>
      <c r="AY787" s="207"/>
      <c r="AZ787" s="207"/>
    </row>
    <row r="788" spans="1:52" ht="12.75" x14ac:dyDescent="0.2">
      <c r="A788" s="206"/>
      <c r="B788" s="206"/>
      <c r="C788" s="206"/>
      <c r="D788" s="206"/>
      <c r="E788" s="206"/>
      <c r="F788" s="206"/>
      <c r="G788" s="206"/>
      <c r="H788" s="206"/>
      <c r="I788" s="206"/>
      <c r="J788" s="206"/>
      <c r="K788" s="206"/>
      <c r="L788" s="206"/>
      <c r="M788" s="207"/>
      <c r="N788" s="207"/>
      <c r="O788" s="208"/>
      <c r="P788" s="208"/>
      <c r="Q788" s="208"/>
      <c r="R788" s="206"/>
      <c r="S788" s="206"/>
      <c r="T788" s="206"/>
      <c r="U788" s="206"/>
      <c r="V788" s="206"/>
      <c r="W788" s="206"/>
      <c r="X788" s="207"/>
      <c r="Y788" s="207"/>
      <c r="Z788" s="207"/>
      <c r="AA788" s="206"/>
      <c r="AB788" s="206"/>
      <c r="AC788" s="206"/>
      <c r="AD788" s="206"/>
      <c r="AE788" s="206"/>
      <c r="AF788" s="206"/>
      <c r="AG788" s="206"/>
      <c r="AH788" s="206"/>
      <c r="AI788" s="206"/>
      <c r="AJ788" s="206"/>
      <c r="AK788" s="206"/>
      <c r="AL788" s="206"/>
      <c r="AM788" s="206"/>
      <c r="AN788" s="206"/>
      <c r="AO788" s="206"/>
      <c r="AP788" s="206"/>
      <c r="AQ788" s="207"/>
      <c r="AR788" s="206"/>
      <c r="AS788" s="206"/>
      <c r="AT788" s="206"/>
      <c r="AU788" s="206"/>
      <c r="AV788" s="206"/>
      <c r="AW788" s="207"/>
      <c r="AX788" s="207"/>
      <c r="AY788" s="207"/>
      <c r="AZ788" s="207"/>
    </row>
    <row r="789" spans="1:52" ht="12.75" x14ac:dyDescent="0.2">
      <c r="A789" s="206"/>
      <c r="B789" s="206"/>
      <c r="C789" s="206"/>
      <c r="D789" s="206"/>
      <c r="E789" s="206"/>
      <c r="F789" s="206"/>
      <c r="G789" s="206"/>
      <c r="H789" s="206"/>
      <c r="I789" s="206"/>
      <c r="J789" s="206"/>
      <c r="K789" s="206"/>
      <c r="L789" s="206"/>
      <c r="M789" s="207"/>
      <c r="N789" s="207"/>
      <c r="O789" s="208"/>
      <c r="P789" s="208"/>
      <c r="Q789" s="208"/>
      <c r="R789" s="206"/>
      <c r="S789" s="206"/>
      <c r="T789" s="206"/>
      <c r="U789" s="206"/>
      <c r="V789" s="206"/>
      <c r="W789" s="206"/>
      <c r="X789" s="207"/>
      <c r="Y789" s="207"/>
      <c r="Z789" s="207"/>
      <c r="AA789" s="206"/>
      <c r="AB789" s="206"/>
      <c r="AC789" s="206"/>
      <c r="AD789" s="206"/>
      <c r="AE789" s="206"/>
      <c r="AF789" s="206"/>
      <c r="AG789" s="206"/>
      <c r="AH789" s="206"/>
      <c r="AI789" s="206"/>
      <c r="AJ789" s="206"/>
      <c r="AK789" s="206"/>
      <c r="AL789" s="206"/>
      <c r="AM789" s="206"/>
      <c r="AN789" s="206"/>
      <c r="AO789" s="206"/>
      <c r="AP789" s="206"/>
      <c r="AQ789" s="207"/>
      <c r="AR789" s="206"/>
      <c r="AS789" s="206"/>
      <c r="AT789" s="206"/>
      <c r="AU789" s="206"/>
      <c r="AV789" s="206"/>
      <c r="AW789" s="207"/>
      <c r="AX789" s="207"/>
      <c r="AY789" s="207"/>
      <c r="AZ789" s="207"/>
    </row>
    <row r="790" spans="1:52" ht="12.75" x14ac:dyDescent="0.2">
      <c r="A790" s="206"/>
      <c r="B790" s="206"/>
      <c r="C790" s="206"/>
      <c r="D790" s="206"/>
      <c r="E790" s="206"/>
      <c r="F790" s="206"/>
      <c r="G790" s="206"/>
      <c r="H790" s="206"/>
      <c r="I790" s="206"/>
      <c r="J790" s="206"/>
      <c r="K790" s="206"/>
      <c r="L790" s="206"/>
      <c r="M790" s="207"/>
      <c r="N790" s="207"/>
      <c r="O790" s="208"/>
      <c r="P790" s="208"/>
      <c r="Q790" s="208"/>
      <c r="R790" s="206"/>
      <c r="S790" s="206"/>
      <c r="T790" s="206"/>
      <c r="U790" s="206"/>
      <c r="V790" s="206"/>
      <c r="W790" s="206"/>
      <c r="X790" s="207"/>
      <c r="Y790" s="207"/>
      <c r="Z790" s="207"/>
      <c r="AA790" s="206"/>
      <c r="AB790" s="206"/>
      <c r="AC790" s="206"/>
      <c r="AD790" s="206"/>
      <c r="AE790" s="206"/>
      <c r="AF790" s="206"/>
      <c r="AG790" s="206"/>
      <c r="AH790" s="206"/>
      <c r="AI790" s="206"/>
      <c r="AJ790" s="206"/>
      <c r="AK790" s="206"/>
      <c r="AL790" s="206"/>
      <c r="AM790" s="206"/>
      <c r="AN790" s="206"/>
      <c r="AO790" s="206"/>
      <c r="AP790" s="206"/>
      <c r="AQ790" s="207"/>
      <c r="AR790" s="206"/>
      <c r="AS790" s="206"/>
      <c r="AT790" s="206"/>
      <c r="AU790" s="206"/>
      <c r="AV790" s="206"/>
      <c r="AW790" s="207"/>
      <c r="AX790" s="207"/>
      <c r="AY790" s="207"/>
      <c r="AZ790" s="207"/>
    </row>
    <row r="791" spans="1:52" ht="12.75" x14ac:dyDescent="0.2">
      <c r="A791" s="206"/>
      <c r="B791" s="206"/>
      <c r="C791" s="206"/>
      <c r="D791" s="206"/>
      <c r="E791" s="206"/>
      <c r="F791" s="206"/>
      <c r="G791" s="206"/>
      <c r="H791" s="206"/>
      <c r="I791" s="206"/>
      <c r="J791" s="206"/>
      <c r="K791" s="206"/>
      <c r="L791" s="206"/>
      <c r="M791" s="207"/>
      <c r="N791" s="207"/>
      <c r="O791" s="208"/>
      <c r="P791" s="208"/>
      <c r="Q791" s="208"/>
      <c r="R791" s="206"/>
      <c r="S791" s="206"/>
      <c r="T791" s="206"/>
      <c r="U791" s="206"/>
      <c r="V791" s="206"/>
      <c r="W791" s="206"/>
      <c r="X791" s="207"/>
      <c r="Y791" s="207"/>
      <c r="Z791" s="207"/>
      <c r="AA791" s="206"/>
      <c r="AB791" s="206"/>
      <c r="AC791" s="206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7"/>
      <c r="AR791" s="206"/>
      <c r="AS791" s="206"/>
      <c r="AT791" s="206"/>
      <c r="AU791" s="206"/>
      <c r="AV791" s="206"/>
      <c r="AW791" s="207"/>
      <c r="AX791" s="207"/>
      <c r="AY791" s="207"/>
      <c r="AZ791" s="207"/>
    </row>
    <row r="792" spans="1:52" ht="12.75" x14ac:dyDescent="0.2">
      <c r="A792" s="206"/>
      <c r="B792" s="206"/>
      <c r="C792" s="206"/>
      <c r="D792" s="206"/>
      <c r="E792" s="206"/>
      <c r="F792" s="206"/>
      <c r="G792" s="206"/>
      <c r="H792" s="206"/>
      <c r="I792" s="206"/>
      <c r="J792" s="206"/>
      <c r="K792" s="206"/>
      <c r="L792" s="206"/>
      <c r="M792" s="207"/>
      <c r="N792" s="207"/>
      <c r="O792" s="208"/>
      <c r="P792" s="208"/>
      <c r="Q792" s="208"/>
      <c r="R792" s="206"/>
      <c r="S792" s="206"/>
      <c r="T792" s="206"/>
      <c r="U792" s="206"/>
      <c r="V792" s="206"/>
      <c r="W792" s="206"/>
      <c r="X792" s="207"/>
      <c r="Y792" s="207"/>
      <c r="Z792" s="207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7"/>
      <c r="AR792" s="206"/>
      <c r="AS792" s="206"/>
      <c r="AT792" s="206"/>
      <c r="AU792" s="206"/>
      <c r="AV792" s="206"/>
      <c r="AW792" s="207"/>
      <c r="AX792" s="207"/>
      <c r="AY792" s="207"/>
      <c r="AZ792" s="207"/>
    </row>
    <row r="793" spans="1:52" ht="12.75" x14ac:dyDescent="0.2">
      <c r="A793" s="206"/>
      <c r="B793" s="206"/>
      <c r="C793" s="206"/>
      <c r="D793" s="206"/>
      <c r="E793" s="206"/>
      <c r="F793" s="206"/>
      <c r="G793" s="206"/>
      <c r="H793" s="206"/>
      <c r="I793" s="206"/>
      <c r="J793" s="206"/>
      <c r="K793" s="206"/>
      <c r="L793" s="206"/>
      <c r="M793" s="207"/>
      <c r="N793" s="207"/>
      <c r="O793" s="208"/>
      <c r="P793" s="208"/>
      <c r="Q793" s="208"/>
      <c r="R793" s="206"/>
      <c r="S793" s="206"/>
      <c r="T793" s="206"/>
      <c r="U793" s="206"/>
      <c r="V793" s="206"/>
      <c r="W793" s="206"/>
      <c r="X793" s="207"/>
      <c r="Y793" s="207"/>
      <c r="Z793" s="207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7"/>
      <c r="AR793" s="206"/>
      <c r="AS793" s="206"/>
      <c r="AT793" s="206"/>
      <c r="AU793" s="206"/>
      <c r="AV793" s="206"/>
      <c r="AW793" s="207"/>
      <c r="AX793" s="207"/>
      <c r="AY793" s="207"/>
      <c r="AZ793" s="207"/>
    </row>
    <row r="794" spans="1:52" ht="12.75" x14ac:dyDescent="0.2">
      <c r="A794" s="206"/>
      <c r="B794" s="206"/>
      <c r="C794" s="206"/>
      <c r="D794" s="206"/>
      <c r="E794" s="206"/>
      <c r="F794" s="206"/>
      <c r="G794" s="206"/>
      <c r="H794" s="206"/>
      <c r="I794" s="206"/>
      <c r="J794" s="206"/>
      <c r="K794" s="206"/>
      <c r="L794" s="206"/>
      <c r="M794" s="207"/>
      <c r="N794" s="207"/>
      <c r="O794" s="208"/>
      <c r="P794" s="208"/>
      <c r="Q794" s="208"/>
      <c r="R794" s="206"/>
      <c r="S794" s="206"/>
      <c r="T794" s="206"/>
      <c r="U794" s="206"/>
      <c r="V794" s="206"/>
      <c r="W794" s="206"/>
      <c r="X794" s="207"/>
      <c r="Y794" s="207"/>
      <c r="Z794" s="207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7"/>
      <c r="AR794" s="206"/>
      <c r="AS794" s="206"/>
      <c r="AT794" s="206"/>
      <c r="AU794" s="206"/>
      <c r="AV794" s="206"/>
      <c r="AW794" s="207"/>
      <c r="AX794" s="207"/>
      <c r="AY794" s="207"/>
      <c r="AZ794" s="207"/>
    </row>
    <row r="795" spans="1:52" ht="12.75" x14ac:dyDescent="0.2">
      <c r="A795" s="206"/>
      <c r="B795" s="206"/>
      <c r="C795" s="206"/>
      <c r="D795" s="206"/>
      <c r="E795" s="206"/>
      <c r="F795" s="206"/>
      <c r="G795" s="206"/>
      <c r="H795" s="206"/>
      <c r="I795" s="206"/>
      <c r="J795" s="206"/>
      <c r="K795" s="206"/>
      <c r="L795" s="206"/>
      <c r="M795" s="207"/>
      <c r="N795" s="207"/>
      <c r="O795" s="208"/>
      <c r="P795" s="208"/>
      <c r="Q795" s="208"/>
      <c r="R795" s="206"/>
      <c r="S795" s="206"/>
      <c r="T795" s="206"/>
      <c r="U795" s="206"/>
      <c r="V795" s="206"/>
      <c r="W795" s="206"/>
      <c r="X795" s="207"/>
      <c r="Y795" s="207"/>
      <c r="Z795" s="207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7"/>
      <c r="AR795" s="206"/>
      <c r="AS795" s="206"/>
      <c r="AT795" s="206"/>
      <c r="AU795" s="206"/>
      <c r="AV795" s="206"/>
      <c r="AW795" s="207"/>
      <c r="AX795" s="207"/>
      <c r="AY795" s="207"/>
      <c r="AZ795" s="207"/>
    </row>
    <row r="796" spans="1:52" ht="12.75" x14ac:dyDescent="0.2">
      <c r="A796" s="206"/>
      <c r="B796" s="206"/>
      <c r="C796" s="206"/>
      <c r="D796" s="206"/>
      <c r="E796" s="206"/>
      <c r="F796" s="206"/>
      <c r="G796" s="206"/>
      <c r="H796" s="206"/>
      <c r="I796" s="206"/>
      <c r="J796" s="206"/>
      <c r="K796" s="206"/>
      <c r="L796" s="206"/>
      <c r="M796" s="207"/>
      <c r="N796" s="207"/>
      <c r="O796" s="208"/>
      <c r="P796" s="208"/>
      <c r="Q796" s="208"/>
      <c r="R796" s="206"/>
      <c r="S796" s="206"/>
      <c r="T796" s="206"/>
      <c r="U796" s="206"/>
      <c r="V796" s="206"/>
      <c r="W796" s="206"/>
      <c r="X796" s="207"/>
      <c r="Y796" s="207"/>
      <c r="Z796" s="207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7"/>
      <c r="AR796" s="206"/>
      <c r="AS796" s="206"/>
      <c r="AT796" s="206"/>
      <c r="AU796" s="206"/>
      <c r="AV796" s="206"/>
      <c r="AW796" s="207"/>
      <c r="AX796" s="207"/>
      <c r="AY796" s="207"/>
      <c r="AZ796" s="207"/>
    </row>
    <row r="797" spans="1:52" ht="12.75" x14ac:dyDescent="0.2">
      <c r="A797" s="206"/>
      <c r="B797" s="206"/>
      <c r="C797" s="206"/>
      <c r="D797" s="206"/>
      <c r="E797" s="206"/>
      <c r="F797" s="206"/>
      <c r="G797" s="206"/>
      <c r="H797" s="206"/>
      <c r="I797" s="206"/>
      <c r="J797" s="206"/>
      <c r="K797" s="206"/>
      <c r="L797" s="206"/>
      <c r="M797" s="207"/>
      <c r="N797" s="207"/>
      <c r="O797" s="208"/>
      <c r="P797" s="208"/>
      <c r="Q797" s="208"/>
      <c r="R797" s="206"/>
      <c r="S797" s="206"/>
      <c r="T797" s="206"/>
      <c r="U797" s="206"/>
      <c r="V797" s="206"/>
      <c r="W797" s="206"/>
      <c r="X797" s="207"/>
      <c r="Y797" s="207"/>
      <c r="Z797" s="207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7"/>
      <c r="AR797" s="206"/>
      <c r="AS797" s="206"/>
      <c r="AT797" s="206"/>
      <c r="AU797" s="206"/>
      <c r="AV797" s="206"/>
      <c r="AW797" s="207"/>
      <c r="AX797" s="207"/>
      <c r="AY797" s="207"/>
      <c r="AZ797" s="207"/>
    </row>
    <row r="798" spans="1:52" ht="12.75" x14ac:dyDescent="0.2">
      <c r="A798" s="206"/>
      <c r="B798" s="206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7"/>
      <c r="N798" s="207"/>
      <c r="O798" s="208"/>
      <c r="P798" s="208"/>
      <c r="Q798" s="208"/>
      <c r="R798" s="206"/>
      <c r="S798" s="206"/>
      <c r="T798" s="206"/>
      <c r="U798" s="206"/>
      <c r="V798" s="206"/>
      <c r="W798" s="206"/>
      <c r="X798" s="207"/>
      <c r="Y798" s="207"/>
      <c r="Z798" s="207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7"/>
      <c r="AR798" s="206"/>
      <c r="AS798" s="206"/>
      <c r="AT798" s="206"/>
      <c r="AU798" s="206"/>
      <c r="AV798" s="206"/>
      <c r="AW798" s="207"/>
      <c r="AX798" s="207"/>
      <c r="AY798" s="207"/>
      <c r="AZ798" s="207"/>
    </row>
    <row r="799" spans="1:52" ht="12.75" x14ac:dyDescent="0.2">
      <c r="A799" s="206"/>
      <c r="B799" s="206"/>
      <c r="C799" s="206"/>
      <c r="D799" s="206"/>
      <c r="E799" s="206"/>
      <c r="F799" s="206"/>
      <c r="G799" s="206"/>
      <c r="H799" s="206"/>
      <c r="I799" s="206"/>
      <c r="J799" s="206"/>
      <c r="K799" s="206"/>
      <c r="L799" s="206"/>
      <c r="M799" s="207"/>
      <c r="N799" s="207"/>
      <c r="O799" s="208"/>
      <c r="P799" s="208"/>
      <c r="Q799" s="208"/>
      <c r="R799" s="206"/>
      <c r="S799" s="206"/>
      <c r="T799" s="206"/>
      <c r="U799" s="206"/>
      <c r="V799" s="206"/>
      <c r="W799" s="206"/>
      <c r="X799" s="207"/>
      <c r="Y799" s="207"/>
      <c r="Z799" s="207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7"/>
      <c r="AR799" s="206"/>
      <c r="AS799" s="206"/>
      <c r="AT799" s="206"/>
      <c r="AU799" s="206"/>
      <c r="AV799" s="206"/>
      <c r="AW799" s="207"/>
      <c r="AX799" s="207"/>
      <c r="AY799" s="207"/>
      <c r="AZ799" s="207"/>
    </row>
    <row r="800" spans="1:52" ht="12.75" x14ac:dyDescent="0.2">
      <c r="A800" s="206"/>
      <c r="B800" s="206"/>
      <c r="C800" s="206"/>
      <c r="D800" s="206"/>
      <c r="E800" s="206"/>
      <c r="F800" s="206"/>
      <c r="G800" s="206"/>
      <c r="H800" s="206"/>
      <c r="I800" s="206"/>
      <c r="J800" s="206"/>
      <c r="K800" s="206"/>
      <c r="L800" s="206"/>
      <c r="M800" s="207"/>
      <c r="N800" s="207"/>
      <c r="O800" s="208"/>
      <c r="P800" s="208"/>
      <c r="Q800" s="208"/>
      <c r="R800" s="206"/>
      <c r="S800" s="206"/>
      <c r="T800" s="206"/>
      <c r="U800" s="206"/>
      <c r="V800" s="206"/>
      <c r="W800" s="206"/>
      <c r="X800" s="207"/>
      <c r="Y800" s="207"/>
      <c r="Z800" s="207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7"/>
      <c r="AR800" s="206"/>
      <c r="AS800" s="206"/>
      <c r="AT800" s="206"/>
      <c r="AU800" s="206"/>
      <c r="AV800" s="206"/>
      <c r="AW800" s="207"/>
      <c r="AX800" s="207"/>
      <c r="AY800" s="207"/>
      <c r="AZ800" s="207"/>
    </row>
    <row r="801" spans="1:52" ht="12.75" x14ac:dyDescent="0.2">
      <c r="A801" s="206"/>
      <c r="B801" s="206"/>
      <c r="C801" s="206"/>
      <c r="D801" s="206"/>
      <c r="E801" s="206"/>
      <c r="F801" s="206"/>
      <c r="G801" s="206"/>
      <c r="H801" s="206"/>
      <c r="I801" s="206"/>
      <c r="J801" s="206"/>
      <c r="K801" s="206"/>
      <c r="L801" s="206"/>
      <c r="M801" s="207"/>
      <c r="N801" s="207"/>
      <c r="O801" s="208"/>
      <c r="P801" s="208"/>
      <c r="Q801" s="208"/>
      <c r="R801" s="206"/>
      <c r="S801" s="206"/>
      <c r="T801" s="206"/>
      <c r="U801" s="206"/>
      <c r="V801" s="206"/>
      <c r="W801" s="206"/>
      <c r="X801" s="207"/>
      <c r="Y801" s="207"/>
      <c r="Z801" s="207"/>
      <c r="AA801" s="206"/>
      <c r="AB801" s="206"/>
      <c r="AC801" s="206"/>
      <c r="AD801" s="206"/>
      <c r="AE801" s="206"/>
      <c r="AF801" s="206"/>
      <c r="AG801" s="206"/>
      <c r="AH801" s="206"/>
      <c r="AI801" s="206"/>
      <c r="AJ801" s="206"/>
      <c r="AK801" s="206"/>
      <c r="AL801" s="206"/>
      <c r="AM801" s="206"/>
      <c r="AN801" s="206"/>
      <c r="AO801" s="206"/>
      <c r="AP801" s="206"/>
      <c r="AQ801" s="207"/>
      <c r="AR801" s="206"/>
      <c r="AS801" s="206"/>
      <c r="AT801" s="206"/>
      <c r="AU801" s="206"/>
      <c r="AV801" s="206"/>
      <c r="AW801" s="207"/>
      <c r="AX801" s="207"/>
      <c r="AY801" s="207"/>
      <c r="AZ801" s="207"/>
    </row>
    <row r="802" spans="1:52" ht="12.75" x14ac:dyDescent="0.2">
      <c r="A802" s="206"/>
      <c r="B802" s="206"/>
      <c r="C802" s="206"/>
      <c r="D802" s="206"/>
      <c r="E802" s="206"/>
      <c r="F802" s="206"/>
      <c r="G802" s="206"/>
      <c r="H802" s="206"/>
      <c r="I802" s="206"/>
      <c r="J802" s="206"/>
      <c r="K802" s="206"/>
      <c r="L802" s="206"/>
      <c r="M802" s="207"/>
      <c r="N802" s="207"/>
      <c r="O802" s="208"/>
      <c r="P802" s="208"/>
      <c r="Q802" s="208"/>
      <c r="R802" s="206"/>
      <c r="S802" s="206"/>
      <c r="T802" s="206"/>
      <c r="U802" s="206"/>
      <c r="V802" s="206"/>
      <c r="W802" s="206"/>
      <c r="X802" s="207"/>
      <c r="Y802" s="207"/>
      <c r="Z802" s="207"/>
      <c r="AA802" s="206"/>
      <c r="AB802" s="206"/>
      <c r="AC802" s="206"/>
      <c r="AD802" s="206"/>
      <c r="AE802" s="206"/>
      <c r="AF802" s="206"/>
      <c r="AG802" s="206"/>
      <c r="AH802" s="206"/>
      <c r="AI802" s="206"/>
      <c r="AJ802" s="206"/>
      <c r="AK802" s="206"/>
      <c r="AL802" s="206"/>
      <c r="AM802" s="206"/>
      <c r="AN802" s="206"/>
      <c r="AO802" s="206"/>
      <c r="AP802" s="206"/>
      <c r="AQ802" s="207"/>
      <c r="AR802" s="206"/>
      <c r="AS802" s="206"/>
      <c r="AT802" s="206"/>
      <c r="AU802" s="206"/>
      <c r="AV802" s="206"/>
      <c r="AW802" s="207"/>
      <c r="AX802" s="207"/>
      <c r="AY802" s="207"/>
      <c r="AZ802" s="207"/>
    </row>
    <row r="803" spans="1:52" ht="12.75" x14ac:dyDescent="0.2">
      <c r="A803" s="206"/>
      <c r="B803" s="206"/>
      <c r="C803" s="206"/>
      <c r="D803" s="206"/>
      <c r="E803" s="206"/>
      <c r="F803" s="206"/>
      <c r="G803" s="206"/>
      <c r="H803" s="206"/>
      <c r="I803" s="206"/>
      <c r="J803" s="206"/>
      <c r="K803" s="206"/>
      <c r="L803" s="206"/>
      <c r="M803" s="207"/>
      <c r="N803" s="207"/>
      <c r="O803" s="208"/>
      <c r="P803" s="208"/>
      <c r="Q803" s="208"/>
      <c r="R803" s="206"/>
      <c r="S803" s="206"/>
      <c r="T803" s="206"/>
      <c r="U803" s="206"/>
      <c r="V803" s="206"/>
      <c r="W803" s="206"/>
      <c r="X803" s="207"/>
      <c r="Y803" s="207"/>
      <c r="Z803" s="207"/>
      <c r="AA803" s="206"/>
      <c r="AB803" s="206"/>
      <c r="AC803" s="206"/>
      <c r="AD803" s="206"/>
      <c r="AE803" s="206"/>
      <c r="AF803" s="206"/>
      <c r="AG803" s="206"/>
      <c r="AH803" s="206"/>
      <c r="AI803" s="206"/>
      <c r="AJ803" s="206"/>
      <c r="AK803" s="206"/>
      <c r="AL803" s="206"/>
      <c r="AM803" s="206"/>
      <c r="AN803" s="206"/>
      <c r="AO803" s="206"/>
      <c r="AP803" s="206"/>
      <c r="AQ803" s="207"/>
      <c r="AR803" s="206"/>
      <c r="AS803" s="206"/>
      <c r="AT803" s="206"/>
      <c r="AU803" s="206"/>
      <c r="AV803" s="206"/>
      <c r="AW803" s="207"/>
      <c r="AX803" s="207"/>
      <c r="AY803" s="207"/>
      <c r="AZ803" s="207"/>
    </row>
    <row r="804" spans="1:52" ht="12.75" x14ac:dyDescent="0.2">
      <c r="A804" s="206"/>
      <c r="B804" s="206"/>
      <c r="C804" s="206"/>
      <c r="D804" s="206"/>
      <c r="E804" s="206"/>
      <c r="F804" s="206"/>
      <c r="G804" s="206"/>
      <c r="H804" s="206"/>
      <c r="I804" s="206"/>
      <c r="J804" s="206"/>
      <c r="K804" s="206"/>
      <c r="L804" s="206"/>
      <c r="M804" s="207"/>
      <c r="N804" s="207"/>
      <c r="O804" s="208"/>
      <c r="P804" s="208"/>
      <c r="Q804" s="208"/>
      <c r="R804" s="206"/>
      <c r="S804" s="206"/>
      <c r="T804" s="206"/>
      <c r="U804" s="206"/>
      <c r="V804" s="206"/>
      <c r="W804" s="206"/>
      <c r="X804" s="207"/>
      <c r="Y804" s="207"/>
      <c r="Z804" s="207"/>
      <c r="AA804" s="206"/>
      <c r="AB804" s="206"/>
      <c r="AC804" s="206"/>
      <c r="AD804" s="206"/>
      <c r="AE804" s="206"/>
      <c r="AF804" s="206"/>
      <c r="AG804" s="206"/>
      <c r="AH804" s="206"/>
      <c r="AI804" s="206"/>
      <c r="AJ804" s="206"/>
      <c r="AK804" s="206"/>
      <c r="AL804" s="206"/>
      <c r="AM804" s="206"/>
      <c r="AN804" s="206"/>
      <c r="AO804" s="206"/>
      <c r="AP804" s="206"/>
      <c r="AQ804" s="207"/>
      <c r="AR804" s="206"/>
      <c r="AS804" s="206"/>
      <c r="AT804" s="206"/>
      <c r="AU804" s="206"/>
      <c r="AV804" s="206"/>
      <c r="AW804" s="207"/>
      <c r="AX804" s="207"/>
      <c r="AY804" s="207"/>
      <c r="AZ804" s="207"/>
    </row>
    <row r="805" spans="1:52" ht="12.75" x14ac:dyDescent="0.2">
      <c r="A805" s="206"/>
      <c r="B805" s="206"/>
      <c r="C805" s="206"/>
      <c r="D805" s="206"/>
      <c r="E805" s="206"/>
      <c r="F805" s="206"/>
      <c r="G805" s="206"/>
      <c r="H805" s="206"/>
      <c r="I805" s="206"/>
      <c r="J805" s="206"/>
      <c r="K805" s="206"/>
      <c r="L805" s="206"/>
      <c r="M805" s="207"/>
      <c r="N805" s="207"/>
      <c r="O805" s="208"/>
      <c r="P805" s="208"/>
      <c r="Q805" s="208"/>
      <c r="R805" s="206"/>
      <c r="S805" s="206"/>
      <c r="T805" s="206"/>
      <c r="U805" s="206"/>
      <c r="V805" s="206"/>
      <c r="W805" s="206"/>
      <c r="X805" s="207"/>
      <c r="Y805" s="207"/>
      <c r="Z805" s="207"/>
      <c r="AA805" s="206"/>
      <c r="AB805" s="206"/>
      <c r="AC805" s="206"/>
      <c r="AD805" s="206"/>
      <c r="AE805" s="206"/>
      <c r="AF805" s="206"/>
      <c r="AG805" s="206"/>
      <c r="AH805" s="206"/>
      <c r="AI805" s="206"/>
      <c r="AJ805" s="206"/>
      <c r="AK805" s="206"/>
      <c r="AL805" s="206"/>
      <c r="AM805" s="206"/>
      <c r="AN805" s="206"/>
      <c r="AO805" s="206"/>
      <c r="AP805" s="206"/>
      <c r="AQ805" s="207"/>
      <c r="AR805" s="206"/>
      <c r="AS805" s="206"/>
      <c r="AT805" s="206"/>
      <c r="AU805" s="206"/>
      <c r="AV805" s="206"/>
      <c r="AW805" s="207"/>
      <c r="AX805" s="207"/>
      <c r="AY805" s="207"/>
      <c r="AZ805" s="207"/>
    </row>
    <row r="806" spans="1:52" ht="12.75" x14ac:dyDescent="0.2">
      <c r="A806" s="206"/>
      <c r="B806" s="206"/>
      <c r="C806" s="206"/>
      <c r="D806" s="206"/>
      <c r="E806" s="206"/>
      <c r="F806" s="206"/>
      <c r="G806" s="206"/>
      <c r="H806" s="206"/>
      <c r="I806" s="206"/>
      <c r="J806" s="206"/>
      <c r="K806" s="206"/>
      <c r="L806" s="206"/>
      <c r="M806" s="207"/>
      <c r="N806" s="207"/>
      <c r="O806" s="208"/>
      <c r="P806" s="208"/>
      <c r="Q806" s="208"/>
      <c r="R806" s="206"/>
      <c r="S806" s="206"/>
      <c r="T806" s="206"/>
      <c r="U806" s="206"/>
      <c r="V806" s="206"/>
      <c r="W806" s="206"/>
      <c r="X806" s="207"/>
      <c r="Y806" s="207"/>
      <c r="Z806" s="207"/>
      <c r="AA806" s="206"/>
      <c r="AB806" s="206"/>
      <c r="AC806" s="206"/>
      <c r="AD806" s="206"/>
      <c r="AE806" s="206"/>
      <c r="AF806" s="206"/>
      <c r="AG806" s="206"/>
      <c r="AH806" s="206"/>
      <c r="AI806" s="206"/>
      <c r="AJ806" s="206"/>
      <c r="AK806" s="206"/>
      <c r="AL806" s="206"/>
      <c r="AM806" s="206"/>
      <c r="AN806" s="206"/>
      <c r="AO806" s="206"/>
      <c r="AP806" s="206"/>
      <c r="AQ806" s="207"/>
      <c r="AR806" s="206"/>
      <c r="AS806" s="206"/>
      <c r="AT806" s="206"/>
      <c r="AU806" s="206"/>
      <c r="AV806" s="206"/>
      <c r="AW806" s="207"/>
      <c r="AX806" s="207"/>
      <c r="AY806" s="207"/>
      <c r="AZ806" s="207"/>
    </row>
    <row r="807" spans="1:52" ht="12.75" x14ac:dyDescent="0.2">
      <c r="A807" s="206"/>
      <c r="B807" s="206"/>
      <c r="C807" s="206"/>
      <c r="D807" s="206"/>
      <c r="E807" s="206"/>
      <c r="F807" s="206"/>
      <c r="G807" s="206"/>
      <c r="H807" s="206"/>
      <c r="I807" s="206"/>
      <c r="J807" s="206"/>
      <c r="K807" s="206"/>
      <c r="L807" s="206"/>
      <c r="M807" s="207"/>
      <c r="N807" s="207"/>
      <c r="O807" s="208"/>
      <c r="P807" s="208"/>
      <c r="Q807" s="208"/>
      <c r="R807" s="206"/>
      <c r="S807" s="206"/>
      <c r="T807" s="206"/>
      <c r="U807" s="206"/>
      <c r="V807" s="206"/>
      <c r="W807" s="206"/>
      <c r="X807" s="207"/>
      <c r="Y807" s="207"/>
      <c r="Z807" s="207"/>
      <c r="AA807" s="206"/>
      <c r="AB807" s="206"/>
      <c r="AC807" s="206"/>
      <c r="AD807" s="206"/>
      <c r="AE807" s="206"/>
      <c r="AF807" s="206"/>
      <c r="AG807" s="206"/>
      <c r="AH807" s="206"/>
      <c r="AI807" s="206"/>
      <c r="AJ807" s="206"/>
      <c r="AK807" s="206"/>
      <c r="AL807" s="206"/>
      <c r="AM807" s="206"/>
      <c r="AN807" s="206"/>
      <c r="AO807" s="206"/>
      <c r="AP807" s="206"/>
      <c r="AQ807" s="207"/>
      <c r="AR807" s="206"/>
      <c r="AS807" s="206"/>
      <c r="AT807" s="206"/>
      <c r="AU807" s="206"/>
      <c r="AV807" s="206"/>
      <c r="AW807" s="207"/>
      <c r="AX807" s="207"/>
      <c r="AY807" s="207"/>
      <c r="AZ807" s="207"/>
    </row>
    <row r="808" spans="1:52" ht="12.75" x14ac:dyDescent="0.2">
      <c r="A808" s="206"/>
      <c r="B808" s="206"/>
      <c r="C808" s="206"/>
      <c r="D808" s="206"/>
      <c r="E808" s="206"/>
      <c r="F808" s="206"/>
      <c r="G808" s="206"/>
      <c r="H808" s="206"/>
      <c r="I808" s="206"/>
      <c r="J808" s="206"/>
      <c r="K808" s="206"/>
      <c r="L808" s="206"/>
      <c r="M808" s="207"/>
      <c r="N808" s="207"/>
      <c r="O808" s="208"/>
      <c r="P808" s="208"/>
      <c r="Q808" s="208"/>
      <c r="R808" s="206"/>
      <c r="S808" s="206"/>
      <c r="T808" s="206"/>
      <c r="U808" s="206"/>
      <c r="V808" s="206"/>
      <c r="W808" s="206"/>
      <c r="X808" s="207"/>
      <c r="Y808" s="207"/>
      <c r="Z808" s="207"/>
      <c r="AA808" s="206"/>
      <c r="AB808" s="206"/>
      <c r="AC808" s="206"/>
      <c r="AD808" s="206"/>
      <c r="AE808" s="206"/>
      <c r="AF808" s="206"/>
      <c r="AG808" s="206"/>
      <c r="AH808" s="206"/>
      <c r="AI808" s="206"/>
      <c r="AJ808" s="206"/>
      <c r="AK808" s="206"/>
      <c r="AL808" s="206"/>
      <c r="AM808" s="206"/>
      <c r="AN808" s="206"/>
      <c r="AO808" s="206"/>
      <c r="AP808" s="206"/>
      <c r="AQ808" s="207"/>
      <c r="AR808" s="206"/>
      <c r="AS808" s="206"/>
      <c r="AT808" s="206"/>
      <c r="AU808" s="206"/>
      <c r="AV808" s="206"/>
      <c r="AW808" s="207"/>
      <c r="AX808" s="207"/>
      <c r="AY808" s="207"/>
      <c r="AZ808" s="207"/>
    </row>
    <row r="809" spans="1:52" ht="12.75" x14ac:dyDescent="0.2">
      <c r="A809" s="206"/>
      <c r="B809" s="206"/>
      <c r="C809" s="206"/>
      <c r="D809" s="206"/>
      <c r="E809" s="206"/>
      <c r="F809" s="206"/>
      <c r="G809" s="206"/>
      <c r="H809" s="206"/>
      <c r="I809" s="206"/>
      <c r="J809" s="206"/>
      <c r="K809" s="206"/>
      <c r="L809" s="206"/>
      <c r="M809" s="207"/>
      <c r="N809" s="207"/>
      <c r="O809" s="208"/>
      <c r="P809" s="208"/>
      <c r="Q809" s="208"/>
      <c r="R809" s="206"/>
      <c r="S809" s="206"/>
      <c r="T809" s="206"/>
      <c r="U809" s="206"/>
      <c r="V809" s="206"/>
      <c r="W809" s="206"/>
      <c r="X809" s="207"/>
      <c r="Y809" s="207"/>
      <c r="Z809" s="207"/>
      <c r="AA809" s="206"/>
      <c r="AB809" s="206"/>
      <c r="AC809" s="206"/>
      <c r="AD809" s="206"/>
      <c r="AE809" s="206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7"/>
      <c r="AR809" s="206"/>
      <c r="AS809" s="206"/>
      <c r="AT809" s="206"/>
      <c r="AU809" s="206"/>
      <c r="AV809" s="206"/>
      <c r="AW809" s="207"/>
      <c r="AX809" s="207"/>
      <c r="AY809" s="207"/>
      <c r="AZ809" s="207"/>
    </row>
    <row r="810" spans="1:52" ht="12.75" x14ac:dyDescent="0.2">
      <c r="A810" s="206"/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7"/>
      <c r="N810" s="207"/>
      <c r="O810" s="208"/>
      <c r="P810" s="208"/>
      <c r="Q810" s="208"/>
      <c r="R810" s="206"/>
      <c r="S810" s="206"/>
      <c r="T810" s="206"/>
      <c r="U810" s="206"/>
      <c r="V810" s="206"/>
      <c r="W810" s="206"/>
      <c r="X810" s="207"/>
      <c r="Y810" s="207"/>
      <c r="Z810" s="207"/>
      <c r="AA810" s="206"/>
      <c r="AB810" s="206"/>
      <c r="AC810" s="206"/>
      <c r="AD810" s="206"/>
      <c r="AE810" s="206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7"/>
      <c r="AR810" s="206"/>
      <c r="AS810" s="206"/>
      <c r="AT810" s="206"/>
      <c r="AU810" s="206"/>
      <c r="AV810" s="206"/>
      <c r="AW810" s="207"/>
      <c r="AX810" s="207"/>
      <c r="AY810" s="207"/>
      <c r="AZ810" s="207"/>
    </row>
    <row r="811" spans="1:52" ht="12.75" x14ac:dyDescent="0.2">
      <c r="A811" s="206"/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7"/>
      <c r="N811" s="207"/>
      <c r="O811" s="208"/>
      <c r="P811" s="208"/>
      <c r="Q811" s="208"/>
      <c r="R811" s="206"/>
      <c r="S811" s="206"/>
      <c r="T811" s="206"/>
      <c r="U811" s="206"/>
      <c r="V811" s="206"/>
      <c r="W811" s="206"/>
      <c r="X811" s="207"/>
      <c r="Y811" s="207"/>
      <c r="Z811" s="207"/>
      <c r="AA811" s="206"/>
      <c r="AB811" s="206"/>
      <c r="AC811" s="206"/>
      <c r="AD811" s="206"/>
      <c r="AE811" s="206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7"/>
      <c r="AR811" s="206"/>
      <c r="AS811" s="206"/>
      <c r="AT811" s="206"/>
      <c r="AU811" s="206"/>
      <c r="AV811" s="206"/>
      <c r="AW811" s="207"/>
      <c r="AX811" s="207"/>
      <c r="AY811" s="207"/>
      <c r="AZ811" s="207"/>
    </row>
    <row r="812" spans="1:52" ht="12.75" x14ac:dyDescent="0.2">
      <c r="A812" s="206"/>
      <c r="B812" s="206"/>
      <c r="C812" s="206"/>
      <c r="D812" s="206"/>
      <c r="E812" s="206"/>
      <c r="F812" s="206"/>
      <c r="G812" s="206"/>
      <c r="H812" s="206"/>
      <c r="I812" s="206"/>
      <c r="J812" s="206"/>
      <c r="K812" s="206"/>
      <c r="L812" s="206"/>
      <c r="M812" s="207"/>
      <c r="N812" s="207"/>
      <c r="O812" s="208"/>
      <c r="P812" s="208"/>
      <c r="Q812" s="208"/>
      <c r="R812" s="206"/>
      <c r="S812" s="206"/>
      <c r="T812" s="206"/>
      <c r="U812" s="206"/>
      <c r="V812" s="206"/>
      <c r="W812" s="206"/>
      <c r="X812" s="207"/>
      <c r="Y812" s="207"/>
      <c r="Z812" s="207"/>
      <c r="AA812" s="206"/>
      <c r="AB812" s="206"/>
      <c r="AC812" s="206"/>
      <c r="AD812" s="206"/>
      <c r="AE812" s="206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7"/>
      <c r="AR812" s="206"/>
      <c r="AS812" s="206"/>
      <c r="AT812" s="206"/>
      <c r="AU812" s="206"/>
      <c r="AV812" s="206"/>
      <c r="AW812" s="207"/>
      <c r="AX812" s="207"/>
      <c r="AY812" s="207"/>
      <c r="AZ812" s="207"/>
    </row>
    <row r="813" spans="1:52" ht="12.75" x14ac:dyDescent="0.2">
      <c r="A813" s="206"/>
      <c r="B813" s="206"/>
      <c r="C813" s="206"/>
      <c r="D813" s="206"/>
      <c r="E813" s="206"/>
      <c r="F813" s="206"/>
      <c r="G813" s="206"/>
      <c r="H813" s="206"/>
      <c r="I813" s="206"/>
      <c r="J813" s="206"/>
      <c r="K813" s="206"/>
      <c r="L813" s="206"/>
      <c r="M813" s="207"/>
      <c r="N813" s="207"/>
      <c r="O813" s="208"/>
      <c r="P813" s="208"/>
      <c r="Q813" s="208"/>
      <c r="R813" s="206"/>
      <c r="S813" s="206"/>
      <c r="T813" s="206"/>
      <c r="U813" s="206"/>
      <c r="V813" s="206"/>
      <c r="W813" s="206"/>
      <c r="X813" s="207"/>
      <c r="Y813" s="207"/>
      <c r="Z813" s="207"/>
      <c r="AA813" s="206"/>
      <c r="AB813" s="206"/>
      <c r="AC813" s="206"/>
      <c r="AD813" s="206"/>
      <c r="AE813" s="206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7"/>
      <c r="AR813" s="206"/>
      <c r="AS813" s="206"/>
      <c r="AT813" s="206"/>
      <c r="AU813" s="206"/>
      <c r="AV813" s="206"/>
      <c r="AW813" s="207"/>
      <c r="AX813" s="207"/>
      <c r="AY813" s="207"/>
      <c r="AZ813" s="207"/>
    </row>
    <row r="814" spans="1:52" ht="12.75" x14ac:dyDescent="0.2">
      <c r="A814" s="206"/>
      <c r="B814" s="206"/>
      <c r="C814" s="206"/>
      <c r="D814" s="206"/>
      <c r="E814" s="206"/>
      <c r="F814" s="206"/>
      <c r="G814" s="206"/>
      <c r="H814" s="206"/>
      <c r="I814" s="206"/>
      <c r="J814" s="206"/>
      <c r="K814" s="206"/>
      <c r="L814" s="206"/>
      <c r="M814" s="207"/>
      <c r="N814" s="207"/>
      <c r="O814" s="208"/>
      <c r="P814" s="208"/>
      <c r="Q814" s="208"/>
      <c r="R814" s="206"/>
      <c r="S814" s="206"/>
      <c r="T814" s="206"/>
      <c r="U814" s="206"/>
      <c r="V814" s="206"/>
      <c r="W814" s="206"/>
      <c r="X814" s="207"/>
      <c r="Y814" s="207"/>
      <c r="Z814" s="207"/>
      <c r="AA814" s="206"/>
      <c r="AB814" s="206"/>
      <c r="AC814" s="206"/>
      <c r="AD814" s="206"/>
      <c r="AE814" s="206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7"/>
      <c r="AR814" s="206"/>
      <c r="AS814" s="206"/>
      <c r="AT814" s="206"/>
      <c r="AU814" s="206"/>
      <c r="AV814" s="206"/>
      <c r="AW814" s="207"/>
      <c r="AX814" s="207"/>
      <c r="AY814" s="207"/>
      <c r="AZ814" s="207"/>
    </row>
    <row r="815" spans="1:52" ht="12.75" x14ac:dyDescent="0.2">
      <c r="A815" s="206"/>
      <c r="B815" s="206"/>
      <c r="C815" s="206"/>
      <c r="D815" s="206"/>
      <c r="E815" s="206"/>
      <c r="F815" s="206"/>
      <c r="G815" s="206"/>
      <c r="H815" s="206"/>
      <c r="I815" s="206"/>
      <c r="J815" s="206"/>
      <c r="K815" s="206"/>
      <c r="L815" s="206"/>
      <c r="M815" s="207"/>
      <c r="N815" s="207"/>
      <c r="O815" s="208"/>
      <c r="P815" s="208"/>
      <c r="Q815" s="208"/>
      <c r="R815" s="206"/>
      <c r="S815" s="206"/>
      <c r="T815" s="206"/>
      <c r="U815" s="206"/>
      <c r="V815" s="206"/>
      <c r="W815" s="206"/>
      <c r="X815" s="207"/>
      <c r="Y815" s="207"/>
      <c r="Z815" s="207"/>
      <c r="AA815" s="206"/>
      <c r="AB815" s="206"/>
      <c r="AC815" s="206"/>
      <c r="AD815" s="206"/>
      <c r="AE815" s="206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7"/>
      <c r="AR815" s="206"/>
      <c r="AS815" s="206"/>
      <c r="AT815" s="206"/>
      <c r="AU815" s="206"/>
      <c r="AV815" s="206"/>
      <c r="AW815" s="207"/>
      <c r="AX815" s="207"/>
      <c r="AY815" s="207"/>
      <c r="AZ815" s="207"/>
    </row>
    <row r="816" spans="1:52" ht="12.75" x14ac:dyDescent="0.2">
      <c r="A816" s="206"/>
      <c r="B816" s="206"/>
      <c r="C816" s="206"/>
      <c r="D816" s="206"/>
      <c r="E816" s="206"/>
      <c r="F816" s="206"/>
      <c r="G816" s="206"/>
      <c r="H816" s="206"/>
      <c r="I816" s="206"/>
      <c r="J816" s="206"/>
      <c r="K816" s="206"/>
      <c r="L816" s="206"/>
      <c r="M816" s="207"/>
      <c r="N816" s="207"/>
      <c r="O816" s="208"/>
      <c r="P816" s="208"/>
      <c r="Q816" s="208"/>
      <c r="R816" s="206"/>
      <c r="S816" s="206"/>
      <c r="T816" s="206"/>
      <c r="U816" s="206"/>
      <c r="V816" s="206"/>
      <c r="W816" s="206"/>
      <c r="X816" s="207"/>
      <c r="Y816" s="207"/>
      <c r="Z816" s="207"/>
      <c r="AA816" s="206"/>
      <c r="AB816" s="206"/>
      <c r="AC816" s="206"/>
      <c r="AD816" s="206"/>
      <c r="AE816" s="206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7"/>
      <c r="AR816" s="206"/>
      <c r="AS816" s="206"/>
      <c r="AT816" s="206"/>
      <c r="AU816" s="206"/>
      <c r="AV816" s="206"/>
      <c r="AW816" s="207"/>
      <c r="AX816" s="207"/>
      <c r="AY816" s="207"/>
      <c r="AZ816" s="207"/>
    </row>
    <row r="817" spans="1:52" ht="12.75" x14ac:dyDescent="0.2">
      <c r="A817" s="206"/>
      <c r="B817" s="206"/>
      <c r="C817" s="206"/>
      <c r="D817" s="206"/>
      <c r="E817" s="206"/>
      <c r="F817" s="206"/>
      <c r="G817" s="206"/>
      <c r="H817" s="206"/>
      <c r="I817" s="206"/>
      <c r="J817" s="206"/>
      <c r="K817" s="206"/>
      <c r="L817" s="206"/>
      <c r="M817" s="207"/>
      <c r="N817" s="207"/>
      <c r="O817" s="208"/>
      <c r="P817" s="208"/>
      <c r="Q817" s="208"/>
      <c r="R817" s="206"/>
      <c r="S817" s="206"/>
      <c r="T817" s="206"/>
      <c r="U817" s="206"/>
      <c r="V817" s="206"/>
      <c r="W817" s="206"/>
      <c r="X817" s="207"/>
      <c r="Y817" s="207"/>
      <c r="Z817" s="207"/>
      <c r="AA817" s="206"/>
      <c r="AB817" s="206"/>
      <c r="AC817" s="206"/>
      <c r="AD817" s="206"/>
      <c r="AE817" s="206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7"/>
      <c r="AR817" s="206"/>
      <c r="AS817" s="206"/>
      <c r="AT817" s="206"/>
      <c r="AU817" s="206"/>
      <c r="AV817" s="206"/>
      <c r="AW817" s="207"/>
      <c r="AX817" s="207"/>
      <c r="AY817" s="207"/>
      <c r="AZ817" s="207"/>
    </row>
    <row r="818" spans="1:52" ht="12.75" x14ac:dyDescent="0.2">
      <c r="A818" s="206"/>
      <c r="B818" s="206"/>
      <c r="C818" s="206"/>
      <c r="D818" s="206"/>
      <c r="E818" s="206"/>
      <c r="F818" s="206"/>
      <c r="G818" s="206"/>
      <c r="H818" s="206"/>
      <c r="I818" s="206"/>
      <c r="J818" s="206"/>
      <c r="K818" s="206"/>
      <c r="L818" s="206"/>
      <c r="M818" s="207"/>
      <c r="N818" s="207"/>
      <c r="O818" s="208"/>
      <c r="P818" s="208"/>
      <c r="Q818" s="208"/>
      <c r="R818" s="206"/>
      <c r="S818" s="206"/>
      <c r="T818" s="206"/>
      <c r="U818" s="206"/>
      <c r="V818" s="206"/>
      <c r="W818" s="206"/>
      <c r="X818" s="207"/>
      <c r="Y818" s="207"/>
      <c r="Z818" s="207"/>
      <c r="AA818" s="206"/>
      <c r="AB818" s="206"/>
      <c r="AC818" s="206"/>
      <c r="AD818" s="206"/>
      <c r="AE818" s="206"/>
      <c r="AF818" s="206"/>
      <c r="AG818" s="206"/>
      <c r="AH818" s="206"/>
      <c r="AI818" s="206"/>
      <c r="AJ818" s="206"/>
      <c r="AK818" s="206"/>
      <c r="AL818" s="206"/>
      <c r="AM818" s="206"/>
      <c r="AN818" s="206"/>
      <c r="AO818" s="206"/>
      <c r="AP818" s="206"/>
      <c r="AQ818" s="207"/>
      <c r="AR818" s="206"/>
      <c r="AS818" s="206"/>
      <c r="AT818" s="206"/>
      <c r="AU818" s="206"/>
      <c r="AV818" s="206"/>
      <c r="AW818" s="207"/>
      <c r="AX818" s="207"/>
      <c r="AY818" s="207"/>
      <c r="AZ818" s="207"/>
    </row>
    <row r="819" spans="1:52" ht="12.75" x14ac:dyDescent="0.2">
      <c r="A819" s="206"/>
      <c r="B819" s="206"/>
      <c r="C819" s="206"/>
      <c r="D819" s="206"/>
      <c r="E819" s="206"/>
      <c r="F819" s="206"/>
      <c r="G819" s="206"/>
      <c r="H819" s="206"/>
      <c r="I819" s="206"/>
      <c r="J819" s="206"/>
      <c r="K819" s="206"/>
      <c r="L819" s="206"/>
      <c r="M819" s="207"/>
      <c r="N819" s="207"/>
      <c r="O819" s="208"/>
      <c r="P819" s="208"/>
      <c r="Q819" s="208"/>
      <c r="R819" s="206"/>
      <c r="S819" s="206"/>
      <c r="T819" s="206"/>
      <c r="U819" s="206"/>
      <c r="V819" s="206"/>
      <c r="W819" s="206"/>
      <c r="X819" s="207"/>
      <c r="Y819" s="207"/>
      <c r="Z819" s="207"/>
      <c r="AA819" s="206"/>
      <c r="AB819" s="206"/>
      <c r="AC819" s="206"/>
      <c r="AD819" s="206"/>
      <c r="AE819" s="206"/>
      <c r="AF819" s="206"/>
      <c r="AG819" s="206"/>
      <c r="AH819" s="206"/>
      <c r="AI819" s="206"/>
      <c r="AJ819" s="206"/>
      <c r="AK819" s="206"/>
      <c r="AL819" s="206"/>
      <c r="AM819" s="206"/>
      <c r="AN819" s="206"/>
      <c r="AO819" s="206"/>
      <c r="AP819" s="206"/>
      <c r="AQ819" s="207"/>
      <c r="AR819" s="206"/>
      <c r="AS819" s="206"/>
      <c r="AT819" s="206"/>
      <c r="AU819" s="206"/>
      <c r="AV819" s="206"/>
      <c r="AW819" s="207"/>
      <c r="AX819" s="207"/>
      <c r="AY819" s="207"/>
      <c r="AZ819" s="207"/>
    </row>
    <row r="820" spans="1:52" ht="12.75" x14ac:dyDescent="0.2">
      <c r="A820" s="206"/>
      <c r="B820" s="206"/>
      <c r="C820" s="206"/>
      <c r="D820" s="206"/>
      <c r="E820" s="206"/>
      <c r="F820" s="206"/>
      <c r="G820" s="206"/>
      <c r="H820" s="206"/>
      <c r="I820" s="206"/>
      <c r="J820" s="206"/>
      <c r="K820" s="206"/>
      <c r="L820" s="206"/>
      <c r="M820" s="207"/>
      <c r="N820" s="207"/>
      <c r="O820" s="208"/>
      <c r="P820" s="208"/>
      <c r="Q820" s="208"/>
      <c r="R820" s="206"/>
      <c r="S820" s="206"/>
      <c r="T820" s="206"/>
      <c r="U820" s="206"/>
      <c r="V820" s="206"/>
      <c r="W820" s="206"/>
      <c r="X820" s="207"/>
      <c r="Y820" s="207"/>
      <c r="Z820" s="207"/>
      <c r="AA820" s="206"/>
      <c r="AB820" s="206"/>
      <c r="AC820" s="206"/>
      <c r="AD820" s="206"/>
      <c r="AE820" s="206"/>
      <c r="AF820" s="206"/>
      <c r="AG820" s="206"/>
      <c r="AH820" s="206"/>
      <c r="AI820" s="206"/>
      <c r="AJ820" s="206"/>
      <c r="AK820" s="206"/>
      <c r="AL820" s="206"/>
      <c r="AM820" s="206"/>
      <c r="AN820" s="206"/>
      <c r="AO820" s="206"/>
      <c r="AP820" s="206"/>
      <c r="AQ820" s="207"/>
      <c r="AR820" s="206"/>
      <c r="AS820" s="206"/>
      <c r="AT820" s="206"/>
      <c r="AU820" s="206"/>
      <c r="AV820" s="206"/>
      <c r="AW820" s="207"/>
      <c r="AX820" s="207"/>
      <c r="AY820" s="207"/>
      <c r="AZ820" s="207"/>
    </row>
    <row r="821" spans="1:52" ht="12.75" x14ac:dyDescent="0.2">
      <c r="A821" s="206"/>
      <c r="B821" s="206"/>
      <c r="C821" s="206"/>
      <c r="D821" s="206"/>
      <c r="E821" s="206"/>
      <c r="F821" s="206"/>
      <c r="G821" s="206"/>
      <c r="H821" s="206"/>
      <c r="I821" s="206"/>
      <c r="J821" s="206"/>
      <c r="K821" s="206"/>
      <c r="L821" s="206"/>
      <c r="M821" s="207"/>
      <c r="N821" s="207"/>
      <c r="O821" s="208"/>
      <c r="P821" s="208"/>
      <c r="Q821" s="208"/>
      <c r="R821" s="206"/>
      <c r="S821" s="206"/>
      <c r="T821" s="206"/>
      <c r="U821" s="206"/>
      <c r="V821" s="206"/>
      <c r="W821" s="206"/>
      <c r="X821" s="207"/>
      <c r="Y821" s="207"/>
      <c r="Z821" s="207"/>
      <c r="AA821" s="206"/>
      <c r="AB821" s="206"/>
      <c r="AC821" s="206"/>
      <c r="AD821" s="206"/>
      <c r="AE821" s="206"/>
      <c r="AF821" s="206"/>
      <c r="AG821" s="206"/>
      <c r="AH821" s="206"/>
      <c r="AI821" s="206"/>
      <c r="AJ821" s="206"/>
      <c r="AK821" s="206"/>
      <c r="AL821" s="206"/>
      <c r="AM821" s="206"/>
      <c r="AN821" s="206"/>
      <c r="AO821" s="206"/>
      <c r="AP821" s="206"/>
      <c r="AQ821" s="207"/>
      <c r="AR821" s="206"/>
      <c r="AS821" s="206"/>
      <c r="AT821" s="206"/>
      <c r="AU821" s="206"/>
      <c r="AV821" s="206"/>
      <c r="AW821" s="207"/>
      <c r="AX821" s="207"/>
      <c r="AY821" s="207"/>
      <c r="AZ821" s="207"/>
    </row>
    <row r="822" spans="1:52" ht="12.75" x14ac:dyDescent="0.2">
      <c r="A822" s="206"/>
      <c r="B822" s="206"/>
      <c r="C822" s="206"/>
      <c r="D822" s="206"/>
      <c r="E822" s="206"/>
      <c r="F822" s="206"/>
      <c r="G822" s="206"/>
      <c r="H822" s="206"/>
      <c r="I822" s="206"/>
      <c r="J822" s="206"/>
      <c r="K822" s="206"/>
      <c r="L822" s="206"/>
      <c r="M822" s="207"/>
      <c r="N822" s="207"/>
      <c r="O822" s="208"/>
      <c r="P822" s="208"/>
      <c r="Q822" s="208"/>
      <c r="R822" s="206"/>
      <c r="S822" s="206"/>
      <c r="T822" s="206"/>
      <c r="U822" s="206"/>
      <c r="V822" s="206"/>
      <c r="W822" s="206"/>
      <c r="X822" s="207"/>
      <c r="Y822" s="207"/>
      <c r="Z822" s="207"/>
      <c r="AA822" s="206"/>
      <c r="AB822" s="206"/>
      <c r="AC822" s="206"/>
      <c r="AD822" s="206"/>
      <c r="AE822" s="206"/>
      <c r="AF822" s="206"/>
      <c r="AG822" s="206"/>
      <c r="AH822" s="206"/>
      <c r="AI822" s="206"/>
      <c r="AJ822" s="206"/>
      <c r="AK822" s="206"/>
      <c r="AL822" s="206"/>
      <c r="AM822" s="206"/>
      <c r="AN822" s="206"/>
      <c r="AO822" s="206"/>
      <c r="AP822" s="206"/>
      <c r="AQ822" s="207"/>
      <c r="AR822" s="206"/>
      <c r="AS822" s="206"/>
      <c r="AT822" s="206"/>
      <c r="AU822" s="206"/>
      <c r="AV822" s="206"/>
      <c r="AW822" s="207"/>
      <c r="AX822" s="207"/>
      <c r="AY822" s="207"/>
      <c r="AZ822" s="207"/>
    </row>
    <row r="823" spans="1:52" ht="12.75" x14ac:dyDescent="0.2">
      <c r="A823" s="206"/>
      <c r="B823" s="206"/>
      <c r="C823" s="206"/>
      <c r="D823" s="206"/>
      <c r="E823" s="206"/>
      <c r="F823" s="206"/>
      <c r="G823" s="206"/>
      <c r="H823" s="206"/>
      <c r="I823" s="206"/>
      <c r="J823" s="206"/>
      <c r="K823" s="206"/>
      <c r="L823" s="206"/>
      <c r="M823" s="207"/>
      <c r="N823" s="207"/>
      <c r="O823" s="208"/>
      <c r="P823" s="208"/>
      <c r="Q823" s="208"/>
      <c r="R823" s="206"/>
      <c r="S823" s="206"/>
      <c r="T823" s="206"/>
      <c r="U823" s="206"/>
      <c r="V823" s="206"/>
      <c r="W823" s="206"/>
      <c r="X823" s="207"/>
      <c r="Y823" s="207"/>
      <c r="Z823" s="207"/>
      <c r="AA823" s="206"/>
      <c r="AB823" s="206"/>
      <c r="AC823" s="206"/>
      <c r="AD823" s="206"/>
      <c r="AE823" s="206"/>
      <c r="AF823" s="206"/>
      <c r="AG823" s="206"/>
      <c r="AH823" s="206"/>
      <c r="AI823" s="206"/>
      <c r="AJ823" s="206"/>
      <c r="AK823" s="206"/>
      <c r="AL823" s="206"/>
      <c r="AM823" s="206"/>
      <c r="AN823" s="206"/>
      <c r="AO823" s="206"/>
      <c r="AP823" s="206"/>
      <c r="AQ823" s="207"/>
      <c r="AR823" s="206"/>
      <c r="AS823" s="206"/>
      <c r="AT823" s="206"/>
      <c r="AU823" s="206"/>
      <c r="AV823" s="206"/>
      <c r="AW823" s="207"/>
      <c r="AX823" s="207"/>
      <c r="AY823" s="207"/>
      <c r="AZ823" s="207"/>
    </row>
    <row r="824" spans="1:52" ht="12.75" x14ac:dyDescent="0.2">
      <c r="A824" s="206"/>
      <c r="B824" s="206"/>
      <c r="C824" s="206"/>
      <c r="D824" s="206"/>
      <c r="E824" s="206"/>
      <c r="F824" s="206"/>
      <c r="G824" s="206"/>
      <c r="H824" s="206"/>
      <c r="I824" s="206"/>
      <c r="J824" s="206"/>
      <c r="K824" s="206"/>
      <c r="L824" s="206"/>
      <c r="M824" s="207"/>
      <c r="N824" s="207"/>
      <c r="O824" s="208"/>
      <c r="P824" s="208"/>
      <c r="Q824" s="208"/>
      <c r="R824" s="206"/>
      <c r="S824" s="206"/>
      <c r="T824" s="206"/>
      <c r="U824" s="206"/>
      <c r="V824" s="206"/>
      <c r="W824" s="206"/>
      <c r="X824" s="207"/>
      <c r="Y824" s="207"/>
      <c r="Z824" s="207"/>
      <c r="AA824" s="206"/>
      <c r="AB824" s="206"/>
      <c r="AC824" s="206"/>
      <c r="AD824" s="206"/>
      <c r="AE824" s="206"/>
      <c r="AF824" s="206"/>
      <c r="AG824" s="206"/>
      <c r="AH824" s="206"/>
      <c r="AI824" s="206"/>
      <c r="AJ824" s="206"/>
      <c r="AK824" s="206"/>
      <c r="AL824" s="206"/>
      <c r="AM824" s="206"/>
      <c r="AN824" s="206"/>
      <c r="AO824" s="206"/>
      <c r="AP824" s="206"/>
      <c r="AQ824" s="207"/>
      <c r="AR824" s="206"/>
      <c r="AS824" s="206"/>
      <c r="AT824" s="206"/>
      <c r="AU824" s="206"/>
      <c r="AV824" s="206"/>
      <c r="AW824" s="207"/>
      <c r="AX824" s="207"/>
      <c r="AY824" s="207"/>
      <c r="AZ824" s="207"/>
    </row>
    <row r="825" spans="1:52" ht="12.75" x14ac:dyDescent="0.2">
      <c r="A825" s="206"/>
      <c r="B825" s="206"/>
      <c r="C825" s="206"/>
      <c r="D825" s="206"/>
      <c r="E825" s="206"/>
      <c r="F825" s="206"/>
      <c r="G825" s="206"/>
      <c r="H825" s="206"/>
      <c r="I825" s="206"/>
      <c r="J825" s="206"/>
      <c r="K825" s="206"/>
      <c r="L825" s="206"/>
      <c r="M825" s="207"/>
      <c r="N825" s="207"/>
      <c r="O825" s="208"/>
      <c r="P825" s="208"/>
      <c r="Q825" s="208"/>
      <c r="R825" s="206"/>
      <c r="S825" s="206"/>
      <c r="T825" s="206"/>
      <c r="U825" s="206"/>
      <c r="V825" s="206"/>
      <c r="W825" s="206"/>
      <c r="X825" s="207"/>
      <c r="Y825" s="207"/>
      <c r="Z825" s="207"/>
      <c r="AA825" s="206"/>
      <c r="AB825" s="206"/>
      <c r="AC825" s="206"/>
      <c r="AD825" s="206"/>
      <c r="AE825" s="206"/>
      <c r="AF825" s="206"/>
      <c r="AG825" s="206"/>
      <c r="AH825" s="206"/>
      <c r="AI825" s="206"/>
      <c r="AJ825" s="206"/>
      <c r="AK825" s="206"/>
      <c r="AL825" s="206"/>
      <c r="AM825" s="206"/>
      <c r="AN825" s="206"/>
      <c r="AO825" s="206"/>
      <c r="AP825" s="206"/>
      <c r="AQ825" s="207"/>
      <c r="AR825" s="206"/>
      <c r="AS825" s="206"/>
      <c r="AT825" s="206"/>
      <c r="AU825" s="206"/>
      <c r="AV825" s="206"/>
      <c r="AW825" s="207"/>
      <c r="AX825" s="207"/>
      <c r="AY825" s="207"/>
      <c r="AZ825" s="207"/>
    </row>
    <row r="826" spans="1:52" ht="12.75" x14ac:dyDescent="0.2">
      <c r="A826" s="206"/>
      <c r="B826" s="206"/>
      <c r="C826" s="206"/>
      <c r="D826" s="206"/>
      <c r="E826" s="206"/>
      <c r="F826" s="206"/>
      <c r="G826" s="206"/>
      <c r="H826" s="206"/>
      <c r="I826" s="206"/>
      <c r="J826" s="206"/>
      <c r="K826" s="206"/>
      <c r="L826" s="206"/>
      <c r="M826" s="207"/>
      <c r="N826" s="207"/>
      <c r="O826" s="208"/>
      <c r="P826" s="208"/>
      <c r="Q826" s="208"/>
      <c r="R826" s="206"/>
      <c r="S826" s="206"/>
      <c r="T826" s="206"/>
      <c r="U826" s="206"/>
      <c r="V826" s="206"/>
      <c r="W826" s="206"/>
      <c r="X826" s="207"/>
      <c r="Y826" s="207"/>
      <c r="Z826" s="207"/>
      <c r="AA826" s="206"/>
      <c r="AB826" s="206"/>
      <c r="AC826" s="206"/>
      <c r="AD826" s="206"/>
      <c r="AE826" s="206"/>
      <c r="AF826" s="206"/>
      <c r="AG826" s="206"/>
      <c r="AH826" s="206"/>
      <c r="AI826" s="206"/>
      <c r="AJ826" s="206"/>
      <c r="AK826" s="206"/>
      <c r="AL826" s="206"/>
      <c r="AM826" s="206"/>
      <c r="AN826" s="206"/>
      <c r="AO826" s="206"/>
      <c r="AP826" s="206"/>
      <c r="AQ826" s="207"/>
      <c r="AR826" s="206"/>
      <c r="AS826" s="206"/>
      <c r="AT826" s="206"/>
      <c r="AU826" s="206"/>
      <c r="AV826" s="206"/>
      <c r="AW826" s="207"/>
      <c r="AX826" s="207"/>
      <c r="AY826" s="207"/>
      <c r="AZ826" s="207"/>
    </row>
    <row r="827" spans="1:52" ht="12.75" x14ac:dyDescent="0.2">
      <c r="A827" s="206"/>
      <c r="B827" s="206"/>
      <c r="C827" s="206"/>
      <c r="D827" s="206"/>
      <c r="E827" s="206"/>
      <c r="F827" s="206"/>
      <c r="G827" s="206"/>
      <c r="H827" s="206"/>
      <c r="I827" s="206"/>
      <c r="J827" s="206"/>
      <c r="K827" s="206"/>
      <c r="L827" s="206"/>
      <c r="M827" s="207"/>
      <c r="N827" s="207"/>
      <c r="O827" s="208"/>
      <c r="P827" s="208"/>
      <c r="Q827" s="208"/>
      <c r="R827" s="206"/>
      <c r="S827" s="206"/>
      <c r="T827" s="206"/>
      <c r="U827" s="206"/>
      <c r="V827" s="206"/>
      <c r="W827" s="206"/>
      <c r="X827" s="207"/>
      <c r="Y827" s="207"/>
      <c r="Z827" s="207"/>
      <c r="AA827" s="206"/>
      <c r="AB827" s="206"/>
      <c r="AC827" s="206"/>
      <c r="AD827" s="206"/>
      <c r="AE827" s="206"/>
      <c r="AF827" s="206"/>
      <c r="AG827" s="206"/>
      <c r="AH827" s="206"/>
      <c r="AI827" s="206"/>
      <c r="AJ827" s="206"/>
      <c r="AK827" s="206"/>
      <c r="AL827" s="206"/>
      <c r="AM827" s="206"/>
      <c r="AN827" s="206"/>
      <c r="AO827" s="206"/>
      <c r="AP827" s="206"/>
      <c r="AQ827" s="207"/>
      <c r="AR827" s="206"/>
      <c r="AS827" s="206"/>
      <c r="AT827" s="206"/>
      <c r="AU827" s="206"/>
      <c r="AV827" s="206"/>
      <c r="AW827" s="207"/>
      <c r="AX827" s="207"/>
      <c r="AY827" s="207"/>
      <c r="AZ827" s="207"/>
    </row>
    <row r="828" spans="1:52" ht="12.75" x14ac:dyDescent="0.2">
      <c r="A828" s="206"/>
      <c r="B828" s="206"/>
      <c r="C828" s="206"/>
      <c r="D828" s="206"/>
      <c r="E828" s="206"/>
      <c r="F828" s="206"/>
      <c r="G828" s="206"/>
      <c r="H828" s="206"/>
      <c r="I828" s="206"/>
      <c r="J828" s="206"/>
      <c r="K828" s="206"/>
      <c r="L828" s="206"/>
      <c r="M828" s="207"/>
      <c r="N828" s="207"/>
      <c r="O828" s="208"/>
      <c r="P828" s="208"/>
      <c r="Q828" s="208"/>
      <c r="R828" s="206"/>
      <c r="S828" s="206"/>
      <c r="T828" s="206"/>
      <c r="U828" s="206"/>
      <c r="V828" s="206"/>
      <c r="W828" s="206"/>
      <c r="X828" s="207"/>
      <c r="Y828" s="207"/>
      <c r="Z828" s="207"/>
      <c r="AA828" s="206"/>
      <c r="AB828" s="206"/>
      <c r="AC828" s="206"/>
      <c r="AD828" s="206"/>
      <c r="AE828" s="206"/>
      <c r="AF828" s="206"/>
      <c r="AG828" s="206"/>
      <c r="AH828" s="206"/>
      <c r="AI828" s="206"/>
      <c r="AJ828" s="206"/>
      <c r="AK828" s="206"/>
      <c r="AL828" s="206"/>
      <c r="AM828" s="206"/>
      <c r="AN828" s="206"/>
      <c r="AO828" s="206"/>
      <c r="AP828" s="206"/>
      <c r="AQ828" s="207"/>
      <c r="AR828" s="206"/>
      <c r="AS828" s="206"/>
      <c r="AT828" s="206"/>
      <c r="AU828" s="206"/>
      <c r="AV828" s="206"/>
      <c r="AW828" s="207"/>
      <c r="AX828" s="207"/>
      <c r="AY828" s="207"/>
      <c r="AZ828" s="207"/>
    </row>
    <row r="829" spans="1:52" ht="12.75" x14ac:dyDescent="0.2">
      <c r="A829" s="206"/>
      <c r="B829" s="206"/>
      <c r="C829" s="206"/>
      <c r="D829" s="206"/>
      <c r="E829" s="206"/>
      <c r="F829" s="206"/>
      <c r="G829" s="206"/>
      <c r="H829" s="206"/>
      <c r="I829" s="206"/>
      <c r="J829" s="206"/>
      <c r="K829" s="206"/>
      <c r="L829" s="206"/>
      <c r="M829" s="207"/>
      <c r="N829" s="207"/>
      <c r="O829" s="208"/>
      <c r="P829" s="208"/>
      <c r="Q829" s="208"/>
      <c r="R829" s="206"/>
      <c r="S829" s="206"/>
      <c r="T829" s="206"/>
      <c r="U829" s="206"/>
      <c r="V829" s="206"/>
      <c r="W829" s="206"/>
      <c r="X829" s="207"/>
      <c r="Y829" s="207"/>
      <c r="Z829" s="207"/>
      <c r="AA829" s="206"/>
      <c r="AB829" s="206"/>
      <c r="AC829" s="206"/>
      <c r="AD829" s="206"/>
      <c r="AE829" s="206"/>
      <c r="AF829" s="206"/>
      <c r="AG829" s="206"/>
      <c r="AH829" s="206"/>
      <c r="AI829" s="206"/>
      <c r="AJ829" s="206"/>
      <c r="AK829" s="206"/>
      <c r="AL829" s="206"/>
      <c r="AM829" s="206"/>
      <c r="AN829" s="206"/>
      <c r="AO829" s="206"/>
      <c r="AP829" s="206"/>
      <c r="AQ829" s="207"/>
      <c r="AR829" s="206"/>
      <c r="AS829" s="206"/>
      <c r="AT829" s="206"/>
      <c r="AU829" s="206"/>
      <c r="AV829" s="206"/>
      <c r="AW829" s="207"/>
      <c r="AX829" s="207"/>
      <c r="AY829" s="207"/>
      <c r="AZ829" s="207"/>
    </row>
    <row r="830" spans="1:52" ht="12.75" x14ac:dyDescent="0.2">
      <c r="A830" s="206"/>
      <c r="B830" s="206"/>
      <c r="C830" s="206"/>
      <c r="D830" s="206"/>
      <c r="E830" s="206"/>
      <c r="F830" s="206"/>
      <c r="G830" s="206"/>
      <c r="H830" s="206"/>
      <c r="I830" s="206"/>
      <c r="J830" s="206"/>
      <c r="K830" s="206"/>
      <c r="L830" s="206"/>
      <c r="M830" s="207"/>
      <c r="N830" s="207"/>
      <c r="O830" s="208"/>
      <c r="P830" s="208"/>
      <c r="Q830" s="208"/>
      <c r="R830" s="206"/>
      <c r="S830" s="206"/>
      <c r="T830" s="206"/>
      <c r="U830" s="206"/>
      <c r="V830" s="206"/>
      <c r="W830" s="206"/>
      <c r="X830" s="207"/>
      <c r="Y830" s="207"/>
      <c r="Z830" s="207"/>
      <c r="AA830" s="206"/>
      <c r="AB830" s="206"/>
      <c r="AC830" s="206"/>
      <c r="AD830" s="206"/>
      <c r="AE830" s="206"/>
      <c r="AF830" s="206"/>
      <c r="AG830" s="206"/>
      <c r="AH830" s="206"/>
      <c r="AI830" s="206"/>
      <c r="AJ830" s="206"/>
      <c r="AK830" s="206"/>
      <c r="AL830" s="206"/>
      <c r="AM830" s="206"/>
      <c r="AN830" s="206"/>
      <c r="AO830" s="206"/>
      <c r="AP830" s="206"/>
      <c r="AQ830" s="207"/>
      <c r="AR830" s="206"/>
      <c r="AS830" s="206"/>
      <c r="AT830" s="206"/>
      <c r="AU830" s="206"/>
      <c r="AV830" s="206"/>
      <c r="AW830" s="207"/>
      <c r="AX830" s="207"/>
      <c r="AY830" s="207"/>
      <c r="AZ830" s="207"/>
    </row>
    <row r="831" spans="1:52" ht="12.75" x14ac:dyDescent="0.2">
      <c r="A831" s="206"/>
      <c r="B831" s="206"/>
      <c r="C831" s="206"/>
      <c r="D831" s="206"/>
      <c r="E831" s="206"/>
      <c r="F831" s="206"/>
      <c r="G831" s="206"/>
      <c r="H831" s="206"/>
      <c r="I831" s="206"/>
      <c r="J831" s="206"/>
      <c r="K831" s="206"/>
      <c r="L831" s="206"/>
      <c r="M831" s="207"/>
      <c r="N831" s="207"/>
      <c r="O831" s="208"/>
      <c r="P831" s="208"/>
      <c r="Q831" s="208"/>
      <c r="R831" s="206"/>
      <c r="S831" s="206"/>
      <c r="T831" s="206"/>
      <c r="U831" s="206"/>
      <c r="V831" s="206"/>
      <c r="W831" s="206"/>
      <c r="X831" s="207"/>
      <c r="Y831" s="207"/>
      <c r="Z831" s="207"/>
      <c r="AA831" s="206"/>
      <c r="AB831" s="206"/>
      <c r="AC831" s="206"/>
      <c r="AD831" s="206"/>
      <c r="AE831" s="206"/>
      <c r="AF831" s="206"/>
      <c r="AG831" s="206"/>
      <c r="AH831" s="206"/>
      <c r="AI831" s="206"/>
      <c r="AJ831" s="206"/>
      <c r="AK831" s="206"/>
      <c r="AL831" s="206"/>
      <c r="AM831" s="206"/>
      <c r="AN831" s="206"/>
      <c r="AO831" s="206"/>
      <c r="AP831" s="206"/>
      <c r="AQ831" s="207"/>
      <c r="AR831" s="206"/>
      <c r="AS831" s="206"/>
      <c r="AT831" s="206"/>
      <c r="AU831" s="206"/>
      <c r="AV831" s="206"/>
      <c r="AW831" s="207"/>
      <c r="AX831" s="207"/>
      <c r="AY831" s="207"/>
      <c r="AZ831" s="207"/>
    </row>
    <row r="832" spans="1:52" ht="12.75" x14ac:dyDescent="0.2">
      <c r="A832" s="206"/>
      <c r="B832" s="206"/>
      <c r="C832" s="206"/>
      <c r="D832" s="206"/>
      <c r="E832" s="206"/>
      <c r="F832" s="206"/>
      <c r="G832" s="206"/>
      <c r="H832" s="206"/>
      <c r="I832" s="206"/>
      <c r="J832" s="206"/>
      <c r="K832" s="206"/>
      <c r="L832" s="206"/>
      <c r="M832" s="207"/>
      <c r="N832" s="207"/>
      <c r="O832" s="208"/>
      <c r="P832" s="208"/>
      <c r="Q832" s="208"/>
      <c r="R832" s="206"/>
      <c r="S832" s="206"/>
      <c r="T832" s="206"/>
      <c r="U832" s="206"/>
      <c r="V832" s="206"/>
      <c r="W832" s="206"/>
      <c r="X832" s="207"/>
      <c r="Y832" s="207"/>
      <c r="Z832" s="207"/>
      <c r="AA832" s="206"/>
      <c r="AB832" s="206"/>
      <c r="AC832" s="206"/>
      <c r="AD832" s="206"/>
      <c r="AE832" s="206"/>
      <c r="AF832" s="206"/>
      <c r="AG832" s="206"/>
      <c r="AH832" s="206"/>
      <c r="AI832" s="206"/>
      <c r="AJ832" s="206"/>
      <c r="AK832" s="206"/>
      <c r="AL832" s="206"/>
      <c r="AM832" s="206"/>
      <c r="AN832" s="206"/>
      <c r="AO832" s="206"/>
      <c r="AP832" s="206"/>
      <c r="AQ832" s="207"/>
      <c r="AR832" s="206"/>
      <c r="AS832" s="206"/>
      <c r="AT832" s="206"/>
      <c r="AU832" s="206"/>
      <c r="AV832" s="206"/>
      <c r="AW832" s="207"/>
      <c r="AX832" s="207"/>
      <c r="AY832" s="207"/>
      <c r="AZ832" s="207"/>
    </row>
    <row r="833" spans="1:52" ht="12.75" x14ac:dyDescent="0.2">
      <c r="A833" s="206"/>
      <c r="B833" s="206"/>
      <c r="C833" s="206"/>
      <c r="D833" s="206"/>
      <c r="E833" s="206"/>
      <c r="F833" s="206"/>
      <c r="G833" s="206"/>
      <c r="H833" s="206"/>
      <c r="I833" s="206"/>
      <c r="J833" s="206"/>
      <c r="K833" s="206"/>
      <c r="L833" s="206"/>
      <c r="M833" s="207"/>
      <c r="N833" s="207"/>
      <c r="O833" s="208"/>
      <c r="P833" s="208"/>
      <c r="Q833" s="208"/>
      <c r="R833" s="206"/>
      <c r="S833" s="206"/>
      <c r="T833" s="206"/>
      <c r="U833" s="206"/>
      <c r="V833" s="206"/>
      <c r="W833" s="206"/>
      <c r="X833" s="207"/>
      <c r="Y833" s="207"/>
      <c r="Z833" s="207"/>
      <c r="AA833" s="206"/>
      <c r="AB833" s="206"/>
      <c r="AC833" s="206"/>
      <c r="AD833" s="206"/>
      <c r="AE833" s="206"/>
      <c r="AF833" s="206"/>
      <c r="AG833" s="206"/>
      <c r="AH833" s="206"/>
      <c r="AI833" s="206"/>
      <c r="AJ833" s="206"/>
      <c r="AK833" s="206"/>
      <c r="AL833" s="206"/>
      <c r="AM833" s="206"/>
      <c r="AN833" s="206"/>
      <c r="AO833" s="206"/>
      <c r="AP833" s="206"/>
      <c r="AQ833" s="207"/>
      <c r="AR833" s="206"/>
      <c r="AS833" s="206"/>
      <c r="AT833" s="206"/>
      <c r="AU833" s="206"/>
      <c r="AV833" s="206"/>
      <c r="AW833" s="207"/>
      <c r="AX833" s="207"/>
      <c r="AY833" s="207"/>
      <c r="AZ833" s="207"/>
    </row>
    <row r="834" spans="1:52" ht="12.75" x14ac:dyDescent="0.2">
      <c r="A834" s="206"/>
      <c r="B834" s="206"/>
      <c r="C834" s="206"/>
      <c r="D834" s="206"/>
      <c r="E834" s="206"/>
      <c r="F834" s="206"/>
      <c r="G834" s="206"/>
      <c r="H834" s="206"/>
      <c r="I834" s="206"/>
      <c r="J834" s="206"/>
      <c r="K834" s="206"/>
      <c r="L834" s="206"/>
      <c r="M834" s="207"/>
      <c r="N834" s="207"/>
      <c r="O834" s="208"/>
      <c r="P834" s="208"/>
      <c r="Q834" s="208"/>
      <c r="R834" s="206"/>
      <c r="S834" s="206"/>
      <c r="T834" s="206"/>
      <c r="U834" s="206"/>
      <c r="V834" s="206"/>
      <c r="W834" s="206"/>
      <c r="X834" s="207"/>
      <c r="Y834" s="207"/>
      <c r="Z834" s="207"/>
      <c r="AA834" s="206"/>
      <c r="AB834" s="206"/>
      <c r="AC834" s="206"/>
      <c r="AD834" s="206"/>
      <c r="AE834" s="206"/>
      <c r="AF834" s="206"/>
      <c r="AG834" s="206"/>
      <c r="AH834" s="206"/>
      <c r="AI834" s="206"/>
      <c r="AJ834" s="206"/>
      <c r="AK834" s="206"/>
      <c r="AL834" s="206"/>
      <c r="AM834" s="206"/>
      <c r="AN834" s="206"/>
      <c r="AO834" s="206"/>
      <c r="AP834" s="206"/>
      <c r="AQ834" s="207"/>
      <c r="AR834" s="206"/>
      <c r="AS834" s="206"/>
      <c r="AT834" s="206"/>
      <c r="AU834" s="206"/>
      <c r="AV834" s="206"/>
      <c r="AW834" s="207"/>
      <c r="AX834" s="207"/>
      <c r="AY834" s="207"/>
      <c r="AZ834" s="207"/>
    </row>
    <row r="835" spans="1:52" ht="12.75" x14ac:dyDescent="0.2">
      <c r="A835" s="206"/>
      <c r="B835" s="206"/>
      <c r="C835" s="206"/>
      <c r="D835" s="206"/>
      <c r="E835" s="206"/>
      <c r="F835" s="206"/>
      <c r="G835" s="206"/>
      <c r="H835" s="206"/>
      <c r="I835" s="206"/>
      <c r="J835" s="206"/>
      <c r="K835" s="206"/>
      <c r="L835" s="206"/>
      <c r="M835" s="207"/>
      <c r="N835" s="207"/>
      <c r="O835" s="208"/>
      <c r="P835" s="208"/>
      <c r="Q835" s="208"/>
      <c r="R835" s="206"/>
      <c r="S835" s="206"/>
      <c r="T835" s="206"/>
      <c r="U835" s="206"/>
      <c r="V835" s="206"/>
      <c r="W835" s="206"/>
      <c r="X835" s="207"/>
      <c r="Y835" s="207"/>
      <c r="Z835" s="207"/>
      <c r="AA835" s="206"/>
      <c r="AB835" s="206"/>
      <c r="AC835" s="206"/>
      <c r="AD835" s="206"/>
      <c r="AE835" s="206"/>
      <c r="AF835" s="206"/>
      <c r="AG835" s="206"/>
      <c r="AH835" s="206"/>
      <c r="AI835" s="206"/>
      <c r="AJ835" s="206"/>
      <c r="AK835" s="206"/>
      <c r="AL835" s="206"/>
      <c r="AM835" s="206"/>
      <c r="AN835" s="206"/>
      <c r="AO835" s="206"/>
      <c r="AP835" s="206"/>
      <c r="AQ835" s="207"/>
      <c r="AR835" s="206"/>
      <c r="AS835" s="206"/>
      <c r="AT835" s="206"/>
      <c r="AU835" s="206"/>
      <c r="AV835" s="206"/>
      <c r="AW835" s="207"/>
      <c r="AX835" s="207"/>
      <c r="AY835" s="207"/>
      <c r="AZ835" s="207"/>
    </row>
    <row r="836" spans="1:52" ht="12.75" x14ac:dyDescent="0.2">
      <c r="A836" s="206"/>
      <c r="B836" s="206"/>
      <c r="C836" s="206"/>
      <c r="D836" s="206"/>
      <c r="E836" s="206"/>
      <c r="F836" s="206"/>
      <c r="G836" s="206"/>
      <c r="H836" s="206"/>
      <c r="I836" s="206"/>
      <c r="J836" s="206"/>
      <c r="K836" s="206"/>
      <c r="L836" s="206"/>
      <c r="M836" s="207"/>
      <c r="N836" s="207"/>
      <c r="O836" s="208"/>
      <c r="P836" s="208"/>
      <c r="Q836" s="208"/>
      <c r="R836" s="206"/>
      <c r="S836" s="206"/>
      <c r="T836" s="206"/>
      <c r="U836" s="206"/>
      <c r="V836" s="206"/>
      <c r="W836" s="206"/>
      <c r="X836" s="207"/>
      <c r="Y836" s="207"/>
      <c r="Z836" s="207"/>
      <c r="AA836" s="206"/>
      <c r="AB836" s="206"/>
      <c r="AC836" s="206"/>
      <c r="AD836" s="206"/>
      <c r="AE836" s="206"/>
      <c r="AF836" s="206"/>
      <c r="AG836" s="206"/>
      <c r="AH836" s="206"/>
      <c r="AI836" s="206"/>
      <c r="AJ836" s="206"/>
      <c r="AK836" s="206"/>
      <c r="AL836" s="206"/>
      <c r="AM836" s="206"/>
      <c r="AN836" s="206"/>
      <c r="AO836" s="206"/>
      <c r="AP836" s="206"/>
      <c r="AQ836" s="207"/>
      <c r="AR836" s="206"/>
      <c r="AS836" s="206"/>
      <c r="AT836" s="206"/>
      <c r="AU836" s="206"/>
      <c r="AV836" s="206"/>
      <c r="AW836" s="207"/>
      <c r="AX836" s="207"/>
      <c r="AY836" s="207"/>
      <c r="AZ836" s="207"/>
    </row>
    <row r="837" spans="1:52" ht="12.75" x14ac:dyDescent="0.2">
      <c r="A837" s="206"/>
      <c r="B837" s="206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7"/>
      <c r="N837" s="207"/>
      <c r="O837" s="208"/>
      <c r="P837" s="208"/>
      <c r="Q837" s="208"/>
      <c r="R837" s="206"/>
      <c r="S837" s="206"/>
      <c r="T837" s="206"/>
      <c r="U837" s="206"/>
      <c r="V837" s="206"/>
      <c r="W837" s="206"/>
      <c r="X837" s="207"/>
      <c r="Y837" s="207"/>
      <c r="Z837" s="207"/>
      <c r="AA837" s="206"/>
      <c r="AB837" s="206"/>
      <c r="AC837" s="206"/>
      <c r="AD837" s="206"/>
      <c r="AE837" s="206"/>
      <c r="AF837" s="206"/>
      <c r="AG837" s="206"/>
      <c r="AH837" s="206"/>
      <c r="AI837" s="206"/>
      <c r="AJ837" s="206"/>
      <c r="AK837" s="206"/>
      <c r="AL837" s="206"/>
      <c r="AM837" s="206"/>
      <c r="AN837" s="206"/>
      <c r="AO837" s="206"/>
      <c r="AP837" s="206"/>
      <c r="AQ837" s="207"/>
      <c r="AR837" s="206"/>
      <c r="AS837" s="206"/>
      <c r="AT837" s="206"/>
      <c r="AU837" s="206"/>
      <c r="AV837" s="206"/>
      <c r="AW837" s="207"/>
      <c r="AX837" s="207"/>
      <c r="AY837" s="207"/>
      <c r="AZ837" s="207"/>
    </row>
    <row r="838" spans="1:52" ht="12.75" x14ac:dyDescent="0.2">
      <c r="A838" s="206"/>
      <c r="B838" s="206"/>
      <c r="C838" s="206"/>
      <c r="D838" s="206"/>
      <c r="E838" s="206"/>
      <c r="F838" s="206"/>
      <c r="G838" s="206"/>
      <c r="H838" s="206"/>
      <c r="I838" s="206"/>
      <c r="J838" s="206"/>
      <c r="K838" s="206"/>
      <c r="L838" s="206"/>
      <c r="M838" s="207"/>
      <c r="N838" s="207"/>
      <c r="O838" s="208"/>
      <c r="P838" s="208"/>
      <c r="Q838" s="208"/>
      <c r="R838" s="206"/>
      <c r="S838" s="206"/>
      <c r="T838" s="206"/>
      <c r="U838" s="206"/>
      <c r="V838" s="206"/>
      <c r="W838" s="206"/>
      <c r="X838" s="207"/>
      <c r="Y838" s="207"/>
      <c r="Z838" s="207"/>
      <c r="AA838" s="206"/>
      <c r="AB838" s="206"/>
      <c r="AC838" s="206"/>
      <c r="AD838" s="206"/>
      <c r="AE838" s="206"/>
      <c r="AF838" s="206"/>
      <c r="AG838" s="206"/>
      <c r="AH838" s="206"/>
      <c r="AI838" s="206"/>
      <c r="AJ838" s="206"/>
      <c r="AK838" s="206"/>
      <c r="AL838" s="206"/>
      <c r="AM838" s="206"/>
      <c r="AN838" s="206"/>
      <c r="AO838" s="206"/>
      <c r="AP838" s="206"/>
      <c r="AQ838" s="207"/>
      <c r="AR838" s="206"/>
      <c r="AS838" s="206"/>
      <c r="AT838" s="206"/>
      <c r="AU838" s="206"/>
      <c r="AV838" s="206"/>
      <c r="AW838" s="207"/>
      <c r="AX838" s="207"/>
      <c r="AY838" s="207"/>
      <c r="AZ838" s="207"/>
    </row>
    <row r="839" spans="1:52" ht="12.75" x14ac:dyDescent="0.2">
      <c r="A839" s="206"/>
      <c r="B839" s="206"/>
      <c r="C839" s="206"/>
      <c r="D839" s="206"/>
      <c r="E839" s="206"/>
      <c r="F839" s="206"/>
      <c r="G839" s="206"/>
      <c r="H839" s="206"/>
      <c r="I839" s="206"/>
      <c r="J839" s="206"/>
      <c r="K839" s="206"/>
      <c r="L839" s="206"/>
      <c r="M839" s="207"/>
      <c r="N839" s="207"/>
      <c r="O839" s="208"/>
      <c r="P839" s="208"/>
      <c r="Q839" s="208"/>
      <c r="R839" s="206"/>
      <c r="S839" s="206"/>
      <c r="T839" s="206"/>
      <c r="U839" s="206"/>
      <c r="V839" s="206"/>
      <c r="W839" s="206"/>
      <c r="X839" s="207"/>
      <c r="Y839" s="207"/>
      <c r="Z839" s="207"/>
      <c r="AA839" s="206"/>
      <c r="AB839" s="206"/>
      <c r="AC839" s="206"/>
      <c r="AD839" s="206"/>
      <c r="AE839" s="206"/>
      <c r="AF839" s="206"/>
      <c r="AG839" s="206"/>
      <c r="AH839" s="206"/>
      <c r="AI839" s="206"/>
      <c r="AJ839" s="206"/>
      <c r="AK839" s="206"/>
      <c r="AL839" s="206"/>
      <c r="AM839" s="206"/>
      <c r="AN839" s="206"/>
      <c r="AO839" s="206"/>
      <c r="AP839" s="206"/>
      <c r="AQ839" s="207"/>
      <c r="AR839" s="206"/>
      <c r="AS839" s="206"/>
      <c r="AT839" s="206"/>
      <c r="AU839" s="206"/>
      <c r="AV839" s="206"/>
      <c r="AW839" s="207"/>
      <c r="AX839" s="207"/>
      <c r="AY839" s="207"/>
      <c r="AZ839" s="207"/>
    </row>
    <row r="840" spans="1:52" ht="12.75" x14ac:dyDescent="0.2">
      <c r="A840" s="206"/>
      <c r="B840" s="206"/>
      <c r="C840" s="206"/>
      <c r="D840" s="206"/>
      <c r="E840" s="206"/>
      <c r="F840" s="206"/>
      <c r="G840" s="206"/>
      <c r="H840" s="206"/>
      <c r="I840" s="206"/>
      <c r="J840" s="206"/>
      <c r="K840" s="206"/>
      <c r="L840" s="206"/>
      <c r="M840" s="207"/>
      <c r="N840" s="207"/>
      <c r="O840" s="208"/>
      <c r="P840" s="208"/>
      <c r="Q840" s="208"/>
      <c r="R840" s="206"/>
      <c r="S840" s="206"/>
      <c r="T840" s="206"/>
      <c r="U840" s="206"/>
      <c r="V840" s="206"/>
      <c r="W840" s="206"/>
      <c r="X840" s="207"/>
      <c r="Y840" s="207"/>
      <c r="Z840" s="207"/>
      <c r="AA840" s="206"/>
      <c r="AB840" s="206"/>
      <c r="AC840" s="206"/>
      <c r="AD840" s="206"/>
      <c r="AE840" s="206"/>
      <c r="AF840" s="206"/>
      <c r="AG840" s="206"/>
      <c r="AH840" s="206"/>
      <c r="AI840" s="206"/>
      <c r="AJ840" s="206"/>
      <c r="AK840" s="206"/>
      <c r="AL840" s="206"/>
      <c r="AM840" s="206"/>
      <c r="AN840" s="206"/>
      <c r="AO840" s="206"/>
      <c r="AP840" s="206"/>
      <c r="AQ840" s="207"/>
      <c r="AR840" s="206"/>
      <c r="AS840" s="206"/>
      <c r="AT840" s="206"/>
      <c r="AU840" s="206"/>
      <c r="AV840" s="206"/>
      <c r="AW840" s="207"/>
      <c r="AX840" s="207"/>
      <c r="AY840" s="207"/>
      <c r="AZ840" s="207"/>
    </row>
    <row r="841" spans="1:52" ht="12.75" x14ac:dyDescent="0.2">
      <c r="A841" s="206"/>
      <c r="B841" s="206"/>
      <c r="C841" s="206"/>
      <c r="D841" s="206"/>
      <c r="E841" s="206"/>
      <c r="F841" s="206"/>
      <c r="G841" s="206"/>
      <c r="H841" s="206"/>
      <c r="I841" s="206"/>
      <c r="J841" s="206"/>
      <c r="K841" s="206"/>
      <c r="L841" s="206"/>
      <c r="M841" s="207"/>
      <c r="N841" s="207"/>
      <c r="O841" s="208"/>
      <c r="P841" s="208"/>
      <c r="Q841" s="208"/>
      <c r="R841" s="206"/>
      <c r="S841" s="206"/>
      <c r="T841" s="206"/>
      <c r="U841" s="206"/>
      <c r="V841" s="206"/>
      <c r="W841" s="206"/>
      <c r="X841" s="207"/>
      <c r="Y841" s="207"/>
      <c r="Z841" s="207"/>
      <c r="AA841" s="206"/>
      <c r="AB841" s="206"/>
      <c r="AC841" s="206"/>
      <c r="AD841" s="206"/>
      <c r="AE841" s="206"/>
      <c r="AF841" s="206"/>
      <c r="AG841" s="206"/>
      <c r="AH841" s="206"/>
      <c r="AI841" s="206"/>
      <c r="AJ841" s="206"/>
      <c r="AK841" s="206"/>
      <c r="AL841" s="206"/>
      <c r="AM841" s="206"/>
      <c r="AN841" s="206"/>
      <c r="AO841" s="206"/>
      <c r="AP841" s="206"/>
      <c r="AQ841" s="207"/>
      <c r="AR841" s="206"/>
      <c r="AS841" s="206"/>
      <c r="AT841" s="206"/>
      <c r="AU841" s="206"/>
      <c r="AV841" s="206"/>
      <c r="AW841" s="207"/>
      <c r="AX841" s="207"/>
      <c r="AY841" s="207"/>
      <c r="AZ841" s="207"/>
    </row>
    <row r="842" spans="1:52" ht="12.75" x14ac:dyDescent="0.2">
      <c r="A842" s="206"/>
      <c r="B842" s="206"/>
      <c r="C842" s="206"/>
      <c r="D842" s="206"/>
      <c r="E842" s="206"/>
      <c r="F842" s="206"/>
      <c r="G842" s="206"/>
      <c r="H842" s="206"/>
      <c r="I842" s="206"/>
      <c r="J842" s="206"/>
      <c r="K842" s="206"/>
      <c r="L842" s="206"/>
      <c r="M842" s="207"/>
      <c r="N842" s="207"/>
      <c r="O842" s="208"/>
      <c r="P842" s="208"/>
      <c r="Q842" s="208"/>
      <c r="R842" s="206"/>
      <c r="S842" s="206"/>
      <c r="T842" s="206"/>
      <c r="U842" s="206"/>
      <c r="V842" s="206"/>
      <c r="W842" s="206"/>
      <c r="X842" s="207"/>
      <c r="Y842" s="207"/>
      <c r="Z842" s="207"/>
      <c r="AA842" s="206"/>
      <c r="AB842" s="206"/>
      <c r="AC842" s="206"/>
      <c r="AD842" s="206"/>
      <c r="AE842" s="206"/>
      <c r="AF842" s="206"/>
      <c r="AG842" s="206"/>
      <c r="AH842" s="206"/>
      <c r="AI842" s="206"/>
      <c r="AJ842" s="206"/>
      <c r="AK842" s="206"/>
      <c r="AL842" s="206"/>
      <c r="AM842" s="206"/>
      <c r="AN842" s="206"/>
      <c r="AO842" s="206"/>
      <c r="AP842" s="206"/>
      <c r="AQ842" s="207"/>
      <c r="AR842" s="206"/>
      <c r="AS842" s="206"/>
      <c r="AT842" s="206"/>
      <c r="AU842" s="206"/>
      <c r="AV842" s="206"/>
      <c r="AW842" s="207"/>
      <c r="AX842" s="207"/>
      <c r="AY842" s="207"/>
      <c r="AZ842" s="207"/>
    </row>
    <row r="843" spans="1:52" ht="12.75" x14ac:dyDescent="0.2">
      <c r="A843" s="206"/>
      <c r="B843" s="206"/>
      <c r="C843" s="206"/>
      <c r="D843" s="206"/>
      <c r="E843" s="206"/>
      <c r="F843" s="206"/>
      <c r="G843" s="206"/>
      <c r="H843" s="206"/>
      <c r="I843" s="206"/>
      <c r="J843" s="206"/>
      <c r="K843" s="206"/>
      <c r="L843" s="206"/>
      <c r="M843" s="207"/>
      <c r="N843" s="207"/>
      <c r="O843" s="208"/>
      <c r="P843" s="208"/>
      <c r="Q843" s="208"/>
      <c r="R843" s="206"/>
      <c r="S843" s="206"/>
      <c r="T843" s="206"/>
      <c r="U843" s="206"/>
      <c r="V843" s="206"/>
      <c r="W843" s="206"/>
      <c r="X843" s="207"/>
      <c r="Y843" s="207"/>
      <c r="Z843" s="207"/>
      <c r="AA843" s="206"/>
      <c r="AB843" s="206"/>
      <c r="AC843" s="206"/>
      <c r="AD843" s="206"/>
      <c r="AE843" s="206"/>
      <c r="AF843" s="206"/>
      <c r="AG843" s="206"/>
      <c r="AH843" s="206"/>
      <c r="AI843" s="206"/>
      <c r="AJ843" s="206"/>
      <c r="AK843" s="206"/>
      <c r="AL843" s="206"/>
      <c r="AM843" s="206"/>
      <c r="AN843" s="206"/>
      <c r="AO843" s="206"/>
      <c r="AP843" s="206"/>
      <c r="AQ843" s="207"/>
      <c r="AR843" s="206"/>
      <c r="AS843" s="206"/>
      <c r="AT843" s="206"/>
      <c r="AU843" s="206"/>
      <c r="AV843" s="206"/>
      <c r="AW843" s="207"/>
      <c r="AX843" s="207"/>
      <c r="AY843" s="207"/>
      <c r="AZ843" s="207"/>
    </row>
    <row r="844" spans="1:52" ht="12.75" x14ac:dyDescent="0.2">
      <c r="A844" s="206"/>
      <c r="B844" s="206"/>
      <c r="C844" s="206"/>
      <c r="D844" s="206"/>
      <c r="E844" s="206"/>
      <c r="F844" s="206"/>
      <c r="G844" s="206"/>
      <c r="H844" s="206"/>
      <c r="I844" s="206"/>
      <c r="J844" s="206"/>
      <c r="K844" s="206"/>
      <c r="L844" s="206"/>
      <c r="M844" s="207"/>
      <c r="N844" s="207"/>
      <c r="O844" s="208"/>
      <c r="P844" s="208"/>
      <c r="Q844" s="208"/>
      <c r="R844" s="206"/>
      <c r="S844" s="206"/>
      <c r="T844" s="206"/>
      <c r="U844" s="206"/>
      <c r="V844" s="206"/>
      <c r="W844" s="206"/>
      <c r="X844" s="207"/>
      <c r="Y844" s="207"/>
      <c r="Z844" s="207"/>
      <c r="AA844" s="206"/>
      <c r="AB844" s="206"/>
      <c r="AC844" s="206"/>
      <c r="AD844" s="206"/>
      <c r="AE844" s="206"/>
      <c r="AF844" s="206"/>
      <c r="AG844" s="206"/>
      <c r="AH844" s="206"/>
      <c r="AI844" s="206"/>
      <c r="AJ844" s="206"/>
      <c r="AK844" s="206"/>
      <c r="AL844" s="206"/>
      <c r="AM844" s="206"/>
      <c r="AN844" s="206"/>
      <c r="AO844" s="206"/>
      <c r="AP844" s="206"/>
      <c r="AQ844" s="207"/>
      <c r="AR844" s="206"/>
      <c r="AS844" s="206"/>
      <c r="AT844" s="206"/>
      <c r="AU844" s="206"/>
      <c r="AV844" s="206"/>
      <c r="AW844" s="207"/>
      <c r="AX844" s="207"/>
      <c r="AY844" s="207"/>
      <c r="AZ844" s="207"/>
    </row>
    <row r="845" spans="1:52" ht="12.75" x14ac:dyDescent="0.2">
      <c r="A845" s="206"/>
      <c r="B845" s="206"/>
      <c r="C845" s="206"/>
      <c r="D845" s="206"/>
      <c r="E845" s="206"/>
      <c r="F845" s="206"/>
      <c r="G845" s="206"/>
      <c r="H845" s="206"/>
      <c r="I845" s="206"/>
      <c r="J845" s="206"/>
      <c r="K845" s="206"/>
      <c r="L845" s="206"/>
      <c r="M845" s="207"/>
      <c r="N845" s="207"/>
      <c r="O845" s="208"/>
      <c r="P845" s="208"/>
      <c r="Q845" s="208"/>
      <c r="R845" s="206"/>
      <c r="S845" s="206"/>
      <c r="T845" s="206"/>
      <c r="U845" s="206"/>
      <c r="V845" s="206"/>
      <c r="W845" s="206"/>
      <c r="X845" s="207"/>
      <c r="Y845" s="207"/>
      <c r="Z845" s="207"/>
      <c r="AA845" s="206"/>
      <c r="AB845" s="206"/>
      <c r="AC845" s="206"/>
      <c r="AD845" s="206"/>
      <c r="AE845" s="206"/>
      <c r="AF845" s="206"/>
      <c r="AG845" s="206"/>
      <c r="AH845" s="206"/>
      <c r="AI845" s="206"/>
      <c r="AJ845" s="206"/>
      <c r="AK845" s="206"/>
      <c r="AL845" s="206"/>
      <c r="AM845" s="206"/>
      <c r="AN845" s="206"/>
      <c r="AO845" s="206"/>
      <c r="AP845" s="206"/>
      <c r="AQ845" s="207"/>
      <c r="AR845" s="206"/>
      <c r="AS845" s="206"/>
      <c r="AT845" s="206"/>
      <c r="AU845" s="206"/>
      <c r="AV845" s="206"/>
      <c r="AW845" s="207"/>
      <c r="AX845" s="207"/>
      <c r="AY845" s="207"/>
      <c r="AZ845" s="207"/>
    </row>
    <row r="846" spans="1:52" ht="12.75" x14ac:dyDescent="0.2">
      <c r="A846" s="206"/>
      <c r="B846" s="206"/>
      <c r="C846" s="206"/>
      <c r="D846" s="206"/>
      <c r="E846" s="206"/>
      <c r="F846" s="206"/>
      <c r="G846" s="206"/>
      <c r="H846" s="206"/>
      <c r="I846" s="206"/>
      <c r="J846" s="206"/>
      <c r="K846" s="206"/>
      <c r="L846" s="206"/>
      <c r="M846" s="207"/>
      <c r="N846" s="207"/>
      <c r="O846" s="208"/>
      <c r="P846" s="208"/>
      <c r="Q846" s="208"/>
      <c r="R846" s="206"/>
      <c r="S846" s="206"/>
      <c r="T846" s="206"/>
      <c r="U846" s="206"/>
      <c r="V846" s="206"/>
      <c r="W846" s="206"/>
      <c r="X846" s="207"/>
      <c r="Y846" s="207"/>
      <c r="Z846" s="207"/>
      <c r="AA846" s="206"/>
      <c r="AB846" s="206"/>
      <c r="AC846" s="206"/>
      <c r="AD846" s="206"/>
      <c r="AE846" s="206"/>
      <c r="AF846" s="206"/>
      <c r="AG846" s="206"/>
      <c r="AH846" s="206"/>
      <c r="AI846" s="206"/>
      <c r="AJ846" s="206"/>
      <c r="AK846" s="206"/>
      <c r="AL846" s="206"/>
      <c r="AM846" s="206"/>
      <c r="AN846" s="206"/>
      <c r="AO846" s="206"/>
      <c r="AP846" s="206"/>
      <c r="AQ846" s="207"/>
      <c r="AR846" s="206"/>
      <c r="AS846" s="206"/>
      <c r="AT846" s="206"/>
      <c r="AU846" s="206"/>
      <c r="AV846" s="206"/>
      <c r="AW846" s="207"/>
      <c r="AX846" s="207"/>
      <c r="AY846" s="207"/>
      <c r="AZ846" s="207"/>
    </row>
    <row r="847" spans="1:52" ht="12.75" x14ac:dyDescent="0.2">
      <c r="A847" s="206"/>
      <c r="B847" s="206"/>
      <c r="C847" s="206"/>
      <c r="D847" s="206"/>
      <c r="E847" s="206"/>
      <c r="F847" s="206"/>
      <c r="G847" s="206"/>
      <c r="H847" s="206"/>
      <c r="I847" s="206"/>
      <c r="J847" s="206"/>
      <c r="K847" s="206"/>
      <c r="L847" s="206"/>
      <c r="M847" s="207"/>
      <c r="N847" s="207"/>
      <c r="O847" s="208"/>
      <c r="P847" s="208"/>
      <c r="Q847" s="208"/>
      <c r="R847" s="206"/>
      <c r="S847" s="206"/>
      <c r="T847" s="206"/>
      <c r="U847" s="206"/>
      <c r="V847" s="206"/>
      <c r="W847" s="206"/>
      <c r="X847" s="207"/>
      <c r="Y847" s="207"/>
      <c r="Z847" s="207"/>
      <c r="AA847" s="206"/>
      <c r="AB847" s="206"/>
      <c r="AC847" s="206"/>
      <c r="AD847" s="206"/>
      <c r="AE847" s="206"/>
      <c r="AF847" s="206"/>
      <c r="AG847" s="206"/>
      <c r="AH847" s="206"/>
      <c r="AI847" s="206"/>
      <c r="AJ847" s="206"/>
      <c r="AK847" s="206"/>
      <c r="AL847" s="206"/>
      <c r="AM847" s="206"/>
      <c r="AN847" s="206"/>
      <c r="AO847" s="206"/>
      <c r="AP847" s="206"/>
      <c r="AQ847" s="207"/>
      <c r="AR847" s="206"/>
      <c r="AS847" s="206"/>
      <c r="AT847" s="206"/>
      <c r="AU847" s="206"/>
      <c r="AV847" s="206"/>
      <c r="AW847" s="207"/>
      <c r="AX847" s="207"/>
      <c r="AY847" s="207"/>
      <c r="AZ847" s="207"/>
    </row>
    <row r="848" spans="1:52" ht="12.75" x14ac:dyDescent="0.2">
      <c r="A848" s="206"/>
      <c r="B848" s="206"/>
      <c r="C848" s="206"/>
      <c r="D848" s="206"/>
      <c r="E848" s="206"/>
      <c r="F848" s="206"/>
      <c r="G848" s="206"/>
      <c r="H848" s="206"/>
      <c r="I848" s="206"/>
      <c r="J848" s="206"/>
      <c r="K848" s="206"/>
      <c r="L848" s="206"/>
      <c r="M848" s="207"/>
      <c r="N848" s="207"/>
      <c r="O848" s="208"/>
      <c r="P848" s="208"/>
      <c r="Q848" s="208"/>
      <c r="R848" s="206"/>
      <c r="S848" s="206"/>
      <c r="T848" s="206"/>
      <c r="U848" s="206"/>
      <c r="V848" s="206"/>
      <c r="W848" s="206"/>
      <c r="X848" s="207"/>
      <c r="Y848" s="207"/>
      <c r="Z848" s="207"/>
      <c r="AA848" s="206"/>
      <c r="AB848" s="206"/>
      <c r="AC848" s="206"/>
      <c r="AD848" s="206"/>
      <c r="AE848" s="206"/>
      <c r="AF848" s="206"/>
      <c r="AG848" s="206"/>
      <c r="AH848" s="206"/>
      <c r="AI848" s="206"/>
      <c r="AJ848" s="206"/>
      <c r="AK848" s="206"/>
      <c r="AL848" s="206"/>
      <c r="AM848" s="206"/>
      <c r="AN848" s="206"/>
      <c r="AO848" s="206"/>
      <c r="AP848" s="206"/>
      <c r="AQ848" s="207"/>
      <c r="AR848" s="206"/>
      <c r="AS848" s="206"/>
      <c r="AT848" s="206"/>
      <c r="AU848" s="206"/>
      <c r="AV848" s="206"/>
      <c r="AW848" s="207"/>
      <c r="AX848" s="207"/>
      <c r="AY848" s="207"/>
      <c r="AZ848" s="207"/>
    </row>
    <row r="849" spans="1:52" ht="12.75" x14ac:dyDescent="0.2">
      <c r="A849" s="206"/>
      <c r="B849" s="206"/>
      <c r="C849" s="206"/>
      <c r="D849" s="206"/>
      <c r="E849" s="206"/>
      <c r="F849" s="206"/>
      <c r="G849" s="206"/>
      <c r="H849" s="206"/>
      <c r="I849" s="206"/>
      <c r="J849" s="206"/>
      <c r="K849" s="206"/>
      <c r="L849" s="206"/>
      <c r="M849" s="207"/>
      <c r="N849" s="207"/>
      <c r="O849" s="208"/>
      <c r="P849" s="208"/>
      <c r="Q849" s="208"/>
      <c r="R849" s="206"/>
      <c r="S849" s="206"/>
      <c r="T849" s="206"/>
      <c r="U849" s="206"/>
      <c r="V849" s="206"/>
      <c r="W849" s="206"/>
      <c r="X849" s="207"/>
      <c r="Y849" s="207"/>
      <c r="Z849" s="207"/>
      <c r="AA849" s="206"/>
      <c r="AB849" s="206"/>
      <c r="AC849" s="206"/>
      <c r="AD849" s="206"/>
      <c r="AE849" s="206"/>
      <c r="AF849" s="206"/>
      <c r="AG849" s="206"/>
      <c r="AH849" s="206"/>
      <c r="AI849" s="206"/>
      <c r="AJ849" s="206"/>
      <c r="AK849" s="206"/>
      <c r="AL849" s="206"/>
      <c r="AM849" s="206"/>
      <c r="AN849" s="206"/>
      <c r="AO849" s="206"/>
      <c r="AP849" s="206"/>
      <c r="AQ849" s="207"/>
      <c r="AR849" s="206"/>
      <c r="AS849" s="206"/>
      <c r="AT849" s="206"/>
      <c r="AU849" s="206"/>
      <c r="AV849" s="206"/>
      <c r="AW849" s="207"/>
      <c r="AX849" s="207"/>
      <c r="AY849" s="207"/>
      <c r="AZ849" s="207"/>
    </row>
    <row r="850" spans="1:52" ht="12.75" x14ac:dyDescent="0.2">
      <c r="A850" s="206"/>
      <c r="B850" s="206"/>
      <c r="C850" s="206"/>
      <c r="D850" s="206"/>
      <c r="E850" s="206"/>
      <c r="F850" s="206"/>
      <c r="G850" s="206"/>
      <c r="H850" s="206"/>
      <c r="I850" s="206"/>
      <c r="J850" s="206"/>
      <c r="K850" s="206"/>
      <c r="L850" s="206"/>
      <c r="M850" s="207"/>
      <c r="N850" s="207"/>
      <c r="O850" s="208"/>
      <c r="P850" s="208"/>
      <c r="Q850" s="208"/>
      <c r="R850" s="206"/>
      <c r="S850" s="206"/>
      <c r="T850" s="206"/>
      <c r="U850" s="206"/>
      <c r="V850" s="206"/>
      <c r="W850" s="206"/>
      <c r="X850" s="207"/>
      <c r="Y850" s="207"/>
      <c r="Z850" s="207"/>
      <c r="AA850" s="206"/>
      <c r="AB850" s="206"/>
      <c r="AC850" s="206"/>
      <c r="AD850" s="206"/>
      <c r="AE850" s="206"/>
      <c r="AF850" s="206"/>
      <c r="AG850" s="206"/>
      <c r="AH850" s="206"/>
      <c r="AI850" s="206"/>
      <c r="AJ850" s="206"/>
      <c r="AK850" s="206"/>
      <c r="AL850" s="206"/>
      <c r="AM850" s="206"/>
      <c r="AN850" s="206"/>
      <c r="AO850" s="206"/>
      <c r="AP850" s="206"/>
      <c r="AQ850" s="207"/>
      <c r="AR850" s="206"/>
      <c r="AS850" s="206"/>
      <c r="AT850" s="206"/>
      <c r="AU850" s="206"/>
      <c r="AV850" s="206"/>
      <c r="AW850" s="207"/>
      <c r="AX850" s="207"/>
      <c r="AY850" s="207"/>
      <c r="AZ850" s="207"/>
    </row>
    <row r="851" spans="1:52" ht="12.75" x14ac:dyDescent="0.2">
      <c r="A851" s="206"/>
      <c r="B851" s="206"/>
      <c r="C851" s="206"/>
      <c r="D851" s="206"/>
      <c r="E851" s="206"/>
      <c r="F851" s="206"/>
      <c r="G851" s="206"/>
      <c r="H851" s="206"/>
      <c r="I851" s="206"/>
      <c r="J851" s="206"/>
      <c r="K851" s="206"/>
      <c r="L851" s="206"/>
      <c r="M851" s="207"/>
      <c r="N851" s="207"/>
      <c r="O851" s="208"/>
      <c r="P851" s="208"/>
      <c r="Q851" s="208"/>
      <c r="R851" s="206"/>
      <c r="S851" s="206"/>
      <c r="T851" s="206"/>
      <c r="U851" s="206"/>
      <c r="V851" s="206"/>
      <c r="W851" s="206"/>
      <c r="X851" s="207"/>
      <c r="Y851" s="207"/>
      <c r="Z851" s="207"/>
      <c r="AA851" s="206"/>
      <c r="AB851" s="206"/>
      <c r="AC851" s="206"/>
      <c r="AD851" s="206"/>
      <c r="AE851" s="206"/>
      <c r="AF851" s="206"/>
      <c r="AG851" s="206"/>
      <c r="AH851" s="206"/>
      <c r="AI851" s="206"/>
      <c r="AJ851" s="206"/>
      <c r="AK851" s="206"/>
      <c r="AL851" s="206"/>
      <c r="AM851" s="206"/>
      <c r="AN851" s="206"/>
      <c r="AO851" s="206"/>
      <c r="AP851" s="206"/>
      <c r="AQ851" s="207"/>
      <c r="AR851" s="206"/>
      <c r="AS851" s="206"/>
      <c r="AT851" s="206"/>
      <c r="AU851" s="206"/>
      <c r="AV851" s="206"/>
      <c r="AW851" s="207"/>
      <c r="AX851" s="207"/>
      <c r="AY851" s="207"/>
      <c r="AZ851" s="207"/>
    </row>
    <row r="852" spans="1:52" ht="12.75" x14ac:dyDescent="0.2">
      <c r="A852" s="206"/>
      <c r="B852" s="206"/>
      <c r="C852" s="206"/>
      <c r="D852" s="206"/>
      <c r="E852" s="206"/>
      <c r="F852" s="206"/>
      <c r="G852" s="206"/>
      <c r="H852" s="206"/>
      <c r="I852" s="206"/>
      <c r="J852" s="206"/>
      <c r="K852" s="206"/>
      <c r="L852" s="206"/>
      <c r="M852" s="207"/>
      <c r="N852" s="207"/>
      <c r="O852" s="208"/>
      <c r="P852" s="208"/>
      <c r="Q852" s="208"/>
      <c r="R852" s="206"/>
      <c r="S852" s="206"/>
      <c r="T852" s="206"/>
      <c r="U852" s="206"/>
      <c r="V852" s="206"/>
      <c r="W852" s="206"/>
      <c r="X852" s="207"/>
      <c r="Y852" s="207"/>
      <c r="Z852" s="207"/>
      <c r="AA852" s="206"/>
      <c r="AB852" s="206"/>
      <c r="AC852" s="206"/>
      <c r="AD852" s="206"/>
      <c r="AE852" s="206"/>
      <c r="AF852" s="206"/>
      <c r="AG852" s="206"/>
      <c r="AH852" s="206"/>
      <c r="AI852" s="206"/>
      <c r="AJ852" s="206"/>
      <c r="AK852" s="206"/>
      <c r="AL852" s="206"/>
      <c r="AM852" s="206"/>
      <c r="AN852" s="206"/>
      <c r="AO852" s="206"/>
      <c r="AP852" s="206"/>
      <c r="AQ852" s="207"/>
      <c r="AR852" s="206"/>
      <c r="AS852" s="206"/>
      <c r="AT852" s="206"/>
      <c r="AU852" s="206"/>
      <c r="AV852" s="206"/>
      <c r="AW852" s="207"/>
      <c r="AX852" s="207"/>
      <c r="AY852" s="207"/>
      <c r="AZ852" s="207"/>
    </row>
    <row r="853" spans="1:52" ht="12.75" x14ac:dyDescent="0.2">
      <c r="A853" s="206"/>
      <c r="B853" s="206"/>
      <c r="C853" s="206"/>
      <c r="D853" s="206"/>
      <c r="E853" s="206"/>
      <c r="F853" s="206"/>
      <c r="G853" s="206"/>
      <c r="H853" s="206"/>
      <c r="I853" s="206"/>
      <c r="J853" s="206"/>
      <c r="K853" s="206"/>
      <c r="L853" s="206"/>
      <c r="M853" s="207"/>
      <c r="N853" s="207"/>
      <c r="O853" s="208"/>
      <c r="P853" s="208"/>
      <c r="Q853" s="208"/>
      <c r="R853" s="206"/>
      <c r="S853" s="206"/>
      <c r="T853" s="206"/>
      <c r="U853" s="206"/>
      <c r="V853" s="206"/>
      <c r="W853" s="206"/>
      <c r="X853" s="207"/>
      <c r="Y853" s="207"/>
      <c r="Z853" s="207"/>
      <c r="AA853" s="206"/>
      <c r="AB853" s="206"/>
      <c r="AC853" s="206"/>
      <c r="AD853" s="206"/>
      <c r="AE853" s="206"/>
      <c r="AF853" s="206"/>
      <c r="AG853" s="206"/>
      <c r="AH853" s="206"/>
      <c r="AI853" s="206"/>
      <c r="AJ853" s="206"/>
      <c r="AK853" s="206"/>
      <c r="AL853" s="206"/>
      <c r="AM853" s="206"/>
      <c r="AN853" s="206"/>
      <c r="AO853" s="206"/>
      <c r="AP853" s="206"/>
      <c r="AQ853" s="207"/>
      <c r="AR853" s="206"/>
      <c r="AS853" s="206"/>
      <c r="AT853" s="206"/>
      <c r="AU853" s="206"/>
      <c r="AV853" s="206"/>
      <c r="AW853" s="207"/>
      <c r="AX853" s="207"/>
      <c r="AY853" s="207"/>
      <c r="AZ853" s="207"/>
    </row>
    <row r="854" spans="1:52" ht="12.75" x14ac:dyDescent="0.2">
      <c r="A854" s="206"/>
      <c r="B854" s="206"/>
      <c r="C854" s="206"/>
      <c r="D854" s="206"/>
      <c r="E854" s="206"/>
      <c r="F854" s="206"/>
      <c r="G854" s="206"/>
      <c r="H854" s="206"/>
      <c r="I854" s="206"/>
      <c r="J854" s="206"/>
      <c r="K854" s="206"/>
      <c r="L854" s="206"/>
      <c r="M854" s="207"/>
      <c r="N854" s="207"/>
      <c r="O854" s="208"/>
      <c r="P854" s="208"/>
      <c r="Q854" s="208"/>
      <c r="R854" s="206"/>
      <c r="S854" s="206"/>
      <c r="T854" s="206"/>
      <c r="U854" s="206"/>
      <c r="V854" s="206"/>
      <c r="W854" s="206"/>
      <c r="X854" s="207"/>
      <c r="Y854" s="207"/>
      <c r="Z854" s="207"/>
      <c r="AA854" s="206"/>
      <c r="AB854" s="206"/>
      <c r="AC854" s="206"/>
      <c r="AD854" s="206"/>
      <c r="AE854" s="206"/>
      <c r="AF854" s="206"/>
      <c r="AG854" s="206"/>
      <c r="AH854" s="206"/>
      <c r="AI854" s="206"/>
      <c r="AJ854" s="206"/>
      <c r="AK854" s="206"/>
      <c r="AL854" s="206"/>
      <c r="AM854" s="206"/>
      <c r="AN854" s="206"/>
      <c r="AO854" s="206"/>
      <c r="AP854" s="206"/>
      <c r="AQ854" s="207"/>
      <c r="AR854" s="206"/>
      <c r="AS854" s="206"/>
      <c r="AT854" s="206"/>
      <c r="AU854" s="206"/>
      <c r="AV854" s="206"/>
      <c r="AW854" s="207"/>
      <c r="AX854" s="207"/>
      <c r="AY854" s="207"/>
      <c r="AZ854" s="207"/>
    </row>
    <row r="855" spans="1:52" ht="12.75" x14ac:dyDescent="0.2">
      <c r="A855" s="206"/>
      <c r="B855" s="206"/>
      <c r="C855" s="206"/>
      <c r="D855" s="206"/>
      <c r="E855" s="206"/>
      <c r="F855" s="206"/>
      <c r="G855" s="206"/>
      <c r="H855" s="206"/>
      <c r="I855" s="206"/>
      <c r="J855" s="206"/>
      <c r="K855" s="206"/>
      <c r="L855" s="206"/>
      <c r="M855" s="207"/>
      <c r="N855" s="207"/>
      <c r="O855" s="208"/>
      <c r="P855" s="208"/>
      <c r="Q855" s="208"/>
      <c r="R855" s="206"/>
      <c r="S855" s="206"/>
      <c r="T855" s="206"/>
      <c r="U855" s="206"/>
      <c r="V855" s="206"/>
      <c r="W855" s="206"/>
      <c r="X855" s="207"/>
      <c r="Y855" s="207"/>
      <c r="Z855" s="207"/>
      <c r="AA855" s="206"/>
      <c r="AB855" s="206"/>
      <c r="AC855" s="206"/>
      <c r="AD855" s="206"/>
      <c r="AE855" s="206"/>
      <c r="AF855" s="206"/>
      <c r="AG855" s="206"/>
      <c r="AH855" s="206"/>
      <c r="AI855" s="206"/>
      <c r="AJ855" s="206"/>
      <c r="AK855" s="206"/>
      <c r="AL855" s="206"/>
      <c r="AM855" s="206"/>
      <c r="AN855" s="206"/>
      <c r="AO855" s="206"/>
      <c r="AP855" s="206"/>
      <c r="AQ855" s="207"/>
      <c r="AR855" s="206"/>
      <c r="AS855" s="206"/>
      <c r="AT855" s="206"/>
      <c r="AU855" s="206"/>
      <c r="AV855" s="206"/>
      <c r="AW855" s="207"/>
      <c r="AX855" s="207"/>
      <c r="AY855" s="207"/>
      <c r="AZ855" s="207"/>
    </row>
    <row r="856" spans="1:52" ht="12.75" x14ac:dyDescent="0.2">
      <c r="A856" s="206"/>
      <c r="B856" s="206"/>
      <c r="C856" s="206"/>
      <c r="D856" s="206"/>
      <c r="E856" s="206"/>
      <c r="F856" s="206"/>
      <c r="G856" s="206"/>
      <c r="H856" s="206"/>
      <c r="I856" s="206"/>
      <c r="J856" s="206"/>
      <c r="K856" s="206"/>
      <c r="L856" s="206"/>
      <c r="M856" s="207"/>
      <c r="N856" s="207"/>
      <c r="O856" s="208"/>
      <c r="P856" s="208"/>
      <c r="Q856" s="208"/>
      <c r="R856" s="206"/>
      <c r="S856" s="206"/>
      <c r="T856" s="206"/>
      <c r="U856" s="206"/>
      <c r="V856" s="206"/>
      <c r="W856" s="206"/>
      <c r="X856" s="207"/>
      <c r="Y856" s="207"/>
      <c r="Z856" s="207"/>
      <c r="AA856" s="206"/>
      <c r="AB856" s="206"/>
      <c r="AC856" s="206"/>
      <c r="AD856" s="206"/>
      <c r="AE856" s="206"/>
      <c r="AF856" s="206"/>
      <c r="AG856" s="206"/>
      <c r="AH856" s="206"/>
      <c r="AI856" s="206"/>
      <c r="AJ856" s="206"/>
      <c r="AK856" s="206"/>
      <c r="AL856" s="206"/>
      <c r="AM856" s="206"/>
      <c r="AN856" s="206"/>
      <c r="AO856" s="206"/>
      <c r="AP856" s="206"/>
      <c r="AQ856" s="207"/>
      <c r="AR856" s="206"/>
      <c r="AS856" s="206"/>
      <c r="AT856" s="206"/>
      <c r="AU856" s="206"/>
      <c r="AV856" s="206"/>
      <c r="AW856" s="207"/>
      <c r="AX856" s="207"/>
      <c r="AY856" s="207"/>
      <c r="AZ856" s="207"/>
    </row>
    <row r="857" spans="1:52" ht="12.75" x14ac:dyDescent="0.2">
      <c r="A857" s="206"/>
      <c r="B857" s="206"/>
      <c r="C857" s="206"/>
      <c r="D857" s="206"/>
      <c r="E857" s="206"/>
      <c r="F857" s="206"/>
      <c r="G857" s="206"/>
      <c r="H857" s="206"/>
      <c r="I857" s="206"/>
      <c r="J857" s="206"/>
      <c r="K857" s="206"/>
      <c r="L857" s="206"/>
      <c r="M857" s="207"/>
      <c r="N857" s="207"/>
      <c r="O857" s="208"/>
      <c r="P857" s="208"/>
      <c r="Q857" s="208"/>
      <c r="R857" s="206"/>
      <c r="S857" s="206"/>
      <c r="T857" s="206"/>
      <c r="U857" s="206"/>
      <c r="V857" s="206"/>
      <c r="W857" s="206"/>
      <c r="X857" s="207"/>
      <c r="Y857" s="207"/>
      <c r="Z857" s="207"/>
      <c r="AA857" s="206"/>
      <c r="AB857" s="206"/>
      <c r="AC857" s="206"/>
      <c r="AD857" s="206"/>
      <c r="AE857" s="206"/>
      <c r="AF857" s="206"/>
      <c r="AG857" s="206"/>
      <c r="AH857" s="206"/>
      <c r="AI857" s="206"/>
      <c r="AJ857" s="206"/>
      <c r="AK857" s="206"/>
      <c r="AL857" s="206"/>
      <c r="AM857" s="206"/>
      <c r="AN857" s="206"/>
      <c r="AO857" s="206"/>
      <c r="AP857" s="206"/>
      <c r="AQ857" s="207"/>
      <c r="AR857" s="206"/>
      <c r="AS857" s="206"/>
      <c r="AT857" s="206"/>
      <c r="AU857" s="206"/>
      <c r="AV857" s="206"/>
      <c r="AW857" s="207"/>
      <c r="AX857" s="207"/>
      <c r="AY857" s="207"/>
      <c r="AZ857" s="207"/>
    </row>
    <row r="858" spans="1:52" ht="12.75" x14ac:dyDescent="0.2">
      <c r="A858" s="206"/>
      <c r="B858" s="206"/>
      <c r="C858" s="206"/>
      <c r="D858" s="206"/>
      <c r="E858" s="206"/>
      <c r="F858" s="206"/>
      <c r="G858" s="206"/>
      <c r="H858" s="206"/>
      <c r="I858" s="206"/>
      <c r="J858" s="206"/>
      <c r="K858" s="206"/>
      <c r="L858" s="206"/>
      <c r="M858" s="207"/>
      <c r="N858" s="207"/>
      <c r="O858" s="208"/>
      <c r="P858" s="208"/>
      <c r="Q858" s="208"/>
      <c r="R858" s="206"/>
      <c r="S858" s="206"/>
      <c r="T858" s="206"/>
      <c r="U858" s="206"/>
      <c r="V858" s="206"/>
      <c r="W858" s="206"/>
      <c r="X858" s="207"/>
      <c r="Y858" s="207"/>
      <c r="Z858" s="207"/>
      <c r="AA858" s="206"/>
      <c r="AB858" s="206"/>
      <c r="AC858" s="206"/>
      <c r="AD858" s="206"/>
      <c r="AE858" s="206"/>
      <c r="AF858" s="206"/>
      <c r="AG858" s="206"/>
      <c r="AH858" s="206"/>
      <c r="AI858" s="206"/>
      <c r="AJ858" s="206"/>
      <c r="AK858" s="206"/>
      <c r="AL858" s="206"/>
      <c r="AM858" s="206"/>
      <c r="AN858" s="206"/>
      <c r="AO858" s="206"/>
      <c r="AP858" s="206"/>
      <c r="AQ858" s="207"/>
      <c r="AR858" s="206"/>
      <c r="AS858" s="206"/>
      <c r="AT858" s="206"/>
      <c r="AU858" s="206"/>
      <c r="AV858" s="206"/>
      <c r="AW858" s="207"/>
      <c r="AX858" s="207"/>
      <c r="AY858" s="207"/>
      <c r="AZ858" s="207"/>
    </row>
    <row r="859" spans="1:52" ht="12.75" x14ac:dyDescent="0.2">
      <c r="A859" s="206"/>
      <c r="B859" s="206"/>
      <c r="C859" s="206"/>
      <c r="D859" s="206"/>
      <c r="E859" s="206"/>
      <c r="F859" s="206"/>
      <c r="G859" s="206"/>
      <c r="H859" s="206"/>
      <c r="I859" s="206"/>
      <c r="J859" s="206"/>
      <c r="K859" s="206"/>
      <c r="L859" s="206"/>
      <c r="M859" s="207"/>
      <c r="N859" s="207"/>
      <c r="O859" s="208"/>
      <c r="P859" s="208"/>
      <c r="Q859" s="208"/>
      <c r="R859" s="206"/>
      <c r="S859" s="206"/>
      <c r="T859" s="206"/>
      <c r="U859" s="206"/>
      <c r="V859" s="206"/>
      <c r="W859" s="206"/>
      <c r="X859" s="207"/>
      <c r="Y859" s="207"/>
      <c r="Z859" s="207"/>
      <c r="AA859" s="206"/>
      <c r="AB859" s="206"/>
      <c r="AC859" s="206"/>
      <c r="AD859" s="206"/>
      <c r="AE859" s="206"/>
      <c r="AF859" s="206"/>
      <c r="AG859" s="206"/>
      <c r="AH859" s="206"/>
      <c r="AI859" s="206"/>
      <c r="AJ859" s="206"/>
      <c r="AK859" s="206"/>
      <c r="AL859" s="206"/>
      <c r="AM859" s="206"/>
      <c r="AN859" s="206"/>
      <c r="AO859" s="206"/>
      <c r="AP859" s="206"/>
      <c r="AQ859" s="207"/>
      <c r="AR859" s="206"/>
      <c r="AS859" s="206"/>
      <c r="AT859" s="206"/>
      <c r="AU859" s="206"/>
      <c r="AV859" s="206"/>
      <c r="AW859" s="207"/>
      <c r="AX859" s="207"/>
      <c r="AY859" s="207"/>
      <c r="AZ859" s="207"/>
    </row>
    <row r="860" spans="1:52" ht="12.75" x14ac:dyDescent="0.2">
      <c r="A860" s="206"/>
      <c r="B860" s="206"/>
      <c r="C860" s="206"/>
      <c r="D860" s="206"/>
      <c r="E860" s="206"/>
      <c r="F860" s="206"/>
      <c r="G860" s="206"/>
      <c r="H860" s="206"/>
      <c r="I860" s="206"/>
      <c r="J860" s="206"/>
      <c r="K860" s="206"/>
      <c r="L860" s="206"/>
      <c r="M860" s="207"/>
      <c r="N860" s="207"/>
      <c r="O860" s="208"/>
      <c r="P860" s="208"/>
      <c r="Q860" s="208"/>
      <c r="R860" s="206"/>
      <c r="S860" s="206"/>
      <c r="T860" s="206"/>
      <c r="U860" s="206"/>
      <c r="V860" s="206"/>
      <c r="W860" s="206"/>
      <c r="X860" s="207"/>
      <c r="Y860" s="207"/>
      <c r="Z860" s="207"/>
      <c r="AA860" s="206"/>
      <c r="AB860" s="206"/>
      <c r="AC860" s="206"/>
      <c r="AD860" s="206"/>
      <c r="AE860" s="206"/>
      <c r="AF860" s="206"/>
      <c r="AG860" s="206"/>
      <c r="AH860" s="206"/>
      <c r="AI860" s="206"/>
      <c r="AJ860" s="206"/>
      <c r="AK860" s="206"/>
      <c r="AL860" s="206"/>
      <c r="AM860" s="206"/>
      <c r="AN860" s="206"/>
      <c r="AO860" s="206"/>
      <c r="AP860" s="206"/>
      <c r="AQ860" s="207"/>
      <c r="AR860" s="206"/>
      <c r="AS860" s="206"/>
      <c r="AT860" s="206"/>
      <c r="AU860" s="206"/>
      <c r="AV860" s="206"/>
      <c r="AW860" s="207"/>
      <c r="AX860" s="207"/>
      <c r="AY860" s="207"/>
      <c r="AZ860" s="207"/>
    </row>
    <row r="861" spans="1:52" ht="12.75" x14ac:dyDescent="0.2">
      <c r="A861" s="206"/>
      <c r="B861" s="206"/>
      <c r="C861" s="206"/>
      <c r="D861" s="206"/>
      <c r="E861" s="206"/>
      <c r="F861" s="206"/>
      <c r="G861" s="206"/>
      <c r="H861" s="206"/>
      <c r="I861" s="206"/>
      <c r="J861" s="206"/>
      <c r="K861" s="206"/>
      <c r="L861" s="206"/>
      <c r="M861" s="207"/>
      <c r="N861" s="207"/>
      <c r="O861" s="208"/>
      <c r="P861" s="208"/>
      <c r="Q861" s="208"/>
      <c r="R861" s="206"/>
      <c r="S861" s="206"/>
      <c r="T861" s="206"/>
      <c r="U861" s="206"/>
      <c r="V861" s="206"/>
      <c r="W861" s="206"/>
      <c r="X861" s="207"/>
      <c r="Y861" s="207"/>
      <c r="Z861" s="207"/>
      <c r="AA861" s="206"/>
      <c r="AB861" s="206"/>
      <c r="AC861" s="206"/>
      <c r="AD861" s="206"/>
      <c r="AE861" s="206"/>
      <c r="AF861" s="206"/>
      <c r="AG861" s="206"/>
      <c r="AH861" s="206"/>
      <c r="AI861" s="206"/>
      <c r="AJ861" s="206"/>
      <c r="AK861" s="206"/>
      <c r="AL861" s="206"/>
      <c r="AM861" s="206"/>
      <c r="AN861" s="206"/>
      <c r="AO861" s="206"/>
      <c r="AP861" s="206"/>
      <c r="AQ861" s="207"/>
      <c r="AR861" s="206"/>
      <c r="AS861" s="206"/>
      <c r="AT861" s="206"/>
      <c r="AU861" s="206"/>
      <c r="AV861" s="206"/>
      <c r="AW861" s="207"/>
      <c r="AX861" s="207"/>
      <c r="AY861" s="207"/>
      <c r="AZ861" s="207"/>
    </row>
    <row r="862" spans="1:52" ht="12.75" x14ac:dyDescent="0.2">
      <c r="A862" s="206"/>
      <c r="B862" s="206"/>
      <c r="C862" s="206"/>
      <c r="D862" s="206"/>
      <c r="E862" s="206"/>
      <c r="F862" s="206"/>
      <c r="G862" s="206"/>
      <c r="H862" s="206"/>
      <c r="I862" s="206"/>
      <c r="J862" s="206"/>
      <c r="K862" s="206"/>
      <c r="L862" s="206"/>
      <c r="M862" s="207"/>
      <c r="N862" s="207"/>
      <c r="O862" s="208"/>
      <c r="P862" s="208"/>
      <c r="Q862" s="208"/>
      <c r="R862" s="206"/>
      <c r="S862" s="206"/>
      <c r="T862" s="206"/>
      <c r="U862" s="206"/>
      <c r="V862" s="206"/>
      <c r="W862" s="206"/>
      <c r="X862" s="207"/>
      <c r="Y862" s="207"/>
      <c r="Z862" s="207"/>
      <c r="AA862" s="206"/>
      <c r="AB862" s="206"/>
      <c r="AC862" s="206"/>
      <c r="AD862" s="206"/>
      <c r="AE862" s="206"/>
      <c r="AF862" s="206"/>
      <c r="AG862" s="206"/>
      <c r="AH862" s="206"/>
      <c r="AI862" s="206"/>
      <c r="AJ862" s="206"/>
      <c r="AK862" s="206"/>
      <c r="AL862" s="206"/>
      <c r="AM862" s="206"/>
      <c r="AN862" s="206"/>
      <c r="AO862" s="206"/>
      <c r="AP862" s="206"/>
      <c r="AQ862" s="207"/>
      <c r="AR862" s="206"/>
      <c r="AS862" s="206"/>
      <c r="AT862" s="206"/>
      <c r="AU862" s="206"/>
      <c r="AV862" s="206"/>
      <c r="AW862" s="207"/>
      <c r="AX862" s="207"/>
      <c r="AY862" s="207"/>
      <c r="AZ862" s="207"/>
    </row>
    <row r="863" spans="1:52" ht="12.75" x14ac:dyDescent="0.2">
      <c r="A863" s="206"/>
      <c r="B863" s="206"/>
      <c r="C863" s="206"/>
      <c r="D863" s="206"/>
      <c r="E863" s="206"/>
      <c r="F863" s="206"/>
      <c r="G863" s="206"/>
      <c r="H863" s="206"/>
      <c r="I863" s="206"/>
      <c r="J863" s="206"/>
      <c r="K863" s="206"/>
      <c r="L863" s="206"/>
      <c r="M863" s="207"/>
      <c r="N863" s="207"/>
      <c r="O863" s="208"/>
      <c r="P863" s="208"/>
      <c r="Q863" s="208"/>
      <c r="R863" s="206"/>
      <c r="S863" s="206"/>
      <c r="T863" s="206"/>
      <c r="U863" s="206"/>
      <c r="V863" s="206"/>
      <c r="W863" s="206"/>
      <c r="X863" s="207"/>
      <c r="Y863" s="207"/>
      <c r="Z863" s="207"/>
      <c r="AA863" s="206"/>
      <c r="AB863" s="206"/>
      <c r="AC863" s="206"/>
      <c r="AD863" s="206"/>
      <c r="AE863" s="206"/>
      <c r="AF863" s="206"/>
      <c r="AG863" s="206"/>
      <c r="AH863" s="206"/>
      <c r="AI863" s="206"/>
      <c r="AJ863" s="206"/>
      <c r="AK863" s="206"/>
      <c r="AL863" s="206"/>
      <c r="AM863" s="206"/>
      <c r="AN863" s="206"/>
      <c r="AO863" s="206"/>
      <c r="AP863" s="206"/>
      <c r="AQ863" s="207"/>
      <c r="AR863" s="206"/>
      <c r="AS863" s="206"/>
      <c r="AT863" s="206"/>
      <c r="AU863" s="206"/>
      <c r="AV863" s="206"/>
      <c r="AW863" s="207"/>
      <c r="AX863" s="207"/>
      <c r="AY863" s="207"/>
      <c r="AZ863" s="207"/>
    </row>
    <row r="864" spans="1:52" ht="12.75" x14ac:dyDescent="0.2">
      <c r="A864" s="206"/>
      <c r="B864" s="206"/>
      <c r="C864" s="206"/>
      <c r="D864" s="206"/>
      <c r="E864" s="206"/>
      <c r="F864" s="206"/>
      <c r="G864" s="206"/>
      <c r="H864" s="206"/>
      <c r="I864" s="206"/>
      <c r="J864" s="206"/>
      <c r="K864" s="206"/>
      <c r="L864" s="206"/>
      <c r="M864" s="207"/>
      <c r="N864" s="207"/>
      <c r="O864" s="208"/>
      <c r="P864" s="208"/>
      <c r="Q864" s="208"/>
      <c r="R864" s="206"/>
      <c r="S864" s="206"/>
      <c r="T864" s="206"/>
      <c r="U864" s="206"/>
      <c r="V864" s="206"/>
      <c r="W864" s="206"/>
      <c r="X864" s="207"/>
      <c r="Y864" s="207"/>
      <c r="Z864" s="207"/>
      <c r="AA864" s="206"/>
      <c r="AB864" s="206"/>
      <c r="AC864" s="206"/>
      <c r="AD864" s="206"/>
      <c r="AE864" s="206"/>
      <c r="AF864" s="206"/>
      <c r="AG864" s="206"/>
      <c r="AH864" s="206"/>
      <c r="AI864" s="206"/>
      <c r="AJ864" s="206"/>
      <c r="AK864" s="206"/>
      <c r="AL864" s="206"/>
      <c r="AM864" s="206"/>
      <c r="AN864" s="206"/>
      <c r="AO864" s="206"/>
      <c r="AP864" s="206"/>
      <c r="AQ864" s="207"/>
      <c r="AR864" s="206"/>
      <c r="AS864" s="206"/>
      <c r="AT864" s="206"/>
      <c r="AU864" s="206"/>
      <c r="AV864" s="206"/>
      <c r="AW864" s="207"/>
      <c r="AX864" s="207"/>
      <c r="AY864" s="207"/>
      <c r="AZ864" s="207"/>
    </row>
    <row r="865" spans="1:52" ht="12.75" x14ac:dyDescent="0.2">
      <c r="A865" s="206"/>
      <c r="B865" s="206"/>
      <c r="C865" s="206"/>
      <c r="D865" s="206"/>
      <c r="E865" s="206"/>
      <c r="F865" s="206"/>
      <c r="G865" s="206"/>
      <c r="H865" s="206"/>
      <c r="I865" s="206"/>
      <c r="J865" s="206"/>
      <c r="K865" s="206"/>
      <c r="L865" s="206"/>
      <c r="M865" s="207"/>
      <c r="N865" s="207"/>
      <c r="O865" s="208"/>
      <c r="P865" s="208"/>
      <c r="Q865" s="208"/>
      <c r="R865" s="206"/>
      <c r="S865" s="206"/>
      <c r="T865" s="206"/>
      <c r="U865" s="206"/>
      <c r="V865" s="206"/>
      <c r="W865" s="206"/>
      <c r="X865" s="207"/>
      <c r="Y865" s="207"/>
      <c r="Z865" s="207"/>
      <c r="AA865" s="206"/>
      <c r="AB865" s="206"/>
      <c r="AC865" s="206"/>
      <c r="AD865" s="206"/>
      <c r="AE865" s="206"/>
      <c r="AF865" s="206"/>
      <c r="AG865" s="206"/>
      <c r="AH865" s="206"/>
      <c r="AI865" s="206"/>
      <c r="AJ865" s="206"/>
      <c r="AK865" s="206"/>
      <c r="AL865" s="206"/>
      <c r="AM865" s="206"/>
      <c r="AN865" s="206"/>
      <c r="AO865" s="206"/>
      <c r="AP865" s="206"/>
      <c r="AQ865" s="207"/>
      <c r="AR865" s="206"/>
      <c r="AS865" s="206"/>
      <c r="AT865" s="206"/>
      <c r="AU865" s="206"/>
      <c r="AV865" s="206"/>
      <c r="AW865" s="207"/>
      <c r="AX865" s="207"/>
      <c r="AY865" s="207"/>
      <c r="AZ865" s="207"/>
    </row>
    <row r="866" spans="1:52" ht="12.75" x14ac:dyDescent="0.2">
      <c r="A866" s="206"/>
      <c r="B866" s="206"/>
      <c r="C866" s="206"/>
      <c r="D866" s="206"/>
      <c r="E866" s="206"/>
      <c r="F866" s="206"/>
      <c r="G866" s="206"/>
      <c r="H866" s="206"/>
      <c r="I866" s="206"/>
      <c r="J866" s="206"/>
      <c r="K866" s="206"/>
      <c r="L866" s="206"/>
      <c r="M866" s="207"/>
      <c r="N866" s="207"/>
      <c r="O866" s="208"/>
      <c r="P866" s="208"/>
      <c r="Q866" s="208"/>
      <c r="R866" s="206"/>
      <c r="S866" s="206"/>
      <c r="T866" s="206"/>
      <c r="U866" s="206"/>
      <c r="V866" s="206"/>
      <c r="W866" s="206"/>
      <c r="X866" s="207"/>
      <c r="Y866" s="207"/>
      <c r="Z866" s="207"/>
      <c r="AA866" s="206"/>
      <c r="AB866" s="206"/>
      <c r="AC866" s="206"/>
      <c r="AD866" s="206"/>
      <c r="AE866" s="206"/>
      <c r="AF866" s="206"/>
      <c r="AG866" s="206"/>
      <c r="AH866" s="206"/>
      <c r="AI866" s="206"/>
      <c r="AJ866" s="206"/>
      <c r="AK866" s="206"/>
      <c r="AL866" s="206"/>
      <c r="AM866" s="206"/>
      <c r="AN866" s="206"/>
      <c r="AO866" s="206"/>
      <c r="AP866" s="206"/>
      <c r="AQ866" s="207"/>
      <c r="AR866" s="206"/>
      <c r="AS866" s="206"/>
      <c r="AT866" s="206"/>
      <c r="AU866" s="206"/>
      <c r="AV866" s="206"/>
      <c r="AW866" s="207"/>
      <c r="AX866" s="207"/>
      <c r="AY866" s="207"/>
      <c r="AZ866" s="207"/>
    </row>
    <row r="867" spans="1:52" ht="12.75" x14ac:dyDescent="0.2">
      <c r="A867" s="206"/>
      <c r="B867" s="206"/>
      <c r="C867" s="206"/>
      <c r="D867" s="206"/>
      <c r="E867" s="206"/>
      <c r="F867" s="206"/>
      <c r="G867" s="206"/>
      <c r="H867" s="206"/>
      <c r="I867" s="206"/>
      <c r="J867" s="206"/>
      <c r="K867" s="206"/>
      <c r="L867" s="206"/>
      <c r="M867" s="207"/>
      <c r="N867" s="207"/>
      <c r="O867" s="208"/>
      <c r="P867" s="208"/>
      <c r="Q867" s="208"/>
      <c r="R867" s="206"/>
      <c r="S867" s="206"/>
      <c r="T867" s="206"/>
      <c r="U867" s="206"/>
      <c r="V867" s="206"/>
      <c r="W867" s="206"/>
      <c r="X867" s="207"/>
      <c r="Y867" s="207"/>
      <c r="Z867" s="207"/>
      <c r="AA867" s="206"/>
      <c r="AB867" s="206"/>
      <c r="AC867" s="206"/>
      <c r="AD867" s="206"/>
      <c r="AE867" s="206"/>
      <c r="AF867" s="206"/>
      <c r="AG867" s="206"/>
      <c r="AH867" s="206"/>
      <c r="AI867" s="206"/>
      <c r="AJ867" s="206"/>
      <c r="AK867" s="206"/>
      <c r="AL867" s="206"/>
      <c r="AM867" s="206"/>
      <c r="AN867" s="206"/>
      <c r="AO867" s="206"/>
      <c r="AP867" s="206"/>
      <c r="AQ867" s="207"/>
      <c r="AR867" s="206"/>
      <c r="AS867" s="206"/>
      <c r="AT867" s="206"/>
      <c r="AU867" s="206"/>
      <c r="AV867" s="206"/>
      <c r="AW867" s="207"/>
      <c r="AX867" s="207"/>
      <c r="AY867" s="207"/>
      <c r="AZ867" s="207"/>
    </row>
    <row r="868" spans="1:52" ht="12.75" x14ac:dyDescent="0.2">
      <c r="A868" s="206"/>
      <c r="B868" s="206"/>
      <c r="C868" s="206"/>
      <c r="D868" s="206"/>
      <c r="E868" s="206"/>
      <c r="F868" s="206"/>
      <c r="G868" s="206"/>
      <c r="H868" s="206"/>
      <c r="I868" s="206"/>
      <c r="J868" s="206"/>
      <c r="K868" s="206"/>
      <c r="L868" s="206"/>
      <c r="M868" s="207"/>
      <c r="N868" s="207"/>
      <c r="O868" s="208"/>
      <c r="P868" s="208"/>
      <c r="Q868" s="208"/>
      <c r="R868" s="206"/>
      <c r="S868" s="206"/>
      <c r="T868" s="206"/>
      <c r="U868" s="206"/>
      <c r="V868" s="206"/>
      <c r="W868" s="206"/>
      <c r="X868" s="207"/>
      <c r="Y868" s="207"/>
      <c r="Z868" s="207"/>
      <c r="AA868" s="206"/>
      <c r="AB868" s="206"/>
      <c r="AC868" s="206"/>
      <c r="AD868" s="206"/>
      <c r="AE868" s="206"/>
      <c r="AF868" s="206"/>
      <c r="AG868" s="206"/>
      <c r="AH868" s="206"/>
      <c r="AI868" s="206"/>
      <c r="AJ868" s="206"/>
      <c r="AK868" s="206"/>
      <c r="AL868" s="206"/>
      <c r="AM868" s="206"/>
      <c r="AN868" s="206"/>
      <c r="AO868" s="206"/>
      <c r="AP868" s="206"/>
      <c r="AQ868" s="207"/>
      <c r="AR868" s="206"/>
      <c r="AS868" s="206"/>
      <c r="AT868" s="206"/>
      <c r="AU868" s="206"/>
      <c r="AV868" s="206"/>
      <c r="AW868" s="207"/>
      <c r="AX868" s="207"/>
      <c r="AY868" s="207"/>
      <c r="AZ868" s="207"/>
    </row>
    <row r="869" spans="1:52" ht="12.75" x14ac:dyDescent="0.2">
      <c r="A869" s="206"/>
      <c r="B869" s="206"/>
      <c r="C869" s="206"/>
      <c r="D869" s="206"/>
      <c r="E869" s="206"/>
      <c r="F869" s="206"/>
      <c r="G869" s="206"/>
      <c r="H869" s="206"/>
      <c r="I869" s="206"/>
      <c r="J869" s="206"/>
      <c r="K869" s="206"/>
      <c r="L869" s="206"/>
      <c r="M869" s="207"/>
      <c r="N869" s="207"/>
      <c r="O869" s="208"/>
      <c r="P869" s="208"/>
      <c r="Q869" s="208"/>
      <c r="R869" s="206"/>
      <c r="S869" s="206"/>
      <c r="T869" s="206"/>
      <c r="U869" s="206"/>
      <c r="V869" s="206"/>
      <c r="W869" s="206"/>
      <c r="X869" s="207"/>
      <c r="Y869" s="207"/>
      <c r="Z869" s="207"/>
      <c r="AA869" s="206"/>
      <c r="AB869" s="206"/>
      <c r="AC869" s="206"/>
      <c r="AD869" s="206"/>
      <c r="AE869" s="206"/>
      <c r="AF869" s="206"/>
      <c r="AG869" s="206"/>
      <c r="AH869" s="206"/>
      <c r="AI869" s="206"/>
      <c r="AJ869" s="206"/>
      <c r="AK869" s="206"/>
      <c r="AL869" s="206"/>
      <c r="AM869" s="206"/>
      <c r="AN869" s="206"/>
      <c r="AO869" s="206"/>
      <c r="AP869" s="206"/>
      <c r="AQ869" s="207"/>
      <c r="AR869" s="206"/>
      <c r="AS869" s="206"/>
      <c r="AT869" s="206"/>
      <c r="AU869" s="206"/>
      <c r="AV869" s="206"/>
      <c r="AW869" s="207"/>
      <c r="AX869" s="207"/>
      <c r="AY869" s="207"/>
      <c r="AZ869" s="207"/>
    </row>
    <row r="870" spans="1:52" ht="12.75" x14ac:dyDescent="0.2">
      <c r="A870" s="206"/>
      <c r="B870" s="206"/>
      <c r="C870" s="206"/>
      <c r="D870" s="206"/>
      <c r="E870" s="206"/>
      <c r="F870" s="206"/>
      <c r="G870" s="206"/>
      <c r="H870" s="206"/>
      <c r="I870" s="206"/>
      <c r="J870" s="206"/>
      <c r="K870" s="206"/>
      <c r="L870" s="206"/>
      <c r="M870" s="207"/>
      <c r="N870" s="207"/>
      <c r="O870" s="208"/>
      <c r="P870" s="208"/>
      <c r="Q870" s="208"/>
      <c r="R870" s="206"/>
      <c r="S870" s="206"/>
      <c r="T870" s="206"/>
      <c r="U870" s="206"/>
      <c r="V870" s="206"/>
      <c r="W870" s="206"/>
      <c r="X870" s="207"/>
      <c r="Y870" s="207"/>
      <c r="Z870" s="207"/>
      <c r="AA870" s="206"/>
      <c r="AB870" s="206"/>
      <c r="AC870" s="206"/>
      <c r="AD870" s="206"/>
      <c r="AE870" s="206"/>
      <c r="AF870" s="206"/>
      <c r="AG870" s="206"/>
      <c r="AH870" s="206"/>
      <c r="AI870" s="206"/>
      <c r="AJ870" s="206"/>
      <c r="AK870" s="206"/>
      <c r="AL870" s="206"/>
      <c r="AM870" s="206"/>
      <c r="AN870" s="206"/>
      <c r="AO870" s="206"/>
      <c r="AP870" s="206"/>
      <c r="AQ870" s="207"/>
      <c r="AR870" s="206"/>
      <c r="AS870" s="206"/>
      <c r="AT870" s="206"/>
      <c r="AU870" s="206"/>
      <c r="AV870" s="206"/>
      <c r="AW870" s="207"/>
      <c r="AX870" s="207"/>
      <c r="AY870" s="207"/>
      <c r="AZ870" s="207"/>
    </row>
    <row r="871" spans="1:52" ht="12.75" x14ac:dyDescent="0.2">
      <c r="A871" s="206"/>
      <c r="B871" s="206"/>
      <c r="C871" s="206"/>
      <c r="D871" s="206"/>
      <c r="E871" s="206"/>
      <c r="F871" s="206"/>
      <c r="G871" s="206"/>
      <c r="H871" s="206"/>
      <c r="I871" s="206"/>
      <c r="J871" s="206"/>
      <c r="K871" s="206"/>
      <c r="L871" s="206"/>
      <c r="M871" s="207"/>
      <c r="N871" s="207"/>
      <c r="O871" s="208"/>
      <c r="P871" s="208"/>
      <c r="Q871" s="208"/>
      <c r="R871" s="206"/>
      <c r="S871" s="206"/>
      <c r="T871" s="206"/>
      <c r="U871" s="206"/>
      <c r="V871" s="206"/>
      <c r="W871" s="206"/>
      <c r="X871" s="207"/>
      <c r="Y871" s="207"/>
      <c r="Z871" s="207"/>
      <c r="AA871" s="206"/>
      <c r="AB871" s="206"/>
      <c r="AC871" s="206"/>
      <c r="AD871" s="206"/>
      <c r="AE871" s="206"/>
      <c r="AF871" s="206"/>
      <c r="AG871" s="206"/>
      <c r="AH871" s="206"/>
      <c r="AI871" s="206"/>
      <c r="AJ871" s="206"/>
      <c r="AK871" s="206"/>
      <c r="AL871" s="206"/>
      <c r="AM871" s="206"/>
      <c r="AN871" s="206"/>
      <c r="AO871" s="206"/>
      <c r="AP871" s="206"/>
      <c r="AQ871" s="207"/>
      <c r="AR871" s="206"/>
      <c r="AS871" s="206"/>
      <c r="AT871" s="206"/>
      <c r="AU871" s="206"/>
      <c r="AV871" s="206"/>
      <c r="AW871" s="207"/>
      <c r="AX871" s="207"/>
      <c r="AY871" s="207"/>
      <c r="AZ871" s="207"/>
    </row>
    <row r="872" spans="1:52" ht="12.75" x14ac:dyDescent="0.2">
      <c r="A872" s="206"/>
      <c r="B872" s="206"/>
      <c r="C872" s="206"/>
      <c r="D872" s="206"/>
      <c r="E872" s="206"/>
      <c r="F872" s="206"/>
      <c r="G872" s="206"/>
      <c r="H872" s="206"/>
      <c r="I872" s="206"/>
      <c r="J872" s="206"/>
      <c r="K872" s="206"/>
      <c r="L872" s="206"/>
      <c r="M872" s="207"/>
      <c r="N872" s="207"/>
      <c r="O872" s="208"/>
      <c r="P872" s="208"/>
      <c r="Q872" s="208"/>
      <c r="R872" s="206"/>
      <c r="S872" s="206"/>
      <c r="T872" s="206"/>
      <c r="U872" s="206"/>
      <c r="V872" s="206"/>
      <c r="W872" s="206"/>
      <c r="X872" s="207"/>
      <c r="Y872" s="207"/>
      <c r="Z872" s="207"/>
      <c r="AA872" s="206"/>
      <c r="AB872" s="206"/>
      <c r="AC872" s="206"/>
      <c r="AD872" s="206"/>
      <c r="AE872" s="206"/>
      <c r="AF872" s="206"/>
      <c r="AG872" s="206"/>
      <c r="AH872" s="206"/>
      <c r="AI872" s="206"/>
      <c r="AJ872" s="206"/>
      <c r="AK872" s="206"/>
      <c r="AL872" s="206"/>
      <c r="AM872" s="206"/>
      <c r="AN872" s="206"/>
      <c r="AO872" s="206"/>
      <c r="AP872" s="206"/>
      <c r="AQ872" s="207"/>
      <c r="AR872" s="206"/>
      <c r="AS872" s="206"/>
      <c r="AT872" s="206"/>
      <c r="AU872" s="206"/>
      <c r="AV872" s="206"/>
      <c r="AW872" s="207"/>
      <c r="AX872" s="207"/>
      <c r="AY872" s="207"/>
      <c r="AZ872" s="207"/>
    </row>
    <row r="873" spans="1:52" ht="12.75" x14ac:dyDescent="0.2">
      <c r="A873" s="206"/>
      <c r="B873" s="206"/>
      <c r="C873" s="206"/>
      <c r="D873" s="206"/>
      <c r="E873" s="206"/>
      <c r="F873" s="206"/>
      <c r="G873" s="206"/>
      <c r="H873" s="206"/>
      <c r="I873" s="206"/>
      <c r="J873" s="206"/>
      <c r="K873" s="206"/>
      <c r="L873" s="206"/>
      <c r="M873" s="207"/>
      <c r="N873" s="207"/>
      <c r="O873" s="208"/>
      <c r="P873" s="208"/>
      <c r="Q873" s="208"/>
      <c r="R873" s="206"/>
      <c r="S873" s="206"/>
      <c r="T873" s="206"/>
      <c r="U873" s="206"/>
      <c r="V873" s="206"/>
      <c r="W873" s="206"/>
      <c r="X873" s="207"/>
      <c r="Y873" s="207"/>
      <c r="Z873" s="207"/>
      <c r="AA873" s="206"/>
      <c r="AB873" s="206"/>
      <c r="AC873" s="206"/>
      <c r="AD873" s="206"/>
      <c r="AE873" s="206"/>
      <c r="AF873" s="206"/>
      <c r="AG873" s="206"/>
      <c r="AH873" s="206"/>
      <c r="AI873" s="206"/>
      <c r="AJ873" s="206"/>
      <c r="AK873" s="206"/>
      <c r="AL873" s="206"/>
      <c r="AM873" s="206"/>
      <c r="AN873" s="206"/>
      <c r="AO873" s="206"/>
      <c r="AP873" s="206"/>
      <c r="AQ873" s="207"/>
      <c r="AR873" s="206"/>
      <c r="AS873" s="206"/>
      <c r="AT873" s="206"/>
      <c r="AU873" s="206"/>
      <c r="AV873" s="206"/>
      <c r="AW873" s="207"/>
      <c r="AX873" s="207"/>
      <c r="AY873" s="207"/>
      <c r="AZ873" s="207"/>
    </row>
    <row r="874" spans="1:52" ht="12.75" x14ac:dyDescent="0.2">
      <c r="A874" s="206"/>
      <c r="B874" s="206"/>
      <c r="C874" s="206"/>
      <c r="D874" s="206"/>
      <c r="E874" s="206"/>
      <c r="F874" s="206"/>
      <c r="G874" s="206"/>
      <c r="H874" s="206"/>
      <c r="I874" s="206"/>
      <c r="J874" s="206"/>
      <c r="K874" s="206"/>
      <c r="L874" s="206"/>
      <c r="M874" s="207"/>
      <c r="N874" s="207"/>
      <c r="O874" s="208"/>
      <c r="P874" s="208"/>
      <c r="Q874" s="208"/>
      <c r="R874" s="206"/>
      <c r="S874" s="206"/>
      <c r="T874" s="206"/>
      <c r="U874" s="206"/>
      <c r="V874" s="206"/>
      <c r="W874" s="206"/>
      <c r="X874" s="207"/>
      <c r="Y874" s="207"/>
      <c r="Z874" s="207"/>
      <c r="AA874" s="206"/>
      <c r="AB874" s="206"/>
      <c r="AC874" s="206"/>
      <c r="AD874" s="206"/>
      <c r="AE874" s="206"/>
      <c r="AF874" s="206"/>
      <c r="AG874" s="206"/>
      <c r="AH874" s="206"/>
      <c r="AI874" s="206"/>
      <c r="AJ874" s="206"/>
      <c r="AK874" s="206"/>
      <c r="AL874" s="206"/>
      <c r="AM874" s="206"/>
      <c r="AN874" s="206"/>
      <c r="AO874" s="206"/>
      <c r="AP874" s="206"/>
      <c r="AQ874" s="207"/>
      <c r="AR874" s="206"/>
      <c r="AS874" s="206"/>
      <c r="AT874" s="206"/>
      <c r="AU874" s="206"/>
      <c r="AV874" s="206"/>
      <c r="AW874" s="207"/>
      <c r="AX874" s="207"/>
      <c r="AY874" s="207"/>
      <c r="AZ874" s="207"/>
    </row>
    <row r="875" spans="1:52" ht="12.75" x14ac:dyDescent="0.2">
      <c r="A875" s="206"/>
      <c r="B875" s="206"/>
      <c r="C875" s="206"/>
      <c r="D875" s="206"/>
      <c r="E875" s="206"/>
      <c r="F875" s="206"/>
      <c r="G875" s="206"/>
      <c r="H875" s="206"/>
      <c r="I875" s="206"/>
      <c r="J875" s="206"/>
      <c r="K875" s="206"/>
      <c r="L875" s="206"/>
      <c r="M875" s="207"/>
      <c r="N875" s="207"/>
      <c r="O875" s="208"/>
      <c r="P875" s="208"/>
      <c r="Q875" s="208"/>
      <c r="R875" s="206"/>
      <c r="S875" s="206"/>
      <c r="T875" s="206"/>
      <c r="U875" s="206"/>
      <c r="V875" s="206"/>
      <c r="W875" s="206"/>
      <c r="X875" s="207"/>
      <c r="Y875" s="207"/>
      <c r="Z875" s="207"/>
      <c r="AA875" s="206"/>
      <c r="AB875" s="206"/>
      <c r="AC875" s="206"/>
      <c r="AD875" s="206"/>
      <c r="AE875" s="206"/>
      <c r="AF875" s="206"/>
      <c r="AG875" s="206"/>
      <c r="AH875" s="206"/>
      <c r="AI875" s="206"/>
      <c r="AJ875" s="206"/>
      <c r="AK875" s="206"/>
      <c r="AL875" s="206"/>
      <c r="AM875" s="206"/>
      <c r="AN875" s="206"/>
      <c r="AO875" s="206"/>
      <c r="AP875" s="206"/>
      <c r="AQ875" s="207"/>
      <c r="AR875" s="206"/>
      <c r="AS875" s="206"/>
      <c r="AT875" s="206"/>
      <c r="AU875" s="206"/>
      <c r="AV875" s="206"/>
      <c r="AW875" s="207"/>
      <c r="AX875" s="207"/>
      <c r="AY875" s="207"/>
      <c r="AZ875" s="207"/>
    </row>
    <row r="876" spans="1:52" ht="12.75" x14ac:dyDescent="0.2">
      <c r="A876" s="206"/>
      <c r="B876" s="206"/>
      <c r="C876" s="206"/>
      <c r="D876" s="206"/>
      <c r="E876" s="206"/>
      <c r="F876" s="206"/>
      <c r="G876" s="206"/>
      <c r="H876" s="206"/>
      <c r="I876" s="206"/>
      <c r="J876" s="206"/>
      <c r="K876" s="206"/>
      <c r="L876" s="206"/>
      <c r="M876" s="207"/>
      <c r="N876" s="207"/>
      <c r="O876" s="208"/>
      <c r="P876" s="208"/>
      <c r="Q876" s="208"/>
      <c r="R876" s="206"/>
      <c r="S876" s="206"/>
      <c r="T876" s="206"/>
      <c r="U876" s="206"/>
      <c r="V876" s="206"/>
      <c r="W876" s="206"/>
      <c r="X876" s="207"/>
      <c r="Y876" s="207"/>
      <c r="Z876" s="207"/>
      <c r="AA876" s="206"/>
      <c r="AB876" s="206"/>
      <c r="AC876" s="206"/>
      <c r="AD876" s="206"/>
      <c r="AE876" s="206"/>
      <c r="AF876" s="206"/>
      <c r="AG876" s="206"/>
      <c r="AH876" s="206"/>
      <c r="AI876" s="206"/>
      <c r="AJ876" s="206"/>
      <c r="AK876" s="206"/>
      <c r="AL876" s="206"/>
      <c r="AM876" s="206"/>
      <c r="AN876" s="206"/>
      <c r="AO876" s="206"/>
      <c r="AP876" s="206"/>
      <c r="AQ876" s="207"/>
      <c r="AR876" s="206"/>
      <c r="AS876" s="206"/>
      <c r="AT876" s="206"/>
      <c r="AU876" s="206"/>
      <c r="AV876" s="206"/>
      <c r="AW876" s="207"/>
      <c r="AX876" s="207"/>
      <c r="AY876" s="207"/>
      <c r="AZ876" s="207"/>
    </row>
    <row r="877" spans="1:52" ht="12.75" x14ac:dyDescent="0.2">
      <c r="A877" s="206"/>
      <c r="B877" s="206"/>
      <c r="C877" s="206"/>
      <c r="D877" s="206"/>
      <c r="E877" s="206"/>
      <c r="F877" s="206"/>
      <c r="G877" s="206"/>
      <c r="H877" s="206"/>
      <c r="I877" s="206"/>
      <c r="J877" s="206"/>
      <c r="K877" s="206"/>
      <c r="L877" s="206"/>
      <c r="M877" s="207"/>
      <c r="N877" s="207"/>
      <c r="O877" s="208"/>
      <c r="P877" s="208"/>
      <c r="Q877" s="208"/>
      <c r="R877" s="206"/>
      <c r="S877" s="206"/>
      <c r="T877" s="206"/>
      <c r="U877" s="206"/>
      <c r="V877" s="206"/>
      <c r="W877" s="206"/>
      <c r="X877" s="207"/>
      <c r="Y877" s="207"/>
      <c r="Z877" s="207"/>
      <c r="AA877" s="206"/>
      <c r="AB877" s="206"/>
      <c r="AC877" s="206"/>
      <c r="AD877" s="206"/>
      <c r="AE877" s="206"/>
      <c r="AF877" s="206"/>
      <c r="AG877" s="206"/>
      <c r="AH877" s="206"/>
      <c r="AI877" s="206"/>
      <c r="AJ877" s="206"/>
      <c r="AK877" s="206"/>
      <c r="AL877" s="206"/>
      <c r="AM877" s="206"/>
      <c r="AN877" s="206"/>
      <c r="AO877" s="206"/>
      <c r="AP877" s="206"/>
      <c r="AQ877" s="207"/>
      <c r="AR877" s="206"/>
      <c r="AS877" s="206"/>
      <c r="AT877" s="206"/>
      <c r="AU877" s="206"/>
      <c r="AV877" s="206"/>
      <c r="AW877" s="207"/>
      <c r="AX877" s="207"/>
      <c r="AY877" s="207"/>
      <c r="AZ877" s="207"/>
    </row>
    <row r="878" spans="1:52" ht="12.75" x14ac:dyDescent="0.2">
      <c r="A878" s="206"/>
      <c r="B878" s="206"/>
      <c r="C878" s="206"/>
      <c r="D878" s="206"/>
      <c r="E878" s="206"/>
      <c r="F878" s="206"/>
      <c r="G878" s="206"/>
      <c r="H878" s="206"/>
      <c r="I878" s="206"/>
      <c r="J878" s="206"/>
      <c r="K878" s="206"/>
      <c r="L878" s="206"/>
      <c r="M878" s="207"/>
      <c r="N878" s="207"/>
      <c r="O878" s="208"/>
      <c r="P878" s="208"/>
      <c r="Q878" s="208"/>
      <c r="R878" s="206"/>
      <c r="S878" s="206"/>
      <c r="T878" s="206"/>
      <c r="U878" s="206"/>
      <c r="V878" s="206"/>
      <c r="W878" s="206"/>
      <c r="X878" s="207"/>
      <c r="Y878" s="207"/>
      <c r="Z878" s="207"/>
      <c r="AA878" s="206"/>
      <c r="AB878" s="206"/>
      <c r="AC878" s="206"/>
      <c r="AD878" s="206"/>
      <c r="AE878" s="206"/>
      <c r="AF878" s="206"/>
      <c r="AG878" s="206"/>
      <c r="AH878" s="206"/>
      <c r="AI878" s="206"/>
      <c r="AJ878" s="206"/>
      <c r="AK878" s="206"/>
      <c r="AL878" s="206"/>
      <c r="AM878" s="206"/>
      <c r="AN878" s="206"/>
      <c r="AO878" s="206"/>
      <c r="AP878" s="206"/>
      <c r="AQ878" s="207"/>
      <c r="AR878" s="206"/>
      <c r="AS878" s="206"/>
      <c r="AT878" s="206"/>
      <c r="AU878" s="206"/>
      <c r="AV878" s="206"/>
      <c r="AW878" s="207"/>
      <c r="AX878" s="207"/>
      <c r="AY878" s="207"/>
      <c r="AZ878" s="207"/>
    </row>
    <row r="879" spans="1:52" ht="12.75" x14ac:dyDescent="0.2">
      <c r="A879" s="206"/>
      <c r="B879" s="206"/>
      <c r="C879" s="206"/>
      <c r="D879" s="206"/>
      <c r="E879" s="206"/>
      <c r="F879" s="206"/>
      <c r="G879" s="206"/>
      <c r="H879" s="206"/>
      <c r="I879" s="206"/>
      <c r="J879" s="206"/>
      <c r="K879" s="206"/>
      <c r="L879" s="206"/>
      <c r="M879" s="207"/>
      <c r="N879" s="207"/>
      <c r="O879" s="208"/>
      <c r="P879" s="208"/>
      <c r="Q879" s="208"/>
      <c r="R879" s="206"/>
      <c r="S879" s="206"/>
      <c r="T879" s="206"/>
      <c r="U879" s="206"/>
      <c r="V879" s="206"/>
      <c r="W879" s="206"/>
      <c r="X879" s="207"/>
      <c r="Y879" s="207"/>
      <c r="Z879" s="207"/>
      <c r="AA879" s="206"/>
      <c r="AB879" s="206"/>
      <c r="AC879" s="206"/>
      <c r="AD879" s="206"/>
      <c r="AE879" s="206"/>
      <c r="AF879" s="206"/>
      <c r="AG879" s="206"/>
      <c r="AH879" s="206"/>
      <c r="AI879" s="206"/>
      <c r="AJ879" s="206"/>
      <c r="AK879" s="206"/>
      <c r="AL879" s="206"/>
      <c r="AM879" s="206"/>
      <c r="AN879" s="206"/>
      <c r="AO879" s="206"/>
      <c r="AP879" s="206"/>
      <c r="AQ879" s="207"/>
      <c r="AR879" s="206"/>
      <c r="AS879" s="206"/>
      <c r="AT879" s="206"/>
      <c r="AU879" s="206"/>
      <c r="AV879" s="206"/>
      <c r="AW879" s="207"/>
      <c r="AX879" s="207"/>
      <c r="AY879" s="207"/>
      <c r="AZ879" s="207"/>
    </row>
    <row r="880" spans="1:52" ht="12.75" x14ac:dyDescent="0.2">
      <c r="A880" s="206"/>
      <c r="B880" s="206"/>
      <c r="C880" s="206"/>
      <c r="D880" s="206"/>
      <c r="E880" s="206"/>
      <c r="F880" s="206"/>
      <c r="G880" s="206"/>
      <c r="H880" s="206"/>
      <c r="I880" s="206"/>
      <c r="J880" s="206"/>
      <c r="K880" s="206"/>
      <c r="L880" s="206"/>
      <c r="M880" s="207"/>
      <c r="N880" s="207"/>
      <c r="O880" s="208"/>
      <c r="P880" s="208"/>
      <c r="Q880" s="208"/>
      <c r="R880" s="206"/>
      <c r="S880" s="206"/>
      <c r="T880" s="206"/>
      <c r="U880" s="206"/>
      <c r="V880" s="206"/>
      <c r="W880" s="206"/>
      <c r="X880" s="207"/>
      <c r="Y880" s="207"/>
      <c r="Z880" s="207"/>
      <c r="AA880" s="206"/>
      <c r="AB880" s="206"/>
      <c r="AC880" s="206"/>
      <c r="AD880" s="206"/>
      <c r="AE880" s="206"/>
      <c r="AF880" s="206"/>
      <c r="AG880" s="206"/>
      <c r="AH880" s="206"/>
      <c r="AI880" s="206"/>
      <c r="AJ880" s="206"/>
      <c r="AK880" s="206"/>
      <c r="AL880" s="206"/>
      <c r="AM880" s="206"/>
      <c r="AN880" s="206"/>
      <c r="AO880" s="206"/>
      <c r="AP880" s="206"/>
      <c r="AQ880" s="207"/>
      <c r="AR880" s="206"/>
      <c r="AS880" s="206"/>
      <c r="AT880" s="206"/>
      <c r="AU880" s="206"/>
      <c r="AV880" s="206"/>
      <c r="AW880" s="207"/>
      <c r="AX880" s="207"/>
      <c r="AY880" s="207"/>
      <c r="AZ880" s="207"/>
    </row>
    <row r="881" spans="1:52" ht="12.75" x14ac:dyDescent="0.2">
      <c r="A881" s="206"/>
      <c r="B881" s="206"/>
      <c r="C881" s="206"/>
      <c r="D881" s="206"/>
      <c r="E881" s="206"/>
      <c r="F881" s="206"/>
      <c r="G881" s="206"/>
      <c r="H881" s="206"/>
      <c r="I881" s="206"/>
      <c r="J881" s="206"/>
      <c r="K881" s="206"/>
      <c r="L881" s="206"/>
      <c r="M881" s="207"/>
      <c r="N881" s="207"/>
      <c r="O881" s="208"/>
      <c r="P881" s="208"/>
      <c r="Q881" s="208"/>
      <c r="R881" s="206"/>
      <c r="S881" s="206"/>
      <c r="T881" s="206"/>
      <c r="U881" s="206"/>
      <c r="V881" s="206"/>
      <c r="W881" s="206"/>
      <c r="X881" s="207"/>
      <c r="Y881" s="207"/>
      <c r="Z881" s="207"/>
      <c r="AA881" s="206"/>
      <c r="AB881" s="206"/>
      <c r="AC881" s="206"/>
      <c r="AD881" s="206"/>
      <c r="AE881" s="206"/>
      <c r="AF881" s="206"/>
      <c r="AG881" s="206"/>
      <c r="AH881" s="206"/>
      <c r="AI881" s="206"/>
      <c r="AJ881" s="206"/>
      <c r="AK881" s="206"/>
      <c r="AL881" s="206"/>
      <c r="AM881" s="206"/>
      <c r="AN881" s="206"/>
      <c r="AO881" s="206"/>
      <c r="AP881" s="206"/>
      <c r="AQ881" s="207"/>
      <c r="AR881" s="206"/>
      <c r="AS881" s="206"/>
      <c r="AT881" s="206"/>
      <c r="AU881" s="206"/>
      <c r="AV881" s="206"/>
      <c r="AW881" s="207"/>
      <c r="AX881" s="207"/>
      <c r="AY881" s="207"/>
      <c r="AZ881" s="207"/>
    </row>
    <row r="882" spans="1:52" ht="12.75" x14ac:dyDescent="0.2">
      <c r="A882" s="206"/>
      <c r="B882" s="206"/>
      <c r="C882" s="206"/>
      <c r="D882" s="206"/>
      <c r="E882" s="206"/>
      <c r="F882" s="206"/>
      <c r="G882" s="206"/>
      <c r="H882" s="206"/>
      <c r="I882" s="206"/>
      <c r="J882" s="206"/>
      <c r="K882" s="206"/>
      <c r="L882" s="206"/>
      <c r="M882" s="207"/>
      <c r="N882" s="207"/>
      <c r="O882" s="208"/>
      <c r="P882" s="208"/>
      <c r="Q882" s="208"/>
      <c r="R882" s="206"/>
      <c r="S882" s="206"/>
      <c r="T882" s="206"/>
      <c r="U882" s="206"/>
      <c r="V882" s="206"/>
      <c r="W882" s="206"/>
      <c r="X882" s="207"/>
      <c r="Y882" s="207"/>
      <c r="Z882" s="207"/>
      <c r="AA882" s="206"/>
      <c r="AB882" s="206"/>
      <c r="AC882" s="206"/>
      <c r="AD882" s="206"/>
      <c r="AE882" s="206"/>
      <c r="AF882" s="206"/>
      <c r="AG882" s="206"/>
      <c r="AH882" s="206"/>
      <c r="AI882" s="206"/>
      <c r="AJ882" s="206"/>
      <c r="AK882" s="206"/>
      <c r="AL882" s="206"/>
      <c r="AM882" s="206"/>
      <c r="AN882" s="206"/>
      <c r="AO882" s="206"/>
      <c r="AP882" s="206"/>
      <c r="AQ882" s="207"/>
      <c r="AR882" s="206"/>
      <c r="AS882" s="206"/>
      <c r="AT882" s="206"/>
      <c r="AU882" s="206"/>
      <c r="AV882" s="206"/>
      <c r="AW882" s="207"/>
      <c r="AX882" s="207"/>
      <c r="AY882" s="207"/>
      <c r="AZ882" s="207"/>
    </row>
    <row r="883" spans="1:52" ht="12.75" x14ac:dyDescent="0.2">
      <c r="A883" s="206"/>
      <c r="B883" s="206"/>
      <c r="C883" s="206"/>
      <c r="D883" s="206"/>
      <c r="E883" s="206"/>
      <c r="F883" s="206"/>
      <c r="G883" s="206"/>
      <c r="H883" s="206"/>
      <c r="I883" s="206"/>
      <c r="J883" s="206"/>
      <c r="K883" s="206"/>
      <c r="L883" s="206"/>
      <c r="M883" s="207"/>
      <c r="N883" s="207"/>
      <c r="O883" s="208"/>
      <c r="P883" s="208"/>
      <c r="Q883" s="208"/>
      <c r="R883" s="206"/>
      <c r="S883" s="206"/>
      <c r="T883" s="206"/>
      <c r="U883" s="206"/>
      <c r="V883" s="206"/>
      <c r="W883" s="206"/>
      <c r="X883" s="207"/>
      <c r="Y883" s="207"/>
      <c r="Z883" s="207"/>
      <c r="AA883" s="206"/>
      <c r="AB883" s="206"/>
      <c r="AC883" s="206"/>
      <c r="AD883" s="206"/>
      <c r="AE883" s="206"/>
      <c r="AF883" s="206"/>
      <c r="AG883" s="206"/>
      <c r="AH883" s="206"/>
      <c r="AI883" s="206"/>
      <c r="AJ883" s="206"/>
      <c r="AK883" s="206"/>
      <c r="AL883" s="206"/>
      <c r="AM883" s="206"/>
      <c r="AN883" s="206"/>
      <c r="AO883" s="206"/>
      <c r="AP883" s="206"/>
      <c r="AQ883" s="207"/>
      <c r="AR883" s="206"/>
      <c r="AS883" s="206"/>
      <c r="AT883" s="206"/>
      <c r="AU883" s="206"/>
      <c r="AV883" s="206"/>
      <c r="AW883" s="207"/>
      <c r="AX883" s="207"/>
      <c r="AY883" s="207"/>
      <c r="AZ883" s="207"/>
    </row>
    <row r="884" spans="1:52" ht="12.75" x14ac:dyDescent="0.2">
      <c r="A884" s="206"/>
      <c r="B884" s="206"/>
      <c r="C884" s="206"/>
      <c r="D884" s="206"/>
      <c r="E884" s="206"/>
      <c r="F884" s="206"/>
      <c r="G884" s="206"/>
      <c r="H884" s="206"/>
      <c r="I884" s="206"/>
      <c r="J884" s="206"/>
      <c r="K884" s="206"/>
      <c r="L884" s="206"/>
      <c r="M884" s="207"/>
      <c r="N884" s="207"/>
      <c r="O884" s="208"/>
      <c r="P884" s="208"/>
      <c r="Q884" s="208"/>
      <c r="R884" s="206"/>
      <c r="S884" s="206"/>
      <c r="T884" s="206"/>
      <c r="U884" s="206"/>
      <c r="V884" s="206"/>
      <c r="W884" s="206"/>
      <c r="X884" s="207"/>
      <c r="Y884" s="207"/>
      <c r="Z884" s="207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7"/>
      <c r="AR884" s="206"/>
      <c r="AS884" s="206"/>
      <c r="AT884" s="206"/>
      <c r="AU884" s="206"/>
      <c r="AV884" s="206"/>
      <c r="AW884" s="207"/>
      <c r="AX884" s="207"/>
      <c r="AY884" s="207"/>
      <c r="AZ884" s="207"/>
    </row>
    <row r="885" spans="1:52" ht="12.75" x14ac:dyDescent="0.2">
      <c r="A885" s="206"/>
      <c r="B885" s="206"/>
      <c r="C885" s="206"/>
      <c r="D885" s="206"/>
      <c r="E885" s="206"/>
      <c r="F885" s="206"/>
      <c r="G885" s="206"/>
      <c r="H885" s="206"/>
      <c r="I885" s="206"/>
      <c r="J885" s="206"/>
      <c r="K885" s="206"/>
      <c r="L885" s="206"/>
      <c r="M885" s="207"/>
      <c r="N885" s="207"/>
      <c r="O885" s="208"/>
      <c r="P885" s="208"/>
      <c r="Q885" s="208"/>
      <c r="R885" s="206"/>
      <c r="S885" s="206"/>
      <c r="T885" s="206"/>
      <c r="U885" s="206"/>
      <c r="V885" s="206"/>
      <c r="W885" s="206"/>
      <c r="X885" s="207"/>
      <c r="Y885" s="207"/>
      <c r="Z885" s="207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7"/>
      <c r="AR885" s="206"/>
      <c r="AS885" s="206"/>
      <c r="AT885" s="206"/>
      <c r="AU885" s="206"/>
      <c r="AV885" s="206"/>
      <c r="AW885" s="207"/>
      <c r="AX885" s="207"/>
      <c r="AY885" s="207"/>
      <c r="AZ885" s="207"/>
    </row>
    <row r="886" spans="1:52" ht="12.75" x14ac:dyDescent="0.2">
      <c r="A886" s="206"/>
      <c r="B886" s="206"/>
      <c r="C886" s="206"/>
      <c r="D886" s="206"/>
      <c r="E886" s="206"/>
      <c r="F886" s="206"/>
      <c r="G886" s="206"/>
      <c r="H886" s="206"/>
      <c r="I886" s="206"/>
      <c r="J886" s="206"/>
      <c r="K886" s="206"/>
      <c r="L886" s="206"/>
      <c r="M886" s="207"/>
      <c r="N886" s="207"/>
      <c r="O886" s="208"/>
      <c r="P886" s="208"/>
      <c r="Q886" s="208"/>
      <c r="R886" s="206"/>
      <c r="S886" s="206"/>
      <c r="T886" s="206"/>
      <c r="U886" s="206"/>
      <c r="V886" s="206"/>
      <c r="W886" s="206"/>
      <c r="X886" s="207"/>
      <c r="Y886" s="207"/>
      <c r="Z886" s="207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7"/>
      <c r="AR886" s="206"/>
      <c r="AS886" s="206"/>
      <c r="AT886" s="206"/>
      <c r="AU886" s="206"/>
      <c r="AV886" s="206"/>
      <c r="AW886" s="207"/>
      <c r="AX886" s="207"/>
      <c r="AY886" s="207"/>
      <c r="AZ886" s="207"/>
    </row>
    <row r="887" spans="1:52" ht="12.75" x14ac:dyDescent="0.2">
      <c r="A887" s="206"/>
      <c r="B887" s="206"/>
      <c r="C887" s="206"/>
      <c r="D887" s="206"/>
      <c r="E887" s="206"/>
      <c r="F887" s="206"/>
      <c r="G887" s="206"/>
      <c r="H887" s="206"/>
      <c r="I887" s="206"/>
      <c r="J887" s="206"/>
      <c r="K887" s="206"/>
      <c r="L887" s="206"/>
      <c r="M887" s="207"/>
      <c r="N887" s="207"/>
      <c r="O887" s="208"/>
      <c r="P887" s="208"/>
      <c r="Q887" s="208"/>
      <c r="R887" s="206"/>
      <c r="S887" s="206"/>
      <c r="T887" s="206"/>
      <c r="U887" s="206"/>
      <c r="V887" s="206"/>
      <c r="W887" s="206"/>
      <c r="X887" s="207"/>
      <c r="Y887" s="207"/>
      <c r="Z887" s="207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7"/>
      <c r="AR887" s="206"/>
      <c r="AS887" s="206"/>
      <c r="AT887" s="206"/>
      <c r="AU887" s="206"/>
      <c r="AV887" s="206"/>
      <c r="AW887" s="207"/>
      <c r="AX887" s="207"/>
      <c r="AY887" s="207"/>
      <c r="AZ887" s="207"/>
    </row>
    <row r="888" spans="1:52" ht="12.75" x14ac:dyDescent="0.2">
      <c r="A888" s="206"/>
      <c r="B888" s="206"/>
      <c r="C888" s="206"/>
      <c r="D888" s="206"/>
      <c r="E888" s="206"/>
      <c r="F888" s="206"/>
      <c r="G888" s="206"/>
      <c r="H888" s="206"/>
      <c r="I888" s="206"/>
      <c r="J888" s="206"/>
      <c r="K888" s="206"/>
      <c r="L888" s="206"/>
      <c r="M888" s="207"/>
      <c r="N888" s="207"/>
      <c r="O888" s="208"/>
      <c r="P888" s="208"/>
      <c r="Q888" s="208"/>
      <c r="R888" s="206"/>
      <c r="S888" s="206"/>
      <c r="T888" s="206"/>
      <c r="U888" s="206"/>
      <c r="V888" s="206"/>
      <c r="W888" s="206"/>
      <c r="X888" s="207"/>
      <c r="Y888" s="207"/>
      <c r="Z888" s="207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7"/>
      <c r="AR888" s="206"/>
      <c r="AS888" s="206"/>
      <c r="AT888" s="206"/>
      <c r="AU888" s="206"/>
      <c r="AV888" s="206"/>
      <c r="AW888" s="207"/>
      <c r="AX888" s="207"/>
      <c r="AY888" s="207"/>
      <c r="AZ888" s="207"/>
    </row>
    <row r="889" spans="1:52" ht="12.75" x14ac:dyDescent="0.2">
      <c r="A889" s="206"/>
      <c r="B889" s="206"/>
      <c r="C889" s="206"/>
      <c r="D889" s="206"/>
      <c r="E889" s="206"/>
      <c r="F889" s="206"/>
      <c r="G889" s="206"/>
      <c r="H889" s="206"/>
      <c r="I889" s="206"/>
      <c r="J889" s="206"/>
      <c r="K889" s="206"/>
      <c r="L889" s="206"/>
      <c r="M889" s="207"/>
      <c r="N889" s="207"/>
      <c r="O889" s="208"/>
      <c r="P889" s="208"/>
      <c r="Q889" s="208"/>
      <c r="R889" s="206"/>
      <c r="S889" s="206"/>
      <c r="T889" s="206"/>
      <c r="U889" s="206"/>
      <c r="V889" s="206"/>
      <c r="W889" s="206"/>
      <c r="X889" s="207"/>
      <c r="Y889" s="207"/>
      <c r="Z889" s="207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7"/>
      <c r="AR889" s="206"/>
      <c r="AS889" s="206"/>
      <c r="AT889" s="206"/>
      <c r="AU889" s="206"/>
      <c r="AV889" s="206"/>
      <c r="AW889" s="207"/>
      <c r="AX889" s="207"/>
      <c r="AY889" s="207"/>
      <c r="AZ889" s="207"/>
    </row>
    <row r="890" spans="1:52" ht="12.75" x14ac:dyDescent="0.2">
      <c r="A890" s="206"/>
      <c r="B890" s="206"/>
      <c r="C890" s="206"/>
      <c r="D890" s="206"/>
      <c r="E890" s="206"/>
      <c r="F890" s="206"/>
      <c r="G890" s="206"/>
      <c r="H890" s="206"/>
      <c r="I890" s="206"/>
      <c r="J890" s="206"/>
      <c r="K890" s="206"/>
      <c r="L890" s="206"/>
      <c r="M890" s="207"/>
      <c r="N890" s="207"/>
      <c r="O890" s="208"/>
      <c r="P890" s="208"/>
      <c r="Q890" s="208"/>
      <c r="R890" s="206"/>
      <c r="S890" s="206"/>
      <c r="T890" s="206"/>
      <c r="U890" s="206"/>
      <c r="V890" s="206"/>
      <c r="W890" s="206"/>
      <c r="X890" s="207"/>
      <c r="Y890" s="207"/>
      <c r="Z890" s="207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7"/>
      <c r="AR890" s="206"/>
      <c r="AS890" s="206"/>
      <c r="AT890" s="206"/>
      <c r="AU890" s="206"/>
      <c r="AV890" s="206"/>
      <c r="AW890" s="207"/>
      <c r="AX890" s="207"/>
      <c r="AY890" s="207"/>
      <c r="AZ890" s="207"/>
    </row>
    <row r="891" spans="1:52" ht="12.75" x14ac:dyDescent="0.2">
      <c r="A891" s="206"/>
      <c r="B891" s="206"/>
      <c r="C891" s="206"/>
      <c r="D891" s="206"/>
      <c r="E891" s="206"/>
      <c r="F891" s="206"/>
      <c r="G891" s="206"/>
      <c r="H891" s="206"/>
      <c r="I891" s="206"/>
      <c r="J891" s="206"/>
      <c r="K891" s="206"/>
      <c r="L891" s="206"/>
      <c r="M891" s="207"/>
      <c r="N891" s="207"/>
      <c r="O891" s="208"/>
      <c r="P891" s="208"/>
      <c r="Q891" s="208"/>
      <c r="R891" s="206"/>
      <c r="S891" s="206"/>
      <c r="T891" s="206"/>
      <c r="U891" s="206"/>
      <c r="V891" s="206"/>
      <c r="W891" s="206"/>
      <c r="X891" s="207"/>
      <c r="Y891" s="207"/>
      <c r="Z891" s="207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7"/>
      <c r="AR891" s="206"/>
      <c r="AS891" s="206"/>
      <c r="AT891" s="206"/>
      <c r="AU891" s="206"/>
      <c r="AV891" s="206"/>
      <c r="AW891" s="207"/>
      <c r="AX891" s="207"/>
      <c r="AY891" s="207"/>
      <c r="AZ891" s="207"/>
    </row>
    <row r="892" spans="1:52" ht="12.75" x14ac:dyDescent="0.2">
      <c r="A892" s="206"/>
      <c r="B892" s="206"/>
      <c r="C892" s="206"/>
      <c r="D892" s="206"/>
      <c r="E892" s="206"/>
      <c r="F892" s="206"/>
      <c r="G892" s="206"/>
      <c r="H892" s="206"/>
      <c r="I892" s="206"/>
      <c r="J892" s="206"/>
      <c r="K892" s="206"/>
      <c r="L892" s="206"/>
      <c r="M892" s="207"/>
      <c r="N892" s="207"/>
      <c r="O892" s="208"/>
      <c r="P892" s="208"/>
      <c r="Q892" s="208"/>
      <c r="R892" s="206"/>
      <c r="S892" s="206"/>
      <c r="T892" s="206"/>
      <c r="U892" s="206"/>
      <c r="V892" s="206"/>
      <c r="W892" s="206"/>
      <c r="X892" s="207"/>
      <c r="Y892" s="207"/>
      <c r="Z892" s="207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7"/>
      <c r="AR892" s="206"/>
      <c r="AS892" s="206"/>
      <c r="AT892" s="206"/>
      <c r="AU892" s="206"/>
      <c r="AV892" s="206"/>
      <c r="AW892" s="207"/>
      <c r="AX892" s="207"/>
      <c r="AY892" s="207"/>
      <c r="AZ892" s="207"/>
    </row>
    <row r="893" spans="1:52" ht="12.75" x14ac:dyDescent="0.2">
      <c r="A893" s="206"/>
      <c r="B893" s="206"/>
      <c r="C893" s="206"/>
      <c r="D893" s="206"/>
      <c r="E893" s="206"/>
      <c r="F893" s="206"/>
      <c r="G893" s="206"/>
      <c r="H893" s="206"/>
      <c r="I893" s="206"/>
      <c r="J893" s="206"/>
      <c r="K893" s="206"/>
      <c r="L893" s="206"/>
      <c r="M893" s="207"/>
      <c r="N893" s="207"/>
      <c r="O893" s="208"/>
      <c r="P893" s="208"/>
      <c r="Q893" s="208"/>
      <c r="R893" s="206"/>
      <c r="S893" s="206"/>
      <c r="T893" s="206"/>
      <c r="U893" s="206"/>
      <c r="V893" s="206"/>
      <c r="W893" s="206"/>
      <c r="X893" s="207"/>
      <c r="Y893" s="207"/>
      <c r="Z893" s="207"/>
      <c r="AA893" s="206"/>
      <c r="AB893" s="206"/>
      <c r="AC893" s="206"/>
      <c r="AD893" s="206"/>
      <c r="AE893" s="206"/>
      <c r="AF893" s="206"/>
      <c r="AG893" s="206"/>
      <c r="AH893" s="206"/>
      <c r="AI893" s="206"/>
      <c r="AJ893" s="206"/>
      <c r="AK893" s="206"/>
      <c r="AL893" s="206"/>
      <c r="AM893" s="206"/>
      <c r="AN893" s="206"/>
      <c r="AO893" s="206"/>
      <c r="AP893" s="206"/>
      <c r="AQ893" s="207"/>
      <c r="AR893" s="206"/>
      <c r="AS893" s="206"/>
      <c r="AT893" s="206"/>
      <c r="AU893" s="206"/>
      <c r="AV893" s="206"/>
      <c r="AW893" s="207"/>
      <c r="AX893" s="207"/>
      <c r="AY893" s="207"/>
      <c r="AZ893" s="207"/>
    </row>
    <row r="894" spans="1:52" ht="12.75" x14ac:dyDescent="0.2">
      <c r="A894" s="206"/>
      <c r="B894" s="206"/>
      <c r="C894" s="206"/>
      <c r="D894" s="206"/>
      <c r="E894" s="206"/>
      <c r="F894" s="206"/>
      <c r="G894" s="206"/>
      <c r="H894" s="206"/>
      <c r="I894" s="206"/>
      <c r="J894" s="206"/>
      <c r="K894" s="206"/>
      <c r="L894" s="206"/>
      <c r="M894" s="207"/>
      <c r="N894" s="207"/>
      <c r="O894" s="208"/>
      <c r="P894" s="208"/>
      <c r="Q894" s="208"/>
      <c r="R894" s="206"/>
      <c r="S894" s="206"/>
      <c r="T894" s="206"/>
      <c r="U894" s="206"/>
      <c r="V894" s="206"/>
      <c r="W894" s="206"/>
      <c r="X894" s="207"/>
      <c r="Y894" s="207"/>
      <c r="Z894" s="207"/>
      <c r="AA894" s="206"/>
      <c r="AB894" s="206"/>
      <c r="AC894" s="206"/>
      <c r="AD894" s="206"/>
      <c r="AE894" s="206"/>
      <c r="AF894" s="206"/>
      <c r="AG894" s="206"/>
      <c r="AH894" s="206"/>
      <c r="AI894" s="206"/>
      <c r="AJ894" s="206"/>
      <c r="AK894" s="206"/>
      <c r="AL894" s="206"/>
      <c r="AM894" s="206"/>
      <c r="AN894" s="206"/>
      <c r="AO894" s="206"/>
      <c r="AP894" s="206"/>
      <c r="AQ894" s="207"/>
      <c r="AR894" s="206"/>
      <c r="AS894" s="206"/>
      <c r="AT894" s="206"/>
      <c r="AU894" s="206"/>
      <c r="AV894" s="206"/>
      <c r="AW894" s="207"/>
      <c r="AX894" s="207"/>
      <c r="AY894" s="207"/>
      <c r="AZ894" s="207"/>
    </row>
    <row r="895" spans="1:52" ht="12.75" x14ac:dyDescent="0.2">
      <c r="A895" s="206"/>
      <c r="B895" s="206"/>
      <c r="C895" s="206"/>
      <c r="D895" s="206"/>
      <c r="E895" s="206"/>
      <c r="F895" s="206"/>
      <c r="G895" s="206"/>
      <c r="H895" s="206"/>
      <c r="I895" s="206"/>
      <c r="J895" s="206"/>
      <c r="K895" s="206"/>
      <c r="L895" s="206"/>
      <c r="M895" s="207"/>
      <c r="N895" s="207"/>
      <c r="O895" s="208"/>
      <c r="P895" s="208"/>
      <c r="Q895" s="208"/>
      <c r="R895" s="206"/>
      <c r="S895" s="206"/>
      <c r="T895" s="206"/>
      <c r="U895" s="206"/>
      <c r="V895" s="206"/>
      <c r="W895" s="206"/>
      <c r="X895" s="207"/>
      <c r="Y895" s="207"/>
      <c r="Z895" s="207"/>
      <c r="AA895" s="206"/>
      <c r="AB895" s="206"/>
      <c r="AC895" s="206"/>
      <c r="AD895" s="206"/>
      <c r="AE895" s="206"/>
      <c r="AF895" s="206"/>
      <c r="AG895" s="206"/>
      <c r="AH895" s="206"/>
      <c r="AI895" s="206"/>
      <c r="AJ895" s="206"/>
      <c r="AK895" s="206"/>
      <c r="AL895" s="206"/>
      <c r="AM895" s="206"/>
      <c r="AN895" s="206"/>
      <c r="AO895" s="206"/>
      <c r="AP895" s="206"/>
      <c r="AQ895" s="207"/>
      <c r="AR895" s="206"/>
      <c r="AS895" s="206"/>
      <c r="AT895" s="206"/>
      <c r="AU895" s="206"/>
      <c r="AV895" s="206"/>
      <c r="AW895" s="207"/>
      <c r="AX895" s="207"/>
      <c r="AY895" s="207"/>
      <c r="AZ895" s="207"/>
    </row>
    <row r="896" spans="1:52" ht="12.75" x14ac:dyDescent="0.2">
      <c r="A896" s="206"/>
      <c r="B896" s="206"/>
      <c r="C896" s="206"/>
      <c r="D896" s="206"/>
      <c r="E896" s="206"/>
      <c r="F896" s="206"/>
      <c r="G896" s="206"/>
      <c r="H896" s="206"/>
      <c r="I896" s="206"/>
      <c r="J896" s="206"/>
      <c r="K896" s="206"/>
      <c r="L896" s="206"/>
      <c r="M896" s="207"/>
      <c r="N896" s="207"/>
      <c r="O896" s="208"/>
      <c r="P896" s="208"/>
      <c r="Q896" s="208"/>
      <c r="R896" s="206"/>
      <c r="S896" s="206"/>
      <c r="T896" s="206"/>
      <c r="U896" s="206"/>
      <c r="V896" s="206"/>
      <c r="W896" s="206"/>
      <c r="X896" s="207"/>
      <c r="Y896" s="207"/>
      <c r="Z896" s="207"/>
      <c r="AA896" s="206"/>
      <c r="AB896" s="206"/>
      <c r="AC896" s="206"/>
      <c r="AD896" s="206"/>
      <c r="AE896" s="206"/>
      <c r="AF896" s="206"/>
      <c r="AG896" s="206"/>
      <c r="AH896" s="206"/>
      <c r="AI896" s="206"/>
      <c r="AJ896" s="206"/>
      <c r="AK896" s="206"/>
      <c r="AL896" s="206"/>
      <c r="AM896" s="206"/>
      <c r="AN896" s="206"/>
      <c r="AO896" s="206"/>
      <c r="AP896" s="206"/>
      <c r="AQ896" s="207"/>
      <c r="AR896" s="206"/>
      <c r="AS896" s="206"/>
      <c r="AT896" s="206"/>
      <c r="AU896" s="206"/>
      <c r="AV896" s="206"/>
      <c r="AW896" s="207"/>
      <c r="AX896" s="207"/>
      <c r="AY896" s="207"/>
      <c r="AZ896" s="207"/>
    </row>
    <row r="897" spans="1:52" ht="12.75" x14ac:dyDescent="0.2">
      <c r="A897" s="206"/>
      <c r="B897" s="206"/>
      <c r="C897" s="206"/>
      <c r="D897" s="206"/>
      <c r="E897" s="206"/>
      <c r="F897" s="206"/>
      <c r="G897" s="206"/>
      <c r="H897" s="206"/>
      <c r="I897" s="206"/>
      <c r="J897" s="206"/>
      <c r="K897" s="206"/>
      <c r="L897" s="206"/>
      <c r="M897" s="207"/>
      <c r="N897" s="207"/>
      <c r="O897" s="208"/>
      <c r="P897" s="208"/>
      <c r="Q897" s="208"/>
      <c r="R897" s="206"/>
      <c r="S897" s="206"/>
      <c r="T897" s="206"/>
      <c r="U897" s="206"/>
      <c r="V897" s="206"/>
      <c r="W897" s="206"/>
      <c r="X897" s="207"/>
      <c r="Y897" s="207"/>
      <c r="Z897" s="207"/>
      <c r="AA897" s="206"/>
      <c r="AB897" s="206"/>
      <c r="AC897" s="206"/>
      <c r="AD897" s="206"/>
      <c r="AE897" s="206"/>
      <c r="AF897" s="206"/>
      <c r="AG897" s="206"/>
      <c r="AH897" s="206"/>
      <c r="AI897" s="206"/>
      <c r="AJ897" s="206"/>
      <c r="AK897" s="206"/>
      <c r="AL897" s="206"/>
      <c r="AM897" s="206"/>
      <c r="AN897" s="206"/>
      <c r="AO897" s="206"/>
      <c r="AP897" s="206"/>
      <c r="AQ897" s="207"/>
      <c r="AR897" s="206"/>
      <c r="AS897" s="206"/>
      <c r="AT897" s="206"/>
      <c r="AU897" s="206"/>
      <c r="AV897" s="206"/>
      <c r="AW897" s="207"/>
      <c r="AX897" s="207"/>
      <c r="AY897" s="207"/>
      <c r="AZ897" s="207"/>
    </row>
    <row r="898" spans="1:52" ht="12.75" x14ac:dyDescent="0.2">
      <c r="A898" s="206"/>
      <c r="B898" s="206"/>
      <c r="C898" s="206"/>
      <c r="D898" s="206"/>
      <c r="E898" s="206"/>
      <c r="F898" s="206"/>
      <c r="G898" s="206"/>
      <c r="H898" s="206"/>
      <c r="I898" s="206"/>
      <c r="J898" s="206"/>
      <c r="K898" s="206"/>
      <c r="L898" s="206"/>
      <c r="M898" s="207"/>
      <c r="N898" s="207"/>
      <c r="O898" s="208"/>
      <c r="P898" s="208"/>
      <c r="Q898" s="208"/>
      <c r="R898" s="206"/>
      <c r="S898" s="206"/>
      <c r="T898" s="206"/>
      <c r="U898" s="206"/>
      <c r="V898" s="206"/>
      <c r="W898" s="206"/>
      <c r="X898" s="207"/>
      <c r="Y898" s="207"/>
      <c r="Z898" s="207"/>
      <c r="AA898" s="206"/>
      <c r="AB898" s="206"/>
      <c r="AC898" s="206"/>
      <c r="AD898" s="206"/>
      <c r="AE898" s="206"/>
      <c r="AF898" s="206"/>
      <c r="AG898" s="206"/>
      <c r="AH898" s="206"/>
      <c r="AI898" s="206"/>
      <c r="AJ898" s="206"/>
      <c r="AK898" s="206"/>
      <c r="AL898" s="206"/>
      <c r="AM898" s="206"/>
      <c r="AN898" s="206"/>
      <c r="AO898" s="206"/>
      <c r="AP898" s="206"/>
      <c r="AQ898" s="207"/>
      <c r="AR898" s="206"/>
      <c r="AS898" s="206"/>
      <c r="AT898" s="206"/>
      <c r="AU898" s="206"/>
      <c r="AV898" s="206"/>
      <c r="AW898" s="207"/>
      <c r="AX898" s="207"/>
      <c r="AY898" s="207"/>
      <c r="AZ898" s="207"/>
    </row>
    <row r="899" spans="1:52" ht="12.75" x14ac:dyDescent="0.2">
      <c r="A899" s="206"/>
      <c r="B899" s="206"/>
      <c r="C899" s="206"/>
      <c r="D899" s="206"/>
      <c r="E899" s="206"/>
      <c r="F899" s="206"/>
      <c r="G899" s="206"/>
      <c r="H899" s="206"/>
      <c r="I899" s="206"/>
      <c r="J899" s="206"/>
      <c r="K899" s="206"/>
      <c r="L899" s="206"/>
      <c r="M899" s="207"/>
      <c r="N899" s="207"/>
      <c r="O899" s="208"/>
      <c r="P899" s="208"/>
      <c r="Q899" s="208"/>
      <c r="R899" s="206"/>
      <c r="S899" s="206"/>
      <c r="T899" s="206"/>
      <c r="U899" s="206"/>
      <c r="V899" s="206"/>
      <c r="W899" s="206"/>
      <c r="X899" s="207"/>
      <c r="Y899" s="207"/>
      <c r="Z899" s="207"/>
      <c r="AA899" s="206"/>
      <c r="AB899" s="206"/>
      <c r="AC899" s="206"/>
      <c r="AD899" s="206"/>
      <c r="AE899" s="206"/>
      <c r="AF899" s="206"/>
      <c r="AG899" s="206"/>
      <c r="AH899" s="206"/>
      <c r="AI899" s="206"/>
      <c r="AJ899" s="206"/>
      <c r="AK899" s="206"/>
      <c r="AL899" s="206"/>
      <c r="AM899" s="206"/>
      <c r="AN899" s="206"/>
      <c r="AO899" s="206"/>
      <c r="AP899" s="206"/>
      <c r="AQ899" s="207"/>
      <c r="AR899" s="206"/>
      <c r="AS899" s="206"/>
      <c r="AT899" s="206"/>
      <c r="AU899" s="206"/>
      <c r="AV899" s="206"/>
      <c r="AW899" s="207"/>
      <c r="AX899" s="207"/>
      <c r="AY899" s="207"/>
      <c r="AZ899" s="207"/>
    </row>
    <row r="900" spans="1:52" ht="12.75" x14ac:dyDescent="0.2">
      <c r="A900" s="206"/>
      <c r="B900" s="206"/>
      <c r="C900" s="206"/>
      <c r="D900" s="206"/>
      <c r="E900" s="206"/>
      <c r="F900" s="206"/>
      <c r="G900" s="206"/>
      <c r="H900" s="206"/>
      <c r="I900" s="206"/>
      <c r="J900" s="206"/>
      <c r="K900" s="206"/>
      <c r="L900" s="206"/>
      <c r="M900" s="207"/>
      <c r="N900" s="207"/>
      <c r="O900" s="208"/>
      <c r="P900" s="208"/>
      <c r="Q900" s="208"/>
      <c r="R900" s="206"/>
      <c r="S900" s="206"/>
      <c r="T900" s="206"/>
      <c r="U900" s="206"/>
      <c r="V900" s="206"/>
      <c r="W900" s="206"/>
      <c r="X900" s="207"/>
      <c r="Y900" s="207"/>
      <c r="Z900" s="207"/>
      <c r="AA900" s="206"/>
      <c r="AB900" s="206"/>
      <c r="AC900" s="206"/>
      <c r="AD900" s="206"/>
      <c r="AE900" s="206"/>
      <c r="AF900" s="206"/>
      <c r="AG900" s="206"/>
      <c r="AH900" s="206"/>
      <c r="AI900" s="206"/>
      <c r="AJ900" s="206"/>
      <c r="AK900" s="206"/>
      <c r="AL900" s="206"/>
      <c r="AM900" s="206"/>
      <c r="AN900" s="206"/>
      <c r="AO900" s="206"/>
      <c r="AP900" s="206"/>
      <c r="AQ900" s="207"/>
      <c r="AR900" s="206"/>
      <c r="AS900" s="206"/>
      <c r="AT900" s="206"/>
      <c r="AU900" s="206"/>
      <c r="AV900" s="206"/>
      <c r="AW900" s="207"/>
      <c r="AX900" s="207"/>
      <c r="AY900" s="207"/>
      <c r="AZ900" s="207"/>
    </row>
    <row r="901" spans="1:52" ht="12.75" x14ac:dyDescent="0.2">
      <c r="A901" s="206"/>
      <c r="B901" s="206"/>
      <c r="C901" s="206"/>
      <c r="D901" s="206"/>
      <c r="E901" s="206"/>
      <c r="F901" s="206"/>
      <c r="G901" s="206"/>
      <c r="H901" s="206"/>
      <c r="I901" s="206"/>
      <c r="J901" s="206"/>
      <c r="K901" s="206"/>
      <c r="L901" s="206"/>
      <c r="M901" s="207"/>
      <c r="N901" s="207"/>
      <c r="O901" s="208"/>
      <c r="P901" s="208"/>
      <c r="Q901" s="208"/>
      <c r="R901" s="206"/>
      <c r="S901" s="206"/>
      <c r="T901" s="206"/>
      <c r="U901" s="206"/>
      <c r="V901" s="206"/>
      <c r="W901" s="206"/>
      <c r="X901" s="207"/>
      <c r="Y901" s="207"/>
      <c r="Z901" s="207"/>
      <c r="AA901" s="206"/>
      <c r="AB901" s="206"/>
      <c r="AC901" s="206"/>
      <c r="AD901" s="206"/>
      <c r="AE901" s="206"/>
      <c r="AF901" s="206"/>
      <c r="AG901" s="206"/>
      <c r="AH901" s="206"/>
      <c r="AI901" s="206"/>
      <c r="AJ901" s="206"/>
      <c r="AK901" s="206"/>
      <c r="AL901" s="206"/>
      <c r="AM901" s="206"/>
      <c r="AN901" s="206"/>
      <c r="AO901" s="206"/>
      <c r="AP901" s="206"/>
      <c r="AQ901" s="207"/>
      <c r="AR901" s="206"/>
      <c r="AS901" s="206"/>
      <c r="AT901" s="206"/>
      <c r="AU901" s="206"/>
      <c r="AV901" s="206"/>
      <c r="AW901" s="207"/>
      <c r="AX901" s="207"/>
      <c r="AY901" s="207"/>
      <c r="AZ901" s="207"/>
    </row>
    <row r="902" spans="1:52" ht="12.75" x14ac:dyDescent="0.2">
      <c r="A902" s="206"/>
      <c r="B902" s="206"/>
      <c r="C902" s="206"/>
      <c r="D902" s="206"/>
      <c r="E902" s="206"/>
      <c r="F902" s="206"/>
      <c r="G902" s="206"/>
      <c r="H902" s="206"/>
      <c r="I902" s="206"/>
      <c r="J902" s="206"/>
      <c r="K902" s="206"/>
      <c r="L902" s="206"/>
      <c r="M902" s="207"/>
      <c r="N902" s="207"/>
      <c r="O902" s="208"/>
      <c r="P902" s="208"/>
      <c r="Q902" s="208"/>
      <c r="R902" s="206"/>
      <c r="S902" s="206"/>
      <c r="T902" s="206"/>
      <c r="U902" s="206"/>
      <c r="V902" s="206"/>
      <c r="W902" s="206"/>
      <c r="X902" s="207"/>
      <c r="Y902" s="207"/>
      <c r="Z902" s="207"/>
      <c r="AA902" s="206"/>
      <c r="AB902" s="206"/>
      <c r="AC902" s="206"/>
      <c r="AD902" s="206"/>
      <c r="AE902" s="206"/>
      <c r="AF902" s="206"/>
      <c r="AG902" s="206"/>
      <c r="AH902" s="206"/>
      <c r="AI902" s="206"/>
      <c r="AJ902" s="206"/>
      <c r="AK902" s="206"/>
      <c r="AL902" s="206"/>
      <c r="AM902" s="206"/>
      <c r="AN902" s="206"/>
      <c r="AO902" s="206"/>
      <c r="AP902" s="206"/>
      <c r="AQ902" s="207"/>
      <c r="AR902" s="206"/>
      <c r="AS902" s="206"/>
      <c r="AT902" s="206"/>
      <c r="AU902" s="206"/>
      <c r="AV902" s="206"/>
      <c r="AW902" s="207"/>
      <c r="AX902" s="207"/>
      <c r="AY902" s="207"/>
      <c r="AZ902" s="207"/>
    </row>
    <row r="903" spans="1:52" ht="12.75" x14ac:dyDescent="0.2">
      <c r="A903" s="206"/>
      <c r="B903" s="206"/>
      <c r="C903" s="206"/>
      <c r="D903" s="206"/>
      <c r="E903" s="206"/>
      <c r="F903" s="206"/>
      <c r="G903" s="206"/>
      <c r="H903" s="206"/>
      <c r="I903" s="206"/>
      <c r="J903" s="206"/>
      <c r="K903" s="206"/>
      <c r="L903" s="206"/>
      <c r="M903" s="207"/>
      <c r="N903" s="207"/>
      <c r="O903" s="208"/>
      <c r="P903" s="208"/>
      <c r="Q903" s="208"/>
      <c r="R903" s="206"/>
      <c r="S903" s="206"/>
      <c r="T903" s="206"/>
      <c r="U903" s="206"/>
      <c r="V903" s="206"/>
      <c r="W903" s="206"/>
      <c r="X903" s="207"/>
      <c r="Y903" s="207"/>
      <c r="Z903" s="207"/>
      <c r="AA903" s="206"/>
      <c r="AB903" s="206"/>
      <c r="AC903" s="206"/>
      <c r="AD903" s="206"/>
      <c r="AE903" s="206"/>
      <c r="AF903" s="206"/>
      <c r="AG903" s="206"/>
      <c r="AH903" s="206"/>
      <c r="AI903" s="206"/>
      <c r="AJ903" s="206"/>
      <c r="AK903" s="206"/>
      <c r="AL903" s="206"/>
      <c r="AM903" s="206"/>
      <c r="AN903" s="206"/>
      <c r="AO903" s="206"/>
      <c r="AP903" s="206"/>
      <c r="AQ903" s="207"/>
      <c r="AR903" s="206"/>
      <c r="AS903" s="206"/>
      <c r="AT903" s="206"/>
      <c r="AU903" s="206"/>
      <c r="AV903" s="206"/>
      <c r="AW903" s="207"/>
      <c r="AX903" s="207"/>
      <c r="AY903" s="207"/>
      <c r="AZ903" s="207"/>
    </row>
    <row r="904" spans="1:52" ht="12.75" x14ac:dyDescent="0.2">
      <c r="A904" s="206"/>
      <c r="B904" s="206"/>
      <c r="C904" s="206"/>
      <c r="D904" s="206"/>
      <c r="E904" s="206"/>
      <c r="F904" s="206"/>
      <c r="G904" s="206"/>
      <c r="H904" s="206"/>
      <c r="I904" s="206"/>
      <c r="J904" s="206"/>
      <c r="K904" s="206"/>
      <c r="L904" s="206"/>
      <c r="M904" s="207"/>
      <c r="N904" s="207"/>
      <c r="O904" s="208"/>
      <c r="P904" s="208"/>
      <c r="Q904" s="208"/>
      <c r="R904" s="206"/>
      <c r="S904" s="206"/>
      <c r="T904" s="206"/>
      <c r="U904" s="206"/>
      <c r="V904" s="206"/>
      <c r="W904" s="206"/>
      <c r="X904" s="207"/>
      <c r="Y904" s="207"/>
      <c r="Z904" s="207"/>
      <c r="AA904" s="206"/>
      <c r="AB904" s="206"/>
      <c r="AC904" s="206"/>
      <c r="AD904" s="206"/>
      <c r="AE904" s="206"/>
      <c r="AF904" s="206"/>
      <c r="AG904" s="206"/>
      <c r="AH904" s="206"/>
      <c r="AI904" s="206"/>
      <c r="AJ904" s="206"/>
      <c r="AK904" s="206"/>
      <c r="AL904" s="206"/>
      <c r="AM904" s="206"/>
      <c r="AN904" s="206"/>
      <c r="AO904" s="206"/>
      <c r="AP904" s="206"/>
      <c r="AQ904" s="207"/>
      <c r="AR904" s="206"/>
      <c r="AS904" s="206"/>
      <c r="AT904" s="206"/>
      <c r="AU904" s="206"/>
      <c r="AV904" s="206"/>
      <c r="AW904" s="207"/>
      <c r="AX904" s="207"/>
      <c r="AY904" s="207"/>
      <c r="AZ904" s="207"/>
    </row>
    <row r="905" spans="1:52" ht="12.75" x14ac:dyDescent="0.2">
      <c r="A905" s="206"/>
      <c r="B905" s="206"/>
      <c r="C905" s="206"/>
      <c r="D905" s="206"/>
      <c r="E905" s="206"/>
      <c r="F905" s="206"/>
      <c r="G905" s="206"/>
      <c r="H905" s="206"/>
      <c r="I905" s="206"/>
      <c r="J905" s="206"/>
      <c r="K905" s="206"/>
      <c r="L905" s="206"/>
      <c r="M905" s="207"/>
      <c r="N905" s="207"/>
      <c r="O905" s="208"/>
      <c r="P905" s="208"/>
      <c r="Q905" s="208"/>
      <c r="R905" s="206"/>
      <c r="S905" s="206"/>
      <c r="T905" s="206"/>
      <c r="U905" s="206"/>
      <c r="V905" s="206"/>
      <c r="W905" s="206"/>
      <c r="X905" s="207"/>
      <c r="Y905" s="207"/>
      <c r="Z905" s="207"/>
      <c r="AA905" s="206"/>
      <c r="AB905" s="206"/>
      <c r="AC905" s="206"/>
      <c r="AD905" s="206"/>
      <c r="AE905" s="206"/>
      <c r="AF905" s="206"/>
      <c r="AG905" s="206"/>
      <c r="AH905" s="206"/>
      <c r="AI905" s="206"/>
      <c r="AJ905" s="206"/>
      <c r="AK905" s="206"/>
      <c r="AL905" s="206"/>
      <c r="AM905" s="206"/>
      <c r="AN905" s="206"/>
      <c r="AO905" s="206"/>
      <c r="AP905" s="206"/>
      <c r="AQ905" s="207"/>
      <c r="AR905" s="206"/>
      <c r="AS905" s="206"/>
      <c r="AT905" s="206"/>
      <c r="AU905" s="206"/>
      <c r="AV905" s="206"/>
      <c r="AW905" s="207"/>
      <c r="AX905" s="207"/>
      <c r="AY905" s="207"/>
      <c r="AZ905" s="207"/>
    </row>
    <row r="906" spans="1:52" ht="12.75" x14ac:dyDescent="0.2">
      <c r="A906" s="206"/>
      <c r="B906" s="206"/>
      <c r="C906" s="206"/>
      <c r="D906" s="206"/>
      <c r="E906" s="206"/>
      <c r="F906" s="206"/>
      <c r="G906" s="206"/>
      <c r="H906" s="206"/>
      <c r="I906" s="206"/>
      <c r="J906" s="206"/>
      <c r="K906" s="206"/>
      <c r="L906" s="206"/>
      <c r="M906" s="207"/>
      <c r="N906" s="207"/>
      <c r="O906" s="208"/>
      <c r="P906" s="208"/>
      <c r="Q906" s="208"/>
      <c r="R906" s="206"/>
      <c r="S906" s="206"/>
      <c r="T906" s="206"/>
      <c r="U906" s="206"/>
      <c r="V906" s="206"/>
      <c r="W906" s="206"/>
      <c r="X906" s="207"/>
      <c r="Y906" s="207"/>
      <c r="Z906" s="207"/>
      <c r="AA906" s="206"/>
      <c r="AB906" s="206"/>
      <c r="AC906" s="206"/>
      <c r="AD906" s="206"/>
      <c r="AE906" s="206"/>
      <c r="AF906" s="206"/>
      <c r="AG906" s="206"/>
      <c r="AH906" s="206"/>
      <c r="AI906" s="206"/>
      <c r="AJ906" s="206"/>
      <c r="AK906" s="206"/>
      <c r="AL906" s="206"/>
      <c r="AM906" s="206"/>
      <c r="AN906" s="206"/>
      <c r="AO906" s="206"/>
      <c r="AP906" s="206"/>
      <c r="AQ906" s="207"/>
      <c r="AR906" s="206"/>
      <c r="AS906" s="206"/>
      <c r="AT906" s="206"/>
      <c r="AU906" s="206"/>
      <c r="AV906" s="206"/>
      <c r="AW906" s="207"/>
      <c r="AX906" s="207"/>
      <c r="AY906" s="207"/>
      <c r="AZ906" s="207"/>
    </row>
    <row r="907" spans="1:52" ht="12.75" x14ac:dyDescent="0.2">
      <c r="A907" s="206"/>
      <c r="B907" s="206"/>
      <c r="C907" s="206"/>
      <c r="D907" s="206"/>
      <c r="E907" s="206"/>
      <c r="F907" s="206"/>
      <c r="G907" s="206"/>
      <c r="H907" s="206"/>
      <c r="I907" s="206"/>
      <c r="J907" s="206"/>
      <c r="K907" s="206"/>
      <c r="L907" s="206"/>
      <c r="M907" s="207"/>
      <c r="N907" s="207"/>
      <c r="O907" s="208"/>
      <c r="P907" s="208"/>
      <c r="Q907" s="208"/>
      <c r="R907" s="206"/>
      <c r="S907" s="206"/>
      <c r="T907" s="206"/>
      <c r="U907" s="206"/>
      <c r="V907" s="206"/>
      <c r="W907" s="206"/>
      <c r="X907" s="207"/>
      <c r="Y907" s="207"/>
      <c r="Z907" s="207"/>
      <c r="AA907" s="206"/>
      <c r="AB907" s="206"/>
      <c r="AC907" s="206"/>
      <c r="AD907" s="206"/>
      <c r="AE907" s="206"/>
      <c r="AF907" s="206"/>
      <c r="AG907" s="206"/>
      <c r="AH907" s="206"/>
      <c r="AI907" s="206"/>
      <c r="AJ907" s="206"/>
      <c r="AK907" s="206"/>
      <c r="AL907" s="206"/>
      <c r="AM907" s="206"/>
      <c r="AN907" s="206"/>
      <c r="AO907" s="206"/>
      <c r="AP907" s="206"/>
      <c r="AQ907" s="207"/>
      <c r="AR907" s="206"/>
      <c r="AS907" s="206"/>
      <c r="AT907" s="206"/>
      <c r="AU907" s="206"/>
      <c r="AV907" s="206"/>
      <c r="AW907" s="207"/>
      <c r="AX907" s="207"/>
      <c r="AY907" s="207"/>
      <c r="AZ907" s="207"/>
    </row>
    <row r="908" spans="1:52" ht="12.75" x14ac:dyDescent="0.2">
      <c r="A908" s="206"/>
      <c r="B908" s="206"/>
      <c r="C908" s="206"/>
      <c r="D908" s="206"/>
      <c r="E908" s="206"/>
      <c r="F908" s="206"/>
      <c r="G908" s="206"/>
      <c r="H908" s="206"/>
      <c r="I908" s="206"/>
      <c r="J908" s="206"/>
      <c r="K908" s="206"/>
      <c r="L908" s="206"/>
      <c r="M908" s="207"/>
      <c r="N908" s="207"/>
      <c r="O908" s="208"/>
      <c r="P908" s="208"/>
      <c r="Q908" s="208"/>
      <c r="R908" s="206"/>
      <c r="S908" s="206"/>
      <c r="T908" s="206"/>
      <c r="U908" s="206"/>
      <c r="V908" s="206"/>
      <c r="W908" s="206"/>
      <c r="X908" s="207"/>
      <c r="Y908" s="207"/>
      <c r="Z908" s="207"/>
      <c r="AA908" s="206"/>
      <c r="AB908" s="206"/>
      <c r="AC908" s="206"/>
      <c r="AD908" s="206"/>
      <c r="AE908" s="206"/>
      <c r="AF908" s="206"/>
      <c r="AG908" s="206"/>
      <c r="AH908" s="206"/>
      <c r="AI908" s="206"/>
      <c r="AJ908" s="206"/>
      <c r="AK908" s="206"/>
      <c r="AL908" s="206"/>
      <c r="AM908" s="206"/>
      <c r="AN908" s="206"/>
      <c r="AO908" s="206"/>
      <c r="AP908" s="206"/>
      <c r="AQ908" s="207"/>
      <c r="AR908" s="206"/>
      <c r="AS908" s="206"/>
      <c r="AT908" s="206"/>
      <c r="AU908" s="206"/>
      <c r="AV908" s="206"/>
      <c r="AW908" s="207"/>
      <c r="AX908" s="207"/>
      <c r="AY908" s="207"/>
      <c r="AZ908" s="207"/>
    </row>
    <row r="909" spans="1:52" ht="12.75" x14ac:dyDescent="0.2">
      <c r="A909" s="206"/>
      <c r="B909" s="206"/>
      <c r="C909" s="206"/>
      <c r="D909" s="206"/>
      <c r="E909" s="206"/>
      <c r="F909" s="206"/>
      <c r="G909" s="206"/>
      <c r="H909" s="206"/>
      <c r="I909" s="206"/>
      <c r="J909" s="206"/>
      <c r="K909" s="206"/>
      <c r="L909" s="206"/>
      <c r="M909" s="207"/>
      <c r="N909" s="207"/>
      <c r="O909" s="208"/>
      <c r="P909" s="208"/>
      <c r="Q909" s="208"/>
      <c r="R909" s="206"/>
      <c r="S909" s="206"/>
      <c r="T909" s="206"/>
      <c r="U909" s="206"/>
      <c r="V909" s="206"/>
      <c r="W909" s="206"/>
      <c r="X909" s="207"/>
      <c r="Y909" s="207"/>
      <c r="Z909" s="207"/>
      <c r="AA909" s="206"/>
      <c r="AB909" s="206"/>
      <c r="AC909" s="206"/>
      <c r="AD909" s="206"/>
      <c r="AE909" s="206"/>
      <c r="AF909" s="206"/>
      <c r="AG909" s="206"/>
      <c r="AH909" s="206"/>
      <c r="AI909" s="206"/>
      <c r="AJ909" s="206"/>
      <c r="AK909" s="206"/>
      <c r="AL909" s="206"/>
      <c r="AM909" s="206"/>
      <c r="AN909" s="206"/>
      <c r="AO909" s="206"/>
      <c r="AP909" s="206"/>
      <c r="AQ909" s="207"/>
      <c r="AR909" s="206"/>
      <c r="AS909" s="206"/>
      <c r="AT909" s="206"/>
      <c r="AU909" s="206"/>
      <c r="AV909" s="206"/>
      <c r="AW909" s="207"/>
      <c r="AX909" s="207"/>
      <c r="AY909" s="207"/>
      <c r="AZ909" s="207"/>
    </row>
    <row r="910" spans="1:52" ht="12.75" x14ac:dyDescent="0.2">
      <c r="A910" s="206"/>
      <c r="B910" s="206"/>
      <c r="C910" s="206"/>
      <c r="D910" s="206"/>
      <c r="E910" s="206"/>
      <c r="F910" s="206"/>
      <c r="G910" s="206"/>
      <c r="H910" s="206"/>
      <c r="I910" s="206"/>
      <c r="J910" s="206"/>
      <c r="K910" s="206"/>
      <c r="L910" s="206"/>
      <c r="M910" s="207"/>
      <c r="N910" s="207"/>
      <c r="O910" s="208"/>
      <c r="P910" s="208"/>
      <c r="Q910" s="208"/>
      <c r="R910" s="206"/>
      <c r="S910" s="206"/>
      <c r="T910" s="206"/>
      <c r="U910" s="206"/>
      <c r="V910" s="206"/>
      <c r="W910" s="206"/>
      <c r="X910" s="207"/>
      <c r="Y910" s="207"/>
      <c r="Z910" s="207"/>
      <c r="AA910" s="206"/>
      <c r="AB910" s="206"/>
      <c r="AC910" s="206"/>
      <c r="AD910" s="206"/>
      <c r="AE910" s="206"/>
      <c r="AF910" s="206"/>
      <c r="AG910" s="206"/>
      <c r="AH910" s="206"/>
      <c r="AI910" s="206"/>
      <c r="AJ910" s="206"/>
      <c r="AK910" s="206"/>
      <c r="AL910" s="206"/>
      <c r="AM910" s="206"/>
      <c r="AN910" s="206"/>
      <c r="AO910" s="206"/>
      <c r="AP910" s="206"/>
      <c r="AQ910" s="207"/>
      <c r="AR910" s="206"/>
      <c r="AS910" s="206"/>
      <c r="AT910" s="206"/>
      <c r="AU910" s="206"/>
      <c r="AV910" s="206"/>
      <c r="AW910" s="207"/>
      <c r="AX910" s="207"/>
      <c r="AY910" s="207"/>
      <c r="AZ910" s="207"/>
    </row>
    <row r="911" spans="1:52" ht="12.75" x14ac:dyDescent="0.2">
      <c r="A911" s="206"/>
      <c r="B911" s="206"/>
      <c r="C911" s="206"/>
      <c r="D911" s="206"/>
      <c r="E911" s="206"/>
      <c r="F911" s="206"/>
      <c r="G911" s="206"/>
      <c r="H911" s="206"/>
      <c r="I911" s="206"/>
      <c r="J911" s="206"/>
      <c r="K911" s="206"/>
      <c r="L911" s="206"/>
      <c r="M911" s="207"/>
      <c r="N911" s="207"/>
      <c r="O911" s="208"/>
      <c r="P911" s="208"/>
      <c r="Q911" s="208"/>
      <c r="R911" s="206"/>
      <c r="S911" s="206"/>
      <c r="T911" s="206"/>
      <c r="U911" s="206"/>
      <c r="V911" s="206"/>
      <c r="W911" s="206"/>
      <c r="X911" s="207"/>
      <c r="Y911" s="207"/>
      <c r="Z911" s="207"/>
      <c r="AA911" s="206"/>
      <c r="AB911" s="206"/>
      <c r="AC911" s="206"/>
      <c r="AD911" s="206"/>
      <c r="AE911" s="206"/>
      <c r="AF911" s="206"/>
      <c r="AG911" s="206"/>
      <c r="AH911" s="206"/>
      <c r="AI911" s="206"/>
      <c r="AJ911" s="206"/>
      <c r="AK911" s="206"/>
      <c r="AL911" s="206"/>
      <c r="AM911" s="206"/>
      <c r="AN911" s="206"/>
      <c r="AO911" s="206"/>
      <c r="AP911" s="206"/>
      <c r="AQ911" s="207"/>
      <c r="AR911" s="206"/>
      <c r="AS911" s="206"/>
      <c r="AT911" s="206"/>
      <c r="AU911" s="206"/>
      <c r="AV911" s="206"/>
      <c r="AW911" s="207"/>
      <c r="AX911" s="207"/>
      <c r="AY911" s="207"/>
      <c r="AZ911" s="207"/>
    </row>
    <row r="912" spans="1:52" ht="12.75" x14ac:dyDescent="0.2">
      <c r="A912" s="206"/>
      <c r="B912" s="206"/>
      <c r="C912" s="206"/>
      <c r="D912" s="206"/>
      <c r="E912" s="206"/>
      <c r="F912" s="206"/>
      <c r="G912" s="206"/>
      <c r="H912" s="206"/>
      <c r="I912" s="206"/>
      <c r="J912" s="206"/>
      <c r="K912" s="206"/>
      <c r="L912" s="206"/>
      <c r="M912" s="207"/>
      <c r="N912" s="207"/>
      <c r="O912" s="208"/>
      <c r="P912" s="208"/>
      <c r="Q912" s="208"/>
      <c r="R912" s="206"/>
      <c r="S912" s="206"/>
      <c r="T912" s="206"/>
      <c r="U912" s="206"/>
      <c r="V912" s="206"/>
      <c r="W912" s="206"/>
      <c r="X912" s="207"/>
      <c r="Y912" s="207"/>
      <c r="Z912" s="207"/>
      <c r="AA912" s="206"/>
      <c r="AB912" s="206"/>
      <c r="AC912" s="206"/>
      <c r="AD912" s="206"/>
      <c r="AE912" s="206"/>
      <c r="AF912" s="206"/>
      <c r="AG912" s="206"/>
      <c r="AH912" s="206"/>
      <c r="AI912" s="206"/>
      <c r="AJ912" s="206"/>
      <c r="AK912" s="206"/>
      <c r="AL912" s="206"/>
      <c r="AM912" s="206"/>
      <c r="AN912" s="206"/>
      <c r="AO912" s="206"/>
      <c r="AP912" s="206"/>
      <c r="AQ912" s="207"/>
      <c r="AR912" s="206"/>
      <c r="AS912" s="206"/>
      <c r="AT912" s="206"/>
      <c r="AU912" s="206"/>
      <c r="AV912" s="206"/>
      <c r="AW912" s="207"/>
      <c r="AX912" s="207"/>
      <c r="AY912" s="207"/>
      <c r="AZ912" s="207"/>
    </row>
    <row r="913" spans="1:52" ht="12.75" x14ac:dyDescent="0.2">
      <c r="A913" s="206"/>
      <c r="B913" s="206"/>
      <c r="C913" s="206"/>
      <c r="D913" s="206"/>
      <c r="E913" s="206"/>
      <c r="F913" s="206"/>
      <c r="G913" s="206"/>
      <c r="H913" s="206"/>
      <c r="I913" s="206"/>
      <c r="J913" s="206"/>
      <c r="K913" s="206"/>
      <c r="L913" s="206"/>
      <c r="M913" s="207"/>
      <c r="N913" s="207"/>
      <c r="O913" s="208"/>
      <c r="P913" s="208"/>
      <c r="Q913" s="208"/>
      <c r="R913" s="206"/>
      <c r="S913" s="206"/>
      <c r="T913" s="206"/>
      <c r="U913" s="206"/>
      <c r="V913" s="206"/>
      <c r="W913" s="206"/>
      <c r="X913" s="207"/>
      <c r="Y913" s="207"/>
      <c r="Z913" s="207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7"/>
      <c r="AR913" s="206"/>
      <c r="AS913" s="206"/>
      <c r="AT913" s="206"/>
      <c r="AU913" s="206"/>
      <c r="AV913" s="206"/>
      <c r="AW913" s="207"/>
      <c r="AX913" s="207"/>
      <c r="AY913" s="207"/>
      <c r="AZ913" s="207"/>
    </row>
    <row r="914" spans="1:52" ht="12.75" x14ac:dyDescent="0.2">
      <c r="A914" s="206"/>
      <c r="B914" s="206"/>
      <c r="C914" s="206"/>
      <c r="D914" s="206"/>
      <c r="E914" s="206"/>
      <c r="F914" s="206"/>
      <c r="G914" s="206"/>
      <c r="H914" s="206"/>
      <c r="I914" s="206"/>
      <c r="J914" s="206"/>
      <c r="K914" s="206"/>
      <c r="L914" s="206"/>
      <c r="M914" s="207"/>
      <c r="N914" s="207"/>
      <c r="O914" s="208"/>
      <c r="P914" s="208"/>
      <c r="Q914" s="208"/>
      <c r="R914" s="206"/>
      <c r="S914" s="206"/>
      <c r="T914" s="206"/>
      <c r="U914" s="206"/>
      <c r="V914" s="206"/>
      <c r="W914" s="206"/>
      <c r="X914" s="207"/>
      <c r="Y914" s="207"/>
      <c r="Z914" s="207"/>
      <c r="AA914" s="206"/>
      <c r="AB914" s="206"/>
      <c r="AC914" s="206"/>
      <c r="AD914" s="206"/>
      <c r="AE914" s="206"/>
      <c r="AF914" s="206"/>
      <c r="AG914" s="206"/>
      <c r="AH914" s="206"/>
      <c r="AI914" s="206"/>
      <c r="AJ914" s="206"/>
      <c r="AK914" s="206"/>
      <c r="AL914" s="206"/>
      <c r="AM914" s="206"/>
      <c r="AN914" s="206"/>
      <c r="AO914" s="206"/>
      <c r="AP914" s="206"/>
      <c r="AQ914" s="207"/>
      <c r="AR914" s="206"/>
      <c r="AS914" s="206"/>
      <c r="AT914" s="206"/>
      <c r="AU914" s="206"/>
      <c r="AV914" s="206"/>
      <c r="AW914" s="207"/>
      <c r="AX914" s="207"/>
      <c r="AY914" s="207"/>
      <c r="AZ914" s="207"/>
    </row>
    <row r="915" spans="1:52" ht="12.75" x14ac:dyDescent="0.2">
      <c r="A915" s="206"/>
      <c r="B915" s="206"/>
      <c r="C915" s="206"/>
      <c r="D915" s="206"/>
      <c r="E915" s="206"/>
      <c r="F915" s="206"/>
      <c r="G915" s="206"/>
      <c r="H915" s="206"/>
      <c r="I915" s="206"/>
      <c r="J915" s="206"/>
      <c r="K915" s="206"/>
      <c r="L915" s="206"/>
      <c r="M915" s="207"/>
      <c r="N915" s="207"/>
      <c r="O915" s="208"/>
      <c r="P915" s="208"/>
      <c r="Q915" s="208"/>
      <c r="R915" s="206"/>
      <c r="S915" s="206"/>
      <c r="T915" s="206"/>
      <c r="U915" s="206"/>
      <c r="V915" s="206"/>
      <c r="W915" s="206"/>
      <c r="X915" s="207"/>
      <c r="Y915" s="207"/>
      <c r="Z915" s="207"/>
      <c r="AA915" s="206"/>
      <c r="AB915" s="206"/>
      <c r="AC915" s="206"/>
      <c r="AD915" s="206"/>
      <c r="AE915" s="206"/>
      <c r="AF915" s="206"/>
      <c r="AG915" s="206"/>
      <c r="AH915" s="206"/>
      <c r="AI915" s="206"/>
      <c r="AJ915" s="206"/>
      <c r="AK915" s="206"/>
      <c r="AL915" s="206"/>
      <c r="AM915" s="206"/>
      <c r="AN915" s="206"/>
      <c r="AO915" s="206"/>
      <c r="AP915" s="206"/>
      <c r="AQ915" s="207"/>
      <c r="AR915" s="206"/>
      <c r="AS915" s="206"/>
      <c r="AT915" s="206"/>
      <c r="AU915" s="206"/>
      <c r="AV915" s="206"/>
      <c r="AW915" s="207"/>
      <c r="AX915" s="207"/>
      <c r="AY915" s="207"/>
      <c r="AZ915" s="207"/>
    </row>
    <row r="916" spans="1:52" ht="12.75" x14ac:dyDescent="0.2">
      <c r="A916" s="206"/>
      <c r="B916" s="206"/>
      <c r="C916" s="206"/>
      <c r="D916" s="206"/>
      <c r="E916" s="206"/>
      <c r="F916" s="206"/>
      <c r="G916" s="206"/>
      <c r="H916" s="206"/>
      <c r="I916" s="206"/>
      <c r="J916" s="206"/>
      <c r="K916" s="206"/>
      <c r="L916" s="206"/>
      <c r="M916" s="207"/>
      <c r="N916" s="207"/>
      <c r="O916" s="208"/>
      <c r="P916" s="208"/>
      <c r="Q916" s="208"/>
      <c r="R916" s="206"/>
      <c r="S916" s="206"/>
      <c r="T916" s="206"/>
      <c r="U916" s="206"/>
      <c r="V916" s="206"/>
      <c r="W916" s="206"/>
      <c r="X916" s="207"/>
      <c r="Y916" s="207"/>
      <c r="Z916" s="207"/>
      <c r="AA916" s="206"/>
      <c r="AB916" s="206"/>
      <c r="AC916" s="206"/>
      <c r="AD916" s="206"/>
      <c r="AE916" s="206"/>
      <c r="AF916" s="206"/>
      <c r="AG916" s="206"/>
      <c r="AH916" s="206"/>
      <c r="AI916" s="206"/>
      <c r="AJ916" s="206"/>
      <c r="AK916" s="206"/>
      <c r="AL916" s="206"/>
      <c r="AM916" s="206"/>
      <c r="AN916" s="206"/>
      <c r="AO916" s="206"/>
      <c r="AP916" s="206"/>
      <c r="AQ916" s="207"/>
      <c r="AR916" s="206"/>
      <c r="AS916" s="206"/>
      <c r="AT916" s="206"/>
      <c r="AU916" s="206"/>
      <c r="AV916" s="206"/>
      <c r="AW916" s="207"/>
      <c r="AX916" s="207"/>
      <c r="AY916" s="207"/>
      <c r="AZ916" s="207"/>
    </row>
    <row r="917" spans="1:52" ht="12.75" x14ac:dyDescent="0.2">
      <c r="A917" s="206"/>
      <c r="B917" s="206"/>
      <c r="C917" s="206"/>
      <c r="D917" s="206"/>
      <c r="E917" s="206"/>
      <c r="F917" s="206"/>
      <c r="G917" s="206"/>
      <c r="H917" s="206"/>
      <c r="I917" s="206"/>
      <c r="J917" s="206"/>
      <c r="K917" s="206"/>
      <c r="L917" s="206"/>
      <c r="M917" s="207"/>
      <c r="N917" s="207"/>
      <c r="O917" s="208"/>
      <c r="P917" s="208"/>
      <c r="Q917" s="208"/>
      <c r="R917" s="206"/>
      <c r="S917" s="206"/>
      <c r="T917" s="206"/>
      <c r="U917" s="206"/>
      <c r="V917" s="206"/>
      <c r="W917" s="206"/>
      <c r="X917" s="207"/>
      <c r="Y917" s="207"/>
      <c r="Z917" s="207"/>
      <c r="AA917" s="206"/>
      <c r="AB917" s="206"/>
      <c r="AC917" s="206"/>
      <c r="AD917" s="206"/>
      <c r="AE917" s="206"/>
      <c r="AF917" s="206"/>
      <c r="AG917" s="206"/>
      <c r="AH917" s="206"/>
      <c r="AI917" s="206"/>
      <c r="AJ917" s="206"/>
      <c r="AK917" s="206"/>
      <c r="AL917" s="206"/>
      <c r="AM917" s="206"/>
      <c r="AN917" s="206"/>
      <c r="AO917" s="206"/>
      <c r="AP917" s="206"/>
      <c r="AQ917" s="207"/>
      <c r="AR917" s="206"/>
      <c r="AS917" s="206"/>
      <c r="AT917" s="206"/>
      <c r="AU917" s="206"/>
      <c r="AV917" s="206"/>
      <c r="AW917" s="207"/>
      <c r="AX917" s="207"/>
      <c r="AY917" s="207"/>
      <c r="AZ917" s="207"/>
    </row>
    <row r="918" spans="1:52" ht="12.75" x14ac:dyDescent="0.2">
      <c r="A918" s="206"/>
      <c r="B918" s="206"/>
      <c r="C918" s="206"/>
      <c r="D918" s="206"/>
      <c r="E918" s="206"/>
      <c r="F918" s="206"/>
      <c r="G918" s="206"/>
      <c r="H918" s="206"/>
      <c r="I918" s="206"/>
      <c r="J918" s="206"/>
      <c r="K918" s="206"/>
      <c r="L918" s="206"/>
      <c r="M918" s="207"/>
      <c r="N918" s="207"/>
      <c r="O918" s="208"/>
      <c r="P918" s="208"/>
      <c r="Q918" s="208"/>
      <c r="R918" s="206"/>
      <c r="S918" s="206"/>
      <c r="T918" s="206"/>
      <c r="U918" s="206"/>
      <c r="V918" s="206"/>
      <c r="W918" s="206"/>
      <c r="X918" s="207"/>
      <c r="Y918" s="207"/>
      <c r="Z918" s="207"/>
      <c r="AA918" s="206"/>
      <c r="AB918" s="206"/>
      <c r="AC918" s="206"/>
      <c r="AD918" s="206"/>
      <c r="AE918" s="206"/>
      <c r="AF918" s="206"/>
      <c r="AG918" s="206"/>
      <c r="AH918" s="206"/>
      <c r="AI918" s="206"/>
      <c r="AJ918" s="206"/>
      <c r="AK918" s="206"/>
      <c r="AL918" s="206"/>
      <c r="AM918" s="206"/>
      <c r="AN918" s="206"/>
      <c r="AO918" s="206"/>
      <c r="AP918" s="206"/>
      <c r="AQ918" s="207"/>
      <c r="AR918" s="206"/>
      <c r="AS918" s="206"/>
      <c r="AT918" s="206"/>
      <c r="AU918" s="206"/>
      <c r="AV918" s="206"/>
      <c r="AW918" s="207"/>
      <c r="AX918" s="207"/>
      <c r="AY918" s="207"/>
      <c r="AZ918" s="207"/>
    </row>
    <row r="919" spans="1:52" ht="12.75" x14ac:dyDescent="0.2">
      <c r="A919" s="206"/>
      <c r="B919" s="206"/>
      <c r="C919" s="206"/>
      <c r="D919" s="206"/>
      <c r="E919" s="206"/>
      <c r="F919" s="206"/>
      <c r="G919" s="206"/>
      <c r="H919" s="206"/>
      <c r="I919" s="206"/>
      <c r="J919" s="206"/>
      <c r="K919" s="206"/>
      <c r="L919" s="206"/>
      <c r="M919" s="207"/>
      <c r="N919" s="207"/>
      <c r="O919" s="208"/>
      <c r="P919" s="208"/>
      <c r="Q919" s="208"/>
      <c r="R919" s="206"/>
      <c r="S919" s="206"/>
      <c r="T919" s="206"/>
      <c r="U919" s="206"/>
      <c r="V919" s="206"/>
      <c r="W919" s="206"/>
      <c r="X919" s="207"/>
      <c r="Y919" s="207"/>
      <c r="Z919" s="207"/>
      <c r="AA919" s="206"/>
      <c r="AB919" s="206"/>
      <c r="AC919" s="206"/>
      <c r="AD919" s="206"/>
      <c r="AE919" s="206"/>
      <c r="AF919" s="206"/>
      <c r="AG919" s="206"/>
      <c r="AH919" s="206"/>
      <c r="AI919" s="206"/>
      <c r="AJ919" s="206"/>
      <c r="AK919" s="206"/>
      <c r="AL919" s="206"/>
      <c r="AM919" s="206"/>
      <c r="AN919" s="206"/>
      <c r="AO919" s="206"/>
      <c r="AP919" s="206"/>
      <c r="AQ919" s="207"/>
      <c r="AR919" s="206"/>
      <c r="AS919" s="206"/>
      <c r="AT919" s="206"/>
      <c r="AU919" s="206"/>
      <c r="AV919" s="206"/>
      <c r="AW919" s="207"/>
      <c r="AX919" s="207"/>
      <c r="AY919" s="207"/>
      <c r="AZ919" s="207"/>
    </row>
    <row r="920" spans="1:52" ht="12.75" x14ac:dyDescent="0.2">
      <c r="A920" s="206"/>
      <c r="B920" s="206"/>
      <c r="C920" s="206"/>
      <c r="D920" s="206"/>
      <c r="E920" s="206"/>
      <c r="F920" s="206"/>
      <c r="G920" s="206"/>
      <c r="H920" s="206"/>
      <c r="I920" s="206"/>
      <c r="J920" s="206"/>
      <c r="K920" s="206"/>
      <c r="L920" s="206"/>
      <c r="M920" s="207"/>
      <c r="N920" s="207"/>
      <c r="O920" s="208"/>
      <c r="P920" s="208"/>
      <c r="Q920" s="208"/>
      <c r="R920" s="206"/>
      <c r="S920" s="206"/>
      <c r="T920" s="206"/>
      <c r="U920" s="206"/>
      <c r="V920" s="206"/>
      <c r="W920" s="206"/>
      <c r="X920" s="207"/>
      <c r="Y920" s="207"/>
      <c r="Z920" s="207"/>
      <c r="AA920" s="206"/>
      <c r="AB920" s="206"/>
      <c r="AC920" s="206"/>
      <c r="AD920" s="206"/>
      <c r="AE920" s="206"/>
      <c r="AF920" s="206"/>
      <c r="AG920" s="206"/>
      <c r="AH920" s="206"/>
      <c r="AI920" s="206"/>
      <c r="AJ920" s="206"/>
      <c r="AK920" s="206"/>
      <c r="AL920" s="206"/>
      <c r="AM920" s="206"/>
      <c r="AN920" s="206"/>
      <c r="AO920" s="206"/>
      <c r="AP920" s="206"/>
      <c r="AQ920" s="207"/>
      <c r="AR920" s="206"/>
      <c r="AS920" s="206"/>
      <c r="AT920" s="206"/>
      <c r="AU920" s="206"/>
      <c r="AV920" s="206"/>
      <c r="AW920" s="207"/>
      <c r="AX920" s="207"/>
      <c r="AY920" s="207"/>
      <c r="AZ920" s="207"/>
    </row>
    <row r="921" spans="1:52" ht="12.75" x14ac:dyDescent="0.2">
      <c r="A921" s="206"/>
      <c r="B921" s="206"/>
      <c r="C921" s="206"/>
      <c r="D921" s="206"/>
      <c r="E921" s="206"/>
      <c r="F921" s="206"/>
      <c r="G921" s="206"/>
      <c r="H921" s="206"/>
      <c r="I921" s="206"/>
      <c r="J921" s="206"/>
      <c r="K921" s="206"/>
      <c r="L921" s="206"/>
      <c r="M921" s="207"/>
      <c r="N921" s="207"/>
      <c r="O921" s="208"/>
      <c r="P921" s="208"/>
      <c r="Q921" s="208"/>
      <c r="R921" s="206"/>
      <c r="S921" s="206"/>
      <c r="T921" s="206"/>
      <c r="U921" s="206"/>
      <c r="V921" s="206"/>
      <c r="W921" s="206"/>
      <c r="X921" s="207"/>
      <c r="Y921" s="207"/>
      <c r="Z921" s="207"/>
      <c r="AA921" s="206"/>
      <c r="AB921" s="206"/>
      <c r="AC921" s="206"/>
      <c r="AD921" s="206"/>
      <c r="AE921" s="206"/>
      <c r="AF921" s="206"/>
      <c r="AG921" s="206"/>
      <c r="AH921" s="206"/>
      <c r="AI921" s="206"/>
      <c r="AJ921" s="206"/>
      <c r="AK921" s="206"/>
      <c r="AL921" s="206"/>
      <c r="AM921" s="206"/>
      <c r="AN921" s="206"/>
      <c r="AO921" s="206"/>
      <c r="AP921" s="206"/>
      <c r="AQ921" s="207"/>
      <c r="AR921" s="206"/>
      <c r="AS921" s="206"/>
      <c r="AT921" s="206"/>
      <c r="AU921" s="206"/>
      <c r="AV921" s="206"/>
      <c r="AW921" s="207"/>
      <c r="AX921" s="207"/>
      <c r="AY921" s="207"/>
      <c r="AZ921" s="207"/>
    </row>
    <row r="922" spans="1:52" ht="12.75" x14ac:dyDescent="0.2">
      <c r="A922" s="206"/>
      <c r="B922" s="206"/>
      <c r="C922" s="206"/>
      <c r="D922" s="206"/>
      <c r="E922" s="206"/>
      <c r="F922" s="206"/>
      <c r="G922" s="206"/>
      <c r="H922" s="206"/>
      <c r="I922" s="206"/>
      <c r="J922" s="206"/>
      <c r="K922" s="206"/>
      <c r="L922" s="206"/>
      <c r="M922" s="207"/>
      <c r="N922" s="207"/>
      <c r="O922" s="208"/>
      <c r="P922" s="208"/>
      <c r="Q922" s="208"/>
      <c r="R922" s="206"/>
      <c r="S922" s="206"/>
      <c r="T922" s="206"/>
      <c r="U922" s="206"/>
      <c r="V922" s="206"/>
      <c r="W922" s="206"/>
      <c r="X922" s="207"/>
      <c r="Y922" s="207"/>
      <c r="Z922" s="207"/>
      <c r="AA922" s="206"/>
      <c r="AB922" s="206"/>
      <c r="AC922" s="206"/>
      <c r="AD922" s="206"/>
      <c r="AE922" s="206"/>
      <c r="AF922" s="206"/>
      <c r="AG922" s="206"/>
      <c r="AH922" s="206"/>
      <c r="AI922" s="206"/>
      <c r="AJ922" s="206"/>
      <c r="AK922" s="206"/>
      <c r="AL922" s="206"/>
      <c r="AM922" s="206"/>
      <c r="AN922" s="206"/>
      <c r="AO922" s="206"/>
      <c r="AP922" s="206"/>
      <c r="AQ922" s="207"/>
      <c r="AR922" s="206"/>
      <c r="AS922" s="206"/>
      <c r="AT922" s="206"/>
      <c r="AU922" s="206"/>
      <c r="AV922" s="206"/>
      <c r="AW922" s="207"/>
      <c r="AX922" s="207"/>
      <c r="AY922" s="207"/>
      <c r="AZ922" s="207"/>
    </row>
    <row r="923" spans="1:52" ht="12.75" x14ac:dyDescent="0.2">
      <c r="A923" s="206"/>
      <c r="B923" s="206"/>
      <c r="C923" s="206"/>
      <c r="D923" s="206"/>
      <c r="E923" s="206"/>
      <c r="F923" s="206"/>
      <c r="G923" s="206"/>
      <c r="H923" s="206"/>
      <c r="I923" s="206"/>
      <c r="J923" s="206"/>
      <c r="K923" s="206"/>
      <c r="L923" s="206"/>
      <c r="M923" s="207"/>
      <c r="N923" s="207"/>
      <c r="O923" s="208"/>
      <c r="P923" s="208"/>
      <c r="Q923" s="208"/>
      <c r="R923" s="206"/>
      <c r="S923" s="206"/>
      <c r="T923" s="206"/>
      <c r="U923" s="206"/>
      <c r="V923" s="206"/>
      <c r="W923" s="206"/>
      <c r="X923" s="207"/>
      <c r="Y923" s="207"/>
      <c r="Z923" s="207"/>
      <c r="AA923" s="206"/>
      <c r="AB923" s="206"/>
      <c r="AC923" s="206"/>
      <c r="AD923" s="206"/>
      <c r="AE923" s="206"/>
      <c r="AF923" s="206"/>
      <c r="AG923" s="206"/>
      <c r="AH923" s="206"/>
      <c r="AI923" s="206"/>
      <c r="AJ923" s="206"/>
      <c r="AK923" s="206"/>
      <c r="AL923" s="206"/>
      <c r="AM923" s="206"/>
      <c r="AN923" s="206"/>
      <c r="AO923" s="206"/>
      <c r="AP923" s="206"/>
      <c r="AQ923" s="207"/>
      <c r="AR923" s="206"/>
      <c r="AS923" s="206"/>
      <c r="AT923" s="206"/>
      <c r="AU923" s="206"/>
      <c r="AV923" s="206"/>
      <c r="AW923" s="207"/>
      <c r="AX923" s="207"/>
      <c r="AY923" s="207"/>
      <c r="AZ923" s="207"/>
    </row>
    <row r="924" spans="1:52" ht="12.75" x14ac:dyDescent="0.2">
      <c r="A924" s="206"/>
      <c r="B924" s="206"/>
      <c r="C924" s="206"/>
      <c r="D924" s="206"/>
      <c r="E924" s="206"/>
      <c r="F924" s="206"/>
      <c r="G924" s="206"/>
      <c r="H924" s="206"/>
      <c r="I924" s="206"/>
      <c r="J924" s="206"/>
      <c r="K924" s="206"/>
      <c r="L924" s="206"/>
      <c r="M924" s="207"/>
      <c r="N924" s="207"/>
      <c r="O924" s="208"/>
      <c r="P924" s="208"/>
      <c r="Q924" s="208"/>
      <c r="R924" s="206"/>
      <c r="S924" s="206"/>
      <c r="T924" s="206"/>
      <c r="U924" s="206"/>
      <c r="V924" s="206"/>
      <c r="W924" s="206"/>
      <c r="X924" s="207"/>
      <c r="Y924" s="207"/>
      <c r="Z924" s="207"/>
      <c r="AA924" s="206"/>
      <c r="AB924" s="206"/>
      <c r="AC924" s="206"/>
      <c r="AD924" s="206"/>
      <c r="AE924" s="206"/>
      <c r="AF924" s="206"/>
      <c r="AG924" s="206"/>
      <c r="AH924" s="206"/>
      <c r="AI924" s="206"/>
      <c r="AJ924" s="206"/>
      <c r="AK924" s="206"/>
      <c r="AL924" s="206"/>
      <c r="AM924" s="206"/>
      <c r="AN924" s="206"/>
      <c r="AO924" s="206"/>
      <c r="AP924" s="206"/>
      <c r="AQ924" s="207"/>
      <c r="AR924" s="206"/>
      <c r="AS924" s="206"/>
      <c r="AT924" s="206"/>
      <c r="AU924" s="206"/>
      <c r="AV924" s="206"/>
      <c r="AW924" s="207"/>
      <c r="AX924" s="207"/>
      <c r="AY924" s="207"/>
      <c r="AZ924" s="207"/>
    </row>
    <row r="925" spans="1:52" ht="12.75" x14ac:dyDescent="0.2">
      <c r="A925" s="206"/>
      <c r="B925" s="206"/>
      <c r="C925" s="206"/>
      <c r="D925" s="206"/>
      <c r="E925" s="206"/>
      <c r="F925" s="206"/>
      <c r="G925" s="206"/>
      <c r="H925" s="206"/>
      <c r="I925" s="206"/>
      <c r="J925" s="206"/>
      <c r="K925" s="206"/>
      <c r="L925" s="206"/>
      <c r="M925" s="207"/>
      <c r="N925" s="207"/>
      <c r="O925" s="208"/>
      <c r="P925" s="208"/>
      <c r="Q925" s="208"/>
      <c r="R925" s="206"/>
      <c r="S925" s="206"/>
      <c r="T925" s="206"/>
      <c r="U925" s="206"/>
      <c r="V925" s="206"/>
      <c r="W925" s="206"/>
      <c r="X925" s="207"/>
      <c r="Y925" s="207"/>
      <c r="Z925" s="207"/>
      <c r="AA925" s="206"/>
      <c r="AB925" s="206"/>
      <c r="AC925" s="206"/>
      <c r="AD925" s="206"/>
      <c r="AE925" s="206"/>
      <c r="AF925" s="206"/>
      <c r="AG925" s="206"/>
      <c r="AH925" s="206"/>
      <c r="AI925" s="206"/>
      <c r="AJ925" s="206"/>
      <c r="AK925" s="206"/>
      <c r="AL925" s="206"/>
      <c r="AM925" s="206"/>
      <c r="AN925" s="206"/>
      <c r="AO925" s="206"/>
      <c r="AP925" s="206"/>
      <c r="AQ925" s="207"/>
      <c r="AR925" s="206"/>
      <c r="AS925" s="206"/>
      <c r="AT925" s="206"/>
      <c r="AU925" s="206"/>
      <c r="AV925" s="206"/>
      <c r="AW925" s="207"/>
      <c r="AX925" s="207"/>
      <c r="AY925" s="207"/>
      <c r="AZ925" s="207"/>
    </row>
    <row r="926" spans="1:52" ht="12.75" x14ac:dyDescent="0.2">
      <c r="A926" s="206"/>
      <c r="B926" s="206"/>
      <c r="C926" s="206"/>
      <c r="D926" s="206"/>
      <c r="E926" s="206"/>
      <c r="F926" s="206"/>
      <c r="G926" s="206"/>
      <c r="H926" s="206"/>
      <c r="I926" s="206"/>
      <c r="J926" s="206"/>
      <c r="K926" s="206"/>
      <c r="L926" s="206"/>
      <c r="M926" s="207"/>
      <c r="N926" s="207"/>
      <c r="O926" s="208"/>
      <c r="P926" s="208"/>
      <c r="Q926" s="208"/>
      <c r="R926" s="206"/>
      <c r="S926" s="206"/>
      <c r="T926" s="206"/>
      <c r="U926" s="206"/>
      <c r="V926" s="206"/>
      <c r="W926" s="206"/>
      <c r="X926" s="207"/>
      <c r="Y926" s="207"/>
      <c r="Z926" s="207"/>
      <c r="AA926" s="206"/>
      <c r="AB926" s="206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7"/>
      <c r="AR926" s="206"/>
      <c r="AS926" s="206"/>
      <c r="AT926" s="206"/>
      <c r="AU926" s="206"/>
      <c r="AV926" s="206"/>
      <c r="AW926" s="207"/>
      <c r="AX926" s="207"/>
      <c r="AY926" s="207"/>
      <c r="AZ926" s="207"/>
    </row>
    <row r="927" spans="1:52" ht="12.75" x14ac:dyDescent="0.2">
      <c r="A927" s="206"/>
      <c r="B927" s="206"/>
      <c r="C927" s="206"/>
      <c r="D927" s="206"/>
      <c r="E927" s="206"/>
      <c r="F927" s="206"/>
      <c r="G927" s="206"/>
      <c r="H927" s="206"/>
      <c r="I927" s="206"/>
      <c r="J927" s="206"/>
      <c r="K927" s="206"/>
      <c r="L927" s="206"/>
      <c r="M927" s="207"/>
      <c r="N927" s="207"/>
      <c r="O927" s="208"/>
      <c r="P927" s="208"/>
      <c r="Q927" s="208"/>
      <c r="R927" s="206"/>
      <c r="S927" s="206"/>
      <c r="T927" s="206"/>
      <c r="U927" s="206"/>
      <c r="V927" s="206"/>
      <c r="W927" s="206"/>
      <c r="X927" s="207"/>
      <c r="Y927" s="207"/>
      <c r="Z927" s="207"/>
      <c r="AA927" s="206"/>
      <c r="AB927" s="206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7"/>
      <c r="AR927" s="206"/>
      <c r="AS927" s="206"/>
      <c r="AT927" s="206"/>
      <c r="AU927" s="206"/>
      <c r="AV927" s="206"/>
      <c r="AW927" s="207"/>
      <c r="AX927" s="207"/>
      <c r="AY927" s="207"/>
      <c r="AZ927" s="207"/>
    </row>
    <row r="928" spans="1:52" ht="12.75" x14ac:dyDescent="0.2">
      <c r="A928" s="206"/>
      <c r="B928" s="206"/>
      <c r="C928" s="206"/>
      <c r="D928" s="206"/>
      <c r="E928" s="206"/>
      <c r="F928" s="206"/>
      <c r="G928" s="206"/>
      <c r="H928" s="206"/>
      <c r="I928" s="206"/>
      <c r="J928" s="206"/>
      <c r="K928" s="206"/>
      <c r="L928" s="206"/>
      <c r="M928" s="207"/>
      <c r="N928" s="207"/>
      <c r="O928" s="208"/>
      <c r="P928" s="208"/>
      <c r="Q928" s="208"/>
      <c r="R928" s="206"/>
      <c r="S928" s="206"/>
      <c r="T928" s="206"/>
      <c r="U928" s="206"/>
      <c r="V928" s="206"/>
      <c r="W928" s="206"/>
      <c r="X928" s="207"/>
      <c r="Y928" s="207"/>
      <c r="Z928" s="207"/>
      <c r="AA928" s="206"/>
      <c r="AB928" s="206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7"/>
      <c r="AR928" s="206"/>
      <c r="AS928" s="206"/>
      <c r="AT928" s="206"/>
      <c r="AU928" s="206"/>
      <c r="AV928" s="206"/>
      <c r="AW928" s="207"/>
      <c r="AX928" s="207"/>
      <c r="AY928" s="207"/>
      <c r="AZ928" s="207"/>
    </row>
    <row r="929" spans="1:52" ht="12.75" x14ac:dyDescent="0.2">
      <c r="A929" s="206"/>
      <c r="B929" s="206"/>
      <c r="C929" s="206"/>
      <c r="D929" s="206"/>
      <c r="E929" s="206"/>
      <c r="F929" s="206"/>
      <c r="G929" s="206"/>
      <c r="H929" s="206"/>
      <c r="I929" s="206"/>
      <c r="J929" s="206"/>
      <c r="K929" s="206"/>
      <c r="L929" s="206"/>
      <c r="M929" s="207"/>
      <c r="N929" s="207"/>
      <c r="O929" s="208"/>
      <c r="P929" s="208"/>
      <c r="Q929" s="208"/>
      <c r="R929" s="206"/>
      <c r="S929" s="206"/>
      <c r="T929" s="206"/>
      <c r="U929" s="206"/>
      <c r="V929" s="206"/>
      <c r="W929" s="206"/>
      <c r="X929" s="207"/>
      <c r="Y929" s="207"/>
      <c r="Z929" s="207"/>
      <c r="AA929" s="206"/>
      <c r="AB929" s="206"/>
      <c r="AC929" s="206"/>
      <c r="AD929" s="206"/>
      <c r="AE929" s="206"/>
      <c r="AF929" s="206"/>
      <c r="AG929" s="206"/>
      <c r="AH929" s="206"/>
      <c r="AI929" s="206"/>
      <c r="AJ929" s="206"/>
      <c r="AK929" s="206"/>
      <c r="AL929" s="206"/>
      <c r="AM929" s="206"/>
      <c r="AN929" s="206"/>
      <c r="AO929" s="206"/>
      <c r="AP929" s="206"/>
      <c r="AQ929" s="207"/>
      <c r="AR929" s="206"/>
      <c r="AS929" s="206"/>
      <c r="AT929" s="206"/>
      <c r="AU929" s="206"/>
      <c r="AV929" s="206"/>
      <c r="AW929" s="207"/>
      <c r="AX929" s="207"/>
      <c r="AY929" s="207"/>
      <c r="AZ929" s="207"/>
    </row>
    <row r="930" spans="1:52" ht="12.75" x14ac:dyDescent="0.2">
      <c r="A930" s="206"/>
      <c r="B930" s="206"/>
      <c r="C930" s="206"/>
      <c r="D930" s="206"/>
      <c r="E930" s="206"/>
      <c r="F930" s="206"/>
      <c r="G930" s="206"/>
      <c r="H930" s="206"/>
      <c r="I930" s="206"/>
      <c r="J930" s="206"/>
      <c r="K930" s="206"/>
      <c r="L930" s="206"/>
      <c r="M930" s="207"/>
      <c r="N930" s="207"/>
      <c r="O930" s="208"/>
      <c r="P930" s="208"/>
      <c r="Q930" s="208"/>
      <c r="R930" s="206"/>
      <c r="S930" s="206"/>
      <c r="T930" s="206"/>
      <c r="U930" s="206"/>
      <c r="V930" s="206"/>
      <c r="W930" s="206"/>
      <c r="X930" s="207"/>
      <c r="Y930" s="207"/>
      <c r="Z930" s="207"/>
      <c r="AA930" s="206"/>
      <c r="AB930" s="206"/>
      <c r="AC930" s="206"/>
      <c r="AD930" s="206"/>
      <c r="AE930" s="206"/>
      <c r="AF930" s="206"/>
      <c r="AG930" s="206"/>
      <c r="AH930" s="206"/>
      <c r="AI930" s="206"/>
      <c r="AJ930" s="206"/>
      <c r="AK930" s="206"/>
      <c r="AL930" s="206"/>
      <c r="AM930" s="206"/>
      <c r="AN930" s="206"/>
      <c r="AO930" s="206"/>
      <c r="AP930" s="206"/>
      <c r="AQ930" s="207"/>
      <c r="AR930" s="206"/>
      <c r="AS930" s="206"/>
      <c r="AT930" s="206"/>
      <c r="AU930" s="206"/>
      <c r="AV930" s="206"/>
      <c r="AW930" s="207"/>
      <c r="AX930" s="207"/>
      <c r="AY930" s="207"/>
      <c r="AZ930" s="207"/>
    </row>
    <row r="931" spans="1:52" ht="12.75" x14ac:dyDescent="0.2">
      <c r="A931" s="206"/>
      <c r="B931" s="206"/>
      <c r="C931" s="206"/>
      <c r="D931" s="206"/>
      <c r="E931" s="206"/>
      <c r="F931" s="206"/>
      <c r="G931" s="206"/>
      <c r="H931" s="206"/>
      <c r="I931" s="206"/>
      <c r="J931" s="206"/>
      <c r="K931" s="206"/>
      <c r="L931" s="206"/>
      <c r="M931" s="207"/>
      <c r="N931" s="207"/>
      <c r="O931" s="208"/>
      <c r="P931" s="208"/>
      <c r="Q931" s="208"/>
      <c r="R931" s="206"/>
      <c r="S931" s="206"/>
      <c r="T931" s="206"/>
      <c r="U931" s="206"/>
      <c r="V931" s="206"/>
      <c r="W931" s="206"/>
      <c r="X931" s="207"/>
      <c r="Y931" s="207"/>
      <c r="Z931" s="207"/>
      <c r="AA931" s="206"/>
      <c r="AB931" s="206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7"/>
      <c r="AR931" s="206"/>
      <c r="AS931" s="206"/>
      <c r="AT931" s="206"/>
      <c r="AU931" s="206"/>
      <c r="AV931" s="206"/>
      <c r="AW931" s="207"/>
      <c r="AX931" s="207"/>
      <c r="AY931" s="207"/>
      <c r="AZ931" s="207"/>
    </row>
    <row r="932" spans="1:52" ht="12.75" x14ac:dyDescent="0.2">
      <c r="A932" s="206"/>
      <c r="B932" s="206"/>
      <c r="C932" s="206"/>
      <c r="D932" s="206"/>
      <c r="E932" s="206"/>
      <c r="F932" s="206"/>
      <c r="G932" s="206"/>
      <c r="H932" s="206"/>
      <c r="I932" s="206"/>
      <c r="J932" s="206"/>
      <c r="K932" s="206"/>
      <c r="L932" s="206"/>
      <c r="M932" s="207"/>
      <c r="N932" s="207"/>
      <c r="O932" s="208"/>
      <c r="P932" s="208"/>
      <c r="Q932" s="208"/>
      <c r="R932" s="206"/>
      <c r="S932" s="206"/>
      <c r="T932" s="206"/>
      <c r="U932" s="206"/>
      <c r="V932" s="206"/>
      <c r="W932" s="206"/>
      <c r="X932" s="207"/>
      <c r="Y932" s="207"/>
      <c r="Z932" s="207"/>
      <c r="AA932" s="206"/>
      <c r="AB932" s="206"/>
      <c r="AC932" s="206"/>
      <c r="AD932" s="206"/>
      <c r="AE932" s="206"/>
      <c r="AF932" s="206"/>
      <c r="AG932" s="206"/>
      <c r="AH932" s="206"/>
      <c r="AI932" s="206"/>
      <c r="AJ932" s="206"/>
      <c r="AK932" s="206"/>
      <c r="AL932" s="206"/>
      <c r="AM932" s="206"/>
      <c r="AN932" s="206"/>
      <c r="AO932" s="206"/>
      <c r="AP932" s="206"/>
      <c r="AQ932" s="207"/>
      <c r="AR932" s="206"/>
      <c r="AS932" s="206"/>
      <c r="AT932" s="206"/>
      <c r="AU932" s="206"/>
      <c r="AV932" s="206"/>
      <c r="AW932" s="207"/>
      <c r="AX932" s="207"/>
      <c r="AY932" s="207"/>
      <c r="AZ932" s="207"/>
    </row>
    <row r="933" spans="1:52" ht="12.75" x14ac:dyDescent="0.2">
      <c r="A933" s="206"/>
      <c r="B933" s="206"/>
      <c r="C933" s="206"/>
      <c r="D933" s="206"/>
      <c r="E933" s="206"/>
      <c r="F933" s="206"/>
      <c r="G933" s="206"/>
      <c r="H933" s="206"/>
      <c r="I933" s="206"/>
      <c r="J933" s="206"/>
      <c r="K933" s="206"/>
      <c r="L933" s="206"/>
      <c r="M933" s="207"/>
      <c r="N933" s="207"/>
      <c r="O933" s="208"/>
      <c r="P933" s="208"/>
      <c r="Q933" s="208"/>
      <c r="R933" s="206"/>
      <c r="S933" s="206"/>
      <c r="T933" s="206"/>
      <c r="U933" s="206"/>
      <c r="V933" s="206"/>
      <c r="W933" s="206"/>
      <c r="X933" s="207"/>
      <c r="Y933" s="207"/>
      <c r="Z933" s="207"/>
      <c r="AA933" s="206"/>
      <c r="AB933" s="206"/>
      <c r="AC933" s="206"/>
      <c r="AD933" s="206"/>
      <c r="AE933" s="206"/>
      <c r="AF933" s="206"/>
      <c r="AG933" s="206"/>
      <c r="AH933" s="206"/>
      <c r="AI933" s="206"/>
      <c r="AJ933" s="206"/>
      <c r="AK933" s="206"/>
      <c r="AL933" s="206"/>
      <c r="AM933" s="206"/>
      <c r="AN933" s="206"/>
      <c r="AO933" s="206"/>
      <c r="AP933" s="206"/>
      <c r="AQ933" s="207"/>
      <c r="AR933" s="206"/>
      <c r="AS933" s="206"/>
      <c r="AT933" s="206"/>
      <c r="AU933" s="206"/>
      <c r="AV933" s="206"/>
      <c r="AW933" s="207"/>
      <c r="AX933" s="207"/>
      <c r="AY933" s="207"/>
      <c r="AZ933" s="207"/>
    </row>
    <row r="934" spans="1:52" ht="12.75" x14ac:dyDescent="0.2">
      <c r="A934" s="206"/>
      <c r="B934" s="206"/>
      <c r="C934" s="206"/>
      <c r="D934" s="206"/>
      <c r="E934" s="206"/>
      <c r="F934" s="206"/>
      <c r="G934" s="206"/>
      <c r="H934" s="206"/>
      <c r="I934" s="206"/>
      <c r="J934" s="206"/>
      <c r="K934" s="206"/>
      <c r="L934" s="206"/>
      <c r="M934" s="207"/>
      <c r="N934" s="207"/>
      <c r="O934" s="208"/>
      <c r="P934" s="208"/>
      <c r="Q934" s="208"/>
      <c r="R934" s="206"/>
      <c r="S934" s="206"/>
      <c r="T934" s="206"/>
      <c r="U934" s="206"/>
      <c r="V934" s="206"/>
      <c r="W934" s="206"/>
      <c r="X934" s="207"/>
      <c r="Y934" s="207"/>
      <c r="Z934" s="207"/>
      <c r="AA934" s="206"/>
      <c r="AB934" s="206"/>
      <c r="AC934" s="206"/>
      <c r="AD934" s="206"/>
      <c r="AE934" s="206"/>
      <c r="AF934" s="206"/>
      <c r="AG934" s="206"/>
      <c r="AH934" s="206"/>
      <c r="AI934" s="206"/>
      <c r="AJ934" s="206"/>
      <c r="AK934" s="206"/>
      <c r="AL934" s="206"/>
      <c r="AM934" s="206"/>
      <c r="AN934" s="206"/>
      <c r="AO934" s="206"/>
      <c r="AP934" s="206"/>
      <c r="AQ934" s="207"/>
      <c r="AR934" s="206"/>
      <c r="AS934" s="206"/>
      <c r="AT934" s="206"/>
      <c r="AU934" s="206"/>
      <c r="AV934" s="206"/>
      <c r="AW934" s="207"/>
      <c r="AX934" s="207"/>
      <c r="AY934" s="207"/>
      <c r="AZ934" s="207"/>
    </row>
    <row r="935" spans="1:52" ht="12.75" x14ac:dyDescent="0.2">
      <c r="A935" s="206"/>
      <c r="B935" s="206"/>
      <c r="C935" s="206"/>
      <c r="D935" s="206"/>
      <c r="E935" s="206"/>
      <c r="F935" s="206"/>
      <c r="G935" s="206"/>
      <c r="H935" s="206"/>
      <c r="I935" s="206"/>
      <c r="J935" s="206"/>
      <c r="K935" s="206"/>
      <c r="L935" s="206"/>
      <c r="M935" s="207"/>
      <c r="N935" s="207"/>
      <c r="O935" s="208"/>
      <c r="P935" s="208"/>
      <c r="Q935" s="208"/>
      <c r="R935" s="206"/>
      <c r="S935" s="206"/>
      <c r="T935" s="206"/>
      <c r="U935" s="206"/>
      <c r="V935" s="206"/>
      <c r="W935" s="206"/>
      <c r="X935" s="207"/>
      <c r="Y935" s="207"/>
      <c r="Z935" s="207"/>
      <c r="AA935" s="206"/>
      <c r="AB935" s="206"/>
      <c r="AC935" s="206"/>
      <c r="AD935" s="206"/>
      <c r="AE935" s="206"/>
      <c r="AF935" s="206"/>
      <c r="AG935" s="206"/>
      <c r="AH935" s="206"/>
      <c r="AI935" s="206"/>
      <c r="AJ935" s="206"/>
      <c r="AK935" s="206"/>
      <c r="AL935" s="206"/>
      <c r="AM935" s="206"/>
      <c r="AN935" s="206"/>
      <c r="AO935" s="206"/>
      <c r="AP935" s="206"/>
      <c r="AQ935" s="207"/>
      <c r="AR935" s="206"/>
      <c r="AS935" s="206"/>
      <c r="AT935" s="206"/>
      <c r="AU935" s="206"/>
      <c r="AV935" s="206"/>
      <c r="AW935" s="207"/>
      <c r="AX935" s="207"/>
      <c r="AY935" s="207"/>
      <c r="AZ935" s="207"/>
    </row>
    <row r="936" spans="1:52" ht="12.75" x14ac:dyDescent="0.2">
      <c r="A936" s="206"/>
      <c r="B936" s="206"/>
      <c r="C936" s="206"/>
      <c r="D936" s="206"/>
      <c r="E936" s="206"/>
      <c r="F936" s="206"/>
      <c r="G936" s="206"/>
      <c r="H936" s="206"/>
      <c r="I936" s="206"/>
      <c r="J936" s="206"/>
      <c r="K936" s="206"/>
      <c r="L936" s="206"/>
      <c r="M936" s="207"/>
      <c r="N936" s="207"/>
      <c r="O936" s="208"/>
      <c r="P936" s="208"/>
      <c r="Q936" s="208"/>
      <c r="R936" s="206"/>
      <c r="S936" s="206"/>
      <c r="T936" s="206"/>
      <c r="U936" s="206"/>
      <c r="V936" s="206"/>
      <c r="W936" s="206"/>
      <c r="X936" s="207"/>
      <c r="Y936" s="207"/>
      <c r="Z936" s="207"/>
      <c r="AA936" s="206"/>
      <c r="AB936" s="206"/>
      <c r="AC936" s="206"/>
      <c r="AD936" s="206"/>
      <c r="AE936" s="206"/>
      <c r="AF936" s="206"/>
      <c r="AG936" s="206"/>
      <c r="AH936" s="206"/>
      <c r="AI936" s="206"/>
      <c r="AJ936" s="206"/>
      <c r="AK936" s="206"/>
      <c r="AL936" s="206"/>
      <c r="AM936" s="206"/>
      <c r="AN936" s="206"/>
      <c r="AO936" s="206"/>
      <c r="AP936" s="206"/>
      <c r="AQ936" s="207"/>
      <c r="AR936" s="206"/>
      <c r="AS936" s="206"/>
      <c r="AT936" s="206"/>
      <c r="AU936" s="206"/>
      <c r="AV936" s="206"/>
      <c r="AW936" s="207"/>
      <c r="AX936" s="207"/>
      <c r="AY936" s="207"/>
      <c r="AZ936" s="207"/>
    </row>
    <row r="937" spans="1:52" ht="12.75" x14ac:dyDescent="0.2">
      <c r="A937" s="206"/>
      <c r="B937" s="206"/>
      <c r="C937" s="206"/>
      <c r="D937" s="206"/>
      <c r="E937" s="206"/>
      <c r="F937" s="206"/>
      <c r="G937" s="206"/>
      <c r="H937" s="206"/>
      <c r="I937" s="206"/>
      <c r="J937" s="206"/>
      <c r="K937" s="206"/>
      <c r="L937" s="206"/>
      <c r="M937" s="207"/>
      <c r="N937" s="207"/>
      <c r="O937" s="208"/>
      <c r="P937" s="208"/>
      <c r="Q937" s="208"/>
      <c r="R937" s="206"/>
      <c r="S937" s="206"/>
      <c r="T937" s="206"/>
      <c r="U937" s="206"/>
      <c r="V937" s="206"/>
      <c r="W937" s="206"/>
      <c r="X937" s="207"/>
      <c r="Y937" s="207"/>
      <c r="Z937" s="207"/>
      <c r="AA937" s="206"/>
      <c r="AB937" s="206"/>
      <c r="AC937" s="206"/>
      <c r="AD937" s="206"/>
      <c r="AE937" s="206"/>
      <c r="AF937" s="206"/>
      <c r="AG937" s="206"/>
      <c r="AH937" s="206"/>
      <c r="AI937" s="206"/>
      <c r="AJ937" s="206"/>
      <c r="AK937" s="206"/>
      <c r="AL937" s="206"/>
      <c r="AM937" s="206"/>
      <c r="AN937" s="206"/>
      <c r="AO937" s="206"/>
      <c r="AP937" s="206"/>
      <c r="AQ937" s="207"/>
      <c r="AR937" s="206"/>
      <c r="AS937" s="206"/>
      <c r="AT937" s="206"/>
      <c r="AU937" s="206"/>
      <c r="AV937" s="206"/>
      <c r="AW937" s="207"/>
      <c r="AX937" s="207"/>
      <c r="AY937" s="207"/>
      <c r="AZ937" s="207"/>
    </row>
    <row r="938" spans="1:52" ht="12.75" x14ac:dyDescent="0.2">
      <c r="A938" s="206"/>
      <c r="B938" s="206"/>
      <c r="C938" s="206"/>
      <c r="D938" s="206"/>
      <c r="E938" s="206"/>
      <c r="F938" s="206"/>
      <c r="G938" s="206"/>
      <c r="H938" s="206"/>
      <c r="I938" s="206"/>
      <c r="J938" s="206"/>
      <c r="K938" s="206"/>
      <c r="L938" s="206"/>
      <c r="M938" s="207"/>
      <c r="N938" s="207"/>
      <c r="O938" s="208"/>
      <c r="P938" s="208"/>
      <c r="Q938" s="208"/>
      <c r="R938" s="206"/>
      <c r="S938" s="206"/>
      <c r="T938" s="206"/>
      <c r="U938" s="206"/>
      <c r="V938" s="206"/>
      <c r="W938" s="206"/>
      <c r="X938" s="207"/>
      <c r="Y938" s="207"/>
      <c r="Z938" s="207"/>
      <c r="AA938" s="206"/>
      <c r="AB938" s="206"/>
      <c r="AC938" s="206"/>
      <c r="AD938" s="206"/>
      <c r="AE938" s="206"/>
      <c r="AF938" s="206"/>
      <c r="AG938" s="206"/>
      <c r="AH938" s="206"/>
      <c r="AI938" s="206"/>
      <c r="AJ938" s="206"/>
      <c r="AK938" s="206"/>
      <c r="AL938" s="206"/>
      <c r="AM938" s="206"/>
      <c r="AN938" s="206"/>
      <c r="AO938" s="206"/>
      <c r="AP938" s="206"/>
      <c r="AQ938" s="207"/>
      <c r="AR938" s="206"/>
      <c r="AS938" s="206"/>
      <c r="AT938" s="206"/>
      <c r="AU938" s="206"/>
      <c r="AV938" s="206"/>
      <c r="AW938" s="207"/>
      <c r="AX938" s="207"/>
      <c r="AY938" s="207"/>
      <c r="AZ938" s="207"/>
    </row>
    <row r="939" spans="1:52" ht="12.75" x14ac:dyDescent="0.2">
      <c r="A939" s="206"/>
      <c r="B939" s="206"/>
      <c r="C939" s="206"/>
      <c r="D939" s="206"/>
      <c r="E939" s="206"/>
      <c r="F939" s="206"/>
      <c r="G939" s="206"/>
      <c r="H939" s="206"/>
      <c r="I939" s="206"/>
      <c r="J939" s="206"/>
      <c r="K939" s="206"/>
      <c r="L939" s="206"/>
      <c r="M939" s="207"/>
      <c r="N939" s="207"/>
      <c r="O939" s="208"/>
      <c r="P939" s="208"/>
      <c r="Q939" s="208"/>
      <c r="R939" s="206"/>
      <c r="S939" s="206"/>
      <c r="T939" s="206"/>
      <c r="U939" s="206"/>
      <c r="V939" s="206"/>
      <c r="W939" s="206"/>
      <c r="X939" s="207"/>
      <c r="Y939" s="207"/>
      <c r="Z939" s="207"/>
      <c r="AA939" s="206"/>
      <c r="AB939" s="206"/>
      <c r="AC939" s="206"/>
      <c r="AD939" s="206"/>
      <c r="AE939" s="206"/>
      <c r="AF939" s="206"/>
      <c r="AG939" s="206"/>
      <c r="AH939" s="206"/>
      <c r="AI939" s="206"/>
      <c r="AJ939" s="206"/>
      <c r="AK939" s="206"/>
      <c r="AL939" s="206"/>
      <c r="AM939" s="206"/>
      <c r="AN939" s="206"/>
      <c r="AO939" s="206"/>
      <c r="AP939" s="206"/>
      <c r="AQ939" s="207"/>
      <c r="AR939" s="206"/>
      <c r="AS939" s="206"/>
      <c r="AT939" s="206"/>
      <c r="AU939" s="206"/>
      <c r="AV939" s="206"/>
      <c r="AW939" s="207"/>
      <c r="AX939" s="207"/>
      <c r="AY939" s="207"/>
      <c r="AZ939" s="207"/>
    </row>
    <row r="940" spans="1:52" ht="12.75" x14ac:dyDescent="0.2">
      <c r="A940" s="206"/>
      <c r="B940" s="206"/>
      <c r="C940" s="206"/>
      <c r="D940" s="206"/>
      <c r="E940" s="206"/>
      <c r="F940" s="206"/>
      <c r="G940" s="206"/>
      <c r="H940" s="206"/>
      <c r="I940" s="206"/>
      <c r="J940" s="206"/>
      <c r="K940" s="206"/>
      <c r="L940" s="206"/>
      <c r="M940" s="207"/>
      <c r="N940" s="207"/>
      <c r="O940" s="208"/>
      <c r="P940" s="208"/>
      <c r="Q940" s="208"/>
      <c r="R940" s="206"/>
      <c r="S940" s="206"/>
      <c r="T940" s="206"/>
      <c r="U940" s="206"/>
      <c r="V940" s="206"/>
      <c r="W940" s="206"/>
      <c r="X940" s="207"/>
      <c r="Y940" s="207"/>
      <c r="Z940" s="207"/>
      <c r="AA940" s="206"/>
      <c r="AB940" s="206"/>
      <c r="AC940" s="206"/>
      <c r="AD940" s="206"/>
      <c r="AE940" s="206"/>
      <c r="AF940" s="206"/>
      <c r="AG940" s="206"/>
      <c r="AH940" s="206"/>
      <c r="AI940" s="206"/>
      <c r="AJ940" s="206"/>
      <c r="AK940" s="206"/>
      <c r="AL940" s="206"/>
      <c r="AM940" s="206"/>
      <c r="AN940" s="206"/>
      <c r="AO940" s="206"/>
      <c r="AP940" s="206"/>
      <c r="AQ940" s="207"/>
      <c r="AR940" s="206"/>
      <c r="AS940" s="206"/>
      <c r="AT940" s="206"/>
      <c r="AU940" s="206"/>
      <c r="AV940" s="206"/>
      <c r="AW940" s="207"/>
      <c r="AX940" s="207"/>
      <c r="AY940" s="207"/>
      <c r="AZ940" s="207"/>
    </row>
    <row r="941" spans="1:52" ht="12.75" x14ac:dyDescent="0.2">
      <c r="A941" s="206"/>
      <c r="B941" s="206"/>
      <c r="C941" s="206"/>
      <c r="D941" s="206"/>
      <c r="E941" s="206"/>
      <c r="F941" s="206"/>
      <c r="G941" s="206"/>
      <c r="H941" s="206"/>
      <c r="I941" s="206"/>
      <c r="J941" s="206"/>
      <c r="K941" s="206"/>
      <c r="L941" s="206"/>
      <c r="M941" s="207"/>
      <c r="N941" s="207"/>
      <c r="O941" s="208"/>
      <c r="P941" s="208"/>
      <c r="Q941" s="208"/>
      <c r="R941" s="206"/>
      <c r="S941" s="206"/>
      <c r="T941" s="206"/>
      <c r="U941" s="206"/>
      <c r="V941" s="206"/>
      <c r="W941" s="206"/>
      <c r="X941" s="207"/>
      <c r="Y941" s="207"/>
      <c r="Z941" s="207"/>
      <c r="AA941" s="206"/>
      <c r="AB941" s="206"/>
      <c r="AC941" s="206"/>
      <c r="AD941" s="206"/>
      <c r="AE941" s="206"/>
      <c r="AF941" s="206"/>
      <c r="AG941" s="206"/>
      <c r="AH941" s="206"/>
      <c r="AI941" s="206"/>
      <c r="AJ941" s="206"/>
      <c r="AK941" s="206"/>
      <c r="AL941" s="206"/>
      <c r="AM941" s="206"/>
      <c r="AN941" s="206"/>
      <c r="AO941" s="206"/>
      <c r="AP941" s="206"/>
      <c r="AQ941" s="207"/>
      <c r="AR941" s="206"/>
      <c r="AS941" s="206"/>
      <c r="AT941" s="206"/>
      <c r="AU941" s="206"/>
      <c r="AV941" s="206"/>
      <c r="AW941" s="207"/>
      <c r="AX941" s="207"/>
      <c r="AY941" s="207"/>
      <c r="AZ941" s="207"/>
    </row>
    <row r="942" spans="1:52" ht="12.75" x14ac:dyDescent="0.2">
      <c r="A942" s="206"/>
      <c r="B942" s="206"/>
      <c r="C942" s="206"/>
      <c r="D942" s="206"/>
      <c r="E942" s="206"/>
      <c r="F942" s="206"/>
      <c r="G942" s="206"/>
      <c r="H942" s="206"/>
      <c r="I942" s="206"/>
      <c r="J942" s="206"/>
      <c r="K942" s="206"/>
      <c r="L942" s="206"/>
      <c r="M942" s="207"/>
      <c r="N942" s="207"/>
      <c r="O942" s="208"/>
      <c r="P942" s="208"/>
      <c r="Q942" s="208"/>
      <c r="R942" s="206"/>
      <c r="S942" s="206"/>
      <c r="T942" s="206"/>
      <c r="U942" s="206"/>
      <c r="V942" s="206"/>
      <c r="W942" s="206"/>
      <c r="X942" s="207"/>
      <c r="Y942" s="207"/>
      <c r="Z942" s="207"/>
      <c r="AA942" s="206"/>
      <c r="AB942" s="206"/>
      <c r="AC942" s="206"/>
      <c r="AD942" s="206"/>
      <c r="AE942" s="206"/>
      <c r="AF942" s="206"/>
      <c r="AG942" s="206"/>
      <c r="AH942" s="206"/>
      <c r="AI942" s="206"/>
      <c r="AJ942" s="206"/>
      <c r="AK942" s="206"/>
      <c r="AL942" s="206"/>
      <c r="AM942" s="206"/>
      <c r="AN942" s="206"/>
      <c r="AO942" s="206"/>
      <c r="AP942" s="206"/>
      <c r="AQ942" s="207"/>
      <c r="AR942" s="206"/>
      <c r="AS942" s="206"/>
      <c r="AT942" s="206"/>
      <c r="AU942" s="206"/>
      <c r="AV942" s="206"/>
      <c r="AW942" s="207"/>
      <c r="AX942" s="207"/>
      <c r="AY942" s="207"/>
      <c r="AZ942" s="207"/>
    </row>
    <row r="943" spans="1:52" ht="12.75" x14ac:dyDescent="0.2">
      <c r="A943" s="206"/>
      <c r="B943" s="206"/>
      <c r="C943" s="206"/>
      <c r="D943" s="206"/>
      <c r="E943" s="206"/>
      <c r="F943" s="206"/>
      <c r="G943" s="206"/>
      <c r="H943" s="206"/>
      <c r="I943" s="206"/>
      <c r="J943" s="206"/>
      <c r="K943" s="206"/>
      <c r="L943" s="206"/>
      <c r="M943" s="207"/>
      <c r="N943" s="207"/>
      <c r="O943" s="208"/>
      <c r="P943" s="208"/>
      <c r="Q943" s="208"/>
      <c r="R943" s="206"/>
      <c r="S943" s="206"/>
      <c r="T943" s="206"/>
      <c r="U943" s="206"/>
      <c r="V943" s="206"/>
      <c r="W943" s="206"/>
      <c r="X943" s="207"/>
      <c r="Y943" s="207"/>
      <c r="Z943" s="207"/>
      <c r="AA943" s="206"/>
      <c r="AB943" s="206"/>
      <c r="AC943" s="206"/>
      <c r="AD943" s="206"/>
      <c r="AE943" s="206"/>
      <c r="AF943" s="206"/>
      <c r="AG943" s="206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7"/>
      <c r="AR943" s="206"/>
      <c r="AS943" s="206"/>
      <c r="AT943" s="206"/>
      <c r="AU943" s="206"/>
      <c r="AV943" s="206"/>
      <c r="AW943" s="207"/>
      <c r="AX943" s="207"/>
      <c r="AY943" s="207"/>
      <c r="AZ943" s="207"/>
    </row>
    <row r="944" spans="1:52" ht="12.75" x14ac:dyDescent="0.2">
      <c r="A944" s="206"/>
      <c r="B944" s="206"/>
      <c r="C944" s="206"/>
      <c r="D944" s="206"/>
      <c r="E944" s="206"/>
      <c r="F944" s="206"/>
      <c r="G944" s="206"/>
      <c r="H944" s="206"/>
      <c r="I944" s="206"/>
      <c r="J944" s="206"/>
      <c r="K944" s="206"/>
      <c r="L944" s="206"/>
      <c r="M944" s="207"/>
      <c r="N944" s="207"/>
      <c r="O944" s="208"/>
      <c r="P944" s="208"/>
      <c r="Q944" s="208"/>
      <c r="R944" s="206"/>
      <c r="S944" s="206"/>
      <c r="T944" s="206"/>
      <c r="U944" s="206"/>
      <c r="V944" s="206"/>
      <c r="W944" s="206"/>
      <c r="X944" s="207"/>
      <c r="Y944" s="207"/>
      <c r="Z944" s="207"/>
      <c r="AA944" s="206"/>
      <c r="AB944" s="206"/>
      <c r="AC944" s="206"/>
      <c r="AD944" s="206"/>
      <c r="AE944" s="206"/>
      <c r="AF944" s="206"/>
      <c r="AG944" s="206"/>
      <c r="AH944" s="206"/>
      <c r="AI944" s="206"/>
      <c r="AJ944" s="206"/>
      <c r="AK944" s="206"/>
      <c r="AL944" s="206"/>
      <c r="AM944" s="206"/>
      <c r="AN944" s="206"/>
      <c r="AO944" s="206"/>
      <c r="AP944" s="206"/>
      <c r="AQ944" s="207"/>
      <c r="AR944" s="206"/>
      <c r="AS944" s="206"/>
      <c r="AT944" s="206"/>
      <c r="AU944" s="206"/>
      <c r="AV944" s="206"/>
      <c r="AW944" s="207"/>
      <c r="AX944" s="207"/>
      <c r="AY944" s="207"/>
      <c r="AZ944" s="207"/>
    </row>
    <row r="945" spans="1:52" ht="12.75" x14ac:dyDescent="0.2">
      <c r="A945" s="206"/>
      <c r="B945" s="206"/>
      <c r="C945" s="206"/>
      <c r="D945" s="206"/>
      <c r="E945" s="206"/>
      <c r="F945" s="206"/>
      <c r="G945" s="206"/>
      <c r="H945" s="206"/>
      <c r="I945" s="206"/>
      <c r="J945" s="206"/>
      <c r="K945" s="206"/>
      <c r="L945" s="206"/>
      <c r="M945" s="207"/>
      <c r="N945" s="207"/>
      <c r="O945" s="208"/>
      <c r="P945" s="208"/>
      <c r="Q945" s="208"/>
      <c r="R945" s="206"/>
      <c r="S945" s="206"/>
      <c r="T945" s="206"/>
      <c r="U945" s="206"/>
      <c r="V945" s="206"/>
      <c r="W945" s="206"/>
      <c r="X945" s="207"/>
      <c r="Y945" s="207"/>
      <c r="Z945" s="207"/>
      <c r="AA945" s="206"/>
      <c r="AB945" s="206"/>
      <c r="AC945" s="206"/>
      <c r="AD945" s="206"/>
      <c r="AE945" s="206"/>
      <c r="AF945" s="206"/>
      <c r="AG945" s="206"/>
      <c r="AH945" s="206"/>
      <c r="AI945" s="206"/>
      <c r="AJ945" s="206"/>
      <c r="AK945" s="206"/>
      <c r="AL945" s="206"/>
      <c r="AM945" s="206"/>
      <c r="AN945" s="206"/>
      <c r="AO945" s="206"/>
      <c r="AP945" s="206"/>
      <c r="AQ945" s="207"/>
      <c r="AR945" s="206"/>
      <c r="AS945" s="206"/>
      <c r="AT945" s="206"/>
      <c r="AU945" s="206"/>
      <c r="AV945" s="206"/>
      <c r="AW945" s="207"/>
      <c r="AX945" s="207"/>
      <c r="AY945" s="207"/>
      <c r="AZ945" s="207"/>
    </row>
    <row r="946" spans="1:52" ht="12.75" x14ac:dyDescent="0.2">
      <c r="A946" s="206"/>
      <c r="B946" s="206"/>
      <c r="C946" s="206"/>
      <c r="D946" s="206"/>
      <c r="E946" s="206"/>
      <c r="F946" s="206"/>
      <c r="G946" s="206"/>
      <c r="H946" s="206"/>
      <c r="I946" s="206"/>
      <c r="J946" s="206"/>
      <c r="K946" s="206"/>
      <c r="L946" s="206"/>
      <c r="M946" s="207"/>
      <c r="N946" s="207"/>
      <c r="O946" s="208"/>
      <c r="P946" s="208"/>
      <c r="Q946" s="208"/>
      <c r="R946" s="206"/>
      <c r="S946" s="206"/>
      <c r="T946" s="206"/>
      <c r="U946" s="206"/>
      <c r="V946" s="206"/>
      <c r="W946" s="206"/>
      <c r="X946" s="207"/>
      <c r="Y946" s="207"/>
      <c r="Z946" s="207"/>
      <c r="AA946" s="206"/>
      <c r="AB946" s="206"/>
      <c r="AC946" s="206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7"/>
      <c r="AR946" s="206"/>
      <c r="AS946" s="206"/>
      <c r="AT946" s="206"/>
      <c r="AU946" s="206"/>
      <c r="AV946" s="206"/>
      <c r="AW946" s="207"/>
      <c r="AX946" s="207"/>
      <c r="AY946" s="207"/>
      <c r="AZ946" s="207"/>
    </row>
    <row r="947" spans="1:52" ht="12.75" x14ac:dyDescent="0.2">
      <c r="A947" s="206"/>
      <c r="B947" s="206"/>
      <c r="C947" s="206"/>
      <c r="D947" s="206"/>
      <c r="E947" s="206"/>
      <c r="F947" s="206"/>
      <c r="G947" s="206"/>
      <c r="H947" s="206"/>
      <c r="I947" s="206"/>
      <c r="J947" s="206"/>
      <c r="K947" s="206"/>
      <c r="L947" s="206"/>
      <c r="M947" s="207"/>
      <c r="N947" s="207"/>
      <c r="O947" s="208"/>
      <c r="P947" s="208"/>
      <c r="Q947" s="208"/>
      <c r="R947" s="206"/>
      <c r="S947" s="206"/>
      <c r="T947" s="206"/>
      <c r="U947" s="206"/>
      <c r="V947" s="206"/>
      <c r="W947" s="206"/>
      <c r="X947" s="207"/>
      <c r="Y947" s="207"/>
      <c r="Z947" s="207"/>
      <c r="AA947" s="206"/>
      <c r="AB947" s="206"/>
      <c r="AC947" s="206"/>
      <c r="AD947" s="206"/>
      <c r="AE947" s="206"/>
      <c r="AF947" s="206"/>
      <c r="AG947" s="206"/>
      <c r="AH947" s="206"/>
      <c r="AI947" s="206"/>
      <c r="AJ947" s="206"/>
      <c r="AK947" s="206"/>
      <c r="AL947" s="206"/>
      <c r="AM947" s="206"/>
      <c r="AN947" s="206"/>
      <c r="AO947" s="206"/>
      <c r="AP947" s="206"/>
      <c r="AQ947" s="207"/>
      <c r="AR947" s="206"/>
      <c r="AS947" s="206"/>
      <c r="AT947" s="206"/>
      <c r="AU947" s="206"/>
      <c r="AV947" s="206"/>
      <c r="AW947" s="207"/>
      <c r="AX947" s="207"/>
      <c r="AY947" s="207"/>
      <c r="AZ947" s="207"/>
    </row>
    <row r="948" spans="1:52" ht="12.75" x14ac:dyDescent="0.2">
      <c r="A948" s="206"/>
      <c r="B948" s="206"/>
      <c r="C948" s="206"/>
      <c r="D948" s="206"/>
      <c r="E948" s="206"/>
      <c r="F948" s="206"/>
      <c r="G948" s="206"/>
      <c r="H948" s="206"/>
      <c r="I948" s="206"/>
      <c r="J948" s="206"/>
      <c r="K948" s="206"/>
      <c r="L948" s="206"/>
      <c r="M948" s="207"/>
      <c r="N948" s="207"/>
      <c r="O948" s="208"/>
      <c r="P948" s="208"/>
      <c r="Q948" s="208"/>
      <c r="R948" s="206"/>
      <c r="S948" s="206"/>
      <c r="T948" s="206"/>
      <c r="U948" s="206"/>
      <c r="V948" s="206"/>
      <c r="W948" s="206"/>
      <c r="X948" s="207"/>
      <c r="Y948" s="207"/>
      <c r="Z948" s="207"/>
      <c r="AA948" s="206"/>
      <c r="AB948" s="206"/>
      <c r="AC948" s="206"/>
      <c r="AD948" s="206"/>
      <c r="AE948" s="206"/>
      <c r="AF948" s="206"/>
      <c r="AG948" s="206"/>
      <c r="AH948" s="206"/>
      <c r="AI948" s="206"/>
      <c r="AJ948" s="206"/>
      <c r="AK948" s="206"/>
      <c r="AL948" s="206"/>
      <c r="AM948" s="206"/>
      <c r="AN948" s="206"/>
      <c r="AO948" s="206"/>
      <c r="AP948" s="206"/>
      <c r="AQ948" s="207"/>
      <c r="AR948" s="206"/>
      <c r="AS948" s="206"/>
      <c r="AT948" s="206"/>
      <c r="AU948" s="206"/>
      <c r="AV948" s="206"/>
      <c r="AW948" s="207"/>
      <c r="AX948" s="207"/>
      <c r="AY948" s="207"/>
      <c r="AZ948" s="207"/>
    </row>
    <row r="949" spans="1:52" ht="12.75" x14ac:dyDescent="0.2">
      <c r="A949" s="206"/>
      <c r="B949" s="206"/>
      <c r="C949" s="206"/>
      <c r="D949" s="206"/>
      <c r="E949" s="206"/>
      <c r="F949" s="206"/>
      <c r="G949" s="206"/>
      <c r="H949" s="206"/>
      <c r="I949" s="206"/>
      <c r="J949" s="206"/>
      <c r="K949" s="206"/>
      <c r="L949" s="206"/>
      <c r="M949" s="207"/>
      <c r="N949" s="207"/>
      <c r="O949" s="208"/>
      <c r="P949" s="208"/>
      <c r="Q949" s="208"/>
      <c r="R949" s="206"/>
      <c r="S949" s="206"/>
      <c r="T949" s="206"/>
      <c r="U949" s="206"/>
      <c r="V949" s="206"/>
      <c r="W949" s="206"/>
      <c r="X949" s="207"/>
      <c r="Y949" s="207"/>
      <c r="Z949" s="207"/>
      <c r="AA949" s="206"/>
      <c r="AB949" s="206"/>
      <c r="AC949" s="206"/>
      <c r="AD949" s="206"/>
      <c r="AE949" s="206"/>
      <c r="AF949" s="206"/>
      <c r="AG949" s="206"/>
      <c r="AH949" s="206"/>
      <c r="AI949" s="206"/>
      <c r="AJ949" s="206"/>
      <c r="AK949" s="206"/>
      <c r="AL949" s="206"/>
      <c r="AM949" s="206"/>
      <c r="AN949" s="206"/>
      <c r="AO949" s="206"/>
      <c r="AP949" s="206"/>
      <c r="AQ949" s="207"/>
      <c r="AR949" s="206"/>
      <c r="AS949" s="206"/>
      <c r="AT949" s="206"/>
      <c r="AU949" s="206"/>
      <c r="AV949" s="206"/>
      <c r="AW949" s="207"/>
      <c r="AX949" s="207"/>
      <c r="AY949" s="207"/>
      <c r="AZ949" s="207"/>
    </row>
    <row r="950" spans="1:52" ht="12.75" x14ac:dyDescent="0.2">
      <c r="A950" s="206"/>
      <c r="B950" s="206"/>
      <c r="C950" s="206"/>
      <c r="D950" s="206"/>
      <c r="E950" s="206"/>
      <c r="F950" s="206"/>
      <c r="G950" s="206"/>
      <c r="H950" s="206"/>
      <c r="I950" s="206"/>
      <c r="J950" s="206"/>
      <c r="K950" s="206"/>
      <c r="L950" s="206"/>
      <c r="M950" s="207"/>
      <c r="N950" s="207"/>
      <c r="O950" s="208"/>
      <c r="P950" s="208"/>
      <c r="Q950" s="208"/>
      <c r="R950" s="206"/>
      <c r="S950" s="206"/>
      <c r="T950" s="206"/>
      <c r="U950" s="206"/>
      <c r="V950" s="206"/>
      <c r="W950" s="206"/>
      <c r="X950" s="207"/>
      <c r="Y950" s="207"/>
      <c r="Z950" s="207"/>
      <c r="AA950" s="206"/>
      <c r="AB950" s="206"/>
      <c r="AC950" s="206"/>
      <c r="AD950" s="206"/>
      <c r="AE950" s="206"/>
      <c r="AF950" s="206"/>
      <c r="AG950" s="206"/>
      <c r="AH950" s="206"/>
      <c r="AI950" s="206"/>
      <c r="AJ950" s="206"/>
      <c r="AK950" s="206"/>
      <c r="AL950" s="206"/>
      <c r="AM950" s="206"/>
      <c r="AN950" s="206"/>
      <c r="AO950" s="206"/>
      <c r="AP950" s="206"/>
      <c r="AQ950" s="207"/>
      <c r="AR950" s="206"/>
      <c r="AS950" s="206"/>
      <c r="AT950" s="206"/>
      <c r="AU950" s="206"/>
      <c r="AV950" s="206"/>
      <c r="AW950" s="207"/>
      <c r="AX950" s="207"/>
      <c r="AY950" s="207"/>
      <c r="AZ950" s="207"/>
    </row>
    <row r="951" spans="1:52" ht="12.75" x14ac:dyDescent="0.2">
      <c r="A951" s="206"/>
      <c r="B951" s="206"/>
      <c r="C951" s="206"/>
      <c r="D951" s="206"/>
      <c r="E951" s="206"/>
      <c r="F951" s="206"/>
      <c r="G951" s="206"/>
      <c r="H951" s="206"/>
      <c r="I951" s="206"/>
      <c r="J951" s="206"/>
      <c r="K951" s="206"/>
      <c r="L951" s="206"/>
      <c r="M951" s="207"/>
      <c r="N951" s="207"/>
      <c r="O951" s="208"/>
      <c r="P951" s="208"/>
      <c r="Q951" s="208"/>
      <c r="R951" s="206"/>
      <c r="S951" s="206"/>
      <c r="T951" s="206"/>
      <c r="U951" s="206"/>
      <c r="V951" s="206"/>
      <c r="W951" s="206"/>
      <c r="X951" s="207"/>
      <c r="Y951" s="207"/>
      <c r="Z951" s="207"/>
      <c r="AA951" s="206"/>
      <c r="AB951" s="206"/>
      <c r="AC951" s="206"/>
      <c r="AD951" s="206"/>
      <c r="AE951" s="206"/>
      <c r="AF951" s="206"/>
      <c r="AG951" s="206"/>
      <c r="AH951" s="206"/>
      <c r="AI951" s="206"/>
      <c r="AJ951" s="206"/>
      <c r="AK951" s="206"/>
      <c r="AL951" s="206"/>
      <c r="AM951" s="206"/>
      <c r="AN951" s="206"/>
      <c r="AO951" s="206"/>
      <c r="AP951" s="206"/>
      <c r="AQ951" s="207"/>
      <c r="AR951" s="206"/>
      <c r="AS951" s="206"/>
      <c r="AT951" s="206"/>
      <c r="AU951" s="206"/>
      <c r="AV951" s="206"/>
      <c r="AW951" s="207"/>
      <c r="AX951" s="207"/>
      <c r="AY951" s="207"/>
      <c r="AZ951" s="207"/>
    </row>
    <row r="952" spans="1:52" ht="12.75" x14ac:dyDescent="0.2">
      <c r="A952" s="206"/>
      <c r="B952" s="206"/>
      <c r="C952" s="206"/>
      <c r="D952" s="206"/>
      <c r="E952" s="206"/>
      <c r="F952" s="206"/>
      <c r="G952" s="206"/>
      <c r="H952" s="206"/>
      <c r="I952" s="206"/>
      <c r="J952" s="206"/>
      <c r="K952" s="206"/>
      <c r="L952" s="206"/>
      <c r="M952" s="207"/>
      <c r="N952" s="207"/>
      <c r="O952" s="208"/>
      <c r="P952" s="208"/>
      <c r="Q952" s="208"/>
      <c r="R952" s="206"/>
      <c r="S952" s="206"/>
      <c r="T952" s="206"/>
      <c r="U952" s="206"/>
      <c r="V952" s="206"/>
      <c r="W952" s="206"/>
      <c r="X952" s="207"/>
      <c r="Y952" s="207"/>
      <c r="Z952" s="207"/>
      <c r="AA952" s="206"/>
      <c r="AB952" s="206"/>
      <c r="AC952" s="206"/>
      <c r="AD952" s="206"/>
      <c r="AE952" s="206"/>
      <c r="AF952" s="206"/>
      <c r="AG952" s="206"/>
      <c r="AH952" s="206"/>
      <c r="AI952" s="206"/>
      <c r="AJ952" s="206"/>
      <c r="AK952" s="206"/>
      <c r="AL952" s="206"/>
      <c r="AM952" s="206"/>
      <c r="AN952" s="206"/>
      <c r="AO952" s="206"/>
      <c r="AP952" s="206"/>
      <c r="AQ952" s="207"/>
      <c r="AR952" s="206"/>
      <c r="AS952" s="206"/>
      <c r="AT952" s="206"/>
      <c r="AU952" s="206"/>
      <c r="AV952" s="206"/>
      <c r="AW952" s="207"/>
      <c r="AX952" s="207"/>
      <c r="AY952" s="207"/>
      <c r="AZ952" s="207"/>
    </row>
    <row r="953" spans="1:52" ht="12.75" x14ac:dyDescent="0.2">
      <c r="A953" s="206"/>
      <c r="B953" s="206"/>
      <c r="C953" s="206"/>
      <c r="D953" s="206"/>
      <c r="E953" s="206"/>
      <c r="F953" s="206"/>
      <c r="G953" s="206"/>
      <c r="H953" s="206"/>
      <c r="I953" s="206"/>
      <c r="J953" s="206"/>
      <c r="K953" s="206"/>
      <c r="L953" s="206"/>
      <c r="M953" s="207"/>
      <c r="N953" s="207"/>
      <c r="O953" s="208"/>
      <c r="P953" s="208"/>
      <c r="Q953" s="208"/>
      <c r="R953" s="206"/>
      <c r="S953" s="206"/>
      <c r="T953" s="206"/>
      <c r="U953" s="206"/>
      <c r="V953" s="206"/>
      <c r="W953" s="206"/>
      <c r="X953" s="207"/>
      <c r="Y953" s="207"/>
      <c r="Z953" s="207"/>
      <c r="AA953" s="206"/>
      <c r="AB953" s="206"/>
      <c r="AC953" s="206"/>
      <c r="AD953" s="206"/>
      <c r="AE953" s="206"/>
      <c r="AF953" s="206"/>
      <c r="AG953" s="206"/>
      <c r="AH953" s="206"/>
      <c r="AI953" s="206"/>
      <c r="AJ953" s="206"/>
      <c r="AK953" s="206"/>
      <c r="AL953" s="206"/>
      <c r="AM953" s="206"/>
      <c r="AN953" s="206"/>
      <c r="AO953" s="206"/>
      <c r="AP953" s="206"/>
      <c r="AQ953" s="207"/>
      <c r="AR953" s="206"/>
      <c r="AS953" s="206"/>
      <c r="AT953" s="206"/>
      <c r="AU953" s="206"/>
      <c r="AV953" s="206"/>
      <c r="AW953" s="207"/>
      <c r="AX953" s="207"/>
      <c r="AY953" s="207"/>
      <c r="AZ953" s="207"/>
    </row>
    <row r="954" spans="1:52" ht="12.75" x14ac:dyDescent="0.2">
      <c r="A954" s="206"/>
      <c r="B954" s="206"/>
      <c r="C954" s="206"/>
      <c r="D954" s="206"/>
      <c r="E954" s="206"/>
      <c r="F954" s="206"/>
      <c r="G954" s="206"/>
      <c r="H954" s="206"/>
      <c r="I954" s="206"/>
      <c r="J954" s="206"/>
      <c r="K954" s="206"/>
      <c r="L954" s="206"/>
      <c r="M954" s="207"/>
      <c r="N954" s="207"/>
      <c r="O954" s="208"/>
      <c r="P954" s="208"/>
      <c r="Q954" s="208"/>
      <c r="R954" s="206"/>
      <c r="S954" s="206"/>
      <c r="T954" s="206"/>
      <c r="U954" s="206"/>
      <c r="V954" s="206"/>
      <c r="W954" s="206"/>
      <c r="X954" s="207"/>
      <c r="Y954" s="207"/>
      <c r="Z954" s="207"/>
      <c r="AA954" s="206"/>
      <c r="AB954" s="206"/>
      <c r="AC954" s="206"/>
      <c r="AD954" s="206"/>
      <c r="AE954" s="206"/>
      <c r="AF954" s="206"/>
      <c r="AG954" s="206"/>
      <c r="AH954" s="206"/>
      <c r="AI954" s="206"/>
      <c r="AJ954" s="206"/>
      <c r="AK954" s="206"/>
      <c r="AL954" s="206"/>
      <c r="AM954" s="206"/>
      <c r="AN954" s="206"/>
      <c r="AO954" s="206"/>
      <c r="AP954" s="206"/>
      <c r="AQ954" s="207"/>
      <c r="AR954" s="206"/>
      <c r="AS954" s="206"/>
      <c r="AT954" s="206"/>
      <c r="AU954" s="206"/>
      <c r="AV954" s="206"/>
      <c r="AW954" s="207"/>
      <c r="AX954" s="207"/>
      <c r="AY954" s="207"/>
      <c r="AZ954" s="207"/>
    </row>
    <row r="955" spans="1:52" ht="12.75" x14ac:dyDescent="0.2">
      <c r="A955" s="206"/>
      <c r="B955" s="206"/>
      <c r="C955" s="206"/>
      <c r="D955" s="206"/>
      <c r="E955" s="206"/>
      <c r="F955" s="206"/>
      <c r="G955" s="206"/>
      <c r="H955" s="206"/>
      <c r="I955" s="206"/>
      <c r="J955" s="206"/>
      <c r="K955" s="206"/>
      <c r="L955" s="206"/>
      <c r="M955" s="207"/>
      <c r="N955" s="207"/>
      <c r="O955" s="208"/>
      <c r="P955" s="208"/>
      <c r="Q955" s="208"/>
      <c r="R955" s="206"/>
      <c r="S955" s="206"/>
      <c r="T955" s="206"/>
      <c r="U955" s="206"/>
      <c r="V955" s="206"/>
      <c r="W955" s="206"/>
      <c r="X955" s="207"/>
      <c r="Y955" s="207"/>
      <c r="Z955" s="207"/>
      <c r="AA955" s="206"/>
      <c r="AB955" s="206"/>
      <c r="AC955" s="206"/>
      <c r="AD955" s="206"/>
      <c r="AE955" s="206"/>
      <c r="AF955" s="206"/>
      <c r="AG955" s="206"/>
      <c r="AH955" s="206"/>
      <c r="AI955" s="206"/>
      <c r="AJ955" s="206"/>
      <c r="AK955" s="206"/>
      <c r="AL955" s="206"/>
      <c r="AM955" s="206"/>
      <c r="AN955" s="206"/>
      <c r="AO955" s="206"/>
      <c r="AP955" s="206"/>
      <c r="AQ955" s="207"/>
      <c r="AR955" s="206"/>
      <c r="AS955" s="206"/>
      <c r="AT955" s="206"/>
      <c r="AU955" s="206"/>
      <c r="AV955" s="206"/>
      <c r="AW955" s="207"/>
      <c r="AX955" s="207"/>
      <c r="AY955" s="207"/>
      <c r="AZ955" s="207"/>
    </row>
    <row r="956" spans="1:52" ht="12.75" x14ac:dyDescent="0.2">
      <c r="A956" s="206"/>
      <c r="B956" s="206"/>
      <c r="C956" s="206"/>
      <c r="D956" s="206"/>
      <c r="E956" s="206"/>
      <c r="F956" s="206"/>
      <c r="G956" s="206"/>
      <c r="H956" s="206"/>
      <c r="I956" s="206"/>
      <c r="J956" s="206"/>
      <c r="K956" s="206"/>
      <c r="L956" s="206"/>
      <c r="M956" s="207"/>
      <c r="N956" s="207"/>
      <c r="O956" s="208"/>
      <c r="P956" s="208"/>
      <c r="Q956" s="208"/>
      <c r="R956" s="206"/>
      <c r="S956" s="206"/>
      <c r="T956" s="206"/>
      <c r="U956" s="206"/>
      <c r="V956" s="206"/>
      <c r="W956" s="206"/>
      <c r="X956" s="207"/>
      <c r="Y956" s="207"/>
      <c r="Z956" s="207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7"/>
      <c r="AR956" s="206"/>
      <c r="AS956" s="206"/>
      <c r="AT956" s="206"/>
      <c r="AU956" s="206"/>
      <c r="AV956" s="206"/>
      <c r="AW956" s="207"/>
      <c r="AX956" s="207"/>
      <c r="AY956" s="207"/>
      <c r="AZ956" s="207"/>
    </row>
    <row r="957" spans="1:52" ht="12.75" x14ac:dyDescent="0.2">
      <c r="A957" s="206"/>
      <c r="B957" s="206"/>
      <c r="C957" s="206"/>
      <c r="D957" s="206"/>
      <c r="E957" s="206"/>
      <c r="F957" s="206"/>
      <c r="G957" s="206"/>
      <c r="H957" s="206"/>
      <c r="I957" s="206"/>
      <c r="J957" s="206"/>
      <c r="K957" s="206"/>
      <c r="L957" s="206"/>
      <c r="M957" s="207"/>
      <c r="N957" s="207"/>
      <c r="O957" s="208"/>
      <c r="P957" s="208"/>
      <c r="Q957" s="208"/>
      <c r="R957" s="206"/>
      <c r="S957" s="206"/>
      <c r="T957" s="206"/>
      <c r="U957" s="206"/>
      <c r="V957" s="206"/>
      <c r="W957" s="206"/>
      <c r="X957" s="207"/>
      <c r="Y957" s="207"/>
      <c r="Z957" s="207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7"/>
      <c r="AR957" s="206"/>
      <c r="AS957" s="206"/>
      <c r="AT957" s="206"/>
      <c r="AU957" s="206"/>
      <c r="AV957" s="206"/>
      <c r="AW957" s="207"/>
      <c r="AX957" s="207"/>
      <c r="AY957" s="207"/>
      <c r="AZ957" s="207"/>
    </row>
    <row r="958" spans="1:52" ht="12.75" x14ac:dyDescent="0.2">
      <c r="A958" s="206"/>
      <c r="B958" s="206"/>
      <c r="C958" s="206"/>
      <c r="D958" s="206"/>
      <c r="E958" s="206"/>
      <c r="F958" s="206"/>
      <c r="G958" s="206"/>
      <c r="H958" s="206"/>
      <c r="I958" s="206"/>
      <c r="J958" s="206"/>
      <c r="K958" s="206"/>
      <c r="L958" s="206"/>
      <c r="M958" s="207"/>
      <c r="N958" s="207"/>
      <c r="O958" s="208"/>
      <c r="P958" s="208"/>
      <c r="Q958" s="208"/>
      <c r="R958" s="206"/>
      <c r="S958" s="206"/>
      <c r="T958" s="206"/>
      <c r="U958" s="206"/>
      <c r="V958" s="206"/>
      <c r="W958" s="206"/>
      <c r="X958" s="207"/>
      <c r="Y958" s="207"/>
      <c r="Z958" s="207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7"/>
      <c r="AR958" s="206"/>
      <c r="AS958" s="206"/>
      <c r="AT958" s="206"/>
      <c r="AU958" s="206"/>
      <c r="AV958" s="206"/>
      <c r="AW958" s="207"/>
      <c r="AX958" s="207"/>
      <c r="AY958" s="207"/>
      <c r="AZ958" s="207"/>
    </row>
    <row r="959" spans="1:52" ht="12.75" x14ac:dyDescent="0.2">
      <c r="A959" s="206"/>
      <c r="B959" s="206"/>
      <c r="C959" s="206"/>
      <c r="D959" s="206"/>
      <c r="E959" s="206"/>
      <c r="F959" s="206"/>
      <c r="G959" s="206"/>
      <c r="H959" s="206"/>
      <c r="I959" s="206"/>
      <c r="J959" s="206"/>
      <c r="K959" s="206"/>
      <c r="L959" s="206"/>
      <c r="M959" s="207"/>
      <c r="N959" s="207"/>
      <c r="O959" s="208"/>
      <c r="P959" s="208"/>
      <c r="Q959" s="208"/>
      <c r="R959" s="206"/>
      <c r="S959" s="206"/>
      <c r="T959" s="206"/>
      <c r="U959" s="206"/>
      <c r="V959" s="206"/>
      <c r="W959" s="206"/>
      <c r="X959" s="207"/>
      <c r="Y959" s="207"/>
      <c r="Z959" s="207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7"/>
      <c r="AR959" s="206"/>
      <c r="AS959" s="206"/>
      <c r="AT959" s="206"/>
      <c r="AU959" s="206"/>
      <c r="AV959" s="206"/>
      <c r="AW959" s="207"/>
      <c r="AX959" s="207"/>
      <c r="AY959" s="207"/>
      <c r="AZ959" s="207"/>
    </row>
    <row r="960" spans="1:52" ht="12.75" x14ac:dyDescent="0.2">
      <c r="A960" s="206"/>
      <c r="B960" s="206"/>
      <c r="C960" s="206"/>
      <c r="D960" s="206"/>
      <c r="E960" s="206"/>
      <c r="F960" s="206"/>
      <c r="G960" s="206"/>
      <c r="H960" s="206"/>
      <c r="I960" s="206"/>
      <c r="J960" s="206"/>
      <c r="K960" s="206"/>
      <c r="L960" s="206"/>
      <c r="M960" s="207"/>
      <c r="N960" s="207"/>
      <c r="O960" s="208"/>
      <c r="P960" s="208"/>
      <c r="Q960" s="208"/>
      <c r="R960" s="206"/>
      <c r="S960" s="206"/>
      <c r="T960" s="206"/>
      <c r="U960" s="206"/>
      <c r="V960" s="206"/>
      <c r="W960" s="206"/>
      <c r="X960" s="207"/>
      <c r="Y960" s="207"/>
      <c r="Z960" s="207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7"/>
      <c r="AR960" s="206"/>
      <c r="AS960" s="206"/>
      <c r="AT960" s="206"/>
      <c r="AU960" s="206"/>
      <c r="AV960" s="206"/>
      <c r="AW960" s="207"/>
      <c r="AX960" s="207"/>
      <c r="AY960" s="207"/>
      <c r="AZ960" s="207"/>
    </row>
    <row r="961" spans="1:52" ht="12.75" x14ac:dyDescent="0.2">
      <c r="A961" s="206"/>
      <c r="B961" s="206"/>
      <c r="C961" s="206"/>
      <c r="D961" s="206"/>
      <c r="E961" s="206"/>
      <c r="F961" s="206"/>
      <c r="G961" s="206"/>
      <c r="H961" s="206"/>
      <c r="I961" s="206"/>
      <c r="J961" s="206"/>
      <c r="K961" s="206"/>
      <c r="L961" s="206"/>
      <c r="M961" s="207"/>
      <c r="N961" s="207"/>
      <c r="O961" s="208"/>
      <c r="P961" s="208"/>
      <c r="Q961" s="208"/>
      <c r="R961" s="206"/>
      <c r="S961" s="206"/>
      <c r="T961" s="206"/>
      <c r="U961" s="206"/>
      <c r="V961" s="206"/>
      <c r="W961" s="206"/>
      <c r="X961" s="207"/>
      <c r="Y961" s="207"/>
      <c r="Z961" s="207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7"/>
      <c r="AR961" s="206"/>
      <c r="AS961" s="206"/>
      <c r="AT961" s="206"/>
      <c r="AU961" s="206"/>
      <c r="AV961" s="206"/>
      <c r="AW961" s="207"/>
      <c r="AX961" s="207"/>
      <c r="AY961" s="207"/>
      <c r="AZ961" s="207"/>
    </row>
    <row r="962" spans="1:52" ht="12.75" x14ac:dyDescent="0.2">
      <c r="A962" s="206"/>
      <c r="B962" s="206"/>
      <c r="C962" s="206"/>
      <c r="D962" s="206"/>
      <c r="E962" s="206"/>
      <c r="F962" s="206"/>
      <c r="G962" s="206"/>
      <c r="H962" s="206"/>
      <c r="I962" s="206"/>
      <c r="J962" s="206"/>
      <c r="K962" s="206"/>
      <c r="L962" s="206"/>
      <c r="M962" s="207"/>
      <c r="N962" s="207"/>
      <c r="O962" s="208"/>
      <c r="P962" s="208"/>
      <c r="Q962" s="208"/>
      <c r="R962" s="206"/>
      <c r="S962" s="206"/>
      <c r="T962" s="206"/>
      <c r="U962" s="206"/>
      <c r="V962" s="206"/>
      <c r="W962" s="206"/>
      <c r="X962" s="207"/>
      <c r="Y962" s="207"/>
      <c r="Z962" s="207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7"/>
      <c r="AR962" s="206"/>
      <c r="AS962" s="206"/>
      <c r="AT962" s="206"/>
      <c r="AU962" s="206"/>
      <c r="AV962" s="206"/>
      <c r="AW962" s="207"/>
      <c r="AX962" s="207"/>
      <c r="AY962" s="207"/>
      <c r="AZ962" s="207"/>
    </row>
    <row r="963" spans="1:52" ht="12.75" x14ac:dyDescent="0.2">
      <c r="A963" s="206"/>
      <c r="B963" s="206"/>
      <c r="C963" s="206"/>
      <c r="D963" s="206"/>
      <c r="E963" s="206"/>
      <c r="F963" s="206"/>
      <c r="G963" s="206"/>
      <c r="H963" s="206"/>
      <c r="I963" s="206"/>
      <c r="J963" s="206"/>
      <c r="K963" s="206"/>
      <c r="L963" s="206"/>
      <c r="M963" s="207"/>
      <c r="N963" s="207"/>
      <c r="O963" s="208"/>
      <c r="P963" s="208"/>
      <c r="Q963" s="208"/>
      <c r="R963" s="206"/>
      <c r="S963" s="206"/>
      <c r="T963" s="206"/>
      <c r="U963" s="206"/>
      <c r="V963" s="206"/>
      <c r="W963" s="206"/>
      <c r="X963" s="207"/>
      <c r="Y963" s="207"/>
      <c r="Z963" s="207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7"/>
      <c r="AR963" s="206"/>
      <c r="AS963" s="206"/>
      <c r="AT963" s="206"/>
      <c r="AU963" s="206"/>
      <c r="AV963" s="206"/>
      <c r="AW963" s="207"/>
      <c r="AX963" s="207"/>
      <c r="AY963" s="207"/>
      <c r="AZ963" s="207"/>
    </row>
    <row r="964" spans="1:52" ht="12.75" x14ac:dyDescent="0.2">
      <c r="A964" s="206"/>
      <c r="B964" s="206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7"/>
      <c r="N964" s="207"/>
      <c r="O964" s="208"/>
      <c r="P964" s="208"/>
      <c r="Q964" s="208"/>
      <c r="R964" s="206"/>
      <c r="S964" s="206"/>
      <c r="T964" s="206"/>
      <c r="U964" s="206"/>
      <c r="V964" s="206"/>
      <c r="W964" s="206"/>
      <c r="X964" s="207"/>
      <c r="Y964" s="207"/>
      <c r="Z964" s="207"/>
      <c r="AA964" s="206"/>
      <c r="AB964" s="206"/>
      <c r="AC964" s="206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7"/>
      <c r="AR964" s="206"/>
      <c r="AS964" s="206"/>
      <c r="AT964" s="206"/>
      <c r="AU964" s="206"/>
      <c r="AV964" s="206"/>
      <c r="AW964" s="207"/>
      <c r="AX964" s="207"/>
      <c r="AY964" s="207"/>
      <c r="AZ964" s="207"/>
    </row>
    <row r="965" spans="1:52" ht="12.75" x14ac:dyDescent="0.2">
      <c r="A965" s="206"/>
      <c r="B965" s="206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7"/>
      <c r="N965" s="207"/>
      <c r="O965" s="208"/>
      <c r="P965" s="208"/>
      <c r="Q965" s="208"/>
      <c r="R965" s="206"/>
      <c r="S965" s="206"/>
      <c r="T965" s="206"/>
      <c r="U965" s="206"/>
      <c r="V965" s="206"/>
      <c r="W965" s="206"/>
      <c r="X965" s="207"/>
      <c r="Y965" s="207"/>
      <c r="Z965" s="207"/>
      <c r="AA965" s="206"/>
      <c r="AB965" s="206"/>
      <c r="AC965" s="206"/>
      <c r="AD965" s="206"/>
      <c r="AE965" s="206"/>
      <c r="AF965" s="206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7"/>
      <c r="AR965" s="206"/>
      <c r="AS965" s="206"/>
      <c r="AT965" s="206"/>
      <c r="AU965" s="206"/>
      <c r="AV965" s="206"/>
      <c r="AW965" s="207"/>
      <c r="AX965" s="207"/>
      <c r="AY965" s="207"/>
      <c r="AZ965" s="207"/>
    </row>
    <row r="966" spans="1:52" ht="12.75" x14ac:dyDescent="0.2">
      <c r="A966" s="206"/>
      <c r="B966" s="206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7"/>
      <c r="N966" s="207"/>
      <c r="O966" s="208"/>
      <c r="P966" s="208"/>
      <c r="Q966" s="208"/>
      <c r="R966" s="206"/>
      <c r="S966" s="206"/>
      <c r="T966" s="206"/>
      <c r="U966" s="206"/>
      <c r="V966" s="206"/>
      <c r="W966" s="206"/>
      <c r="X966" s="207"/>
      <c r="Y966" s="207"/>
      <c r="Z966" s="207"/>
      <c r="AA966" s="206"/>
      <c r="AB966" s="206"/>
      <c r="AC966" s="206"/>
      <c r="AD966" s="206"/>
      <c r="AE966" s="206"/>
      <c r="AF966" s="206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7"/>
      <c r="AR966" s="206"/>
      <c r="AS966" s="206"/>
      <c r="AT966" s="206"/>
      <c r="AU966" s="206"/>
      <c r="AV966" s="206"/>
      <c r="AW966" s="207"/>
      <c r="AX966" s="207"/>
      <c r="AY966" s="207"/>
      <c r="AZ966" s="207"/>
    </row>
    <row r="967" spans="1:52" ht="12.75" x14ac:dyDescent="0.2">
      <c r="A967" s="206"/>
      <c r="B967" s="206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7"/>
      <c r="N967" s="207"/>
      <c r="O967" s="208"/>
      <c r="P967" s="208"/>
      <c r="Q967" s="208"/>
      <c r="R967" s="206"/>
      <c r="S967" s="206"/>
      <c r="T967" s="206"/>
      <c r="U967" s="206"/>
      <c r="V967" s="206"/>
      <c r="W967" s="206"/>
      <c r="X967" s="207"/>
      <c r="Y967" s="207"/>
      <c r="Z967" s="207"/>
      <c r="AA967" s="206"/>
      <c r="AB967" s="206"/>
      <c r="AC967" s="206"/>
      <c r="AD967" s="206"/>
      <c r="AE967" s="206"/>
      <c r="AF967" s="206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7"/>
      <c r="AR967" s="206"/>
      <c r="AS967" s="206"/>
      <c r="AT967" s="206"/>
      <c r="AU967" s="206"/>
      <c r="AV967" s="206"/>
      <c r="AW967" s="207"/>
      <c r="AX967" s="207"/>
      <c r="AY967" s="207"/>
      <c r="AZ967" s="207"/>
    </row>
    <row r="968" spans="1:52" ht="12.75" x14ac:dyDescent="0.2">
      <c r="A968" s="206"/>
      <c r="B968" s="206"/>
      <c r="C968" s="206"/>
      <c r="D968" s="206"/>
      <c r="E968" s="206"/>
      <c r="F968" s="206"/>
      <c r="G968" s="206"/>
      <c r="H968" s="206"/>
      <c r="I968" s="206"/>
      <c r="J968" s="206"/>
      <c r="K968" s="206"/>
      <c r="L968" s="206"/>
      <c r="M968" s="207"/>
      <c r="N968" s="207"/>
      <c r="O968" s="208"/>
      <c r="P968" s="208"/>
      <c r="Q968" s="208"/>
      <c r="R968" s="206"/>
      <c r="S968" s="206"/>
      <c r="T968" s="206"/>
      <c r="U968" s="206"/>
      <c r="V968" s="206"/>
      <c r="W968" s="206"/>
      <c r="X968" s="207"/>
      <c r="Y968" s="207"/>
      <c r="Z968" s="207"/>
      <c r="AA968" s="206"/>
      <c r="AB968" s="206"/>
      <c r="AC968" s="206"/>
      <c r="AD968" s="206"/>
      <c r="AE968" s="206"/>
      <c r="AF968" s="206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7"/>
      <c r="AR968" s="206"/>
      <c r="AS968" s="206"/>
      <c r="AT968" s="206"/>
      <c r="AU968" s="206"/>
      <c r="AV968" s="206"/>
      <c r="AW968" s="207"/>
      <c r="AX968" s="207"/>
      <c r="AY968" s="207"/>
      <c r="AZ968" s="207"/>
    </row>
    <row r="969" spans="1:52" ht="12.75" x14ac:dyDescent="0.2">
      <c r="A969" s="206"/>
      <c r="B969" s="206"/>
      <c r="C969" s="206"/>
      <c r="D969" s="206"/>
      <c r="E969" s="206"/>
      <c r="F969" s="206"/>
      <c r="G969" s="206"/>
      <c r="H969" s="206"/>
      <c r="I969" s="206"/>
      <c r="J969" s="206"/>
      <c r="K969" s="206"/>
      <c r="L969" s="206"/>
      <c r="M969" s="207"/>
      <c r="N969" s="207"/>
      <c r="O969" s="208"/>
      <c r="P969" s="208"/>
      <c r="Q969" s="208"/>
      <c r="R969" s="206"/>
      <c r="S969" s="206"/>
      <c r="T969" s="206"/>
      <c r="U969" s="206"/>
      <c r="V969" s="206"/>
      <c r="W969" s="206"/>
      <c r="X969" s="207"/>
      <c r="Y969" s="207"/>
      <c r="Z969" s="207"/>
      <c r="AA969" s="206"/>
      <c r="AB969" s="206"/>
      <c r="AC969" s="206"/>
      <c r="AD969" s="206"/>
      <c r="AE969" s="206"/>
      <c r="AF969" s="206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7"/>
      <c r="AR969" s="206"/>
      <c r="AS969" s="206"/>
      <c r="AT969" s="206"/>
      <c r="AU969" s="206"/>
      <c r="AV969" s="206"/>
      <c r="AW969" s="207"/>
      <c r="AX969" s="207"/>
      <c r="AY969" s="207"/>
      <c r="AZ969" s="207"/>
    </row>
    <row r="970" spans="1:52" ht="12.75" x14ac:dyDescent="0.2">
      <c r="A970" s="206"/>
      <c r="B970" s="206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7"/>
      <c r="N970" s="207"/>
      <c r="O970" s="208"/>
      <c r="P970" s="208"/>
      <c r="Q970" s="208"/>
      <c r="R970" s="206"/>
      <c r="S970" s="206"/>
      <c r="T970" s="206"/>
      <c r="U970" s="206"/>
      <c r="V970" s="206"/>
      <c r="W970" s="206"/>
      <c r="X970" s="207"/>
      <c r="Y970" s="207"/>
      <c r="Z970" s="207"/>
      <c r="AA970" s="206"/>
      <c r="AB970" s="206"/>
      <c r="AC970" s="206"/>
      <c r="AD970" s="206"/>
      <c r="AE970" s="206"/>
      <c r="AF970" s="206"/>
      <c r="AG970" s="206"/>
      <c r="AH970" s="206"/>
      <c r="AI970" s="206"/>
      <c r="AJ970" s="206"/>
      <c r="AK970" s="206"/>
      <c r="AL970" s="206"/>
      <c r="AM970" s="206"/>
      <c r="AN970" s="206"/>
      <c r="AO970" s="206"/>
      <c r="AP970" s="206"/>
      <c r="AQ970" s="207"/>
      <c r="AR970" s="206"/>
      <c r="AS970" s="206"/>
      <c r="AT970" s="206"/>
      <c r="AU970" s="206"/>
      <c r="AV970" s="206"/>
      <c r="AW970" s="207"/>
      <c r="AX970" s="207"/>
      <c r="AY970" s="207"/>
      <c r="AZ970" s="207"/>
    </row>
    <row r="971" spans="1:52" ht="12.75" x14ac:dyDescent="0.2">
      <c r="A971" s="206"/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7"/>
      <c r="N971" s="207"/>
      <c r="O971" s="208"/>
      <c r="P971" s="208"/>
      <c r="Q971" s="208"/>
      <c r="R971" s="206"/>
      <c r="S971" s="206"/>
      <c r="T971" s="206"/>
      <c r="U971" s="206"/>
      <c r="V971" s="206"/>
      <c r="W971" s="206"/>
      <c r="X971" s="207"/>
      <c r="Y971" s="207"/>
      <c r="Z971" s="207"/>
      <c r="AA971" s="206"/>
      <c r="AB971" s="206"/>
      <c r="AC971" s="206"/>
      <c r="AD971" s="206"/>
      <c r="AE971" s="206"/>
      <c r="AF971" s="206"/>
      <c r="AG971" s="206"/>
      <c r="AH971" s="206"/>
      <c r="AI971" s="206"/>
      <c r="AJ971" s="206"/>
      <c r="AK971" s="206"/>
      <c r="AL971" s="206"/>
      <c r="AM971" s="206"/>
      <c r="AN971" s="206"/>
      <c r="AO971" s="206"/>
      <c r="AP971" s="206"/>
      <c r="AQ971" s="207"/>
      <c r="AR971" s="206"/>
      <c r="AS971" s="206"/>
      <c r="AT971" s="206"/>
      <c r="AU971" s="206"/>
      <c r="AV971" s="206"/>
      <c r="AW971" s="207"/>
      <c r="AX971" s="207"/>
      <c r="AY971" s="207"/>
      <c r="AZ971" s="207"/>
    </row>
    <row r="972" spans="1:52" ht="12.75" x14ac:dyDescent="0.2">
      <c r="A972" s="206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7"/>
      <c r="N972" s="207"/>
      <c r="O972" s="208"/>
      <c r="P972" s="208"/>
      <c r="Q972" s="208"/>
      <c r="R972" s="206"/>
      <c r="S972" s="206"/>
      <c r="T972" s="206"/>
      <c r="U972" s="206"/>
      <c r="V972" s="206"/>
      <c r="W972" s="206"/>
      <c r="X972" s="207"/>
      <c r="Y972" s="207"/>
      <c r="Z972" s="207"/>
      <c r="AA972" s="206"/>
      <c r="AB972" s="206"/>
      <c r="AC972" s="206"/>
      <c r="AD972" s="206"/>
      <c r="AE972" s="206"/>
      <c r="AF972" s="206"/>
      <c r="AG972" s="206"/>
      <c r="AH972" s="206"/>
      <c r="AI972" s="206"/>
      <c r="AJ972" s="206"/>
      <c r="AK972" s="206"/>
      <c r="AL972" s="206"/>
      <c r="AM972" s="206"/>
      <c r="AN972" s="206"/>
      <c r="AO972" s="206"/>
      <c r="AP972" s="206"/>
      <c r="AQ972" s="207"/>
      <c r="AR972" s="206"/>
      <c r="AS972" s="206"/>
      <c r="AT972" s="206"/>
      <c r="AU972" s="206"/>
      <c r="AV972" s="206"/>
      <c r="AW972" s="207"/>
      <c r="AX972" s="207"/>
      <c r="AY972" s="207"/>
      <c r="AZ972" s="207"/>
    </row>
    <row r="973" spans="1:52" ht="12.75" x14ac:dyDescent="0.2">
      <c r="A973" s="206"/>
      <c r="B973" s="206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7"/>
      <c r="N973" s="207"/>
      <c r="O973" s="208"/>
      <c r="P973" s="208"/>
      <c r="Q973" s="208"/>
      <c r="R973" s="206"/>
      <c r="S973" s="206"/>
      <c r="T973" s="206"/>
      <c r="U973" s="206"/>
      <c r="V973" s="206"/>
      <c r="W973" s="206"/>
      <c r="X973" s="207"/>
      <c r="Y973" s="207"/>
      <c r="Z973" s="207"/>
      <c r="AA973" s="206"/>
      <c r="AB973" s="206"/>
      <c r="AC973" s="206"/>
      <c r="AD973" s="206"/>
      <c r="AE973" s="206"/>
      <c r="AF973" s="206"/>
      <c r="AG973" s="206"/>
      <c r="AH973" s="206"/>
      <c r="AI973" s="206"/>
      <c r="AJ973" s="206"/>
      <c r="AK973" s="206"/>
      <c r="AL973" s="206"/>
      <c r="AM973" s="206"/>
      <c r="AN973" s="206"/>
      <c r="AO973" s="206"/>
      <c r="AP973" s="206"/>
      <c r="AQ973" s="207"/>
      <c r="AR973" s="206"/>
      <c r="AS973" s="206"/>
      <c r="AT973" s="206"/>
      <c r="AU973" s="206"/>
      <c r="AV973" s="206"/>
      <c r="AW973" s="207"/>
      <c r="AX973" s="207"/>
      <c r="AY973" s="207"/>
      <c r="AZ973" s="207"/>
    </row>
    <row r="974" spans="1:52" ht="12.75" x14ac:dyDescent="0.2">
      <c r="A974" s="206"/>
      <c r="B974" s="206"/>
      <c r="C974" s="206"/>
      <c r="D974" s="206"/>
      <c r="E974" s="206"/>
      <c r="F974" s="206"/>
      <c r="G974" s="206"/>
      <c r="H974" s="206"/>
      <c r="I974" s="206"/>
      <c r="J974" s="206"/>
      <c r="K974" s="206"/>
      <c r="L974" s="206"/>
      <c r="M974" s="207"/>
      <c r="N974" s="207"/>
      <c r="O974" s="208"/>
      <c r="P974" s="208"/>
      <c r="Q974" s="208"/>
      <c r="R974" s="206"/>
      <c r="S974" s="206"/>
      <c r="T974" s="206"/>
      <c r="U974" s="206"/>
      <c r="V974" s="206"/>
      <c r="W974" s="206"/>
      <c r="X974" s="207"/>
      <c r="Y974" s="207"/>
      <c r="Z974" s="207"/>
      <c r="AA974" s="206"/>
      <c r="AB974" s="206"/>
      <c r="AC974" s="206"/>
      <c r="AD974" s="206"/>
      <c r="AE974" s="206"/>
      <c r="AF974" s="206"/>
      <c r="AG974" s="206"/>
      <c r="AH974" s="206"/>
      <c r="AI974" s="206"/>
      <c r="AJ974" s="206"/>
      <c r="AK974" s="206"/>
      <c r="AL974" s="206"/>
      <c r="AM974" s="206"/>
      <c r="AN974" s="206"/>
      <c r="AO974" s="206"/>
      <c r="AP974" s="206"/>
      <c r="AQ974" s="207"/>
      <c r="AR974" s="206"/>
      <c r="AS974" s="206"/>
      <c r="AT974" s="206"/>
      <c r="AU974" s="206"/>
      <c r="AV974" s="206"/>
      <c r="AW974" s="207"/>
      <c r="AX974" s="207"/>
      <c r="AY974" s="207"/>
      <c r="AZ974" s="207"/>
    </row>
    <row r="975" spans="1:52" ht="12.75" x14ac:dyDescent="0.2">
      <c r="A975" s="206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7"/>
      <c r="N975" s="207"/>
      <c r="O975" s="208"/>
      <c r="P975" s="208"/>
      <c r="Q975" s="208"/>
      <c r="R975" s="206"/>
      <c r="S975" s="206"/>
      <c r="T975" s="206"/>
      <c r="U975" s="206"/>
      <c r="V975" s="206"/>
      <c r="W975" s="206"/>
      <c r="X975" s="207"/>
      <c r="Y975" s="207"/>
      <c r="Z975" s="207"/>
      <c r="AA975" s="206"/>
      <c r="AB975" s="206"/>
      <c r="AC975" s="206"/>
      <c r="AD975" s="206"/>
      <c r="AE975" s="206"/>
      <c r="AF975" s="206"/>
      <c r="AG975" s="206"/>
      <c r="AH975" s="206"/>
      <c r="AI975" s="206"/>
      <c r="AJ975" s="206"/>
      <c r="AK975" s="206"/>
      <c r="AL975" s="206"/>
      <c r="AM975" s="206"/>
      <c r="AN975" s="206"/>
      <c r="AO975" s="206"/>
      <c r="AP975" s="206"/>
      <c r="AQ975" s="207"/>
      <c r="AR975" s="206"/>
      <c r="AS975" s="206"/>
      <c r="AT975" s="206"/>
      <c r="AU975" s="206"/>
      <c r="AV975" s="206"/>
      <c r="AW975" s="207"/>
      <c r="AX975" s="207"/>
      <c r="AY975" s="207"/>
      <c r="AZ975" s="207"/>
    </row>
    <row r="976" spans="1:52" ht="12.75" x14ac:dyDescent="0.2">
      <c r="A976" s="206"/>
      <c r="B976" s="206"/>
      <c r="C976" s="206"/>
      <c r="D976" s="206"/>
      <c r="E976" s="206"/>
      <c r="F976" s="206"/>
      <c r="G976" s="206"/>
      <c r="H976" s="206"/>
      <c r="I976" s="206"/>
      <c r="J976" s="206"/>
      <c r="K976" s="206"/>
      <c r="L976" s="206"/>
      <c r="M976" s="207"/>
      <c r="N976" s="207"/>
      <c r="O976" s="208"/>
      <c r="P976" s="208"/>
      <c r="Q976" s="208"/>
      <c r="R976" s="206"/>
      <c r="S976" s="206"/>
      <c r="T976" s="206"/>
      <c r="U976" s="206"/>
      <c r="V976" s="206"/>
      <c r="W976" s="206"/>
      <c r="X976" s="207"/>
      <c r="Y976" s="207"/>
      <c r="Z976" s="207"/>
      <c r="AA976" s="206"/>
      <c r="AB976" s="206"/>
      <c r="AC976" s="206"/>
      <c r="AD976" s="206"/>
      <c r="AE976" s="206"/>
      <c r="AF976" s="206"/>
      <c r="AG976" s="206"/>
      <c r="AH976" s="206"/>
      <c r="AI976" s="206"/>
      <c r="AJ976" s="206"/>
      <c r="AK976" s="206"/>
      <c r="AL976" s="206"/>
      <c r="AM976" s="206"/>
      <c r="AN976" s="206"/>
      <c r="AO976" s="206"/>
      <c r="AP976" s="206"/>
      <c r="AQ976" s="207"/>
      <c r="AR976" s="206"/>
      <c r="AS976" s="206"/>
      <c r="AT976" s="206"/>
      <c r="AU976" s="206"/>
      <c r="AV976" s="206"/>
      <c r="AW976" s="207"/>
      <c r="AX976" s="207"/>
      <c r="AY976" s="207"/>
      <c r="AZ976" s="207"/>
    </row>
    <row r="977" spans="1:52" ht="12.75" x14ac:dyDescent="0.2">
      <c r="A977" s="206"/>
      <c r="B977" s="206"/>
      <c r="C977" s="206"/>
      <c r="D977" s="206"/>
      <c r="E977" s="206"/>
      <c r="F977" s="206"/>
      <c r="G977" s="206"/>
      <c r="H977" s="206"/>
      <c r="I977" s="206"/>
      <c r="J977" s="206"/>
      <c r="K977" s="206"/>
      <c r="L977" s="206"/>
      <c r="M977" s="207"/>
      <c r="N977" s="207"/>
      <c r="O977" s="208"/>
      <c r="P977" s="208"/>
      <c r="Q977" s="208"/>
      <c r="R977" s="206"/>
      <c r="S977" s="206"/>
      <c r="T977" s="206"/>
      <c r="U977" s="206"/>
      <c r="V977" s="206"/>
      <c r="W977" s="206"/>
      <c r="X977" s="207"/>
      <c r="Y977" s="207"/>
      <c r="Z977" s="207"/>
      <c r="AA977" s="206"/>
      <c r="AB977" s="206"/>
      <c r="AC977" s="206"/>
      <c r="AD977" s="206"/>
      <c r="AE977" s="206"/>
      <c r="AF977" s="206"/>
      <c r="AG977" s="206"/>
      <c r="AH977" s="206"/>
      <c r="AI977" s="206"/>
      <c r="AJ977" s="206"/>
      <c r="AK977" s="206"/>
      <c r="AL977" s="206"/>
      <c r="AM977" s="206"/>
      <c r="AN977" s="206"/>
      <c r="AO977" s="206"/>
      <c r="AP977" s="206"/>
      <c r="AQ977" s="207"/>
      <c r="AR977" s="206"/>
      <c r="AS977" s="206"/>
      <c r="AT977" s="206"/>
      <c r="AU977" s="206"/>
      <c r="AV977" s="206"/>
      <c r="AW977" s="207"/>
      <c r="AX977" s="207"/>
      <c r="AY977" s="207"/>
      <c r="AZ977" s="207"/>
    </row>
    <row r="978" spans="1:52" ht="12.75" x14ac:dyDescent="0.2">
      <c r="A978" s="206"/>
      <c r="B978" s="206"/>
      <c r="C978" s="206"/>
      <c r="D978" s="206"/>
      <c r="E978" s="206"/>
      <c r="F978" s="206"/>
      <c r="G978" s="206"/>
      <c r="H978" s="206"/>
      <c r="I978" s="206"/>
      <c r="J978" s="206"/>
      <c r="K978" s="206"/>
      <c r="L978" s="206"/>
      <c r="M978" s="207"/>
      <c r="N978" s="207"/>
      <c r="O978" s="208"/>
      <c r="P978" s="208"/>
      <c r="Q978" s="208"/>
      <c r="R978" s="206"/>
      <c r="S978" s="206"/>
      <c r="T978" s="206"/>
      <c r="U978" s="206"/>
      <c r="V978" s="206"/>
      <c r="W978" s="206"/>
      <c r="X978" s="207"/>
      <c r="Y978" s="207"/>
      <c r="Z978" s="207"/>
      <c r="AA978" s="206"/>
      <c r="AB978" s="206"/>
      <c r="AC978" s="206"/>
      <c r="AD978" s="206"/>
      <c r="AE978" s="206"/>
      <c r="AF978" s="206"/>
      <c r="AG978" s="206"/>
      <c r="AH978" s="206"/>
      <c r="AI978" s="206"/>
      <c r="AJ978" s="206"/>
      <c r="AK978" s="206"/>
      <c r="AL978" s="206"/>
      <c r="AM978" s="206"/>
      <c r="AN978" s="206"/>
      <c r="AO978" s="206"/>
      <c r="AP978" s="206"/>
      <c r="AQ978" s="207"/>
      <c r="AR978" s="206"/>
      <c r="AS978" s="206"/>
      <c r="AT978" s="206"/>
      <c r="AU978" s="206"/>
      <c r="AV978" s="206"/>
      <c r="AW978" s="207"/>
      <c r="AX978" s="207"/>
      <c r="AY978" s="207"/>
      <c r="AZ978" s="207"/>
    </row>
    <row r="979" spans="1:52" ht="12.75" x14ac:dyDescent="0.2">
      <c r="A979" s="206"/>
      <c r="B979" s="206"/>
      <c r="C979" s="206"/>
      <c r="D979" s="206"/>
      <c r="E979" s="206"/>
      <c r="F979" s="206"/>
      <c r="G979" s="206"/>
      <c r="H979" s="206"/>
      <c r="I979" s="206"/>
      <c r="J979" s="206"/>
      <c r="K979" s="206"/>
      <c r="L979" s="206"/>
      <c r="M979" s="207"/>
      <c r="N979" s="207"/>
      <c r="O979" s="208"/>
      <c r="P979" s="208"/>
      <c r="Q979" s="208"/>
      <c r="R979" s="206"/>
      <c r="S979" s="206"/>
      <c r="T979" s="206"/>
      <c r="U979" s="206"/>
      <c r="V979" s="206"/>
      <c r="W979" s="206"/>
      <c r="X979" s="207"/>
      <c r="Y979" s="207"/>
      <c r="Z979" s="207"/>
      <c r="AA979" s="206"/>
      <c r="AB979" s="206"/>
      <c r="AC979" s="206"/>
      <c r="AD979" s="206"/>
      <c r="AE979" s="206"/>
      <c r="AF979" s="206"/>
      <c r="AG979" s="206"/>
      <c r="AH979" s="206"/>
      <c r="AI979" s="206"/>
      <c r="AJ979" s="206"/>
      <c r="AK979" s="206"/>
      <c r="AL979" s="206"/>
      <c r="AM979" s="206"/>
      <c r="AN979" s="206"/>
      <c r="AO979" s="206"/>
      <c r="AP979" s="206"/>
      <c r="AQ979" s="207"/>
      <c r="AR979" s="206"/>
      <c r="AS979" s="206"/>
      <c r="AT979" s="206"/>
      <c r="AU979" s="206"/>
      <c r="AV979" s="206"/>
      <c r="AW979" s="207"/>
      <c r="AX979" s="207"/>
      <c r="AY979" s="207"/>
      <c r="AZ979" s="207"/>
    </row>
    <row r="980" spans="1:52" ht="12.75" x14ac:dyDescent="0.2">
      <c r="A980" s="206"/>
      <c r="B980" s="206"/>
      <c r="C980" s="206"/>
      <c r="D980" s="206"/>
      <c r="E980" s="206"/>
      <c r="F980" s="206"/>
      <c r="G980" s="206"/>
      <c r="H980" s="206"/>
      <c r="I980" s="206"/>
      <c r="J980" s="206"/>
      <c r="K980" s="206"/>
      <c r="L980" s="206"/>
      <c r="M980" s="207"/>
      <c r="N980" s="207"/>
      <c r="O980" s="208"/>
      <c r="P980" s="208"/>
      <c r="Q980" s="208"/>
      <c r="R980" s="206"/>
      <c r="S980" s="206"/>
      <c r="T980" s="206"/>
      <c r="U980" s="206"/>
      <c r="V980" s="206"/>
      <c r="W980" s="206"/>
      <c r="X980" s="207"/>
      <c r="Y980" s="207"/>
      <c r="Z980" s="207"/>
      <c r="AA980" s="206"/>
      <c r="AB980" s="206"/>
      <c r="AC980" s="206"/>
      <c r="AD980" s="206"/>
      <c r="AE980" s="206"/>
      <c r="AF980" s="206"/>
      <c r="AG980" s="206"/>
      <c r="AH980" s="206"/>
      <c r="AI980" s="206"/>
      <c r="AJ980" s="206"/>
      <c r="AK980" s="206"/>
      <c r="AL980" s="206"/>
      <c r="AM980" s="206"/>
      <c r="AN980" s="206"/>
      <c r="AO980" s="206"/>
      <c r="AP980" s="206"/>
      <c r="AQ980" s="207"/>
      <c r="AR980" s="206"/>
      <c r="AS980" s="206"/>
      <c r="AT980" s="206"/>
      <c r="AU980" s="206"/>
      <c r="AV980" s="206"/>
      <c r="AW980" s="207"/>
      <c r="AX980" s="207"/>
      <c r="AY980" s="207"/>
      <c r="AZ980" s="207"/>
    </row>
    <row r="981" spans="1:52" ht="12.75" x14ac:dyDescent="0.2">
      <c r="A981" s="206"/>
      <c r="B981" s="206"/>
      <c r="C981" s="206"/>
      <c r="D981" s="206"/>
      <c r="E981" s="206"/>
      <c r="F981" s="206"/>
      <c r="G981" s="206"/>
      <c r="H981" s="206"/>
      <c r="I981" s="206"/>
      <c r="J981" s="206"/>
      <c r="K981" s="206"/>
      <c r="L981" s="206"/>
      <c r="M981" s="207"/>
      <c r="N981" s="207"/>
      <c r="O981" s="208"/>
      <c r="P981" s="208"/>
      <c r="Q981" s="208"/>
      <c r="R981" s="206"/>
      <c r="S981" s="206"/>
      <c r="T981" s="206"/>
      <c r="U981" s="206"/>
      <c r="V981" s="206"/>
      <c r="W981" s="206"/>
      <c r="X981" s="207"/>
      <c r="Y981" s="207"/>
      <c r="Z981" s="207"/>
      <c r="AA981" s="206"/>
      <c r="AB981" s="206"/>
      <c r="AC981" s="206"/>
      <c r="AD981" s="206"/>
      <c r="AE981" s="206"/>
      <c r="AF981" s="206"/>
      <c r="AG981" s="206"/>
      <c r="AH981" s="206"/>
      <c r="AI981" s="206"/>
      <c r="AJ981" s="206"/>
      <c r="AK981" s="206"/>
      <c r="AL981" s="206"/>
      <c r="AM981" s="206"/>
      <c r="AN981" s="206"/>
      <c r="AO981" s="206"/>
      <c r="AP981" s="206"/>
      <c r="AQ981" s="207"/>
      <c r="AR981" s="206"/>
      <c r="AS981" s="206"/>
      <c r="AT981" s="206"/>
      <c r="AU981" s="206"/>
      <c r="AV981" s="206"/>
      <c r="AW981" s="207"/>
      <c r="AX981" s="207"/>
      <c r="AY981" s="207"/>
      <c r="AZ981" s="207"/>
    </row>
    <row r="982" spans="1:52" ht="12.75" x14ac:dyDescent="0.2">
      <c r="A982" s="206"/>
      <c r="B982" s="206"/>
      <c r="C982" s="206"/>
      <c r="D982" s="206"/>
      <c r="E982" s="206"/>
      <c r="F982" s="206"/>
      <c r="G982" s="206"/>
      <c r="H982" s="206"/>
      <c r="I982" s="206"/>
      <c r="J982" s="206"/>
      <c r="K982" s="206"/>
      <c r="L982" s="206"/>
      <c r="M982" s="207"/>
      <c r="N982" s="207"/>
      <c r="O982" s="208"/>
      <c r="P982" s="208"/>
      <c r="Q982" s="208"/>
      <c r="R982" s="206"/>
      <c r="S982" s="206"/>
      <c r="T982" s="206"/>
      <c r="U982" s="206"/>
      <c r="V982" s="206"/>
      <c r="W982" s="206"/>
      <c r="X982" s="207"/>
      <c r="Y982" s="207"/>
      <c r="Z982" s="207"/>
      <c r="AA982" s="206"/>
      <c r="AB982" s="206"/>
      <c r="AC982" s="206"/>
      <c r="AD982" s="206"/>
      <c r="AE982" s="206"/>
      <c r="AF982" s="206"/>
      <c r="AG982" s="206"/>
      <c r="AH982" s="206"/>
      <c r="AI982" s="206"/>
      <c r="AJ982" s="206"/>
      <c r="AK982" s="206"/>
      <c r="AL982" s="206"/>
      <c r="AM982" s="206"/>
      <c r="AN982" s="206"/>
      <c r="AO982" s="206"/>
      <c r="AP982" s="206"/>
      <c r="AQ982" s="207"/>
      <c r="AR982" s="206"/>
      <c r="AS982" s="206"/>
      <c r="AT982" s="206"/>
      <c r="AU982" s="206"/>
      <c r="AV982" s="206"/>
      <c r="AW982" s="207"/>
      <c r="AX982" s="207"/>
      <c r="AY982" s="207"/>
      <c r="AZ982" s="207"/>
    </row>
    <row r="983" spans="1:52" ht="12.75" x14ac:dyDescent="0.2">
      <c r="A983" s="206"/>
      <c r="B983" s="206"/>
      <c r="C983" s="206"/>
      <c r="D983" s="206"/>
      <c r="E983" s="206"/>
      <c r="F983" s="206"/>
      <c r="G983" s="206"/>
      <c r="H983" s="206"/>
      <c r="I983" s="206"/>
      <c r="J983" s="206"/>
      <c r="K983" s="206"/>
      <c r="L983" s="206"/>
      <c r="M983" s="207"/>
      <c r="N983" s="207"/>
      <c r="O983" s="208"/>
      <c r="P983" s="208"/>
      <c r="Q983" s="208"/>
      <c r="R983" s="206"/>
      <c r="S983" s="206"/>
      <c r="T983" s="206"/>
      <c r="U983" s="206"/>
      <c r="V983" s="206"/>
      <c r="W983" s="206"/>
      <c r="X983" s="207"/>
      <c r="Y983" s="207"/>
      <c r="Z983" s="207"/>
      <c r="AA983" s="206"/>
      <c r="AB983" s="206"/>
      <c r="AC983" s="206"/>
      <c r="AD983" s="206"/>
      <c r="AE983" s="206"/>
      <c r="AF983" s="206"/>
      <c r="AG983" s="206"/>
      <c r="AH983" s="206"/>
      <c r="AI983" s="206"/>
      <c r="AJ983" s="206"/>
      <c r="AK983" s="206"/>
      <c r="AL983" s="206"/>
      <c r="AM983" s="206"/>
      <c r="AN983" s="206"/>
      <c r="AO983" s="206"/>
      <c r="AP983" s="206"/>
      <c r="AQ983" s="207"/>
      <c r="AR983" s="206"/>
      <c r="AS983" s="206"/>
      <c r="AT983" s="206"/>
      <c r="AU983" s="206"/>
      <c r="AV983" s="206"/>
      <c r="AW983" s="207"/>
      <c r="AX983" s="207"/>
      <c r="AY983" s="207"/>
      <c r="AZ983" s="207"/>
    </row>
    <row r="984" spans="1:52" ht="12.75" x14ac:dyDescent="0.2">
      <c r="A984" s="206"/>
      <c r="B984" s="206"/>
      <c r="C984" s="206"/>
      <c r="D984" s="206"/>
      <c r="E984" s="206"/>
      <c r="F984" s="206"/>
      <c r="G984" s="206"/>
      <c r="H984" s="206"/>
      <c r="I984" s="206"/>
      <c r="J984" s="206"/>
      <c r="K984" s="206"/>
      <c r="L984" s="206"/>
      <c r="M984" s="207"/>
      <c r="N984" s="207"/>
      <c r="O984" s="208"/>
      <c r="P984" s="208"/>
      <c r="Q984" s="208"/>
      <c r="R984" s="206"/>
      <c r="S984" s="206"/>
      <c r="T984" s="206"/>
      <c r="U984" s="206"/>
      <c r="V984" s="206"/>
      <c r="W984" s="206"/>
      <c r="X984" s="207"/>
      <c r="Y984" s="207"/>
      <c r="Z984" s="207"/>
      <c r="AA984" s="206"/>
      <c r="AB984" s="206"/>
      <c r="AC984" s="206"/>
      <c r="AD984" s="206"/>
      <c r="AE984" s="206"/>
      <c r="AF984" s="206"/>
      <c r="AG984" s="206"/>
      <c r="AH984" s="206"/>
      <c r="AI984" s="206"/>
      <c r="AJ984" s="206"/>
      <c r="AK984" s="206"/>
      <c r="AL984" s="206"/>
      <c r="AM984" s="206"/>
      <c r="AN984" s="206"/>
      <c r="AO984" s="206"/>
      <c r="AP984" s="206"/>
      <c r="AQ984" s="207"/>
      <c r="AR984" s="206"/>
      <c r="AS984" s="206"/>
      <c r="AT984" s="206"/>
      <c r="AU984" s="206"/>
      <c r="AV984" s="206"/>
      <c r="AW984" s="207"/>
      <c r="AX984" s="207"/>
      <c r="AY984" s="207"/>
      <c r="AZ984" s="207"/>
    </row>
    <row r="985" spans="1:52" ht="12.75" x14ac:dyDescent="0.2">
      <c r="A985" s="206"/>
      <c r="B985" s="206"/>
      <c r="C985" s="206"/>
      <c r="D985" s="206"/>
      <c r="E985" s="206"/>
      <c r="F985" s="206"/>
      <c r="G985" s="206"/>
      <c r="H985" s="206"/>
      <c r="I985" s="206"/>
      <c r="J985" s="206"/>
      <c r="K985" s="206"/>
      <c r="L985" s="206"/>
      <c r="M985" s="207"/>
      <c r="N985" s="207"/>
      <c r="O985" s="208"/>
      <c r="P985" s="208"/>
      <c r="Q985" s="208"/>
      <c r="R985" s="206"/>
      <c r="S985" s="206"/>
      <c r="T985" s="206"/>
      <c r="U985" s="206"/>
      <c r="V985" s="206"/>
      <c r="W985" s="206"/>
      <c r="X985" s="207"/>
      <c r="Y985" s="207"/>
      <c r="Z985" s="207"/>
      <c r="AA985" s="206"/>
      <c r="AB985" s="206"/>
      <c r="AC985" s="206"/>
      <c r="AD985" s="206"/>
      <c r="AE985" s="206"/>
      <c r="AF985" s="206"/>
      <c r="AG985" s="206"/>
      <c r="AH985" s="206"/>
      <c r="AI985" s="206"/>
      <c r="AJ985" s="206"/>
      <c r="AK985" s="206"/>
      <c r="AL985" s="206"/>
      <c r="AM985" s="206"/>
      <c r="AN985" s="206"/>
      <c r="AO985" s="206"/>
      <c r="AP985" s="206"/>
      <c r="AQ985" s="207"/>
      <c r="AR985" s="206"/>
      <c r="AS985" s="206"/>
      <c r="AT985" s="206"/>
      <c r="AU985" s="206"/>
      <c r="AV985" s="206"/>
      <c r="AW985" s="207"/>
      <c r="AX985" s="207"/>
      <c r="AY985" s="207"/>
      <c r="AZ985" s="207"/>
    </row>
    <row r="986" spans="1:52" ht="12.75" x14ac:dyDescent="0.2">
      <c r="A986" s="206"/>
      <c r="B986" s="206"/>
      <c r="C986" s="206"/>
      <c r="D986" s="206"/>
      <c r="E986" s="206"/>
      <c r="F986" s="206"/>
      <c r="G986" s="206"/>
      <c r="H986" s="206"/>
      <c r="I986" s="206"/>
      <c r="J986" s="206"/>
      <c r="K986" s="206"/>
      <c r="L986" s="206"/>
      <c r="M986" s="207"/>
      <c r="N986" s="207"/>
      <c r="O986" s="208"/>
      <c r="P986" s="208"/>
      <c r="Q986" s="208"/>
      <c r="R986" s="206"/>
      <c r="S986" s="206"/>
      <c r="T986" s="206"/>
      <c r="U986" s="206"/>
      <c r="V986" s="206"/>
      <c r="W986" s="206"/>
      <c r="X986" s="207"/>
      <c r="Y986" s="207"/>
      <c r="Z986" s="207"/>
      <c r="AA986" s="206"/>
      <c r="AB986" s="206"/>
      <c r="AC986" s="206"/>
      <c r="AD986" s="206"/>
      <c r="AE986" s="206"/>
      <c r="AF986" s="206"/>
      <c r="AG986" s="206"/>
      <c r="AH986" s="206"/>
      <c r="AI986" s="206"/>
      <c r="AJ986" s="206"/>
      <c r="AK986" s="206"/>
      <c r="AL986" s="206"/>
      <c r="AM986" s="206"/>
      <c r="AN986" s="206"/>
      <c r="AO986" s="206"/>
      <c r="AP986" s="206"/>
      <c r="AQ986" s="207"/>
      <c r="AR986" s="206"/>
      <c r="AS986" s="206"/>
      <c r="AT986" s="206"/>
      <c r="AU986" s="206"/>
      <c r="AV986" s="206"/>
      <c r="AW986" s="207"/>
      <c r="AX986" s="207"/>
      <c r="AY986" s="207"/>
      <c r="AZ986" s="207"/>
    </row>
    <row r="987" spans="1:52" ht="12.75" x14ac:dyDescent="0.2">
      <c r="A987" s="206"/>
      <c r="B987" s="206"/>
      <c r="C987" s="206"/>
      <c r="D987" s="206"/>
      <c r="E987" s="206"/>
      <c r="F987" s="206"/>
      <c r="G987" s="206"/>
      <c r="H987" s="206"/>
      <c r="I987" s="206"/>
      <c r="J987" s="206"/>
      <c r="K987" s="206"/>
      <c r="L987" s="206"/>
      <c r="M987" s="207"/>
      <c r="N987" s="207"/>
      <c r="O987" s="208"/>
      <c r="P987" s="208"/>
      <c r="Q987" s="208"/>
      <c r="R987" s="206"/>
      <c r="S987" s="206"/>
      <c r="T987" s="206"/>
      <c r="U987" s="206"/>
      <c r="V987" s="206"/>
      <c r="W987" s="206"/>
      <c r="X987" s="207"/>
      <c r="Y987" s="207"/>
      <c r="Z987" s="207"/>
      <c r="AA987" s="206"/>
      <c r="AB987" s="206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7"/>
      <c r="AR987" s="206"/>
      <c r="AS987" s="206"/>
      <c r="AT987" s="206"/>
      <c r="AU987" s="206"/>
      <c r="AV987" s="206"/>
      <c r="AW987" s="207"/>
      <c r="AX987" s="207"/>
      <c r="AY987" s="207"/>
      <c r="AZ987" s="207"/>
    </row>
    <row r="988" spans="1:52" ht="12.75" x14ac:dyDescent="0.2">
      <c r="A988" s="206"/>
      <c r="B988" s="206"/>
      <c r="C988" s="206"/>
      <c r="D988" s="206"/>
      <c r="E988" s="206"/>
      <c r="F988" s="206"/>
      <c r="G988" s="206"/>
      <c r="H988" s="206"/>
      <c r="I988" s="206"/>
      <c r="J988" s="206"/>
      <c r="K988" s="206"/>
      <c r="L988" s="206"/>
      <c r="M988" s="207"/>
      <c r="N988" s="207"/>
      <c r="O988" s="208"/>
      <c r="P988" s="208"/>
      <c r="Q988" s="208"/>
      <c r="R988" s="206"/>
      <c r="S988" s="206"/>
      <c r="T988" s="206"/>
      <c r="U988" s="206"/>
      <c r="V988" s="206"/>
      <c r="W988" s="206"/>
      <c r="X988" s="207"/>
      <c r="Y988" s="207"/>
      <c r="Z988" s="207"/>
      <c r="AA988" s="206"/>
      <c r="AB988" s="206"/>
      <c r="AC988" s="206"/>
      <c r="AD988" s="206"/>
      <c r="AE988" s="206"/>
      <c r="AF988" s="206"/>
      <c r="AG988" s="206"/>
      <c r="AH988" s="206"/>
      <c r="AI988" s="206"/>
      <c r="AJ988" s="206"/>
      <c r="AK988" s="206"/>
      <c r="AL988" s="206"/>
      <c r="AM988" s="206"/>
      <c r="AN988" s="206"/>
      <c r="AO988" s="206"/>
      <c r="AP988" s="206"/>
      <c r="AQ988" s="207"/>
      <c r="AR988" s="206"/>
      <c r="AS988" s="206"/>
      <c r="AT988" s="206"/>
      <c r="AU988" s="206"/>
      <c r="AV988" s="206"/>
      <c r="AW988" s="207"/>
      <c r="AX988" s="207"/>
      <c r="AY988" s="207"/>
      <c r="AZ988" s="207"/>
    </row>
    <row r="989" spans="1:52" ht="12.75" x14ac:dyDescent="0.2">
      <c r="A989" s="206"/>
      <c r="B989" s="206"/>
      <c r="C989" s="206"/>
      <c r="D989" s="206"/>
      <c r="E989" s="206"/>
      <c r="F989" s="206"/>
      <c r="G989" s="206"/>
      <c r="H989" s="206"/>
      <c r="I989" s="206"/>
      <c r="J989" s="206"/>
      <c r="K989" s="206"/>
      <c r="L989" s="206"/>
      <c r="M989" s="207"/>
      <c r="N989" s="207"/>
      <c r="O989" s="208"/>
      <c r="P989" s="208"/>
      <c r="Q989" s="208"/>
      <c r="R989" s="206"/>
      <c r="S989" s="206"/>
      <c r="T989" s="206"/>
      <c r="U989" s="206"/>
      <c r="V989" s="206"/>
      <c r="W989" s="206"/>
      <c r="X989" s="207"/>
      <c r="Y989" s="207"/>
      <c r="Z989" s="207"/>
      <c r="AA989" s="206"/>
      <c r="AB989" s="206"/>
      <c r="AC989" s="206"/>
      <c r="AD989" s="206"/>
      <c r="AE989" s="206"/>
      <c r="AF989" s="206"/>
      <c r="AG989" s="206"/>
      <c r="AH989" s="206"/>
      <c r="AI989" s="206"/>
      <c r="AJ989" s="206"/>
      <c r="AK989" s="206"/>
      <c r="AL989" s="206"/>
      <c r="AM989" s="206"/>
      <c r="AN989" s="206"/>
      <c r="AO989" s="206"/>
      <c r="AP989" s="206"/>
      <c r="AQ989" s="207"/>
      <c r="AR989" s="206"/>
      <c r="AS989" s="206"/>
      <c r="AT989" s="206"/>
      <c r="AU989" s="206"/>
      <c r="AV989" s="206"/>
      <c r="AW989" s="207"/>
      <c r="AX989" s="207"/>
      <c r="AY989" s="207"/>
      <c r="AZ989" s="207"/>
    </row>
    <row r="990" spans="1:52" ht="12.75" x14ac:dyDescent="0.2">
      <c r="A990" s="206"/>
      <c r="B990" s="206"/>
      <c r="C990" s="206"/>
      <c r="D990" s="206"/>
      <c r="E990" s="206"/>
      <c r="F990" s="206"/>
      <c r="G990" s="206"/>
      <c r="H990" s="206"/>
      <c r="I990" s="206"/>
      <c r="J990" s="206"/>
      <c r="K990" s="206"/>
      <c r="L990" s="206"/>
      <c r="M990" s="207"/>
      <c r="N990" s="207"/>
      <c r="O990" s="208"/>
      <c r="P990" s="208"/>
      <c r="Q990" s="208"/>
      <c r="R990" s="206"/>
      <c r="S990" s="206"/>
      <c r="T990" s="206"/>
      <c r="U990" s="206"/>
      <c r="V990" s="206"/>
      <c r="W990" s="206"/>
      <c r="X990" s="207"/>
      <c r="Y990" s="207"/>
      <c r="Z990" s="207"/>
      <c r="AA990" s="206"/>
      <c r="AB990" s="206"/>
      <c r="AC990" s="206"/>
      <c r="AD990" s="206"/>
      <c r="AE990" s="206"/>
      <c r="AF990" s="206"/>
      <c r="AG990" s="206"/>
      <c r="AH990" s="206"/>
      <c r="AI990" s="206"/>
      <c r="AJ990" s="206"/>
      <c r="AK990" s="206"/>
      <c r="AL990" s="206"/>
      <c r="AM990" s="206"/>
      <c r="AN990" s="206"/>
      <c r="AO990" s="206"/>
      <c r="AP990" s="206"/>
      <c r="AQ990" s="207"/>
      <c r="AR990" s="206"/>
      <c r="AS990" s="206"/>
      <c r="AT990" s="206"/>
      <c r="AU990" s="206"/>
      <c r="AV990" s="206"/>
      <c r="AW990" s="207"/>
      <c r="AX990" s="207"/>
      <c r="AY990" s="207"/>
      <c r="AZ990" s="207"/>
    </row>
    <row r="991" spans="1:52" ht="12.75" x14ac:dyDescent="0.2">
      <c r="A991" s="206"/>
      <c r="B991" s="206"/>
      <c r="C991" s="206"/>
      <c r="D991" s="206"/>
      <c r="E991" s="206"/>
      <c r="F991" s="206"/>
      <c r="G991" s="206"/>
      <c r="H991" s="206"/>
      <c r="I991" s="206"/>
      <c r="J991" s="206"/>
      <c r="K991" s="206"/>
      <c r="L991" s="206"/>
      <c r="M991" s="207"/>
      <c r="N991" s="207"/>
      <c r="O991" s="208"/>
      <c r="P991" s="208"/>
      <c r="Q991" s="208"/>
      <c r="R991" s="206"/>
      <c r="S991" s="206"/>
      <c r="T991" s="206"/>
      <c r="U991" s="206"/>
      <c r="V991" s="206"/>
      <c r="W991" s="206"/>
      <c r="X991" s="207"/>
      <c r="Y991" s="207"/>
      <c r="Z991" s="207"/>
      <c r="AA991" s="206"/>
      <c r="AB991" s="206"/>
      <c r="AC991" s="206"/>
      <c r="AD991" s="206"/>
      <c r="AE991" s="206"/>
      <c r="AF991" s="206"/>
      <c r="AG991" s="206"/>
      <c r="AH991" s="206"/>
      <c r="AI991" s="206"/>
      <c r="AJ991" s="206"/>
      <c r="AK991" s="206"/>
      <c r="AL991" s="206"/>
      <c r="AM991" s="206"/>
      <c r="AN991" s="206"/>
      <c r="AO991" s="206"/>
      <c r="AP991" s="206"/>
      <c r="AQ991" s="207"/>
      <c r="AR991" s="206"/>
      <c r="AS991" s="206"/>
      <c r="AT991" s="206"/>
      <c r="AU991" s="206"/>
      <c r="AV991" s="206"/>
      <c r="AW991" s="207"/>
      <c r="AX991" s="207"/>
      <c r="AY991" s="207"/>
      <c r="AZ991" s="207"/>
    </row>
    <row r="992" spans="1:52" ht="12.75" x14ac:dyDescent="0.2">
      <c r="A992" s="206"/>
      <c r="B992" s="206"/>
      <c r="C992" s="206"/>
      <c r="D992" s="206"/>
      <c r="E992" s="206"/>
      <c r="F992" s="206"/>
      <c r="G992" s="206"/>
      <c r="H992" s="206"/>
      <c r="I992" s="206"/>
      <c r="J992" s="206"/>
      <c r="K992" s="206"/>
      <c r="L992" s="206"/>
      <c r="M992" s="207"/>
      <c r="N992" s="207"/>
      <c r="O992" s="208"/>
      <c r="P992" s="208"/>
      <c r="Q992" s="208"/>
      <c r="R992" s="206"/>
      <c r="S992" s="206"/>
      <c r="T992" s="206"/>
      <c r="U992" s="206"/>
      <c r="V992" s="206"/>
      <c r="W992" s="206"/>
      <c r="X992" s="207"/>
      <c r="Y992" s="207"/>
      <c r="Z992" s="207"/>
      <c r="AA992" s="206"/>
      <c r="AB992" s="206"/>
      <c r="AC992" s="206"/>
      <c r="AD992" s="206"/>
      <c r="AE992" s="206"/>
      <c r="AF992" s="206"/>
      <c r="AG992" s="206"/>
      <c r="AH992" s="206"/>
      <c r="AI992" s="206"/>
      <c r="AJ992" s="206"/>
      <c r="AK992" s="206"/>
      <c r="AL992" s="206"/>
      <c r="AM992" s="206"/>
      <c r="AN992" s="206"/>
      <c r="AO992" s="206"/>
      <c r="AP992" s="206"/>
      <c r="AQ992" s="207"/>
      <c r="AR992" s="206"/>
      <c r="AS992" s="206"/>
      <c r="AT992" s="206"/>
      <c r="AU992" s="206"/>
      <c r="AV992" s="206"/>
      <c r="AW992" s="207"/>
      <c r="AX992" s="207"/>
      <c r="AY992" s="207"/>
      <c r="AZ992" s="207"/>
    </row>
    <row r="993" spans="1:52" ht="12.75" x14ac:dyDescent="0.2">
      <c r="A993" s="206"/>
      <c r="B993" s="206"/>
      <c r="C993" s="206"/>
      <c r="D993" s="206"/>
      <c r="E993" s="206"/>
      <c r="F993" s="206"/>
      <c r="G993" s="206"/>
      <c r="H993" s="206"/>
      <c r="I993" s="206"/>
      <c r="J993" s="206"/>
      <c r="K993" s="206"/>
      <c r="L993" s="206"/>
      <c r="M993" s="207"/>
      <c r="N993" s="207"/>
      <c r="O993" s="208"/>
      <c r="P993" s="208"/>
      <c r="Q993" s="208"/>
      <c r="R993" s="206"/>
      <c r="S993" s="206"/>
      <c r="T993" s="206"/>
      <c r="U993" s="206"/>
      <c r="V993" s="206"/>
      <c r="W993" s="206"/>
      <c r="X993" s="207"/>
      <c r="Y993" s="207"/>
      <c r="Z993" s="207"/>
      <c r="AA993" s="206"/>
      <c r="AB993" s="206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7"/>
      <c r="AR993" s="206"/>
      <c r="AS993" s="206"/>
      <c r="AT993" s="206"/>
      <c r="AU993" s="206"/>
      <c r="AV993" s="206"/>
      <c r="AW993" s="207"/>
      <c r="AX993" s="207"/>
      <c r="AY993" s="207"/>
      <c r="AZ993" s="207"/>
    </row>
    <row r="994" spans="1:52" ht="12.75" x14ac:dyDescent="0.2">
      <c r="A994" s="206"/>
      <c r="B994" s="206"/>
      <c r="C994" s="206"/>
      <c r="D994" s="206"/>
      <c r="E994" s="206"/>
      <c r="F994" s="206"/>
      <c r="G994" s="206"/>
      <c r="H994" s="206"/>
      <c r="I994" s="206"/>
      <c r="J994" s="206"/>
      <c r="K994" s="206"/>
      <c r="L994" s="206"/>
      <c r="M994" s="207"/>
      <c r="N994" s="207"/>
      <c r="O994" s="208"/>
      <c r="P994" s="208"/>
      <c r="Q994" s="208"/>
      <c r="R994" s="206"/>
      <c r="S994" s="206"/>
      <c r="T994" s="206"/>
      <c r="U994" s="206"/>
      <c r="V994" s="206"/>
      <c r="W994" s="206"/>
      <c r="X994" s="207"/>
      <c r="Y994" s="207"/>
      <c r="Z994" s="207"/>
      <c r="AA994" s="206"/>
      <c r="AB994" s="206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7"/>
      <c r="AR994" s="206"/>
      <c r="AS994" s="206"/>
      <c r="AT994" s="206"/>
      <c r="AU994" s="206"/>
      <c r="AV994" s="206"/>
      <c r="AW994" s="207"/>
      <c r="AX994" s="207"/>
      <c r="AY994" s="207"/>
      <c r="AZ994" s="207"/>
    </row>
    <row r="995" spans="1:52" ht="12.75" x14ac:dyDescent="0.2">
      <c r="A995" s="206"/>
      <c r="B995" s="206"/>
      <c r="C995" s="206"/>
      <c r="D995" s="206"/>
      <c r="E995" s="206"/>
      <c r="F995" s="206"/>
      <c r="G995" s="206"/>
      <c r="H995" s="206"/>
      <c r="I995" s="206"/>
      <c r="J995" s="206"/>
      <c r="K995" s="206"/>
      <c r="L995" s="206"/>
      <c r="M995" s="207"/>
      <c r="N995" s="207"/>
      <c r="O995" s="208"/>
      <c r="P995" s="208"/>
      <c r="Q995" s="208"/>
      <c r="R995" s="206"/>
      <c r="S995" s="206"/>
      <c r="T995" s="206"/>
      <c r="U995" s="206"/>
      <c r="V995" s="206"/>
      <c r="W995" s="206"/>
      <c r="X995" s="207"/>
      <c r="Y995" s="207"/>
      <c r="Z995" s="207"/>
      <c r="AA995" s="206"/>
      <c r="AB995" s="206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7"/>
      <c r="AR995" s="206"/>
      <c r="AS995" s="206"/>
      <c r="AT995" s="206"/>
      <c r="AU995" s="206"/>
      <c r="AV995" s="206"/>
      <c r="AW995" s="207"/>
      <c r="AX995" s="207"/>
      <c r="AY995" s="207"/>
      <c r="AZ995" s="207"/>
    </row>
    <row r="996" spans="1:52" ht="12.75" x14ac:dyDescent="0.2">
      <c r="A996" s="206"/>
      <c r="B996" s="206"/>
      <c r="C996" s="206"/>
      <c r="D996" s="206"/>
      <c r="E996" s="206"/>
      <c r="F996" s="206"/>
      <c r="G996" s="206"/>
      <c r="H996" s="206"/>
      <c r="I996" s="206"/>
      <c r="J996" s="206"/>
      <c r="K996" s="206"/>
      <c r="L996" s="206"/>
      <c r="M996" s="207"/>
      <c r="N996" s="207"/>
      <c r="O996" s="208"/>
      <c r="P996" s="208"/>
      <c r="Q996" s="208"/>
      <c r="R996" s="206"/>
      <c r="S996" s="206"/>
      <c r="T996" s="206"/>
      <c r="U996" s="206"/>
      <c r="V996" s="206"/>
      <c r="W996" s="206"/>
      <c r="X996" s="207"/>
      <c r="Y996" s="207"/>
      <c r="Z996" s="207"/>
      <c r="AA996" s="206"/>
      <c r="AB996" s="206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7"/>
      <c r="AR996" s="206"/>
      <c r="AS996" s="206"/>
      <c r="AT996" s="206"/>
      <c r="AU996" s="206"/>
      <c r="AV996" s="206"/>
      <c r="AW996" s="207"/>
      <c r="AX996" s="207"/>
      <c r="AY996" s="207"/>
      <c r="AZ996" s="207"/>
    </row>
    <row r="997" spans="1:52" ht="12.75" x14ac:dyDescent="0.2">
      <c r="A997" s="206"/>
      <c r="B997" s="206"/>
      <c r="C997" s="206"/>
      <c r="D997" s="206"/>
      <c r="E997" s="206"/>
      <c r="F997" s="206"/>
      <c r="G997" s="206"/>
      <c r="H997" s="206"/>
      <c r="I997" s="206"/>
      <c r="J997" s="206"/>
      <c r="K997" s="206"/>
      <c r="L997" s="206"/>
      <c r="M997" s="207"/>
      <c r="N997" s="207"/>
      <c r="O997" s="208"/>
      <c r="P997" s="208"/>
      <c r="Q997" s="208"/>
      <c r="R997" s="206"/>
      <c r="S997" s="206"/>
      <c r="T997" s="206"/>
      <c r="U997" s="206"/>
      <c r="V997" s="206"/>
      <c r="W997" s="206"/>
      <c r="X997" s="207"/>
      <c r="Y997" s="207"/>
      <c r="Z997" s="207"/>
      <c r="AA997" s="206"/>
      <c r="AB997" s="206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7"/>
      <c r="AR997" s="206"/>
      <c r="AS997" s="206"/>
      <c r="AT997" s="206"/>
      <c r="AU997" s="206"/>
      <c r="AV997" s="206"/>
      <c r="AW997" s="207"/>
      <c r="AX997" s="207"/>
      <c r="AY997" s="207"/>
      <c r="AZ997" s="207"/>
    </row>
    <row r="998" spans="1:52" ht="12.75" x14ac:dyDescent="0.2">
      <c r="A998" s="206"/>
      <c r="B998" s="206"/>
      <c r="C998" s="206"/>
      <c r="D998" s="206"/>
      <c r="E998" s="206"/>
      <c r="F998" s="206"/>
      <c r="G998" s="206"/>
      <c r="H998" s="206"/>
      <c r="I998" s="206"/>
      <c r="J998" s="206"/>
      <c r="K998" s="206"/>
      <c r="L998" s="206"/>
      <c r="M998" s="207"/>
      <c r="N998" s="207"/>
      <c r="O998" s="208"/>
      <c r="P998" s="208"/>
      <c r="Q998" s="208"/>
      <c r="R998" s="206"/>
      <c r="S998" s="206"/>
      <c r="T998" s="206"/>
      <c r="U998" s="206"/>
      <c r="V998" s="206"/>
      <c r="W998" s="206"/>
      <c r="X998" s="207"/>
      <c r="Y998" s="207"/>
      <c r="Z998" s="207"/>
      <c r="AA998" s="206"/>
      <c r="AB998" s="206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7"/>
      <c r="AR998" s="206"/>
      <c r="AS998" s="206"/>
      <c r="AT998" s="206"/>
      <c r="AU998" s="206"/>
      <c r="AV998" s="206"/>
      <c r="AW998" s="207"/>
      <c r="AX998" s="207"/>
      <c r="AY998" s="207"/>
      <c r="AZ998" s="207"/>
    </row>
    <row r="999" spans="1:52" ht="12.75" x14ac:dyDescent="0.2">
      <c r="A999" s="206"/>
      <c r="B999" s="206"/>
      <c r="C999" s="206"/>
      <c r="D999" s="206"/>
      <c r="E999" s="206"/>
      <c r="F999" s="206"/>
      <c r="G999" s="206"/>
      <c r="H999" s="206"/>
      <c r="I999" s="206"/>
      <c r="J999" s="206"/>
      <c r="K999" s="206"/>
      <c r="L999" s="206"/>
      <c r="M999" s="207"/>
      <c r="N999" s="207"/>
      <c r="O999" s="208"/>
      <c r="P999" s="208"/>
      <c r="Q999" s="208"/>
      <c r="R999" s="206"/>
      <c r="S999" s="206"/>
      <c r="T999" s="206"/>
      <c r="U999" s="206"/>
      <c r="V999" s="206"/>
      <c r="W999" s="206"/>
      <c r="X999" s="207"/>
      <c r="Y999" s="207"/>
      <c r="Z999" s="207"/>
      <c r="AA999" s="206"/>
      <c r="AB999" s="206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7"/>
      <c r="AR999" s="206"/>
      <c r="AS999" s="206"/>
      <c r="AT999" s="206"/>
      <c r="AU999" s="206"/>
      <c r="AV999" s="206"/>
      <c r="AW999" s="207"/>
      <c r="AX999" s="207"/>
      <c r="AY999" s="207"/>
      <c r="AZ999" s="207"/>
    </row>
    <row r="1000" spans="1:52" ht="12.75" x14ac:dyDescent="0.2">
      <c r="A1000" s="209"/>
      <c r="B1000" s="209"/>
      <c r="C1000" s="209"/>
      <c r="D1000" s="209"/>
      <c r="E1000" s="209"/>
      <c r="F1000" s="209"/>
      <c r="G1000" s="209"/>
      <c r="H1000" s="209"/>
      <c r="I1000" s="209"/>
      <c r="J1000" s="209"/>
      <c r="K1000" s="209"/>
      <c r="L1000" s="209"/>
      <c r="M1000" s="209"/>
      <c r="N1000" s="209"/>
      <c r="O1000" s="209"/>
      <c r="P1000" s="209"/>
      <c r="Q1000" s="209"/>
      <c r="R1000" s="209"/>
      <c r="S1000" s="209"/>
      <c r="T1000" s="209"/>
      <c r="U1000" s="209"/>
      <c r="V1000" s="209"/>
      <c r="W1000" s="209"/>
      <c r="X1000" s="209"/>
      <c r="Y1000" s="209"/>
      <c r="Z1000" s="209"/>
      <c r="AA1000" s="209"/>
      <c r="AB1000" s="209"/>
      <c r="AC1000" s="209"/>
      <c r="AD1000" s="209"/>
      <c r="AE1000" s="209"/>
      <c r="AF1000" s="209"/>
      <c r="AG1000" s="209"/>
      <c r="AH1000" s="209"/>
      <c r="AI1000" s="209"/>
      <c r="AJ1000" s="209"/>
      <c r="AK1000" s="209"/>
      <c r="AL1000" s="209"/>
      <c r="AM1000" s="209"/>
      <c r="AN1000" s="209"/>
      <c r="AO1000" s="209"/>
      <c r="AP1000" s="209"/>
      <c r="AQ1000" s="209"/>
      <c r="AR1000" s="209"/>
      <c r="AS1000" s="209"/>
      <c r="AT1000" s="209"/>
      <c r="AU1000" s="209"/>
      <c r="AV1000" s="209"/>
      <c r="AW1000" s="209"/>
      <c r="AX1000" s="209"/>
      <c r="AY1000" s="209"/>
      <c r="AZ1000" s="209"/>
    </row>
  </sheetData>
  <mergeCells count="44">
    <mergeCell ref="AV5:AW5"/>
    <mergeCell ref="AY5:AZ5"/>
    <mergeCell ref="A104:B104"/>
    <mergeCell ref="A2:B6"/>
    <mergeCell ref="C2:AZ2"/>
    <mergeCell ref="C3:Q3"/>
    <mergeCell ref="R3:T4"/>
    <mergeCell ref="U3:AK3"/>
    <mergeCell ref="AL3:AZ3"/>
    <mergeCell ref="C4:G4"/>
    <mergeCell ref="A7:B7"/>
    <mergeCell ref="L5:N5"/>
    <mergeCell ref="O5:Q5"/>
    <mergeCell ref="S5:T5"/>
    <mergeCell ref="U5:V5"/>
    <mergeCell ref="W5:Z5"/>
    <mergeCell ref="AA5:AB5"/>
    <mergeCell ref="AC5:AD5"/>
    <mergeCell ref="A13:B13"/>
    <mergeCell ref="A31:B31"/>
    <mergeCell ref="A52:B52"/>
    <mergeCell ref="A74:B74"/>
    <mergeCell ref="A89:B89"/>
    <mergeCell ref="AR4:AT4"/>
    <mergeCell ref="AU4:AW4"/>
    <mergeCell ref="AX4:AZ4"/>
    <mergeCell ref="C5:C6"/>
    <mergeCell ref="D5:D6"/>
    <mergeCell ref="E5:E6"/>
    <mergeCell ref="F5:F6"/>
    <mergeCell ref="G5:G6"/>
    <mergeCell ref="J5:K5"/>
    <mergeCell ref="U4:Z4"/>
    <mergeCell ref="AA4:AE4"/>
    <mergeCell ref="AG5:AH5"/>
    <mergeCell ref="AJ5:AK5"/>
    <mergeCell ref="AL5:AM5"/>
    <mergeCell ref="AN5:AQ5"/>
    <mergeCell ref="AS5:AT5"/>
    <mergeCell ref="H4:I4"/>
    <mergeCell ref="J4:Q4"/>
    <mergeCell ref="AF4:AH4"/>
    <mergeCell ref="AI4:AK4"/>
    <mergeCell ref="AL4:AQ4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Q999"/>
  <sheetViews>
    <sheetView view="pageBreakPreview" zoomScale="60" zoomScaleNormal="100" workbookViewId="0">
      <pane xSplit="2" ySplit="7" topLeftCell="C8" activePane="bottomRight" state="frozen"/>
      <selection activeCell="G19" sqref="G19"/>
      <selection pane="topRight" activeCell="G19" sqref="G19"/>
      <selection pane="bottomLeft" activeCell="G19" sqref="G19"/>
      <selection pane="bottomRight" activeCell="T18" sqref="T1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2.5703125" customWidth="1"/>
    <col min="16" max="17" width="15.140625" customWidth="1"/>
  </cols>
  <sheetData>
    <row r="1" spans="1:17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</row>
    <row r="2" spans="1:17" ht="24" customHeight="1" x14ac:dyDescent="0.2">
      <c r="A2" s="382" t="s">
        <v>1</v>
      </c>
      <c r="B2" s="383"/>
      <c r="C2" s="352" t="s">
        <v>155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4"/>
    </row>
    <row r="3" spans="1:17" ht="30" customHeight="1" x14ac:dyDescent="0.2">
      <c r="A3" s="384"/>
      <c r="B3" s="385"/>
      <c r="C3" s="355" t="s">
        <v>3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</row>
    <row r="4" spans="1:17" ht="30" customHeight="1" x14ac:dyDescent="0.2">
      <c r="A4" s="384"/>
      <c r="B4" s="385"/>
      <c r="C4" s="366" t="s">
        <v>6</v>
      </c>
      <c r="D4" s="356"/>
      <c r="E4" s="356"/>
      <c r="F4" s="356"/>
      <c r="G4" s="359"/>
      <c r="H4" s="367" t="s">
        <v>7</v>
      </c>
      <c r="I4" s="359"/>
      <c r="J4" s="371" t="s">
        <v>8</v>
      </c>
      <c r="K4" s="356"/>
      <c r="L4" s="356"/>
      <c r="M4" s="356"/>
      <c r="N4" s="356"/>
      <c r="O4" s="356"/>
      <c r="P4" s="356"/>
      <c r="Q4" s="359"/>
    </row>
    <row r="5" spans="1:17" ht="24" customHeight="1" x14ac:dyDescent="0.2">
      <c r="A5" s="384"/>
      <c r="B5" s="385"/>
      <c r="C5" s="437" t="s">
        <v>13</v>
      </c>
      <c r="D5" s="438" t="s">
        <v>14</v>
      </c>
      <c r="E5" s="439" t="s">
        <v>15</v>
      </c>
      <c r="F5" s="440" t="s">
        <v>16</v>
      </c>
      <c r="G5" s="441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64"/>
      <c r="N5" s="365"/>
      <c r="O5" s="375" t="s">
        <v>19</v>
      </c>
      <c r="P5" s="364"/>
      <c r="Q5" s="365"/>
    </row>
    <row r="6" spans="1:17" ht="36" customHeight="1" x14ac:dyDescent="0.2">
      <c r="A6" s="386"/>
      <c r="B6" s="387"/>
      <c r="C6" s="442"/>
      <c r="D6" s="443"/>
      <c r="E6" s="443"/>
      <c r="F6" s="443"/>
      <c r="G6" s="443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</row>
    <row r="7" spans="1:17" ht="24" customHeight="1" x14ac:dyDescent="0.2">
      <c r="A7" s="389" t="s">
        <v>233</v>
      </c>
      <c r="B7" s="390"/>
      <c r="C7" s="210">
        <f t="shared" ref="C7:C116" ca="1" si="0">D7+G7</f>
        <v>2888900</v>
      </c>
      <c r="D7" s="211">
        <f t="shared" ref="D7:E7" ca="1" si="1">D8+D9+D12</f>
        <v>0</v>
      </c>
      <c r="E7" s="23">
        <f t="shared" ca="1" si="1"/>
        <v>0</v>
      </c>
      <c r="F7" s="24">
        <f ca="1">F8+F9</f>
        <v>0</v>
      </c>
      <c r="G7" s="25">
        <f t="shared" ref="G7:I7" ca="1" si="2">G8+G9+G12</f>
        <v>2888900</v>
      </c>
      <c r="H7" s="26">
        <f t="shared" ca="1" si="2"/>
        <v>0</v>
      </c>
      <c r="I7" s="26">
        <f t="shared" ca="1" si="2"/>
        <v>2888900</v>
      </c>
      <c r="J7" s="27">
        <f t="shared" ref="J7:J116" ca="1" si="3">L7+O7</f>
        <v>2713135</v>
      </c>
      <c r="K7" s="28">
        <f t="shared" ref="K7:K116" ca="1" si="4">IF(C7&gt;0,J7*100/C7,0)</f>
        <v>93.915850323652606</v>
      </c>
      <c r="L7" s="27">
        <f ca="1">L8+L9+L12</f>
        <v>0</v>
      </c>
      <c r="M7" s="29">
        <f t="shared" ref="M7:M116" ca="1" si="5">IF(D7&gt;0,L7*100/D7,0)</f>
        <v>0</v>
      </c>
      <c r="N7" s="29">
        <f t="shared" ref="N7:N116" ca="1" si="6">IF(H7&gt;0,L7*100/H7,0)</f>
        <v>0</v>
      </c>
      <c r="O7" s="30">
        <f ca="1">O8+O9+O12</f>
        <v>2713135</v>
      </c>
      <c r="P7" s="29">
        <f t="shared" ref="P7:P11" ca="1" si="7">IF(G7&gt;0,O7*100/G7,0)</f>
        <v>93.915850323652606</v>
      </c>
      <c r="Q7" s="29">
        <f t="shared" ref="Q7:Q116" ca="1" si="8">IF(I7&gt;0,O7*100/I7,0)</f>
        <v>93.915850323652606</v>
      </c>
    </row>
    <row r="8" spans="1:17" ht="28.5" customHeight="1" x14ac:dyDescent="0.2">
      <c r="A8" s="34" t="s">
        <v>31</v>
      </c>
      <c r="B8" s="35"/>
      <c r="C8" s="36">
        <f t="shared" ca="1" si="0"/>
        <v>2888900</v>
      </c>
      <c r="D8" s="38">
        <f t="shared" ref="D8:I8" ca="1" si="9">+D13+D31+D52+D74</f>
        <v>0</v>
      </c>
      <c r="E8" s="38">
        <f t="shared" ca="1" si="9"/>
        <v>0</v>
      </c>
      <c r="F8" s="38">
        <f t="shared" ca="1" si="9"/>
        <v>0</v>
      </c>
      <c r="G8" s="38">
        <f t="shared" ca="1" si="9"/>
        <v>2888900</v>
      </c>
      <c r="H8" s="38">
        <f t="shared" ca="1" si="9"/>
        <v>0</v>
      </c>
      <c r="I8" s="38">
        <f t="shared" ca="1" si="9"/>
        <v>2888850</v>
      </c>
      <c r="J8" s="38">
        <f t="shared" ca="1" si="3"/>
        <v>2713135</v>
      </c>
      <c r="K8" s="39">
        <f t="shared" ca="1" si="4"/>
        <v>93.915850323652606</v>
      </c>
      <c r="L8" s="38">
        <f ca="1">+L13+L31+L52+L74</f>
        <v>0</v>
      </c>
      <c r="M8" s="40">
        <f t="shared" ca="1" si="5"/>
        <v>0</v>
      </c>
      <c r="N8" s="40">
        <f t="shared" ca="1" si="6"/>
        <v>0</v>
      </c>
      <c r="O8" s="41">
        <f ca="1">+O13+O31+O52+O74</f>
        <v>2713135</v>
      </c>
      <c r="P8" s="40">
        <f t="shared" ca="1" si="7"/>
        <v>93.915850323652606</v>
      </c>
      <c r="Q8" s="40">
        <f t="shared" ca="1" si="8"/>
        <v>93.917475812174388</v>
      </c>
    </row>
    <row r="9" spans="1:17" ht="28.5" customHeight="1" x14ac:dyDescent="0.2">
      <c r="A9" s="44" t="s">
        <v>234</v>
      </c>
      <c r="B9" s="45"/>
      <c r="C9" s="46">
        <f t="shared" ca="1" si="0"/>
        <v>0</v>
      </c>
      <c r="D9" s="46">
        <f t="shared" ref="D9:I9" ca="1" si="10">+D10+D11</f>
        <v>0</v>
      </c>
      <c r="E9" s="46">
        <f t="shared" ca="1" si="10"/>
        <v>0</v>
      </c>
      <c r="F9" s="46">
        <f t="shared" ca="1" si="10"/>
        <v>0</v>
      </c>
      <c r="G9" s="46">
        <f t="shared" ca="1" si="10"/>
        <v>0</v>
      </c>
      <c r="H9" s="46">
        <f t="shared" ca="1" si="10"/>
        <v>0</v>
      </c>
      <c r="I9" s="46">
        <f t="shared" ca="1" si="10"/>
        <v>50</v>
      </c>
      <c r="J9" s="46">
        <f t="shared" ca="1" si="3"/>
        <v>0</v>
      </c>
      <c r="K9" s="48">
        <f t="shared" ca="1" si="4"/>
        <v>0</v>
      </c>
      <c r="L9" s="46">
        <f ca="1">+L10+L11</f>
        <v>0</v>
      </c>
      <c r="M9" s="49">
        <f t="shared" ca="1" si="5"/>
        <v>0</v>
      </c>
      <c r="N9" s="49">
        <f t="shared" ca="1" si="6"/>
        <v>0</v>
      </c>
      <c r="O9" s="50">
        <f ca="1">+O10+O11</f>
        <v>0</v>
      </c>
      <c r="P9" s="49">
        <f t="shared" ca="1" si="7"/>
        <v>0</v>
      </c>
      <c r="Q9" s="49">
        <f t="shared" ca="1" si="8"/>
        <v>0</v>
      </c>
    </row>
    <row r="10" spans="1:17" ht="28.5" hidden="1" customHeight="1" x14ac:dyDescent="0.2">
      <c r="A10" s="44" t="s">
        <v>32</v>
      </c>
      <c r="B10" s="45"/>
      <c r="C10" s="46">
        <f t="shared" ca="1" si="0"/>
        <v>0</v>
      </c>
      <c r="D10" s="46">
        <f t="shared" ref="D10:I10" ca="1" si="11">+D89</f>
        <v>0</v>
      </c>
      <c r="E10" s="46">
        <f t="shared" ca="1" si="11"/>
        <v>0</v>
      </c>
      <c r="F10" s="46">
        <f t="shared" ca="1" si="11"/>
        <v>0</v>
      </c>
      <c r="G10" s="46">
        <f t="shared" ca="1" si="11"/>
        <v>0</v>
      </c>
      <c r="H10" s="46">
        <f t="shared" ca="1" si="11"/>
        <v>0</v>
      </c>
      <c r="I10" s="46">
        <f t="shared" ca="1" si="11"/>
        <v>0</v>
      </c>
      <c r="J10" s="46">
        <f t="shared" ca="1" si="3"/>
        <v>0</v>
      </c>
      <c r="K10" s="48">
        <f t="shared" ca="1" si="4"/>
        <v>0</v>
      </c>
      <c r="L10" s="46">
        <f ca="1">+L89</f>
        <v>0</v>
      </c>
      <c r="M10" s="49">
        <f t="shared" ca="1" si="5"/>
        <v>0</v>
      </c>
      <c r="N10" s="49">
        <f t="shared" ca="1" si="6"/>
        <v>0</v>
      </c>
      <c r="O10" s="50">
        <f ca="1">+O89</f>
        <v>0</v>
      </c>
      <c r="P10" s="49">
        <f t="shared" ca="1" si="7"/>
        <v>0</v>
      </c>
      <c r="Q10" s="49">
        <f t="shared" ca="1" si="8"/>
        <v>0</v>
      </c>
    </row>
    <row r="11" spans="1:17" ht="28.5" hidden="1" customHeight="1" x14ac:dyDescent="0.2">
      <c r="A11" s="53" t="s">
        <v>33</v>
      </c>
      <c r="B11" s="45"/>
      <c r="C11" s="46">
        <f t="shared" ca="1" si="0"/>
        <v>0</v>
      </c>
      <c r="D11" s="46">
        <f t="shared" ref="D11:I11" ca="1" si="12">+D104</f>
        <v>0</v>
      </c>
      <c r="E11" s="46">
        <f t="shared" ca="1" si="12"/>
        <v>0</v>
      </c>
      <c r="F11" s="46">
        <f t="shared" ca="1" si="12"/>
        <v>0</v>
      </c>
      <c r="G11" s="46">
        <f t="shared" ca="1" si="12"/>
        <v>0</v>
      </c>
      <c r="H11" s="46">
        <f t="shared" ca="1" si="12"/>
        <v>0</v>
      </c>
      <c r="I11" s="46">
        <f t="shared" ca="1" si="12"/>
        <v>50</v>
      </c>
      <c r="J11" s="46">
        <f t="shared" ca="1" si="3"/>
        <v>0</v>
      </c>
      <c r="K11" s="48">
        <f t="shared" ca="1" si="4"/>
        <v>0</v>
      </c>
      <c r="L11" s="46">
        <f ca="1">+L104</f>
        <v>0</v>
      </c>
      <c r="M11" s="49">
        <f t="shared" ca="1" si="5"/>
        <v>0</v>
      </c>
      <c r="N11" s="49">
        <f t="shared" ca="1" si="6"/>
        <v>0</v>
      </c>
      <c r="O11" s="50">
        <f ca="1">+O104</f>
        <v>0</v>
      </c>
      <c r="P11" s="49">
        <f t="shared" ca="1" si="7"/>
        <v>0</v>
      </c>
      <c r="Q11" s="49">
        <f t="shared" ca="1" si="8"/>
        <v>0</v>
      </c>
    </row>
    <row r="12" spans="1:17" ht="28.5" hidden="1" customHeight="1" x14ac:dyDescent="0.2">
      <c r="A12" s="54" t="s">
        <v>34</v>
      </c>
      <c r="B12" s="212"/>
      <c r="C12" s="213">
        <f t="shared" si="0"/>
        <v>0</v>
      </c>
      <c r="D12" s="58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0"/>
      <c r="Q12" s="60">
        <f t="shared" si="8"/>
        <v>0</v>
      </c>
    </row>
    <row r="13" spans="1:17" ht="28.5" customHeight="1" x14ac:dyDescent="0.2">
      <c r="A13" s="377" t="s">
        <v>35</v>
      </c>
      <c r="B13" s="359"/>
      <c r="C13" s="214">
        <f t="shared" ca="1" si="0"/>
        <v>2312300</v>
      </c>
      <c r="D13" s="64">
        <f t="shared" ref="D13:I13" ca="1" si="13">SUM(D14:D30)</f>
        <v>0</v>
      </c>
      <c r="E13" s="64">
        <f t="shared" ca="1" si="13"/>
        <v>0</v>
      </c>
      <c r="F13" s="64">
        <f t="shared" ca="1" si="13"/>
        <v>0</v>
      </c>
      <c r="G13" s="64">
        <f t="shared" ca="1" si="13"/>
        <v>2312300</v>
      </c>
      <c r="H13" s="64">
        <f t="shared" ca="1" si="13"/>
        <v>0</v>
      </c>
      <c r="I13" s="64">
        <f t="shared" ca="1" si="13"/>
        <v>2312250</v>
      </c>
      <c r="J13" s="64">
        <f t="shared" ca="1" si="3"/>
        <v>2136550</v>
      </c>
      <c r="K13" s="65">
        <f t="shared" ca="1" si="4"/>
        <v>92.399342645850453</v>
      </c>
      <c r="L13" s="64">
        <f ca="1">SUM(L14:L30)</f>
        <v>0</v>
      </c>
      <c r="M13" s="66">
        <f t="shared" ca="1" si="5"/>
        <v>0</v>
      </c>
      <c r="N13" s="66">
        <f t="shared" ca="1" si="6"/>
        <v>0</v>
      </c>
      <c r="O13" s="67">
        <f ca="1">SUM(O14:O30)</f>
        <v>2136550</v>
      </c>
      <c r="P13" s="66">
        <f t="shared" ref="P13:P116" ca="1" si="14">IF(G13&gt;0,O13*100/G13,0)</f>
        <v>92.399342645850453</v>
      </c>
      <c r="Q13" s="66">
        <f t="shared" ca="1" si="8"/>
        <v>92.401340685479511</v>
      </c>
    </row>
    <row r="14" spans="1:17" ht="24" customHeight="1" x14ac:dyDescent="0.2">
      <c r="A14" s="68">
        <v>1</v>
      </c>
      <c r="B14" s="69" t="s">
        <v>36</v>
      </c>
      <c r="C14" s="103">
        <f t="shared" ca="1" si="0"/>
        <v>0</v>
      </c>
      <c r="D14" s="71">
        <f t="shared" ref="D14:D30" ca="1" si="15">+E14+F14</f>
        <v>0</v>
      </c>
      <c r="E14" s="72">
        <f ca="1">IFERROR(__xludf.DUMMYFUNCTION("IMPORTRANGE(""https://docs.google.com/spreadsheets/d/1MeEWN-I1oV_STSDYn1IFDPWt_1FKiwhDph83XaGc0o0/edit?usp=sharing"",""งบพรบ!BB14"")"),0)</f>
        <v>0</v>
      </c>
      <c r="F14" s="72">
        <f ca="1">IFERROR(__xludf.DUMMYFUNCTION("IMPORTRANGE(""https://docs.google.com/spreadsheets/d/1MeEWN-I1oV_STSDYn1IFDPWt_1FKiwhDph83XaGc0o0/edit?usp=sharing"",""งบพรบ!BC14"")"),0)</f>
        <v>0</v>
      </c>
      <c r="G14" s="73">
        <f ca="1">IFERROR(__xludf.DUMMYFUNCTION("IMPORTRANGE(""https://docs.google.com/spreadsheets/d/1MeEWN-I1oV_STSDYn1IFDPWt_1FKiwhDph83XaGc0o0/edit?usp=sharing"",""งบพรบ!BD14"")"),0)</f>
        <v>0</v>
      </c>
      <c r="H14" s="73">
        <f ca="1">IFERROR(__xludf.DUMMYFUNCTION("IMPORTRANGE(""https://docs.google.com/spreadsheets/d/1MeEWN-I1oV_STSDYn1IFDPWt_1FKiwhDph83XaGc0o0/edit?usp=sharing"",""งบพรบ!BF14"")"),0)</f>
        <v>0</v>
      </c>
      <c r="I14" s="73">
        <f ca="1">IFERROR(__xludf.DUMMYFUNCTION("IMPORTRANGE(""https://docs.google.com/spreadsheets/d/1MeEWN-I1oV_STSDYn1IFDPWt_1FKiwhDph83XaGc0o0/edit?usp=sharing"",""งบพรบ!BG14"")"),0)</f>
        <v>0</v>
      </c>
      <c r="J14" s="73">
        <f t="shared" ca="1" si="3"/>
        <v>0</v>
      </c>
      <c r="K14" s="74">
        <f t="shared" ca="1" si="4"/>
        <v>0</v>
      </c>
      <c r="L14" s="73">
        <f ca="1">IFERROR(__xludf.DUMMYFUNCTION("IMPORTRANGE(""https://docs.google.com/spreadsheets/d/1MeEWN-I1oV_STSDYn1IFDPWt_1FKiwhDph83XaGc0o0/edit?usp=sharing"",""งบพรบ!BH14"")"),0)</f>
        <v>0</v>
      </c>
      <c r="M14" s="75">
        <f t="shared" ca="1" si="5"/>
        <v>0</v>
      </c>
      <c r="N14" s="75">
        <f t="shared" ca="1" si="6"/>
        <v>0</v>
      </c>
      <c r="O14" s="76">
        <f ca="1">IFERROR(__xludf.DUMMYFUNCTION("IMPORTRANGE(""https://docs.google.com/spreadsheets/d/1MeEWN-I1oV_STSDYn1IFDPWt_1FKiwhDph83XaGc0o0/edit?usp=sharing"",""งบพรบ!BI14"")"),0)</f>
        <v>0</v>
      </c>
      <c r="P14" s="75">
        <f t="shared" ca="1" si="14"/>
        <v>0</v>
      </c>
      <c r="Q14" s="75">
        <f t="shared" ca="1" si="8"/>
        <v>0</v>
      </c>
    </row>
    <row r="15" spans="1:17" ht="24" customHeight="1" x14ac:dyDescent="0.2">
      <c r="A15" s="78">
        <v>2</v>
      </c>
      <c r="B15" s="79" t="s">
        <v>37</v>
      </c>
      <c r="C15" s="80">
        <f t="shared" ca="1" si="0"/>
        <v>0</v>
      </c>
      <c r="D15" s="81">
        <f t="shared" ca="1" si="15"/>
        <v>0</v>
      </c>
      <c r="E15" s="82">
        <f ca="1">IFERROR(__xludf.DUMMYFUNCTION("IMPORTRANGE(""https://docs.google.com/spreadsheets/d/1MeEWN-I1oV_STSDYn1IFDPWt_1FKiwhDph83XaGc0o0/edit?usp=sharing"",""งบพรบ!BB15"")"),0)</f>
        <v>0</v>
      </c>
      <c r="F15" s="82">
        <f ca="1">IFERROR(__xludf.DUMMYFUNCTION("IMPORTRANGE(""https://docs.google.com/spreadsheets/d/1MeEWN-I1oV_STSDYn1IFDPWt_1FKiwhDph83XaGc0o0/edit?usp=sharing"",""งบพรบ!BC15"")"),0)</f>
        <v>0</v>
      </c>
      <c r="G15" s="82">
        <f ca="1">IFERROR(__xludf.DUMMYFUNCTION("IMPORTRANGE(""https://docs.google.com/spreadsheets/d/1MeEWN-I1oV_STSDYn1IFDPWt_1FKiwhDph83XaGc0o0/edit?usp=sharing"",""งบพรบ!BD15"")"),0)</f>
        <v>0</v>
      </c>
      <c r="H15" s="82">
        <f ca="1">IFERROR(__xludf.DUMMYFUNCTION("IMPORTRANGE(""https://docs.google.com/spreadsheets/d/1MeEWN-I1oV_STSDYn1IFDPWt_1FKiwhDph83XaGc0o0/edit?usp=sharing"",""งบพรบ!BF15"")"),0)</f>
        <v>0</v>
      </c>
      <c r="I15" s="82">
        <f ca="1">IFERROR(__xludf.DUMMYFUNCTION("IMPORTRANGE(""https://docs.google.com/spreadsheets/d/1MeEWN-I1oV_STSDYn1IFDPWt_1FKiwhDph83XaGc0o0/edit?usp=sharing"",""งบพรบ!BG15"")"),0)</f>
        <v>0</v>
      </c>
      <c r="J15" s="82">
        <f t="shared" ca="1" si="3"/>
        <v>0</v>
      </c>
      <c r="K15" s="83">
        <f t="shared" ca="1" si="4"/>
        <v>0</v>
      </c>
      <c r="L15" s="82">
        <f ca="1">IFERROR(__xludf.DUMMYFUNCTION("IMPORTRANGE(""https://docs.google.com/spreadsheets/d/1MeEWN-I1oV_STSDYn1IFDPWt_1FKiwhDph83XaGc0o0/edit?usp=sharing"",""งบพรบ!BH15"")"),0)</f>
        <v>0</v>
      </c>
      <c r="M15" s="84">
        <f t="shared" ca="1" si="5"/>
        <v>0</v>
      </c>
      <c r="N15" s="84">
        <f t="shared" ca="1" si="6"/>
        <v>0</v>
      </c>
      <c r="O15" s="85">
        <f ca="1">IFERROR(__xludf.DUMMYFUNCTION("IMPORTRANGE(""https://docs.google.com/spreadsheets/d/1MeEWN-I1oV_STSDYn1IFDPWt_1FKiwhDph83XaGc0o0/edit?usp=sharing"",""งบพรบ!BI15"")"),0)</f>
        <v>0</v>
      </c>
      <c r="P15" s="84">
        <f t="shared" ca="1" si="14"/>
        <v>0</v>
      </c>
      <c r="Q15" s="84">
        <f t="shared" ca="1" si="8"/>
        <v>0</v>
      </c>
    </row>
    <row r="16" spans="1:17" ht="24" customHeight="1" x14ac:dyDescent="0.2">
      <c r="A16" s="78">
        <v>3</v>
      </c>
      <c r="B16" s="79" t="s">
        <v>38</v>
      </c>
      <c r="C16" s="80">
        <f t="shared" ca="1" si="0"/>
        <v>0</v>
      </c>
      <c r="D16" s="81">
        <f t="shared" ca="1" si="15"/>
        <v>0</v>
      </c>
      <c r="E16" s="82">
        <f ca="1">IFERROR(__xludf.DUMMYFUNCTION("IMPORTRANGE(""https://docs.google.com/spreadsheets/d/1MeEWN-I1oV_STSDYn1IFDPWt_1FKiwhDph83XaGc0o0/edit?usp=sharing"",""งบพรบ!BB16"")"),0)</f>
        <v>0</v>
      </c>
      <c r="F16" s="82">
        <f ca="1">IFERROR(__xludf.DUMMYFUNCTION("IMPORTRANGE(""https://docs.google.com/spreadsheets/d/1MeEWN-I1oV_STSDYn1IFDPWt_1FKiwhDph83XaGc0o0/edit?usp=sharing"",""งบพรบ!BC16"")"),0)</f>
        <v>0</v>
      </c>
      <c r="G16" s="82">
        <f ca="1">IFERROR(__xludf.DUMMYFUNCTION("IMPORTRANGE(""https://docs.google.com/spreadsheets/d/1MeEWN-I1oV_STSDYn1IFDPWt_1FKiwhDph83XaGc0o0/edit?usp=sharing"",""งบพรบ!BD16"")"),0)</f>
        <v>0</v>
      </c>
      <c r="H16" s="82">
        <f ca="1">IFERROR(__xludf.DUMMYFUNCTION("IMPORTRANGE(""https://docs.google.com/spreadsheets/d/1MeEWN-I1oV_STSDYn1IFDPWt_1FKiwhDph83XaGc0o0/edit?usp=sharing"",""งบพรบ!BF16"")"),0)</f>
        <v>0</v>
      </c>
      <c r="I16" s="82">
        <f ca="1">IFERROR(__xludf.DUMMYFUNCTION("IMPORTRANGE(""https://docs.google.com/spreadsheets/d/1MeEWN-I1oV_STSDYn1IFDPWt_1FKiwhDph83XaGc0o0/edit?usp=sharing"",""งบพรบ!BG16"")"),0)</f>
        <v>0</v>
      </c>
      <c r="J16" s="82">
        <f t="shared" ca="1" si="3"/>
        <v>0</v>
      </c>
      <c r="K16" s="83">
        <f t="shared" ca="1" si="4"/>
        <v>0</v>
      </c>
      <c r="L16" s="82">
        <f ca="1">IFERROR(__xludf.DUMMYFUNCTION("IMPORTRANGE(""https://docs.google.com/spreadsheets/d/1MeEWN-I1oV_STSDYn1IFDPWt_1FKiwhDph83XaGc0o0/edit?usp=sharing"",""งบพรบ!BH16"")"),0)</f>
        <v>0</v>
      </c>
      <c r="M16" s="84">
        <f t="shared" ca="1" si="5"/>
        <v>0</v>
      </c>
      <c r="N16" s="84">
        <f t="shared" ca="1" si="6"/>
        <v>0</v>
      </c>
      <c r="O16" s="85">
        <f ca="1">IFERROR(__xludf.DUMMYFUNCTION("IMPORTRANGE(""https://docs.google.com/spreadsheets/d/1MeEWN-I1oV_STSDYn1IFDPWt_1FKiwhDph83XaGc0o0/edit?usp=sharing"",""งบพรบ!BI16"")"),0)</f>
        <v>0</v>
      </c>
      <c r="P16" s="84">
        <f t="shared" ca="1" si="14"/>
        <v>0</v>
      </c>
      <c r="Q16" s="84">
        <f t="shared" ca="1" si="8"/>
        <v>0</v>
      </c>
    </row>
    <row r="17" spans="1:17" ht="24" customHeight="1" x14ac:dyDescent="0.2">
      <c r="A17" s="78">
        <v>4</v>
      </c>
      <c r="B17" s="79" t="s">
        <v>39</v>
      </c>
      <c r="C17" s="80">
        <f t="shared" ca="1" si="0"/>
        <v>0</v>
      </c>
      <c r="D17" s="81">
        <f t="shared" ca="1" si="15"/>
        <v>0</v>
      </c>
      <c r="E17" s="82">
        <f ca="1">IFERROR(__xludf.DUMMYFUNCTION("IMPORTRANGE(""https://docs.google.com/spreadsheets/d/1MeEWN-I1oV_STSDYn1IFDPWt_1FKiwhDph83XaGc0o0/edit?usp=sharing"",""งบพรบ!BB17"")"),0)</f>
        <v>0</v>
      </c>
      <c r="F17" s="82">
        <f ca="1">IFERROR(__xludf.DUMMYFUNCTION("IMPORTRANGE(""https://docs.google.com/spreadsheets/d/1MeEWN-I1oV_STSDYn1IFDPWt_1FKiwhDph83XaGc0o0/edit?usp=sharing"",""งบพรบ!BC17"")"),0)</f>
        <v>0</v>
      </c>
      <c r="G17" s="82">
        <f ca="1">IFERROR(__xludf.DUMMYFUNCTION("IMPORTRANGE(""https://docs.google.com/spreadsheets/d/1MeEWN-I1oV_STSDYn1IFDPWt_1FKiwhDph83XaGc0o0/edit?usp=sharing"",""งบพรบ!BD17"")"),0)</f>
        <v>0</v>
      </c>
      <c r="H17" s="82">
        <f ca="1">IFERROR(__xludf.DUMMYFUNCTION("IMPORTRANGE(""https://docs.google.com/spreadsheets/d/1MeEWN-I1oV_STSDYn1IFDPWt_1FKiwhDph83XaGc0o0/edit?usp=sharing"",""งบพรบ!BF17"")"),0)</f>
        <v>0</v>
      </c>
      <c r="I17" s="82">
        <f ca="1">IFERROR(__xludf.DUMMYFUNCTION("IMPORTRANGE(""https://docs.google.com/spreadsheets/d/1MeEWN-I1oV_STSDYn1IFDPWt_1FKiwhDph83XaGc0o0/edit?usp=sharing"",""งบพรบ!BG17"")"),0)</f>
        <v>0</v>
      </c>
      <c r="J17" s="82">
        <f t="shared" ca="1" si="3"/>
        <v>0</v>
      </c>
      <c r="K17" s="83">
        <f t="shared" ca="1" si="4"/>
        <v>0</v>
      </c>
      <c r="L17" s="82">
        <f ca="1">IFERROR(__xludf.DUMMYFUNCTION("IMPORTRANGE(""https://docs.google.com/spreadsheets/d/1MeEWN-I1oV_STSDYn1IFDPWt_1FKiwhDph83XaGc0o0/edit?usp=sharing"",""งบพรบ!BH17"")"),0)</f>
        <v>0</v>
      </c>
      <c r="M17" s="84">
        <f t="shared" ca="1" si="5"/>
        <v>0</v>
      </c>
      <c r="N17" s="84">
        <f t="shared" ca="1" si="6"/>
        <v>0</v>
      </c>
      <c r="O17" s="85">
        <f ca="1">IFERROR(__xludf.DUMMYFUNCTION("IMPORTRANGE(""https://docs.google.com/spreadsheets/d/1MeEWN-I1oV_STSDYn1IFDPWt_1FKiwhDph83XaGc0o0/edit?usp=sharing"",""งบพรบ!BI17"")"),0)</f>
        <v>0</v>
      </c>
      <c r="P17" s="84">
        <f t="shared" ca="1" si="14"/>
        <v>0</v>
      </c>
      <c r="Q17" s="84">
        <f t="shared" ca="1" si="8"/>
        <v>0</v>
      </c>
    </row>
    <row r="18" spans="1:17" ht="24" customHeight="1" x14ac:dyDescent="0.2">
      <c r="A18" s="78">
        <v>5</v>
      </c>
      <c r="B18" s="79" t="s">
        <v>40</v>
      </c>
      <c r="C18" s="80">
        <f t="shared" ca="1" si="0"/>
        <v>0</v>
      </c>
      <c r="D18" s="81">
        <f t="shared" ca="1" si="15"/>
        <v>0</v>
      </c>
      <c r="E18" s="82">
        <f ca="1">IFERROR(__xludf.DUMMYFUNCTION("IMPORTRANGE(""https://docs.google.com/spreadsheets/d/1MeEWN-I1oV_STSDYn1IFDPWt_1FKiwhDph83XaGc0o0/edit?usp=sharing"",""งบพรบ!BB18"")"),0)</f>
        <v>0</v>
      </c>
      <c r="F18" s="82">
        <f ca="1">IFERROR(__xludf.DUMMYFUNCTION("IMPORTRANGE(""https://docs.google.com/spreadsheets/d/1MeEWN-I1oV_STSDYn1IFDPWt_1FKiwhDph83XaGc0o0/edit?usp=sharing"",""งบพรบ!BC18"")"),0)</f>
        <v>0</v>
      </c>
      <c r="G18" s="82">
        <f ca="1">IFERROR(__xludf.DUMMYFUNCTION("IMPORTRANGE(""https://docs.google.com/spreadsheets/d/1MeEWN-I1oV_STSDYn1IFDPWt_1FKiwhDph83XaGc0o0/edit?usp=sharing"",""งบพรบ!BD18"")"),0)</f>
        <v>0</v>
      </c>
      <c r="H18" s="82">
        <f ca="1">IFERROR(__xludf.DUMMYFUNCTION("IMPORTRANGE(""https://docs.google.com/spreadsheets/d/1MeEWN-I1oV_STSDYn1IFDPWt_1FKiwhDph83XaGc0o0/edit?usp=sharing"",""งบพรบ!BF18"")"),0)</f>
        <v>0</v>
      </c>
      <c r="I18" s="82">
        <f ca="1">IFERROR(__xludf.DUMMYFUNCTION("IMPORTRANGE(""https://docs.google.com/spreadsheets/d/1MeEWN-I1oV_STSDYn1IFDPWt_1FKiwhDph83XaGc0o0/edit?usp=sharing"",""งบพรบ!BG18"")"),0)</f>
        <v>0</v>
      </c>
      <c r="J18" s="82">
        <f t="shared" ca="1" si="3"/>
        <v>0</v>
      </c>
      <c r="K18" s="83">
        <f t="shared" ca="1" si="4"/>
        <v>0</v>
      </c>
      <c r="L18" s="82">
        <f ca="1">IFERROR(__xludf.DUMMYFUNCTION("IMPORTRANGE(""https://docs.google.com/spreadsheets/d/1MeEWN-I1oV_STSDYn1IFDPWt_1FKiwhDph83XaGc0o0/edit?usp=sharing"",""งบพรบ!BH18"")"),0)</f>
        <v>0</v>
      </c>
      <c r="M18" s="84">
        <f t="shared" ca="1" si="5"/>
        <v>0</v>
      </c>
      <c r="N18" s="84">
        <f t="shared" ca="1" si="6"/>
        <v>0</v>
      </c>
      <c r="O18" s="85">
        <f ca="1">IFERROR(__xludf.DUMMYFUNCTION("IMPORTRANGE(""https://docs.google.com/spreadsheets/d/1MeEWN-I1oV_STSDYn1IFDPWt_1FKiwhDph83XaGc0o0/edit?usp=sharing"",""งบพรบ!BI18"")"),0)</f>
        <v>0</v>
      </c>
      <c r="P18" s="84">
        <f t="shared" ca="1" si="14"/>
        <v>0</v>
      </c>
      <c r="Q18" s="84">
        <f t="shared" ca="1" si="8"/>
        <v>0</v>
      </c>
    </row>
    <row r="19" spans="1:17" ht="24" customHeight="1" x14ac:dyDescent="0.2">
      <c r="A19" s="78">
        <v>6</v>
      </c>
      <c r="B19" s="79" t="s">
        <v>41</v>
      </c>
      <c r="C19" s="80">
        <f t="shared" ca="1" si="0"/>
        <v>2067000</v>
      </c>
      <c r="D19" s="81">
        <f t="shared" ca="1" si="15"/>
        <v>0</v>
      </c>
      <c r="E19" s="82">
        <f ca="1">IFERROR(__xludf.DUMMYFUNCTION("IMPORTRANGE(""https://docs.google.com/spreadsheets/d/1MeEWN-I1oV_STSDYn1IFDPWt_1FKiwhDph83XaGc0o0/edit?usp=sharing"",""งบพรบ!BB19"")"),0)</f>
        <v>0</v>
      </c>
      <c r="F19" s="82">
        <f ca="1">IFERROR(__xludf.DUMMYFUNCTION("IMPORTRANGE(""https://docs.google.com/spreadsheets/d/1MeEWN-I1oV_STSDYn1IFDPWt_1FKiwhDph83XaGc0o0/edit?usp=sharing"",""งบพรบ!BC19"")"),0)</f>
        <v>0</v>
      </c>
      <c r="G19" s="82">
        <f ca="1">IFERROR(__xludf.DUMMYFUNCTION("IMPORTRANGE(""https://docs.google.com/spreadsheets/d/1MeEWN-I1oV_STSDYn1IFDPWt_1FKiwhDph83XaGc0o0/edit?usp=sharing"",""งบพรบ!BD19"")"),2067000)</f>
        <v>2067000</v>
      </c>
      <c r="H19" s="82">
        <f ca="1">IFERROR(__xludf.DUMMYFUNCTION("IMPORTRANGE(""https://docs.google.com/spreadsheets/d/1MeEWN-I1oV_STSDYn1IFDPWt_1FKiwhDph83XaGc0o0/edit?usp=sharing"",""งบพรบ!BF19"")"),0)</f>
        <v>0</v>
      </c>
      <c r="I19" s="82">
        <f ca="1">IFERROR(__xludf.DUMMYFUNCTION("IMPORTRANGE(""https://docs.google.com/spreadsheets/d/1MeEWN-I1oV_STSDYn1IFDPWt_1FKiwhDph83XaGc0o0/edit?usp=sharing"",""งบพรบ!BG19"")"),2067000)</f>
        <v>2067000</v>
      </c>
      <c r="J19" s="82">
        <f t="shared" ca="1" si="3"/>
        <v>1891300</v>
      </c>
      <c r="K19" s="83">
        <f t="shared" ca="1" si="4"/>
        <v>91.49975810353169</v>
      </c>
      <c r="L19" s="82">
        <f ca="1">IFERROR(__xludf.DUMMYFUNCTION("IMPORTRANGE(""https://docs.google.com/spreadsheets/d/1MeEWN-I1oV_STSDYn1IFDPWt_1FKiwhDph83XaGc0o0/edit?usp=sharing"",""งบพรบ!BH19"")"),0)</f>
        <v>0</v>
      </c>
      <c r="M19" s="84">
        <f t="shared" ca="1" si="5"/>
        <v>0</v>
      </c>
      <c r="N19" s="84">
        <f t="shared" ca="1" si="6"/>
        <v>0</v>
      </c>
      <c r="O19" s="85">
        <f ca="1">IFERROR(__xludf.DUMMYFUNCTION("IMPORTRANGE(""https://docs.google.com/spreadsheets/d/1MeEWN-I1oV_STSDYn1IFDPWt_1FKiwhDph83XaGc0o0/edit?usp=sharing"",""งบพรบ!BI19"")"),1891300)</f>
        <v>1891300</v>
      </c>
      <c r="P19" s="84">
        <f t="shared" ca="1" si="14"/>
        <v>91.49975810353169</v>
      </c>
      <c r="Q19" s="84">
        <f t="shared" ca="1" si="8"/>
        <v>91.49975810353169</v>
      </c>
    </row>
    <row r="20" spans="1:17" ht="24" customHeight="1" x14ac:dyDescent="0.2">
      <c r="A20" s="78">
        <v>7</v>
      </c>
      <c r="B20" s="79" t="s">
        <v>42</v>
      </c>
      <c r="C20" s="80">
        <f t="shared" ca="1" si="0"/>
        <v>0</v>
      </c>
      <c r="D20" s="81">
        <f t="shared" ca="1" si="15"/>
        <v>0</v>
      </c>
      <c r="E20" s="82">
        <f ca="1">IFERROR(__xludf.DUMMYFUNCTION("IMPORTRANGE(""https://docs.google.com/spreadsheets/d/1MeEWN-I1oV_STSDYn1IFDPWt_1FKiwhDph83XaGc0o0/edit?usp=sharing"",""งบพรบ!BB20"")"),0)</f>
        <v>0</v>
      </c>
      <c r="F20" s="82">
        <f ca="1">IFERROR(__xludf.DUMMYFUNCTION("IMPORTRANGE(""https://docs.google.com/spreadsheets/d/1MeEWN-I1oV_STSDYn1IFDPWt_1FKiwhDph83XaGc0o0/edit?usp=sharing"",""งบพรบ!BC20"")"),0)</f>
        <v>0</v>
      </c>
      <c r="G20" s="82">
        <f ca="1">IFERROR(__xludf.DUMMYFUNCTION("IMPORTRANGE(""https://docs.google.com/spreadsheets/d/1MeEWN-I1oV_STSDYn1IFDPWt_1FKiwhDph83XaGc0o0/edit?usp=sharing"",""งบพรบ!BD20"")"),0)</f>
        <v>0</v>
      </c>
      <c r="H20" s="82">
        <f ca="1">IFERROR(__xludf.DUMMYFUNCTION("IMPORTRANGE(""https://docs.google.com/spreadsheets/d/1MeEWN-I1oV_STSDYn1IFDPWt_1FKiwhDph83XaGc0o0/edit?usp=sharing"",""งบพรบ!BF20"")"),0)</f>
        <v>0</v>
      </c>
      <c r="I20" s="82">
        <f ca="1">IFERROR(__xludf.DUMMYFUNCTION("IMPORTRANGE(""https://docs.google.com/spreadsheets/d/1MeEWN-I1oV_STSDYn1IFDPWt_1FKiwhDph83XaGc0o0/edit?usp=sharing"",""งบพรบ!BG20"")"),0)</f>
        <v>0</v>
      </c>
      <c r="J20" s="82">
        <f t="shared" ca="1" si="3"/>
        <v>0</v>
      </c>
      <c r="K20" s="83">
        <f t="shared" ca="1" si="4"/>
        <v>0</v>
      </c>
      <c r="L20" s="82">
        <f ca="1">IFERROR(__xludf.DUMMYFUNCTION("IMPORTRANGE(""https://docs.google.com/spreadsheets/d/1MeEWN-I1oV_STSDYn1IFDPWt_1FKiwhDph83XaGc0o0/edit?usp=sharing"",""งบพรบ!BH20"")"),0)</f>
        <v>0</v>
      </c>
      <c r="M20" s="84">
        <f t="shared" ca="1" si="5"/>
        <v>0</v>
      </c>
      <c r="N20" s="84">
        <f t="shared" ca="1" si="6"/>
        <v>0</v>
      </c>
      <c r="O20" s="85">
        <f ca="1">IFERROR(__xludf.DUMMYFUNCTION("IMPORTRANGE(""https://docs.google.com/spreadsheets/d/1MeEWN-I1oV_STSDYn1IFDPWt_1FKiwhDph83XaGc0o0/edit?usp=sharing"",""งบพรบ!BI20"")"),0)</f>
        <v>0</v>
      </c>
      <c r="P20" s="84">
        <f t="shared" ca="1" si="14"/>
        <v>0</v>
      </c>
      <c r="Q20" s="84">
        <f t="shared" ca="1" si="8"/>
        <v>0</v>
      </c>
    </row>
    <row r="21" spans="1:17" ht="24" customHeight="1" x14ac:dyDescent="0.2">
      <c r="A21" s="78">
        <v>8</v>
      </c>
      <c r="B21" s="79" t="s">
        <v>43</v>
      </c>
      <c r="C21" s="80">
        <f t="shared" ca="1" si="0"/>
        <v>0</v>
      </c>
      <c r="D21" s="81">
        <f t="shared" ca="1" si="15"/>
        <v>0</v>
      </c>
      <c r="E21" s="82">
        <f ca="1">IFERROR(__xludf.DUMMYFUNCTION("IMPORTRANGE(""https://docs.google.com/spreadsheets/d/1MeEWN-I1oV_STSDYn1IFDPWt_1FKiwhDph83XaGc0o0/edit?usp=sharing"",""งบพรบ!BB21"")"),0)</f>
        <v>0</v>
      </c>
      <c r="F21" s="82">
        <f ca="1">IFERROR(__xludf.DUMMYFUNCTION("IMPORTRANGE(""https://docs.google.com/spreadsheets/d/1MeEWN-I1oV_STSDYn1IFDPWt_1FKiwhDph83XaGc0o0/edit?usp=sharing"",""งบพรบ!BC21"")"),0)</f>
        <v>0</v>
      </c>
      <c r="G21" s="82">
        <f ca="1">IFERROR(__xludf.DUMMYFUNCTION("IMPORTRANGE(""https://docs.google.com/spreadsheets/d/1MeEWN-I1oV_STSDYn1IFDPWt_1FKiwhDph83XaGc0o0/edit?usp=sharing"",""งบพรบ!BD21"")"),0)</f>
        <v>0</v>
      </c>
      <c r="H21" s="82">
        <f ca="1">IFERROR(__xludf.DUMMYFUNCTION("IMPORTRANGE(""https://docs.google.com/spreadsheets/d/1MeEWN-I1oV_STSDYn1IFDPWt_1FKiwhDph83XaGc0o0/edit?usp=sharing"",""งบพรบ!BF21"")"),0)</f>
        <v>0</v>
      </c>
      <c r="I21" s="82">
        <f ca="1">IFERROR(__xludf.DUMMYFUNCTION("IMPORTRANGE(""https://docs.google.com/spreadsheets/d/1MeEWN-I1oV_STSDYn1IFDPWt_1FKiwhDph83XaGc0o0/edit?usp=sharing"",""งบพรบ!BG21"")"),0)</f>
        <v>0</v>
      </c>
      <c r="J21" s="82">
        <f t="shared" ca="1" si="3"/>
        <v>0</v>
      </c>
      <c r="K21" s="83">
        <f t="shared" ca="1" si="4"/>
        <v>0</v>
      </c>
      <c r="L21" s="82">
        <f ca="1">IFERROR(__xludf.DUMMYFUNCTION("IMPORTRANGE(""https://docs.google.com/spreadsheets/d/1MeEWN-I1oV_STSDYn1IFDPWt_1FKiwhDph83XaGc0o0/edit?usp=sharing"",""งบพรบ!BH21"")"),0)</f>
        <v>0</v>
      </c>
      <c r="M21" s="84">
        <f t="shared" ca="1" si="5"/>
        <v>0</v>
      </c>
      <c r="N21" s="84">
        <f t="shared" ca="1" si="6"/>
        <v>0</v>
      </c>
      <c r="O21" s="85">
        <f ca="1">IFERROR(__xludf.DUMMYFUNCTION("IMPORTRANGE(""https://docs.google.com/spreadsheets/d/1MeEWN-I1oV_STSDYn1IFDPWt_1FKiwhDph83XaGc0o0/edit?usp=sharing"",""งบพรบ!BI21"")"),0)</f>
        <v>0</v>
      </c>
      <c r="P21" s="84">
        <f t="shared" ca="1" si="14"/>
        <v>0</v>
      </c>
      <c r="Q21" s="84">
        <f t="shared" ca="1" si="8"/>
        <v>0</v>
      </c>
    </row>
    <row r="22" spans="1:17" ht="24" customHeight="1" x14ac:dyDescent="0.2">
      <c r="A22" s="78">
        <v>9</v>
      </c>
      <c r="B22" s="79" t="s">
        <v>44</v>
      </c>
      <c r="C22" s="80">
        <f t="shared" ca="1" si="0"/>
        <v>0</v>
      </c>
      <c r="D22" s="81">
        <f t="shared" ca="1" si="15"/>
        <v>0</v>
      </c>
      <c r="E22" s="82">
        <f ca="1">IFERROR(__xludf.DUMMYFUNCTION("IMPORTRANGE(""https://docs.google.com/spreadsheets/d/1MeEWN-I1oV_STSDYn1IFDPWt_1FKiwhDph83XaGc0o0/edit?usp=sharing"",""งบพรบ!BB22"")"),0)</f>
        <v>0</v>
      </c>
      <c r="F22" s="82">
        <f ca="1">IFERROR(__xludf.DUMMYFUNCTION("IMPORTRANGE(""https://docs.google.com/spreadsheets/d/1MeEWN-I1oV_STSDYn1IFDPWt_1FKiwhDph83XaGc0o0/edit?usp=sharing"",""งบพรบ!BC22"")"),0)</f>
        <v>0</v>
      </c>
      <c r="G22" s="82">
        <f ca="1">IFERROR(__xludf.DUMMYFUNCTION("IMPORTRANGE(""https://docs.google.com/spreadsheets/d/1MeEWN-I1oV_STSDYn1IFDPWt_1FKiwhDph83XaGc0o0/edit?usp=sharing"",""งบพรบ!BD22"")"),0)</f>
        <v>0</v>
      </c>
      <c r="H22" s="82">
        <f ca="1">IFERROR(__xludf.DUMMYFUNCTION("IMPORTRANGE(""https://docs.google.com/spreadsheets/d/1MeEWN-I1oV_STSDYn1IFDPWt_1FKiwhDph83XaGc0o0/edit?usp=sharing"",""งบพรบ!BF22"")"),0)</f>
        <v>0</v>
      </c>
      <c r="I22" s="82">
        <f ca="1">IFERROR(__xludf.DUMMYFUNCTION("IMPORTRANGE(""https://docs.google.com/spreadsheets/d/1MeEWN-I1oV_STSDYn1IFDPWt_1FKiwhDph83XaGc0o0/edit?usp=sharing"",""งบพรบ!BG22"")"),0)</f>
        <v>0</v>
      </c>
      <c r="J22" s="82">
        <f t="shared" ca="1" si="3"/>
        <v>0</v>
      </c>
      <c r="K22" s="83">
        <f t="shared" ca="1" si="4"/>
        <v>0</v>
      </c>
      <c r="L22" s="82">
        <f ca="1">IFERROR(__xludf.DUMMYFUNCTION("IMPORTRANGE(""https://docs.google.com/spreadsheets/d/1MeEWN-I1oV_STSDYn1IFDPWt_1FKiwhDph83XaGc0o0/edit?usp=sharing"",""งบพรบ!BH22"")"),0)</f>
        <v>0</v>
      </c>
      <c r="M22" s="84">
        <f t="shared" ca="1" si="5"/>
        <v>0</v>
      </c>
      <c r="N22" s="84">
        <f t="shared" ca="1" si="6"/>
        <v>0</v>
      </c>
      <c r="O22" s="85">
        <f ca="1">IFERROR(__xludf.DUMMYFUNCTION("IMPORTRANGE(""https://docs.google.com/spreadsheets/d/1MeEWN-I1oV_STSDYn1IFDPWt_1FKiwhDph83XaGc0o0/edit?usp=sharing"",""งบพรบ!BI22"")"),0)</f>
        <v>0</v>
      </c>
      <c r="P22" s="84">
        <f t="shared" ca="1" si="14"/>
        <v>0</v>
      </c>
      <c r="Q22" s="84">
        <f t="shared" ca="1" si="8"/>
        <v>0</v>
      </c>
    </row>
    <row r="23" spans="1:17" ht="24" customHeight="1" x14ac:dyDescent="0.2">
      <c r="A23" s="78">
        <v>10</v>
      </c>
      <c r="B23" s="79" t="s">
        <v>45</v>
      </c>
      <c r="C23" s="80">
        <f t="shared" ca="1" si="0"/>
        <v>0</v>
      </c>
      <c r="D23" s="81">
        <f t="shared" ca="1" si="15"/>
        <v>0</v>
      </c>
      <c r="E23" s="82">
        <f ca="1">IFERROR(__xludf.DUMMYFUNCTION("IMPORTRANGE(""https://docs.google.com/spreadsheets/d/1MeEWN-I1oV_STSDYn1IFDPWt_1FKiwhDph83XaGc0o0/edit?usp=sharing"",""งบพรบ!BB23"")"),0)</f>
        <v>0</v>
      </c>
      <c r="F23" s="82">
        <f ca="1">IFERROR(__xludf.DUMMYFUNCTION("IMPORTRANGE(""https://docs.google.com/spreadsheets/d/1MeEWN-I1oV_STSDYn1IFDPWt_1FKiwhDph83XaGc0o0/edit?usp=sharing"",""งบพรบ!BC23"")"),0)</f>
        <v>0</v>
      </c>
      <c r="G23" s="82">
        <f ca="1">IFERROR(__xludf.DUMMYFUNCTION("IMPORTRANGE(""https://docs.google.com/spreadsheets/d/1MeEWN-I1oV_STSDYn1IFDPWt_1FKiwhDph83XaGc0o0/edit?usp=sharing"",""งบพรบ!BD23"")"),0)</f>
        <v>0</v>
      </c>
      <c r="H23" s="82">
        <f ca="1">IFERROR(__xludf.DUMMYFUNCTION("IMPORTRANGE(""https://docs.google.com/spreadsheets/d/1MeEWN-I1oV_STSDYn1IFDPWt_1FKiwhDph83XaGc0o0/edit?usp=sharing"",""งบพรบ!BF23"")"),0)</f>
        <v>0</v>
      </c>
      <c r="I23" s="82">
        <f ca="1">IFERROR(__xludf.DUMMYFUNCTION("IMPORTRANGE(""https://docs.google.com/spreadsheets/d/1MeEWN-I1oV_STSDYn1IFDPWt_1FKiwhDph83XaGc0o0/edit?usp=sharing"",""งบพรบ!BG23"")"),0)</f>
        <v>0</v>
      </c>
      <c r="J23" s="82">
        <f t="shared" ca="1" si="3"/>
        <v>0</v>
      </c>
      <c r="K23" s="83">
        <f t="shared" ca="1" si="4"/>
        <v>0</v>
      </c>
      <c r="L23" s="82">
        <f ca="1">IFERROR(__xludf.DUMMYFUNCTION("IMPORTRANGE(""https://docs.google.com/spreadsheets/d/1MeEWN-I1oV_STSDYn1IFDPWt_1FKiwhDph83XaGc0o0/edit?usp=sharing"",""งบพรบ!BH23"")"),0)</f>
        <v>0</v>
      </c>
      <c r="M23" s="84">
        <f t="shared" ca="1" si="5"/>
        <v>0</v>
      </c>
      <c r="N23" s="84">
        <f t="shared" ca="1" si="6"/>
        <v>0</v>
      </c>
      <c r="O23" s="85">
        <f ca="1">IFERROR(__xludf.DUMMYFUNCTION("IMPORTRANGE(""https://docs.google.com/spreadsheets/d/1MeEWN-I1oV_STSDYn1IFDPWt_1FKiwhDph83XaGc0o0/edit?usp=sharing"",""งบพรบ!BI23"")"),0)</f>
        <v>0</v>
      </c>
      <c r="P23" s="84">
        <f t="shared" ca="1" si="14"/>
        <v>0</v>
      </c>
      <c r="Q23" s="84">
        <f t="shared" ca="1" si="8"/>
        <v>0</v>
      </c>
    </row>
    <row r="24" spans="1:17" ht="24" customHeight="1" x14ac:dyDescent="0.2">
      <c r="A24" s="78">
        <v>11</v>
      </c>
      <c r="B24" s="79" t="s">
        <v>46</v>
      </c>
      <c r="C24" s="80">
        <f t="shared" ca="1" si="0"/>
        <v>0</v>
      </c>
      <c r="D24" s="81">
        <f t="shared" ca="1" si="15"/>
        <v>0</v>
      </c>
      <c r="E24" s="82">
        <f ca="1">IFERROR(__xludf.DUMMYFUNCTION("IMPORTRANGE(""https://docs.google.com/spreadsheets/d/1MeEWN-I1oV_STSDYn1IFDPWt_1FKiwhDph83XaGc0o0/edit?usp=sharing"",""งบพรบ!BB24"")"),0)</f>
        <v>0</v>
      </c>
      <c r="F24" s="82">
        <f ca="1">IFERROR(__xludf.DUMMYFUNCTION("IMPORTRANGE(""https://docs.google.com/spreadsheets/d/1MeEWN-I1oV_STSDYn1IFDPWt_1FKiwhDph83XaGc0o0/edit?usp=sharing"",""งบพรบ!BC24"")"),0)</f>
        <v>0</v>
      </c>
      <c r="G24" s="82">
        <f ca="1">IFERROR(__xludf.DUMMYFUNCTION("IMPORTRANGE(""https://docs.google.com/spreadsheets/d/1MeEWN-I1oV_STSDYn1IFDPWt_1FKiwhDph83XaGc0o0/edit?usp=sharing"",""งบพรบ!BD24"")"),0)</f>
        <v>0</v>
      </c>
      <c r="H24" s="82">
        <f ca="1">IFERROR(__xludf.DUMMYFUNCTION("IMPORTRANGE(""https://docs.google.com/spreadsheets/d/1MeEWN-I1oV_STSDYn1IFDPWt_1FKiwhDph83XaGc0o0/edit?usp=sharing"",""งบพรบ!BF24"")"),0)</f>
        <v>0</v>
      </c>
      <c r="I24" s="82">
        <f ca="1">IFERROR(__xludf.DUMMYFUNCTION("IMPORTRANGE(""https://docs.google.com/spreadsheets/d/1MeEWN-I1oV_STSDYn1IFDPWt_1FKiwhDph83XaGc0o0/edit?usp=sharing"",""งบพรบ!BG24"")"),0)</f>
        <v>0</v>
      </c>
      <c r="J24" s="82">
        <f t="shared" ca="1" si="3"/>
        <v>0</v>
      </c>
      <c r="K24" s="83">
        <f t="shared" ca="1" si="4"/>
        <v>0</v>
      </c>
      <c r="L24" s="82">
        <f ca="1">IFERROR(__xludf.DUMMYFUNCTION("IMPORTRANGE(""https://docs.google.com/spreadsheets/d/1MeEWN-I1oV_STSDYn1IFDPWt_1FKiwhDph83XaGc0o0/edit?usp=sharing"",""งบพรบ!BH24"")"),0)</f>
        <v>0</v>
      </c>
      <c r="M24" s="84">
        <f t="shared" ca="1" si="5"/>
        <v>0</v>
      </c>
      <c r="N24" s="84">
        <f t="shared" ca="1" si="6"/>
        <v>0</v>
      </c>
      <c r="O24" s="85">
        <f ca="1">IFERROR(__xludf.DUMMYFUNCTION("IMPORTRANGE(""https://docs.google.com/spreadsheets/d/1MeEWN-I1oV_STSDYn1IFDPWt_1FKiwhDph83XaGc0o0/edit?usp=sharing"",""งบพรบ!BI24"")"),0)</f>
        <v>0</v>
      </c>
      <c r="P24" s="84">
        <f t="shared" ca="1" si="14"/>
        <v>0</v>
      </c>
      <c r="Q24" s="84">
        <f t="shared" ca="1" si="8"/>
        <v>0</v>
      </c>
    </row>
    <row r="25" spans="1:17" ht="24" customHeight="1" x14ac:dyDescent="0.2">
      <c r="A25" s="78">
        <v>12</v>
      </c>
      <c r="B25" s="79" t="s">
        <v>47</v>
      </c>
      <c r="C25" s="80">
        <f t="shared" ca="1" si="0"/>
        <v>0</v>
      </c>
      <c r="D25" s="81">
        <f t="shared" ca="1" si="15"/>
        <v>0</v>
      </c>
      <c r="E25" s="82">
        <f ca="1">IFERROR(__xludf.DUMMYFUNCTION("IMPORTRANGE(""https://docs.google.com/spreadsheets/d/1MeEWN-I1oV_STSDYn1IFDPWt_1FKiwhDph83XaGc0o0/edit?usp=sharing"",""งบพรบ!BB25"")"),0)</f>
        <v>0</v>
      </c>
      <c r="F25" s="82">
        <f ca="1">IFERROR(__xludf.DUMMYFUNCTION("IMPORTRANGE(""https://docs.google.com/spreadsheets/d/1MeEWN-I1oV_STSDYn1IFDPWt_1FKiwhDph83XaGc0o0/edit?usp=sharing"",""งบพรบ!BC25"")"),0)</f>
        <v>0</v>
      </c>
      <c r="G25" s="82">
        <f ca="1">IFERROR(__xludf.DUMMYFUNCTION("IMPORTRANGE(""https://docs.google.com/spreadsheets/d/1MeEWN-I1oV_STSDYn1IFDPWt_1FKiwhDph83XaGc0o0/edit?usp=sharing"",""งบพรบ!BD25"")"),0)</f>
        <v>0</v>
      </c>
      <c r="H25" s="82">
        <f ca="1">IFERROR(__xludf.DUMMYFUNCTION("IMPORTRANGE(""https://docs.google.com/spreadsheets/d/1MeEWN-I1oV_STSDYn1IFDPWt_1FKiwhDph83XaGc0o0/edit?usp=sharing"",""งบพรบ!BF25"")"),0)</f>
        <v>0</v>
      </c>
      <c r="I25" s="82">
        <f ca="1">IFERROR(__xludf.DUMMYFUNCTION("IMPORTRANGE(""https://docs.google.com/spreadsheets/d/1MeEWN-I1oV_STSDYn1IFDPWt_1FKiwhDph83XaGc0o0/edit?usp=sharing"",""งบพรบ!BG25"")"),0)</f>
        <v>0</v>
      </c>
      <c r="J25" s="82">
        <f t="shared" ca="1" si="3"/>
        <v>0</v>
      </c>
      <c r="K25" s="83">
        <f t="shared" ca="1" si="4"/>
        <v>0</v>
      </c>
      <c r="L25" s="82">
        <f ca="1">IFERROR(__xludf.DUMMYFUNCTION("IMPORTRANGE(""https://docs.google.com/spreadsheets/d/1MeEWN-I1oV_STSDYn1IFDPWt_1FKiwhDph83XaGc0o0/edit?usp=sharing"",""งบพรบ!BH25"")"),0)</f>
        <v>0</v>
      </c>
      <c r="M25" s="84">
        <f t="shared" ca="1" si="5"/>
        <v>0</v>
      </c>
      <c r="N25" s="84">
        <f t="shared" ca="1" si="6"/>
        <v>0</v>
      </c>
      <c r="O25" s="85">
        <f ca="1">IFERROR(__xludf.DUMMYFUNCTION("IMPORTRANGE(""https://docs.google.com/spreadsheets/d/1MeEWN-I1oV_STSDYn1IFDPWt_1FKiwhDph83XaGc0o0/edit?usp=sharing"",""งบพรบ!BI25"")"),0)</f>
        <v>0</v>
      </c>
      <c r="P25" s="84">
        <f t="shared" ca="1" si="14"/>
        <v>0</v>
      </c>
      <c r="Q25" s="84">
        <f t="shared" ca="1" si="8"/>
        <v>0</v>
      </c>
    </row>
    <row r="26" spans="1:17" ht="24" customHeight="1" x14ac:dyDescent="0.2">
      <c r="A26" s="78">
        <v>13</v>
      </c>
      <c r="B26" s="79" t="s">
        <v>48</v>
      </c>
      <c r="C26" s="80">
        <f t="shared" ca="1" si="0"/>
        <v>0</v>
      </c>
      <c r="D26" s="81">
        <f t="shared" ca="1" si="15"/>
        <v>0</v>
      </c>
      <c r="E26" s="82">
        <f ca="1">IFERROR(__xludf.DUMMYFUNCTION("IMPORTRANGE(""https://docs.google.com/spreadsheets/d/1MeEWN-I1oV_STSDYn1IFDPWt_1FKiwhDph83XaGc0o0/edit?usp=sharing"",""งบพรบ!BB26"")"),0)</f>
        <v>0</v>
      </c>
      <c r="F26" s="82">
        <f ca="1">IFERROR(__xludf.DUMMYFUNCTION("IMPORTRANGE(""https://docs.google.com/spreadsheets/d/1MeEWN-I1oV_STSDYn1IFDPWt_1FKiwhDph83XaGc0o0/edit?usp=sharing"",""งบพรบ!BC26"")"),0)</f>
        <v>0</v>
      </c>
      <c r="G26" s="82">
        <f ca="1">IFERROR(__xludf.DUMMYFUNCTION("IMPORTRANGE(""https://docs.google.com/spreadsheets/d/1MeEWN-I1oV_STSDYn1IFDPWt_1FKiwhDph83XaGc0o0/edit?usp=sharing"",""งบพรบ!BD26"")"),0)</f>
        <v>0</v>
      </c>
      <c r="H26" s="82">
        <f ca="1">IFERROR(__xludf.DUMMYFUNCTION("IMPORTRANGE(""https://docs.google.com/spreadsheets/d/1MeEWN-I1oV_STSDYn1IFDPWt_1FKiwhDph83XaGc0o0/edit?usp=sharing"",""งบพรบ!BF26"")"),0)</f>
        <v>0</v>
      </c>
      <c r="I26" s="82">
        <f ca="1">IFERROR(__xludf.DUMMYFUNCTION("IMPORTRANGE(""https://docs.google.com/spreadsheets/d/1MeEWN-I1oV_STSDYn1IFDPWt_1FKiwhDph83XaGc0o0/edit?usp=sharing"",""งบพรบ!BG26"")"),0)</f>
        <v>0</v>
      </c>
      <c r="J26" s="82">
        <f t="shared" ca="1" si="3"/>
        <v>0</v>
      </c>
      <c r="K26" s="83">
        <f t="shared" ca="1" si="4"/>
        <v>0</v>
      </c>
      <c r="L26" s="82">
        <f ca="1">IFERROR(__xludf.DUMMYFUNCTION("IMPORTRANGE(""https://docs.google.com/spreadsheets/d/1MeEWN-I1oV_STSDYn1IFDPWt_1FKiwhDph83XaGc0o0/edit?usp=sharing"",""งบพรบ!BH26"")"),0)</f>
        <v>0</v>
      </c>
      <c r="M26" s="84">
        <f t="shared" ca="1" si="5"/>
        <v>0</v>
      </c>
      <c r="N26" s="84">
        <f t="shared" ca="1" si="6"/>
        <v>0</v>
      </c>
      <c r="O26" s="85">
        <f ca="1">IFERROR(__xludf.DUMMYFUNCTION("IMPORTRANGE(""https://docs.google.com/spreadsheets/d/1MeEWN-I1oV_STSDYn1IFDPWt_1FKiwhDph83XaGc0o0/edit?usp=sharing"",""งบพรบ!BI26"")"),0)</f>
        <v>0</v>
      </c>
      <c r="P26" s="84">
        <f t="shared" ca="1" si="14"/>
        <v>0</v>
      </c>
      <c r="Q26" s="84">
        <f t="shared" ca="1" si="8"/>
        <v>0</v>
      </c>
    </row>
    <row r="27" spans="1:17" ht="24" customHeight="1" x14ac:dyDescent="0.2">
      <c r="A27" s="78">
        <v>14</v>
      </c>
      <c r="B27" s="79" t="s">
        <v>49</v>
      </c>
      <c r="C27" s="80">
        <f t="shared" ca="1" si="0"/>
        <v>0</v>
      </c>
      <c r="D27" s="81">
        <f t="shared" ca="1" si="15"/>
        <v>0</v>
      </c>
      <c r="E27" s="82">
        <f ca="1">IFERROR(__xludf.DUMMYFUNCTION("IMPORTRANGE(""https://docs.google.com/spreadsheets/d/1MeEWN-I1oV_STSDYn1IFDPWt_1FKiwhDph83XaGc0o0/edit?usp=sharing"",""งบพรบ!BB27"")"),0)</f>
        <v>0</v>
      </c>
      <c r="F27" s="82">
        <f ca="1">IFERROR(__xludf.DUMMYFUNCTION("IMPORTRANGE(""https://docs.google.com/spreadsheets/d/1MeEWN-I1oV_STSDYn1IFDPWt_1FKiwhDph83XaGc0o0/edit?usp=sharing"",""งบพรบ!BC27"")"),0)</f>
        <v>0</v>
      </c>
      <c r="G27" s="82">
        <f ca="1">IFERROR(__xludf.DUMMYFUNCTION("IMPORTRANGE(""https://docs.google.com/spreadsheets/d/1MeEWN-I1oV_STSDYn1IFDPWt_1FKiwhDph83XaGc0o0/edit?usp=sharing"",""งบพรบ!BD27"")"),0)</f>
        <v>0</v>
      </c>
      <c r="H27" s="82">
        <f ca="1">IFERROR(__xludf.DUMMYFUNCTION("IMPORTRANGE(""https://docs.google.com/spreadsheets/d/1MeEWN-I1oV_STSDYn1IFDPWt_1FKiwhDph83XaGc0o0/edit?usp=sharing"",""งบพรบ!BF27"")"),0)</f>
        <v>0</v>
      </c>
      <c r="I27" s="82">
        <f ca="1">IFERROR(__xludf.DUMMYFUNCTION("IMPORTRANGE(""https://docs.google.com/spreadsheets/d/1MeEWN-I1oV_STSDYn1IFDPWt_1FKiwhDph83XaGc0o0/edit?usp=sharing"",""งบพรบ!BG27"")"),0)</f>
        <v>0</v>
      </c>
      <c r="J27" s="82">
        <f t="shared" ca="1" si="3"/>
        <v>0</v>
      </c>
      <c r="K27" s="83">
        <f t="shared" ca="1" si="4"/>
        <v>0</v>
      </c>
      <c r="L27" s="82">
        <f ca="1">IFERROR(__xludf.DUMMYFUNCTION("IMPORTRANGE(""https://docs.google.com/spreadsheets/d/1MeEWN-I1oV_STSDYn1IFDPWt_1FKiwhDph83XaGc0o0/edit?usp=sharing"",""งบพรบ!BH27"")"),0)</f>
        <v>0</v>
      </c>
      <c r="M27" s="84">
        <f t="shared" ca="1" si="5"/>
        <v>0</v>
      </c>
      <c r="N27" s="84">
        <f t="shared" ca="1" si="6"/>
        <v>0</v>
      </c>
      <c r="O27" s="85">
        <f ca="1">IFERROR(__xludf.DUMMYFUNCTION("IMPORTRANGE(""https://docs.google.com/spreadsheets/d/1MeEWN-I1oV_STSDYn1IFDPWt_1FKiwhDph83XaGc0o0/edit?usp=sharing"",""งบพรบ!BI27"")"),0)</f>
        <v>0</v>
      </c>
      <c r="P27" s="84">
        <f t="shared" ca="1" si="14"/>
        <v>0</v>
      </c>
      <c r="Q27" s="84">
        <f t="shared" ca="1" si="8"/>
        <v>0</v>
      </c>
    </row>
    <row r="28" spans="1:17" ht="24" customHeight="1" x14ac:dyDescent="0.2">
      <c r="A28" s="78">
        <v>15</v>
      </c>
      <c r="B28" s="79" t="s">
        <v>50</v>
      </c>
      <c r="C28" s="80">
        <f t="shared" ca="1" si="0"/>
        <v>245300</v>
      </c>
      <c r="D28" s="81">
        <f t="shared" ca="1" si="15"/>
        <v>0</v>
      </c>
      <c r="E28" s="82">
        <f ca="1">IFERROR(__xludf.DUMMYFUNCTION("IMPORTRANGE(""https://docs.google.com/spreadsheets/d/1MeEWN-I1oV_STSDYn1IFDPWt_1FKiwhDph83XaGc0o0/edit?usp=sharing"",""งบพรบ!BB28"")"),0)</f>
        <v>0</v>
      </c>
      <c r="F28" s="82">
        <f ca="1">IFERROR(__xludf.DUMMYFUNCTION("IMPORTRANGE(""https://docs.google.com/spreadsheets/d/1MeEWN-I1oV_STSDYn1IFDPWt_1FKiwhDph83XaGc0o0/edit?usp=sharing"",""งบพรบ!BC28"")"),0)</f>
        <v>0</v>
      </c>
      <c r="G28" s="82">
        <f ca="1">IFERROR(__xludf.DUMMYFUNCTION("IMPORTRANGE(""https://docs.google.com/spreadsheets/d/1MeEWN-I1oV_STSDYn1IFDPWt_1FKiwhDph83XaGc0o0/edit?usp=sharing"",""งบพรบ!BD28"")"),245300)</f>
        <v>245300</v>
      </c>
      <c r="H28" s="82">
        <f ca="1">IFERROR(__xludf.DUMMYFUNCTION("IMPORTRANGE(""https://docs.google.com/spreadsheets/d/1MeEWN-I1oV_STSDYn1IFDPWt_1FKiwhDph83XaGc0o0/edit?usp=sharing"",""งบพรบ!BF28"")"),0)</f>
        <v>0</v>
      </c>
      <c r="I28" s="82">
        <f ca="1">IFERROR(__xludf.DUMMYFUNCTION("IMPORTRANGE(""https://docs.google.com/spreadsheets/d/1MeEWN-I1oV_STSDYn1IFDPWt_1FKiwhDph83XaGc0o0/edit?usp=sharing"",""งบพรบ!BG28"")"),245250)</f>
        <v>245250</v>
      </c>
      <c r="J28" s="82">
        <f t="shared" ca="1" si="3"/>
        <v>245250</v>
      </c>
      <c r="K28" s="83">
        <f t="shared" ca="1" si="4"/>
        <v>99.979616795760293</v>
      </c>
      <c r="L28" s="82">
        <f ca="1">IFERROR(__xludf.DUMMYFUNCTION("IMPORTRANGE(""https://docs.google.com/spreadsheets/d/1MeEWN-I1oV_STSDYn1IFDPWt_1FKiwhDph83XaGc0o0/edit?usp=sharing"",""งบพรบ!BH28"")"),0)</f>
        <v>0</v>
      </c>
      <c r="M28" s="84">
        <f t="shared" ca="1" si="5"/>
        <v>0</v>
      </c>
      <c r="N28" s="84">
        <f t="shared" ca="1" si="6"/>
        <v>0</v>
      </c>
      <c r="O28" s="85">
        <f ca="1">IFERROR(__xludf.DUMMYFUNCTION("IMPORTRANGE(""https://docs.google.com/spreadsheets/d/1MeEWN-I1oV_STSDYn1IFDPWt_1FKiwhDph83XaGc0o0/edit?usp=sharing"",""งบพรบ!BI28"")"),245250)</f>
        <v>245250</v>
      </c>
      <c r="P28" s="84">
        <f t="shared" ca="1" si="14"/>
        <v>99.979616795760293</v>
      </c>
      <c r="Q28" s="84">
        <f t="shared" ca="1" si="8"/>
        <v>100</v>
      </c>
    </row>
    <row r="29" spans="1:17" ht="24" customHeight="1" x14ac:dyDescent="0.2">
      <c r="A29" s="78">
        <v>16</v>
      </c>
      <c r="B29" s="79" t="s">
        <v>51</v>
      </c>
      <c r="C29" s="80">
        <f t="shared" ca="1" si="0"/>
        <v>0</v>
      </c>
      <c r="D29" s="81">
        <f t="shared" ca="1" si="15"/>
        <v>0</v>
      </c>
      <c r="E29" s="82">
        <f ca="1">IFERROR(__xludf.DUMMYFUNCTION("IMPORTRANGE(""https://docs.google.com/spreadsheets/d/1MeEWN-I1oV_STSDYn1IFDPWt_1FKiwhDph83XaGc0o0/edit?usp=sharing"",""งบพรบ!BB29"")"),0)</f>
        <v>0</v>
      </c>
      <c r="F29" s="82">
        <f ca="1">IFERROR(__xludf.DUMMYFUNCTION("IMPORTRANGE(""https://docs.google.com/spreadsheets/d/1MeEWN-I1oV_STSDYn1IFDPWt_1FKiwhDph83XaGc0o0/edit?usp=sharing"",""งบพรบ!BC29"")"),0)</f>
        <v>0</v>
      </c>
      <c r="G29" s="82">
        <f ca="1">IFERROR(__xludf.DUMMYFUNCTION("IMPORTRANGE(""https://docs.google.com/spreadsheets/d/1MeEWN-I1oV_STSDYn1IFDPWt_1FKiwhDph83XaGc0o0/edit?usp=sharing"",""งบพรบ!BD29"")"),0)</f>
        <v>0</v>
      </c>
      <c r="H29" s="82">
        <f ca="1">IFERROR(__xludf.DUMMYFUNCTION("IMPORTRANGE(""https://docs.google.com/spreadsheets/d/1MeEWN-I1oV_STSDYn1IFDPWt_1FKiwhDph83XaGc0o0/edit?usp=sharing"",""งบพรบ!BF29"")"),0)</f>
        <v>0</v>
      </c>
      <c r="I29" s="82">
        <f ca="1">IFERROR(__xludf.DUMMYFUNCTION("IMPORTRANGE(""https://docs.google.com/spreadsheets/d/1MeEWN-I1oV_STSDYn1IFDPWt_1FKiwhDph83XaGc0o0/edit?usp=sharing"",""งบพรบ!BG29"")"),0)</f>
        <v>0</v>
      </c>
      <c r="J29" s="82">
        <f t="shared" ca="1" si="3"/>
        <v>0</v>
      </c>
      <c r="K29" s="83">
        <f t="shared" ca="1" si="4"/>
        <v>0</v>
      </c>
      <c r="L29" s="82">
        <f ca="1">IFERROR(__xludf.DUMMYFUNCTION("IMPORTRANGE(""https://docs.google.com/spreadsheets/d/1MeEWN-I1oV_STSDYn1IFDPWt_1FKiwhDph83XaGc0o0/edit?usp=sharing"",""งบพรบ!BH29"")"),0)</f>
        <v>0</v>
      </c>
      <c r="M29" s="84">
        <f t="shared" ca="1" si="5"/>
        <v>0</v>
      </c>
      <c r="N29" s="84">
        <f t="shared" ca="1" si="6"/>
        <v>0</v>
      </c>
      <c r="O29" s="85">
        <f ca="1">IFERROR(__xludf.DUMMYFUNCTION("IMPORTRANGE(""https://docs.google.com/spreadsheets/d/1MeEWN-I1oV_STSDYn1IFDPWt_1FKiwhDph83XaGc0o0/edit?usp=sharing"",""งบพรบ!BI29"")"),0)</f>
        <v>0</v>
      </c>
      <c r="P29" s="84">
        <f t="shared" ca="1" si="14"/>
        <v>0</v>
      </c>
      <c r="Q29" s="84">
        <f t="shared" ca="1" si="8"/>
        <v>0</v>
      </c>
    </row>
    <row r="30" spans="1:17" ht="24" customHeight="1" x14ac:dyDescent="0.2">
      <c r="A30" s="89">
        <v>17</v>
      </c>
      <c r="B30" s="90" t="s">
        <v>52</v>
      </c>
      <c r="C30" s="91">
        <f t="shared" ca="1" si="0"/>
        <v>0</v>
      </c>
      <c r="D30" s="92">
        <f t="shared" ca="1" si="15"/>
        <v>0</v>
      </c>
      <c r="E30" s="93">
        <f ca="1">IFERROR(__xludf.DUMMYFUNCTION("IMPORTRANGE(""https://docs.google.com/spreadsheets/d/1MeEWN-I1oV_STSDYn1IFDPWt_1FKiwhDph83XaGc0o0/edit?usp=sharing"",""งบพรบ!BB30"")"),0)</f>
        <v>0</v>
      </c>
      <c r="F30" s="93">
        <f ca="1">IFERROR(__xludf.DUMMYFUNCTION("IMPORTRANGE(""https://docs.google.com/spreadsheets/d/1MeEWN-I1oV_STSDYn1IFDPWt_1FKiwhDph83XaGc0o0/edit?usp=sharing"",""งบพรบ!BC30"")"),0)</f>
        <v>0</v>
      </c>
      <c r="G30" s="93">
        <f ca="1">IFERROR(__xludf.DUMMYFUNCTION("IMPORTRANGE(""https://docs.google.com/spreadsheets/d/1MeEWN-I1oV_STSDYn1IFDPWt_1FKiwhDph83XaGc0o0/edit?usp=sharing"",""งบพรบ!BD30"")"),0)</f>
        <v>0</v>
      </c>
      <c r="H30" s="93">
        <f ca="1">IFERROR(__xludf.DUMMYFUNCTION("IMPORTRANGE(""https://docs.google.com/spreadsheets/d/1MeEWN-I1oV_STSDYn1IFDPWt_1FKiwhDph83XaGc0o0/edit?usp=sharing"",""งบพรบ!BF30"")"),0)</f>
        <v>0</v>
      </c>
      <c r="I30" s="93">
        <f ca="1">IFERROR(__xludf.DUMMYFUNCTION("IMPORTRANGE(""https://docs.google.com/spreadsheets/d/1MeEWN-I1oV_STSDYn1IFDPWt_1FKiwhDph83XaGc0o0/edit?usp=sharing"",""งบพรบ!BG30"")"),0)</f>
        <v>0</v>
      </c>
      <c r="J30" s="93">
        <f t="shared" ca="1" si="3"/>
        <v>0</v>
      </c>
      <c r="K30" s="94">
        <f t="shared" ca="1" si="4"/>
        <v>0</v>
      </c>
      <c r="L30" s="93">
        <f ca="1">IFERROR(__xludf.DUMMYFUNCTION("IMPORTRANGE(""https://docs.google.com/spreadsheets/d/1MeEWN-I1oV_STSDYn1IFDPWt_1FKiwhDph83XaGc0o0/edit?usp=sharing"",""งบพรบ!BH30"")"),0)</f>
        <v>0</v>
      </c>
      <c r="M30" s="95">
        <f t="shared" ca="1" si="5"/>
        <v>0</v>
      </c>
      <c r="N30" s="95">
        <f t="shared" ca="1" si="6"/>
        <v>0</v>
      </c>
      <c r="O30" s="96">
        <f ca="1">IFERROR(__xludf.DUMMYFUNCTION("IMPORTRANGE(""https://docs.google.com/spreadsheets/d/1MeEWN-I1oV_STSDYn1IFDPWt_1FKiwhDph83XaGc0o0/edit?usp=sharing"",""งบพรบ!BI30"")"),0)</f>
        <v>0</v>
      </c>
      <c r="P30" s="95">
        <f t="shared" ca="1" si="14"/>
        <v>0</v>
      </c>
      <c r="Q30" s="95">
        <f t="shared" ca="1" si="8"/>
        <v>0</v>
      </c>
    </row>
    <row r="31" spans="1:17" ht="21" customHeight="1" x14ac:dyDescent="0.2">
      <c r="A31" s="378" t="s">
        <v>53</v>
      </c>
      <c r="B31" s="379"/>
      <c r="C31" s="99">
        <f t="shared" ca="1" si="0"/>
        <v>507800</v>
      </c>
      <c r="D31" s="62">
        <f t="shared" ref="D31:I31" ca="1" si="16">SUM(D32:D51)</f>
        <v>0</v>
      </c>
      <c r="E31" s="62">
        <f t="shared" ca="1" si="16"/>
        <v>0</v>
      </c>
      <c r="F31" s="62">
        <f t="shared" ca="1" si="16"/>
        <v>0</v>
      </c>
      <c r="G31" s="62">
        <f t="shared" ca="1" si="16"/>
        <v>507800</v>
      </c>
      <c r="H31" s="62">
        <f t="shared" ca="1" si="16"/>
        <v>0</v>
      </c>
      <c r="I31" s="62">
        <f t="shared" ca="1" si="16"/>
        <v>507800</v>
      </c>
      <c r="J31" s="62">
        <f t="shared" ca="1" si="3"/>
        <v>507785</v>
      </c>
      <c r="K31" s="100">
        <f t="shared" ca="1" si="4"/>
        <v>99.9970460811343</v>
      </c>
      <c r="L31" s="62">
        <f ca="1">SUM(L32:L51)</f>
        <v>0</v>
      </c>
      <c r="M31" s="101">
        <f t="shared" ca="1" si="5"/>
        <v>0</v>
      </c>
      <c r="N31" s="101">
        <f t="shared" ca="1" si="6"/>
        <v>0</v>
      </c>
      <c r="O31" s="102">
        <f ca="1">SUM(O32:O51)</f>
        <v>507785</v>
      </c>
      <c r="P31" s="101">
        <f t="shared" ca="1" si="14"/>
        <v>99.9970460811343</v>
      </c>
      <c r="Q31" s="101">
        <f t="shared" ca="1" si="8"/>
        <v>99.9970460811343</v>
      </c>
    </row>
    <row r="32" spans="1:17" ht="21" customHeight="1" x14ac:dyDescent="0.2">
      <c r="A32" s="68">
        <v>1</v>
      </c>
      <c r="B32" s="69" t="s">
        <v>54</v>
      </c>
      <c r="C32" s="103">
        <f t="shared" ca="1" si="0"/>
        <v>0</v>
      </c>
      <c r="D32" s="71">
        <f t="shared" ref="D32:D51" ca="1" si="17">+E32+F32</f>
        <v>0</v>
      </c>
      <c r="E32" s="72">
        <f ca="1">IFERROR(__xludf.DUMMYFUNCTION("IMPORTRANGE(""https://docs.google.com/spreadsheets/d/1MeEWN-I1oV_STSDYn1IFDPWt_1FKiwhDph83XaGc0o0/edit?usp=sharing"",""งบพรบ!BB32"")"),0)</f>
        <v>0</v>
      </c>
      <c r="F32" s="72">
        <f ca="1">IFERROR(__xludf.DUMMYFUNCTION("IMPORTRANGE(""https://docs.google.com/spreadsheets/d/1MeEWN-I1oV_STSDYn1IFDPWt_1FKiwhDph83XaGc0o0/edit?usp=sharing"",""งบพรบ!BC32"")"),0)</f>
        <v>0</v>
      </c>
      <c r="G32" s="73">
        <f ca="1">IFERROR(__xludf.DUMMYFUNCTION("IMPORTRANGE(""https://docs.google.com/spreadsheets/d/1MeEWN-I1oV_STSDYn1IFDPWt_1FKiwhDph83XaGc0o0/edit?usp=sharing"",""งบพรบ!BD32"")"),0)</f>
        <v>0</v>
      </c>
      <c r="H32" s="73">
        <f ca="1">IFERROR(__xludf.DUMMYFUNCTION("IMPORTRANGE(""https://docs.google.com/spreadsheets/d/1MeEWN-I1oV_STSDYn1IFDPWt_1FKiwhDph83XaGc0o0/edit?usp=sharing"",""งบพรบ!BF32"")"),0)</f>
        <v>0</v>
      </c>
      <c r="I32" s="73">
        <f ca="1">IFERROR(__xludf.DUMMYFUNCTION("IMPORTRANGE(""https://docs.google.com/spreadsheets/d/1MeEWN-I1oV_STSDYn1IFDPWt_1FKiwhDph83XaGc0o0/edit?usp=sharing"",""งบพรบ!BG32"")"),0)</f>
        <v>0</v>
      </c>
      <c r="J32" s="73">
        <f t="shared" ca="1" si="3"/>
        <v>0</v>
      </c>
      <c r="K32" s="74">
        <f t="shared" ca="1" si="4"/>
        <v>0</v>
      </c>
      <c r="L32" s="73">
        <f ca="1">IFERROR(__xludf.DUMMYFUNCTION("IMPORTRANGE(""https://docs.google.com/spreadsheets/d/1MeEWN-I1oV_STSDYn1IFDPWt_1FKiwhDph83XaGc0o0/edit?usp=sharing"",""งบพรบ!BH32"")"),0)</f>
        <v>0</v>
      </c>
      <c r="M32" s="75">
        <f t="shared" ca="1" si="5"/>
        <v>0</v>
      </c>
      <c r="N32" s="75">
        <f t="shared" ca="1" si="6"/>
        <v>0</v>
      </c>
      <c r="O32" s="76">
        <f ca="1">IFERROR(__xludf.DUMMYFUNCTION("IMPORTRANGE(""https://docs.google.com/spreadsheets/d/1MeEWN-I1oV_STSDYn1IFDPWt_1FKiwhDph83XaGc0o0/edit?usp=sharing"",""งบพรบ!BI32"")"),0)</f>
        <v>0</v>
      </c>
      <c r="P32" s="75">
        <f t="shared" ca="1" si="14"/>
        <v>0</v>
      </c>
      <c r="Q32" s="75">
        <f t="shared" ca="1" si="8"/>
        <v>0</v>
      </c>
    </row>
    <row r="33" spans="1:17" ht="21" customHeight="1" x14ac:dyDescent="0.2">
      <c r="A33" s="78">
        <v>2</v>
      </c>
      <c r="B33" s="79" t="s">
        <v>55</v>
      </c>
      <c r="C33" s="80">
        <f t="shared" ca="1" si="0"/>
        <v>0</v>
      </c>
      <c r="D33" s="81">
        <f t="shared" ca="1" si="17"/>
        <v>0</v>
      </c>
      <c r="E33" s="82">
        <f ca="1">IFERROR(__xludf.DUMMYFUNCTION("IMPORTRANGE(""https://docs.google.com/spreadsheets/d/1MeEWN-I1oV_STSDYn1IFDPWt_1FKiwhDph83XaGc0o0/edit?usp=sharing"",""งบพรบ!BB33"")"),0)</f>
        <v>0</v>
      </c>
      <c r="F33" s="82">
        <f ca="1">IFERROR(__xludf.DUMMYFUNCTION("IMPORTRANGE(""https://docs.google.com/spreadsheets/d/1MeEWN-I1oV_STSDYn1IFDPWt_1FKiwhDph83XaGc0o0/edit?usp=sharing"",""งบพรบ!BC33"")"),0)</f>
        <v>0</v>
      </c>
      <c r="G33" s="82">
        <f ca="1">IFERROR(__xludf.DUMMYFUNCTION("IMPORTRANGE(""https://docs.google.com/spreadsheets/d/1MeEWN-I1oV_STSDYn1IFDPWt_1FKiwhDph83XaGc0o0/edit?usp=sharing"",""งบพรบ!BD33"")"),0)</f>
        <v>0</v>
      </c>
      <c r="H33" s="82">
        <f ca="1">IFERROR(__xludf.DUMMYFUNCTION("IMPORTRANGE(""https://docs.google.com/spreadsheets/d/1MeEWN-I1oV_STSDYn1IFDPWt_1FKiwhDph83XaGc0o0/edit?usp=sharing"",""งบพรบ!BF33"")"),0)</f>
        <v>0</v>
      </c>
      <c r="I33" s="82">
        <f ca="1">IFERROR(__xludf.DUMMYFUNCTION("IMPORTRANGE(""https://docs.google.com/spreadsheets/d/1MeEWN-I1oV_STSDYn1IFDPWt_1FKiwhDph83XaGc0o0/edit?usp=sharing"",""งบพรบ!BG33"")"),0)</f>
        <v>0</v>
      </c>
      <c r="J33" s="82">
        <f t="shared" ca="1" si="3"/>
        <v>0</v>
      </c>
      <c r="K33" s="83">
        <f t="shared" ca="1" si="4"/>
        <v>0</v>
      </c>
      <c r="L33" s="82">
        <f ca="1">IFERROR(__xludf.DUMMYFUNCTION("IMPORTRANGE(""https://docs.google.com/spreadsheets/d/1MeEWN-I1oV_STSDYn1IFDPWt_1FKiwhDph83XaGc0o0/edit?usp=sharing"",""งบพรบ!BH33"")"),0)</f>
        <v>0</v>
      </c>
      <c r="M33" s="84">
        <f t="shared" ca="1" si="5"/>
        <v>0</v>
      </c>
      <c r="N33" s="84">
        <f t="shared" ca="1" si="6"/>
        <v>0</v>
      </c>
      <c r="O33" s="85">
        <f ca="1">IFERROR(__xludf.DUMMYFUNCTION("IMPORTRANGE(""https://docs.google.com/spreadsheets/d/1MeEWN-I1oV_STSDYn1IFDPWt_1FKiwhDph83XaGc0o0/edit?usp=sharing"",""งบพรบ!BI33"")"),0)</f>
        <v>0</v>
      </c>
      <c r="P33" s="84">
        <f t="shared" ca="1" si="14"/>
        <v>0</v>
      </c>
      <c r="Q33" s="84">
        <f t="shared" ca="1" si="8"/>
        <v>0</v>
      </c>
    </row>
    <row r="34" spans="1:17" ht="21" customHeight="1" x14ac:dyDescent="0.2">
      <c r="A34" s="78">
        <v>3</v>
      </c>
      <c r="B34" s="79" t="s">
        <v>56</v>
      </c>
      <c r="C34" s="80">
        <f t="shared" ca="1" si="0"/>
        <v>0</v>
      </c>
      <c r="D34" s="81">
        <f t="shared" ca="1" si="17"/>
        <v>0</v>
      </c>
      <c r="E34" s="82">
        <f ca="1">IFERROR(__xludf.DUMMYFUNCTION("IMPORTRANGE(""https://docs.google.com/spreadsheets/d/1MeEWN-I1oV_STSDYn1IFDPWt_1FKiwhDph83XaGc0o0/edit?usp=sharing"",""งบพรบ!BB34"")"),0)</f>
        <v>0</v>
      </c>
      <c r="F34" s="82">
        <f ca="1">IFERROR(__xludf.DUMMYFUNCTION("IMPORTRANGE(""https://docs.google.com/spreadsheets/d/1MeEWN-I1oV_STSDYn1IFDPWt_1FKiwhDph83XaGc0o0/edit?usp=sharing"",""งบพรบ!BC34"")"),0)</f>
        <v>0</v>
      </c>
      <c r="G34" s="82">
        <f ca="1">IFERROR(__xludf.DUMMYFUNCTION("IMPORTRANGE(""https://docs.google.com/spreadsheets/d/1MeEWN-I1oV_STSDYn1IFDPWt_1FKiwhDph83XaGc0o0/edit?usp=sharing"",""งบพรบ!BD34"")"),0)</f>
        <v>0</v>
      </c>
      <c r="H34" s="82">
        <f ca="1">IFERROR(__xludf.DUMMYFUNCTION("IMPORTRANGE(""https://docs.google.com/spreadsheets/d/1MeEWN-I1oV_STSDYn1IFDPWt_1FKiwhDph83XaGc0o0/edit?usp=sharing"",""งบพรบ!BF34"")"),0)</f>
        <v>0</v>
      </c>
      <c r="I34" s="82">
        <f ca="1">IFERROR(__xludf.DUMMYFUNCTION("IMPORTRANGE(""https://docs.google.com/spreadsheets/d/1MeEWN-I1oV_STSDYn1IFDPWt_1FKiwhDph83XaGc0o0/edit?usp=sharing"",""งบพรบ!BG34"")"),0)</f>
        <v>0</v>
      </c>
      <c r="J34" s="82">
        <f t="shared" ca="1" si="3"/>
        <v>0</v>
      </c>
      <c r="K34" s="83">
        <f t="shared" ca="1" si="4"/>
        <v>0</v>
      </c>
      <c r="L34" s="82">
        <f ca="1">IFERROR(__xludf.DUMMYFUNCTION("IMPORTRANGE(""https://docs.google.com/spreadsheets/d/1MeEWN-I1oV_STSDYn1IFDPWt_1FKiwhDph83XaGc0o0/edit?usp=sharing"",""งบพรบ!BH34"")"),0)</f>
        <v>0</v>
      </c>
      <c r="M34" s="84">
        <f t="shared" ca="1" si="5"/>
        <v>0</v>
      </c>
      <c r="N34" s="84">
        <f t="shared" ca="1" si="6"/>
        <v>0</v>
      </c>
      <c r="O34" s="85">
        <f ca="1">IFERROR(__xludf.DUMMYFUNCTION("IMPORTRANGE(""https://docs.google.com/spreadsheets/d/1MeEWN-I1oV_STSDYn1IFDPWt_1FKiwhDph83XaGc0o0/edit?usp=sharing"",""งบพรบ!BI34"")"),0)</f>
        <v>0</v>
      </c>
      <c r="P34" s="84">
        <f t="shared" ca="1" si="14"/>
        <v>0</v>
      </c>
      <c r="Q34" s="84">
        <f t="shared" ca="1" si="8"/>
        <v>0</v>
      </c>
    </row>
    <row r="35" spans="1:17" ht="21" customHeight="1" x14ac:dyDescent="0.2">
      <c r="A35" s="78">
        <v>4</v>
      </c>
      <c r="B35" s="79" t="s">
        <v>57</v>
      </c>
      <c r="C35" s="80">
        <f t="shared" ca="1" si="0"/>
        <v>0</v>
      </c>
      <c r="D35" s="81">
        <f t="shared" ca="1" si="17"/>
        <v>0</v>
      </c>
      <c r="E35" s="82">
        <f ca="1">IFERROR(__xludf.DUMMYFUNCTION("IMPORTRANGE(""https://docs.google.com/spreadsheets/d/1MeEWN-I1oV_STSDYn1IFDPWt_1FKiwhDph83XaGc0o0/edit?usp=sharing"",""งบพรบ!BB35"")"),0)</f>
        <v>0</v>
      </c>
      <c r="F35" s="82">
        <f ca="1">IFERROR(__xludf.DUMMYFUNCTION("IMPORTRANGE(""https://docs.google.com/spreadsheets/d/1MeEWN-I1oV_STSDYn1IFDPWt_1FKiwhDph83XaGc0o0/edit?usp=sharing"",""งบพรบ!BC35"")"),0)</f>
        <v>0</v>
      </c>
      <c r="G35" s="82">
        <f ca="1">IFERROR(__xludf.DUMMYFUNCTION("IMPORTRANGE(""https://docs.google.com/spreadsheets/d/1MeEWN-I1oV_STSDYn1IFDPWt_1FKiwhDph83XaGc0o0/edit?usp=sharing"",""งบพรบ!BD35"")"),0)</f>
        <v>0</v>
      </c>
      <c r="H35" s="82">
        <f ca="1">IFERROR(__xludf.DUMMYFUNCTION("IMPORTRANGE(""https://docs.google.com/spreadsheets/d/1MeEWN-I1oV_STSDYn1IFDPWt_1FKiwhDph83XaGc0o0/edit?usp=sharing"",""งบพรบ!BF35"")"),0)</f>
        <v>0</v>
      </c>
      <c r="I35" s="82">
        <f ca="1">IFERROR(__xludf.DUMMYFUNCTION("IMPORTRANGE(""https://docs.google.com/spreadsheets/d/1MeEWN-I1oV_STSDYn1IFDPWt_1FKiwhDph83XaGc0o0/edit?usp=sharing"",""งบพรบ!BG35"")"),0)</f>
        <v>0</v>
      </c>
      <c r="J35" s="82">
        <f t="shared" ca="1" si="3"/>
        <v>0</v>
      </c>
      <c r="K35" s="83">
        <f t="shared" ca="1" si="4"/>
        <v>0</v>
      </c>
      <c r="L35" s="82">
        <f ca="1">IFERROR(__xludf.DUMMYFUNCTION("IMPORTRANGE(""https://docs.google.com/spreadsheets/d/1MeEWN-I1oV_STSDYn1IFDPWt_1FKiwhDph83XaGc0o0/edit?usp=sharing"",""งบพรบ!BH35"")"),0)</f>
        <v>0</v>
      </c>
      <c r="M35" s="84">
        <f t="shared" ca="1" si="5"/>
        <v>0</v>
      </c>
      <c r="N35" s="84">
        <f t="shared" ca="1" si="6"/>
        <v>0</v>
      </c>
      <c r="O35" s="85">
        <f ca="1">IFERROR(__xludf.DUMMYFUNCTION("IMPORTRANGE(""https://docs.google.com/spreadsheets/d/1MeEWN-I1oV_STSDYn1IFDPWt_1FKiwhDph83XaGc0o0/edit?usp=sharing"",""งบพรบ!BI35"")"),0)</f>
        <v>0</v>
      </c>
      <c r="P35" s="84">
        <f t="shared" ca="1" si="14"/>
        <v>0</v>
      </c>
      <c r="Q35" s="84">
        <f t="shared" ca="1" si="8"/>
        <v>0</v>
      </c>
    </row>
    <row r="36" spans="1:17" ht="21" customHeight="1" x14ac:dyDescent="0.2">
      <c r="A36" s="78">
        <v>5</v>
      </c>
      <c r="B36" s="79" t="s">
        <v>58</v>
      </c>
      <c r="C36" s="80">
        <f t="shared" ca="1" si="0"/>
        <v>17000</v>
      </c>
      <c r="D36" s="81">
        <f t="shared" ca="1" si="17"/>
        <v>0</v>
      </c>
      <c r="E36" s="82">
        <f ca="1">IFERROR(__xludf.DUMMYFUNCTION("IMPORTRANGE(""https://docs.google.com/spreadsheets/d/1MeEWN-I1oV_STSDYn1IFDPWt_1FKiwhDph83XaGc0o0/edit?usp=sharing"",""งบพรบ!BB36"")"),0)</f>
        <v>0</v>
      </c>
      <c r="F36" s="82">
        <f ca="1">IFERROR(__xludf.DUMMYFUNCTION("IMPORTRANGE(""https://docs.google.com/spreadsheets/d/1MeEWN-I1oV_STSDYn1IFDPWt_1FKiwhDph83XaGc0o0/edit?usp=sharing"",""งบพรบ!BC36"")"),0)</f>
        <v>0</v>
      </c>
      <c r="G36" s="82">
        <f ca="1">IFERROR(__xludf.DUMMYFUNCTION("IMPORTRANGE(""https://docs.google.com/spreadsheets/d/1MeEWN-I1oV_STSDYn1IFDPWt_1FKiwhDph83XaGc0o0/edit?usp=sharing"",""งบพรบ!BD36"")"),17000)</f>
        <v>17000</v>
      </c>
      <c r="H36" s="82">
        <f ca="1">IFERROR(__xludf.DUMMYFUNCTION("IMPORTRANGE(""https://docs.google.com/spreadsheets/d/1MeEWN-I1oV_STSDYn1IFDPWt_1FKiwhDph83XaGc0o0/edit?usp=sharing"",""งบพรบ!BF36"")"),0)</f>
        <v>0</v>
      </c>
      <c r="I36" s="82">
        <f ca="1">IFERROR(__xludf.DUMMYFUNCTION("IMPORTRANGE(""https://docs.google.com/spreadsheets/d/1MeEWN-I1oV_STSDYn1IFDPWt_1FKiwhDph83XaGc0o0/edit?usp=sharing"",""งบพรบ!BG36"")"),17000)</f>
        <v>17000</v>
      </c>
      <c r="J36" s="82">
        <f t="shared" ca="1" si="3"/>
        <v>17000</v>
      </c>
      <c r="K36" s="83">
        <f t="shared" ca="1" si="4"/>
        <v>100</v>
      </c>
      <c r="L36" s="82">
        <f ca="1">IFERROR(__xludf.DUMMYFUNCTION("IMPORTRANGE(""https://docs.google.com/spreadsheets/d/1MeEWN-I1oV_STSDYn1IFDPWt_1FKiwhDph83XaGc0o0/edit?usp=sharing"",""งบพรบ!BH36"")"),0)</f>
        <v>0</v>
      </c>
      <c r="M36" s="84">
        <f t="shared" ca="1" si="5"/>
        <v>0</v>
      </c>
      <c r="N36" s="84">
        <f t="shared" ca="1" si="6"/>
        <v>0</v>
      </c>
      <c r="O36" s="85">
        <f ca="1">IFERROR(__xludf.DUMMYFUNCTION("IMPORTRANGE(""https://docs.google.com/spreadsheets/d/1MeEWN-I1oV_STSDYn1IFDPWt_1FKiwhDph83XaGc0o0/edit?usp=sharing"",""งบพรบ!BI36"")"),17000)</f>
        <v>17000</v>
      </c>
      <c r="P36" s="84">
        <f t="shared" ca="1" si="14"/>
        <v>100</v>
      </c>
      <c r="Q36" s="84">
        <f t="shared" ca="1" si="8"/>
        <v>100</v>
      </c>
    </row>
    <row r="37" spans="1:17" ht="21" customHeight="1" x14ac:dyDescent="0.2">
      <c r="A37" s="78">
        <v>6</v>
      </c>
      <c r="B37" s="79" t="s">
        <v>59</v>
      </c>
      <c r="C37" s="80">
        <f t="shared" ca="1" si="0"/>
        <v>0</v>
      </c>
      <c r="D37" s="81">
        <f t="shared" ca="1" si="17"/>
        <v>0</v>
      </c>
      <c r="E37" s="82">
        <f ca="1">IFERROR(__xludf.DUMMYFUNCTION("IMPORTRANGE(""https://docs.google.com/spreadsheets/d/1MeEWN-I1oV_STSDYn1IFDPWt_1FKiwhDph83XaGc0o0/edit?usp=sharing"",""งบพรบ!BB37"")"),0)</f>
        <v>0</v>
      </c>
      <c r="F37" s="82">
        <f ca="1">IFERROR(__xludf.DUMMYFUNCTION("IMPORTRANGE(""https://docs.google.com/spreadsheets/d/1MeEWN-I1oV_STSDYn1IFDPWt_1FKiwhDph83XaGc0o0/edit?usp=sharing"",""งบพรบ!BC37"")"),0)</f>
        <v>0</v>
      </c>
      <c r="G37" s="82">
        <f ca="1">IFERROR(__xludf.DUMMYFUNCTION("IMPORTRANGE(""https://docs.google.com/spreadsheets/d/1MeEWN-I1oV_STSDYn1IFDPWt_1FKiwhDph83XaGc0o0/edit?usp=sharing"",""งบพรบ!BD37"")"),0)</f>
        <v>0</v>
      </c>
      <c r="H37" s="82">
        <f ca="1">IFERROR(__xludf.DUMMYFUNCTION("IMPORTRANGE(""https://docs.google.com/spreadsheets/d/1MeEWN-I1oV_STSDYn1IFDPWt_1FKiwhDph83XaGc0o0/edit?usp=sharing"",""งบพรบ!BF37"")"),0)</f>
        <v>0</v>
      </c>
      <c r="I37" s="82">
        <f ca="1">IFERROR(__xludf.DUMMYFUNCTION("IMPORTRANGE(""https://docs.google.com/spreadsheets/d/1MeEWN-I1oV_STSDYn1IFDPWt_1FKiwhDph83XaGc0o0/edit?usp=sharing"",""งบพรบ!BG37"")"),0)</f>
        <v>0</v>
      </c>
      <c r="J37" s="82">
        <f t="shared" ca="1" si="3"/>
        <v>0</v>
      </c>
      <c r="K37" s="83">
        <f t="shared" ca="1" si="4"/>
        <v>0</v>
      </c>
      <c r="L37" s="82">
        <f ca="1">IFERROR(__xludf.DUMMYFUNCTION("IMPORTRANGE(""https://docs.google.com/spreadsheets/d/1MeEWN-I1oV_STSDYn1IFDPWt_1FKiwhDph83XaGc0o0/edit?usp=sharing"",""งบพรบ!BH37"")"),0)</f>
        <v>0</v>
      </c>
      <c r="M37" s="84">
        <f t="shared" ca="1" si="5"/>
        <v>0</v>
      </c>
      <c r="N37" s="84">
        <f t="shared" ca="1" si="6"/>
        <v>0</v>
      </c>
      <c r="O37" s="85">
        <f ca="1">IFERROR(__xludf.DUMMYFUNCTION("IMPORTRANGE(""https://docs.google.com/spreadsheets/d/1MeEWN-I1oV_STSDYn1IFDPWt_1FKiwhDph83XaGc0o0/edit?usp=sharing"",""งบพรบ!BI37"")"),0)</f>
        <v>0</v>
      </c>
      <c r="P37" s="84">
        <f t="shared" ca="1" si="14"/>
        <v>0</v>
      </c>
      <c r="Q37" s="84">
        <f t="shared" ca="1" si="8"/>
        <v>0</v>
      </c>
    </row>
    <row r="38" spans="1:17" ht="21" customHeight="1" x14ac:dyDescent="0.2">
      <c r="A38" s="78">
        <v>7</v>
      </c>
      <c r="B38" s="79" t="s">
        <v>60</v>
      </c>
      <c r="C38" s="80">
        <f t="shared" ca="1" si="0"/>
        <v>0</v>
      </c>
      <c r="D38" s="81">
        <f t="shared" ca="1" si="17"/>
        <v>0</v>
      </c>
      <c r="E38" s="82">
        <f ca="1">IFERROR(__xludf.DUMMYFUNCTION("IMPORTRANGE(""https://docs.google.com/spreadsheets/d/1MeEWN-I1oV_STSDYn1IFDPWt_1FKiwhDph83XaGc0o0/edit?usp=sharing"",""งบพรบ!BB38"")"),0)</f>
        <v>0</v>
      </c>
      <c r="F38" s="82">
        <f ca="1">IFERROR(__xludf.DUMMYFUNCTION("IMPORTRANGE(""https://docs.google.com/spreadsheets/d/1MeEWN-I1oV_STSDYn1IFDPWt_1FKiwhDph83XaGc0o0/edit?usp=sharing"",""งบพรบ!BC38"")"),0)</f>
        <v>0</v>
      </c>
      <c r="G38" s="82">
        <f ca="1">IFERROR(__xludf.DUMMYFUNCTION("IMPORTRANGE(""https://docs.google.com/spreadsheets/d/1MeEWN-I1oV_STSDYn1IFDPWt_1FKiwhDph83XaGc0o0/edit?usp=sharing"",""งบพรบ!BD38"")"),0)</f>
        <v>0</v>
      </c>
      <c r="H38" s="82">
        <f ca="1">IFERROR(__xludf.DUMMYFUNCTION("IMPORTRANGE(""https://docs.google.com/spreadsheets/d/1MeEWN-I1oV_STSDYn1IFDPWt_1FKiwhDph83XaGc0o0/edit?usp=sharing"",""งบพรบ!BF38"")"),0)</f>
        <v>0</v>
      </c>
      <c r="I38" s="82">
        <f ca="1">IFERROR(__xludf.DUMMYFUNCTION("IMPORTRANGE(""https://docs.google.com/spreadsheets/d/1MeEWN-I1oV_STSDYn1IFDPWt_1FKiwhDph83XaGc0o0/edit?usp=sharing"",""งบพรบ!BG38"")"),0)</f>
        <v>0</v>
      </c>
      <c r="J38" s="82">
        <f t="shared" ca="1" si="3"/>
        <v>0</v>
      </c>
      <c r="K38" s="83">
        <f t="shared" ca="1" si="4"/>
        <v>0</v>
      </c>
      <c r="L38" s="82">
        <f ca="1">IFERROR(__xludf.DUMMYFUNCTION("IMPORTRANGE(""https://docs.google.com/spreadsheets/d/1MeEWN-I1oV_STSDYn1IFDPWt_1FKiwhDph83XaGc0o0/edit?usp=sharing"",""งบพรบ!BH38"")"),0)</f>
        <v>0</v>
      </c>
      <c r="M38" s="84">
        <f t="shared" ca="1" si="5"/>
        <v>0</v>
      </c>
      <c r="N38" s="84">
        <f t="shared" ca="1" si="6"/>
        <v>0</v>
      </c>
      <c r="O38" s="85">
        <f ca="1">IFERROR(__xludf.DUMMYFUNCTION("IMPORTRANGE(""https://docs.google.com/spreadsheets/d/1MeEWN-I1oV_STSDYn1IFDPWt_1FKiwhDph83XaGc0o0/edit?usp=sharing"",""งบพรบ!BI38"")"),0)</f>
        <v>0</v>
      </c>
      <c r="P38" s="84">
        <f t="shared" ca="1" si="14"/>
        <v>0</v>
      </c>
      <c r="Q38" s="84">
        <f t="shared" ca="1" si="8"/>
        <v>0</v>
      </c>
    </row>
    <row r="39" spans="1:17" ht="21" customHeight="1" x14ac:dyDescent="0.2">
      <c r="A39" s="78">
        <v>8</v>
      </c>
      <c r="B39" s="79" t="s">
        <v>61</v>
      </c>
      <c r="C39" s="80">
        <f t="shared" ca="1" si="0"/>
        <v>212000</v>
      </c>
      <c r="D39" s="81">
        <f t="shared" ca="1" si="17"/>
        <v>0</v>
      </c>
      <c r="E39" s="82">
        <f ca="1">IFERROR(__xludf.DUMMYFUNCTION("IMPORTRANGE(""https://docs.google.com/spreadsheets/d/1MeEWN-I1oV_STSDYn1IFDPWt_1FKiwhDph83XaGc0o0/edit?usp=sharing"",""งบพรบ!BB39"")"),0)</f>
        <v>0</v>
      </c>
      <c r="F39" s="82">
        <f ca="1">IFERROR(__xludf.DUMMYFUNCTION("IMPORTRANGE(""https://docs.google.com/spreadsheets/d/1MeEWN-I1oV_STSDYn1IFDPWt_1FKiwhDph83XaGc0o0/edit?usp=sharing"",""งบพรบ!BC39"")"),0)</f>
        <v>0</v>
      </c>
      <c r="G39" s="82">
        <f ca="1">IFERROR(__xludf.DUMMYFUNCTION("IMPORTRANGE(""https://docs.google.com/spreadsheets/d/1MeEWN-I1oV_STSDYn1IFDPWt_1FKiwhDph83XaGc0o0/edit?usp=sharing"",""งบพรบ!BD39"")"),212000)</f>
        <v>212000</v>
      </c>
      <c r="H39" s="82">
        <f ca="1">IFERROR(__xludf.DUMMYFUNCTION("IMPORTRANGE(""https://docs.google.com/spreadsheets/d/1MeEWN-I1oV_STSDYn1IFDPWt_1FKiwhDph83XaGc0o0/edit?usp=sharing"",""งบพรบ!BF39"")"),0)</f>
        <v>0</v>
      </c>
      <c r="I39" s="82">
        <f ca="1">IFERROR(__xludf.DUMMYFUNCTION("IMPORTRANGE(""https://docs.google.com/spreadsheets/d/1MeEWN-I1oV_STSDYn1IFDPWt_1FKiwhDph83XaGc0o0/edit?usp=sharing"",""งบพรบ!BG39"")"),212000)</f>
        <v>212000</v>
      </c>
      <c r="J39" s="82">
        <f t="shared" ca="1" si="3"/>
        <v>212000</v>
      </c>
      <c r="K39" s="83">
        <f t="shared" ca="1" si="4"/>
        <v>100</v>
      </c>
      <c r="L39" s="82">
        <f ca="1">IFERROR(__xludf.DUMMYFUNCTION("IMPORTRANGE(""https://docs.google.com/spreadsheets/d/1MeEWN-I1oV_STSDYn1IFDPWt_1FKiwhDph83XaGc0o0/edit?usp=sharing"",""งบพรบ!BH39"")"),0)</f>
        <v>0</v>
      </c>
      <c r="M39" s="84">
        <f t="shared" ca="1" si="5"/>
        <v>0</v>
      </c>
      <c r="N39" s="84">
        <f t="shared" ca="1" si="6"/>
        <v>0</v>
      </c>
      <c r="O39" s="85">
        <f ca="1">IFERROR(__xludf.DUMMYFUNCTION("IMPORTRANGE(""https://docs.google.com/spreadsheets/d/1MeEWN-I1oV_STSDYn1IFDPWt_1FKiwhDph83XaGc0o0/edit?usp=sharing"",""งบพรบ!BI39"")"),212000)</f>
        <v>212000</v>
      </c>
      <c r="P39" s="84">
        <f t="shared" ca="1" si="14"/>
        <v>100</v>
      </c>
      <c r="Q39" s="84">
        <f t="shared" ca="1" si="8"/>
        <v>100</v>
      </c>
    </row>
    <row r="40" spans="1:17" ht="21" customHeight="1" x14ac:dyDescent="0.2">
      <c r="A40" s="78">
        <v>9</v>
      </c>
      <c r="B40" s="79" t="s">
        <v>62</v>
      </c>
      <c r="C40" s="80">
        <f t="shared" ca="1" si="0"/>
        <v>0</v>
      </c>
      <c r="D40" s="81">
        <f t="shared" ca="1" si="17"/>
        <v>0</v>
      </c>
      <c r="E40" s="82">
        <f ca="1">IFERROR(__xludf.DUMMYFUNCTION("IMPORTRANGE(""https://docs.google.com/spreadsheets/d/1MeEWN-I1oV_STSDYn1IFDPWt_1FKiwhDph83XaGc0o0/edit?usp=sharing"",""งบพรบ!BB40"")"),0)</f>
        <v>0</v>
      </c>
      <c r="F40" s="82">
        <f ca="1">IFERROR(__xludf.DUMMYFUNCTION("IMPORTRANGE(""https://docs.google.com/spreadsheets/d/1MeEWN-I1oV_STSDYn1IFDPWt_1FKiwhDph83XaGc0o0/edit?usp=sharing"",""งบพรบ!BC40"")"),0)</f>
        <v>0</v>
      </c>
      <c r="G40" s="82">
        <f ca="1">IFERROR(__xludf.DUMMYFUNCTION("IMPORTRANGE(""https://docs.google.com/spreadsheets/d/1MeEWN-I1oV_STSDYn1IFDPWt_1FKiwhDph83XaGc0o0/edit?usp=sharing"",""งบพรบ!BD40"")"),0)</f>
        <v>0</v>
      </c>
      <c r="H40" s="82">
        <f ca="1">IFERROR(__xludf.DUMMYFUNCTION("IMPORTRANGE(""https://docs.google.com/spreadsheets/d/1MeEWN-I1oV_STSDYn1IFDPWt_1FKiwhDph83XaGc0o0/edit?usp=sharing"",""งบพรบ!BF40"")"),0)</f>
        <v>0</v>
      </c>
      <c r="I40" s="82">
        <f ca="1">IFERROR(__xludf.DUMMYFUNCTION("IMPORTRANGE(""https://docs.google.com/spreadsheets/d/1MeEWN-I1oV_STSDYn1IFDPWt_1FKiwhDph83XaGc0o0/edit?usp=sharing"",""งบพรบ!BG40"")"),0)</f>
        <v>0</v>
      </c>
      <c r="J40" s="82">
        <f t="shared" ca="1" si="3"/>
        <v>0</v>
      </c>
      <c r="K40" s="83">
        <f t="shared" ca="1" si="4"/>
        <v>0</v>
      </c>
      <c r="L40" s="82">
        <f ca="1">IFERROR(__xludf.DUMMYFUNCTION("IMPORTRANGE(""https://docs.google.com/spreadsheets/d/1MeEWN-I1oV_STSDYn1IFDPWt_1FKiwhDph83XaGc0o0/edit?usp=sharing"",""งบพรบ!BH40"")"),0)</f>
        <v>0</v>
      </c>
      <c r="M40" s="84">
        <f t="shared" ca="1" si="5"/>
        <v>0</v>
      </c>
      <c r="N40" s="84">
        <f t="shared" ca="1" si="6"/>
        <v>0</v>
      </c>
      <c r="O40" s="85">
        <f ca="1">IFERROR(__xludf.DUMMYFUNCTION("IMPORTRANGE(""https://docs.google.com/spreadsheets/d/1MeEWN-I1oV_STSDYn1IFDPWt_1FKiwhDph83XaGc0o0/edit?usp=sharing"",""งบพรบ!BI40"")"),0)</f>
        <v>0</v>
      </c>
      <c r="P40" s="84">
        <f t="shared" ca="1" si="14"/>
        <v>0</v>
      </c>
      <c r="Q40" s="84">
        <f t="shared" ca="1" si="8"/>
        <v>0</v>
      </c>
    </row>
    <row r="41" spans="1:17" ht="21" customHeight="1" x14ac:dyDescent="0.2">
      <c r="A41" s="78">
        <v>10</v>
      </c>
      <c r="B41" s="79" t="s">
        <v>63</v>
      </c>
      <c r="C41" s="80">
        <f t="shared" ca="1" si="0"/>
        <v>26800</v>
      </c>
      <c r="D41" s="81">
        <f t="shared" ca="1" si="17"/>
        <v>0</v>
      </c>
      <c r="E41" s="82">
        <f ca="1">IFERROR(__xludf.DUMMYFUNCTION("IMPORTRANGE(""https://docs.google.com/spreadsheets/d/1MeEWN-I1oV_STSDYn1IFDPWt_1FKiwhDph83XaGc0o0/edit?usp=sharing"",""งบพรบ!BB41"")"),0)</f>
        <v>0</v>
      </c>
      <c r="F41" s="82">
        <f ca="1">IFERROR(__xludf.DUMMYFUNCTION("IMPORTRANGE(""https://docs.google.com/spreadsheets/d/1MeEWN-I1oV_STSDYn1IFDPWt_1FKiwhDph83XaGc0o0/edit?usp=sharing"",""งบพรบ!BC41"")"),0)</f>
        <v>0</v>
      </c>
      <c r="G41" s="82">
        <f ca="1">IFERROR(__xludf.DUMMYFUNCTION("IMPORTRANGE(""https://docs.google.com/spreadsheets/d/1MeEWN-I1oV_STSDYn1IFDPWt_1FKiwhDph83XaGc0o0/edit?usp=sharing"",""งบพรบ!BD41"")"),26800)</f>
        <v>26800</v>
      </c>
      <c r="H41" s="82">
        <f ca="1">IFERROR(__xludf.DUMMYFUNCTION("IMPORTRANGE(""https://docs.google.com/spreadsheets/d/1MeEWN-I1oV_STSDYn1IFDPWt_1FKiwhDph83XaGc0o0/edit?usp=sharing"",""งบพรบ!BF41"")"),0)</f>
        <v>0</v>
      </c>
      <c r="I41" s="82">
        <f ca="1">IFERROR(__xludf.DUMMYFUNCTION("IMPORTRANGE(""https://docs.google.com/spreadsheets/d/1MeEWN-I1oV_STSDYn1IFDPWt_1FKiwhDph83XaGc0o0/edit?usp=sharing"",""งบพรบ!BG41"")"),26800)</f>
        <v>26800</v>
      </c>
      <c r="J41" s="82">
        <f t="shared" ca="1" si="3"/>
        <v>26800</v>
      </c>
      <c r="K41" s="83">
        <f t="shared" ca="1" si="4"/>
        <v>100</v>
      </c>
      <c r="L41" s="82">
        <f ca="1">IFERROR(__xludf.DUMMYFUNCTION("IMPORTRANGE(""https://docs.google.com/spreadsheets/d/1MeEWN-I1oV_STSDYn1IFDPWt_1FKiwhDph83XaGc0o0/edit?usp=sharing"",""งบพรบ!BH41"")"),0)</f>
        <v>0</v>
      </c>
      <c r="M41" s="84">
        <f t="shared" ca="1" si="5"/>
        <v>0</v>
      </c>
      <c r="N41" s="84">
        <f t="shared" ca="1" si="6"/>
        <v>0</v>
      </c>
      <c r="O41" s="85">
        <f ca="1">IFERROR(__xludf.DUMMYFUNCTION("IMPORTRANGE(""https://docs.google.com/spreadsheets/d/1MeEWN-I1oV_STSDYn1IFDPWt_1FKiwhDph83XaGc0o0/edit?usp=sharing"",""งบพรบ!BI41"")"),26800)</f>
        <v>26800</v>
      </c>
      <c r="P41" s="84">
        <f t="shared" ca="1" si="14"/>
        <v>100</v>
      </c>
      <c r="Q41" s="84">
        <f t="shared" ca="1" si="8"/>
        <v>100</v>
      </c>
    </row>
    <row r="42" spans="1:17" ht="21" customHeight="1" x14ac:dyDescent="0.2">
      <c r="A42" s="78">
        <v>11</v>
      </c>
      <c r="B42" s="79" t="s">
        <v>64</v>
      </c>
      <c r="C42" s="80">
        <f t="shared" ca="1" si="0"/>
        <v>0</v>
      </c>
      <c r="D42" s="81">
        <f t="shared" ca="1" si="17"/>
        <v>0</v>
      </c>
      <c r="E42" s="82">
        <f ca="1">IFERROR(__xludf.DUMMYFUNCTION("IMPORTRANGE(""https://docs.google.com/spreadsheets/d/1MeEWN-I1oV_STSDYn1IFDPWt_1FKiwhDph83XaGc0o0/edit?usp=sharing"",""งบพรบ!BB42"")"),0)</f>
        <v>0</v>
      </c>
      <c r="F42" s="82">
        <f ca="1">IFERROR(__xludf.DUMMYFUNCTION("IMPORTRANGE(""https://docs.google.com/spreadsheets/d/1MeEWN-I1oV_STSDYn1IFDPWt_1FKiwhDph83XaGc0o0/edit?usp=sharing"",""งบพรบ!BC42"")"),0)</f>
        <v>0</v>
      </c>
      <c r="G42" s="82">
        <f ca="1">IFERROR(__xludf.DUMMYFUNCTION("IMPORTRANGE(""https://docs.google.com/spreadsheets/d/1MeEWN-I1oV_STSDYn1IFDPWt_1FKiwhDph83XaGc0o0/edit?usp=sharing"",""งบพรบ!BD42"")"),0)</f>
        <v>0</v>
      </c>
      <c r="H42" s="82">
        <f ca="1">IFERROR(__xludf.DUMMYFUNCTION("IMPORTRANGE(""https://docs.google.com/spreadsheets/d/1MeEWN-I1oV_STSDYn1IFDPWt_1FKiwhDph83XaGc0o0/edit?usp=sharing"",""งบพรบ!BF42"")"),0)</f>
        <v>0</v>
      </c>
      <c r="I42" s="82">
        <f ca="1">IFERROR(__xludf.DUMMYFUNCTION("IMPORTRANGE(""https://docs.google.com/spreadsheets/d/1MeEWN-I1oV_STSDYn1IFDPWt_1FKiwhDph83XaGc0o0/edit?usp=sharing"",""งบพรบ!BG42"")"),0)</f>
        <v>0</v>
      </c>
      <c r="J42" s="82">
        <f t="shared" ca="1" si="3"/>
        <v>0</v>
      </c>
      <c r="K42" s="83">
        <f t="shared" ca="1" si="4"/>
        <v>0</v>
      </c>
      <c r="L42" s="82">
        <f ca="1">IFERROR(__xludf.DUMMYFUNCTION("IMPORTRANGE(""https://docs.google.com/spreadsheets/d/1MeEWN-I1oV_STSDYn1IFDPWt_1FKiwhDph83XaGc0o0/edit?usp=sharing"",""งบพรบ!BH42"")"),0)</f>
        <v>0</v>
      </c>
      <c r="M42" s="84">
        <f t="shared" ca="1" si="5"/>
        <v>0</v>
      </c>
      <c r="N42" s="84">
        <f t="shared" ca="1" si="6"/>
        <v>0</v>
      </c>
      <c r="O42" s="85">
        <f ca="1">IFERROR(__xludf.DUMMYFUNCTION("IMPORTRANGE(""https://docs.google.com/spreadsheets/d/1MeEWN-I1oV_STSDYn1IFDPWt_1FKiwhDph83XaGc0o0/edit?usp=sharing"",""งบพรบ!BI42"")"),0)</f>
        <v>0</v>
      </c>
      <c r="P42" s="84">
        <f t="shared" ca="1" si="14"/>
        <v>0</v>
      </c>
      <c r="Q42" s="84">
        <f t="shared" ca="1" si="8"/>
        <v>0</v>
      </c>
    </row>
    <row r="43" spans="1:17" ht="21" customHeight="1" x14ac:dyDescent="0.2">
      <c r="A43" s="78">
        <v>12</v>
      </c>
      <c r="B43" s="79" t="s">
        <v>65</v>
      </c>
      <c r="C43" s="80">
        <f t="shared" ca="1" si="0"/>
        <v>0</v>
      </c>
      <c r="D43" s="81">
        <f t="shared" ca="1" si="17"/>
        <v>0</v>
      </c>
      <c r="E43" s="82">
        <f ca="1">IFERROR(__xludf.DUMMYFUNCTION("IMPORTRANGE(""https://docs.google.com/spreadsheets/d/1MeEWN-I1oV_STSDYn1IFDPWt_1FKiwhDph83XaGc0o0/edit?usp=sharing"",""งบพรบ!BB43"")"),0)</f>
        <v>0</v>
      </c>
      <c r="F43" s="82">
        <f ca="1">IFERROR(__xludf.DUMMYFUNCTION("IMPORTRANGE(""https://docs.google.com/spreadsheets/d/1MeEWN-I1oV_STSDYn1IFDPWt_1FKiwhDph83XaGc0o0/edit?usp=sharing"",""งบพรบ!BC43"")"),0)</f>
        <v>0</v>
      </c>
      <c r="G43" s="82">
        <f ca="1">IFERROR(__xludf.DUMMYFUNCTION("IMPORTRANGE(""https://docs.google.com/spreadsheets/d/1MeEWN-I1oV_STSDYn1IFDPWt_1FKiwhDph83XaGc0o0/edit?usp=sharing"",""งบพรบ!BD43"")"),0)</f>
        <v>0</v>
      </c>
      <c r="H43" s="82">
        <f ca="1">IFERROR(__xludf.DUMMYFUNCTION("IMPORTRANGE(""https://docs.google.com/spreadsheets/d/1MeEWN-I1oV_STSDYn1IFDPWt_1FKiwhDph83XaGc0o0/edit?usp=sharing"",""งบพรบ!BF43"")"),0)</f>
        <v>0</v>
      </c>
      <c r="I43" s="82">
        <f ca="1">IFERROR(__xludf.DUMMYFUNCTION("IMPORTRANGE(""https://docs.google.com/spreadsheets/d/1MeEWN-I1oV_STSDYn1IFDPWt_1FKiwhDph83XaGc0o0/edit?usp=sharing"",""งบพรบ!BG43"")"),0)</f>
        <v>0</v>
      </c>
      <c r="J43" s="82">
        <f t="shared" ca="1" si="3"/>
        <v>0</v>
      </c>
      <c r="K43" s="83">
        <f t="shared" ca="1" si="4"/>
        <v>0</v>
      </c>
      <c r="L43" s="82">
        <f ca="1">IFERROR(__xludf.DUMMYFUNCTION("IMPORTRANGE(""https://docs.google.com/spreadsheets/d/1MeEWN-I1oV_STSDYn1IFDPWt_1FKiwhDph83XaGc0o0/edit?usp=sharing"",""งบพรบ!BH43"")"),0)</f>
        <v>0</v>
      </c>
      <c r="M43" s="84">
        <f t="shared" ca="1" si="5"/>
        <v>0</v>
      </c>
      <c r="N43" s="84">
        <f t="shared" ca="1" si="6"/>
        <v>0</v>
      </c>
      <c r="O43" s="85">
        <f ca="1">IFERROR(__xludf.DUMMYFUNCTION("IMPORTRANGE(""https://docs.google.com/spreadsheets/d/1MeEWN-I1oV_STSDYn1IFDPWt_1FKiwhDph83XaGc0o0/edit?usp=sharing"",""งบพรบ!BI43"")"),0)</f>
        <v>0</v>
      </c>
      <c r="P43" s="84">
        <f t="shared" ca="1" si="14"/>
        <v>0</v>
      </c>
      <c r="Q43" s="84">
        <f t="shared" ca="1" si="8"/>
        <v>0</v>
      </c>
    </row>
    <row r="44" spans="1:17" ht="21" customHeight="1" x14ac:dyDescent="0.2">
      <c r="A44" s="78">
        <v>13</v>
      </c>
      <c r="B44" s="79" t="s">
        <v>66</v>
      </c>
      <c r="C44" s="80">
        <f t="shared" ca="1" si="0"/>
        <v>0</v>
      </c>
      <c r="D44" s="81">
        <f t="shared" ca="1" si="17"/>
        <v>0</v>
      </c>
      <c r="E44" s="82">
        <f ca="1">IFERROR(__xludf.DUMMYFUNCTION("IMPORTRANGE(""https://docs.google.com/spreadsheets/d/1MeEWN-I1oV_STSDYn1IFDPWt_1FKiwhDph83XaGc0o0/edit?usp=sharing"",""งบพรบ!BB44"")"),0)</f>
        <v>0</v>
      </c>
      <c r="F44" s="82">
        <f ca="1">IFERROR(__xludf.DUMMYFUNCTION("IMPORTRANGE(""https://docs.google.com/spreadsheets/d/1MeEWN-I1oV_STSDYn1IFDPWt_1FKiwhDph83XaGc0o0/edit?usp=sharing"",""งบพรบ!BC44"")"),0)</f>
        <v>0</v>
      </c>
      <c r="G44" s="82">
        <f ca="1">IFERROR(__xludf.DUMMYFUNCTION("IMPORTRANGE(""https://docs.google.com/spreadsheets/d/1MeEWN-I1oV_STSDYn1IFDPWt_1FKiwhDph83XaGc0o0/edit?usp=sharing"",""งบพรบ!BD44"")"),0)</f>
        <v>0</v>
      </c>
      <c r="H44" s="82">
        <f ca="1">IFERROR(__xludf.DUMMYFUNCTION("IMPORTRANGE(""https://docs.google.com/spreadsheets/d/1MeEWN-I1oV_STSDYn1IFDPWt_1FKiwhDph83XaGc0o0/edit?usp=sharing"",""งบพรบ!BF44"")"),0)</f>
        <v>0</v>
      </c>
      <c r="I44" s="82">
        <f ca="1">IFERROR(__xludf.DUMMYFUNCTION("IMPORTRANGE(""https://docs.google.com/spreadsheets/d/1MeEWN-I1oV_STSDYn1IFDPWt_1FKiwhDph83XaGc0o0/edit?usp=sharing"",""งบพรบ!BG44"")"),0)</f>
        <v>0</v>
      </c>
      <c r="J44" s="82">
        <f t="shared" ca="1" si="3"/>
        <v>0</v>
      </c>
      <c r="K44" s="83">
        <f t="shared" ca="1" si="4"/>
        <v>0</v>
      </c>
      <c r="L44" s="82">
        <f ca="1">IFERROR(__xludf.DUMMYFUNCTION("IMPORTRANGE(""https://docs.google.com/spreadsheets/d/1MeEWN-I1oV_STSDYn1IFDPWt_1FKiwhDph83XaGc0o0/edit?usp=sharing"",""งบพรบ!BH44"")"),0)</f>
        <v>0</v>
      </c>
      <c r="M44" s="84">
        <f t="shared" ca="1" si="5"/>
        <v>0</v>
      </c>
      <c r="N44" s="84">
        <f t="shared" ca="1" si="6"/>
        <v>0</v>
      </c>
      <c r="O44" s="85">
        <f ca="1">IFERROR(__xludf.DUMMYFUNCTION("IMPORTRANGE(""https://docs.google.com/spreadsheets/d/1MeEWN-I1oV_STSDYn1IFDPWt_1FKiwhDph83XaGc0o0/edit?usp=sharing"",""งบพรบ!BI44"")"),0)</f>
        <v>0</v>
      </c>
      <c r="P44" s="84">
        <f t="shared" ca="1" si="14"/>
        <v>0</v>
      </c>
      <c r="Q44" s="84">
        <f t="shared" ca="1" si="8"/>
        <v>0</v>
      </c>
    </row>
    <row r="45" spans="1:17" ht="21" customHeight="1" x14ac:dyDescent="0.2">
      <c r="A45" s="78">
        <v>14</v>
      </c>
      <c r="B45" s="79" t="s">
        <v>67</v>
      </c>
      <c r="C45" s="80">
        <f t="shared" ca="1" si="0"/>
        <v>0</v>
      </c>
      <c r="D45" s="81">
        <f t="shared" ca="1" si="17"/>
        <v>0</v>
      </c>
      <c r="E45" s="82">
        <f ca="1">IFERROR(__xludf.DUMMYFUNCTION("IMPORTRANGE(""https://docs.google.com/spreadsheets/d/1MeEWN-I1oV_STSDYn1IFDPWt_1FKiwhDph83XaGc0o0/edit?usp=sharing"",""งบพรบ!BB45"")"),0)</f>
        <v>0</v>
      </c>
      <c r="F45" s="82">
        <f ca="1">IFERROR(__xludf.DUMMYFUNCTION("IMPORTRANGE(""https://docs.google.com/spreadsheets/d/1MeEWN-I1oV_STSDYn1IFDPWt_1FKiwhDph83XaGc0o0/edit?usp=sharing"",""งบพรบ!BC45"")"),0)</f>
        <v>0</v>
      </c>
      <c r="G45" s="82">
        <f ca="1">IFERROR(__xludf.DUMMYFUNCTION("IMPORTRANGE(""https://docs.google.com/spreadsheets/d/1MeEWN-I1oV_STSDYn1IFDPWt_1FKiwhDph83XaGc0o0/edit?usp=sharing"",""งบพรบ!BD45"")"),0)</f>
        <v>0</v>
      </c>
      <c r="H45" s="82">
        <f ca="1">IFERROR(__xludf.DUMMYFUNCTION("IMPORTRANGE(""https://docs.google.com/spreadsheets/d/1MeEWN-I1oV_STSDYn1IFDPWt_1FKiwhDph83XaGc0o0/edit?usp=sharing"",""งบพรบ!BF45"")"),0)</f>
        <v>0</v>
      </c>
      <c r="I45" s="82">
        <f ca="1">IFERROR(__xludf.DUMMYFUNCTION("IMPORTRANGE(""https://docs.google.com/spreadsheets/d/1MeEWN-I1oV_STSDYn1IFDPWt_1FKiwhDph83XaGc0o0/edit?usp=sharing"",""งบพรบ!BG45"")"),0)</f>
        <v>0</v>
      </c>
      <c r="J45" s="82">
        <f t="shared" ca="1" si="3"/>
        <v>0</v>
      </c>
      <c r="K45" s="83">
        <f t="shared" ca="1" si="4"/>
        <v>0</v>
      </c>
      <c r="L45" s="82">
        <f ca="1">IFERROR(__xludf.DUMMYFUNCTION("IMPORTRANGE(""https://docs.google.com/spreadsheets/d/1MeEWN-I1oV_STSDYn1IFDPWt_1FKiwhDph83XaGc0o0/edit?usp=sharing"",""งบพรบ!BH45"")"),0)</f>
        <v>0</v>
      </c>
      <c r="M45" s="84">
        <f t="shared" ca="1" si="5"/>
        <v>0</v>
      </c>
      <c r="N45" s="84">
        <f t="shared" ca="1" si="6"/>
        <v>0</v>
      </c>
      <c r="O45" s="85">
        <f ca="1">IFERROR(__xludf.DUMMYFUNCTION("IMPORTRANGE(""https://docs.google.com/spreadsheets/d/1MeEWN-I1oV_STSDYn1IFDPWt_1FKiwhDph83XaGc0o0/edit?usp=sharing"",""งบพรบ!BI45"")"),0)</f>
        <v>0</v>
      </c>
      <c r="P45" s="84">
        <f t="shared" ca="1" si="14"/>
        <v>0</v>
      </c>
      <c r="Q45" s="84">
        <f t="shared" ca="1" si="8"/>
        <v>0</v>
      </c>
    </row>
    <row r="46" spans="1:17" ht="21" customHeight="1" x14ac:dyDescent="0.2">
      <c r="A46" s="78">
        <v>15</v>
      </c>
      <c r="B46" s="79" t="s">
        <v>68</v>
      </c>
      <c r="C46" s="80">
        <f t="shared" ca="1" si="0"/>
        <v>0</v>
      </c>
      <c r="D46" s="81">
        <f t="shared" ca="1" si="17"/>
        <v>0</v>
      </c>
      <c r="E46" s="82">
        <f ca="1">IFERROR(__xludf.DUMMYFUNCTION("IMPORTRANGE(""https://docs.google.com/spreadsheets/d/1MeEWN-I1oV_STSDYn1IFDPWt_1FKiwhDph83XaGc0o0/edit?usp=sharing"",""งบพรบ!BB46"")"),0)</f>
        <v>0</v>
      </c>
      <c r="F46" s="82">
        <f ca="1">IFERROR(__xludf.DUMMYFUNCTION("IMPORTRANGE(""https://docs.google.com/spreadsheets/d/1MeEWN-I1oV_STSDYn1IFDPWt_1FKiwhDph83XaGc0o0/edit?usp=sharing"",""งบพรบ!BC46"")"),0)</f>
        <v>0</v>
      </c>
      <c r="G46" s="82">
        <f ca="1">IFERROR(__xludf.DUMMYFUNCTION("IMPORTRANGE(""https://docs.google.com/spreadsheets/d/1MeEWN-I1oV_STSDYn1IFDPWt_1FKiwhDph83XaGc0o0/edit?usp=sharing"",""งบพรบ!BD46"")"),0)</f>
        <v>0</v>
      </c>
      <c r="H46" s="82">
        <f ca="1">IFERROR(__xludf.DUMMYFUNCTION("IMPORTRANGE(""https://docs.google.com/spreadsheets/d/1MeEWN-I1oV_STSDYn1IFDPWt_1FKiwhDph83XaGc0o0/edit?usp=sharing"",""งบพรบ!BF46"")"),0)</f>
        <v>0</v>
      </c>
      <c r="I46" s="82">
        <f ca="1">IFERROR(__xludf.DUMMYFUNCTION("IMPORTRANGE(""https://docs.google.com/spreadsheets/d/1MeEWN-I1oV_STSDYn1IFDPWt_1FKiwhDph83XaGc0o0/edit?usp=sharing"",""งบพรบ!BG46"")"),0)</f>
        <v>0</v>
      </c>
      <c r="J46" s="82">
        <f t="shared" ca="1" si="3"/>
        <v>0</v>
      </c>
      <c r="K46" s="83">
        <f t="shared" ca="1" si="4"/>
        <v>0</v>
      </c>
      <c r="L46" s="82">
        <f ca="1">IFERROR(__xludf.DUMMYFUNCTION("IMPORTRANGE(""https://docs.google.com/spreadsheets/d/1MeEWN-I1oV_STSDYn1IFDPWt_1FKiwhDph83XaGc0o0/edit?usp=sharing"",""งบพรบ!BH46"")"),0)</f>
        <v>0</v>
      </c>
      <c r="M46" s="84">
        <f t="shared" ca="1" si="5"/>
        <v>0</v>
      </c>
      <c r="N46" s="84">
        <f t="shared" ca="1" si="6"/>
        <v>0</v>
      </c>
      <c r="O46" s="85">
        <f ca="1">IFERROR(__xludf.DUMMYFUNCTION("IMPORTRANGE(""https://docs.google.com/spreadsheets/d/1MeEWN-I1oV_STSDYn1IFDPWt_1FKiwhDph83XaGc0o0/edit?usp=sharing"",""งบพรบ!BI46"")"),0)</f>
        <v>0</v>
      </c>
      <c r="P46" s="84">
        <f t="shared" ca="1" si="14"/>
        <v>0</v>
      </c>
      <c r="Q46" s="84">
        <f t="shared" ca="1" si="8"/>
        <v>0</v>
      </c>
    </row>
    <row r="47" spans="1:17" ht="21" customHeight="1" x14ac:dyDescent="0.2">
      <c r="A47" s="78">
        <v>16</v>
      </c>
      <c r="B47" s="79" t="s">
        <v>69</v>
      </c>
      <c r="C47" s="80">
        <f t="shared" ca="1" si="0"/>
        <v>0</v>
      </c>
      <c r="D47" s="81">
        <f t="shared" ca="1" si="17"/>
        <v>0</v>
      </c>
      <c r="E47" s="82">
        <f ca="1">IFERROR(__xludf.DUMMYFUNCTION("IMPORTRANGE(""https://docs.google.com/spreadsheets/d/1MeEWN-I1oV_STSDYn1IFDPWt_1FKiwhDph83XaGc0o0/edit?usp=sharing"",""งบพรบ!BB47"")"),0)</f>
        <v>0</v>
      </c>
      <c r="F47" s="82">
        <f ca="1">IFERROR(__xludf.DUMMYFUNCTION("IMPORTRANGE(""https://docs.google.com/spreadsheets/d/1MeEWN-I1oV_STSDYn1IFDPWt_1FKiwhDph83XaGc0o0/edit?usp=sharing"",""งบพรบ!BC47"")"),0)</f>
        <v>0</v>
      </c>
      <c r="G47" s="82">
        <f ca="1">IFERROR(__xludf.DUMMYFUNCTION("IMPORTRANGE(""https://docs.google.com/spreadsheets/d/1MeEWN-I1oV_STSDYn1IFDPWt_1FKiwhDph83XaGc0o0/edit?usp=sharing"",""งบพรบ!BD47"")"),0)</f>
        <v>0</v>
      </c>
      <c r="H47" s="82">
        <f ca="1">IFERROR(__xludf.DUMMYFUNCTION("IMPORTRANGE(""https://docs.google.com/spreadsheets/d/1MeEWN-I1oV_STSDYn1IFDPWt_1FKiwhDph83XaGc0o0/edit?usp=sharing"",""งบพรบ!BF47"")"),0)</f>
        <v>0</v>
      </c>
      <c r="I47" s="82">
        <f ca="1">IFERROR(__xludf.DUMMYFUNCTION("IMPORTRANGE(""https://docs.google.com/spreadsheets/d/1MeEWN-I1oV_STSDYn1IFDPWt_1FKiwhDph83XaGc0o0/edit?usp=sharing"",""งบพรบ!BG47"")"),0)</f>
        <v>0</v>
      </c>
      <c r="J47" s="82">
        <f t="shared" ca="1" si="3"/>
        <v>0</v>
      </c>
      <c r="K47" s="83">
        <f t="shared" ca="1" si="4"/>
        <v>0</v>
      </c>
      <c r="L47" s="82">
        <f ca="1">IFERROR(__xludf.DUMMYFUNCTION("IMPORTRANGE(""https://docs.google.com/spreadsheets/d/1MeEWN-I1oV_STSDYn1IFDPWt_1FKiwhDph83XaGc0o0/edit?usp=sharing"",""งบพรบ!BH47"")"),0)</f>
        <v>0</v>
      </c>
      <c r="M47" s="84">
        <f t="shared" ca="1" si="5"/>
        <v>0</v>
      </c>
      <c r="N47" s="84">
        <f t="shared" ca="1" si="6"/>
        <v>0</v>
      </c>
      <c r="O47" s="85">
        <f ca="1">IFERROR(__xludf.DUMMYFUNCTION("IMPORTRANGE(""https://docs.google.com/spreadsheets/d/1MeEWN-I1oV_STSDYn1IFDPWt_1FKiwhDph83XaGc0o0/edit?usp=sharing"",""งบพรบ!BI47"")"),0)</f>
        <v>0</v>
      </c>
      <c r="P47" s="84">
        <f t="shared" ca="1" si="14"/>
        <v>0</v>
      </c>
      <c r="Q47" s="84">
        <f t="shared" ca="1" si="8"/>
        <v>0</v>
      </c>
    </row>
    <row r="48" spans="1:17" ht="21" customHeight="1" x14ac:dyDescent="0.2">
      <c r="A48" s="78">
        <v>17</v>
      </c>
      <c r="B48" s="79" t="s">
        <v>70</v>
      </c>
      <c r="C48" s="80">
        <f t="shared" ca="1" si="0"/>
        <v>252000</v>
      </c>
      <c r="D48" s="81">
        <f t="shared" ca="1" si="17"/>
        <v>0</v>
      </c>
      <c r="E48" s="82">
        <f ca="1">IFERROR(__xludf.DUMMYFUNCTION("IMPORTRANGE(""https://docs.google.com/spreadsheets/d/1MeEWN-I1oV_STSDYn1IFDPWt_1FKiwhDph83XaGc0o0/edit?usp=sharing"",""งบพรบ!BB48"")"),0)</f>
        <v>0</v>
      </c>
      <c r="F48" s="82">
        <f ca="1">IFERROR(__xludf.DUMMYFUNCTION("IMPORTRANGE(""https://docs.google.com/spreadsheets/d/1MeEWN-I1oV_STSDYn1IFDPWt_1FKiwhDph83XaGc0o0/edit?usp=sharing"",""งบพรบ!BC48"")"),0)</f>
        <v>0</v>
      </c>
      <c r="G48" s="82">
        <f ca="1">IFERROR(__xludf.DUMMYFUNCTION("IMPORTRANGE(""https://docs.google.com/spreadsheets/d/1MeEWN-I1oV_STSDYn1IFDPWt_1FKiwhDph83XaGc0o0/edit?usp=sharing"",""งบพรบ!BD48"")"),252000)</f>
        <v>252000</v>
      </c>
      <c r="H48" s="82">
        <f ca="1">IFERROR(__xludf.DUMMYFUNCTION("IMPORTRANGE(""https://docs.google.com/spreadsheets/d/1MeEWN-I1oV_STSDYn1IFDPWt_1FKiwhDph83XaGc0o0/edit?usp=sharing"",""งบพรบ!BF48"")"),0)</f>
        <v>0</v>
      </c>
      <c r="I48" s="82">
        <f ca="1">IFERROR(__xludf.DUMMYFUNCTION("IMPORTRANGE(""https://docs.google.com/spreadsheets/d/1MeEWN-I1oV_STSDYn1IFDPWt_1FKiwhDph83XaGc0o0/edit?usp=sharing"",""งบพรบ!BG48"")"),252000)</f>
        <v>252000</v>
      </c>
      <c r="J48" s="82">
        <f t="shared" ca="1" si="3"/>
        <v>251985</v>
      </c>
      <c r="K48" s="83">
        <f t="shared" ca="1" si="4"/>
        <v>99.99404761904762</v>
      </c>
      <c r="L48" s="82">
        <f ca="1">IFERROR(__xludf.DUMMYFUNCTION("IMPORTRANGE(""https://docs.google.com/spreadsheets/d/1MeEWN-I1oV_STSDYn1IFDPWt_1FKiwhDph83XaGc0o0/edit?usp=sharing"",""งบพรบ!BH48"")"),0)</f>
        <v>0</v>
      </c>
      <c r="M48" s="84">
        <f t="shared" ca="1" si="5"/>
        <v>0</v>
      </c>
      <c r="N48" s="84">
        <f t="shared" ca="1" si="6"/>
        <v>0</v>
      </c>
      <c r="O48" s="85">
        <f ca="1">IFERROR(__xludf.DUMMYFUNCTION("IMPORTRANGE(""https://docs.google.com/spreadsheets/d/1MeEWN-I1oV_STSDYn1IFDPWt_1FKiwhDph83XaGc0o0/edit?usp=sharing"",""งบพรบ!BI48"")"),251985)</f>
        <v>251985</v>
      </c>
      <c r="P48" s="84">
        <f t="shared" ca="1" si="14"/>
        <v>99.99404761904762</v>
      </c>
      <c r="Q48" s="84">
        <f t="shared" ca="1" si="8"/>
        <v>99.99404761904762</v>
      </c>
    </row>
    <row r="49" spans="1:17" ht="21" customHeight="1" x14ac:dyDescent="0.2">
      <c r="A49" s="78">
        <v>18</v>
      </c>
      <c r="B49" s="79" t="s">
        <v>71</v>
      </c>
      <c r="C49" s="80">
        <f t="shared" ca="1" si="0"/>
        <v>0</v>
      </c>
      <c r="D49" s="81">
        <f t="shared" ca="1" si="17"/>
        <v>0</v>
      </c>
      <c r="E49" s="82">
        <f ca="1">IFERROR(__xludf.DUMMYFUNCTION("IMPORTRANGE(""https://docs.google.com/spreadsheets/d/1MeEWN-I1oV_STSDYn1IFDPWt_1FKiwhDph83XaGc0o0/edit?usp=sharing"",""งบพรบ!BB49"")"),0)</f>
        <v>0</v>
      </c>
      <c r="F49" s="82">
        <f ca="1">IFERROR(__xludf.DUMMYFUNCTION("IMPORTRANGE(""https://docs.google.com/spreadsheets/d/1MeEWN-I1oV_STSDYn1IFDPWt_1FKiwhDph83XaGc0o0/edit?usp=sharing"",""งบพรบ!BC49"")"),0)</f>
        <v>0</v>
      </c>
      <c r="G49" s="82">
        <f ca="1">IFERROR(__xludf.DUMMYFUNCTION("IMPORTRANGE(""https://docs.google.com/spreadsheets/d/1MeEWN-I1oV_STSDYn1IFDPWt_1FKiwhDph83XaGc0o0/edit?usp=sharing"",""งบพรบ!BD49"")"),0)</f>
        <v>0</v>
      </c>
      <c r="H49" s="82">
        <f ca="1">IFERROR(__xludf.DUMMYFUNCTION("IMPORTRANGE(""https://docs.google.com/spreadsheets/d/1MeEWN-I1oV_STSDYn1IFDPWt_1FKiwhDph83XaGc0o0/edit?usp=sharing"",""งบพรบ!BF49"")"),0)</f>
        <v>0</v>
      </c>
      <c r="I49" s="82">
        <f ca="1">IFERROR(__xludf.DUMMYFUNCTION("IMPORTRANGE(""https://docs.google.com/spreadsheets/d/1MeEWN-I1oV_STSDYn1IFDPWt_1FKiwhDph83XaGc0o0/edit?usp=sharing"",""งบพรบ!BG49"")"),0)</f>
        <v>0</v>
      </c>
      <c r="J49" s="82">
        <f t="shared" ca="1" si="3"/>
        <v>0</v>
      </c>
      <c r="K49" s="83">
        <f t="shared" ca="1" si="4"/>
        <v>0</v>
      </c>
      <c r="L49" s="82">
        <f ca="1">IFERROR(__xludf.DUMMYFUNCTION("IMPORTRANGE(""https://docs.google.com/spreadsheets/d/1MeEWN-I1oV_STSDYn1IFDPWt_1FKiwhDph83XaGc0o0/edit?usp=sharing"",""งบพรบ!BH49"")"),0)</f>
        <v>0</v>
      </c>
      <c r="M49" s="84">
        <f t="shared" ca="1" si="5"/>
        <v>0</v>
      </c>
      <c r="N49" s="84">
        <f t="shared" ca="1" si="6"/>
        <v>0</v>
      </c>
      <c r="O49" s="85">
        <f ca="1">IFERROR(__xludf.DUMMYFUNCTION("IMPORTRANGE(""https://docs.google.com/spreadsheets/d/1MeEWN-I1oV_STSDYn1IFDPWt_1FKiwhDph83XaGc0o0/edit?usp=sharing"",""งบพรบ!BI49"")"),0)</f>
        <v>0</v>
      </c>
      <c r="P49" s="84">
        <f t="shared" ca="1" si="14"/>
        <v>0</v>
      </c>
      <c r="Q49" s="84">
        <f t="shared" ca="1" si="8"/>
        <v>0</v>
      </c>
    </row>
    <row r="50" spans="1:17" ht="21" customHeight="1" x14ac:dyDescent="0.2">
      <c r="A50" s="78">
        <v>19</v>
      </c>
      <c r="B50" s="79" t="s">
        <v>72</v>
      </c>
      <c r="C50" s="80">
        <f t="shared" ca="1" si="0"/>
        <v>0</v>
      </c>
      <c r="D50" s="81">
        <f t="shared" ca="1" si="17"/>
        <v>0</v>
      </c>
      <c r="E50" s="82">
        <f ca="1">IFERROR(__xludf.DUMMYFUNCTION("IMPORTRANGE(""https://docs.google.com/spreadsheets/d/1MeEWN-I1oV_STSDYn1IFDPWt_1FKiwhDph83XaGc0o0/edit?usp=sharing"",""งบพรบ!BB50"")"),0)</f>
        <v>0</v>
      </c>
      <c r="F50" s="82">
        <f ca="1">IFERROR(__xludf.DUMMYFUNCTION("IMPORTRANGE(""https://docs.google.com/spreadsheets/d/1MeEWN-I1oV_STSDYn1IFDPWt_1FKiwhDph83XaGc0o0/edit?usp=sharing"",""งบพรบ!BC50"")"),0)</f>
        <v>0</v>
      </c>
      <c r="G50" s="82">
        <f ca="1">IFERROR(__xludf.DUMMYFUNCTION("IMPORTRANGE(""https://docs.google.com/spreadsheets/d/1MeEWN-I1oV_STSDYn1IFDPWt_1FKiwhDph83XaGc0o0/edit?usp=sharing"",""งบพรบ!BD50"")"),0)</f>
        <v>0</v>
      </c>
      <c r="H50" s="82">
        <f ca="1">IFERROR(__xludf.DUMMYFUNCTION("IMPORTRANGE(""https://docs.google.com/spreadsheets/d/1MeEWN-I1oV_STSDYn1IFDPWt_1FKiwhDph83XaGc0o0/edit?usp=sharing"",""งบพรบ!BF50"")"),0)</f>
        <v>0</v>
      </c>
      <c r="I50" s="82">
        <f ca="1">IFERROR(__xludf.DUMMYFUNCTION("IMPORTRANGE(""https://docs.google.com/spreadsheets/d/1MeEWN-I1oV_STSDYn1IFDPWt_1FKiwhDph83XaGc0o0/edit?usp=sharing"",""งบพรบ!BG50"")"),0)</f>
        <v>0</v>
      </c>
      <c r="J50" s="82">
        <f t="shared" ca="1" si="3"/>
        <v>0</v>
      </c>
      <c r="K50" s="83">
        <f t="shared" ca="1" si="4"/>
        <v>0</v>
      </c>
      <c r="L50" s="82">
        <f ca="1">IFERROR(__xludf.DUMMYFUNCTION("IMPORTRANGE(""https://docs.google.com/spreadsheets/d/1MeEWN-I1oV_STSDYn1IFDPWt_1FKiwhDph83XaGc0o0/edit?usp=sharing"",""งบพรบ!BH50"")"),0)</f>
        <v>0</v>
      </c>
      <c r="M50" s="84">
        <f t="shared" ca="1" si="5"/>
        <v>0</v>
      </c>
      <c r="N50" s="84">
        <f t="shared" ca="1" si="6"/>
        <v>0</v>
      </c>
      <c r="O50" s="85">
        <f ca="1">IFERROR(__xludf.DUMMYFUNCTION("IMPORTRANGE(""https://docs.google.com/spreadsheets/d/1MeEWN-I1oV_STSDYn1IFDPWt_1FKiwhDph83XaGc0o0/edit?usp=sharing"",""งบพรบ!BI50"")"),0)</f>
        <v>0</v>
      </c>
      <c r="P50" s="84">
        <f t="shared" ca="1" si="14"/>
        <v>0</v>
      </c>
      <c r="Q50" s="84">
        <f t="shared" ca="1" si="8"/>
        <v>0</v>
      </c>
    </row>
    <row r="51" spans="1:17" ht="21" customHeight="1" x14ac:dyDescent="0.2">
      <c r="A51" s="89">
        <v>20</v>
      </c>
      <c r="B51" s="90" t="s">
        <v>73</v>
      </c>
      <c r="C51" s="91">
        <f t="shared" ca="1" si="0"/>
        <v>0</v>
      </c>
      <c r="D51" s="92">
        <f t="shared" ca="1" si="17"/>
        <v>0</v>
      </c>
      <c r="E51" s="93">
        <f ca="1">IFERROR(__xludf.DUMMYFUNCTION("IMPORTRANGE(""https://docs.google.com/spreadsheets/d/1MeEWN-I1oV_STSDYn1IFDPWt_1FKiwhDph83XaGc0o0/edit?usp=sharing"",""งบพรบ!BB51"")"),0)</f>
        <v>0</v>
      </c>
      <c r="F51" s="93">
        <f ca="1">IFERROR(__xludf.DUMMYFUNCTION("IMPORTRANGE(""https://docs.google.com/spreadsheets/d/1MeEWN-I1oV_STSDYn1IFDPWt_1FKiwhDph83XaGc0o0/edit?usp=sharing"",""งบพรบ!BC51"")"),0)</f>
        <v>0</v>
      </c>
      <c r="G51" s="93">
        <f ca="1">IFERROR(__xludf.DUMMYFUNCTION("IMPORTRANGE(""https://docs.google.com/spreadsheets/d/1MeEWN-I1oV_STSDYn1IFDPWt_1FKiwhDph83XaGc0o0/edit?usp=sharing"",""งบพรบ!BD51"")"),0)</f>
        <v>0</v>
      </c>
      <c r="H51" s="93">
        <f ca="1">IFERROR(__xludf.DUMMYFUNCTION("IMPORTRANGE(""https://docs.google.com/spreadsheets/d/1MeEWN-I1oV_STSDYn1IFDPWt_1FKiwhDph83XaGc0o0/edit?usp=sharing"",""งบพรบ!BF51"")"),0)</f>
        <v>0</v>
      </c>
      <c r="I51" s="93">
        <f ca="1">IFERROR(__xludf.DUMMYFUNCTION("IMPORTRANGE(""https://docs.google.com/spreadsheets/d/1MeEWN-I1oV_STSDYn1IFDPWt_1FKiwhDph83XaGc0o0/edit?usp=sharing"",""งบพรบ!BG51"")"),0)</f>
        <v>0</v>
      </c>
      <c r="J51" s="93">
        <f t="shared" ca="1" si="3"/>
        <v>0</v>
      </c>
      <c r="K51" s="94">
        <f t="shared" ca="1" si="4"/>
        <v>0</v>
      </c>
      <c r="L51" s="93">
        <f ca="1">IFERROR(__xludf.DUMMYFUNCTION("IMPORTRANGE(""https://docs.google.com/spreadsheets/d/1MeEWN-I1oV_STSDYn1IFDPWt_1FKiwhDph83XaGc0o0/edit?usp=sharing"",""งบพรบ!BH51"")"),0)</f>
        <v>0</v>
      </c>
      <c r="M51" s="95">
        <f t="shared" ca="1" si="5"/>
        <v>0</v>
      </c>
      <c r="N51" s="95">
        <f t="shared" ca="1" si="6"/>
        <v>0</v>
      </c>
      <c r="O51" s="96">
        <f ca="1">IFERROR(__xludf.DUMMYFUNCTION("IMPORTRANGE(""https://docs.google.com/spreadsheets/d/1MeEWN-I1oV_STSDYn1IFDPWt_1FKiwhDph83XaGc0o0/edit?usp=sharing"",""งบพรบ!BI51"")"),0)</f>
        <v>0</v>
      </c>
      <c r="P51" s="95">
        <f t="shared" ca="1" si="14"/>
        <v>0</v>
      </c>
      <c r="Q51" s="95">
        <f t="shared" ca="1" si="8"/>
        <v>0</v>
      </c>
    </row>
    <row r="52" spans="1:17" ht="21" customHeight="1" x14ac:dyDescent="0.2">
      <c r="A52" s="380" t="s">
        <v>74</v>
      </c>
      <c r="B52" s="379"/>
      <c r="C52" s="99">
        <f t="shared" ca="1" si="0"/>
        <v>26800</v>
      </c>
      <c r="D52" s="62">
        <f t="shared" ref="D52:I52" ca="1" si="18">SUM(D53:D73)</f>
        <v>0</v>
      </c>
      <c r="E52" s="62">
        <f t="shared" ca="1" si="18"/>
        <v>0</v>
      </c>
      <c r="F52" s="62">
        <f t="shared" ca="1" si="18"/>
        <v>0</v>
      </c>
      <c r="G52" s="62">
        <f t="shared" ca="1" si="18"/>
        <v>26800</v>
      </c>
      <c r="H52" s="62">
        <f t="shared" ca="1" si="18"/>
        <v>0</v>
      </c>
      <c r="I52" s="62">
        <f t="shared" ca="1" si="18"/>
        <v>26800</v>
      </c>
      <c r="J52" s="62">
        <f t="shared" ca="1" si="3"/>
        <v>26800</v>
      </c>
      <c r="K52" s="100">
        <f t="shared" ca="1" si="4"/>
        <v>100</v>
      </c>
      <c r="L52" s="62">
        <f ca="1">SUM(L53:L73)</f>
        <v>0</v>
      </c>
      <c r="M52" s="101">
        <f t="shared" ca="1" si="5"/>
        <v>0</v>
      </c>
      <c r="N52" s="101">
        <f t="shared" ca="1" si="6"/>
        <v>0</v>
      </c>
      <c r="O52" s="102">
        <f ca="1">SUM(O53:O73)</f>
        <v>26800</v>
      </c>
      <c r="P52" s="101">
        <f t="shared" ca="1" si="14"/>
        <v>100</v>
      </c>
      <c r="Q52" s="101">
        <f t="shared" ca="1" si="8"/>
        <v>100</v>
      </c>
    </row>
    <row r="53" spans="1:17" ht="21" customHeight="1" x14ac:dyDescent="0.2">
      <c r="A53" s="68">
        <v>1</v>
      </c>
      <c r="B53" s="69" t="s">
        <v>75</v>
      </c>
      <c r="C53" s="103">
        <f t="shared" ca="1" si="0"/>
        <v>0</v>
      </c>
      <c r="D53" s="71">
        <f t="shared" ref="D53:D73" ca="1" si="19">+E53+F53</f>
        <v>0</v>
      </c>
      <c r="E53" s="72">
        <f ca="1">IFERROR(__xludf.DUMMYFUNCTION("IMPORTRANGE(""https://docs.google.com/spreadsheets/d/1MeEWN-I1oV_STSDYn1IFDPWt_1FKiwhDph83XaGc0o0/edit?usp=sharing"",""งบพรบ!BB53"")"),0)</f>
        <v>0</v>
      </c>
      <c r="F53" s="72">
        <f ca="1">IFERROR(__xludf.DUMMYFUNCTION("IMPORTRANGE(""https://docs.google.com/spreadsheets/d/1MeEWN-I1oV_STSDYn1IFDPWt_1FKiwhDph83XaGc0o0/edit?usp=sharing"",""งบพรบ!BC53"")"),0)</f>
        <v>0</v>
      </c>
      <c r="G53" s="73">
        <f ca="1">IFERROR(__xludf.DUMMYFUNCTION("IMPORTRANGE(""https://docs.google.com/spreadsheets/d/1MeEWN-I1oV_STSDYn1IFDPWt_1FKiwhDph83XaGc0o0/edit?usp=sharing"",""งบพรบ!BD53"")"),0)</f>
        <v>0</v>
      </c>
      <c r="H53" s="73">
        <f ca="1">IFERROR(__xludf.DUMMYFUNCTION("IMPORTRANGE(""https://docs.google.com/spreadsheets/d/1MeEWN-I1oV_STSDYn1IFDPWt_1FKiwhDph83XaGc0o0/edit?usp=sharing"",""งบพรบ!BF53"")"),0)</f>
        <v>0</v>
      </c>
      <c r="I53" s="73">
        <f ca="1">IFERROR(__xludf.DUMMYFUNCTION("IMPORTRANGE(""https://docs.google.com/spreadsheets/d/1MeEWN-I1oV_STSDYn1IFDPWt_1FKiwhDph83XaGc0o0/edit?usp=sharing"",""งบพรบ!BG53"")"),0)</f>
        <v>0</v>
      </c>
      <c r="J53" s="73">
        <f t="shared" ca="1" si="3"/>
        <v>0</v>
      </c>
      <c r="K53" s="74">
        <f t="shared" ca="1" si="4"/>
        <v>0</v>
      </c>
      <c r="L53" s="73">
        <f ca="1">IFERROR(__xludf.DUMMYFUNCTION("IMPORTRANGE(""https://docs.google.com/spreadsheets/d/1MeEWN-I1oV_STSDYn1IFDPWt_1FKiwhDph83XaGc0o0/edit?usp=sharing"",""งบพรบ!BH53"")"),0)</f>
        <v>0</v>
      </c>
      <c r="M53" s="75">
        <f t="shared" ca="1" si="5"/>
        <v>0</v>
      </c>
      <c r="N53" s="75">
        <f t="shared" ca="1" si="6"/>
        <v>0</v>
      </c>
      <c r="O53" s="76">
        <f ca="1">IFERROR(__xludf.DUMMYFUNCTION("IMPORTRANGE(""https://docs.google.com/spreadsheets/d/1MeEWN-I1oV_STSDYn1IFDPWt_1FKiwhDph83XaGc0o0/edit?usp=sharing"",""งบพรบ!BI53"")"),0)</f>
        <v>0</v>
      </c>
      <c r="P53" s="75">
        <f t="shared" ca="1" si="14"/>
        <v>0</v>
      </c>
      <c r="Q53" s="75">
        <f t="shared" ca="1" si="8"/>
        <v>0</v>
      </c>
    </row>
    <row r="54" spans="1:17" ht="21" customHeight="1" x14ac:dyDescent="0.2">
      <c r="A54" s="78">
        <v>2</v>
      </c>
      <c r="B54" s="79" t="s">
        <v>76</v>
      </c>
      <c r="C54" s="80">
        <f t="shared" ca="1" si="0"/>
        <v>0</v>
      </c>
      <c r="D54" s="81">
        <f t="shared" ca="1" si="19"/>
        <v>0</v>
      </c>
      <c r="E54" s="82">
        <f ca="1">IFERROR(__xludf.DUMMYFUNCTION("IMPORTRANGE(""https://docs.google.com/spreadsheets/d/1MeEWN-I1oV_STSDYn1IFDPWt_1FKiwhDph83XaGc0o0/edit?usp=sharing"",""งบพรบ!BB54"")"),0)</f>
        <v>0</v>
      </c>
      <c r="F54" s="82">
        <f ca="1">IFERROR(__xludf.DUMMYFUNCTION("IMPORTRANGE(""https://docs.google.com/spreadsheets/d/1MeEWN-I1oV_STSDYn1IFDPWt_1FKiwhDph83XaGc0o0/edit?usp=sharing"",""งบพรบ!BC54"")"),0)</f>
        <v>0</v>
      </c>
      <c r="G54" s="82">
        <f ca="1">IFERROR(__xludf.DUMMYFUNCTION("IMPORTRANGE(""https://docs.google.com/spreadsheets/d/1MeEWN-I1oV_STSDYn1IFDPWt_1FKiwhDph83XaGc0o0/edit?usp=sharing"",""งบพรบ!BD54"")"),0)</f>
        <v>0</v>
      </c>
      <c r="H54" s="82">
        <f ca="1">IFERROR(__xludf.DUMMYFUNCTION("IMPORTRANGE(""https://docs.google.com/spreadsheets/d/1MeEWN-I1oV_STSDYn1IFDPWt_1FKiwhDph83XaGc0o0/edit?usp=sharing"",""งบพรบ!BF54"")"),0)</f>
        <v>0</v>
      </c>
      <c r="I54" s="82">
        <f ca="1">IFERROR(__xludf.DUMMYFUNCTION("IMPORTRANGE(""https://docs.google.com/spreadsheets/d/1MeEWN-I1oV_STSDYn1IFDPWt_1FKiwhDph83XaGc0o0/edit?usp=sharing"",""งบพรบ!BG54"")"),0)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IFERROR(__xludf.DUMMYFUNCTION("IMPORTRANGE(""https://docs.google.com/spreadsheets/d/1MeEWN-I1oV_STSDYn1IFDPWt_1FKiwhDph83XaGc0o0/edit?usp=sharing"",""งบพรบ!BH54"")"),0)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IFERROR(__xludf.DUMMYFUNCTION("IMPORTRANGE(""https://docs.google.com/spreadsheets/d/1MeEWN-I1oV_STSDYn1IFDPWt_1FKiwhDph83XaGc0o0/edit?usp=sharing"",""งบพรบ!BI54"")"),0)</f>
        <v>0</v>
      </c>
      <c r="P54" s="84">
        <f t="shared" ca="1" si="14"/>
        <v>0</v>
      </c>
      <c r="Q54" s="84">
        <f t="shared" ca="1" si="8"/>
        <v>0</v>
      </c>
    </row>
    <row r="55" spans="1:17" ht="21" customHeight="1" x14ac:dyDescent="0.2">
      <c r="A55" s="78">
        <v>3</v>
      </c>
      <c r="B55" s="79" t="s">
        <v>77</v>
      </c>
      <c r="C55" s="80">
        <f t="shared" ca="1" si="0"/>
        <v>0</v>
      </c>
      <c r="D55" s="81">
        <f t="shared" ca="1" si="19"/>
        <v>0</v>
      </c>
      <c r="E55" s="82">
        <f ca="1">IFERROR(__xludf.DUMMYFUNCTION("IMPORTRANGE(""https://docs.google.com/spreadsheets/d/1MeEWN-I1oV_STSDYn1IFDPWt_1FKiwhDph83XaGc0o0/edit?usp=sharing"",""งบพรบ!BB55"")"),0)</f>
        <v>0</v>
      </c>
      <c r="F55" s="82">
        <f ca="1">IFERROR(__xludf.DUMMYFUNCTION("IMPORTRANGE(""https://docs.google.com/spreadsheets/d/1MeEWN-I1oV_STSDYn1IFDPWt_1FKiwhDph83XaGc0o0/edit?usp=sharing"",""งบพรบ!BC55"")"),0)</f>
        <v>0</v>
      </c>
      <c r="G55" s="82">
        <f ca="1">IFERROR(__xludf.DUMMYFUNCTION("IMPORTRANGE(""https://docs.google.com/spreadsheets/d/1MeEWN-I1oV_STSDYn1IFDPWt_1FKiwhDph83XaGc0o0/edit?usp=sharing"",""งบพรบ!BD55"")"),0)</f>
        <v>0</v>
      </c>
      <c r="H55" s="82">
        <f ca="1">IFERROR(__xludf.DUMMYFUNCTION("IMPORTRANGE(""https://docs.google.com/spreadsheets/d/1MeEWN-I1oV_STSDYn1IFDPWt_1FKiwhDph83XaGc0o0/edit?usp=sharing"",""งบพรบ!BF55"")"),0)</f>
        <v>0</v>
      </c>
      <c r="I55" s="82">
        <f ca="1">IFERROR(__xludf.DUMMYFUNCTION("IMPORTRANGE(""https://docs.google.com/spreadsheets/d/1MeEWN-I1oV_STSDYn1IFDPWt_1FKiwhDph83XaGc0o0/edit?usp=sharing"",""งบพรบ!BG55"")"),0)</f>
        <v>0</v>
      </c>
      <c r="J55" s="82">
        <f t="shared" ca="1" si="3"/>
        <v>0</v>
      </c>
      <c r="K55" s="83">
        <f t="shared" ca="1" si="4"/>
        <v>0</v>
      </c>
      <c r="L55" s="82">
        <f ca="1">IFERROR(__xludf.DUMMYFUNCTION("IMPORTRANGE(""https://docs.google.com/spreadsheets/d/1MeEWN-I1oV_STSDYn1IFDPWt_1FKiwhDph83XaGc0o0/edit?usp=sharing"",""งบพรบ!BH55"")"),0)</f>
        <v>0</v>
      </c>
      <c r="M55" s="84">
        <f t="shared" ca="1" si="5"/>
        <v>0</v>
      </c>
      <c r="N55" s="84">
        <f t="shared" ca="1" si="6"/>
        <v>0</v>
      </c>
      <c r="O55" s="85">
        <f ca="1">IFERROR(__xludf.DUMMYFUNCTION("IMPORTRANGE(""https://docs.google.com/spreadsheets/d/1MeEWN-I1oV_STSDYn1IFDPWt_1FKiwhDph83XaGc0o0/edit?usp=sharing"",""งบพรบ!BI55"")"),0)</f>
        <v>0</v>
      </c>
      <c r="P55" s="84">
        <f t="shared" ca="1" si="14"/>
        <v>0</v>
      </c>
      <c r="Q55" s="84">
        <f t="shared" ca="1" si="8"/>
        <v>0</v>
      </c>
    </row>
    <row r="56" spans="1:17" ht="21" customHeight="1" x14ac:dyDescent="0.2">
      <c r="A56" s="78">
        <v>4</v>
      </c>
      <c r="B56" s="79" t="s">
        <v>78</v>
      </c>
      <c r="C56" s="80">
        <f t="shared" ca="1" si="0"/>
        <v>0</v>
      </c>
      <c r="D56" s="81">
        <f t="shared" ca="1" si="19"/>
        <v>0</v>
      </c>
      <c r="E56" s="82">
        <f ca="1">IFERROR(__xludf.DUMMYFUNCTION("IMPORTRANGE(""https://docs.google.com/spreadsheets/d/1MeEWN-I1oV_STSDYn1IFDPWt_1FKiwhDph83XaGc0o0/edit?usp=sharing"",""งบพรบ!BB56"")"),0)</f>
        <v>0</v>
      </c>
      <c r="F56" s="82">
        <f ca="1">IFERROR(__xludf.DUMMYFUNCTION("IMPORTRANGE(""https://docs.google.com/spreadsheets/d/1MeEWN-I1oV_STSDYn1IFDPWt_1FKiwhDph83XaGc0o0/edit?usp=sharing"",""งบพรบ!BC56"")"),0)</f>
        <v>0</v>
      </c>
      <c r="G56" s="82">
        <f ca="1">IFERROR(__xludf.DUMMYFUNCTION("IMPORTRANGE(""https://docs.google.com/spreadsheets/d/1MeEWN-I1oV_STSDYn1IFDPWt_1FKiwhDph83XaGc0o0/edit?usp=sharing"",""งบพรบ!BD56"")"),0)</f>
        <v>0</v>
      </c>
      <c r="H56" s="82">
        <f ca="1">IFERROR(__xludf.DUMMYFUNCTION("IMPORTRANGE(""https://docs.google.com/spreadsheets/d/1MeEWN-I1oV_STSDYn1IFDPWt_1FKiwhDph83XaGc0o0/edit?usp=sharing"",""งบพรบ!BF56"")"),0)</f>
        <v>0</v>
      </c>
      <c r="I56" s="82">
        <f ca="1">IFERROR(__xludf.DUMMYFUNCTION("IMPORTRANGE(""https://docs.google.com/spreadsheets/d/1MeEWN-I1oV_STSDYn1IFDPWt_1FKiwhDph83XaGc0o0/edit?usp=sharing"",""งบพรบ!BG56"")"),0)</f>
        <v>0</v>
      </c>
      <c r="J56" s="82">
        <f t="shared" ca="1" si="3"/>
        <v>0</v>
      </c>
      <c r="K56" s="83">
        <f t="shared" ca="1" si="4"/>
        <v>0</v>
      </c>
      <c r="L56" s="82">
        <f ca="1">IFERROR(__xludf.DUMMYFUNCTION("IMPORTRANGE(""https://docs.google.com/spreadsheets/d/1MeEWN-I1oV_STSDYn1IFDPWt_1FKiwhDph83XaGc0o0/edit?usp=sharing"",""งบพรบ!BH56"")"),0)</f>
        <v>0</v>
      </c>
      <c r="M56" s="84">
        <f t="shared" ca="1" si="5"/>
        <v>0</v>
      </c>
      <c r="N56" s="84">
        <f t="shared" ca="1" si="6"/>
        <v>0</v>
      </c>
      <c r="O56" s="85">
        <f ca="1">IFERROR(__xludf.DUMMYFUNCTION("IMPORTRANGE(""https://docs.google.com/spreadsheets/d/1MeEWN-I1oV_STSDYn1IFDPWt_1FKiwhDph83XaGc0o0/edit?usp=sharing"",""งบพรบ!BI56"")"),0)</f>
        <v>0</v>
      </c>
      <c r="P56" s="84">
        <f t="shared" ca="1" si="14"/>
        <v>0</v>
      </c>
      <c r="Q56" s="84">
        <f t="shared" ca="1" si="8"/>
        <v>0</v>
      </c>
    </row>
    <row r="57" spans="1:17" ht="21" customHeight="1" x14ac:dyDescent="0.2">
      <c r="A57" s="78">
        <v>5</v>
      </c>
      <c r="B57" s="79" t="s">
        <v>79</v>
      </c>
      <c r="C57" s="80">
        <f t="shared" ca="1" si="0"/>
        <v>0</v>
      </c>
      <c r="D57" s="81">
        <f t="shared" ca="1" si="19"/>
        <v>0</v>
      </c>
      <c r="E57" s="82">
        <f ca="1">IFERROR(__xludf.DUMMYFUNCTION("IMPORTRANGE(""https://docs.google.com/spreadsheets/d/1MeEWN-I1oV_STSDYn1IFDPWt_1FKiwhDph83XaGc0o0/edit?usp=sharing"",""งบพรบ!BB57"")"),0)</f>
        <v>0</v>
      </c>
      <c r="F57" s="82">
        <f ca="1">IFERROR(__xludf.DUMMYFUNCTION("IMPORTRANGE(""https://docs.google.com/spreadsheets/d/1MeEWN-I1oV_STSDYn1IFDPWt_1FKiwhDph83XaGc0o0/edit?usp=sharing"",""งบพรบ!BC57"")"),0)</f>
        <v>0</v>
      </c>
      <c r="G57" s="82">
        <f ca="1">IFERROR(__xludf.DUMMYFUNCTION("IMPORTRANGE(""https://docs.google.com/spreadsheets/d/1MeEWN-I1oV_STSDYn1IFDPWt_1FKiwhDph83XaGc0o0/edit?usp=sharing"",""งบพรบ!BD57"")"),0)</f>
        <v>0</v>
      </c>
      <c r="H57" s="82">
        <f ca="1">IFERROR(__xludf.DUMMYFUNCTION("IMPORTRANGE(""https://docs.google.com/spreadsheets/d/1MeEWN-I1oV_STSDYn1IFDPWt_1FKiwhDph83XaGc0o0/edit?usp=sharing"",""งบพรบ!BF57"")"),0)</f>
        <v>0</v>
      </c>
      <c r="I57" s="82">
        <f ca="1">IFERROR(__xludf.DUMMYFUNCTION("IMPORTRANGE(""https://docs.google.com/spreadsheets/d/1MeEWN-I1oV_STSDYn1IFDPWt_1FKiwhDph83XaGc0o0/edit?usp=sharing"",""งบพรบ!BG57"")"),0)</f>
        <v>0</v>
      </c>
      <c r="J57" s="82">
        <f t="shared" ca="1" si="3"/>
        <v>0</v>
      </c>
      <c r="K57" s="83">
        <f t="shared" ca="1" si="4"/>
        <v>0</v>
      </c>
      <c r="L57" s="82">
        <f ca="1">IFERROR(__xludf.DUMMYFUNCTION("IMPORTRANGE(""https://docs.google.com/spreadsheets/d/1MeEWN-I1oV_STSDYn1IFDPWt_1FKiwhDph83XaGc0o0/edit?usp=sharing"",""งบพรบ!BH57"")"),0)</f>
        <v>0</v>
      </c>
      <c r="M57" s="84">
        <f t="shared" ca="1" si="5"/>
        <v>0</v>
      </c>
      <c r="N57" s="84">
        <f t="shared" ca="1" si="6"/>
        <v>0</v>
      </c>
      <c r="O57" s="85">
        <f ca="1">IFERROR(__xludf.DUMMYFUNCTION("IMPORTRANGE(""https://docs.google.com/spreadsheets/d/1MeEWN-I1oV_STSDYn1IFDPWt_1FKiwhDph83XaGc0o0/edit?usp=sharing"",""งบพรบ!BI57"")"),0)</f>
        <v>0</v>
      </c>
      <c r="P57" s="84">
        <f t="shared" ca="1" si="14"/>
        <v>0</v>
      </c>
      <c r="Q57" s="84">
        <f t="shared" ca="1" si="8"/>
        <v>0</v>
      </c>
    </row>
    <row r="58" spans="1:17" ht="21" customHeight="1" x14ac:dyDescent="0.2">
      <c r="A58" s="78">
        <v>6</v>
      </c>
      <c r="B58" s="79" t="s">
        <v>80</v>
      </c>
      <c r="C58" s="80">
        <f t="shared" ca="1" si="0"/>
        <v>0</v>
      </c>
      <c r="D58" s="81">
        <f t="shared" ca="1" si="19"/>
        <v>0</v>
      </c>
      <c r="E58" s="82">
        <f ca="1">IFERROR(__xludf.DUMMYFUNCTION("IMPORTRANGE(""https://docs.google.com/spreadsheets/d/1MeEWN-I1oV_STSDYn1IFDPWt_1FKiwhDph83XaGc0o0/edit?usp=sharing"",""งบพรบ!BB58"")"),0)</f>
        <v>0</v>
      </c>
      <c r="F58" s="82">
        <f ca="1">IFERROR(__xludf.DUMMYFUNCTION("IMPORTRANGE(""https://docs.google.com/spreadsheets/d/1MeEWN-I1oV_STSDYn1IFDPWt_1FKiwhDph83XaGc0o0/edit?usp=sharing"",""งบพรบ!BC58"")"),0)</f>
        <v>0</v>
      </c>
      <c r="G58" s="82">
        <f ca="1">IFERROR(__xludf.DUMMYFUNCTION("IMPORTRANGE(""https://docs.google.com/spreadsheets/d/1MeEWN-I1oV_STSDYn1IFDPWt_1FKiwhDph83XaGc0o0/edit?usp=sharing"",""งบพรบ!BD58"")"),0)</f>
        <v>0</v>
      </c>
      <c r="H58" s="82">
        <f ca="1">IFERROR(__xludf.DUMMYFUNCTION("IMPORTRANGE(""https://docs.google.com/spreadsheets/d/1MeEWN-I1oV_STSDYn1IFDPWt_1FKiwhDph83XaGc0o0/edit?usp=sharing"",""งบพรบ!BF58"")"),0)</f>
        <v>0</v>
      </c>
      <c r="I58" s="82">
        <f ca="1">IFERROR(__xludf.DUMMYFUNCTION("IMPORTRANGE(""https://docs.google.com/spreadsheets/d/1MeEWN-I1oV_STSDYn1IFDPWt_1FKiwhDph83XaGc0o0/edit?usp=sharing"",""งบพรบ!BG58"")"),0)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IFERROR(__xludf.DUMMYFUNCTION("IMPORTRANGE(""https://docs.google.com/spreadsheets/d/1MeEWN-I1oV_STSDYn1IFDPWt_1FKiwhDph83XaGc0o0/edit?usp=sharing"",""งบพรบ!BH58"")"),0)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IFERROR(__xludf.DUMMYFUNCTION("IMPORTRANGE(""https://docs.google.com/spreadsheets/d/1MeEWN-I1oV_STSDYn1IFDPWt_1FKiwhDph83XaGc0o0/edit?usp=sharing"",""งบพรบ!BI58"")"),0)</f>
        <v>0</v>
      </c>
      <c r="P58" s="84">
        <f t="shared" ca="1" si="14"/>
        <v>0</v>
      </c>
      <c r="Q58" s="84">
        <f t="shared" ca="1" si="8"/>
        <v>0</v>
      </c>
    </row>
    <row r="59" spans="1:17" ht="21" customHeight="1" x14ac:dyDescent="0.2">
      <c r="A59" s="78">
        <v>7</v>
      </c>
      <c r="B59" s="79" t="s">
        <v>81</v>
      </c>
      <c r="C59" s="80">
        <f t="shared" ca="1" si="0"/>
        <v>0</v>
      </c>
      <c r="D59" s="81">
        <f t="shared" ca="1" si="19"/>
        <v>0</v>
      </c>
      <c r="E59" s="82">
        <f ca="1">IFERROR(__xludf.DUMMYFUNCTION("IMPORTRANGE(""https://docs.google.com/spreadsheets/d/1MeEWN-I1oV_STSDYn1IFDPWt_1FKiwhDph83XaGc0o0/edit?usp=sharing"",""งบพรบ!BB59"")"),0)</f>
        <v>0</v>
      </c>
      <c r="F59" s="82">
        <f ca="1">IFERROR(__xludf.DUMMYFUNCTION("IMPORTRANGE(""https://docs.google.com/spreadsheets/d/1MeEWN-I1oV_STSDYn1IFDPWt_1FKiwhDph83XaGc0o0/edit?usp=sharing"",""งบพรบ!BC59"")"),0)</f>
        <v>0</v>
      </c>
      <c r="G59" s="82">
        <f ca="1">IFERROR(__xludf.DUMMYFUNCTION("IMPORTRANGE(""https://docs.google.com/spreadsheets/d/1MeEWN-I1oV_STSDYn1IFDPWt_1FKiwhDph83XaGc0o0/edit?usp=sharing"",""งบพรบ!BD59"")"),0)</f>
        <v>0</v>
      </c>
      <c r="H59" s="82">
        <f ca="1">IFERROR(__xludf.DUMMYFUNCTION("IMPORTRANGE(""https://docs.google.com/spreadsheets/d/1MeEWN-I1oV_STSDYn1IFDPWt_1FKiwhDph83XaGc0o0/edit?usp=sharing"",""งบพรบ!BF59"")"),0)</f>
        <v>0</v>
      </c>
      <c r="I59" s="82">
        <f ca="1">IFERROR(__xludf.DUMMYFUNCTION("IMPORTRANGE(""https://docs.google.com/spreadsheets/d/1MeEWN-I1oV_STSDYn1IFDPWt_1FKiwhDph83XaGc0o0/edit?usp=sharing"",""งบพรบ!BG59"")"),0)</f>
        <v>0</v>
      </c>
      <c r="J59" s="82">
        <f t="shared" ca="1" si="3"/>
        <v>0</v>
      </c>
      <c r="K59" s="83">
        <f t="shared" ca="1" si="4"/>
        <v>0</v>
      </c>
      <c r="L59" s="82">
        <f ca="1">IFERROR(__xludf.DUMMYFUNCTION("IMPORTRANGE(""https://docs.google.com/spreadsheets/d/1MeEWN-I1oV_STSDYn1IFDPWt_1FKiwhDph83XaGc0o0/edit?usp=sharing"",""งบพรบ!BH59"")"),0)</f>
        <v>0</v>
      </c>
      <c r="M59" s="84">
        <f t="shared" ca="1" si="5"/>
        <v>0</v>
      </c>
      <c r="N59" s="84">
        <f t="shared" ca="1" si="6"/>
        <v>0</v>
      </c>
      <c r="O59" s="85">
        <f ca="1">IFERROR(__xludf.DUMMYFUNCTION("IMPORTRANGE(""https://docs.google.com/spreadsheets/d/1MeEWN-I1oV_STSDYn1IFDPWt_1FKiwhDph83XaGc0o0/edit?usp=sharing"",""งบพรบ!BI59"")"),0)</f>
        <v>0</v>
      </c>
      <c r="P59" s="84">
        <f t="shared" ca="1" si="14"/>
        <v>0</v>
      </c>
      <c r="Q59" s="84">
        <f t="shared" ca="1" si="8"/>
        <v>0</v>
      </c>
    </row>
    <row r="60" spans="1:17" ht="21" customHeight="1" x14ac:dyDescent="0.2">
      <c r="A60" s="78">
        <v>8</v>
      </c>
      <c r="B60" s="79" t="s">
        <v>82</v>
      </c>
      <c r="C60" s="80">
        <f t="shared" ca="1" si="0"/>
        <v>0</v>
      </c>
      <c r="D60" s="81">
        <f t="shared" ca="1" si="19"/>
        <v>0</v>
      </c>
      <c r="E60" s="82">
        <f ca="1">IFERROR(__xludf.DUMMYFUNCTION("IMPORTRANGE(""https://docs.google.com/spreadsheets/d/1MeEWN-I1oV_STSDYn1IFDPWt_1FKiwhDph83XaGc0o0/edit?usp=sharing"",""งบพรบ!BB60"")"),0)</f>
        <v>0</v>
      </c>
      <c r="F60" s="82">
        <f ca="1">IFERROR(__xludf.DUMMYFUNCTION("IMPORTRANGE(""https://docs.google.com/spreadsheets/d/1MeEWN-I1oV_STSDYn1IFDPWt_1FKiwhDph83XaGc0o0/edit?usp=sharing"",""งบพรบ!BC60"")"),0)</f>
        <v>0</v>
      </c>
      <c r="G60" s="82">
        <f ca="1">IFERROR(__xludf.DUMMYFUNCTION("IMPORTRANGE(""https://docs.google.com/spreadsheets/d/1MeEWN-I1oV_STSDYn1IFDPWt_1FKiwhDph83XaGc0o0/edit?usp=sharing"",""งบพรบ!BD60"")"),0)</f>
        <v>0</v>
      </c>
      <c r="H60" s="82">
        <f ca="1">IFERROR(__xludf.DUMMYFUNCTION("IMPORTRANGE(""https://docs.google.com/spreadsheets/d/1MeEWN-I1oV_STSDYn1IFDPWt_1FKiwhDph83XaGc0o0/edit?usp=sharing"",""งบพรบ!BF60"")"),0)</f>
        <v>0</v>
      </c>
      <c r="I60" s="82">
        <f ca="1">IFERROR(__xludf.DUMMYFUNCTION("IMPORTRANGE(""https://docs.google.com/spreadsheets/d/1MeEWN-I1oV_STSDYn1IFDPWt_1FKiwhDph83XaGc0o0/edit?usp=sharing"",""งบพรบ!BG60"")"),0)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IFERROR(__xludf.DUMMYFUNCTION("IMPORTRANGE(""https://docs.google.com/spreadsheets/d/1MeEWN-I1oV_STSDYn1IFDPWt_1FKiwhDph83XaGc0o0/edit?usp=sharing"",""งบพรบ!BH60"")"),0)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IFERROR(__xludf.DUMMYFUNCTION("IMPORTRANGE(""https://docs.google.com/spreadsheets/d/1MeEWN-I1oV_STSDYn1IFDPWt_1FKiwhDph83XaGc0o0/edit?usp=sharing"",""งบพรบ!BI60"")"),0)</f>
        <v>0</v>
      </c>
      <c r="P60" s="84">
        <f t="shared" ca="1" si="14"/>
        <v>0</v>
      </c>
      <c r="Q60" s="84">
        <f t="shared" ca="1" si="8"/>
        <v>0</v>
      </c>
    </row>
    <row r="61" spans="1:17" ht="21" customHeight="1" x14ac:dyDescent="0.2">
      <c r="A61" s="78">
        <v>9</v>
      </c>
      <c r="B61" s="79" t="s">
        <v>83</v>
      </c>
      <c r="C61" s="80">
        <f t="shared" ca="1" si="0"/>
        <v>0</v>
      </c>
      <c r="D61" s="81">
        <f t="shared" ca="1" si="19"/>
        <v>0</v>
      </c>
      <c r="E61" s="82">
        <f ca="1">IFERROR(__xludf.DUMMYFUNCTION("IMPORTRANGE(""https://docs.google.com/spreadsheets/d/1MeEWN-I1oV_STSDYn1IFDPWt_1FKiwhDph83XaGc0o0/edit?usp=sharing"",""งบพรบ!BB61"")"),0)</f>
        <v>0</v>
      </c>
      <c r="F61" s="82">
        <f ca="1">IFERROR(__xludf.DUMMYFUNCTION("IMPORTRANGE(""https://docs.google.com/spreadsheets/d/1MeEWN-I1oV_STSDYn1IFDPWt_1FKiwhDph83XaGc0o0/edit?usp=sharing"",""งบพรบ!BC61"")"),0)</f>
        <v>0</v>
      </c>
      <c r="G61" s="82">
        <f ca="1">IFERROR(__xludf.DUMMYFUNCTION("IMPORTRANGE(""https://docs.google.com/spreadsheets/d/1MeEWN-I1oV_STSDYn1IFDPWt_1FKiwhDph83XaGc0o0/edit?usp=sharing"",""งบพรบ!BD61"")"),0)</f>
        <v>0</v>
      </c>
      <c r="H61" s="82">
        <f ca="1">IFERROR(__xludf.DUMMYFUNCTION("IMPORTRANGE(""https://docs.google.com/spreadsheets/d/1MeEWN-I1oV_STSDYn1IFDPWt_1FKiwhDph83XaGc0o0/edit?usp=sharing"",""งบพรบ!BF61"")"),0)</f>
        <v>0</v>
      </c>
      <c r="I61" s="82">
        <f ca="1">IFERROR(__xludf.DUMMYFUNCTION("IMPORTRANGE(""https://docs.google.com/spreadsheets/d/1MeEWN-I1oV_STSDYn1IFDPWt_1FKiwhDph83XaGc0o0/edit?usp=sharing"",""งบพรบ!BG61"")"),0)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IFERROR(__xludf.DUMMYFUNCTION("IMPORTRANGE(""https://docs.google.com/spreadsheets/d/1MeEWN-I1oV_STSDYn1IFDPWt_1FKiwhDph83XaGc0o0/edit?usp=sharing"",""งบพรบ!BH61"")"),0)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IFERROR(__xludf.DUMMYFUNCTION("IMPORTRANGE(""https://docs.google.com/spreadsheets/d/1MeEWN-I1oV_STSDYn1IFDPWt_1FKiwhDph83XaGc0o0/edit?usp=sharing"",""งบพรบ!BI61"")"),0)</f>
        <v>0</v>
      </c>
      <c r="P61" s="84">
        <f t="shared" ca="1" si="14"/>
        <v>0</v>
      </c>
      <c r="Q61" s="84">
        <f t="shared" ca="1" si="8"/>
        <v>0</v>
      </c>
    </row>
    <row r="62" spans="1:17" ht="21" customHeight="1" x14ac:dyDescent="0.2">
      <c r="A62" s="78">
        <v>10</v>
      </c>
      <c r="B62" s="79" t="s">
        <v>84</v>
      </c>
      <c r="C62" s="80">
        <f t="shared" ca="1" si="0"/>
        <v>0</v>
      </c>
      <c r="D62" s="81">
        <f t="shared" ca="1" si="19"/>
        <v>0</v>
      </c>
      <c r="E62" s="82">
        <f ca="1">IFERROR(__xludf.DUMMYFUNCTION("IMPORTRANGE(""https://docs.google.com/spreadsheets/d/1MeEWN-I1oV_STSDYn1IFDPWt_1FKiwhDph83XaGc0o0/edit?usp=sharing"",""งบพรบ!BB62"")"),0)</f>
        <v>0</v>
      </c>
      <c r="F62" s="82">
        <f ca="1">IFERROR(__xludf.DUMMYFUNCTION("IMPORTRANGE(""https://docs.google.com/spreadsheets/d/1MeEWN-I1oV_STSDYn1IFDPWt_1FKiwhDph83XaGc0o0/edit?usp=sharing"",""งบพรบ!BC62"")"),0)</f>
        <v>0</v>
      </c>
      <c r="G62" s="82">
        <f ca="1">IFERROR(__xludf.DUMMYFUNCTION("IMPORTRANGE(""https://docs.google.com/spreadsheets/d/1MeEWN-I1oV_STSDYn1IFDPWt_1FKiwhDph83XaGc0o0/edit?usp=sharing"",""งบพรบ!BD62"")"),0)</f>
        <v>0</v>
      </c>
      <c r="H62" s="82">
        <f ca="1">IFERROR(__xludf.DUMMYFUNCTION("IMPORTRANGE(""https://docs.google.com/spreadsheets/d/1MeEWN-I1oV_STSDYn1IFDPWt_1FKiwhDph83XaGc0o0/edit?usp=sharing"",""งบพรบ!BF62"")"),0)</f>
        <v>0</v>
      </c>
      <c r="I62" s="82">
        <f ca="1">IFERROR(__xludf.DUMMYFUNCTION("IMPORTRANGE(""https://docs.google.com/spreadsheets/d/1MeEWN-I1oV_STSDYn1IFDPWt_1FKiwhDph83XaGc0o0/edit?usp=sharing"",""งบพรบ!BG62"")"),0)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IFERROR(__xludf.DUMMYFUNCTION("IMPORTRANGE(""https://docs.google.com/spreadsheets/d/1MeEWN-I1oV_STSDYn1IFDPWt_1FKiwhDph83XaGc0o0/edit?usp=sharing"",""งบพรบ!BH62"")"),0)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IFERROR(__xludf.DUMMYFUNCTION("IMPORTRANGE(""https://docs.google.com/spreadsheets/d/1MeEWN-I1oV_STSDYn1IFDPWt_1FKiwhDph83XaGc0o0/edit?usp=sharing"",""งบพรบ!BI62"")"),0)</f>
        <v>0</v>
      </c>
      <c r="P62" s="84">
        <f t="shared" ca="1" si="14"/>
        <v>0</v>
      </c>
      <c r="Q62" s="84">
        <f t="shared" ca="1" si="8"/>
        <v>0</v>
      </c>
    </row>
    <row r="63" spans="1:17" ht="21" customHeight="1" x14ac:dyDescent="0.2">
      <c r="A63" s="78">
        <v>11</v>
      </c>
      <c r="B63" s="79" t="s">
        <v>85</v>
      </c>
      <c r="C63" s="80">
        <f t="shared" ca="1" si="0"/>
        <v>0</v>
      </c>
      <c r="D63" s="81">
        <f t="shared" ca="1" si="19"/>
        <v>0</v>
      </c>
      <c r="E63" s="82">
        <f ca="1">IFERROR(__xludf.DUMMYFUNCTION("IMPORTRANGE(""https://docs.google.com/spreadsheets/d/1MeEWN-I1oV_STSDYn1IFDPWt_1FKiwhDph83XaGc0o0/edit?usp=sharing"",""งบพรบ!BB63"")"),0)</f>
        <v>0</v>
      </c>
      <c r="F63" s="82">
        <f ca="1">IFERROR(__xludf.DUMMYFUNCTION("IMPORTRANGE(""https://docs.google.com/spreadsheets/d/1MeEWN-I1oV_STSDYn1IFDPWt_1FKiwhDph83XaGc0o0/edit?usp=sharing"",""งบพรบ!BC63"")"),0)</f>
        <v>0</v>
      </c>
      <c r="G63" s="82">
        <f ca="1">IFERROR(__xludf.DUMMYFUNCTION("IMPORTRANGE(""https://docs.google.com/spreadsheets/d/1MeEWN-I1oV_STSDYn1IFDPWt_1FKiwhDph83XaGc0o0/edit?usp=sharing"",""งบพรบ!BD63"")"),0)</f>
        <v>0</v>
      </c>
      <c r="H63" s="82">
        <f ca="1">IFERROR(__xludf.DUMMYFUNCTION("IMPORTRANGE(""https://docs.google.com/spreadsheets/d/1MeEWN-I1oV_STSDYn1IFDPWt_1FKiwhDph83XaGc0o0/edit?usp=sharing"",""งบพรบ!BF63"")"),0)</f>
        <v>0</v>
      </c>
      <c r="I63" s="82">
        <f ca="1">IFERROR(__xludf.DUMMYFUNCTION("IMPORTRANGE(""https://docs.google.com/spreadsheets/d/1MeEWN-I1oV_STSDYn1IFDPWt_1FKiwhDph83XaGc0o0/edit?usp=sharing"",""งบพรบ!BG63"")"),0)</f>
        <v>0</v>
      </c>
      <c r="J63" s="82">
        <f t="shared" ca="1" si="3"/>
        <v>0</v>
      </c>
      <c r="K63" s="83">
        <f t="shared" ca="1" si="4"/>
        <v>0</v>
      </c>
      <c r="L63" s="82">
        <f ca="1">IFERROR(__xludf.DUMMYFUNCTION("IMPORTRANGE(""https://docs.google.com/spreadsheets/d/1MeEWN-I1oV_STSDYn1IFDPWt_1FKiwhDph83XaGc0o0/edit?usp=sharing"",""งบพรบ!BH63"")"),0)</f>
        <v>0</v>
      </c>
      <c r="M63" s="84">
        <f t="shared" ca="1" si="5"/>
        <v>0</v>
      </c>
      <c r="N63" s="84">
        <f t="shared" ca="1" si="6"/>
        <v>0</v>
      </c>
      <c r="O63" s="85">
        <f ca="1">IFERROR(__xludf.DUMMYFUNCTION("IMPORTRANGE(""https://docs.google.com/spreadsheets/d/1MeEWN-I1oV_STSDYn1IFDPWt_1FKiwhDph83XaGc0o0/edit?usp=sharing"",""งบพรบ!BI63"")"),0)</f>
        <v>0</v>
      </c>
      <c r="P63" s="84">
        <f t="shared" ca="1" si="14"/>
        <v>0</v>
      </c>
      <c r="Q63" s="84">
        <f t="shared" ca="1" si="8"/>
        <v>0</v>
      </c>
    </row>
    <row r="64" spans="1:17" ht="21" customHeight="1" x14ac:dyDescent="0.2">
      <c r="A64" s="78">
        <v>12</v>
      </c>
      <c r="B64" s="79" t="s">
        <v>86</v>
      </c>
      <c r="C64" s="80">
        <f t="shared" ca="1" si="0"/>
        <v>0</v>
      </c>
      <c r="D64" s="81">
        <f t="shared" ca="1" si="19"/>
        <v>0</v>
      </c>
      <c r="E64" s="82">
        <f ca="1">IFERROR(__xludf.DUMMYFUNCTION("IMPORTRANGE(""https://docs.google.com/spreadsheets/d/1MeEWN-I1oV_STSDYn1IFDPWt_1FKiwhDph83XaGc0o0/edit?usp=sharing"",""งบพรบ!BB64"")"),0)</f>
        <v>0</v>
      </c>
      <c r="F64" s="82">
        <f ca="1">IFERROR(__xludf.DUMMYFUNCTION("IMPORTRANGE(""https://docs.google.com/spreadsheets/d/1MeEWN-I1oV_STSDYn1IFDPWt_1FKiwhDph83XaGc0o0/edit?usp=sharing"",""งบพรบ!BC64"")"),0)</f>
        <v>0</v>
      </c>
      <c r="G64" s="82">
        <f ca="1">IFERROR(__xludf.DUMMYFUNCTION("IMPORTRANGE(""https://docs.google.com/spreadsheets/d/1MeEWN-I1oV_STSDYn1IFDPWt_1FKiwhDph83XaGc0o0/edit?usp=sharing"",""งบพรบ!BD64"")"),0)</f>
        <v>0</v>
      </c>
      <c r="H64" s="82">
        <f ca="1">IFERROR(__xludf.DUMMYFUNCTION("IMPORTRANGE(""https://docs.google.com/spreadsheets/d/1MeEWN-I1oV_STSDYn1IFDPWt_1FKiwhDph83XaGc0o0/edit?usp=sharing"",""งบพรบ!BF64"")"),0)</f>
        <v>0</v>
      </c>
      <c r="I64" s="82">
        <f ca="1">IFERROR(__xludf.DUMMYFUNCTION("IMPORTRANGE(""https://docs.google.com/spreadsheets/d/1MeEWN-I1oV_STSDYn1IFDPWt_1FKiwhDph83XaGc0o0/edit?usp=sharing"",""งบพรบ!BG64"")"),0)</f>
        <v>0</v>
      </c>
      <c r="J64" s="82">
        <f t="shared" ca="1" si="3"/>
        <v>0</v>
      </c>
      <c r="K64" s="83">
        <f t="shared" ca="1" si="4"/>
        <v>0</v>
      </c>
      <c r="L64" s="82">
        <f ca="1">IFERROR(__xludf.DUMMYFUNCTION("IMPORTRANGE(""https://docs.google.com/spreadsheets/d/1MeEWN-I1oV_STSDYn1IFDPWt_1FKiwhDph83XaGc0o0/edit?usp=sharing"",""งบพรบ!BH64"")"),0)</f>
        <v>0</v>
      </c>
      <c r="M64" s="84">
        <f t="shared" ca="1" si="5"/>
        <v>0</v>
      </c>
      <c r="N64" s="84">
        <f t="shared" ca="1" si="6"/>
        <v>0</v>
      </c>
      <c r="O64" s="85">
        <f ca="1">IFERROR(__xludf.DUMMYFUNCTION("IMPORTRANGE(""https://docs.google.com/spreadsheets/d/1MeEWN-I1oV_STSDYn1IFDPWt_1FKiwhDph83XaGc0o0/edit?usp=sharing"",""งบพรบ!BI64"")"),0)</f>
        <v>0</v>
      </c>
      <c r="P64" s="84">
        <f t="shared" ca="1" si="14"/>
        <v>0</v>
      </c>
      <c r="Q64" s="84">
        <f t="shared" ca="1" si="8"/>
        <v>0</v>
      </c>
    </row>
    <row r="65" spans="1:17" ht="21" customHeight="1" x14ac:dyDescent="0.2">
      <c r="A65" s="78">
        <v>13</v>
      </c>
      <c r="B65" s="79" t="s">
        <v>87</v>
      </c>
      <c r="C65" s="80">
        <f t="shared" ca="1" si="0"/>
        <v>0</v>
      </c>
      <c r="D65" s="81">
        <f t="shared" ca="1" si="19"/>
        <v>0</v>
      </c>
      <c r="E65" s="82">
        <f ca="1">IFERROR(__xludf.DUMMYFUNCTION("IMPORTRANGE(""https://docs.google.com/spreadsheets/d/1MeEWN-I1oV_STSDYn1IFDPWt_1FKiwhDph83XaGc0o0/edit?usp=sharing"",""งบพรบ!BB65"")"),0)</f>
        <v>0</v>
      </c>
      <c r="F65" s="82">
        <f ca="1">IFERROR(__xludf.DUMMYFUNCTION("IMPORTRANGE(""https://docs.google.com/spreadsheets/d/1MeEWN-I1oV_STSDYn1IFDPWt_1FKiwhDph83XaGc0o0/edit?usp=sharing"",""งบพรบ!BC65"")"),0)</f>
        <v>0</v>
      </c>
      <c r="G65" s="82">
        <f ca="1">IFERROR(__xludf.DUMMYFUNCTION("IMPORTRANGE(""https://docs.google.com/spreadsheets/d/1MeEWN-I1oV_STSDYn1IFDPWt_1FKiwhDph83XaGc0o0/edit?usp=sharing"",""งบพรบ!BD65"")"),0)</f>
        <v>0</v>
      </c>
      <c r="H65" s="82">
        <f ca="1">IFERROR(__xludf.DUMMYFUNCTION("IMPORTRANGE(""https://docs.google.com/spreadsheets/d/1MeEWN-I1oV_STSDYn1IFDPWt_1FKiwhDph83XaGc0o0/edit?usp=sharing"",""งบพรบ!BF65"")"),0)</f>
        <v>0</v>
      </c>
      <c r="I65" s="82">
        <f ca="1">IFERROR(__xludf.DUMMYFUNCTION("IMPORTRANGE(""https://docs.google.com/spreadsheets/d/1MeEWN-I1oV_STSDYn1IFDPWt_1FKiwhDph83XaGc0o0/edit?usp=sharing"",""งบพรบ!BG65"")"),0)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IFERROR(__xludf.DUMMYFUNCTION("IMPORTRANGE(""https://docs.google.com/spreadsheets/d/1MeEWN-I1oV_STSDYn1IFDPWt_1FKiwhDph83XaGc0o0/edit?usp=sharing"",""งบพรบ!BH65"")"),0)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IFERROR(__xludf.DUMMYFUNCTION("IMPORTRANGE(""https://docs.google.com/spreadsheets/d/1MeEWN-I1oV_STSDYn1IFDPWt_1FKiwhDph83XaGc0o0/edit?usp=sharing"",""งบพรบ!BI65"")"),0)</f>
        <v>0</v>
      </c>
      <c r="P65" s="84">
        <f t="shared" ca="1" si="14"/>
        <v>0</v>
      </c>
      <c r="Q65" s="84">
        <f t="shared" ca="1" si="8"/>
        <v>0</v>
      </c>
    </row>
    <row r="66" spans="1:17" ht="21" customHeight="1" x14ac:dyDescent="0.2">
      <c r="A66" s="78">
        <v>14</v>
      </c>
      <c r="B66" s="79" t="s">
        <v>88</v>
      </c>
      <c r="C66" s="80">
        <f t="shared" ca="1" si="0"/>
        <v>0</v>
      </c>
      <c r="D66" s="81">
        <f t="shared" ca="1" si="19"/>
        <v>0</v>
      </c>
      <c r="E66" s="82">
        <f ca="1">IFERROR(__xludf.DUMMYFUNCTION("IMPORTRANGE(""https://docs.google.com/spreadsheets/d/1MeEWN-I1oV_STSDYn1IFDPWt_1FKiwhDph83XaGc0o0/edit?usp=sharing"",""งบพรบ!BB66"")"),0)</f>
        <v>0</v>
      </c>
      <c r="F66" s="82">
        <f ca="1">IFERROR(__xludf.DUMMYFUNCTION("IMPORTRANGE(""https://docs.google.com/spreadsheets/d/1MeEWN-I1oV_STSDYn1IFDPWt_1FKiwhDph83XaGc0o0/edit?usp=sharing"",""งบพรบ!BC66"")"),0)</f>
        <v>0</v>
      </c>
      <c r="G66" s="82">
        <f ca="1">IFERROR(__xludf.DUMMYFUNCTION("IMPORTRANGE(""https://docs.google.com/spreadsheets/d/1MeEWN-I1oV_STSDYn1IFDPWt_1FKiwhDph83XaGc0o0/edit?usp=sharing"",""งบพรบ!BD66"")"),0)</f>
        <v>0</v>
      </c>
      <c r="H66" s="82">
        <f ca="1">IFERROR(__xludf.DUMMYFUNCTION("IMPORTRANGE(""https://docs.google.com/spreadsheets/d/1MeEWN-I1oV_STSDYn1IFDPWt_1FKiwhDph83XaGc0o0/edit?usp=sharing"",""งบพรบ!BF66"")"),0)</f>
        <v>0</v>
      </c>
      <c r="I66" s="82">
        <f ca="1">IFERROR(__xludf.DUMMYFUNCTION("IMPORTRANGE(""https://docs.google.com/spreadsheets/d/1MeEWN-I1oV_STSDYn1IFDPWt_1FKiwhDph83XaGc0o0/edit?usp=sharing"",""งบพรบ!BG66"")"),0)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IFERROR(__xludf.DUMMYFUNCTION("IMPORTRANGE(""https://docs.google.com/spreadsheets/d/1MeEWN-I1oV_STSDYn1IFDPWt_1FKiwhDph83XaGc0o0/edit?usp=sharing"",""งบพรบ!BH66"")"),0)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IFERROR(__xludf.DUMMYFUNCTION("IMPORTRANGE(""https://docs.google.com/spreadsheets/d/1MeEWN-I1oV_STSDYn1IFDPWt_1FKiwhDph83XaGc0o0/edit?usp=sharing"",""งบพรบ!BI66"")"),0)</f>
        <v>0</v>
      </c>
      <c r="P66" s="84">
        <f t="shared" ca="1" si="14"/>
        <v>0</v>
      </c>
      <c r="Q66" s="84">
        <f t="shared" ca="1" si="8"/>
        <v>0</v>
      </c>
    </row>
    <row r="67" spans="1:17" ht="21" customHeight="1" x14ac:dyDescent="0.2">
      <c r="A67" s="78">
        <v>15</v>
      </c>
      <c r="B67" s="79" t="s">
        <v>89</v>
      </c>
      <c r="C67" s="80">
        <f t="shared" ca="1" si="0"/>
        <v>0</v>
      </c>
      <c r="D67" s="81">
        <f t="shared" ca="1" si="19"/>
        <v>0</v>
      </c>
      <c r="E67" s="82">
        <f ca="1">IFERROR(__xludf.DUMMYFUNCTION("IMPORTRANGE(""https://docs.google.com/spreadsheets/d/1MeEWN-I1oV_STSDYn1IFDPWt_1FKiwhDph83XaGc0o0/edit?usp=sharing"",""งบพรบ!BB67"")"),0)</f>
        <v>0</v>
      </c>
      <c r="F67" s="82">
        <f ca="1">IFERROR(__xludf.DUMMYFUNCTION("IMPORTRANGE(""https://docs.google.com/spreadsheets/d/1MeEWN-I1oV_STSDYn1IFDPWt_1FKiwhDph83XaGc0o0/edit?usp=sharing"",""งบพรบ!BC67"")"),0)</f>
        <v>0</v>
      </c>
      <c r="G67" s="82">
        <f ca="1">IFERROR(__xludf.DUMMYFUNCTION("IMPORTRANGE(""https://docs.google.com/spreadsheets/d/1MeEWN-I1oV_STSDYn1IFDPWt_1FKiwhDph83XaGc0o0/edit?usp=sharing"",""งบพรบ!BD67"")"),0)</f>
        <v>0</v>
      </c>
      <c r="H67" s="82">
        <f ca="1">IFERROR(__xludf.DUMMYFUNCTION("IMPORTRANGE(""https://docs.google.com/spreadsheets/d/1MeEWN-I1oV_STSDYn1IFDPWt_1FKiwhDph83XaGc0o0/edit?usp=sharing"",""งบพรบ!BF67"")"),0)</f>
        <v>0</v>
      </c>
      <c r="I67" s="82">
        <f ca="1">IFERROR(__xludf.DUMMYFUNCTION("IMPORTRANGE(""https://docs.google.com/spreadsheets/d/1MeEWN-I1oV_STSDYn1IFDPWt_1FKiwhDph83XaGc0o0/edit?usp=sharing"",""งบพรบ!BG67"")"),0)</f>
        <v>0</v>
      </c>
      <c r="J67" s="82">
        <f t="shared" ca="1" si="3"/>
        <v>0</v>
      </c>
      <c r="K67" s="83">
        <f t="shared" ca="1" si="4"/>
        <v>0</v>
      </c>
      <c r="L67" s="82">
        <f ca="1">IFERROR(__xludf.DUMMYFUNCTION("IMPORTRANGE(""https://docs.google.com/spreadsheets/d/1MeEWN-I1oV_STSDYn1IFDPWt_1FKiwhDph83XaGc0o0/edit?usp=sharing"",""งบพรบ!BH67"")"),0)</f>
        <v>0</v>
      </c>
      <c r="M67" s="84">
        <f t="shared" ca="1" si="5"/>
        <v>0</v>
      </c>
      <c r="N67" s="84">
        <f t="shared" ca="1" si="6"/>
        <v>0</v>
      </c>
      <c r="O67" s="85">
        <f ca="1">IFERROR(__xludf.DUMMYFUNCTION("IMPORTRANGE(""https://docs.google.com/spreadsheets/d/1MeEWN-I1oV_STSDYn1IFDPWt_1FKiwhDph83XaGc0o0/edit?usp=sharing"",""งบพรบ!BI67"")"),0)</f>
        <v>0</v>
      </c>
      <c r="P67" s="84">
        <f t="shared" ca="1" si="14"/>
        <v>0</v>
      </c>
      <c r="Q67" s="84">
        <f t="shared" ca="1" si="8"/>
        <v>0</v>
      </c>
    </row>
    <row r="68" spans="1:17" ht="24" customHeight="1" x14ac:dyDescent="0.2">
      <c r="A68" s="78">
        <v>16</v>
      </c>
      <c r="B68" s="79" t="s">
        <v>90</v>
      </c>
      <c r="C68" s="80">
        <f t="shared" ca="1" si="0"/>
        <v>0</v>
      </c>
      <c r="D68" s="81">
        <f t="shared" ca="1" si="19"/>
        <v>0</v>
      </c>
      <c r="E68" s="82">
        <f ca="1">IFERROR(__xludf.DUMMYFUNCTION("IMPORTRANGE(""https://docs.google.com/spreadsheets/d/1MeEWN-I1oV_STSDYn1IFDPWt_1FKiwhDph83XaGc0o0/edit?usp=sharing"",""งบพรบ!BB68"")"),0)</f>
        <v>0</v>
      </c>
      <c r="F68" s="82">
        <f ca="1">IFERROR(__xludf.DUMMYFUNCTION("IMPORTRANGE(""https://docs.google.com/spreadsheets/d/1MeEWN-I1oV_STSDYn1IFDPWt_1FKiwhDph83XaGc0o0/edit?usp=sharing"",""งบพรบ!BC68"")"),0)</f>
        <v>0</v>
      </c>
      <c r="G68" s="82">
        <f ca="1">IFERROR(__xludf.DUMMYFUNCTION("IMPORTRANGE(""https://docs.google.com/spreadsheets/d/1MeEWN-I1oV_STSDYn1IFDPWt_1FKiwhDph83XaGc0o0/edit?usp=sharing"",""งบพรบ!BD68"")"),0)</f>
        <v>0</v>
      </c>
      <c r="H68" s="82">
        <f ca="1">IFERROR(__xludf.DUMMYFUNCTION("IMPORTRANGE(""https://docs.google.com/spreadsheets/d/1MeEWN-I1oV_STSDYn1IFDPWt_1FKiwhDph83XaGc0o0/edit?usp=sharing"",""งบพรบ!BF68"")"),0)</f>
        <v>0</v>
      </c>
      <c r="I68" s="82">
        <f ca="1">IFERROR(__xludf.DUMMYFUNCTION("IMPORTRANGE(""https://docs.google.com/spreadsheets/d/1MeEWN-I1oV_STSDYn1IFDPWt_1FKiwhDph83XaGc0o0/edit?usp=sharing"",""งบพรบ!BG68"")"),0)</f>
        <v>0</v>
      </c>
      <c r="J68" s="82">
        <f t="shared" ca="1" si="3"/>
        <v>0</v>
      </c>
      <c r="K68" s="83">
        <f t="shared" ca="1" si="4"/>
        <v>0</v>
      </c>
      <c r="L68" s="82">
        <f ca="1">IFERROR(__xludf.DUMMYFUNCTION("IMPORTRANGE(""https://docs.google.com/spreadsheets/d/1MeEWN-I1oV_STSDYn1IFDPWt_1FKiwhDph83XaGc0o0/edit?usp=sharing"",""งบพรบ!BH68"")"),0)</f>
        <v>0</v>
      </c>
      <c r="M68" s="84">
        <f t="shared" ca="1" si="5"/>
        <v>0</v>
      </c>
      <c r="N68" s="84">
        <f t="shared" ca="1" si="6"/>
        <v>0</v>
      </c>
      <c r="O68" s="85">
        <f ca="1">IFERROR(__xludf.DUMMYFUNCTION("IMPORTRANGE(""https://docs.google.com/spreadsheets/d/1MeEWN-I1oV_STSDYn1IFDPWt_1FKiwhDph83XaGc0o0/edit?usp=sharing"",""งบพรบ!BI68"")"),0)</f>
        <v>0</v>
      </c>
      <c r="P68" s="84">
        <f t="shared" ca="1" si="14"/>
        <v>0</v>
      </c>
      <c r="Q68" s="84">
        <f t="shared" ca="1" si="8"/>
        <v>0</v>
      </c>
    </row>
    <row r="69" spans="1:17" ht="21" customHeight="1" x14ac:dyDescent="0.2">
      <c r="A69" s="78">
        <v>17</v>
      </c>
      <c r="B69" s="79" t="s">
        <v>91</v>
      </c>
      <c r="C69" s="80">
        <f t="shared" ca="1" si="0"/>
        <v>26800</v>
      </c>
      <c r="D69" s="81">
        <f t="shared" ca="1" si="19"/>
        <v>0</v>
      </c>
      <c r="E69" s="82">
        <f ca="1">IFERROR(__xludf.DUMMYFUNCTION("IMPORTRANGE(""https://docs.google.com/spreadsheets/d/1MeEWN-I1oV_STSDYn1IFDPWt_1FKiwhDph83XaGc0o0/edit?usp=sharing"",""งบพรบ!BB69"")"),0)</f>
        <v>0</v>
      </c>
      <c r="F69" s="82">
        <f ca="1">IFERROR(__xludf.DUMMYFUNCTION("IMPORTRANGE(""https://docs.google.com/spreadsheets/d/1MeEWN-I1oV_STSDYn1IFDPWt_1FKiwhDph83XaGc0o0/edit?usp=sharing"",""งบพรบ!BC69"")"),0)</f>
        <v>0</v>
      </c>
      <c r="G69" s="82">
        <f ca="1">IFERROR(__xludf.DUMMYFUNCTION("IMPORTRANGE(""https://docs.google.com/spreadsheets/d/1MeEWN-I1oV_STSDYn1IFDPWt_1FKiwhDph83XaGc0o0/edit?usp=sharing"",""งบพรบ!BD69"")"),26800)</f>
        <v>26800</v>
      </c>
      <c r="H69" s="82">
        <f ca="1">IFERROR(__xludf.DUMMYFUNCTION("IMPORTRANGE(""https://docs.google.com/spreadsheets/d/1MeEWN-I1oV_STSDYn1IFDPWt_1FKiwhDph83XaGc0o0/edit?usp=sharing"",""งบพรบ!BF69"")"),0)</f>
        <v>0</v>
      </c>
      <c r="I69" s="82">
        <f ca="1">IFERROR(__xludf.DUMMYFUNCTION("IMPORTRANGE(""https://docs.google.com/spreadsheets/d/1MeEWN-I1oV_STSDYn1IFDPWt_1FKiwhDph83XaGc0o0/edit?usp=sharing"",""งบพรบ!BG69"")"),26800)</f>
        <v>26800</v>
      </c>
      <c r="J69" s="82">
        <f t="shared" ca="1" si="3"/>
        <v>26800</v>
      </c>
      <c r="K69" s="83">
        <f t="shared" ca="1" si="4"/>
        <v>100</v>
      </c>
      <c r="L69" s="82">
        <f ca="1">IFERROR(__xludf.DUMMYFUNCTION("IMPORTRANGE(""https://docs.google.com/spreadsheets/d/1MeEWN-I1oV_STSDYn1IFDPWt_1FKiwhDph83XaGc0o0/edit?usp=sharing"",""งบพรบ!BH69"")"),0)</f>
        <v>0</v>
      </c>
      <c r="M69" s="84">
        <f t="shared" ca="1" si="5"/>
        <v>0</v>
      </c>
      <c r="N69" s="84">
        <f t="shared" ca="1" si="6"/>
        <v>0</v>
      </c>
      <c r="O69" s="85">
        <f ca="1">IFERROR(__xludf.DUMMYFUNCTION("IMPORTRANGE(""https://docs.google.com/spreadsheets/d/1MeEWN-I1oV_STSDYn1IFDPWt_1FKiwhDph83XaGc0o0/edit?usp=sharing"",""งบพรบ!BI69"")"),26800)</f>
        <v>26800</v>
      </c>
      <c r="P69" s="84">
        <f t="shared" ca="1" si="14"/>
        <v>100</v>
      </c>
      <c r="Q69" s="84">
        <f t="shared" ca="1" si="8"/>
        <v>100</v>
      </c>
    </row>
    <row r="70" spans="1:17" ht="21" customHeight="1" x14ac:dyDescent="0.2">
      <c r="A70" s="78">
        <v>18</v>
      </c>
      <c r="B70" s="79" t="s">
        <v>92</v>
      </c>
      <c r="C70" s="80">
        <f t="shared" ca="1" si="0"/>
        <v>0</v>
      </c>
      <c r="D70" s="81">
        <f t="shared" ca="1" si="19"/>
        <v>0</v>
      </c>
      <c r="E70" s="82">
        <f ca="1">IFERROR(__xludf.DUMMYFUNCTION("IMPORTRANGE(""https://docs.google.com/spreadsheets/d/1MeEWN-I1oV_STSDYn1IFDPWt_1FKiwhDph83XaGc0o0/edit?usp=sharing"",""งบพรบ!BB70"")"),0)</f>
        <v>0</v>
      </c>
      <c r="F70" s="82">
        <f ca="1">IFERROR(__xludf.DUMMYFUNCTION("IMPORTRANGE(""https://docs.google.com/spreadsheets/d/1MeEWN-I1oV_STSDYn1IFDPWt_1FKiwhDph83XaGc0o0/edit?usp=sharing"",""งบพรบ!BC70"")"),0)</f>
        <v>0</v>
      </c>
      <c r="G70" s="82">
        <f ca="1">IFERROR(__xludf.DUMMYFUNCTION("IMPORTRANGE(""https://docs.google.com/spreadsheets/d/1MeEWN-I1oV_STSDYn1IFDPWt_1FKiwhDph83XaGc0o0/edit?usp=sharing"",""งบพรบ!BD70"")"),0)</f>
        <v>0</v>
      </c>
      <c r="H70" s="82">
        <f ca="1">IFERROR(__xludf.DUMMYFUNCTION("IMPORTRANGE(""https://docs.google.com/spreadsheets/d/1MeEWN-I1oV_STSDYn1IFDPWt_1FKiwhDph83XaGc0o0/edit?usp=sharing"",""งบพรบ!BF70"")"),0)</f>
        <v>0</v>
      </c>
      <c r="I70" s="82">
        <f ca="1">IFERROR(__xludf.DUMMYFUNCTION("IMPORTRANGE(""https://docs.google.com/spreadsheets/d/1MeEWN-I1oV_STSDYn1IFDPWt_1FKiwhDph83XaGc0o0/edit?usp=sharing"",""งบพรบ!BG70"")"),0)</f>
        <v>0</v>
      </c>
      <c r="J70" s="82">
        <f t="shared" ca="1" si="3"/>
        <v>0</v>
      </c>
      <c r="K70" s="83">
        <f t="shared" ca="1" si="4"/>
        <v>0</v>
      </c>
      <c r="L70" s="82">
        <f ca="1">IFERROR(__xludf.DUMMYFUNCTION("IMPORTRANGE(""https://docs.google.com/spreadsheets/d/1MeEWN-I1oV_STSDYn1IFDPWt_1FKiwhDph83XaGc0o0/edit?usp=sharing"",""งบพรบ!BH70"")"),0)</f>
        <v>0</v>
      </c>
      <c r="M70" s="84">
        <f t="shared" ca="1" si="5"/>
        <v>0</v>
      </c>
      <c r="N70" s="84">
        <f t="shared" ca="1" si="6"/>
        <v>0</v>
      </c>
      <c r="O70" s="85">
        <f ca="1">IFERROR(__xludf.DUMMYFUNCTION("IMPORTRANGE(""https://docs.google.com/spreadsheets/d/1MeEWN-I1oV_STSDYn1IFDPWt_1FKiwhDph83XaGc0o0/edit?usp=sharing"",""งบพรบ!BI70"")"),0)</f>
        <v>0</v>
      </c>
      <c r="P70" s="84">
        <f t="shared" ca="1" si="14"/>
        <v>0</v>
      </c>
      <c r="Q70" s="84">
        <f t="shared" ca="1" si="8"/>
        <v>0</v>
      </c>
    </row>
    <row r="71" spans="1:17" ht="21" customHeight="1" x14ac:dyDescent="0.2">
      <c r="A71" s="78">
        <v>19</v>
      </c>
      <c r="B71" s="79" t="s">
        <v>93</v>
      </c>
      <c r="C71" s="80">
        <f t="shared" ca="1" si="0"/>
        <v>0</v>
      </c>
      <c r="D71" s="81">
        <f t="shared" ca="1" si="19"/>
        <v>0</v>
      </c>
      <c r="E71" s="82">
        <f ca="1">IFERROR(__xludf.DUMMYFUNCTION("IMPORTRANGE(""https://docs.google.com/spreadsheets/d/1MeEWN-I1oV_STSDYn1IFDPWt_1FKiwhDph83XaGc0o0/edit?usp=sharing"",""งบพรบ!BB71"")"),0)</f>
        <v>0</v>
      </c>
      <c r="F71" s="82">
        <f ca="1">IFERROR(__xludf.DUMMYFUNCTION("IMPORTRANGE(""https://docs.google.com/spreadsheets/d/1MeEWN-I1oV_STSDYn1IFDPWt_1FKiwhDph83XaGc0o0/edit?usp=sharing"",""งบพรบ!BC71"")"),0)</f>
        <v>0</v>
      </c>
      <c r="G71" s="82">
        <f ca="1">IFERROR(__xludf.DUMMYFUNCTION("IMPORTRANGE(""https://docs.google.com/spreadsheets/d/1MeEWN-I1oV_STSDYn1IFDPWt_1FKiwhDph83XaGc0o0/edit?usp=sharing"",""งบพรบ!BD71"")"),0)</f>
        <v>0</v>
      </c>
      <c r="H71" s="82">
        <f ca="1">IFERROR(__xludf.DUMMYFUNCTION("IMPORTRANGE(""https://docs.google.com/spreadsheets/d/1MeEWN-I1oV_STSDYn1IFDPWt_1FKiwhDph83XaGc0o0/edit?usp=sharing"",""งบพรบ!BF71"")"),0)</f>
        <v>0</v>
      </c>
      <c r="I71" s="82">
        <f ca="1">IFERROR(__xludf.DUMMYFUNCTION("IMPORTRANGE(""https://docs.google.com/spreadsheets/d/1MeEWN-I1oV_STSDYn1IFDPWt_1FKiwhDph83XaGc0o0/edit?usp=sharing"",""งบพรบ!BG71"")"),0)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IFERROR(__xludf.DUMMYFUNCTION("IMPORTRANGE(""https://docs.google.com/spreadsheets/d/1MeEWN-I1oV_STSDYn1IFDPWt_1FKiwhDph83XaGc0o0/edit?usp=sharing"",""งบพรบ!BH71"")"),0)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IFERROR(__xludf.DUMMYFUNCTION("IMPORTRANGE(""https://docs.google.com/spreadsheets/d/1MeEWN-I1oV_STSDYn1IFDPWt_1FKiwhDph83XaGc0o0/edit?usp=sharing"",""งบพรบ!BI71"")"),0)</f>
        <v>0</v>
      </c>
      <c r="P71" s="84">
        <f t="shared" ca="1" si="14"/>
        <v>0</v>
      </c>
      <c r="Q71" s="84">
        <f t="shared" ca="1" si="8"/>
        <v>0</v>
      </c>
    </row>
    <row r="72" spans="1:17" ht="21" customHeight="1" x14ac:dyDescent="0.2">
      <c r="A72" s="78">
        <v>20</v>
      </c>
      <c r="B72" s="79" t="s">
        <v>94</v>
      </c>
      <c r="C72" s="80">
        <f t="shared" ca="1" si="0"/>
        <v>0</v>
      </c>
      <c r="D72" s="81">
        <f t="shared" ca="1" si="19"/>
        <v>0</v>
      </c>
      <c r="E72" s="82">
        <f ca="1">IFERROR(__xludf.DUMMYFUNCTION("IMPORTRANGE(""https://docs.google.com/spreadsheets/d/1MeEWN-I1oV_STSDYn1IFDPWt_1FKiwhDph83XaGc0o0/edit?usp=sharing"",""งบพรบ!BB72"")"),0)</f>
        <v>0</v>
      </c>
      <c r="F72" s="82">
        <f ca="1">IFERROR(__xludf.DUMMYFUNCTION("IMPORTRANGE(""https://docs.google.com/spreadsheets/d/1MeEWN-I1oV_STSDYn1IFDPWt_1FKiwhDph83XaGc0o0/edit?usp=sharing"",""งบพรบ!BC72"")"),0)</f>
        <v>0</v>
      </c>
      <c r="G72" s="82">
        <f ca="1">IFERROR(__xludf.DUMMYFUNCTION("IMPORTRANGE(""https://docs.google.com/spreadsheets/d/1MeEWN-I1oV_STSDYn1IFDPWt_1FKiwhDph83XaGc0o0/edit?usp=sharing"",""งบพรบ!BD72"")"),0)</f>
        <v>0</v>
      </c>
      <c r="H72" s="82">
        <f ca="1">IFERROR(__xludf.DUMMYFUNCTION("IMPORTRANGE(""https://docs.google.com/spreadsheets/d/1MeEWN-I1oV_STSDYn1IFDPWt_1FKiwhDph83XaGc0o0/edit?usp=sharing"",""งบพรบ!BF72"")"),0)</f>
        <v>0</v>
      </c>
      <c r="I72" s="82">
        <f ca="1">IFERROR(__xludf.DUMMYFUNCTION("IMPORTRANGE(""https://docs.google.com/spreadsheets/d/1MeEWN-I1oV_STSDYn1IFDPWt_1FKiwhDph83XaGc0o0/edit?usp=sharing"",""งบพรบ!BG72"")"),0)</f>
        <v>0</v>
      </c>
      <c r="J72" s="82">
        <f t="shared" ca="1" si="3"/>
        <v>0</v>
      </c>
      <c r="K72" s="83">
        <f t="shared" ca="1" si="4"/>
        <v>0</v>
      </c>
      <c r="L72" s="82">
        <f ca="1">IFERROR(__xludf.DUMMYFUNCTION("IMPORTRANGE(""https://docs.google.com/spreadsheets/d/1MeEWN-I1oV_STSDYn1IFDPWt_1FKiwhDph83XaGc0o0/edit?usp=sharing"",""งบพรบ!BH72"")"),0)</f>
        <v>0</v>
      </c>
      <c r="M72" s="84">
        <f t="shared" ca="1" si="5"/>
        <v>0</v>
      </c>
      <c r="N72" s="84">
        <f t="shared" ca="1" si="6"/>
        <v>0</v>
      </c>
      <c r="O72" s="85">
        <f ca="1">IFERROR(__xludf.DUMMYFUNCTION("IMPORTRANGE(""https://docs.google.com/spreadsheets/d/1MeEWN-I1oV_STSDYn1IFDPWt_1FKiwhDph83XaGc0o0/edit?usp=sharing"",""งบพรบ!BI72"")"),0)</f>
        <v>0</v>
      </c>
      <c r="P72" s="84">
        <f t="shared" ca="1" si="14"/>
        <v>0</v>
      </c>
      <c r="Q72" s="84">
        <f t="shared" ca="1" si="8"/>
        <v>0</v>
      </c>
    </row>
    <row r="73" spans="1:17" ht="21" customHeight="1" x14ac:dyDescent="0.2">
      <c r="A73" s="89">
        <v>21</v>
      </c>
      <c r="B73" s="90" t="s">
        <v>95</v>
      </c>
      <c r="C73" s="91">
        <f t="shared" ca="1" si="0"/>
        <v>0</v>
      </c>
      <c r="D73" s="92">
        <f t="shared" ca="1" si="19"/>
        <v>0</v>
      </c>
      <c r="E73" s="93">
        <f ca="1">IFERROR(__xludf.DUMMYFUNCTION("IMPORTRANGE(""https://docs.google.com/spreadsheets/d/1MeEWN-I1oV_STSDYn1IFDPWt_1FKiwhDph83XaGc0o0/edit?usp=sharing"",""งบพรบ!BB73"")"),0)</f>
        <v>0</v>
      </c>
      <c r="F73" s="93">
        <f ca="1">IFERROR(__xludf.DUMMYFUNCTION("IMPORTRANGE(""https://docs.google.com/spreadsheets/d/1MeEWN-I1oV_STSDYn1IFDPWt_1FKiwhDph83XaGc0o0/edit?usp=sharing"",""งบพรบ!BC73"")"),0)</f>
        <v>0</v>
      </c>
      <c r="G73" s="93">
        <f ca="1">IFERROR(__xludf.DUMMYFUNCTION("IMPORTRANGE(""https://docs.google.com/spreadsheets/d/1MeEWN-I1oV_STSDYn1IFDPWt_1FKiwhDph83XaGc0o0/edit?usp=sharing"",""งบพรบ!BD73"")"),0)</f>
        <v>0</v>
      </c>
      <c r="H73" s="93">
        <f ca="1">IFERROR(__xludf.DUMMYFUNCTION("IMPORTRANGE(""https://docs.google.com/spreadsheets/d/1MeEWN-I1oV_STSDYn1IFDPWt_1FKiwhDph83XaGc0o0/edit?usp=sharing"",""งบพรบ!BF73"")"),0)</f>
        <v>0</v>
      </c>
      <c r="I73" s="93">
        <f ca="1">IFERROR(__xludf.DUMMYFUNCTION("IMPORTRANGE(""https://docs.google.com/spreadsheets/d/1MeEWN-I1oV_STSDYn1IFDPWt_1FKiwhDph83XaGc0o0/edit?usp=sharing"",""งบพรบ!BG73"")"),0)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IFERROR(__xludf.DUMMYFUNCTION("IMPORTRANGE(""https://docs.google.com/spreadsheets/d/1MeEWN-I1oV_STSDYn1IFDPWt_1FKiwhDph83XaGc0o0/edit?usp=sharing"",""งบพรบ!BH73"")"),0)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IFERROR(__xludf.DUMMYFUNCTION("IMPORTRANGE(""https://docs.google.com/spreadsheets/d/1MeEWN-I1oV_STSDYn1IFDPWt_1FKiwhDph83XaGc0o0/edit?usp=sharing"",""งบพรบ!BI73"")"),0)</f>
        <v>0</v>
      </c>
      <c r="P73" s="95">
        <f t="shared" ca="1" si="14"/>
        <v>0</v>
      </c>
      <c r="Q73" s="95">
        <f t="shared" ca="1" si="8"/>
        <v>0</v>
      </c>
    </row>
    <row r="74" spans="1:17" ht="21" customHeight="1" x14ac:dyDescent="0.2">
      <c r="A74" s="377" t="s">
        <v>96</v>
      </c>
      <c r="B74" s="357"/>
      <c r="C74" s="104">
        <f t="shared" ca="1" si="0"/>
        <v>42000</v>
      </c>
      <c r="D74" s="62">
        <f t="shared" ref="D74:I74" ca="1" si="20">SUM(D75:D88)</f>
        <v>0</v>
      </c>
      <c r="E74" s="62">
        <f t="shared" ca="1" si="20"/>
        <v>0</v>
      </c>
      <c r="F74" s="62">
        <f t="shared" ca="1" si="20"/>
        <v>0</v>
      </c>
      <c r="G74" s="62">
        <f t="shared" ca="1" si="20"/>
        <v>42000</v>
      </c>
      <c r="H74" s="62">
        <f t="shared" ca="1" si="20"/>
        <v>0</v>
      </c>
      <c r="I74" s="62">
        <f t="shared" ca="1" si="20"/>
        <v>42000</v>
      </c>
      <c r="J74" s="62">
        <f t="shared" ca="1" si="3"/>
        <v>42000</v>
      </c>
      <c r="K74" s="100">
        <f t="shared" ca="1" si="4"/>
        <v>100</v>
      </c>
      <c r="L74" s="62">
        <f ca="1">SUM(L75:L88)</f>
        <v>0</v>
      </c>
      <c r="M74" s="101">
        <f t="shared" ca="1" si="5"/>
        <v>0</v>
      </c>
      <c r="N74" s="101">
        <f t="shared" ca="1" si="6"/>
        <v>0</v>
      </c>
      <c r="O74" s="102">
        <f ca="1">SUM(O75:O88)</f>
        <v>42000</v>
      </c>
      <c r="P74" s="101">
        <f t="shared" ca="1" si="14"/>
        <v>100</v>
      </c>
      <c r="Q74" s="101">
        <f t="shared" ca="1" si="8"/>
        <v>100</v>
      </c>
    </row>
    <row r="75" spans="1:17" ht="21" customHeight="1" x14ac:dyDescent="0.2">
      <c r="A75" s="68">
        <v>1</v>
      </c>
      <c r="B75" s="69" t="s">
        <v>97</v>
      </c>
      <c r="C75" s="103">
        <f t="shared" ca="1" si="0"/>
        <v>0</v>
      </c>
      <c r="D75" s="71">
        <f t="shared" ref="D75:D88" ca="1" si="21">+E75+F75</f>
        <v>0</v>
      </c>
      <c r="E75" s="72">
        <f ca="1">IFERROR(__xludf.DUMMYFUNCTION("IMPORTRANGE(""https://docs.google.com/spreadsheets/d/1MeEWN-I1oV_STSDYn1IFDPWt_1FKiwhDph83XaGc0o0/edit?usp=sharing"",""งบพรบ!BB75"")"),0)</f>
        <v>0</v>
      </c>
      <c r="F75" s="72">
        <f ca="1">IFERROR(__xludf.DUMMYFUNCTION("IMPORTRANGE(""https://docs.google.com/spreadsheets/d/1MeEWN-I1oV_STSDYn1IFDPWt_1FKiwhDph83XaGc0o0/edit?usp=sharing"",""งบพรบ!BC75"")"),0)</f>
        <v>0</v>
      </c>
      <c r="G75" s="105">
        <f ca="1">IFERROR(__xludf.DUMMYFUNCTION("IMPORTRANGE(""https://docs.google.com/spreadsheets/d/1MeEWN-I1oV_STSDYn1IFDPWt_1FKiwhDph83XaGc0o0/edit?usp=sharing"",""งบพรบ!BD75"")"),0)</f>
        <v>0</v>
      </c>
      <c r="H75" s="105">
        <f ca="1">IFERROR(__xludf.DUMMYFUNCTION("IMPORTRANGE(""https://docs.google.com/spreadsheets/d/1MeEWN-I1oV_STSDYn1IFDPWt_1FKiwhDph83XaGc0o0/edit?usp=sharing"",""งบพรบ!BF75"")"),0)</f>
        <v>0</v>
      </c>
      <c r="I75" s="105">
        <f ca="1">IFERROR(__xludf.DUMMYFUNCTION("IMPORTRANGE(""https://docs.google.com/spreadsheets/d/1MeEWN-I1oV_STSDYn1IFDPWt_1FKiwhDph83XaGc0o0/edit?usp=sharing"",""งบพรบ!BG75"")"),0)</f>
        <v>0</v>
      </c>
      <c r="J75" s="105">
        <f t="shared" ca="1" si="3"/>
        <v>0</v>
      </c>
      <c r="K75" s="106">
        <f t="shared" ca="1" si="4"/>
        <v>0</v>
      </c>
      <c r="L75" s="82">
        <f ca="1">IFERROR(__xludf.DUMMYFUNCTION("IMPORTRANGE(""https://docs.google.com/spreadsheets/d/1MeEWN-I1oV_STSDYn1IFDPWt_1FKiwhDph83XaGc0o0/edit?usp=sharing"",""งบพรบ!BH75"")"),0)</f>
        <v>0</v>
      </c>
      <c r="M75" s="75">
        <f t="shared" ca="1" si="5"/>
        <v>0</v>
      </c>
      <c r="N75" s="75">
        <f t="shared" ca="1" si="6"/>
        <v>0</v>
      </c>
      <c r="O75" s="76">
        <f ca="1">IFERROR(__xludf.DUMMYFUNCTION("IMPORTRANGE(""https://docs.google.com/spreadsheets/d/1MeEWN-I1oV_STSDYn1IFDPWt_1FKiwhDph83XaGc0o0/edit?usp=sharing"",""งบพรบ!BI75"")"),0)</f>
        <v>0</v>
      </c>
      <c r="P75" s="75">
        <f t="shared" ca="1" si="14"/>
        <v>0</v>
      </c>
      <c r="Q75" s="75">
        <f t="shared" ca="1" si="8"/>
        <v>0</v>
      </c>
    </row>
    <row r="76" spans="1:17" ht="21" customHeight="1" x14ac:dyDescent="0.2">
      <c r="A76" s="78">
        <v>2</v>
      </c>
      <c r="B76" s="79" t="s">
        <v>98</v>
      </c>
      <c r="C76" s="80">
        <f t="shared" ca="1" si="0"/>
        <v>0</v>
      </c>
      <c r="D76" s="81">
        <f t="shared" ca="1" si="21"/>
        <v>0</v>
      </c>
      <c r="E76" s="82">
        <f ca="1">IFERROR(__xludf.DUMMYFUNCTION("IMPORTRANGE(""https://docs.google.com/spreadsheets/d/1MeEWN-I1oV_STSDYn1IFDPWt_1FKiwhDph83XaGc0o0/edit?usp=sharing"",""งบพรบ!BB76"")"),0)</f>
        <v>0</v>
      </c>
      <c r="F76" s="82">
        <f ca="1">IFERROR(__xludf.DUMMYFUNCTION("IMPORTRANGE(""https://docs.google.com/spreadsheets/d/1MeEWN-I1oV_STSDYn1IFDPWt_1FKiwhDph83XaGc0o0/edit?usp=sharing"",""งบพรบ!BC76"")"),0)</f>
        <v>0</v>
      </c>
      <c r="G76" s="82">
        <f ca="1">IFERROR(__xludf.DUMMYFUNCTION("IMPORTRANGE(""https://docs.google.com/spreadsheets/d/1MeEWN-I1oV_STSDYn1IFDPWt_1FKiwhDph83XaGc0o0/edit?usp=sharing"",""งบพรบ!BD76"")"),0)</f>
        <v>0</v>
      </c>
      <c r="H76" s="82">
        <f ca="1">IFERROR(__xludf.DUMMYFUNCTION("IMPORTRANGE(""https://docs.google.com/spreadsheets/d/1MeEWN-I1oV_STSDYn1IFDPWt_1FKiwhDph83XaGc0o0/edit?usp=sharing"",""งบพรบ!BF76"")"),0)</f>
        <v>0</v>
      </c>
      <c r="I76" s="82">
        <f ca="1">IFERROR(__xludf.DUMMYFUNCTION("IMPORTRANGE(""https://docs.google.com/spreadsheets/d/1MeEWN-I1oV_STSDYn1IFDPWt_1FKiwhDph83XaGc0o0/edit?usp=sharing"",""งบพรบ!BG76"")"),0)</f>
        <v>0</v>
      </c>
      <c r="J76" s="82">
        <f t="shared" ca="1" si="3"/>
        <v>0</v>
      </c>
      <c r="K76" s="83">
        <f t="shared" ca="1" si="4"/>
        <v>0</v>
      </c>
      <c r="L76" s="82">
        <f ca="1">IFERROR(__xludf.DUMMYFUNCTION("IMPORTRANGE(""https://docs.google.com/spreadsheets/d/1MeEWN-I1oV_STSDYn1IFDPWt_1FKiwhDph83XaGc0o0/edit?usp=sharing"",""งบพรบ!BH76"")"),0)</f>
        <v>0</v>
      </c>
      <c r="M76" s="84">
        <f t="shared" ca="1" si="5"/>
        <v>0</v>
      </c>
      <c r="N76" s="84">
        <f t="shared" ca="1" si="6"/>
        <v>0</v>
      </c>
      <c r="O76" s="85">
        <f ca="1">IFERROR(__xludf.DUMMYFUNCTION("IMPORTRANGE(""https://docs.google.com/spreadsheets/d/1MeEWN-I1oV_STSDYn1IFDPWt_1FKiwhDph83XaGc0o0/edit?usp=sharing"",""งบพรบ!BI76"")"),0)</f>
        <v>0</v>
      </c>
      <c r="P76" s="84">
        <f t="shared" ca="1" si="14"/>
        <v>0</v>
      </c>
      <c r="Q76" s="84">
        <f t="shared" ca="1" si="8"/>
        <v>0</v>
      </c>
    </row>
    <row r="77" spans="1:17" ht="21" customHeight="1" x14ac:dyDescent="0.2">
      <c r="A77" s="78">
        <v>3</v>
      </c>
      <c r="B77" s="79" t="s">
        <v>99</v>
      </c>
      <c r="C77" s="80">
        <f t="shared" ca="1" si="0"/>
        <v>0</v>
      </c>
      <c r="D77" s="81">
        <f t="shared" ca="1" si="21"/>
        <v>0</v>
      </c>
      <c r="E77" s="82">
        <f ca="1">IFERROR(__xludf.DUMMYFUNCTION("IMPORTRANGE(""https://docs.google.com/spreadsheets/d/1MeEWN-I1oV_STSDYn1IFDPWt_1FKiwhDph83XaGc0o0/edit?usp=sharing"",""งบพรบ!BB77"")"),0)</f>
        <v>0</v>
      </c>
      <c r="F77" s="82">
        <f ca="1">IFERROR(__xludf.DUMMYFUNCTION("IMPORTRANGE(""https://docs.google.com/spreadsheets/d/1MeEWN-I1oV_STSDYn1IFDPWt_1FKiwhDph83XaGc0o0/edit?usp=sharing"",""งบพรบ!BC77"")"),0)</f>
        <v>0</v>
      </c>
      <c r="G77" s="82">
        <f ca="1">IFERROR(__xludf.DUMMYFUNCTION("IMPORTRANGE(""https://docs.google.com/spreadsheets/d/1MeEWN-I1oV_STSDYn1IFDPWt_1FKiwhDph83XaGc0o0/edit?usp=sharing"",""งบพรบ!BD77"")"),0)</f>
        <v>0</v>
      </c>
      <c r="H77" s="82">
        <f ca="1">IFERROR(__xludf.DUMMYFUNCTION("IMPORTRANGE(""https://docs.google.com/spreadsheets/d/1MeEWN-I1oV_STSDYn1IFDPWt_1FKiwhDph83XaGc0o0/edit?usp=sharing"",""งบพรบ!BF77"")"),0)</f>
        <v>0</v>
      </c>
      <c r="I77" s="82">
        <f ca="1">IFERROR(__xludf.DUMMYFUNCTION("IMPORTRANGE(""https://docs.google.com/spreadsheets/d/1MeEWN-I1oV_STSDYn1IFDPWt_1FKiwhDph83XaGc0o0/edit?usp=sharing"",""งบพรบ!BG77"")"),0)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IFERROR(__xludf.DUMMYFUNCTION("IMPORTRANGE(""https://docs.google.com/spreadsheets/d/1MeEWN-I1oV_STSDYn1IFDPWt_1FKiwhDph83XaGc0o0/edit?usp=sharing"",""งบพรบ!BH77"")"),0)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IFERROR(__xludf.DUMMYFUNCTION("IMPORTRANGE(""https://docs.google.com/spreadsheets/d/1MeEWN-I1oV_STSDYn1IFDPWt_1FKiwhDph83XaGc0o0/edit?usp=sharing"",""งบพรบ!BI77"")"),0)</f>
        <v>0</v>
      </c>
      <c r="P77" s="84">
        <f t="shared" ca="1" si="14"/>
        <v>0</v>
      </c>
      <c r="Q77" s="84">
        <f t="shared" ca="1" si="8"/>
        <v>0</v>
      </c>
    </row>
    <row r="78" spans="1:17" ht="21" customHeight="1" x14ac:dyDescent="0.2">
      <c r="A78" s="78">
        <v>4</v>
      </c>
      <c r="B78" s="79" t="s">
        <v>100</v>
      </c>
      <c r="C78" s="80">
        <f t="shared" ca="1" si="0"/>
        <v>42000</v>
      </c>
      <c r="D78" s="81">
        <f t="shared" ca="1" si="21"/>
        <v>0</v>
      </c>
      <c r="E78" s="82">
        <f ca="1">IFERROR(__xludf.DUMMYFUNCTION("IMPORTRANGE(""https://docs.google.com/spreadsheets/d/1MeEWN-I1oV_STSDYn1IFDPWt_1FKiwhDph83XaGc0o0/edit?usp=sharing"",""งบพรบ!BB78"")"),0)</f>
        <v>0</v>
      </c>
      <c r="F78" s="82">
        <f ca="1">IFERROR(__xludf.DUMMYFUNCTION("IMPORTRANGE(""https://docs.google.com/spreadsheets/d/1MeEWN-I1oV_STSDYn1IFDPWt_1FKiwhDph83XaGc0o0/edit?usp=sharing"",""งบพรบ!BC78"")"),0)</f>
        <v>0</v>
      </c>
      <c r="G78" s="82">
        <f ca="1">IFERROR(__xludf.DUMMYFUNCTION("IMPORTRANGE(""https://docs.google.com/spreadsheets/d/1MeEWN-I1oV_STSDYn1IFDPWt_1FKiwhDph83XaGc0o0/edit?usp=sharing"",""งบพรบ!BD78"")"),42000)</f>
        <v>42000</v>
      </c>
      <c r="H78" s="82">
        <f ca="1">IFERROR(__xludf.DUMMYFUNCTION("IMPORTRANGE(""https://docs.google.com/spreadsheets/d/1MeEWN-I1oV_STSDYn1IFDPWt_1FKiwhDph83XaGc0o0/edit?usp=sharing"",""งบพรบ!BF78"")"),0)</f>
        <v>0</v>
      </c>
      <c r="I78" s="82">
        <f ca="1">IFERROR(__xludf.DUMMYFUNCTION("IMPORTRANGE(""https://docs.google.com/spreadsheets/d/1MeEWN-I1oV_STSDYn1IFDPWt_1FKiwhDph83XaGc0o0/edit?usp=sharing"",""งบพรบ!BG78"")"),42000)</f>
        <v>42000</v>
      </c>
      <c r="J78" s="82">
        <f t="shared" ca="1" si="3"/>
        <v>42000</v>
      </c>
      <c r="K78" s="83">
        <f t="shared" ca="1" si="4"/>
        <v>100</v>
      </c>
      <c r="L78" s="82">
        <f ca="1">IFERROR(__xludf.DUMMYFUNCTION("IMPORTRANGE(""https://docs.google.com/spreadsheets/d/1MeEWN-I1oV_STSDYn1IFDPWt_1FKiwhDph83XaGc0o0/edit?usp=sharing"",""งบพรบ!BH78"")"),0)</f>
        <v>0</v>
      </c>
      <c r="M78" s="84">
        <f t="shared" ca="1" si="5"/>
        <v>0</v>
      </c>
      <c r="N78" s="84">
        <f t="shared" ca="1" si="6"/>
        <v>0</v>
      </c>
      <c r="O78" s="85">
        <f ca="1">IFERROR(__xludf.DUMMYFUNCTION("IMPORTRANGE(""https://docs.google.com/spreadsheets/d/1MeEWN-I1oV_STSDYn1IFDPWt_1FKiwhDph83XaGc0o0/edit?usp=sharing"",""งบพรบ!BI78"")"),42000)</f>
        <v>42000</v>
      </c>
      <c r="P78" s="84">
        <f t="shared" ca="1" si="14"/>
        <v>100</v>
      </c>
      <c r="Q78" s="84">
        <f t="shared" ca="1" si="8"/>
        <v>100</v>
      </c>
    </row>
    <row r="79" spans="1:17" ht="21" customHeight="1" x14ac:dyDescent="0.2">
      <c r="A79" s="78">
        <v>5</v>
      </c>
      <c r="B79" s="79" t="s">
        <v>101</v>
      </c>
      <c r="C79" s="80">
        <f t="shared" ca="1" si="0"/>
        <v>0</v>
      </c>
      <c r="D79" s="81">
        <f t="shared" ca="1" si="21"/>
        <v>0</v>
      </c>
      <c r="E79" s="82">
        <f ca="1">IFERROR(__xludf.DUMMYFUNCTION("IMPORTRANGE(""https://docs.google.com/spreadsheets/d/1MeEWN-I1oV_STSDYn1IFDPWt_1FKiwhDph83XaGc0o0/edit?usp=sharing"",""งบพรบ!BB79"")"),0)</f>
        <v>0</v>
      </c>
      <c r="F79" s="82">
        <f ca="1">IFERROR(__xludf.DUMMYFUNCTION("IMPORTRANGE(""https://docs.google.com/spreadsheets/d/1MeEWN-I1oV_STSDYn1IFDPWt_1FKiwhDph83XaGc0o0/edit?usp=sharing"",""งบพรบ!BC79"")"),0)</f>
        <v>0</v>
      </c>
      <c r="G79" s="82">
        <f ca="1">IFERROR(__xludf.DUMMYFUNCTION("IMPORTRANGE(""https://docs.google.com/spreadsheets/d/1MeEWN-I1oV_STSDYn1IFDPWt_1FKiwhDph83XaGc0o0/edit?usp=sharing"",""งบพรบ!BD79"")"),0)</f>
        <v>0</v>
      </c>
      <c r="H79" s="82">
        <f ca="1">IFERROR(__xludf.DUMMYFUNCTION("IMPORTRANGE(""https://docs.google.com/spreadsheets/d/1MeEWN-I1oV_STSDYn1IFDPWt_1FKiwhDph83XaGc0o0/edit?usp=sharing"",""งบพรบ!BF79"")"),0)</f>
        <v>0</v>
      </c>
      <c r="I79" s="82">
        <f ca="1">IFERROR(__xludf.DUMMYFUNCTION("IMPORTRANGE(""https://docs.google.com/spreadsheets/d/1MeEWN-I1oV_STSDYn1IFDPWt_1FKiwhDph83XaGc0o0/edit?usp=sharing"",""งบพรบ!BG79"")"),0)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IFERROR(__xludf.DUMMYFUNCTION("IMPORTRANGE(""https://docs.google.com/spreadsheets/d/1MeEWN-I1oV_STSDYn1IFDPWt_1FKiwhDph83XaGc0o0/edit?usp=sharing"",""งบพรบ!BH79"")"),0)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IFERROR(__xludf.DUMMYFUNCTION("IMPORTRANGE(""https://docs.google.com/spreadsheets/d/1MeEWN-I1oV_STSDYn1IFDPWt_1FKiwhDph83XaGc0o0/edit?usp=sharing"",""งบพรบ!BI79"")"),0)</f>
        <v>0</v>
      </c>
      <c r="P79" s="84">
        <f t="shared" ca="1" si="14"/>
        <v>0</v>
      </c>
      <c r="Q79" s="84">
        <f t="shared" ca="1" si="8"/>
        <v>0</v>
      </c>
    </row>
    <row r="80" spans="1:17" ht="21" customHeight="1" x14ac:dyDescent="0.2">
      <c r="A80" s="78">
        <v>6</v>
      </c>
      <c r="B80" s="79" t="s">
        <v>102</v>
      </c>
      <c r="C80" s="80">
        <f t="shared" ca="1" si="0"/>
        <v>0</v>
      </c>
      <c r="D80" s="81">
        <f t="shared" ca="1" si="21"/>
        <v>0</v>
      </c>
      <c r="E80" s="82">
        <f ca="1">IFERROR(__xludf.DUMMYFUNCTION("IMPORTRANGE(""https://docs.google.com/spreadsheets/d/1MeEWN-I1oV_STSDYn1IFDPWt_1FKiwhDph83XaGc0o0/edit?usp=sharing"",""งบพรบ!BB80"")"),0)</f>
        <v>0</v>
      </c>
      <c r="F80" s="82">
        <f ca="1">IFERROR(__xludf.DUMMYFUNCTION("IMPORTRANGE(""https://docs.google.com/spreadsheets/d/1MeEWN-I1oV_STSDYn1IFDPWt_1FKiwhDph83XaGc0o0/edit?usp=sharing"",""งบพรบ!BC80"")"),0)</f>
        <v>0</v>
      </c>
      <c r="G80" s="82">
        <f ca="1">IFERROR(__xludf.DUMMYFUNCTION("IMPORTRANGE(""https://docs.google.com/spreadsheets/d/1MeEWN-I1oV_STSDYn1IFDPWt_1FKiwhDph83XaGc0o0/edit?usp=sharing"",""งบพรบ!BD80"")"),0)</f>
        <v>0</v>
      </c>
      <c r="H80" s="82">
        <f ca="1">IFERROR(__xludf.DUMMYFUNCTION("IMPORTRANGE(""https://docs.google.com/spreadsheets/d/1MeEWN-I1oV_STSDYn1IFDPWt_1FKiwhDph83XaGc0o0/edit?usp=sharing"",""งบพรบ!BF80"")"),0)</f>
        <v>0</v>
      </c>
      <c r="I80" s="82">
        <f ca="1">IFERROR(__xludf.DUMMYFUNCTION("IMPORTRANGE(""https://docs.google.com/spreadsheets/d/1MeEWN-I1oV_STSDYn1IFDPWt_1FKiwhDph83XaGc0o0/edit?usp=sharing"",""งบพรบ!BG80"")"),0)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IFERROR(__xludf.DUMMYFUNCTION("IMPORTRANGE(""https://docs.google.com/spreadsheets/d/1MeEWN-I1oV_STSDYn1IFDPWt_1FKiwhDph83XaGc0o0/edit?usp=sharing"",""งบพรบ!BH80"")"),0)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IFERROR(__xludf.DUMMYFUNCTION("IMPORTRANGE(""https://docs.google.com/spreadsheets/d/1MeEWN-I1oV_STSDYn1IFDPWt_1FKiwhDph83XaGc0o0/edit?usp=sharing"",""งบพรบ!BI80"")"),0)</f>
        <v>0</v>
      </c>
      <c r="P80" s="84">
        <f t="shared" ca="1" si="14"/>
        <v>0</v>
      </c>
      <c r="Q80" s="84">
        <f t="shared" ca="1" si="8"/>
        <v>0</v>
      </c>
    </row>
    <row r="81" spans="1:17" ht="21" customHeight="1" x14ac:dyDescent="0.2">
      <c r="A81" s="78">
        <v>7</v>
      </c>
      <c r="B81" s="79" t="s">
        <v>103</v>
      </c>
      <c r="C81" s="80">
        <f t="shared" ca="1" si="0"/>
        <v>0</v>
      </c>
      <c r="D81" s="81">
        <f t="shared" ca="1" si="21"/>
        <v>0</v>
      </c>
      <c r="E81" s="82">
        <f ca="1">IFERROR(__xludf.DUMMYFUNCTION("IMPORTRANGE(""https://docs.google.com/spreadsheets/d/1MeEWN-I1oV_STSDYn1IFDPWt_1FKiwhDph83XaGc0o0/edit?usp=sharing"",""งบพรบ!BB81"")"),0)</f>
        <v>0</v>
      </c>
      <c r="F81" s="82">
        <f ca="1">IFERROR(__xludf.DUMMYFUNCTION("IMPORTRANGE(""https://docs.google.com/spreadsheets/d/1MeEWN-I1oV_STSDYn1IFDPWt_1FKiwhDph83XaGc0o0/edit?usp=sharing"",""งบพรบ!BC81"")"),0)</f>
        <v>0</v>
      </c>
      <c r="G81" s="82">
        <f ca="1">IFERROR(__xludf.DUMMYFUNCTION("IMPORTRANGE(""https://docs.google.com/spreadsheets/d/1MeEWN-I1oV_STSDYn1IFDPWt_1FKiwhDph83XaGc0o0/edit?usp=sharing"",""งบพรบ!BD81"")"),0)</f>
        <v>0</v>
      </c>
      <c r="H81" s="82">
        <f ca="1">IFERROR(__xludf.DUMMYFUNCTION("IMPORTRANGE(""https://docs.google.com/spreadsheets/d/1MeEWN-I1oV_STSDYn1IFDPWt_1FKiwhDph83XaGc0o0/edit?usp=sharing"",""งบพรบ!BF81"")"),0)</f>
        <v>0</v>
      </c>
      <c r="I81" s="82">
        <f ca="1">IFERROR(__xludf.DUMMYFUNCTION("IMPORTRANGE(""https://docs.google.com/spreadsheets/d/1MeEWN-I1oV_STSDYn1IFDPWt_1FKiwhDph83XaGc0o0/edit?usp=sharing"",""งบพรบ!BG81"")"),0)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IFERROR(__xludf.DUMMYFUNCTION("IMPORTRANGE(""https://docs.google.com/spreadsheets/d/1MeEWN-I1oV_STSDYn1IFDPWt_1FKiwhDph83XaGc0o0/edit?usp=sharing"",""งบพรบ!BH81"")"),0)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IFERROR(__xludf.DUMMYFUNCTION("IMPORTRANGE(""https://docs.google.com/spreadsheets/d/1MeEWN-I1oV_STSDYn1IFDPWt_1FKiwhDph83XaGc0o0/edit?usp=sharing"",""งบพรบ!BI81"")"),0)</f>
        <v>0</v>
      </c>
      <c r="P81" s="84">
        <f t="shared" ca="1" si="14"/>
        <v>0</v>
      </c>
      <c r="Q81" s="84">
        <f t="shared" ca="1" si="8"/>
        <v>0</v>
      </c>
    </row>
    <row r="82" spans="1:17" ht="21" customHeight="1" x14ac:dyDescent="0.2">
      <c r="A82" s="78">
        <v>8</v>
      </c>
      <c r="B82" s="79" t="s">
        <v>104</v>
      </c>
      <c r="C82" s="80">
        <f t="shared" ca="1" si="0"/>
        <v>0</v>
      </c>
      <c r="D82" s="81">
        <f t="shared" ca="1" si="21"/>
        <v>0</v>
      </c>
      <c r="E82" s="82">
        <f ca="1">IFERROR(__xludf.DUMMYFUNCTION("IMPORTRANGE(""https://docs.google.com/spreadsheets/d/1MeEWN-I1oV_STSDYn1IFDPWt_1FKiwhDph83XaGc0o0/edit?usp=sharing"",""งบพรบ!BB82"")"),0)</f>
        <v>0</v>
      </c>
      <c r="F82" s="82">
        <f ca="1">IFERROR(__xludf.DUMMYFUNCTION("IMPORTRANGE(""https://docs.google.com/spreadsheets/d/1MeEWN-I1oV_STSDYn1IFDPWt_1FKiwhDph83XaGc0o0/edit?usp=sharing"",""งบพรบ!BC82"")"),0)</f>
        <v>0</v>
      </c>
      <c r="G82" s="82">
        <f ca="1">IFERROR(__xludf.DUMMYFUNCTION("IMPORTRANGE(""https://docs.google.com/spreadsheets/d/1MeEWN-I1oV_STSDYn1IFDPWt_1FKiwhDph83XaGc0o0/edit?usp=sharing"",""งบพรบ!BD82"")"),0)</f>
        <v>0</v>
      </c>
      <c r="H82" s="82">
        <f ca="1">IFERROR(__xludf.DUMMYFUNCTION("IMPORTRANGE(""https://docs.google.com/spreadsheets/d/1MeEWN-I1oV_STSDYn1IFDPWt_1FKiwhDph83XaGc0o0/edit?usp=sharing"",""งบพรบ!BF82"")"),0)</f>
        <v>0</v>
      </c>
      <c r="I82" s="82">
        <f ca="1">IFERROR(__xludf.DUMMYFUNCTION("IMPORTRANGE(""https://docs.google.com/spreadsheets/d/1MeEWN-I1oV_STSDYn1IFDPWt_1FKiwhDph83XaGc0o0/edit?usp=sharing"",""งบพรบ!BG82"")"),0)</f>
        <v>0</v>
      </c>
      <c r="J82" s="82">
        <f t="shared" ca="1" si="3"/>
        <v>0</v>
      </c>
      <c r="K82" s="83">
        <f t="shared" ca="1" si="4"/>
        <v>0</v>
      </c>
      <c r="L82" s="82">
        <f ca="1">IFERROR(__xludf.DUMMYFUNCTION("IMPORTRANGE(""https://docs.google.com/spreadsheets/d/1MeEWN-I1oV_STSDYn1IFDPWt_1FKiwhDph83XaGc0o0/edit?usp=sharing"",""งบพรบ!BH82"")"),0)</f>
        <v>0</v>
      </c>
      <c r="M82" s="84">
        <f t="shared" ca="1" si="5"/>
        <v>0</v>
      </c>
      <c r="N82" s="84">
        <f t="shared" ca="1" si="6"/>
        <v>0</v>
      </c>
      <c r="O82" s="85">
        <f ca="1">IFERROR(__xludf.DUMMYFUNCTION("IMPORTRANGE(""https://docs.google.com/spreadsheets/d/1MeEWN-I1oV_STSDYn1IFDPWt_1FKiwhDph83XaGc0o0/edit?usp=sharing"",""งบพรบ!BI82"")"),0)</f>
        <v>0</v>
      </c>
      <c r="P82" s="84">
        <f t="shared" ca="1" si="14"/>
        <v>0</v>
      </c>
      <c r="Q82" s="84">
        <f t="shared" ca="1" si="8"/>
        <v>0</v>
      </c>
    </row>
    <row r="83" spans="1:17" ht="21" customHeight="1" x14ac:dyDescent="0.2">
      <c r="A83" s="78">
        <v>9</v>
      </c>
      <c r="B83" s="79" t="s">
        <v>105</v>
      </c>
      <c r="C83" s="80">
        <f t="shared" ca="1" si="0"/>
        <v>0</v>
      </c>
      <c r="D83" s="81">
        <f t="shared" ca="1" si="21"/>
        <v>0</v>
      </c>
      <c r="E83" s="82">
        <f ca="1">IFERROR(__xludf.DUMMYFUNCTION("IMPORTRANGE(""https://docs.google.com/spreadsheets/d/1MeEWN-I1oV_STSDYn1IFDPWt_1FKiwhDph83XaGc0o0/edit?usp=sharing"",""งบพรบ!BB83"")"),0)</f>
        <v>0</v>
      </c>
      <c r="F83" s="82">
        <f ca="1">IFERROR(__xludf.DUMMYFUNCTION("IMPORTRANGE(""https://docs.google.com/spreadsheets/d/1MeEWN-I1oV_STSDYn1IFDPWt_1FKiwhDph83XaGc0o0/edit?usp=sharing"",""งบพรบ!BC83"")"),0)</f>
        <v>0</v>
      </c>
      <c r="G83" s="82">
        <f ca="1">IFERROR(__xludf.DUMMYFUNCTION("IMPORTRANGE(""https://docs.google.com/spreadsheets/d/1MeEWN-I1oV_STSDYn1IFDPWt_1FKiwhDph83XaGc0o0/edit?usp=sharing"",""งบพรบ!BD83"")"),0)</f>
        <v>0</v>
      </c>
      <c r="H83" s="82">
        <f ca="1">IFERROR(__xludf.DUMMYFUNCTION("IMPORTRANGE(""https://docs.google.com/spreadsheets/d/1MeEWN-I1oV_STSDYn1IFDPWt_1FKiwhDph83XaGc0o0/edit?usp=sharing"",""งบพรบ!BF83"")"),0)</f>
        <v>0</v>
      </c>
      <c r="I83" s="82">
        <f ca="1">IFERROR(__xludf.DUMMYFUNCTION("IMPORTRANGE(""https://docs.google.com/spreadsheets/d/1MeEWN-I1oV_STSDYn1IFDPWt_1FKiwhDph83XaGc0o0/edit?usp=sharing"",""งบพรบ!BG83"")"),0)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IFERROR(__xludf.DUMMYFUNCTION("IMPORTRANGE(""https://docs.google.com/spreadsheets/d/1MeEWN-I1oV_STSDYn1IFDPWt_1FKiwhDph83XaGc0o0/edit?usp=sharing"",""งบพรบ!BH83"")"),0)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IFERROR(__xludf.DUMMYFUNCTION("IMPORTRANGE(""https://docs.google.com/spreadsheets/d/1MeEWN-I1oV_STSDYn1IFDPWt_1FKiwhDph83XaGc0o0/edit?usp=sharing"",""งบพรบ!BI83"")"),0)</f>
        <v>0</v>
      </c>
      <c r="P83" s="84">
        <f t="shared" ca="1" si="14"/>
        <v>0</v>
      </c>
      <c r="Q83" s="84">
        <f t="shared" ca="1" si="8"/>
        <v>0</v>
      </c>
    </row>
    <row r="84" spans="1:17" ht="21" customHeight="1" x14ac:dyDescent="0.2">
      <c r="A84" s="78">
        <v>10</v>
      </c>
      <c r="B84" s="79" t="s">
        <v>106</v>
      </c>
      <c r="C84" s="80">
        <f t="shared" ca="1" si="0"/>
        <v>0</v>
      </c>
      <c r="D84" s="81">
        <f t="shared" ca="1" si="21"/>
        <v>0</v>
      </c>
      <c r="E84" s="82">
        <f ca="1">IFERROR(__xludf.DUMMYFUNCTION("IMPORTRANGE(""https://docs.google.com/spreadsheets/d/1MeEWN-I1oV_STSDYn1IFDPWt_1FKiwhDph83XaGc0o0/edit?usp=sharing"",""งบพรบ!BB84"")"),0)</f>
        <v>0</v>
      </c>
      <c r="F84" s="82">
        <f ca="1">IFERROR(__xludf.DUMMYFUNCTION("IMPORTRANGE(""https://docs.google.com/spreadsheets/d/1MeEWN-I1oV_STSDYn1IFDPWt_1FKiwhDph83XaGc0o0/edit?usp=sharing"",""งบพรบ!BC84"")"),0)</f>
        <v>0</v>
      </c>
      <c r="G84" s="82">
        <f ca="1">IFERROR(__xludf.DUMMYFUNCTION("IMPORTRANGE(""https://docs.google.com/spreadsheets/d/1MeEWN-I1oV_STSDYn1IFDPWt_1FKiwhDph83XaGc0o0/edit?usp=sharing"",""งบพรบ!BD84"")"),0)</f>
        <v>0</v>
      </c>
      <c r="H84" s="82">
        <f ca="1">IFERROR(__xludf.DUMMYFUNCTION("IMPORTRANGE(""https://docs.google.com/spreadsheets/d/1MeEWN-I1oV_STSDYn1IFDPWt_1FKiwhDph83XaGc0o0/edit?usp=sharing"",""งบพรบ!BF84"")"),0)</f>
        <v>0</v>
      </c>
      <c r="I84" s="82">
        <f ca="1">IFERROR(__xludf.DUMMYFUNCTION("IMPORTRANGE(""https://docs.google.com/spreadsheets/d/1MeEWN-I1oV_STSDYn1IFDPWt_1FKiwhDph83XaGc0o0/edit?usp=sharing"",""งบพรบ!BG84"")"),0)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IFERROR(__xludf.DUMMYFUNCTION("IMPORTRANGE(""https://docs.google.com/spreadsheets/d/1MeEWN-I1oV_STSDYn1IFDPWt_1FKiwhDph83XaGc0o0/edit?usp=sharing"",""งบพรบ!BH84"")"),0)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IFERROR(__xludf.DUMMYFUNCTION("IMPORTRANGE(""https://docs.google.com/spreadsheets/d/1MeEWN-I1oV_STSDYn1IFDPWt_1FKiwhDph83XaGc0o0/edit?usp=sharing"",""งบพรบ!BI84"")"),0)</f>
        <v>0</v>
      </c>
      <c r="P84" s="84">
        <f t="shared" ca="1" si="14"/>
        <v>0</v>
      </c>
      <c r="Q84" s="84">
        <f t="shared" ca="1" si="8"/>
        <v>0</v>
      </c>
    </row>
    <row r="85" spans="1:17" ht="21" customHeight="1" x14ac:dyDescent="0.2">
      <c r="A85" s="78">
        <v>11</v>
      </c>
      <c r="B85" s="79" t="s">
        <v>107</v>
      </c>
      <c r="C85" s="80">
        <f t="shared" ca="1" si="0"/>
        <v>0</v>
      </c>
      <c r="D85" s="81">
        <f t="shared" ca="1" si="21"/>
        <v>0</v>
      </c>
      <c r="E85" s="82">
        <f ca="1">IFERROR(__xludf.DUMMYFUNCTION("IMPORTRANGE(""https://docs.google.com/spreadsheets/d/1MeEWN-I1oV_STSDYn1IFDPWt_1FKiwhDph83XaGc0o0/edit?usp=sharing"",""งบพรบ!BB85"")"),0)</f>
        <v>0</v>
      </c>
      <c r="F85" s="82">
        <f ca="1">IFERROR(__xludf.DUMMYFUNCTION("IMPORTRANGE(""https://docs.google.com/spreadsheets/d/1MeEWN-I1oV_STSDYn1IFDPWt_1FKiwhDph83XaGc0o0/edit?usp=sharing"",""งบพรบ!BC85"")"),0)</f>
        <v>0</v>
      </c>
      <c r="G85" s="82">
        <f ca="1">IFERROR(__xludf.DUMMYFUNCTION("IMPORTRANGE(""https://docs.google.com/spreadsheets/d/1MeEWN-I1oV_STSDYn1IFDPWt_1FKiwhDph83XaGc0o0/edit?usp=sharing"",""งบพรบ!BD85"")"),0)</f>
        <v>0</v>
      </c>
      <c r="H85" s="82">
        <f ca="1">IFERROR(__xludf.DUMMYFUNCTION("IMPORTRANGE(""https://docs.google.com/spreadsheets/d/1MeEWN-I1oV_STSDYn1IFDPWt_1FKiwhDph83XaGc0o0/edit?usp=sharing"",""งบพรบ!BF85"")"),0)</f>
        <v>0</v>
      </c>
      <c r="I85" s="82">
        <f ca="1">IFERROR(__xludf.DUMMYFUNCTION("IMPORTRANGE(""https://docs.google.com/spreadsheets/d/1MeEWN-I1oV_STSDYn1IFDPWt_1FKiwhDph83XaGc0o0/edit?usp=sharing"",""งบพรบ!BG85"")"),0)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IFERROR(__xludf.DUMMYFUNCTION("IMPORTRANGE(""https://docs.google.com/spreadsheets/d/1MeEWN-I1oV_STSDYn1IFDPWt_1FKiwhDph83XaGc0o0/edit?usp=sharing"",""งบพรบ!BH85"")"),0)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IFERROR(__xludf.DUMMYFUNCTION("IMPORTRANGE(""https://docs.google.com/spreadsheets/d/1MeEWN-I1oV_STSDYn1IFDPWt_1FKiwhDph83XaGc0o0/edit?usp=sharing"",""งบพรบ!BI85"")"),0)</f>
        <v>0</v>
      </c>
      <c r="P85" s="84">
        <f t="shared" ca="1" si="14"/>
        <v>0</v>
      </c>
      <c r="Q85" s="84">
        <f t="shared" ca="1" si="8"/>
        <v>0</v>
      </c>
    </row>
    <row r="86" spans="1:17" ht="24" customHeight="1" x14ac:dyDescent="0.2">
      <c r="A86" s="78">
        <v>12</v>
      </c>
      <c r="B86" s="79" t="s">
        <v>108</v>
      </c>
      <c r="C86" s="80">
        <f t="shared" ca="1" si="0"/>
        <v>0</v>
      </c>
      <c r="D86" s="81">
        <f t="shared" ca="1" si="21"/>
        <v>0</v>
      </c>
      <c r="E86" s="82">
        <f ca="1">IFERROR(__xludf.DUMMYFUNCTION("IMPORTRANGE(""https://docs.google.com/spreadsheets/d/1MeEWN-I1oV_STSDYn1IFDPWt_1FKiwhDph83XaGc0o0/edit?usp=sharing"",""งบพรบ!BB86"")"),0)</f>
        <v>0</v>
      </c>
      <c r="F86" s="82">
        <f ca="1">IFERROR(__xludf.DUMMYFUNCTION("IMPORTRANGE(""https://docs.google.com/spreadsheets/d/1MeEWN-I1oV_STSDYn1IFDPWt_1FKiwhDph83XaGc0o0/edit?usp=sharing"",""งบพรบ!BC86"")"),0)</f>
        <v>0</v>
      </c>
      <c r="G86" s="82">
        <f ca="1">IFERROR(__xludf.DUMMYFUNCTION("IMPORTRANGE(""https://docs.google.com/spreadsheets/d/1MeEWN-I1oV_STSDYn1IFDPWt_1FKiwhDph83XaGc0o0/edit?usp=sharing"",""งบพรบ!BD86"")"),0)</f>
        <v>0</v>
      </c>
      <c r="H86" s="82">
        <f ca="1">IFERROR(__xludf.DUMMYFUNCTION("IMPORTRANGE(""https://docs.google.com/spreadsheets/d/1MeEWN-I1oV_STSDYn1IFDPWt_1FKiwhDph83XaGc0o0/edit?usp=sharing"",""งบพรบ!BF86"")"),0)</f>
        <v>0</v>
      </c>
      <c r="I86" s="82">
        <f ca="1">IFERROR(__xludf.DUMMYFUNCTION("IMPORTRANGE(""https://docs.google.com/spreadsheets/d/1MeEWN-I1oV_STSDYn1IFDPWt_1FKiwhDph83XaGc0o0/edit?usp=sharing"",""งบพรบ!BG86"")"),0)</f>
        <v>0</v>
      </c>
      <c r="J86" s="82">
        <f t="shared" ca="1" si="3"/>
        <v>0</v>
      </c>
      <c r="K86" s="83">
        <f t="shared" ca="1" si="4"/>
        <v>0</v>
      </c>
      <c r="L86" s="82">
        <f ca="1">IFERROR(__xludf.DUMMYFUNCTION("IMPORTRANGE(""https://docs.google.com/spreadsheets/d/1MeEWN-I1oV_STSDYn1IFDPWt_1FKiwhDph83XaGc0o0/edit?usp=sharing"",""งบพรบ!BH86"")"),0)</f>
        <v>0</v>
      </c>
      <c r="M86" s="84">
        <f t="shared" ca="1" si="5"/>
        <v>0</v>
      </c>
      <c r="N86" s="84">
        <f t="shared" ca="1" si="6"/>
        <v>0</v>
      </c>
      <c r="O86" s="85">
        <f ca="1">IFERROR(__xludf.DUMMYFUNCTION("IMPORTRANGE(""https://docs.google.com/spreadsheets/d/1MeEWN-I1oV_STSDYn1IFDPWt_1FKiwhDph83XaGc0o0/edit?usp=sharing"",""งบพรบ!BI86"")"),0)</f>
        <v>0</v>
      </c>
      <c r="P86" s="84">
        <f t="shared" ca="1" si="14"/>
        <v>0</v>
      </c>
      <c r="Q86" s="84">
        <f t="shared" ca="1" si="8"/>
        <v>0</v>
      </c>
    </row>
    <row r="87" spans="1:17" ht="24" customHeight="1" x14ac:dyDescent="0.2">
      <c r="A87" s="78">
        <v>13</v>
      </c>
      <c r="B87" s="79" t="s">
        <v>109</v>
      </c>
      <c r="C87" s="80">
        <f t="shared" ca="1" si="0"/>
        <v>0</v>
      </c>
      <c r="D87" s="81">
        <f t="shared" ca="1" si="21"/>
        <v>0</v>
      </c>
      <c r="E87" s="82">
        <f ca="1">IFERROR(__xludf.DUMMYFUNCTION("IMPORTRANGE(""https://docs.google.com/spreadsheets/d/1MeEWN-I1oV_STSDYn1IFDPWt_1FKiwhDph83XaGc0o0/edit?usp=sharing"",""งบพรบ!BB87"")"),0)</f>
        <v>0</v>
      </c>
      <c r="F87" s="82">
        <f ca="1">IFERROR(__xludf.DUMMYFUNCTION("IMPORTRANGE(""https://docs.google.com/spreadsheets/d/1MeEWN-I1oV_STSDYn1IFDPWt_1FKiwhDph83XaGc0o0/edit?usp=sharing"",""งบพรบ!BC87"")"),0)</f>
        <v>0</v>
      </c>
      <c r="G87" s="82">
        <f ca="1">IFERROR(__xludf.DUMMYFUNCTION("IMPORTRANGE(""https://docs.google.com/spreadsheets/d/1MeEWN-I1oV_STSDYn1IFDPWt_1FKiwhDph83XaGc0o0/edit?usp=sharing"",""งบพรบ!BD87"")"),0)</f>
        <v>0</v>
      </c>
      <c r="H87" s="82">
        <f ca="1">IFERROR(__xludf.DUMMYFUNCTION("IMPORTRANGE(""https://docs.google.com/spreadsheets/d/1MeEWN-I1oV_STSDYn1IFDPWt_1FKiwhDph83XaGc0o0/edit?usp=sharing"",""งบพรบ!BF87"")"),0)</f>
        <v>0</v>
      </c>
      <c r="I87" s="82">
        <f ca="1">IFERROR(__xludf.DUMMYFUNCTION("IMPORTRANGE(""https://docs.google.com/spreadsheets/d/1MeEWN-I1oV_STSDYn1IFDPWt_1FKiwhDph83XaGc0o0/edit?usp=sharing"",""งบพรบ!BG87"")"),0)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IFERROR(__xludf.DUMMYFUNCTION("IMPORTRANGE(""https://docs.google.com/spreadsheets/d/1MeEWN-I1oV_STSDYn1IFDPWt_1FKiwhDph83XaGc0o0/edit?usp=sharing"",""งบพรบ!BH87"")"),0)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IFERROR(__xludf.DUMMYFUNCTION("IMPORTRANGE(""https://docs.google.com/spreadsheets/d/1MeEWN-I1oV_STSDYn1IFDPWt_1FKiwhDph83XaGc0o0/edit?usp=sharing"",""งบพรบ!BI87"")"),0)</f>
        <v>0</v>
      </c>
      <c r="P87" s="84">
        <f t="shared" ca="1" si="14"/>
        <v>0</v>
      </c>
      <c r="Q87" s="84">
        <f t="shared" ca="1" si="8"/>
        <v>0</v>
      </c>
    </row>
    <row r="88" spans="1:17" ht="24" customHeight="1" x14ac:dyDescent="0.2">
      <c r="A88" s="89">
        <v>14</v>
      </c>
      <c r="B88" s="90" t="s">
        <v>110</v>
      </c>
      <c r="C88" s="91">
        <f t="shared" ca="1" si="0"/>
        <v>0</v>
      </c>
      <c r="D88" s="92">
        <f t="shared" ca="1" si="21"/>
        <v>0</v>
      </c>
      <c r="E88" s="93">
        <f ca="1">IFERROR(__xludf.DUMMYFUNCTION("IMPORTRANGE(""https://docs.google.com/spreadsheets/d/1MeEWN-I1oV_STSDYn1IFDPWt_1FKiwhDph83XaGc0o0/edit?usp=sharing"",""งบพรบ!BB88"")"),0)</f>
        <v>0</v>
      </c>
      <c r="F88" s="93">
        <f ca="1">IFERROR(__xludf.DUMMYFUNCTION("IMPORTRANGE(""https://docs.google.com/spreadsheets/d/1MeEWN-I1oV_STSDYn1IFDPWt_1FKiwhDph83XaGc0o0/edit?usp=sharing"",""งบพรบ!BC88"")"),0)</f>
        <v>0</v>
      </c>
      <c r="G88" s="93">
        <f ca="1">IFERROR(__xludf.DUMMYFUNCTION("IMPORTRANGE(""https://docs.google.com/spreadsheets/d/1MeEWN-I1oV_STSDYn1IFDPWt_1FKiwhDph83XaGc0o0/edit?usp=sharing"",""งบพรบ!BD88"")"),0)</f>
        <v>0</v>
      </c>
      <c r="H88" s="93">
        <f ca="1">IFERROR(__xludf.DUMMYFUNCTION("IMPORTRANGE(""https://docs.google.com/spreadsheets/d/1MeEWN-I1oV_STSDYn1IFDPWt_1FKiwhDph83XaGc0o0/edit?usp=sharing"",""งบพรบ!BF88"")"),0)</f>
        <v>0</v>
      </c>
      <c r="I88" s="93">
        <f ca="1">IFERROR(__xludf.DUMMYFUNCTION("IMPORTRANGE(""https://docs.google.com/spreadsheets/d/1MeEWN-I1oV_STSDYn1IFDPWt_1FKiwhDph83XaGc0o0/edit?usp=sharing"",""งบพรบ!BG88"")"),0)</f>
        <v>0</v>
      </c>
      <c r="J88" s="93">
        <f t="shared" ca="1" si="3"/>
        <v>0</v>
      </c>
      <c r="K88" s="94">
        <f t="shared" ca="1" si="4"/>
        <v>0</v>
      </c>
      <c r="L88" s="93">
        <f ca="1">IFERROR(__xludf.DUMMYFUNCTION("IMPORTRANGE(""https://docs.google.com/spreadsheets/d/1MeEWN-I1oV_STSDYn1IFDPWt_1FKiwhDph83XaGc0o0/edit?usp=sharing"",""งบพรบ!BH88"")"),0)</f>
        <v>0</v>
      </c>
      <c r="M88" s="95">
        <f t="shared" ca="1" si="5"/>
        <v>0</v>
      </c>
      <c r="N88" s="95">
        <f t="shared" ca="1" si="6"/>
        <v>0</v>
      </c>
      <c r="O88" s="96">
        <f ca="1">IFERROR(__xludf.DUMMYFUNCTION("IMPORTRANGE(""https://docs.google.com/spreadsheets/d/1MeEWN-I1oV_STSDYn1IFDPWt_1FKiwhDph83XaGc0o0/edit?usp=sharing"",""งบพรบ!BI88"")"),0)</f>
        <v>0</v>
      </c>
      <c r="P88" s="95">
        <f t="shared" ca="1" si="14"/>
        <v>0</v>
      </c>
      <c r="Q88" s="95">
        <f t="shared" ca="1" si="8"/>
        <v>0</v>
      </c>
    </row>
    <row r="89" spans="1:17" ht="21" hidden="1" customHeight="1" x14ac:dyDescent="0.2">
      <c r="A89" s="381" t="s">
        <v>111</v>
      </c>
      <c r="B89" s="357"/>
      <c r="C89" s="107">
        <f t="shared" ca="1" si="0"/>
        <v>0</v>
      </c>
      <c r="D89" s="46">
        <f t="shared" ref="D89:I89" ca="1" si="22">+D90+D91+D92+D93+D94+D95+D96+D97+D98+D99+D100+D101+D102+D103</f>
        <v>0</v>
      </c>
      <c r="E89" s="46">
        <f t="shared" ca="1" si="22"/>
        <v>0</v>
      </c>
      <c r="F89" s="46">
        <f t="shared" ca="1" si="22"/>
        <v>0</v>
      </c>
      <c r="G89" s="46">
        <f t="shared" ca="1" si="22"/>
        <v>0</v>
      </c>
      <c r="H89" s="46">
        <f t="shared" ca="1" si="22"/>
        <v>0</v>
      </c>
      <c r="I89" s="46">
        <f t="shared" ca="1" si="22"/>
        <v>0</v>
      </c>
      <c r="J89" s="46">
        <f t="shared" ca="1" si="3"/>
        <v>0</v>
      </c>
      <c r="K89" s="48">
        <f t="shared" ca="1" si="4"/>
        <v>0</v>
      </c>
      <c r="L89" s="46">
        <f ca="1">+L90+L91+L92+L93+L94+L95+L96+L97+L98+L99+L100+L101+L102+L103</f>
        <v>0</v>
      </c>
      <c r="M89" s="49">
        <f t="shared" ca="1" si="5"/>
        <v>0</v>
      </c>
      <c r="N89" s="49">
        <f t="shared" ca="1" si="6"/>
        <v>0</v>
      </c>
      <c r="O89" s="50">
        <f ca="1">+O90+O91+O92+O93+O94+O95+O96+O97+O98+O99+O100+O101+O102+O103</f>
        <v>0</v>
      </c>
      <c r="P89" s="49">
        <f t="shared" ca="1" si="14"/>
        <v>0</v>
      </c>
      <c r="Q89" s="49">
        <f t="shared" ca="1" si="8"/>
        <v>0</v>
      </c>
    </row>
    <row r="90" spans="1:17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23">+E90+F90</f>
        <v>0</v>
      </c>
      <c r="E90" s="72">
        <f ca="1">IFERROR(__xludf.DUMMYFUNCTION("IMPORTRANGE(""https://docs.google.com/spreadsheets/d/1MeEWN-I1oV_STSDYn1IFDPWt_1FKiwhDph83XaGc0o0/edit?usp=sharing"",""งบพรบ!BB90"")"),0)</f>
        <v>0</v>
      </c>
      <c r="F90" s="72">
        <f ca="1">IFERROR(__xludf.DUMMYFUNCTION("IMPORTRANGE(""https://docs.google.com/spreadsheets/d/1MeEWN-I1oV_STSDYn1IFDPWt_1FKiwhDph83XaGc0o0/edit?usp=sharing"",""งบพรบ!BC90"")"),0)</f>
        <v>0</v>
      </c>
      <c r="G90" s="72">
        <f ca="1">IFERROR(__xludf.DUMMYFUNCTION("IMPORTRANGE(""https://docs.google.com/spreadsheets/d/1MeEWN-I1oV_STSDYn1IFDPWt_1FKiwhDph83XaGc0o0/edit?usp=sharing"",""งบพรบ!BD90"")"),0)</f>
        <v>0</v>
      </c>
      <c r="H90" s="72">
        <f ca="1">IFERROR(__xludf.DUMMYFUNCTION("IMPORTRANGE(""https://docs.google.com/spreadsheets/d/1MeEWN-I1oV_STSDYn1IFDPWt_1FKiwhDph83XaGc0o0/edit?usp=sharing"",""งบพรบ!BF90"")"),0)</f>
        <v>0</v>
      </c>
      <c r="I90" s="72">
        <f ca="1">IFERROR(__xludf.DUMMYFUNCTION("IMPORTRANGE(""https://docs.google.com/spreadsheets/d/1MeEWN-I1oV_STSDYn1IFDPWt_1FKiwhDph83XaGc0o0/edit?usp=sharing"",""งบพรบ!BG90"")"),0)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IFERROR(__xludf.DUMMYFUNCTION("IMPORTRANGE(""https://docs.google.com/spreadsheets/d/1MeEWN-I1oV_STSDYn1IFDPWt_1FKiwhDph83XaGc0o0/edit?usp=sharing"",""งบพรบ!BH90"")"),0)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IFERROR(__xludf.DUMMYFUNCTION("IMPORTRANGE(""https://docs.google.com/spreadsheets/d/1MeEWN-I1oV_STSDYn1IFDPWt_1FKiwhDph83XaGc0o0/edit?usp=sharing"",""งบพรบ!BI90"")"),0)</f>
        <v>0</v>
      </c>
      <c r="P90" s="75">
        <f t="shared" ca="1" si="14"/>
        <v>0</v>
      </c>
      <c r="Q90" s="75">
        <f t="shared" ca="1" si="8"/>
        <v>0</v>
      </c>
    </row>
    <row r="91" spans="1:17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23"/>
        <v>0</v>
      </c>
      <c r="E91" s="82">
        <f ca="1">IFERROR(__xludf.DUMMYFUNCTION("IMPORTRANGE(""https://docs.google.com/spreadsheets/d/1MeEWN-I1oV_STSDYn1IFDPWt_1FKiwhDph83XaGc0o0/edit?usp=sharing"",""งบพรบ!BB91"")"),0)</f>
        <v>0</v>
      </c>
      <c r="F91" s="82">
        <f ca="1">IFERROR(__xludf.DUMMYFUNCTION("IMPORTRANGE(""https://docs.google.com/spreadsheets/d/1MeEWN-I1oV_STSDYn1IFDPWt_1FKiwhDph83XaGc0o0/edit?usp=sharing"",""งบพรบ!BC91"")"),0)</f>
        <v>0</v>
      </c>
      <c r="G91" s="82">
        <f ca="1">IFERROR(__xludf.DUMMYFUNCTION("IMPORTRANGE(""https://docs.google.com/spreadsheets/d/1MeEWN-I1oV_STSDYn1IFDPWt_1FKiwhDph83XaGc0o0/edit?usp=sharing"",""งบพรบ!BD91"")"),0)</f>
        <v>0</v>
      </c>
      <c r="H91" s="82">
        <f ca="1">IFERROR(__xludf.DUMMYFUNCTION("IMPORTRANGE(""https://docs.google.com/spreadsheets/d/1MeEWN-I1oV_STSDYn1IFDPWt_1FKiwhDph83XaGc0o0/edit?usp=sharing"",""งบพรบ!BF91"")"),0)</f>
        <v>0</v>
      </c>
      <c r="I91" s="82">
        <f ca="1">IFERROR(__xludf.DUMMYFUNCTION("IMPORTRANGE(""https://docs.google.com/spreadsheets/d/1MeEWN-I1oV_STSDYn1IFDPWt_1FKiwhDph83XaGc0o0/edit?usp=sharing"",""งบพรบ!BG91"")"),0)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IFERROR(__xludf.DUMMYFUNCTION("IMPORTRANGE(""https://docs.google.com/spreadsheets/d/1MeEWN-I1oV_STSDYn1IFDPWt_1FKiwhDph83XaGc0o0/edit?usp=sharing"",""งบพรบ!BH91"")"),0)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IFERROR(__xludf.DUMMYFUNCTION("IMPORTRANGE(""https://docs.google.com/spreadsheets/d/1MeEWN-I1oV_STSDYn1IFDPWt_1FKiwhDph83XaGc0o0/edit?usp=sharing"",""งบพรบ!BI91"")"),0)</f>
        <v>0</v>
      </c>
      <c r="P91" s="84">
        <f t="shared" ca="1" si="14"/>
        <v>0</v>
      </c>
      <c r="Q91" s="84">
        <f t="shared" ca="1" si="8"/>
        <v>0</v>
      </c>
    </row>
    <row r="92" spans="1:17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23"/>
        <v>0</v>
      </c>
      <c r="E92" s="82">
        <f ca="1">IFERROR(__xludf.DUMMYFUNCTION("IMPORTRANGE(""https://docs.google.com/spreadsheets/d/1MeEWN-I1oV_STSDYn1IFDPWt_1FKiwhDph83XaGc0o0/edit?usp=sharing"",""งบพรบ!BB92"")"),0)</f>
        <v>0</v>
      </c>
      <c r="F92" s="82">
        <f ca="1">IFERROR(__xludf.DUMMYFUNCTION("IMPORTRANGE(""https://docs.google.com/spreadsheets/d/1MeEWN-I1oV_STSDYn1IFDPWt_1FKiwhDph83XaGc0o0/edit?usp=sharing"",""งบพรบ!BC92"")"),0)</f>
        <v>0</v>
      </c>
      <c r="G92" s="82">
        <f ca="1">IFERROR(__xludf.DUMMYFUNCTION("IMPORTRANGE(""https://docs.google.com/spreadsheets/d/1MeEWN-I1oV_STSDYn1IFDPWt_1FKiwhDph83XaGc0o0/edit?usp=sharing"",""งบพรบ!BD92"")"),0)</f>
        <v>0</v>
      </c>
      <c r="H92" s="82">
        <f ca="1">IFERROR(__xludf.DUMMYFUNCTION("IMPORTRANGE(""https://docs.google.com/spreadsheets/d/1MeEWN-I1oV_STSDYn1IFDPWt_1FKiwhDph83XaGc0o0/edit?usp=sharing"",""งบพรบ!BF92"")"),0)</f>
        <v>0</v>
      </c>
      <c r="I92" s="82">
        <f ca="1">IFERROR(__xludf.DUMMYFUNCTION("IMPORTRANGE(""https://docs.google.com/spreadsheets/d/1MeEWN-I1oV_STSDYn1IFDPWt_1FKiwhDph83XaGc0o0/edit?usp=sharing"",""งบพรบ!BG92"")"),0)</f>
        <v>0</v>
      </c>
      <c r="J92" s="82">
        <f t="shared" ca="1" si="3"/>
        <v>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IFERROR(__xludf.DUMMYFUNCTION("IMPORTRANGE(""https://docs.google.com/spreadsheets/d/1MeEWN-I1oV_STSDYn1IFDPWt_1FKiwhDph83XaGc0o0/edit?usp=sharing"",""งบพรบ!BH92"")"),0)</f>
        <v>0</v>
      </c>
      <c r="M92" s="84">
        <f t="shared" ca="1" si="5"/>
        <v>0</v>
      </c>
      <c r="N92" s="84">
        <f t="shared" ca="1" si="6"/>
        <v>0</v>
      </c>
      <c r="O92" s="85">
        <f ca="1">IFERROR(__xludf.DUMMYFUNCTION("IMPORTRANGE(""https://docs.google.com/spreadsheets/d/1MeEWN-I1oV_STSDYn1IFDPWt_1FKiwhDph83XaGc0o0/edit?usp=sharing"",""งบพรบ!BI92"")"),0)</f>
        <v>0</v>
      </c>
      <c r="P92" s="84">
        <f t="shared" ca="1" si="14"/>
        <v>0</v>
      </c>
      <c r="Q92" s="84">
        <f t="shared" ca="1" si="8"/>
        <v>0</v>
      </c>
    </row>
    <row r="93" spans="1:17" ht="24" hidden="1" customHeight="1" x14ac:dyDescent="0.2">
      <c r="A93" s="111">
        <f t="shared" ref="A93:A103" si="24">+A92+1</f>
        <v>4</v>
      </c>
      <c r="B93" s="112" t="s">
        <v>115</v>
      </c>
      <c r="C93" s="80">
        <f t="shared" ca="1" si="0"/>
        <v>0</v>
      </c>
      <c r="D93" s="81">
        <f t="shared" ca="1" si="23"/>
        <v>0</v>
      </c>
      <c r="E93" s="82">
        <f ca="1">IFERROR(__xludf.DUMMYFUNCTION("IMPORTRANGE(""https://docs.google.com/spreadsheets/d/1MeEWN-I1oV_STSDYn1IFDPWt_1FKiwhDph83XaGc0o0/edit?usp=sharing"",""งบพรบ!BB93"")"),0)</f>
        <v>0</v>
      </c>
      <c r="F93" s="82">
        <f ca="1">IFERROR(__xludf.DUMMYFUNCTION("IMPORTRANGE(""https://docs.google.com/spreadsheets/d/1MeEWN-I1oV_STSDYn1IFDPWt_1FKiwhDph83XaGc0o0/edit?usp=sharing"",""งบพรบ!BC93"")"),0)</f>
        <v>0</v>
      </c>
      <c r="G93" s="82">
        <f ca="1">IFERROR(__xludf.DUMMYFUNCTION("IMPORTRANGE(""https://docs.google.com/spreadsheets/d/1MeEWN-I1oV_STSDYn1IFDPWt_1FKiwhDph83XaGc0o0/edit?usp=sharing"",""งบพรบ!BD93"")"),0)</f>
        <v>0</v>
      </c>
      <c r="H93" s="82">
        <f ca="1">IFERROR(__xludf.DUMMYFUNCTION("IMPORTRANGE(""https://docs.google.com/spreadsheets/d/1MeEWN-I1oV_STSDYn1IFDPWt_1FKiwhDph83XaGc0o0/edit?usp=sharing"",""งบพรบ!BF93"")"),0)</f>
        <v>0</v>
      </c>
      <c r="I93" s="82">
        <f ca="1">IFERROR(__xludf.DUMMYFUNCTION("IMPORTRANGE(""https://docs.google.com/spreadsheets/d/1MeEWN-I1oV_STSDYn1IFDPWt_1FKiwhDph83XaGc0o0/edit?usp=sharing"",""งบพรบ!BG93"")"),0)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IFERROR(__xludf.DUMMYFUNCTION("IMPORTRANGE(""https://docs.google.com/spreadsheets/d/1MeEWN-I1oV_STSDYn1IFDPWt_1FKiwhDph83XaGc0o0/edit?usp=sharing"",""งบพรบ!BH93"")"),0)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IFERROR(__xludf.DUMMYFUNCTION("IMPORTRANGE(""https://docs.google.com/spreadsheets/d/1MeEWN-I1oV_STSDYn1IFDPWt_1FKiwhDph83XaGc0o0/edit?usp=sharing"",""งบพรบ!BI93"")"),0)</f>
        <v>0</v>
      </c>
      <c r="P93" s="84">
        <f t="shared" ca="1" si="14"/>
        <v>0</v>
      </c>
      <c r="Q93" s="84">
        <f t="shared" ca="1" si="8"/>
        <v>0</v>
      </c>
    </row>
    <row r="94" spans="1:17" ht="24" hidden="1" customHeight="1" x14ac:dyDescent="0.2">
      <c r="A94" s="111">
        <f t="shared" si="24"/>
        <v>5</v>
      </c>
      <c r="B94" s="112" t="s">
        <v>116</v>
      </c>
      <c r="C94" s="80">
        <f t="shared" ca="1" si="0"/>
        <v>0</v>
      </c>
      <c r="D94" s="81">
        <f t="shared" ca="1" si="23"/>
        <v>0</v>
      </c>
      <c r="E94" s="82">
        <f ca="1">IFERROR(__xludf.DUMMYFUNCTION("IMPORTRANGE(""https://docs.google.com/spreadsheets/d/1MeEWN-I1oV_STSDYn1IFDPWt_1FKiwhDph83XaGc0o0/edit?usp=sharing"",""งบพรบ!BB94"")"),0)</f>
        <v>0</v>
      </c>
      <c r="F94" s="82">
        <f ca="1">IFERROR(__xludf.DUMMYFUNCTION("IMPORTRANGE(""https://docs.google.com/spreadsheets/d/1MeEWN-I1oV_STSDYn1IFDPWt_1FKiwhDph83XaGc0o0/edit?usp=sharing"",""งบพรบ!BC94"")"),0)</f>
        <v>0</v>
      </c>
      <c r="G94" s="82">
        <f ca="1">IFERROR(__xludf.DUMMYFUNCTION("IMPORTRANGE(""https://docs.google.com/spreadsheets/d/1MeEWN-I1oV_STSDYn1IFDPWt_1FKiwhDph83XaGc0o0/edit?usp=sharing"",""งบพรบ!BD94"")"),0)</f>
        <v>0</v>
      </c>
      <c r="H94" s="82">
        <f ca="1">IFERROR(__xludf.DUMMYFUNCTION("IMPORTRANGE(""https://docs.google.com/spreadsheets/d/1MeEWN-I1oV_STSDYn1IFDPWt_1FKiwhDph83XaGc0o0/edit?usp=sharing"",""งบพรบ!BF94"")"),0)</f>
        <v>0</v>
      </c>
      <c r="I94" s="82">
        <f ca="1">IFERROR(__xludf.DUMMYFUNCTION("IMPORTRANGE(""https://docs.google.com/spreadsheets/d/1MeEWN-I1oV_STSDYn1IFDPWt_1FKiwhDph83XaGc0o0/edit?usp=sharing"",""งบพรบ!BG94"")"),0)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IFERROR(__xludf.DUMMYFUNCTION("IMPORTRANGE(""https://docs.google.com/spreadsheets/d/1MeEWN-I1oV_STSDYn1IFDPWt_1FKiwhDph83XaGc0o0/edit?usp=sharing"",""งบพรบ!BH94"")"),0)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IFERROR(__xludf.DUMMYFUNCTION("IMPORTRANGE(""https://docs.google.com/spreadsheets/d/1MeEWN-I1oV_STSDYn1IFDPWt_1FKiwhDph83XaGc0o0/edit?usp=sharing"",""งบพรบ!BI94"")"),0)</f>
        <v>0</v>
      </c>
      <c r="P94" s="84">
        <f t="shared" ca="1" si="14"/>
        <v>0</v>
      </c>
      <c r="Q94" s="84">
        <f t="shared" ca="1" si="8"/>
        <v>0</v>
      </c>
    </row>
    <row r="95" spans="1:17" ht="24" hidden="1" customHeight="1" x14ac:dyDescent="0.2">
      <c r="A95" s="111">
        <f t="shared" si="24"/>
        <v>6</v>
      </c>
      <c r="B95" s="112" t="s">
        <v>117</v>
      </c>
      <c r="C95" s="80">
        <f t="shared" ca="1" si="0"/>
        <v>0</v>
      </c>
      <c r="D95" s="81">
        <f t="shared" ca="1" si="23"/>
        <v>0</v>
      </c>
      <c r="E95" s="82">
        <f ca="1">IFERROR(__xludf.DUMMYFUNCTION("IMPORTRANGE(""https://docs.google.com/spreadsheets/d/1MeEWN-I1oV_STSDYn1IFDPWt_1FKiwhDph83XaGc0o0/edit?usp=sharing"",""งบพรบ!BB95"")"),0)</f>
        <v>0</v>
      </c>
      <c r="F95" s="82">
        <f ca="1">IFERROR(__xludf.DUMMYFUNCTION("IMPORTRANGE(""https://docs.google.com/spreadsheets/d/1MeEWN-I1oV_STSDYn1IFDPWt_1FKiwhDph83XaGc0o0/edit?usp=sharing"",""งบพรบ!BC95"")"),0)</f>
        <v>0</v>
      </c>
      <c r="G95" s="82">
        <f ca="1">IFERROR(__xludf.DUMMYFUNCTION("IMPORTRANGE(""https://docs.google.com/spreadsheets/d/1MeEWN-I1oV_STSDYn1IFDPWt_1FKiwhDph83XaGc0o0/edit?usp=sharing"",""งบพรบ!BD95"")"),0)</f>
        <v>0</v>
      </c>
      <c r="H95" s="82">
        <f ca="1">IFERROR(__xludf.DUMMYFUNCTION("IMPORTRANGE(""https://docs.google.com/spreadsheets/d/1MeEWN-I1oV_STSDYn1IFDPWt_1FKiwhDph83XaGc0o0/edit?usp=sharing"",""งบพรบ!BF95"")"),0)</f>
        <v>0</v>
      </c>
      <c r="I95" s="82">
        <f ca="1">IFERROR(__xludf.DUMMYFUNCTION("IMPORTRANGE(""https://docs.google.com/spreadsheets/d/1MeEWN-I1oV_STSDYn1IFDPWt_1FKiwhDph83XaGc0o0/edit?usp=sharing"",""งบพรบ!BG95"")"),0)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IFERROR(__xludf.DUMMYFUNCTION("IMPORTRANGE(""https://docs.google.com/spreadsheets/d/1MeEWN-I1oV_STSDYn1IFDPWt_1FKiwhDph83XaGc0o0/edit?usp=sharing"",""งบพรบ!BH95"")"),0)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IFERROR(__xludf.DUMMYFUNCTION("IMPORTRANGE(""https://docs.google.com/spreadsheets/d/1MeEWN-I1oV_STSDYn1IFDPWt_1FKiwhDph83XaGc0o0/edit?usp=sharing"",""งบพรบ!BI95"")"),0)</f>
        <v>0</v>
      </c>
      <c r="P95" s="84">
        <f t="shared" ca="1" si="14"/>
        <v>0</v>
      </c>
      <c r="Q95" s="84">
        <f t="shared" ca="1" si="8"/>
        <v>0</v>
      </c>
    </row>
    <row r="96" spans="1:17" ht="24" hidden="1" customHeight="1" x14ac:dyDescent="0.2">
      <c r="A96" s="111">
        <f t="shared" si="24"/>
        <v>7</v>
      </c>
      <c r="B96" s="112" t="s">
        <v>118</v>
      </c>
      <c r="C96" s="80">
        <f t="shared" ca="1" si="0"/>
        <v>0</v>
      </c>
      <c r="D96" s="81">
        <f t="shared" ca="1" si="23"/>
        <v>0</v>
      </c>
      <c r="E96" s="82">
        <f ca="1">IFERROR(__xludf.DUMMYFUNCTION("IMPORTRANGE(""https://docs.google.com/spreadsheets/d/1MeEWN-I1oV_STSDYn1IFDPWt_1FKiwhDph83XaGc0o0/edit?usp=sharing"",""งบพรบ!BB96"")"),0)</f>
        <v>0</v>
      </c>
      <c r="F96" s="82">
        <f ca="1">IFERROR(__xludf.DUMMYFUNCTION("IMPORTRANGE(""https://docs.google.com/spreadsheets/d/1MeEWN-I1oV_STSDYn1IFDPWt_1FKiwhDph83XaGc0o0/edit?usp=sharing"",""งบพรบ!BC96"")"),0)</f>
        <v>0</v>
      </c>
      <c r="G96" s="82">
        <f ca="1">IFERROR(__xludf.DUMMYFUNCTION("IMPORTRANGE(""https://docs.google.com/spreadsheets/d/1MeEWN-I1oV_STSDYn1IFDPWt_1FKiwhDph83XaGc0o0/edit?usp=sharing"",""งบพรบ!BD96"")"),0)</f>
        <v>0</v>
      </c>
      <c r="H96" s="82">
        <f ca="1">IFERROR(__xludf.DUMMYFUNCTION("IMPORTRANGE(""https://docs.google.com/spreadsheets/d/1MeEWN-I1oV_STSDYn1IFDPWt_1FKiwhDph83XaGc0o0/edit?usp=sharing"",""งบพรบ!BF96"")"),0)</f>
        <v>0</v>
      </c>
      <c r="I96" s="82">
        <f ca="1">IFERROR(__xludf.DUMMYFUNCTION("IMPORTRANGE(""https://docs.google.com/spreadsheets/d/1MeEWN-I1oV_STSDYn1IFDPWt_1FKiwhDph83XaGc0o0/edit?usp=sharing"",""งบพรบ!BG96"")"),0)</f>
        <v>0</v>
      </c>
      <c r="J96" s="82">
        <f t="shared" ca="1" si="3"/>
        <v>0</v>
      </c>
      <c r="K96" s="83">
        <f t="shared" ca="1" si="4"/>
        <v>0</v>
      </c>
      <c r="L96" s="82">
        <f ca="1">IFERROR(__xludf.DUMMYFUNCTION("IMPORTRANGE(""https://docs.google.com/spreadsheets/d/1MeEWN-I1oV_STSDYn1IFDPWt_1FKiwhDph83XaGc0o0/edit?usp=sharing"",""งบพรบ!BH96"")"),0)</f>
        <v>0</v>
      </c>
      <c r="M96" s="84">
        <f t="shared" ca="1" si="5"/>
        <v>0</v>
      </c>
      <c r="N96" s="84">
        <f t="shared" ca="1" si="6"/>
        <v>0</v>
      </c>
      <c r="O96" s="85">
        <f ca="1">IFERROR(__xludf.DUMMYFUNCTION("IMPORTRANGE(""https://docs.google.com/spreadsheets/d/1MeEWN-I1oV_STSDYn1IFDPWt_1FKiwhDph83XaGc0o0/edit?usp=sharing"",""งบพรบ!BI96"")"),0)</f>
        <v>0</v>
      </c>
      <c r="P96" s="84">
        <f t="shared" ca="1" si="14"/>
        <v>0</v>
      </c>
      <c r="Q96" s="84">
        <f t="shared" ca="1" si="8"/>
        <v>0</v>
      </c>
    </row>
    <row r="97" spans="1:17" ht="24" hidden="1" customHeight="1" x14ac:dyDescent="0.2">
      <c r="A97" s="111">
        <f t="shared" si="24"/>
        <v>8</v>
      </c>
      <c r="B97" s="112" t="s">
        <v>119</v>
      </c>
      <c r="C97" s="80">
        <f t="shared" ca="1" si="0"/>
        <v>0</v>
      </c>
      <c r="D97" s="81">
        <f t="shared" ca="1" si="23"/>
        <v>0</v>
      </c>
      <c r="E97" s="82">
        <f ca="1">IFERROR(__xludf.DUMMYFUNCTION("IMPORTRANGE(""https://docs.google.com/spreadsheets/d/1MeEWN-I1oV_STSDYn1IFDPWt_1FKiwhDph83XaGc0o0/edit?usp=sharing"",""งบพรบ!BB97"")"),0)</f>
        <v>0</v>
      </c>
      <c r="F97" s="82">
        <f ca="1">IFERROR(__xludf.DUMMYFUNCTION("IMPORTRANGE(""https://docs.google.com/spreadsheets/d/1MeEWN-I1oV_STSDYn1IFDPWt_1FKiwhDph83XaGc0o0/edit?usp=sharing"",""งบพรบ!BC97"")"),0)</f>
        <v>0</v>
      </c>
      <c r="G97" s="82">
        <f ca="1">IFERROR(__xludf.DUMMYFUNCTION("IMPORTRANGE(""https://docs.google.com/spreadsheets/d/1MeEWN-I1oV_STSDYn1IFDPWt_1FKiwhDph83XaGc0o0/edit?usp=sharing"",""งบพรบ!BD97"")"),0)</f>
        <v>0</v>
      </c>
      <c r="H97" s="82">
        <f ca="1">IFERROR(__xludf.DUMMYFUNCTION("IMPORTRANGE(""https://docs.google.com/spreadsheets/d/1MeEWN-I1oV_STSDYn1IFDPWt_1FKiwhDph83XaGc0o0/edit?usp=sharing"",""งบพรบ!BF97"")"),0)</f>
        <v>0</v>
      </c>
      <c r="I97" s="82">
        <f ca="1">IFERROR(__xludf.DUMMYFUNCTION("IMPORTRANGE(""https://docs.google.com/spreadsheets/d/1MeEWN-I1oV_STSDYn1IFDPWt_1FKiwhDph83XaGc0o0/edit?usp=sharing"",""งบพรบ!BG97"")"),0)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IFERROR(__xludf.DUMMYFUNCTION("IMPORTRANGE(""https://docs.google.com/spreadsheets/d/1MeEWN-I1oV_STSDYn1IFDPWt_1FKiwhDph83XaGc0o0/edit?usp=sharing"",""งบพรบ!BH97"")"),0)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IFERROR(__xludf.DUMMYFUNCTION("IMPORTRANGE(""https://docs.google.com/spreadsheets/d/1MeEWN-I1oV_STSDYn1IFDPWt_1FKiwhDph83XaGc0o0/edit?usp=sharing"",""งบพรบ!BI97"")"),0)</f>
        <v>0</v>
      </c>
      <c r="P97" s="84">
        <f t="shared" ca="1" si="14"/>
        <v>0</v>
      </c>
      <c r="Q97" s="84">
        <f t="shared" ca="1" si="8"/>
        <v>0</v>
      </c>
    </row>
    <row r="98" spans="1:17" ht="24" hidden="1" customHeight="1" x14ac:dyDescent="0.2">
      <c r="A98" s="111">
        <f t="shared" si="24"/>
        <v>9</v>
      </c>
      <c r="B98" s="112" t="s">
        <v>120</v>
      </c>
      <c r="C98" s="80">
        <f t="shared" ca="1" si="0"/>
        <v>0</v>
      </c>
      <c r="D98" s="81">
        <f t="shared" ca="1" si="23"/>
        <v>0</v>
      </c>
      <c r="E98" s="82">
        <f ca="1">IFERROR(__xludf.DUMMYFUNCTION("IMPORTRANGE(""https://docs.google.com/spreadsheets/d/1MeEWN-I1oV_STSDYn1IFDPWt_1FKiwhDph83XaGc0o0/edit?usp=sharing"",""งบพรบ!BB98"")"),0)</f>
        <v>0</v>
      </c>
      <c r="F98" s="82">
        <f ca="1">IFERROR(__xludf.DUMMYFUNCTION("IMPORTRANGE(""https://docs.google.com/spreadsheets/d/1MeEWN-I1oV_STSDYn1IFDPWt_1FKiwhDph83XaGc0o0/edit?usp=sharing"",""งบพรบ!BC98"")"),0)</f>
        <v>0</v>
      </c>
      <c r="G98" s="82">
        <f ca="1">IFERROR(__xludf.DUMMYFUNCTION("IMPORTRANGE(""https://docs.google.com/spreadsheets/d/1MeEWN-I1oV_STSDYn1IFDPWt_1FKiwhDph83XaGc0o0/edit?usp=sharing"",""งบพรบ!BD98"")"),0)</f>
        <v>0</v>
      </c>
      <c r="H98" s="82">
        <f ca="1">IFERROR(__xludf.DUMMYFUNCTION("IMPORTRANGE(""https://docs.google.com/spreadsheets/d/1MeEWN-I1oV_STSDYn1IFDPWt_1FKiwhDph83XaGc0o0/edit?usp=sharing"",""งบพรบ!BF98"")"),0)</f>
        <v>0</v>
      </c>
      <c r="I98" s="82">
        <f ca="1">IFERROR(__xludf.DUMMYFUNCTION("IMPORTRANGE(""https://docs.google.com/spreadsheets/d/1MeEWN-I1oV_STSDYn1IFDPWt_1FKiwhDph83XaGc0o0/edit?usp=sharing"",""งบพรบ!BG98"")"),0)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IFERROR(__xludf.DUMMYFUNCTION("IMPORTRANGE(""https://docs.google.com/spreadsheets/d/1MeEWN-I1oV_STSDYn1IFDPWt_1FKiwhDph83XaGc0o0/edit?usp=sharing"",""งบพรบ!BH98"")"),0)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IFERROR(__xludf.DUMMYFUNCTION("IMPORTRANGE(""https://docs.google.com/spreadsheets/d/1MeEWN-I1oV_STSDYn1IFDPWt_1FKiwhDph83XaGc0o0/edit?usp=sharing"",""งบพรบ!BI98"")"),0)</f>
        <v>0</v>
      </c>
      <c r="P98" s="84">
        <f t="shared" ca="1" si="14"/>
        <v>0</v>
      </c>
      <c r="Q98" s="84">
        <f t="shared" ca="1" si="8"/>
        <v>0</v>
      </c>
    </row>
    <row r="99" spans="1:17" ht="24" hidden="1" customHeight="1" x14ac:dyDescent="0.2">
      <c r="A99" s="111">
        <f t="shared" si="24"/>
        <v>10</v>
      </c>
      <c r="B99" s="112" t="s">
        <v>121</v>
      </c>
      <c r="C99" s="80">
        <f t="shared" ca="1" si="0"/>
        <v>0</v>
      </c>
      <c r="D99" s="81">
        <f t="shared" ca="1" si="23"/>
        <v>0</v>
      </c>
      <c r="E99" s="82">
        <f ca="1">IFERROR(__xludf.DUMMYFUNCTION("IMPORTRANGE(""https://docs.google.com/spreadsheets/d/1MeEWN-I1oV_STSDYn1IFDPWt_1FKiwhDph83XaGc0o0/edit?usp=sharing"",""งบพรบ!BB99"")"),0)</f>
        <v>0</v>
      </c>
      <c r="F99" s="82">
        <f ca="1">IFERROR(__xludf.DUMMYFUNCTION("IMPORTRANGE(""https://docs.google.com/spreadsheets/d/1MeEWN-I1oV_STSDYn1IFDPWt_1FKiwhDph83XaGc0o0/edit?usp=sharing"",""งบพรบ!BC99"")"),0)</f>
        <v>0</v>
      </c>
      <c r="G99" s="82">
        <f ca="1">IFERROR(__xludf.DUMMYFUNCTION("IMPORTRANGE(""https://docs.google.com/spreadsheets/d/1MeEWN-I1oV_STSDYn1IFDPWt_1FKiwhDph83XaGc0o0/edit?usp=sharing"",""งบพรบ!BD99"")"),0)</f>
        <v>0</v>
      </c>
      <c r="H99" s="82">
        <f ca="1">IFERROR(__xludf.DUMMYFUNCTION("IMPORTRANGE(""https://docs.google.com/spreadsheets/d/1MeEWN-I1oV_STSDYn1IFDPWt_1FKiwhDph83XaGc0o0/edit?usp=sharing"",""งบพรบ!BF99"")"),0)</f>
        <v>0</v>
      </c>
      <c r="I99" s="82">
        <f ca="1">IFERROR(__xludf.DUMMYFUNCTION("IMPORTRANGE(""https://docs.google.com/spreadsheets/d/1MeEWN-I1oV_STSDYn1IFDPWt_1FKiwhDph83XaGc0o0/edit?usp=sharing"",""งบพรบ!BG99"")"),0)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IFERROR(__xludf.DUMMYFUNCTION("IMPORTRANGE(""https://docs.google.com/spreadsheets/d/1MeEWN-I1oV_STSDYn1IFDPWt_1FKiwhDph83XaGc0o0/edit?usp=sharing"",""งบพรบ!BH99"")"),0)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IFERROR(__xludf.DUMMYFUNCTION("IMPORTRANGE(""https://docs.google.com/spreadsheets/d/1MeEWN-I1oV_STSDYn1IFDPWt_1FKiwhDph83XaGc0o0/edit?usp=sharing"",""งบพรบ!BI99"")"),0)</f>
        <v>0</v>
      </c>
      <c r="P99" s="84">
        <f t="shared" ca="1" si="14"/>
        <v>0</v>
      </c>
      <c r="Q99" s="84">
        <f t="shared" ca="1" si="8"/>
        <v>0</v>
      </c>
    </row>
    <row r="100" spans="1:17" ht="24" hidden="1" customHeight="1" x14ac:dyDescent="0.2">
      <c r="A100" s="111">
        <f t="shared" si="24"/>
        <v>11</v>
      </c>
      <c r="B100" s="112" t="s">
        <v>122</v>
      </c>
      <c r="C100" s="80">
        <f t="shared" ca="1" si="0"/>
        <v>0</v>
      </c>
      <c r="D100" s="81">
        <f t="shared" ca="1" si="23"/>
        <v>0</v>
      </c>
      <c r="E100" s="82">
        <f ca="1">IFERROR(__xludf.DUMMYFUNCTION("IMPORTRANGE(""https://docs.google.com/spreadsheets/d/1MeEWN-I1oV_STSDYn1IFDPWt_1FKiwhDph83XaGc0o0/edit?usp=sharing"",""งบพรบ!BB100"")"),0)</f>
        <v>0</v>
      </c>
      <c r="F100" s="82">
        <f ca="1">IFERROR(__xludf.DUMMYFUNCTION("IMPORTRANGE(""https://docs.google.com/spreadsheets/d/1MeEWN-I1oV_STSDYn1IFDPWt_1FKiwhDph83XaGc0o0/edit?usp=sharing"",""งบพรบ!BC100"")"),0)</f>
        <v>0</v>
      </c>
      <c r="G100" s="82">
        <f ca="1">IFERROR(__xludf.DUMMYFUNCTION("IMPORTRANGE(""https://docs.google.com/spreadsheets/d/1MeEWN-I1oV_STSDYn1IFDPWt_1FKiwhDph83XaGc0o0/edit?usp=sharing"",""งบพรบ!BD100"")"),0)</f>
        <v>0</v>
      </c>
      <c r="H100" s="82">
        <f ca="1">IFERROR(__xludf.DUMMYFUNCTION("IMPORTRANGE(""https://docs.google.com/spreadsheets/d/1MeEWN-I1oV_STSDYn1IFDPWt_1FKiwhDph83XaGc0o0/edit?usp=sharing"",""งบพรบ!BF100"")"),0)</f>
        <v>0</v>
      </c>
      <c r="I100" s="82">
        <f ca="1">IFERROR(__xludf.DUMMYFUNCTION("IMPORTRANGE(""https://docs.google.com/spreadsheets/d/1MeEWN-I1oV_STSDYn1IFDPWt_1FKiwhDph83XaGc0o0/edit?usp=sharing"",""งบพรบ!BG100"")"),0)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IFERROR(__xludf.DUMMYFUNCTION("IMPORTRANGE(""https://docs.google.com/spreadsheets/d/1MeEWN-I1oV_STSDYn1IFDPWt_1FKiwhDph83XaGc0o0/edit?usp=sharing"",""งบพรบ!BH100"")"),0)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IFERROR(__xludf.DUMMYFUNCTION("IMPORTRANGE(""https://docs.google.com/spreadsheets/d/1MeEWN-I1oV_STSDYn1IFDPWt_1FKiwhDph83XaGc0o0/edit?usp=sharing"",""งบพรบ!BI100"")"),0)</f>
        <v>0</v>
      </c>
      <c r="P100" s="84">
        <f t="shared" ca="1" si="14"/>
        <v>0</v>
      </c>
      <c r="Q100" s="84">
        <f t="shared" ca="1" si="8"/>
        <v>0</v>
      </c>
    </row>
    <row r="101" spans="1:17" ht="24" hidden="1" customHeight="1" x14ac:dyDescent="0.2">
      <c r="A101" s="111">
        <f t="shared" si="24"/>
        <v>12</v>
      </c>
      <c r="B101" s="112" t="s">
        <v>123</v>
      </c>
      <c r="C101" s="80">
        <f t="shared" ca="1" si="0"/>
        <v>0</v>
      </c>
      <c r="D101" s="81">
        <f t="shared" ca="1" si="23"/>
        <v>0</v>
      </c>
      <c r="E101" s="82">
        <f ca="1">IFERROR(__xludf.DUMMYFUNCTION("IMPORTRANGE(""https://docs.google.com/spreadsheets/d/1MeEWN-I1oV_STSDYn1IFDPWt_1FKiwhDph83XaGc0o0/edit?usp=sharing"",""งบพรบ!BB101"")"),0)</f>
        <v>0</v>
      </c>
      <c r="F101" s="82">
        <f ca="1">IFERROR(__xludf.DUMMYFUNCTION("IMPORTRANGE(""https://docs.google.com/spreadsheets/d/1MeEWN-I1oV_STSDYn1IFDPWt_1FKiwhDph83XaGc0o0/edit?usp=sharing"",""งบพรบ!BC101"")"),0)</f>
        <v>0</v>
      </c>
      <c r="G101" s="82">
        <f ca="1">IFERROR(__xludf.DUMMYFUNCTION("IMPORTRANGE(""https://docs.google.com/spreadsheets/d/1MeEWN-I1oV_STSDYn1IFDPWt_1FKiwhDph83XaGc0o0/edit?usp=sharing"",""งบพรบ!BD101"")"),0)</f>
        <v>0</v>
      </c>
      <c r="H101" s="82">
        <f ca="1">IFERROR(__xludf.DUMMYFUNCTION("IMPORTRANGE(""https://docs.google.com/spreadsheets/d/1MeEWN-I1oV_STSDYn1IFDPWt_1FKiwhDph83XaGc0o0/edit?usp=sharing"",""งบพรบ!BF101"")"),0)</f>
        <v>0</v>
      </c>
      <c r="I101" s="82">
        <f ca="1">IFERROR(__xludf.DUMMYFUNCTION("IMPORTRANGE(""https://docs.google.com/spreadsheets/d/1MeEWN-I1oV_STSDYn1IFDPWt_1FKiwhDph83XaGc0o0/edit?usp=sharing"",""งบพรบ!BG101"")"),0)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IFERROR(__xludf.DUMMYFUNCTION("IMPORTRANGE(""https://docs.google.com/spreadsheets/d/1MeEWN-I1oV_STSDYn1IFDPWt_1FKiwhDph83XaGc0o0/edit?usp=sharing"",""งบพรบ!BH101"")"),0)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IFERROR(__xludf.DUMMYFUNCTION("IMPORTRANGE(""https://docs.google.com/spreadsheets/d/1MeEWN-I1oV_STSDYn1IFDPWt_1FKiwhDph83XaGc0o0/edit?usp=sharing"",""งบพรบ!BI101"")"),0)</f>
        <v>0</v>
      </c>
      <c r="P101" s="84">
        <f t="shared" ca="1" si="14"/>
        <v>0</v>
      </c>
      <c r="Q101" s="84">
        <f t="shared" ca="1" si="8"/>
        <v>0</v>
      </c>
    </row>
    <row r="102" spans="1:17" ht="24" hidden="1" customHeight="1" x14ac:dyDescent="0.2">
      <c r="A102" s="111">
        <f t="shared" si="24"/>
        <v>13</v>
      </c>
      <c r="B102" s="112" t="s">
        <v>124</v>
      </c>
      <c r="C102" s="80">
        <f t="shared" ca="1" si="0"/>
        <v>0</v>
      </c>
      <c r="D102" s="81">
        <f t="shared" ca="1" si="23"/>
        <v>0</v>
      </c>
      <c r="E102" s="82">
        <f ca="1">IFERROR(__xludf.DUMMYFUNCTION("IMPORTRANGE(""https://docs.google.com/spreadsheets/d/1MeEWN-I1oV_STSDYn1IFDPWt_1FKiwhDph83XaGc0o0/edit?usp=sharing"",""งบพรบ!BB102"")"),0)</f>
        <v>0</v>
      </c>
      <c r="F102" s="82">
        <f ca="1">IFERROR(__xludf.DUMMYFUNCTION("IMPORTRANGE(""https://docs.google.com/spreadsheets/d/1MeEWN-I1oV_STSDYn1IFDPWt_1FKiwhDph83XaGc0o0/edit?usp=sharing"",""งบพรบ!BC102"")"),0)</f>
        <v>0</v>
      </c>
      <c r="G102" s="82">
        <f ca="1">IFERROR(__xludf.DUMMYFUNCTION("IMPORTRANGE(""https://docs.google.com/spreadsheets/d/1MeEWN-I1oV_STSDYn1IFDPWt_1FKiwhDph83XaGc0o0/edit?usp=sharing"",""งบพรบ!BD102"")"),0)</f>
        <v>0</v>
      </c>
      <c r="H102" s="82">
        <f ca="1">IFERROR(__xludf.DUMMYFUNCTION("IMPORTRANGE(""https://docs.google.com/spreadsheets/d/1MeEWN-I1oV_STSDYn1IFDPWt_1FKiwhDph83XaGc0o0/edit?usp=sharing"",""งบพรบ!BF102"")"),0)</f>
        <v>0</v>
      </c>
      <c r="I102" s="82">
        <f ca="1">IFERROR(__xludf.DUMMYFUNCTION("IMPORTRANGE(""https://docs.google.com/spreadsheets/d/1MeEWN-I1oV_STSDYn1IFDPWt_1FKiwhDph83XaGc0o0/edit?usp=sharing"",""งบพรบ!BG102"")"),0)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IFERROR(__xludf.DUMMYFUNCTION("IMPORTRANGE(""https://docs.google.com/spreadsheets/d/1MeEWN-I1oV_STSDYn1IFDPWt_1FKiwhDph83XaGc0o0/edit?usp=sharing"",""งบพรบ!BH102"")"),0)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IFERROR(__xludf.DUMMYFUNCTION("IMPORTRANGE(""https://docs.google.com/spreadsheets/d/1MeEWN-I1oV_STSDYn1IFDPWt_1FKiwhDph83XaGc0o0/edit?usp=sharing"",""งบพรบ!BI102"")"),0)</f>
        <v>0</v>
      </c>
      <c r="P102" s="84">
        <f t="shared" ca="1" si="14"/>
        <v>0</v>
      </c>
      <c r="Q102" s="84">
        <f t="shared" ca="1" si="8"/>
        <v>0</v>
      </c>
    </row>
    <row r="103" spans="1:17" ht="24" hidden="1" customHeight="1" x14ac:dyDescent="0.2">
      <c r="A103" s="113">
        <f t="shared" si="24"/>
        <v>14</v>
      </c>
      <c r="B103" s="114" t="s">
        <v>125</v>
      </c>
      <c r="C103" s="91">
        <f t="shared" ca="1" si="0"/>
        <v>0</v>
      </c>
      <c r="D103" s="92">
        <f t="shared" ca="1" si="23"/>
        <v>0</v>
      </c>
      <c r="E103" s="93">
        <f ca="1">IFERROR(__xludf.DUMMYFUNCTION("IMPORTRANGE(""https://docs.google.com/spreadsheets/d/1MeEWN-I1oV_STSDYn1IFDPWt_1FKiwhDph83XaGc0o0/edit?usp=sharing"",""งบพรบ!BB103"")"),0)</f>
        <v>0</v>
      </c>
      <c r="F103" s="93">
        <f ca="1">IFERROR(__xludf.DUMMYFUNCTION("IMPORTRANGE(""https://docs.google.com/spreadsheets/d/1MeEWN-I1oV_STSDYn1IFDPWt_1FKiwhDph83XaGc0o0/edit?usp=sharing"",""งบพรบ!BC103"")"),0)</f>
        <v>0</v>
      </c>
      <c r="G103" s="93">
        <f ca="1">IFERROR(__xludf.DUMMYFUNCTION("IMPORTRANGE(""https://docs.google.com/spreadsheets/d/1MeEWN-I1oV_STSDYn1IFDPWt_1FKiwhDph83XaGc0o0/edit?usp=sharing"",""งบพรบ!BD103"")"),0)</f>
        <v>0</v>
      </c>
      <c r="H103" s="93">
        <f ca="1">IFERROR(__xludf.DUMMYFUNCTION("IMPORTRANGE(""https://docs.google.com/spreadsheets/d/1MeEWN-I1oV_STSDYn1IFDPWt_1FKiwhDph83XaGc0o0/edit?usp=sharing"",""งบพรบ!BF103"")"),0)</f>
        <v>0</v>
      </c>
      <c r="I103" s="93">
        <f ca="1">IFERROR(__xludf.DUMMYFUNCTION("IMPORTRANGE(""https://docs.google.com/spreadsheets/d/1MeEWN-I1oV_STSDYn1IFDPWt_1FKiwhDph83XaGc0o0/edit?usp=sharing"",""งบพรบ!BG103"")"),0)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IFERROR(__xludf.DUMMYFUNCTION("IMPORTRANGE(""https://docs.google.com/spreadsheets/d/1MeEWN-I1oV_STSDYn1IFDPWt_1FKiwhDph83XaGc0o0/edit?usp=sharing"",""งบพรบ!BH103"")"),0)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IFERROR(__xludf.DUMMYFUNCTION("IMPORTRANGE(""https://docs.google.com/spreadsheets/d/1MeEWN-I1oV_STSDYn1IFDPWt_1FKiwhDph83XaGc0o0/edit?usp=sharing"",""งบพรบ!BI103"")"),0)</f>
        <v>0</v>
      </c>
      <c r="P103" s="95">
        <f t="shared" ca="1" si="14"/>
        <v>0</v>
      </c>
      <c r="Q103" s="95">
        <f t="shared" ca="1" si="8"/>
        <v>0</v>
      </c>
    </row>
    <row r="104" spans="1:17" ht="21" hidden="1" customHeight="1" x14ac:dyDescent="0.2">
      <c r="A104" s="381" t="s">
        <v>126</v>
      </c>
      <c r="B104" s="357"/>
      <c r="C104" s="107">
        <f t="shared" ca="1" si="0"/>
        <v>0</v>
      </c>
      <c r="D104" s="46">
        <f ca="1">SUM(D105:D116)</f>
        <v>0</v>
      </c>
      <c r="E104" s="46">
        <f ca="1">IFERROR(__xludf.DUMMYFUNCTION("IMPORTRANGE(""https://docs.google.com/spreadsheets/d/1MeEWN-I1oV_STSDYn1IFDPWt_1FKiwhDph83XaGc0o0/edit?usp=sharing"",""งบพรบ!BB104"")"),0)</f>
        <v>0</v>
      </c>
      <c r="F104" s="46">
        <f ca="1">IFERROR(__xludf.DUMMYFUNCTION("IMPORTRANGE(""https://docs.google.com/spreadsheets/d/1MeEWN-I1oV_STSDYn1IFDPWt_1FKiwhDph83XaGc0o0/edit?usp=sharing"",""งบพรบ!BC104"")"),0)</f>
        <v>0</v>
      </c>
      <c r="G104" s="46">
        <f ca="1">IFERROR(__xludf.DUMMYFUNCTION("IMPORTRANGE(""https://docs.google.com/spreadsheets/d/1MeEWN-I1oV_STSDYn1IFDPWt_1FKiwhDph83XaGc0o0/edit?usp=sharing"",""งบพรบ!BD104"")"),0)</f>
        <v>0</v>
      </c>
      <c r="H104" s="46">
        <f ca="1">IFERROR(__xludf.DUMMYFUNCTION("IMPORTRANGE(""https://docs.google.com/spreadsheets/d/1MeEWN-I1oV_STSDYn1IFDPWt_1FKiwhDph83XaGc0o0/edit?usp=sharing"",""งบพรบ!BF104"")"),0)</f>
        <v>0</v>
      </c>
      <c r="I104" s="46">
        <f ca="1">IFERROR(__xludf.DUMMYFUNCTION("IMPORTRANGE(""https://docs.google.com/spreadsheets/d/1MeEWN-I1oV_STSDYn1IFDPWt_1FKiwhDph83XaGc0o0/edit?usp=sharing"",""งบพรบ!BG104"")"),50)</f>
        <v>50</v>
      </c>
      <c r="J104" s="46">
        <f t="shared" ca="1" si="3"/>
        <v>0</v>
      </c>
      <c r="K104" s="48">
        <f t="shared" ca="1" si="4"/>
        <v>0</v>
      </c>
      <c r="L104" s="46">
        <f ca="1">IFERROR(__xludf.DUMMYFUNCTION("IMPORTRANGE(""https://docs.google.com/spreadsheets/d/1MeEWN-I1oV_STSDYn1IFDPWt_1FKiwhDph83XaGc0o0/edit?usp=sharing"",""งบพรบ!BH104"")"),0)</f>
        <v>0</v>
      </c>
      <c r="M104" s="46">
        <f t="shared" ca="1" si="5"/>
        <v>0</v>
      </c>
      <c r="N104" s="46">
        <f t="shared" ca="1" si="6"/>
        <v>0</v>
      </c>
      <c r="O104" s="46">
        <f ca="1">IFERROR(__xludf.DUMMYFUNCTION("IMPORTRANGE(""https://docs.google.com/spreadsheets/d/1MeEWN-I1oV_STSDYn1IFDPWt_1FKiwhDph83XaGc0o0/edit?usp=sharing"",""งบพรบ!BI104"")"),0)</f>
        <v>0</v>
      </c>
      <c r="P104" s="46">
        <f t="shared" ca="1" si="14"/>
        <v>0</v>
      </c>
      <c r="Q104" s="46">
        <f t="shared" ca="1" si="8"/>
        <v>0</v>
      </c>
    </row>
    <row r="105" spans="1:17" ht="24" hidden="1" customHeight="1" x14ac:dyDescent="0.2">
      <c r="A105" s="108">
        <v>1</v>
      </c>
      <c r="B105" s="115" t="s">
        <v>127</v>
      </c>
      <c r="C105" s="116">
        <f t="shared" ca="1" si="0"/>
        <v>0</v>
      </c>
      <c r="D105" s="71">
        <f t="shared" ref="D105:D116" ca="1" si="25">+E105+F105</f>
        <v>0</v>
      </c>
      <c r="E105" s="72">
        <f ca="1">IFERROR(__xludf.DUMMYFUNCTION("IMPORTRANGE(""https://docs.google.com/spreadsheets/d/1MeEWN-I1oV_STSDYn1IFDPWt_1FKiwhDph83XaGc0o0/edit?usp=sharing"",""งบพรบ!BB105"")"),0)</f>
        <v>0</v>
      </c>
      <c r="F105" s="72">
        <f ca="1">IFERROR(__xludf.DUMMYFUNCTION("IMPORTRANGE(""https://docs.google.com/spreadsheets/d/1MeEWN-I1oV_STSDYn1IFDPWt_1FKiwhDph83XaGc0o0/edit?usp=sharing"",""งบพรบ!BC105"")"),0)</f>
        <v>0</v>
      </c>
      <c r="G105" s="72">
        <f ca="1">IFERROR(__xludf.DUMMYFUNCTION("IMPORTRANGE(""https://docs.google.com/spreadsheets/d/1MeEWN-I1oV_STSDYn1IFDPWt_1FKiwhDph83XaGc0o0/edit?usp=sharing"",""งบพรบ!BD105"")"),0)</f>
        <v>0</v>
      </c>
      <c r="H105" s="72">
        <f ca="1">IFERROR(__xludf.DUMMYFUNCTION("IMPORTRANGE(""https://docs.google.com/spreadsheets/d/1MeEWN-I1oV_STSDYn1IFDPWt_1FKiwhDph83XaGc0o0/edit?usp=sharing"",""งบพรบ!BF105"")"),0)</f>
        <v>0</v>
      </c>
      <c r="I105" s="72">
        <f ca="1">IFERROR(__xludf.DUMMYFUNCTION("IMPORTRANGE(""https://docs.google.com/spreadsheets/d/1MeEWN-I1oV_STSDYn1IFDPWt_1FKiwhDph83XaGc0o0/edit?usp=sharing"",""งบพรบ!BG105"")"),0)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IFERROR(__xludf.DUMMYFUNCTION("IMPORTRANGE(""https://docs.google.com/spreadsheets/d/1MeEWN-I1oV_STSDYn1IFDPWt_1FKiwhDph83XaGc0o0/edit?usp=sharing"",""งบพรบ!BH105"")"),0)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IFERROR(__xludf.DUMMYFUNCTION("IMPORTRANGE(""https://docs.google.com/spreadsheets/d/1MeEWN-I1oV_STSDYn1IFDPWt_1FKiwhDph83XaGc0o0/edit?usp=sharing"",""งบพรบ!BI105"")"),0)</f>
        <v>0</v>
      </c>
      <c r="P105" s="75">
        <f t="shared" ca="1" si="14"/>
        <v>0</v>
      </c>
      <c r="Q105" s="75">
        <f t="shared" ca="1" si="8"/>
        <v>0</v>
      </c>
    </row>
    <row r="106" spans="1:17" ht="24" hidden="1" customHeight="1" x14ac:dyDescent="0.2">
      <c r="A106" s="111">
        <v>2</v>
      </c>
      <c r="B106" s="117" t="s">
        <v>128</v>
      </c>
      <c r="C106" s="118">
        <f t="shared" ca="1" si="0"/>
        <v>0</v>
      </c>
      <c r="D106" s="81">
        <f t="shared" ca="1" si="25"/>
        <v>0</v>
      </c>
      <c r="E106" s="82">
        <f ca="1">IFERROR(__xludf.DUMMYFUNCTION("IMPORTRANGE(""https://docs.google.com/spreadsheets/d/1MeEWN-I1oV_STSDYn1IFDPWt_1FKiwhDph83XaGc0o0/edit?usp=sharing"",""งบพรบ!BB106"")"),0)</f>
        <v>0</v>
      </c>
      <c r="F106" s="82">
        <f ca="1">IFERROR(__xludf.DUMMYFUNCTION("IMPORTRANGE(""https://docs.google.com/spreadsheets/d/1MeEWN-I1oV_STSDYn1IFDPWt_1FKiwhDph83XaGc0o0/edit?usp=sharing"",""งบพรบ!BC106"")"),0)</f>
        <v>0</v>
      </c>
      <c r="G106" s="82">
        <f ca="1">IFERROR(__xludf.DUMMYFUNCTION("IMPORTRANGE(""https://docs.google.com/spreadsheets/d/1MeEWN-I1oV_STSDYn1IFDPWt_1FKiwhDph83XaGc0o0/edit?usp=sharing"",""งบพรบ!BD106"")"),0)</f>
        <v>0</v>
      </c>
      <c r="H106" s="82">
        <f ca="1">IFERROR(__xludf.DUMMYFUNCTION("IMPORTRANGE(""https://docs.google.com/spreadsheets/d/1MeEWN-I1oV_STSDYn1IFDPWt_1FKiwhDph83XaGc0o0/edit?usp=sharing"",""งบพรบ!BF106"")"),0)</f>
        <v>0</v>
      </c>
      <c r="I106" s="82">
        <f ca="1">IFERROR(__xludf.DUMMYFUNCTION("IMPORTRANGE(""https://docs.google.com/spreadsheets/d/1MeEWN-I1oV_STSDYn1IFDPWt_1FKiwhDph83XaGc0o0/edit?usp=sharing"",""งบพรบ!BG106"")"),0)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IFERROR(__xludf.DUMMYFUNCTION("IMPORTRANGE(""https://docs.google.com/spreadsheets/d/1MeEWN-I1oV_STSDYn1IFDPWt_1FKiwhDph83XaGc0o0/edit?usp=sharing"",""งบพรบ!BH106"")"),0)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IFERROR(__xludf.DUMMYFUNCTION("IMPORTRANGE(""https://docs.google.com/spreadsheets/d/1MeEWN-I1oV_STSDYn1IFDPWt_1FKiwhDph83XaGc0o0/edit?usp=sharing"",""งบพรบ!BI106"")"),0)</f>
        <v>0</v>
      </c>
      <c r="P106" s="84">
        <f t="shared" ca="1" si="14"/>
        <v>0</v>
      </c>
      <c r="Q106" s="84">
        <f t="shared" ca="1" si="8"/>
        <v>0</v>
      </c>
    </row>
    <row r="107" spans="1:17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25"/>
        <v>0</v>
      </c>
      <c r="E107" s="82">
        <f ca="1">IFERROR(__xludf.DUMMYFUNCTION("IMPORTRANGE(""https://docs.google.com/spreadsheets/d/1MeEWN-I1oV_STSDYn1IFDPWt_1FKiwhDph83XaGc0o0/edit?usp=sharing"",""งบพรบ!BB107"")"),0)</f>
        <v>0</v>
      </c>
      <c r="F107" s="82">
        <f ca="1">IFERROR(__xludf.DUMMYFUNCTION("IMPORTRANGE(""https://docs.google.com/spreadsheets/d/1MeEWN-I1oV_STSDYn1IFDPWt_1FKiwhDph83XaGc0o0/edit?usp=sharing"",""งบพรบ!BC107"")"),0)</f>
        <v>0</v>
      </c>
      <c r="G107" s="82">
        <f ca="1">IFERROR(__xludf.DUMMYFUNCTION("IMPORTRANGE(""https://docs.google.com/spreadsheets/d/1MeEWN-I1oV_STSDYn1IFDPWt_1FKiwhDph83XaGc0o0/edit?usp=sharing"",""งบพรบ!BD107"")"),0)</f>
        <v>0</v>
      </c>
      <c r="H107" s="82">
        <f ca="1">IFERROR(__xludf.DUMMYFUNCTION("IMPORTRANGE(""https://docs.google.com/spreadsheets/d/1MeEWN-I1oV_STSDYn1IFDPWt_1FKiwhDph83XaGc0o0/edit?usp=sharing"",""งบพรบ!BF107"")"),0)</f>
        <v>0</v>
      </c>
      <c r="I107" s="82">
        <f ca="1">IFERROR(__xludf.DUMMYFUNCTION("IMPORTRANGE(""https://docs.google.com/spreadsheets/d/1MeEWN-I1oV_STSDYn1IFDPWt_1FKiwhDph83XaGc0o0/edit?usp=sharing"",""งบพรบ!BG107"")"),0)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IFERROR(__xludf.DUMMYFUNCTION("IMPORTRANGE(""https://docs.google.com/spreadsheets/d/1MeEWN-I1oV_STSDYn1IFDPWt_1FKiwhDph83XaGc0o0/edit?usp=sharing"",""งบพรบ!BH107"")"),0)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IFERROR(__xludf.DUMMYFUNCTION("IMPORTRANGE(""https://docs.google.com/spreadsheets/d/1MeEWN-I1oV_STSDYn1IFDPWt_1FKiwhDph83XaGc0o0/edit?usp=sharing"",""งบพรบ!BI107"")"),0)</f>
        <v>0</v>
      </c>
      <c r="P107" s="84">
        <f t="shared" ca="1" si="14"/>
        <v>0</v>
      </c>
      <c r="Q107" s="84">
        <f t="shared" ca="1" si="8"/>
        <v>0</v>
      </c>
    </row>
    <row r="108" spans="1:17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25"/>
        <v>0</v>
      </c>
      <c r="E108" s="82">
        <f ca="1">IFERROR(__xludf.DUMMYFUNCTION("IMPORTRANGE(""https://docs.google.com/spreadsheets/d/1MeEWN-I1oV_STSDYn1IFDPWt_1FKiwhDph83XaGc0o0/edit?usp=sharing"",""งบพรบ!BB108"")"),0)</f>
        <v>0</v>
      </c>
      <c r="F108" s="82">
        <f ca="1">IFERROR(__xludf.DUMMYFUNCTION("IMPORTRANGE(""https://docs.google.com/spreadsheets/d/1MeEWN-I1oV_STSDYn1IFDPWt_1FKiwhDph83XaGc0o0/edit?usp=sharing"",""งบพรบ!BC108"")"),0)</f>
        <v>0</v>
      </c>
      <c r="G108" s="82">
        <f ca="1">IFERROR(__xludf.DUMMYFUNCTION("IMPORTRANGE(""https://docs.google.com/spreadsheets/d/1MeEWN-I1oV_STSDYn1IFDPWt_1FKiwhDph83XaGc0o0/edit?usp=sharing"",""งบพรบ!BD108"")"),0)</f>
        <v>0</v>
      </c>
      <c r="H108" s="82">
        <f ca="1">IFERROR(__xludf.DUMMYFUNCTION("IMPORTRANGE(""https://docs.google.com/spreadsheets/d/1MeEWN-I1oV_STSDYn1IFDPWt_1FKiwhDph83XaGc0o0/edit?usp=sharing"",""งบพรบ!BF108"")"),0)</f>
        <v>0</v>
      </c>
      <c r="I108" s="82">
        <f ca="1">IFERROR(__xludf.DUMMYFUNCTION("IMPORTRANGE(""https://docs.google.com/spreadsheets/d/1MeEWN-I1oV_STSDYn1IFDPWt_1FKiwhDph83XaGc0o0/edit?usp=sharing"",""งบพรบ!BG108"")"),0)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IFERROR(__xludf.DUMMYFUNCTION("IMPORTRANGE(""https://docs.google.com/spreadsheets/d/1MeEWN-I1oV_STSDYn1IFDPWt_1FKiwhDph83XaGc0o0/edit?usp=sharing"",""งบพรบ!BH108"")"),0)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IFERROR(__xludf.DUMMYFUNCTION("IMPORTRANGE(""https://docs.google.com/spreadsheets/d/1MeEWN-I1oV_STSDYn1IFDPWt_1FKiwhDph83XaGc0o0/edit?usp=sharing"",""งบพรบ!BI108"")"),0)</f>
        <v>0</v>
      </c>
      <c r="P108" s="84">
        <f t="shared" ca="1" si="14"/>
        <v>0</v>
      </c>
      <c r="Q108" s="84">
        <f t="shared" ca="1" si="8"/>
        <v>0</v>
      </c>
    </row>
    <row r="109" spans="1:17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25"/>
        <v>0</v>
      </c>
      <c r="E109" s="82">
        <f ca="1">IFERROR(__xludf.DUMMYFUNCTION("IMPORTRANGE(""https://docs.google.com/spreadsheets/d/1MeEWN-I1oV_STSDYn1IFDPWt_1FKiwhDph83XaGc0o0/edit?usp=sharing"",""งบพรบ!BB109"")"),0)</f>
        <v>0</v>
      </c>
      <c r="F109" s="82">
        <f ca="1">IFERROR(__xludf.DUMMYFUNCTION("IMPORTRANGE(""https://docs.google.com/spreadsheets/d/1MeEWN-I1oV_STSDYn1IFDPWt_1FKiwhDph83XaGc0o0/edit?usp=sharing"",""งบพรบ!BC109"")"),0)</f>
        <v>0</v>
      </c>
      <c r="G109" s="82">
        <f ca="1">IFERROR(__xludf.DUMMYFUNCTION("IMPORTRANGE(""https://docs.google.com/spreadsheets/d/1MeEWN-I1oV_STSDYn1IFDPWt_1FKiwhDph83XaGc0o0/edit?usp=sharing"",""งบพรบ!BD109"")"),0)</f>
        <v>0</v>
      </c>
      <c r="H109" s="82">
        <f ca="1">IFERROR(__xludf.DUMMYFUNCTION("IMPORTRANGE(""https://docs.google.com/spreadsheets/d/1MeEWN-I1oV_STSDYn1IFDPWt_1FKiwhDph83XaGc0o0/edit?usp=sharing"",""งบพรบ!BF109"")"),0)</f>
        <v>0</v>
      </c>
      <c r="I109" s="82">
        <f ca="1">IFERROR(__xludf.DUMMYFUNCTION("IMPORTRANGE(""https://docs.google.com/spreadsheets/d/1MeEWN-I1oV_STSDYn1IFDPWt_1FKiwhDph83XaGc0o0/edit?usp=sharing"",""งบพรบ!BG109"")"),0)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IFERROR(__xludf.DUMMYFUNCTION("IMPORTRANGE(""https://docs.google.com/spreadsheets/d/1MeEWN-I1oV_STSDYn1IFDPWt_1FKiwhDph83XaGc0o0/edit?usp=sharing"",""งบพรบ!BH109"")"),0)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IFERROR(__xludf.DUMMYFUNCTION("IMPORTRANGE(""https://docs.google.com/spreadsheets/d/1MeEWN-I1oV_STSDYn1IFDPWt_1FKiwhDph83XaGc0o0/edit?usp=sharing"",""งบพรบ!BI109"")"),0)</f>
        <v>0</v>
      </c>
      <c r="P109" s="84">
        <f t="shared" ca="1" si="14"/>
        <v>0</v>
      </c>
      <c r="Q109" s="84">
        <f t="shared" ca="1" si="8"/>
        <v>0</v>
      </c>
    </row>
    <row r="110" spans="1:17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25"/>
        <v>0</v>
      </c>
      <c r="E110" s="82">
        <f ca="1">IFERROR(__xludf.DUMMYFUNCTION("IMPORTRANGE(""https://docs.google.com/spreadsheets/d/1MeEWN-I1oV_STSDYn1IFDPWt_1FKiwhDph83XaGc0o0/edit?usp=sharing"",""งบพรบ!BB110"")"),0)</f>
        <v>0</v>
      </c>
      <c r="F110" s="82">
        <f ca="1">IFERROR(__xludf.DUMMYFUNCTION("IMPORTRANGE(""https://docs.google.com/spreadsheets/d/1MeEWN-I1oV_STSDYn1IFDPWt_1FKiwhDph83XaGc0o0/edit?usp=sharing"",""งบพรบ!BC110"")"),0)</f>
        <v>0</v>
      </c>
      <c r="G110" s="82">
        <f ca="1">IFERROR(__xludf.DUMMYFUNCTION("IMPORTRANGE(""https://docs.google.com/spreadsheets/d/1MeEWN-I1oV_STSDYn1IFDPWt_1FKiwhDph83XaGc0o0/edit?usp=sharing"",""งบพรบ!BD110"")"),0)</f>
        <v>0</v>
      </c>
      <c r="H110" s="82">
        <f ca="1">IFERROR(__xludf.DUMMYFUNCTION("IMPORTRANGE(""https://docs.google.com/spreadsheets/d/1MeEWN-I1oV_STSDYn1IFDPWt_1FKiwhDph83XaGc0o0/edit?usp=sharing"",""งบพรบ!BF110"")"),0)</f>
        <v>0</v>
      </c>
      <c r="I110" s="82">
        <f ca="1">IFERROR(__xludf.DUMMYFUNCTION("IMPORTRANGE(""https://docs.google.com/spreadsheets/d/1MeEWN-I1oV_STSDYn1IFDPWt_1FKiwhDph83XaGc0o0/edit?usp=sharing"",""งบพรบ!BG110"")"),0)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IFERROR(__xludf.DUMMYFUNCTION("IMPORTRANGE(""https://docs.google.com/spreadsheets/d/1MeEWN-I1oV_STSDYn1IFDPWt_1FKiwhDph83XaGc0o0/edit?usp=sharing"",""งบพรบ!BH110"")"),0)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IFERROR(__xludf.DUMMYFUNCTION("IMPORTRANGE(""https://docs.google.com/spreadsheets/d/1MeEWN-I1oV_STSDYn1IFDPWt_1FKiwhDph83XaGc0o0/edit?usp=sharing"",""งบพรบ!BI110"")"),0)</f>
        <v>0</v>
      </c>
      <c r="P110" s="84">
        <f t="shared" ca="1" si="14"/>
        <v>0</v>
      </c>
      <c r="Q110" s="84">
        <f t="shared" ca="1" si="8"/>
        <v>0</v>
      </c>
    </row>
    <row r="111" spans="1:17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25"/>
        <v>0</v>
      </c>
      <c r="E111" s="82">
        <f ca="1">IFERROR(__xludf.DUMMYFUNCTION("IMPORTRANGE(""https://docs.google.com/spreadsheets/d/1MeEWN-I1oV_STSDYn1IFDPWt_1FKiwhDph83XaGc0o0/edit?usp=sharing"",""งบพรบ!BB111"")"),0)</f>
        <v>0</v>
      </c>
      <c r="F111" s="82">
        <f ca="1">IFERROR(__xludf.DUMMYFUNCTION("IMPORTRANGE(""https://docs.google.com/spreadsheets/d/1MeEWN-I1oV_STSDYn1IFDPWt_1FKiwhDph83XaGc0o0/edit?usp=sharing"",""งบพรบ!BC111"")"),0)</f>
        <v>0</v>
      </c>
      <c r="G111" s="82">
        <f ca="1">IFERROR(__xludf.DUMMYFUNCTION("IMPORTRANGE(""https://docs.google.com/spreadsheets/d/1MeEWN-I1oV_STSDYn1IFDPWt_1FKiwhDph83XaGc0o0/edit?usp=sharing"",""งบพรบ!BD111"")"),0)</f>
        <v>0</v>
      </c>
      <c r="H111" s="82">
        <f ca="1">IFERROR(__xludf.DUMMYFUNCTION("IMPORTRANGE(""https://docs.google.com/spreadsheets/d/1MeEWN-I1oV_STSDYn1IFDPWt_1FKiwhDph83XaGc0o0/edit?usp=sharing"",""งบพรบ!BF111"")"),0)</f>
        <v>0</v>
      </c>
      <c r="I111" s="82">
        <f ca="1">IFERROR(__xludf.DUMMYFUNCTION("IMPORTRANGE(""https://docs.google.com/spreadsheets/d/1MeEWN-I1oV_STSDYn1IFDPWt_1FKiwhDph83XaGc0o0/edit?usp=sharing"",""งบพรบ!BG111"")"),0)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IFERROR(__xludf.DUMMYFUNCTION("IMPORTRANGE(""https://docs.google.com/spreadsheets/d/1MeEWN-I1oV_STSDYn1IFDPWt_1FKiwhDph83XaGc0o0/edit?usp=sharing"",""งบพรบ!BH111"")"),0)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IFERROR(__xludf.DUMMYFUNCTION("IMPORTRANGE(""https://docs.google.com/spreadsheets/d/1MeEWN-I1oV_STSDYn1IFDPWt_1FKiwhDph83XaGc0o0/edit?usp=sharing"",""งบพรบ!BI111"")"),0)</f>
        <v>0</v>
      </c>
      <c r="P111" s="84">
        <f t="shared" ca="1" si="14"/>
        <v>0</v>
      </c>
      <c r="Q111" s="84">
        <f t="shared" ca="1" si="8"/>
        <v>0</v>
      </c>
    </row>
    <row r="112" spans="1:17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25"/>
        <v>0</v>
      </c>
      <c r="E112" s="82">
        <f ca="1">IFERROR(__xludf.DUMMYFUNCTION("IMPORTRANGE(""https://docs.google.com/spreadsheets/d/1MeEWN-I1oV_STSDYn1IFDPWt_1FKiwhDph83XaGc0o0/edit?usp=sharing"",""งบพรบ!BB112"")"),0)</f>
        <v>0</v>
      </c>
      <c r="F112" s="82">
        <f ca="1">IFERROR(__xludf.DUMMYFUNCTION("IMPORTRANGE(""https://docs.google.com/spreadsheets/d/1MeEWN-I1oV_STSDYn1IFDPWt_1FKiwhDph83XaGc0o0/edit?usp=sharing"",""งบพรบ!BC112"")"),0)</f>
        <v>0</v>
      </c>
      <c r="G112" s="82">
        <f ca="1">IFERROR(__xludf.DUMMYFUNCTION("IMPORTRANGE(""https://docs.google.com/spreadsheets/d/1MeEWN-I1oV_STSDYn1IFDPWt_1FKiwhDph83XaGc0o0/edit?usp=sharing"",""งบพรบ!BD112"")"),0)</f>
        <v>0</v>
      </c>
      <c r="H112" s="82">
        <f ca="1">IFERROR(__xludf.DUMMYFUNCTION("IMPORTRANGE(""https://docs.google.com/spreadsheets/d/1MeEWN-I1oV_STSDYn1IFDPWt_1FKiwhDph83XaGc0o0/edit?usp=sharing"",""งบพรบ!BF112"")"),0)</f>
        <v>0</v>
      </c>
      <c r="I112" s="82">
        <f ca="1">IFERROR(__xludf.DUMMYFUNCTION("IMPORTRANGE(""https://docs.google.com/spreadsheets/d/1MeEWN-I1oV_STSDYn1IFDPWt_1FKiwhDph83XaGc0o0/edit?usp=sharing"",""งบพรบ!BG112"")"),0)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IFERROR(__xludf.DUMMYFUNCTION("IMPORTRANGE(""https://docs.google.com/spreadsheets/d/1MeEWN-I1oV_STSDYn1IFDPWt_1FKiwhDph83XaGc0o0/edit?usp=sharing"",""งบพรบ!BH112"")"),0)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IFERROR(__xludf.DUMMYFUNCTION("IMPORTRANGE(""https://docs.google.com/spreadsheets/d/1MeEWN-I1oV_STSDYn1IFDPWt_1FKiwhDph83XaGc0o0/edit?usp=sharing"",""งบพรบ!BI112"")"),0)</f>
        <v>0</v>
      </c>
      <c r="P112" s="84">
        <f t="shared" ca="1" si="14"/>
        <v>0</v>
      </c>
      <c r="Q112" s="84">
        <f t="shared" ca="1" si="8"/>
        <v>0</v>
      </c>
    </row>
    <row r="113" spans="1:17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25"/>
        <v>0</v>
      </c>
      <c r="E113" s="82">
        <f ca="1">IFERROR(__xludf.DUMMYFUNCTION("IMPORTRANGE(""https://docs.google.com/spreadsheets/d/1MeEWN-I1oV_STSDYn1IFDPWt_1FKiwhDph83XaGc0o0/edit?usp=sharing"",""งบพรบ!BB113"")"),0)</f>
        <v>0</v>
      </c>
      <c r="F113" s="82">
        <f ca="1">IFERROR(__xludf.DUMMYFUNCTION("IMPORTRANGE(""https://docs.google.com/spreadsheets/d/1MeEWN-I1oV_STSDYn1IFDPWt_1FKiwhDph83XaGc0o0/edit?usp=sharing"",""งบพรบ!BC113"")"),0)</f>
        <v>0</v>
      </c>
      <c r="G113" s="82">
        <f ca="1">IFERROR(__xludf.DUMMYFUNCTION("IMPORTRANGE(""https://docs.google.com/spreadsheets/d/1MeEWN-I1oV_STSDYn1IFDPWt_1FKiwhDph83XaGc0o0/edit?usp=sharing"",""งบพรบ!BD113"")"),0)</f>
        <v>0</v>
      </c>
      <c r="H113" s="82">
        <f ca="1">IFERROR(__xludf.DUMMYFUNCTION("IMPORTRANGE(""https://docs.google.com/spreadsheets/d/1MeEWN-I1oV_STSDYn1IFDPWt_1FKiwhDph83XaGc0o0/edit?usp=sharing"",""งบพรบ!BF113"")"),0)</f>
        <v>0</v>
      </c>
      <c r="I113" s="82">
        <f ca="1">IFERROR(__xludf.DUMMYFUNCTION("IMPORTRANGE(""https://docs.google.com/spreadsheets/d/1MeEWN-I1oV_STSDYn1IFDPWt_1FKiwhDph83XaGc0o0/edit?usp=sharing"",""งบพรบ!BG113"")"),0)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IFERROR(__xludf.DUMMYFUNCTION("IMPORTRANGE(""https://docs.google.com/spreadsheets/d/1MeEWN-I1oV_STSDYn1IFDPWt_1FKiwhDph83XaGc0o0/edit?usp=sharing"",""งบพรบ!BH113"")"),0)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IFERROR(__xludf.DUMMYFUNCTION("IMPORTRANGE(""https://docs.google.com/spreadsheets/d/1MeEWN-I1oV_STSDYn1IFDPWt_1FKiwhDph83XaGc0o0/edit?usp=sharing"",""งบพรบ!BI113"")"),0)</f>
        <v>0</v>
      </c>
      <c r="P113" s="84">
        <f t="shared" ca="1" si="14"/>
        <v>0</v>
      </c>
      <c r="Q113" s="84">
        <f t="shared" ca="1" si="8"/>
        <v>0</v>
      </c>
    </row>
    <row r="114" spans="1:17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25"/>
        <v>0</v>
      </c>
      <c r="E114" s="82">
        <f ca="1">IFERROR(__xludf.DUMMYFUNCTION("IMPORTRANGE(""https://docs.google.com/spreadsheets/d/1MeEWN-I1oV_STSDYn1IFDPWt_1FKiwhDph83XaGc0o0/edit?usp=sharing"",""งบพรบ!BB114"")"),0)</f>
        <v>0</v>
      </c>
      <c r="F114" s="82">
        <f ca="1">IFERROR(__xludf.DUMMYFUNCTION("IMPORTRANGE(""https://docs.google.com/spreadsheets/d/1MeEWN-I1oV_STSDYn1IFDPWt_1FKiwhDph83XaGc0o0/edit?usp=sharing"",""งบพรบ!BC114"")"),0)</f>
        <v>0</v>
      </c>
      <c r="G114" s="82">
        <f ca="1">IFERROR(__xludf.DUMMYFUNCTION("IMPORTRANGE(""https://docs.google.com/spreadsheets/d/1MeEWN-I1oV_STSDYn1IFDPWt_1FKiwhDph83XaGc0o0/edit?usp=sharing"",""งบพรบ!BD114"")"),0)</f>
        <v>0</v>
      </c>
      <c r="H114" s="82">
        <f ca="1">IFERROR(__xludf.DUMMYFUNCTION("IMPORTRANGE(""https://docs.google.com/spreadsheets/d/1MeEWN-I1oV_STSDYn1IFDPWt_1FKiwhDph83XaGc0o0/edit?usp=sharing"",""งบพรบ!BF114"")"),0)</f>
        <v>0</v>
      </c>
      <c r="I114" s="82">
        <f ca="1">IFERROR(__xludf.DUMMYFUNCTION("IMPORTRANGE(""https://docs.google.com/spreadsheets/d/1MeEWN-I1oV_STSDYn1IFDPWt_1FKiwhDph83XaGc0o0/edit?usp=sharing"",""งบพรบ!BG114"")"),0)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IFERROR(__xludf.DUMMYFUNCTION("IMPORTRANGE(""https://docs.google.com/spreadsheets/d/1MeEWN-I1oV_STSDYn1IFDPWt_1FKiwhDph83XaGc0o0/edit?usp=sharing"",""งบพรบ!BH114"")"),0)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IFERROR(__xludf.DUMMYFUNCTION("IMPORTRANGE(""https://docs.google.com/spreadsheets/d/1MeEWN-I1oV_STSDYn1IFDPWt_1FKiwhDph83XaGc0o0/edit?usp=sharing"",""งบพรบ!BI114"")"),0)</f>
        <v>0</v>
      </c>
      <c r="P114" s="84">
        <f t="shared" ca="1" si="14"/>
        <v>0</v>
      </c>
      <c r="Q114" s="84">
        <f t="shared" ca="1" si="8"/>
        <v>0</v>
      </c>
    </row>
    <row r="115" spans="1:17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25"/>
        <v>0</v>
      </c>
      <c r="E115" s="82">
        <f ca="1">IFERROR(__xludf.DUMMYFUNCTION("IMPORTRANGE(""https://docs.google.com/spreadsheets/d/1MeEWN-I1oV_STSDYn1IFDPWt_1FKiwhDph83XaGc0o0/edit?usp=sharing"",""งบพรบ!BB115"")"),0)</f>
        <v>0</v>
      </c>
      <c r="F115" s="82">
        <f ca="1">IFERROR(__xludf.DUMMYFUNCTION("IMPORTRANGE(""https://docs.google.com/spreadsheets/d/1MeEWN-I1oV_STSDYn1IFDPWt_1FKiwhDph83XaGc0o0/edit?usp=sharing"",""งบพรบ!BC115"")"),0)</f>
        <v>0</v>
      </c>
      <c r="G115" s="82">
        <f ca="1">IFERROR(__xludf.DUMMYFUNCTION("IMPORTRANGE(""https://docs.google.com/spreadsheets/d/1MeEWN-I1oV_STSDYn1IFDPWt_1FKiwhDph83XaGc0o0/edit?usp=sharing"",""งบพรบ!BD115"")"),0)</f>
        <v>0</v>
      </c>
      <c r="H115" s="82">
        <f ca="1">IFERROR(__xludf.DUMMYFUNCTION("IMPORTRANGE(""https://docs.google.com/spreadsheets/d/1MeEWN-I1oV_STSDYn1IFDPWt_1FKiwhDph83XaGc0o0/edit?usp=sharing"",""งบพรบ!BF115"")"),0)</f>
        <v>0</v>
      </c>
      <c r="I115" s="82">
        <f ca="1">IFERROR(__xludf.DUMMYFUNCTION("IMPORTRANGE(""https://docs.google.com/spreadsheets/d/1MeEWN-I1oV_STSDYn1IFDPWt_1FKiwhDph83XaGc0o0/edit?usp=sharing"",""งบพรบ!BG115"")"),0)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IFERROR(__xludf.DUMMYFUNCTION("IMPORTRANGE(""https://docs.google.com/spreadsheets/d/1MeEWN-I1oV_STSDYn1IFDPWt_1FKiwhDph83XaGc0o0/edit?usp=sharing"",""งบพรบ!BH115"")"),0)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IFERROR(__xludf.DUMMYFUNCTION("IMPORTRANGE(""https://docs.google.com/spreadsheets/d/1MeEWN-I1oV_STSDYn1IFDPWt_1FKiwhDph83XaGc0o0/edit?usp=sharing"",""งบพรบ!BI115"")"),0)</f>
        <v>0</v>
      </c>
      <c r="P115" s="84">
        <f t="shared" ca="1" si="14"/>
        <v>0</v>
      </c>
      <c r="Q115" s="84">
        <f t="shared" ca="1" si="8"/>
        <v>0</v>
      </c>
    </row>
    <row r="116" spans="1:17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25"/>
        <v>0</v>
      </c>
      <c r="E116" s="82">
        <f ca="1">IFERROR(__xludf.DUMMYFUNCTION("IMPORTRANGE(""https://docs.google.com/spreadsheets/d/1MeEWN-I1oV_STSDYn1IFDPWt_1FKiwhDph83XaGc0o0/edit?usp=sharing"",""งบพรบ!BB116"")"),0)</f>
        <v>0</v>
      </c>
      <c r="F116" s="82">
        <f ca="1">IFERROR(__xludf.DUMMYFUNCTION("IMPORTRANGE(""https://docs.google.com/spreadsheets/d/1MeEWN-I1oV_STSDYn1IFDPWt_1FKiwhDph83XaGc0o0/edit?usp=sharing"",""งบพรบ!BC116"")"),0)</f>
        <v>0</v>
      </c>
      <c r="G116" s="82">
        <f ca="1">IFERROR(__xludf.DUMMYFUNCTION("IMPORTRANGE(""https://docs.google.com/spreadsheets/d/1MeEWN-I1oV_STSDYn1IFDPWt_1FKiwhDph83XaGc0o0/edit?usp=sharing"",""งบพรบ!BD116"")"),0)</f>
        <v>0</v>
      </c>
      <c r="H116" s="82">
        <f ca="1">IFERROR(__xludf.DUMMYFUNCTION("IMPORTRANGE(""https://docs.google.com/spreadsheets/d/1MeEWN-I1oV_STSDYn1IFDPWt_1FKiwhDph83XaGc0o0/edit?usp=sharing"",""งบพรบ!BF116"")"),0)</f>
        <v>0</v>
      </c>
      <c r="I116" s="82">
        <f ca="1">IFERROR(__xludf.DUMMYFUNCTION("IMPORTRANGE(""https://docs.google.com/spreadsheets/d/1MeEWN-I1oV_STSDYn1IFDPWt_1FKiwhDph83XaGc0o0/edit?usp=sharing"",""งบพรบ!BG116"")"),0)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IFERROR(__xludf.DUMMYFUNCTION("IMPORTRANGE(""https://docs.google.com/spreadsheets/d/1MeEWN-I1oV_STSDYn1IFDPWt_1FKiwhDph83XaGc0o0/edit?usp=sharing"",""งบพรบ!BH116"")"),0)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IFERROR(__xludf.DUMMYFUNCTION("IMPORTRANGE(""https://docs.google.com/spreadsheets/d/1MeEWN-I1oV_STSDYn1IFDPWt_1FKiwhDph83XaGc0o0/edit?usp=sharing"",""งบพรบ!BI116"")"),0)</f>
        <v>0</v>
      </c>
      <c r="P116" s="84">
        <f t="shared" ca="1" si="14"/>
        <v>0</v>
      </c>
      <c r="Q116" s="84">
        <f t="shared" ca="1" si="8"/>
        <v>0</v>
      </c>
    </row>
    <row r="117" spans="1:17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</row>
    <row r="118" spans="1:17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</row>
    <row r="119" spans="1:17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</row>
    <row r="120" spans="1:17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</row>
    <row r="121" spans="1:17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</row>
    <row r="122" spans="1:17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</row>
    <row r="123" spans="1:17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</row>
    <row r="124" spans="1:17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</row>
    <row r="125" spans="1:17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</row>
    <row r="126" spans="1:17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</row>
    <row r="127" spans="1:17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</row>
    <row r="128" spans="1:17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</row>
    <row r="129" spans="1:17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</row>
    <row r="130" spans="1:17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</row>
    <row r="131" spans="1:17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</row>
    <row r="132" spans="1:17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</row>
    <row r="133" spans="1:17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</row>
    <row r="134" spans="1:17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</row>
    <row r="135" spans="1:17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</row>
    <row r="136" spans="1:17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</row>
    <row r="137" spans="1:17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</row>
    <row r="138" spans="1:17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</row>
    <row r="139" spans="1:17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</row>
    <row r="140" spans="1:17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</row>
    <row r="141" spans="1:17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</row>
    <row r="142" spans="1:17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</row>
    <row r="143" spans="1:17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</row>
    <row r="144" spans="1:17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</row>
    <row r="145" spans="1:17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</row>
    <row r="146" spans="1:17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</row>
    <row r="147" spans="1:17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</row>
    <row r="148" spans="1:17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</row>
    <row r="149" spans="1:17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</row>
    <row r="150" spans="1:17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</row>
    <row r="151" spans="1:17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</row>
    <row r="152" spans="1:17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</row>
    <row r="153" spans="1:17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</row>
    <row r="154" spans="1:17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</row>
    <row r="155" spans="1:17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</row>
    <row r="156" spans="1:17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</row>
    <row r="157" spans="1:17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</row>
    <row r="158" spans="1:17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</row>
    <row r="159" spans="1:17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</row>
    <row r="160" spans="1:17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</row>
    <row r="161" spans="1:17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</row>
    <row r="162" spans="1:17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</row>
    <row r="163" spans="1:17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</row>
    <row r="164" spans="1:17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</row>
    <row r="165" spans="1:17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</row>
    <row r="166" spans="1:17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</row>
    <row r="167" spans="1:17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</row>
    <row r="168" spans="1:17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</row>
    <row r="169" spans="1:17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</row>
    <row r="170" spans="1:17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</row>
    <row r="171" spans="1:17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</row>
    <row r="172" spans="1:17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</row>
    <row r="173" spans="1:17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</row>
    <row r="174" spans="1:17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</row>
    <row r="175" spans="1:17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</row>
    <row r="176" spans="1:17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</row>
    <row r="177" spans="1:17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</row>
    <row r="178" spans="1:17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</row>
    <row r="179" spans="1:17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</row>
    <row r="180" spans="1:17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</row>
    <row r="181" spans="1:17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</row>
    <row r="182" spans="1:17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</row>
    <row r="183" spans="1:17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</row>
    <row r="184" spans="1:17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</row>
    <row r="185" spans="1:17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</row>
    <row r="186" spans="1:17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</row>
    <row r="187" spans="1:17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</row>
    <row r="188" spans="1:17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</row>
    <row r="189" spans="1:17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</row>
    <row r="190" spans="1:17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</row>
    <row r="191" spans="1:17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</row>
    <row r="192" spans="1:17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</row>
    <row r="193" spans="1:17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</row>
    <row r="194" spans="1:17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</row>
    <row r="195" spans="1:17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</row>
    <row r="196" spans="1:17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</row>
    <row r="197" spans="1:17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</row>
    <row r="198" spans="1:17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</row>
    <row r="199" spans="1:17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</row>
    <row r="200" spans="1:17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</row>
    <row r="201" spans="1:17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</row>
    <row r="202" spans="1:17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</row>
    <row r="203" spans="1:17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</row>
    <row r="204" spans="1:17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</row>
    <row r="205" spans="1:17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</row>
    <row r="206" spans="1:17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</row>
    <row r="207" spans="1:17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</row>
    <row r="208" spans="1:17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</row>
    <row r="209" spans="1:17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</row>
    <row r="210" spans="1:17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</row>
    <row r="211" spans="1:17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</row>
    <row r="212" spans="1:17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</row>
    <row r="213" spans="1:17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</row>
    <row r="214" spans="1:17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</row>
    <row r="215" spans="1:17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</row>
    <row r="216" spans="1:17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</row>
    <row r="217" spans="1:17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</row>
    <row r="218" spans="1:17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</row>
    <row r="219" spans="1:17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</row>
    <row r="220" spans="1:17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</row>
    <row r="221" spans="1:17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</row>
    <row r="222" spans="1:17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</row>
    <row r="223" spans="1:17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</row>
    <row r="224" spans="1:17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</row>
    <row r="225" spans="1:17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</row>
    <row r="226" spans="1:17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</row>
    <row r="227" spans="1:17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</row>
    <row r="228" spans="1:17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</row>
    <row r="229" spans="1:17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</row>
    <row r="230" spans="1:17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</row>
    <row r="231" spans="1:17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</row>
    <row r="232" spans="1:17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</row>
    <row r="233" spans="1:17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</row>
    <row r="234" spans="1:17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</row>
    <row r="235" spans="1:17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</row>
    <row r="236" spans="1:17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</row>
    <row r="237" spans="1:17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</row>
    <row r="238" spans="1:17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</row>
    <row r="239" spans="1:17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</row>
    <row r="240" spans="1:17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</row>
    <row r="241" spans="1:17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</row>
    <row r="242" spans="1:17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</row>
    <row r="243" spans="1:17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</row>
    <row r="244" spans="1:17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</row>
    <row r="245" spans="1:17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</row>
    <row r="246" spans="1:17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</row>
    <row r="247" spans="1:17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</row>
    <row r="248" spans="1:17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</row>
    <row r="249" spans="1:17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</row>
    <row r="250" spans="1:17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</row>
    <row r="251" spans="1:17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</row>
    <row r="252" spans="1:17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</row>
    <row r="253" spans="1:17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</row>
    <row r="254" spans="1:17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</row>
    <row r="255" spans="1:17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</row>
    <row r="256" spans="1:17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</row>
    <row r="257" spans="1:17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</row>
    <row r="258" spans="1:17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</row>
    <row r="259" spans="1:17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</row>
    <row r="260" spans="1:17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</row>
    <row r="261" spans="1:17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</row>
    <row r="262" spans="1:17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</row>
    <row r="263" spans="1:17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</row>
    <row r="264" spans="1:17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</row>
    <row r="265" spans="1:17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</row>
    <row r="266" spans="1:17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</row>
    <row r="267" spans="1:17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</row>
    <row r="268" spans="1:17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</row>
    <row r="269" spans="1:17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</row>
    <row r="270" spans="1:17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</row>
    <row r="271" spans="1:17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</row>
    <row r="272" spans="1:17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</row>
    <row r="273" spans="1:17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</row>
    <row r="274" spans="1:17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</row>
    <row r="275" spans="1:17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</row>
    <row r="276" spans="1:17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</row>
    <row r="277" spans="1:17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</row>
    <row r="278" spans="1:17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</row>
    <row r="279" spans="1:17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</row>
    <row r="280" spans="1:17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</row>
    <row r="281" spans="1:17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</row>
    <row r="282" spans="1:17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</row>
    <row r="283" spans="1:17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</row>
    <row r="284" spans="1:17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</row>
    <row r="285" spans="1:17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</row>
    <row r="286" spans="1:17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</row>
    <row r="287" spans="1:17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</row>
    <row r="288" spans="1:17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</row>
    <row r="289" spans="1:17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</row>
    <row r="290" spans="1:17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</row>
    <row r="291" spans="1:17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</row>
    <row r="292" spans="1:17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</row>
    <row r="293" spans="1:17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</row>
    <row r="294" spans="1:17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</row>
    <row r="295" spans="1:17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</row>
    <row r="296" spans="1:17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</row>
    <row r="297" spans="1:17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</row>
    <row r="298" spans="1:17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</row>
    <row r="299" spans="1:17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</row>
    <row r="300" spans="1:17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</row>
    <row r="301" spans="1:17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</row>
    <row r="302" spans="1:17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</row>
    <row r="303" spans="1:17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</row>
    <row r="304" spans="1:17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</row>
    <row r="305" spans="1:17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</row>
    <row r="306" spans="1:17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</row>
    <row r="307" spans="1:17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</row>
    <row r="308" spans="1:17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</row>
    <row r="309" spans="1:17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</row>
    <row r="310" spans="1:17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</row>
    <row r="311" spans="1:17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</row>
    <row r="312" spans="1:17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</row>
    <row r="313" spans="1:17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</row>
    <row r="314" spans="1:17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</row>
    <row r="315" spans="1:17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</row>
    <row r="316" spans="1:17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</row>
    <row r="317" spans="1:17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</row>
    <row r="318" spans="1:17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</row>
    <row r="319" spans="1:17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</row>
    <row r="320" spans="1:17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</row>
    <row r="321" spans="1:17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</row>
    <row r="322" spans="1:17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</row>
    <row r="323" spans="1:17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</row>
    <row r="324" spans="1:17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</row>
    <row r="325" spans="1:17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</row>
    <row r="326" spans="1:17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</row>
    <row r="327" spans="1:17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</row>
    <row r="328" spans="1:17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</row>
    <row r="329" spans="1:17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</row>
    <row r="330" spans="1:17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</row>
    <row r="331" spans="1:17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</row>
    <row r="332" spans="1:17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</row>
    <row r="333" spans="1:17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</row>
    <row r="334" spans="1:17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</row>
    <row r="335" spans="1:17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</row>
    <row r="336" spans="1:17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</row>
    <row r="337" spans="1:17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</row>
    <row r="338" spans="1:17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</row>
    <row r="339" spans="1:17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</row>
    <row r="340" spans="1:17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</row>
    <row r="341" spans="1:17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</row>
    <row r="342" spans="1:17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</row>
    <row r="343" spans="1:17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</row>
    <row r="344" spans="1:17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</row>
    <row r="345" spans="1:17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</row>
    <row r="346" spans="1:17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</row>
    <row r="347" spans="1:17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</row>
    <row r="348" spans="1:17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</row>
    <row r="349" spans="1:17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</row>
    <row r="350" spans="1:17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</row>
    <row r="351" spans="1:17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</row>
    <row r="352" spans="1:17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</row>
    <row r="353" spans="1:17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</row>
    <row r="354" spans="1:17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</row>
    <row r="355" spans="1:17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</row>
    <row r="356" spans="1:17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</row>
    <row r="357" spans="1:17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</row>
    <row r="358" spans="1:17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</row>
    <row r="359" spans="1:17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</row>
    <row r="360" spans="1:17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</row>
    <row r="361" spans="1:17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</row>
    <row r="362" spans="1:17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</row>
    <row r="363" spans="1:17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</row>
    <row r="364" spans="1:17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</row>
    <row r="365" spans="1:17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</row>
    <row r="366" spans="1:17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</row>
    <row r="367" spans="1:17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</row>
    <row r="368" spans="1:17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</row>
    <row r="369" spans="1:17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</row>
    <row r="370" spans="1:17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</row>
    <row r="371" spans="1:17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</row>
    <row r="372" spans="1:17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</row>
    <row r="373" spans="1:17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</row>
    <row r="374" spans="1:17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</row>
    <row r="375" spans="1:17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</row>
    <row r="376" spans="1:17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</row>
    <row r="377" spans="1:17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</row>
    <row r="378" spans="1:17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</row>
    <row r="379" spans="1:17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</row>
    <row r="380" spans="1:17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</row>
    <row r="381" spans="1:17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</row>
    <row r="382" spans="1:17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</row>
    <row r="383" spans="1:17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</row>
    <row r="384" spans="1:17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</row>
    <row r="385" spans="1:17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</row>
    <row r="386" spans="1:17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</row>
    <row r="387" spans="1:17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</row>
    <row r="388" spans="1:17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</row>
    <row r="389" spans="1:17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</row>
    <row r="390" spans="1:17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</row>
    <row r="391" spans="1:17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</row>
    <row r="392" spans="1:17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</row>
    <row r="393" spans="1:17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</row>
    <row r="394" spans="1:17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</row>
    <row r="395" spans="1:17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</row>
    <row r="396" spans="1:17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</row>
    <row r="397" spans="1:17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</row>
    <row r="398" spans="1:17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</row>
    <row r="399" spans="1:17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</row>
    <row r="400" spans="1:17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</row>
    <row r="401" spans="1:17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</row>
    <row r="402" spans="1:17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</row>
    <row r="403" spans="1:17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</row>
    <row r="404" spans="1:17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</row>
    <row r="405" spans="1:17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</row>
    <row r="406" spans="1:17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</row>
    <row r="407" spans="1:17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</row>
    <row r="408" spans="1:17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</row>
    <row r="409" spans="1:17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</row>
    <row r="410" spans="1:17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</row>
    <row r="411" spans="1:17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</row>
    <row r="412" spans="1:17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</row>
    <row r="413" spans="1:17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</row>
    <row r="414" spans="1:17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</row>
    <row r="415" spans="1:17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</row>
    <row r="416" spans="1:17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</row>
    <row r="417" spans="1:17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</row>
    <row r="418" spans="1:17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</row>
    <row r="419" spans="1:17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</row>
    <row r="420" spans="1:17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</row>
    <row r="421" spans="1:17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</row>
    <row r="422" spans="1:17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</row>
    <row r="423" spans="1:17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</row>
    <row r="424" spans="1:17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</row>
    <row r="425" spans="1:17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</row>
    <row r="426" spans="1:17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</row>
    <row r="427" spans="1:17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</row>
    <row r="428" spans="1:17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</row>
    <row r="429" spans="1:17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</row>
    <row r="430" spans="1:17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</row>
    <row r="431" spans="1:17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</row>
    <row r="432" spans="1:17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</row>
    <row r="433" spans="1:17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</row>
    <row r="434" spans="1:17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</row>
    <row r="435" spans="1:17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</row>
    <row r="436" spans="1:17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</row>
    <row r="437" spans="1:17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</row>
    <row r="438" spans="1:17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</row>
    <row r="439" spans="1:17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</row>
    <row r="440" spans="1:17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</row>
    <row r="441" spans="1:17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</row>
    <row r="442" spans="1:17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</row>
    <row r="443" spans="1:17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</row>
    <row r="444" spans="1:17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</row>
    <row r="445" spans="1:17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</row>
    <row r="446" spans="1:17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</row>
    <row r="447" spans="1:17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</row>
    <row r="448" spans="1:17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</row>
    <row r="449" spans="1:17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</row>
    <row r="450" spans="1:17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</row>
    <row r="451" spans="1:17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</row>
    <row r="452" spans="1:17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</row>
    <row r="453" spans="1:17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</row>
    <row r="454" spans="1:17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</row>
    <row r="455" spans="1:17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</row>
    <row r="456" spans="1:17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</row>
    <row r="457" spans="1:17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</row>
    <row r="458" spans="1:17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</row>
    <row r="459" spans="1:17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</row>
    <row r="460" spans="1:17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</row>
    <row r="461" spans="1:17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</row>
    <row r="462" spans="1:17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</row>
    <row r="463" spans="1:17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</row>
    <row r="464" spans="1:17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</row>
    <row r="465" spans="1:17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</row>
    <row r="466" spans="1:17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</row>
    <row r="467" spans="1:17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</row>
    <row r="468" spans="1:17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</row>
    <row r="469" spans="1:17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</row>
    <row r="470" spans="1:17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</row>
    <row r="471" spans="1:17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</row>
    <row r="472" spans="1:17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</row>
    <row r="473" spans="1:17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</row>
    <row r="474" spans="1:17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</row>
    <row r="475" spans="1:17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</row>
    <row r="476" spans="1:17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</row>
    <row r="477" spans="1:17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</row>
    <row r="478" spans="1:17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</row>
    <row r="479" spans="1:17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</row>
    <row r="480" spans="1:17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</row>
    <row r="481" spans="1:17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</row>
    <row r="482" spans="1:17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</row>
    <row r="483" spans="1:17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</row>
    <row r="484" spans="1:17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</row>
    <row r="485" spans="1:17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</row>
    <row r="486" spans="1:17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</row>
    <row r="487" spans="1:17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</row>
    <row r="488" spans="1:17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</row>
    <row r="489" spans="1:17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</row>
    <row r="490" spans="1:17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</row>
    <row r="491" spans="1:17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</row>
    <row r="492" spans="1:17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</row>
    <row r="493" spans="1:17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</row>
    <row r="494" spans="1:17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</row>
    <row r="495" spans="1:17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</row>
    <row r="496" spans="1:17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</row>
    <row r="497" spans="1:17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</row>
    <row r="498" spans="1:17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</row>
    <row r="499" spans="1:17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</row>
    <row r="500" spans="1:17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</row>
    <row r="501" spans="1:17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</row>
    <row r="502" spans="1:17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</row>
    <row r="503" spans="1:17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</row>
    <row r="504" spans="1:17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</row>
    <row r="505" spans="1:17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</row>
    <row r="506" spans="1:17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</row>
    <row r="507" spans="1:17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</row>
    <row r="508" spans="1:17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</row>
    <row r="509" spans="1:17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</row>
    <row r="510" spans="1:17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</row>
    <row r="511" spans="1:17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</row>
    <row r="512" spans="1:17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</row>
    <row r="513" spans="1:17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</row>
    <row r="514" spans="1:17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</row>
    <row r="515" spans="1:17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</row>
    <row r="516" spans="1:17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</row>
    <row r="517" spans="1:17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</row>
    <row r="518" spans="1:17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</row>
    <row r="519" spans="1:17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</row>
    <row r="520" spans="1:17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</row>
    <row r="521" spans="1:17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</row>
    <row r="522" spans="1:17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</row>
    <row r="523" spans="1:17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</row>
    <row r="524" spans="1:17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</row>
    <row r="525" spans="1:17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</row>
    <row r="526" spans="1:17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</row>
    <row r="527" spans="1:17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</row>
    <row r="528" spans="1:17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</row>
    <row r="529" spans="1:17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</row>
    <row r="530" spans="1:17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</row>
    <row r="531" spans="1:17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</row>
    <row r="532" spans="1:17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</row>
    <row r="533" spans="1:17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</row>
    <row r="534" spans="1:17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</row>
    <row r="535" spans="1:17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</row>
    <row r="536" spans="1:17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</row>
    <row r="537" spans="1:17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</row>
    <row r="538" spans="1:17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</row>
    <row r="539" spans="1:17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</row>
    <row r="540" spans="1:17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</row>
    <row r="541" spans="1:17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</row>
    <row r="542" spans="1:17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</row>
    <row r="543" spans="1:17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</row>
    <row r="544" spans="1:17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</row>
    <row r="545" spans="1:17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</row>
    <row r="546" spans="1:17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</row>
    <row r="547" spans="1:17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</row>
    <row r="548" spans="1:17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</row>
    <row r="549" spans="1:17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</row>
    <row r="550" spans="1:17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</row>
    <row r="551" spans="1:17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</row>
    <row r="552" spans="1:17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</row>
    <row r="553" spans="1:17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</row>
    <row r="554" spans="1:17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</row>
    <row r="555" spans="1:17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</row>
    <row r="556" spans="1:17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</row>
    <row r="557" spans="1:17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</row>
    <row r="558" spans="1:17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</row>
    <row r="559" spans="1:17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</row>
    <row r="560" spans="1:17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</row>
    <row r="561" spans="1:17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</row>
    <row r="562" spans="1:17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</row>
    <row r="563" spans="1:17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</row>
    <row r="564" spans="1:17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</row>
    <row r="565" spans="1:17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</row>
    <row r="566" spans="1:17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</row>
    <row r="567" spans="1:17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</row>
    <row r="568" spans="1:17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</row>
    <row r="569" spans="1:17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</row>
    <row r="570" spans="1:17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</row>
    <row r="571" spans="1:17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</row>
    <row r="572" spans="1:17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</row>
    <row r="573" spans="1:17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</row>
    <row r="574" spans="1:17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</row>
    <row r="575" spans="1:17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</row>
    <row r="576" spans="1:17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</row>
    <row r="577" spans="1:17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</row>
    <row r="578" spans="1:17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</row>
    <row r="579" spans="1:17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</row>
    <row r="580" spans="1:17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</row>
    <row r="581" spans="1:17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</row>
    <row r="582" spans="1:17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</row>
    <row r="583" spans="1:17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</row>
    <row r="584" spans="1:17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</row>
    <row r="585" spans="1:17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</row>
    <row r="586" spans="1:17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</row>
    <row r="587" spans="1:17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</row>
    <row r="588" spans="1:17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</row>
    <row r="589" spans="1:17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</row>
    <row r="590" spans="1:17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</row>
    <row r="591" spans="1:17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</row>
    <row r="592" spans="1:17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</row>
    <row r="593" spans="1:17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</row>
    <row r="594" spans="1:17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</row>
    <row r="595" spans="1:17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</row>
    <row r="596" spans="1:17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</row>
    <row r="597" spans="1:17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</row>
    <row r="598" spans="1:17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</row>
    <row r="599" spans="1:17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</row>
    <row r="600" spans="1:17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</row>
    <row r="601" spans="1:17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</row>
    <row r="602" spans="1:17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</row>
    <row r="603" spans="1:17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</row>
    <row r="604" spans="1:17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</row>
    <row r="605" spans="1:17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</row>
    <row r="606" spans="1:17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</row>
    <row r="607" spans="1:17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</row>
    <row r="608" spans="1:17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</row>
    <row r="609" spans="1:17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</row>
    <row r="610" spans="1:17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</row>
    <row r="611" spans="1:17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</row>
    <row r="612" spans="1:17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</row>
    <row r="613" spans="1:17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</row>
    <row r="614" spans="1:17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</row>
    <row r="615" spans="1:17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</row>
    <row r="616" spans="1:17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</row>
    <row r="617" spans="1:17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</row>
    <row r="618" spans="1:17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</row>
    <row r="619" spans="1:17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</row>
    <row r="620" spans="1:17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</row>
    <row r="621" spans="1:17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</row>
    <row r="622" spans="1:17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</row>
    <row r="623" spans="1:17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</row>
    <row r="624" spans="1:17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</row>
    <row r="625" spans="1:17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</row>
    <row r="626" spans="1:17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</row>
    <row r="627" spans="1:17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</row>
    <row r="628" spans="1:17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</row>
    <row r="629" spans="1:17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</row>
    <row r="630" spans="1:17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</row>
    <row r="631" spans="1:17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</row>
    <row r="632" spans="1:17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</row>
    <row r="633" spans="1:17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</row>
    <row r="634" spans="1:17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</row>
    <row r="635" spans="1:17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</row>
    <row r="636" spans="1:17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</row>
    <row r="637" spans="1:17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</row>
    <row r="638" spans="1:17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</row>
    <row r="639" spans="1:17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</row>
    <row r="640" spans="1:17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</row>
    <row r="641" spans="1:17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</row>
    <row r="642" spans="1:17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</row>
    <row r="643" spans="1:17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</row>
    <row r="644" spans="1:17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</row>
    <row r="645" spans="1:17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</row>
    <row r="646" spans="1:17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</row>
    <row r="647" spans="1:17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</row>
    <row r="648" spans="1:17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</row>
    <row r="649" spans="1:17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</row>
    <row r="650" spans="1:17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</row>
    <row r="651" spans="1:17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</row>
    <row r="652" spans="1:17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</row>
    <row r="653" spans="1:17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</row>
    <row r="654" spans="1:17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</row>
    <row r="655" spans="1:17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</row>
    <row r="656" spans="1:17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</row>
    <row r="657" spans="1:17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</row>
    <row r="658" spans="1:17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</row>
    <row r="659" spans="1:17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</row>
    <row r="660" spans="1:17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</row>
    <row r="661" spans="1:17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</row>
    <row r="662" spans="1:17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</row>
    <row r="663" spans="1:17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</row>
    <row r="664" spans="1:17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</row>
    <row r="665" spans="1:17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</row>
    <row r="666" spans="1:17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</row>
    <row r="667" spans="1:17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</row>
    <row r="668" spans="1:17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</row>
    <row r="669" spans="1:17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</row>
    <row r="670" spans="1:17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</row>
    <row r="671" spans="1:17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</row>
    <row r="672" spans="1:17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</row>
    <row r="673" spans="1:17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</row>
    <row r="674" spans="1:17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</row>
    <row r="675" spans="1:17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</row>
    <row r="676" spans="1:17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</row>
    <row r="677" spans="1:17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</row>
    <row r="678" spans="1:17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</row>
    <row r="679" spans="1:17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</row>
    <row r="680" spans="1:17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</row>
    <row r="681" spans="1:17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</row>
    <row r="682" spans="1:17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</row>
    <row r="683" spans="1:17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</row>
    <row r="684" spans="1:17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</row>
    <row r="685" spans="1:17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</row>
    <row r="686" spans="1:17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</row>
    <row r="687" spans="1:17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</row>
    <row r="688" spans="1:17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</row>
    <row r="689" spans="1:17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</row>
    <row r="690" spans="1:17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</row>
    <row r="691" spans="1:17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</row>
    <row r="692" spans="1:17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</row>
    <row r="693" spans="1:17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</row>
    <row r="694" spans="1:17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</row>
    <row r="695" spans="1:17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</row>
    <row r="696" spans="1:17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</row>
    <row r="697" spans="1:17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</row>
    <row r="698" spans="1:17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</row>
    <row r="699" spans="1:17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</row>
    <row r="700" spans="1:17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</row>
    <row r="701" spans="1:17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</row>
    <row r="702" spans="1:17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</row>
    <row r="703" spans="1:17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</row>
    <row r="704" spans="1:17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</row>
    <row r="705" spans="1:17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</row>
    <row r="706" spans="1:17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</row>
    <row r="707" spans="1:17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</row>
    <row r="708" spans="1:17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</row>
    <row r="709" spans="1:17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</row>
    <row r="710" spans="1:17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</row>
    <row r="711" spans="1:17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</row>
    <row r="712" spans="1:17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</row>
    <row r="713" spans="1:17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</row>
    <row r="714" spans="1:17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</row>
    <row r="715" spans="1:17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</row>
    <row r="716" spans="1:17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</row>
    <row r="717" spans="1:17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</row>
    <row r="718" spans="1:17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</row>
    <row r="719" spans="1:17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</row>
    <row r="720" spans="1:17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</row>
    <row r="721" spans="1:17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</row>
    <row r="722" spans="1:17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</row>
    <row r="723" spans="1:17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</row>
    <row r="724" spans="1:17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</row>
    <row r="725" spans="1:17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</row>
    <row r="726" spans="1:17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</row>
    <row r="727" spans="1:17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</row>
    <row r="728" spans="1:17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</row>
    <row r="729" spans="1:17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</row>
    <row r="730" spans="1:17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</row>
    <row r="731" spans="1:17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</row>
    <row r="732" spans="1:17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</row>
    <row r="733" spans="1:17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</row>
    <row r="734" spans="1:17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</row>
    <row r="735" spans="1:17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</row>
    <row r="736" spans="1:17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</row>
    <row r="737" spans="1:17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</row>
    <row r="738" spans="1:17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</row>
    <row r="739" spans="1:17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</row>
    <row r="740" spans="1:17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</row>
    <row r="741" spans="1:17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</row>
    <row r="742" spans="1:17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</row>
    <row r="743" spans="1:17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</row>
    <row r="744" spans="1:17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</row>
    <row r="745" spans="1:17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</row>
    <row r="746" spans="1:17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</row>
    <row r="747" spans="1:17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</row>
    <row r="748" spans="1:17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</row>
    <row r="749" spans="1:17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</row>
    <row r="750" spans="1:17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</row>
    <row r="751" spans="1:17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</row>
    <row r="752" spans="1:17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</row>
    <row r="753" spans="1:17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</row>
    <row r="754" spans="1:17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</row>
    <row r="755" spans="1:17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</row>
    <row r="756" spans="1:17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</row>
    <row r="757" spans="1:17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</row>
    <row r="758" spans="1:17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</row>
    <row r="759" spans="1:17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</row>
    <row r="760" spans="1:17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</row>
    <row r="761" spans="1:17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</row>
    <row r="762" spans="1:17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</row>
    <row r="763" spans="1:17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</row>
    <row r="764" spans="1:17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</row>
    <row r="765" spans="1:17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</row>
    <row r="766" spans="1:17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</row>
    <row r="767" spans="1:17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</row>
    <row r="768" spans="1:17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</row>
    <row r="769" spans="1:17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</row>
    <row r="770" spans="1:17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</row>
    <row r="771" spans="1:17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</row>
    <row r="772" spans="1:17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</row>
    <row r="773" spans="1:17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</row>
    <row r="774" spans="1:17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</row>
    <row r="775" spans="1:17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</row>
    <row r="776" spans="1:17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</row>
    <row r="777" spans="1:17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</row>
    <row r="778" spans="1:17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</row>
    <row r="779" spans="1:17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</row>
    <row r="780" spans="1:17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</row>
    <row r="781" spans="1:17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</row>
    <row r="782" spans="1:17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</row>
    <row r="783" spans="1:17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</row>
    <row r="784" spans="1:17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</row>
    <row r="785" spans="1:17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</row>
    <row r="786" spans="1:17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</row>
    <row r="787" spans="1:17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</row>
    <row r="788" spans="1:17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</row>
    <row r="789" spans="1:17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</row>
    <row r="790" spans="1:17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</row>
    <row r="791" spans="1:17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</row>
    <row r="792" spans="1:17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</row>
    <row r="793" spans="1:17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</row>
    <row r="794" spans="1:17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</row>
    <row r="795" spans="1:17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</row>
    <row r="796" spans="1:17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</row>
    <row r="797" spans="1:17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</row>
    <row r="798" spans="1:17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</row>
    <row r="799" spans="1:17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</row>
    <row r="800" spans="1:17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</row>
    <row r="801" spans="1:17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</row>
    <row r="802" spans="1:17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</row>
    <row r="803" spans="1:17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</row>
    <row r="804" spans="1:17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</row>
    <row r="805" spans="1:17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</row>
    <row r="806" spans="1:17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</row>
    <row r="807" spans="1:17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</row>
    <row r="808" spans="1:17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</row>
    <row r="809" spans="1:17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</row>
    <row r="810" spans="1:17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</row>
    <row r="811" spans="1:17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</row>
    <row r="812" spans="1:17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</row>
    <row r="813" spans="1:17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</row>
    <row r="814" spans="1:17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</row>
    <row r="815" spans="1:17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</row>
    <row r="816" spans="1:17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</row>
    <row r="817" spans="1:17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</row>
    <row r="818" spans="1:17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</row>
    <row r="819" spans="1:17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</row>
    <row r="820" spans="1:17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</row>
    <row r="821" spans="1:17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</row>
    <row r="822" spans="1:17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</row>
    <row r="823" spans="1:17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</row>
    <row r="824" spans="1:17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</row>
    <row r="825" spans="1:17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</row>
    <row r="826" spans="1:17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</row>
    <row r="827" spans="1:17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</row>
    <row r="828" spans="1:17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</row>
    <row r="829" spans="1:17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</row>
    <row r="830" spans="1:17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</row>
    <row r="831" spans="1:17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</row>
    <row r="832" spans="1:17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</row>
    <row r="833" spans="1:17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</row>
    <row r="834" spans="1:17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</row>
    <row r="835" spans="1:17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</row>
    <row r="836" spans="1:17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</row>
    <row r="837" spans="1:17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</row>
    <row r="838" spans="1:17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</row>
    <row r="839" spans="1:17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</row>
    <row r="840" spans="1:17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</row>
    <row r="841" spans="1:17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</row>
    <row r="842" spans="1:17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</row>
    <row r="843" spans="1:17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</row>
    <row r="844" spans="1:17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</row>
    <row r="845" spans="1:17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</row>
    <row r="846" spans="1:17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</row>
    <row r="847" spans="1:17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</row>
    <row r="848" spans="1:17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</row>
    <row r="849" spans="1:17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</row>
    <row r="850" spans="1:17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</row>
    <row r="851" spans="1:17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</row>
    <row r="852" spans="1:17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</row>
    <row r="853" spans="1:17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</row>
    <row r="854" spans="1:17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</row>
    <row r="855" spans="1:17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</row>
    <row r="856" spans="1:17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</row>
    <row r="857" spans="1:17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</row>
    <row r="858" spans="1:17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</row>
    <row r="859" spans="1:17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</row>
    <row r="860" spans="1:17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</row>
    <row r="861" spans="1:17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</row>
    <row r="862" spans="1:17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</row>
    <row r="863" spans="1:17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</row>
    <row r="864" spans="1:17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</row>
    <row r="865" spans="1:17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</row>
    <row r="866" spans="1:17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</row>
    <row r="867" spans="1:17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</row>
    <row r="868" spans="1:17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</row>
    <row r="869" spans="1:17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</row>
    <row r="870" spans="1:17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</row>
    <row r="871" spans="1:17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</row>
    <row r="872" spans="1:17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</row>
    <row r="873" spans="1:17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</row>
    <row r="874" spans="1:17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</row>
    <row r="875" spans="1:17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</row>
    <row r="876" spans="1:17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</row>
    <row r="877" spans="1:17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</row>
    <row r="878" spans="1:17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</row>
    <row r="879" spans="1:17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</row>
    <row r="880" spans="1:17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</row>
    <row r="881" spans="1:17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</row>
    <row r="882" spans="1:17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</row>
    <row r="883" spans="1:17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</row>
    <row r="884" spans="1:17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</row>
    <row r="885" spans="1:17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</row>
    <row r="886" spans="1:17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</row>
    <row r="887" spans="1:17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</row>
    <row r="888" spans="1:17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</row>
    <row r="889" spans="1:17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</row>
    <row r="890" spans="1:17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</row>
    <row r="891" spans="1:17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</row>
    <row r="892" spans="1:17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</row>
    <row r="893" spans="1:17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</row>
    <row r="894" spans="1:17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</row>
    <row r="895" spans="1:17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</row>
    <row r="896" spans="1:17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</row>
    <row r="897" spans="1:17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</row>
    <row r="898" spans="1:17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</row>
    <row r="899" spans="1:17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</row>
    <row r="900" spans="1:17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</row>
    <row r="901" spans="1:17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</row>
    <row r="902" spans="1:17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</row>
    <row r="903" spans="1:17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</row>
    <row r="904" spans="1:17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</row>
    <row r="905" spans="1:17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</row>
    <row r="906" spans="1:17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</row>
    <row r="907" spans="1:17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</row>
    <row r="908" spans="1:17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</row>
    <row r="909" spans="1:17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</row>
    <row r="910" spans="1:17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</row>
    <row r="911" spans="1:17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</row>
    <row r="912" spans="1:17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</row>
    <row r="913" spans="1:17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</row>
    <row r="914" spans="1:17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</row>
    <row r="915" spans="1:17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</row>
    <row r="916" spans="1:17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</row>
    <row r="917" spans="1:17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</row>
    <row r="918" spans="1:17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</row>
    <row r="919" spans="1:17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</row>
    <row r="920" spans="1:17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</row>
    <row r="921" spans="1:17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</row>
    <row r="922" spans="1:17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</row>
    <row r="923" spans="1:17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</row>
    <row r="924" spans="1:17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</row>
    <row r="925" spans="1:17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</row>
    <row r="926" spans="1:17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</row>
    <row r="927" spans="1:17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</row>
    <row r="928" spans="1:17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</row>
    <row r="929" spans="1:17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</row>
    <row r="930" spans="1:17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</row>
    <row r="931" spans="1:17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</row>
    <row r="932" spans="1:17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</row>
    <row r="933" spans="1:17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</row>
    <row r="934" spans="1:17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</row>
    <row r="935" spans="1:17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</row>
    <row r="936" spans="1:17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</row>
    <row r="937" spans="1:17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</row>
    <row r="938" spans="1:17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</row>
    <row r="939" spans="1:17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</row>
    <row r="940" spans="1:17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</row>
    <row r="941" spans="1:17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</row>
    <row r="942" spans="1:17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</row>
    <row r="943" spans="1:17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</row>
    <row r="944" spans="1:17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</row>
    <row r="945" spans="1:17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</row>
    <row r="946" spans="1:17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</row>
    <row r="947" spans="1:17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</row>
    <row r="948" spans="1:17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</row>
    <row r="949" spans="1:17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</row>
    <row r="950" spans="1:17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</row>
    <row r="951" spans="1:17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</row>
    <row r="952" spans="1:17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</row>
    <row r="953" spans="1:17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</row>
    <row r="954" spans="1:17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</row>
    <row r="955" spans="1:17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</row>
    <row r="956" spans="1:17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</row>
    <row r="957" spans="1:17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</row>
    <row r="958" spans="1:17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</row>
    <row r="959" spans="1:17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</row>
    <row r="960" spans="1:17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</row>
    <row r="961" spans="1:17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</row>
    <row r="962" spans="1:17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</row>
    <row r="963" spans="1:17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</row>
    <row r="964" spans="1:17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</row>
    <row r="965" spans="1:17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</row>
    <row r="966" spans="1:17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</row>
    <row r="967" spans="1:17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</row>
    <row r="968" spans="1:17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</row>
    <row r="969" spans="1:17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</row>
    <row r="970" spans="1:17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</row>
    <row r="971" spans="1:17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</row>
    <row r="972" spans="1:17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</row>
    <row r="973" spans="1:17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</row>
    <row r="974" spans="1:17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</row>
    <row r="975" spans="1:17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</row>
    <row r="976" spans="1:17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</row>
    <row r="977" spans="1:17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</row>
    <row r="978" spans="1:17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</row>
    <row r="979" spans="1:17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</row>
    <row r="980" spans="1:17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</row>
    <row r="981" spans="1:17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</row>
    <row r="982" spans="1:17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</row>
    <row r="983" spans="1:17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</row>
    <row r="984" spans="1:17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</row>
    <row r="985" spans="1:17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</row>
    <row r="986" spans="1:17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</row>
    <row r="987" spans="1:17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</row>
    <row r="988" spans="1:17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</row>
    <row r="989" spans="1:17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</row>
    <row r="990" spans="1:17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</row>
    <row r="991" spans="1:17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</row>
    <row r="992" spans="1:17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</row>
    <row r="993" spans="1:17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</row>
    <row r="994" spans="1:17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</row>
    <row r="995" spans="1:17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</row>
    <row r="996" spans="1:17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</row>
    <row r="997" spans="1:17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</row>
    <row r="998" spans="1:17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</row>
    <row r="999" spans="1:17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</row>
  </sheetData>
  <mergeCells count="21">
    <mergeCell ref="A89:B89"/>
    <mergeCell ref="A104:B104"/>
    <mergeCell ref="D5:D6"/>
    <mergeCell ref="E5:E6"/>
    <mergeCell ref="A7:B7"/>
    <mergeCell ref="A13:B13"/>
    <mergeCell ref="A31:B31"/>
    <mergeCell ref="A52:B52"/>
    <mergeCell ref="A74:B74"/>
    <mergeCell ref="F5:F6"/>
    <mergeCell ref="G5:G6"/>
    <mergeCell ref="J5:K5"/>
    <mergeCell ref="L5:N5"/>
    <mergeCell ref="A2:B6"/>
    <mergeCell ref="C2:Q2"/>
    <mergeCell ref="C3:Q3"/>
    <mergeCell ref="C4:G4"/>
    <mergeCell ref="H4:I4"/>
    <mergeCell ref="J4:Q4"/>
    <mergeCell ref="C5:C6"/>
    <mergeCell ref="O5:Q5"/>
  </mergeCells>
  <printOptions horizontalCentered="1"/>
  <pageMargins left="0.23622047244094491" right="0.23622047244094491" top="0.74803149606299213" bottom="0.74803149606299213" header="0" footer="0"/>
  <pageSetup paperSize="9" scale="59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D999"/>
  <sheetViews>
    <sheetView view="pageBreakPreview" zoomScale="60" zoomScaleNormal="100" workbookViewId="0">
      <pane xSplit="2" ySplit="7" topLeftCell="E8" activePane="bottomRight" state="frozen"/>
      <selection activeCell="J17" sqref="J17"/>
      <selection pane="topRight" activeCell="J17" sqref="J17"/>
      <selection pane="bottomLeft" activeCell="J17" sqref="J17"/>
      <selection pane="bottomRight" activeCell="Y26" sqref="Y2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85546875" customWidth="1"/>
    <col min="19" max="19" width="13.42578125" bestFit="1" customWidth="1"/>
    <col min="20" max="20" width="7.5703125" customWidth="1"/>
    <col min="21" max="21" width="10.140625" customWidth="1"/>
    <col min="22" max="22" width="13.42578125" bestFit="1" customWidth="1"/>
    <col min="23" max="24" width="10.140625" customWidth="1"/>
    <col min="25" max="25" width="13.42578125" bestFit="1" customWidth="1"/>
    <col min="26" max="27" width="10.140625" customWidth="1"/>
    <col min="28" max="28" width="13.42578125" bestFit="1" customWidth="1"/>
    <col min="29" max="30" width="10.140625" customWidth="1"/>
  </cols>
  <sheetData>
    <row r="1" spans="1:3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4" customHeight="1" x14ac:dyDescent="0.2">
      <c r="A2" s="382" t="s">
        <v>1</v>
      </c>
      <c r="B2" s="383"/>
      <c r="C2" s="352" t="s">
        <v>156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4"/>
    </row>
    <row r="3" spans="1:30" ht="30" customHeight="1" x14ac:dyDescent="0.2">
      <c r="A3" s="384"/>
      <c r="B3" s="385"/>
      <c r="C3" s="355" t="s">
        <v>3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215" t="s">
        <v>22</v>
      </c>
      <c r="S3" s="358" t="s">
        <v>4</v>
      </c>
      <c r="T3" s="356"/>
      <c r="U3" s="356"/>
      <c r="V3" s="356"/>
      <c r="W3" s="356"/>
      <c r="X3" s="356"/>
      <c r="Y3" s="356"/>
      <c r="Z3" s="356"/>
      <c r="AA3" s="359"/>
      <c r="AB3" s="414" t="s">
        <v>157</v>
      </c>
      <c r="AC3" s="361"/>
      <c r="AD3" s="362"/>
    </row>
    <row r="4" spans="1:30" ht="60" customHeight="1" x14ac:dyDescent="0.2">
      <c r="A4" s="384"/>
      <c r="B4" s="385"/>
      <c r="C4" s="366" t="s">
        <v>6</v>
      </c>
      <c r="D4" s="356"/>
      <c r="E4" s="356"/>
      <c r="F4" s="356"/>
      <c r="G4" s="359"/>
      <c r="H4" s="367" t="s">
        <v>7</v>
      </c>
      <c r="I4" s="359"/>
      <c r="J4" s="371" t="s">
        <v>8</v>
      </c>
      <c r="K4" s="356"/>
      <c r="L4" s="356"/>
      <c r="M4" s="356"/>
      <c r="N4" s="356"/>
      <c r="O4" s="356"/>
      <c r="P4" s="356"/>
      <c r="Q4" s="359"/>
      <c r="R4" s="412" t="s">
        <v>158</v>
      </c>
      <c r="S4" s="358" t="s">
        <v>142</v>
      </c>
      <c r="T4" s="356"/>
      <c r="U4" s="359"/>
      <c r="V4" s="358" t="s">
        <v>159</v>
      </c>
      <c r="W4" s="356"/>
      <c r="X4" s="359"/>
      <c r="Y4" s="358" t="s">
        <v>160</v>
      </c>
      <c r="Z4" s="356"/>
      <c r="AA4" s="359"/>
      <c r="AB4" s="415"/>
      <c r="AC4" s="364"/>
      <c r="AD4" s="365"/>
    </row>
    <row r="5" spans="1:30" ht="24" customHeight="1" x14ac:dyDescent="0.3">
      <c r="A5" s="384"/>
      <c r="B5" s="385"/>
      <c r="C5" s="437" t="s">
        <v>13</v>
      </c>
      <c r="D5" s="438" t="s">
        <v>14</v>
      </c>
      <c r="E5" s="439" t="s">
        <v>15</v>
      </c>
      <c r="F5" s="440" t="s">
        <v>16</v>
      </c>
      <c r="G5" s="441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64"/>
      <c r="N5" s="365"/>
      <c r="O5" s="375" t="s">
        <v>19</v>
      </c>
      <c r="P5" s="364"/>
      <c r="Q5" s="365"/>
      <c r="R5" s="413"/>
      <c r="S5" s="216" t="s">
        <v>21</v>
      </c>
      <c r="T5" s="376" t="s">
        <v>22</v>
      </c>
      <c r="U5" s="359"/>
      <c r="V5" s="216" t="s">
        <v>21</v>
      </c>
      <c r="W5" s="376" t="s">
        <v>22</v>
      </c>
      <c r="X5" s="359"/>
      <c r="Y5" s="216" t="s">
        <v>21</v>
      </c>
      <c r="Z5" s="376" t="s">
        <v>22</v>
      </c>
      <c r="AA5" s="359"/>
      <c r="AB5" s="216" t="s">
        <v>21</v>
      </c>
      <c r="AC5" s="376" t="s">
        <v>22</v>
      </c>
      <c r="AD5" s="359"/>
    </row>
    <row r="6" spans="1:30" ht="36" customHeight="1" x14ac:dyDescent="0.2">
      <c r="A6" s="386"/>
      <c r="B6" s="387"/>
      <c r="C6" s="442"/>
      <c r="D6" s="443"/>
      <c r="E6" s="443"/>
      <c r="F6" s="443"/>
      <c r="G6" s="443"/>
      <c r="H6" s="6"/>
      <c r="I6" s="6"/>
      <c r="J6" s="8" t="s">
        <v>23</v>
      </c>
      <c r="K6" s="9" t="s">
        <v>24</v>
      </c>
      <c r="L6" s="8" t="s">
        <v>23</v>
      </c>
      <c r="M6" s="450" t="s">
        <v>25</v>
      </c>
      <c r="N6" s="451" t="s">
        <v>26</v>
      </c>
      <c r="O6" s="452" t="s">
        <v>23</v>
      </c>
      <c r="P6" s="450" t="s">
        <v>25</v>
      </c>
      <c r="Q6" s="451" t="s">
        <v>26</v>
      </c>
      <c r="R6" s="388"/>
      <c r="S6" s="14" t="s">
        <v>28</v>
      </c>
      <c r="T6" s="17" t="s">
        <v>28</v>
      </c>
      <c r="U6" s="16" t="s">
        <v>24</v>
      </c>
      <c r="V6" s="14" t="s">
        <v>28</v>
      </c>
      <c r="W6" s="17" t="s">
        <v>28</v>
      </c>
      <c r="X6" s="16" t="s">
        <v>24</v>
      </c>
      <c r="Y6" s="14" t="s">
        <v>28</v>
      </c>
      <c r="Z6" s="17" t="s">
        <v>28</v>
      </c>
      <c r="AA6" s="16" t="s">
        <v>24</v>
      </c>
      <c r="AB6" s="18" t="s">
        <v>161</v>
      </c>
      <c r="AC6" s="217" t="s">
        <v>161</v>
      </c>
      <c r="AD6" s="16" t="s">
        <v>24</v>
      </c>
    </row>
    <row r="7" spans="1:30" ht="24" customHeight="1" x14ac:dyDescent="0.2">
      <c r="A7" s="389" t="s">
        <v>233</v>
      </c>
      <c r="B7" s="390"/>
      <c r="C7" s="210">
        <f t="shared" ref="C7:C116" ca="1" si="0">D7+G7</f>
        <v>9632800</v>
      </c>
      <c r="D7" s="211">
        <f t="shared" ref="D7:E7" ca="1" si="1">D8+D9+D12</f>
        <v>5512800</v>
      </c>
      <c r="E7" s="23">
        <f t="shared" ca="1" si="1"/>
        <v>2480800</v>
      </c>
      <c r="F7" s="24">
        <f ca="1">F8+F9</f>
        <v>3032000</v>
      </c>
      <c r="G7" s="25">
        <f t="shared" ref="G7:I7" ca="1" si="2">G8+G9+G12</f>
        <v>4120000</v>
      </c>
      <c r="H7" s="26">
        <f t="shared" ca="1" si="2"/>
        <v>4134600</v>
      </c>
      <c r="I7" s="26">
        <f t="shared" ca="1" si="2"/>
        <v>4120000</v>
      </c>
      <c r="J7" s="27">
        <f t="shared" ref="J7:J116" ca="1" si="3">L7+O7</f>
        <v>5630414.04</v>
      </c>
      <c r="K7" s="28">
        <f t="shared" ref="K7:K116" ca="1" si="4">IF(C7&gt;0,J7*100/C7,0)</f>
        <v>58.450440578025081</v>
      </c>
      <c r="L7" s="27">
        <f ca="1">L8+L9+L12</f>
        <v>1645414.04</v>
      </c>
      <c r="M7" s="29">
        <f t="shared" ref="M7:M116" ca="1" si="5">IF(D7&gt;0,L7*100/D7,0)</f>
        <v>29.847156435930923</v>
      </c>
      <c r="N7" s="29">
        <f t="shared" ref="N7:N116" ca="1" si="6">IF(H7&gt;0,L7*100/H7,0)</f>
        <v>39.796208581241231</v>
      </c>
      <c r="O7" s="30">
        <f ca="1">O8+O9+O12</f>
        <v>3985000</v>
      </c>
      <c r="P7" s="30">
        <f t="shared" ref="P7:P11" ca="1" si="7">IF(G7&gt;0,O7*100/G7,0)</f>
        <v>96.72330097087378</v>
      </c>
      <c r="Q7" s="29">
        <f t="shared" ref="Q7:Q116" ca="1" si="8">IF(I7&gt;0,O7*100/I7,0)</f>
        <v>96.72330097087378</v>
      </c>
      <c r="R7" s="32">
        <f t="shared" ref="R7:T7" ca="1" si="9">R8</f>
        <v>51</v>
      </c>
      <c r="S7" s="31">
        <f t="shared" ca="1" si="9"/>
        <v>400</v>
      </c>
      <c r="T7" s="32">
        <f t="shared" ca="1" si="9"/>
        <v>130</v>
      </c>
      <c r="U7" s="33">
        <f t="shared" ref="U7:U8" ca="1" si="10">IF(S7&gt;0,T7*100/S7,0)</f>
        <v>32.5</v>
      </c>
      <c r="V7" s="31">
        <f t="shared" ref="V7:W7" ca="1" si="11">V8</f>
        <v>200</v>
      </c>
      <c r="W7" s="32">
        <f t="shared" ca="1" si="11"/>
        <v>185</v>
      </c>
      <c r="X7" s="33">
        <f t="shared" ref="X7:X8" ca="1" si="12">IF(V7&gt;0,W7*100/V7,0)</f>
        <v>92.5</v>
      </c>
      <c r="Y7" s="31">
        <f t="shared" ref="Y7:Z7" ca="1" si="13">Y8</f>
        <v>400</v>
      </c>
      <c r="Z7" s="32">
        <f t="shared" ca="1" si="13"/>
        <v>180</v>
      </c>
      <c r="AA7" s="33">
        <f t="shared" ref="AA7:AA8" ca="1" si="14">IF(Y7&gt;0,Z7*100/Y7,0)</f>
        <v>45</v>
      </c>
      <c r="AB7" s="31">
        <f t="shared" ref="AB7:AC7" ca="1" si="15">AB8</f>
        <v>40</v>
      </c>
      <c r="AC7" s="32">
        <f t="shared" ca="1" si="15"/>
        <v>18</v>
      </c>
      <c r="AD7" s="33">
        <f t="shared" ref="AD7:AD8" ca="1" si="16">IF(AB7&gt;0,AC7*100/AB7,0)</f>
        <v>45</v>
      </c>
    </row>
    <row r="8" spans="1:30" ht="28.5" customHeight="1" x14ac:dyDescent="0.2">
      <c r="A8" s="34" t="s">
        <v>31</v>
      </c>
      <c r="B8" s="35"/>
      <c r="C8" s="36">
        <f t="shared" ca="1" si="0"/>
        <v>8165100</v>
      </c>
      <c r="D8" s="37">
        <f t="shared" ref="D8:I8" ca="1" si="17">+D13+D31+D52+D74</f>
        <v>4045100</v>
      </c>
      <c r="E8" s="38">
        <f t="shared" ca="1" si="17"/>
        <v>2098900</v>
      </c>
      <c r="F8" s="38">
        <f t="shared" ca="1" si="17"/>
        <v>1946200</v>
      </c>
      <c r="G8" s="38">
        <f t="shared" ca="1" si="17"/>
        <v>4120000</v>
      </c>
      <c r="H8" s="38">
        <f t="shared" ca="1" si="17"/>
        <v>2798200</v>
      </c>
      <c r="I8" s="38">
        <f t="shared" ca="1" si="17"/>
        <v>4109500</v>
      </c>
      <c r="J8" s="38">
        <f t="shared" ca="1" si="3"/>
        <v>5411680.6200000001</v>
      </c>
      <c r="K8" s="39">
        <f t="shared" ca="1" si="4"/>
        <v>66.278191571444324</v>
      </c>
      <c r="L8" s="38">
        <f ca="1">+L13+L31+L52+L74</f>
        <v>1426680.62</v>
      </c>
      <c r="M8" s="40">
        <f t="shared" ca="1" si="5"/>
        <v>35.269353538849472</v>
      </c>
      <c r="N8" s="40">
        <f t="shared" ca="1" si="6"/>
        <v>50.985655778714886</v>
      </c>
      <c r="O8" s="41">
        <f ca="1">+O13+O31+O52+O74</f>
        <v>3985000</v>
      </c>
      <c r="P8" s="41">
        <f t="shared" ca="1" si="7"/>
        <v>96.72330097087378</v>
      </c>
      <c r="Q8" s="40">
        <f t="shared" ca="1" si="8"/>
        <v>96.970434359411115</v>
      </c>
      <c r="R8" s="38">
        <f t="shared" ref="R8:T8" ca="1" si="18">+R13+R31+R52+R74</f>
        <v>51</v>
      </c>
      <c r="S8" s="38">
        <f t="shared" ca="1" si="18"/>
        <v>400</v>
      </c>
      <c r="T8" s="38">
        <f t="shared" ca="1" si="18"/>
        <v>130</v>
      </c>
      <c r="U8" s="40">
        <f t="shared" ca="1" si="10"/>
        <v>32.5</v>
      </c>
      <c r="V8" s="38">
        <f t="shared" ref="V8:W8" ca="1" si="19">+V13+V31+V52+V74</f>
        <v>200</v>
      </c>
      <c r="W8" s="38">
        <f t="shared" ca="1" si="19"/>
        <v>185</v>
      </c>
      <c r="X8" s="40">
        <f t="shared" ca="1" si="12"/>
        <v>92.5</v>
      </c>
      <c r="Y8" s="38">
        <f t="shared" ref="Y8:Z8" ca="1" si="20">+Y13+Y31+Y52+Y74</f>
        <v>400</v>
      </c>
      <c r="Z8" s="38">
        <f t="shared" ca="1" si="20"/>
        <v>180</v>
      </c>
      <c r="AA8" s="40">
        <f t="shared" ca="1" si="14"/>
        <v>45</v>
      </c>
      <c r="AB8" s="38">
        <f t="shared" ref="AB8:AC8" ca="1" si="21">+AB13+AB31+AB52+AB74</f>
        <v>40</v>
      </c>
      <c r="AC8" s="38">
        <f t="shared" ca="1" si="21"/>
        <v>18</v>
      </c>
      <c r="AD8" s="40">
        <f t="shared" ca="1" si="16"/>
        <v>45</v>
      </c>
    </row>
    <row r="9" spans="1:30" ht="28.5" customHeight="1" x14ac:dyDescent="0.2">
      <c r="A9" s="44" t="s">
        <v>234</v>
      </c>
      <c r="B9" s="45"/>
      <c r="C9" s="46">
        <f t="shared" ca="1" si="0"/>
        <v>1467700</v>
      </c>
      <c r="D9" s="47">
        <f t="shared" ref="D9:I9" ca="1" si="22">+D10+D11</f>
        <v>1467700</v>
      </c>
      <c r="E9" s="46">
        <f t="shared" ca="1" si="22"/>
        <v>381900</v>
      </c>
      <c r="F9" s="46">
        <f t="shared" ca="1" si="22"/>
        <v>1085800</v>
      </c>
      <c r="G9" s="46">
        <f t="shared" ca="1" si="22"/>
        <v>0</v>
      </c>
      <c r="H9" s="46">
        <f t="shared" ca="1" si="22"/>
        <v>1336400</v>
      </c>
      <c r="I9" s="46">
        <f t="shared" ca="1" si="22"/>
        <v>10500</v>
      </c>
      <c r="J9" s="46">
        <f t="shared" ca="1" si="3"/>
        <v>218733.42</v>
      </c>
      <c r="K9" s="48">
        <f t="shared" ca="1" si="4"/>
        <v>14.903142331539144</v>
      </c>
      <c r="L9" s="46">
        <f ca="1">+L10+L11</f>
        <v>218733.42</v>
      </c>
      <c r="M9" s="49">
        <f t="shared" ca="1" si="5"/>
        <v>14.903142331539144</v>
      </c>
      <c r="N9" s="49">
        <f t="shared" ca="1" si="6"/>
        <v>16.367361568392695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6"/>
      <c r="U9" s="49"/>
      <c r="V9" s="46"/>
      <c r="W9" s="46"/>
      <c r="X9" s="49"/>
      <c r="Y9" s="46"/>
      <c r="Z9" s="46"/>
      <c r="AA9" s="49"/>
      <c r="AB9" s="46"/>
      <c r="AC9" s="46"/>
      <c r="AD9" s="49"/>
    </row>
    <row r="10" spans="1:30" ht="28.5" hidden="1" customHeight="1" x14ac:dyDescent="0.2">
      <c r="A10" s="44" t="s">
        <v>32</v>
      </c>
      <c r="B10" s="45"/>
      <c r="C10" s="46">
        <f t="shared" ca="1" si="0"/>
        <v>1220800</v>
      </c>
      <c r="D10" s="47">
        <f t="shared" ref="D10:I10" ca="1" si="23">+D89</f>
        <v>1220800</v>
      </c>
      <c r="E10" s="46">
        <f t="shared" ca="1" si="23"/>
        <v>135000</v>
      </c>
      <c r="F10" s="46">
        <f t="shared" ca="1" si="23"/>
        <v>1085800</v>
      </c>
      <c r="G10" s="46">
        <f t="shared" ca="1" si="23"/>
        <v>0</v>
      </c>
      <c r="H10" s="46">
        <f t="shared" ca="1" si="23"/>
        <v>1274700</v>
      </c>
      <c r="I10" s="46">
        <f t="shared" ca="1" si="23"/>
        <v>0</v>
      </c>
      <c r="J10" s="46">
        <f t="shared" ca="1" si="3"/>
        <v>218733.42</v>
      </c>
      <c r="K10" s="48">
        <f t="shared" ca="1" si="4"/>
        <v>17.91721985583224</v>
      </c>
      <c r="L10" s="46">
        <f ca="1">+L89</f>
        <v>218733.42</v>
      </c>
      <c r="M10" s="49">
        <f t="shared" ca="1" si="5"/>
        <v>17.91721985583224</v>
      </c>
      <c r="N10" s="49">
        <f t="shared" ca="1" si="6"/>
        <v>17.159599905860201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6"/>
      <c r="U10" s="49"/>
      <c r="V10" s="46"/>
      <c r="W10" s="46"/>
      <c r="X10" s="49"/>
      <c r="Y10" s="46"/>
      <c r="Z10" s="46"/>
      <c r="AA10" s="49"/>
      <c r="AB10" s="46"/>
      <c r="AC10" s="46"/>
      <c r="AD10" s="49"/>
    </row>
    <row r="11" spans="1:30" ht="28.5" hidden="1" customHeight="1" x14ac:dyDescent="0.2">
      <c r="A11" s="53" t="s">
        <v>33</v>
      </c>
      <c r="B11" s="45"/>
      <c r="C11" s="46">
        <f t="shared" ca="1" si="0"/>
        <v>246900</v>
      </c>
      <c r="D11" s="47">
        <f t="shared" ref="D11:I11" ca="1" si="24">+D104</f>
        <v>246900</v>
      </c>
      <c r="E11" s="46">
        <f t="shared" ca="1" si="24"/>
        <v>246900</v>
      </c>
      <c r="F11" s="46">
        <f t="shared" ca="1" si="24"/>
        <v>0</v>
      </c>
      <c r="G11" s="46">
        <f t="shared" ca="1" si="24"/>
        <v>0</v>
      </c>
      <c r="H11" s="46">
        <f t="shared" ca="1" si="24"/>
        <v>61700</v>
      </c>
      <c r="I11" s="46">
        <f t="shared" ca="1" si="24"/>
        <v>10500</v>
      </c>
      <c r="J11" s="46">
        <f t="shared" ca="1" si="3"/>
        <v>0</v>
      </c>
      <c r="K11" s="48">
        <f t="shared" ca="1" si="4"/>
        <v>0</v>
      </c>
      <c r="L11" s="46">
        <f ca="1">+L104</f>
        <v>0</v>
      </c>
      <c r="M11" s="49">
        <f t="shared" ca="1" si="5"/>
        <v>0</v>
      </c>
      <c r="N11" s="49">
        <f t="shared" ca="1" si="6"/>
        <v>0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6"/>
      <c r="U11" s="49"/>
      <c r="V11" s="46"/>
      <c r="W11" s="46"/>
      <c r="X11" s="49"/>
      <c r="Y11" s="46"/>
      <c r="Z11" s="46"/>
      <c r="AA11" s="49"/>
      <c r="AB11" s="46"/>
      <c r="AC11" s="46"/>
      <c r="AD11" s="49"/>
    </row>
    <row r="12" spans="1:30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58">
        <v>0</v>
      </c>
      <c r="U12" s="60">
        <f t="shared" ref="U12:U88" si="25">IF(S12&gt;0,T12*100/S12,0)</f>
        <v>0</v>
      </c>
      <c r="V12" s="58">
        <v>0</v>
      </c>
      <c r="W12" s="58">
        <v>0</v>
      </c>
      <c r="X12" s="60">
        <f t="shared" ref="X12:X88" si="26">IF(V12&gt;0,W12*100/V12,0)</f>
        <v>0</v>
      </c>
      <c r="Y12" s="58">
        <v>0</v>
      </c>
      <c r="Z12" s="58">
        <v>0</v>
      </c>
      <c r="AA12" s="60">
        <f t="shared" ref="AA12:AA88" si="27">IF(Y12&gt;0,Z12*100/Y12,0)</f>
        <v>0</v>
      </c>
      <c r="AB12" s="58">
        <v>0</v>
      </c>
      <c r="AC12" s="58">
        <v>0</v>
      </c>
      <c r="AD12" s="60">
        <f t="shared" ref="AD12:AD88" si="28">IF(AB12&gt;0,AC12*100/AB12,0)</f>
        <v>0</v>
      </c>
    </row>
    <row r="13" spans="1:30" ht="28.5" customHeight="1" x14ac:dyDescent="0.2">
      <c r="A13" s="377" t="s">
        <v>35</v>
      </c>
      <c r="B13" s="359"/>
      <c r="C13" s="62">
        <f t="shared" ca="1" si="0"/>
        <v>2170260</v>
      </c>
      <c r="D13" s="63">
        <f t="shared" ref="D13:I13" ca="1" si="29">SUM(D14:D30)</f>
        <v>934260</v>
      </c>
      <c r="E13" s="64">
        <f t="shared" ca="1" si="29"/>
        <v>350400</v>
      </c>
      <c r="F13" s="64">
        <f t="shared" ca="1" si="29"/>
        <v>583860</v>
      </c>
      <c r="G13" s="64">
        <f t="shared" ca="1" si="29"/>
        <v>1236000</v>
      </c>
      <c r="H13" s="64">
        <f t="shared" ca="1" si="29"/>
        <v>630000</v>
      </c>
      <c r="I13" s="64">
        <f t="shared" ca="1" si="29"/>
        <v>1231500</v>
      </c>
      <c r="J13" s="64">
        <f t="shared" ca="1" si="3"/>
        <v>1333508</v>
      </c>
      <c r="K13" s="65">
        <f t="shared" ca="1" si="4"/>
        <v>61.444619538672782</v>
      </c>
      <c r="L13" s="64">
        <f ca="1">SUM(L14:L30)</f>
        <v>226008</v>
      </c>
      <c r="M13" s="66">
        <f t="shared" ca="1" si="5"/>
        <v>24.191124526363112</v>
      </c>
      <c r="N13" s="66">
        <f t="shared" ca="1" si="6"/>
        <v>35.874285714285712</v>
      </c>
      <c r="O13" s="67">
        <f ca="1">SUM(O14:O30)</f>
        <v>1107500</v>
      </c>
      <c r="P13" s="67">
        <f t="shared" ref="P13:P116" ca="1" si="30">IF(G13&gt;0,O13*100/G13,0)</f>
        <v>89.603559870550157</v>
      </c>
      <c r="Q13" s="66">
        <f t="shared" ca="1" si="8"/>
        <v>89.930978481526594</v>
      </c>
      <c r="R13" s="64">
        <f t="shared" ref="R13:T13" ca="1" si="31">SUM(R14:R30)</f>
        <v>1</v>
      </c>
      <c r="S13" s="64">
        <f t="shared" ca="1" si="31"/>
        <v>120</v>
      </c>
      <c r="T13" s="64">
        <f t="shared" ca="1" si="31"/>
        <v>10</v>
      </c>
      <c r="U13" s="66">
        <f t="shared" ca="1" si="25"/>
        <v>8.3333333333333339</v>
      </c>
      <c r="V13" s="64">
        <f t="shared" ref="V13:W13" ca="1" si="32">SUM(V14:V30)</f>
        <v>60</v>
      </c>
      <c r="W13" s="64">
        <f t="shared" ca="1" si="32"/>
        <v>55</v>
      </c>
      <c r="X13" s="66">
        <f t="shared" ca="1" si="26"/>
        <v>91.666666666666671</v>
      </c>
      <c r="Y13" s="64">
        <f t="shared" ref="Y13:Z13" ca="1" si="33">SUM(Y14:Y30)</f>
        <v>120</v>
      </c>
      <c r="Z13" s="64">
        <f t="shared" ca="1" si="33"/>
        <v>10</v>
      </c>
      <c r="AA13" s="66">
        <f t="shared" ca="1" si="27"/>
        <v>8.3333333333333339</v>
      </c>
      <c r="AB13" s="64">
        <f t="shared" ref="AB13:AC13" ca="1" si="34">SUM(AB14:AB30)</f>
        <v>12</v>
      </c>
      <c r="AC13" s="64">
        <f t="shared" ca="1" si="34"/>
        <v>7</v>
      </c>
      <c r="AD13" s="66">
        <f t="shared" ca="1" si="28"/>
        <v>58.333333333333336</v>
      </c>
    </row>
    <row r="14" spans="1:30" ht="24" customHeight="1" x14ac:dyDescent="0.2">
      <c r="A14" s="68">
        <v>1</v>
      </c>
      <c r="B14" s="69" t="s">
        <v>36</v>
      </c>
      <c r="C14" s="70">
        <f t="shared" ca="1" si="0"/>
        <v>0</v>
      </c>
      <c r="D14" s="71">
        <f t="shared" ref="D14:D30" ca="1" si="35">+E14+F14</f>
        <v>0</v>
      </c>
      <c r="E14" s="72">
        <f ca="1">IFERROR(__xludf.DUMMYFUNCTION("IMPORTRANGE(""https://docs.google.com/spreadsheets/d/1MeEWN-I1oV_STSDYn1IFDPWt_1FKiwhDph83XaGc0o0/edit?usp=sharing"",""งบพรบ!BL14"")"),0)</f>
        <v>0</v>
      </c>
      <c r="F14" s="72">
        <f ca="1">IFERROR(__xludf.DUMMYFUNCTION("IMPORTRANGE(""https://docs.google.com/spreadsheets/d/1MeEWN-I1oV_STSDYn1IFDPWt_1FKiwhDph83XaGc0o0/edit?usp=sharing"",""งบพรบ!BM14"")"),0)</f>
        <v>0</v>
      </c>
      <c r="G14" s="73">
        <f ca="1">IFERROR(__xludf.DUMMYFUNCTION("IMPORTRANGE(""https://docs.google.com/spreadsheets/d/1MeEWN-I1oV_STSDYn1IFDPWt_1FKiwhDph83XaGc0o0/edit?usp=sharing"",""งบพรบ!BN14"")"),0)</f>
        <v>0</v>
      </c>
      <c r="H14" s="73">
        <f ca="1">IFERROR(__xludf.DUMMYFUNCTION("IMPORTRANGE(""https://docs.google.com/spreadsheets/d/1MeEWN-I1oV_STSDYn1IFDPWt_1FKiwhDph83XaGc0o0/edit?usp=sharing"",""งบพรบ!BP14"")"),0)</f>
        <v>0</v>
      </c>
      <c r="I14" s="73">
        <f ca="1">IFERROR(__xludf.DUMMYFUNCTION("IMPORTRANGE(""https://docs.google.com/spreadsheets/d/1MeEWN-I1oV_STSDYn1IFDPWt_1FKiwhDph83XaGc0o0/edit?usp=sharing"",""งบพรบ!BQ14"")"),0)</f>
        <v>0</v>
      </c>
      <c r="J14" s="73">
        <f t="shared" ca="1" si="3"/>
        <v>0</v>
      </c>
      <c r="K14" s="74">
        <f t="shared" ca="1" si="4"/>
        <v>0</v>
      </c>
      <c r="L14" s="73">
        <f ca="1">IFERROR(__xludf.DUMMYFUNCTION("IMPORTRANGE(""https://docs.google.com/spreadsheets/d/1MeEWN-I1oV_STSDYn1IFDPWt_1FKiwhDph83XaGc0o0/edit?usp=sharing"",""งบพรบ!BR14"")"),0)</f>
        <v>0</v>
      </c>
      <c r="M14" s="75">
        <f t="shared" ca="1" si="5"/>
        <v>0</v>
      </c>
      <c r="N14" s="75">
        <f t="shared" ca="1" si="6"/>
        <v>0</v>
      </c>
      <c r="O14" s="76">
        <f ca="1">IFERROR(__xludf.DUMMYFUNCTION("IMPORTRANGE(""https://docs.google.com/spreadsheets/d/1MeEWN-I1oV_STSDYn1IFDPWt_1FKiwhDph83XaGc0o0/edit?usp=sharing"",""งบพรบ!BS14"")"),0)</f>
        <v>0</v>
      </c>
      <c r="P14" s="76">
        <f t="shared" ca="1" si="30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IFERROR(__xludf.DUMMYFUNCTION("IMPORTRANGE(""https://docs.google.com/spreadsheets/d/1KxicF4apzSqm0-jIpmueT4kyZtE-Cwn5zskl7GD4loQ/edit?usp=sharing"",""กำแพงเพชร!J142"")"),0)</f>
        <v>0</v>
      </c>
      <c r="S14" s="73">
        <f ca="1">IFERROR(__xludf.DUMMYFUNCTION("IMPORTRANGE(""https://docs.google.com/spreadsheets/d/1KxicF4apzSqm0-jIpmueT4kyZtE-Cwn5zskl7GD4loQ/edit?usp=sharing"",""กำแพงเพชร!I143"")"),0)</f>
        <v>0</v>
      </c>
      <c r="T14" s="73">
        <f ca="1">IFERROR(__xludf.DUMMYFUNCTION("IMPORTRANGE(""https://docs.google.com/spreadsheets/d/1KxicF4apzSqm0-jIpmueT4kyZtE-Cwn5zskl7GD4loQ/edit?usp=sharing"",""กำแพงเพชร!J143"")"),0)</f>
        <v>0</v>
      </c>
      <c r="U14" s="77">
        <f t="shared" ca="1" si="25"/>
        <v>0</v>
      </c>
      <c r="V14" s="73">
        <f ca="1">IFERROR(__xludf.DUMMYFUNCTION("IMPORTRANGE(""https://docs.google.com/spreadsheets/d/1KxicF4apzSqm0-jIpmueT4kyZtE-Cwn5zskl7GD4loQ/edit?usp=sharing"",""กำแพงเพชร!I144"")"),0)</f>
        <v>0</v>
      </c>
      <c r="W14" s="73">
        <f ca="1">IFERROR(__xludf.DUMMYFUNCTION("IMPORTRANGE(""https://docs.google.com/spreadsheets/d/1KxicF4apzSqm0-jIpmueT4kyZtE-Cwn5zskl7GD4loQ/edit?usp=sharing"",""กำแพงเพชร!J144"")"),0)</f>
        <v>0</v>
      </c>
      <c r="X14" s="77">
        <f t="shared" ca="1" si="26"/>
        <v>0</v>
      </c>
      <c r="Y14" s="73">
        <f ca="1">IFERROR(__xludf.DUMMYFUNCTION("IMPORTRANGE(""https://docs.google.com/spreadsheets/d/1KxicF4apzSqm0-jIpmueT4kyZtE-Cwn5zskl7GD4loQ/edit?usp=sharing"",""กำแพงเพชร!I145"")"),0)</f>
        <v>0</v>
      </c>
      <c r="Z14" s="73">
        <f ca="1">IFERROR(__xludf.DUMMYFUNCTION("IMPORTRANGE(""https://docs.google.com/spreadsheets/d/1KxicF4apzSqm0-jIpmueT4kyZtE-Cwn5zskl7GD4loQ/edit?usp=sharing"",""กำแพงเพชร!J145"")"),0)</f>
        <v>0</v>
      </c>
      <c r="AA14" s="77">
        <f t="shared" ca="1" si="27"/>
        <v>0</v>
      </c>
      <c r="AB14" s="73">
        <f ca="1">IFERROR(__xludf.DUMMYFUNCTION("IMPORTRANGE(""https://docs.google.com/spreadsheets/d/1KxicF4apzSqm0-jIpmueT4kyZtE-Cwn5zskl7GD4loQ/edit?usp=sharing"",""กำแพงเพชร!I146"")"),0)</f>
        <v>0</v>
      </c>
      <c r="AC14" s="73">
        <f ca="1">IFERROR(__xludf.DUMMYFUNCTION("IMPORTRANGE(""https://docs.google.com/spreadsheets/d/1KxicF4apzSqm0-jIpmueT4kyZtE-Cwn5zskl7GD4loQ/edit?usp=sharing"",""กำแพงเพชร!J146"")"),0)</f>
        <v>0</v>
      </c>
      <c r="AD14" s="77">
        <f t="shared" ca="1" si="28"/>
        <v>0</v>
      </c>
    </row>
    <row r="15" spans="1:30" ht="24" customHeight="1" x14ac:dyDescent="0.2">
      <c r="A15" s="78">
        <v>2</v>
      </c>
      <c r="B15" s="79" t="s">
        <v>37</v>
      </c>
      <c r="C15" s="80">
        <f t="shared" ca="1" si="0"/>
        <v>454965</v>
      </c>
      <c r="D15" s="81">
        <f t="shared" ca="1" si="35"/>
        <v>145965</v>
      </c>
      <c r="E15" s="82">
        <f ca="1">IFERROR(__xludf.DUMMYFUNCTION("IMPORTRANGE(""https://docs.google.com/spreadsheets/d/1MeEWN-I1oV_STSDYn1IFDPWt_1FKiwhDph83XaGc0o0/edit?usp=sharing"",""งบพรบ!BL15"")"),0)</f>
        <v>0</v>
      </c>
      <c r="F15" s="82">
        <f ca="1">IFERROR(__xludf.DUMMYFUNCTION("IMPORTRANGE(""https://docs.google.com/spreadsheets/d/1MeEWN-I1oV_STSDYn1IFDPWt_1FKiwhDph83XaGc0o0/edit?usp=sharing"",""งบพรบ!BM15"")"),145965)</f>
        <v>145965</v>
      </c>
      <c r="G15" s="82">
        <f ca="1">IFERROR(__xludf.DUMMYFUNCTION("IMPORTRANGE(""https://docs.google.com/spreadsheets/d/1MeEWN-I1oV_STSDYn1IFDPWt_1FKiwhDph83XaGc0o0/edit?usp=sharing"",""งบพรบ!BN15"")"),309000)</f>
        <v>309000</v>
      </c>
      <c r="H15" s="82">
        <f ca="1">IFERROR(__xludf.DUMMYFUNCTION("IMPORTRANGE(""https://docs.google.com/spreadsheets/d/1MeEWN-I1oV_STSDYn1IFDPWt_1FKiwhDph83XaGc0o0/edit?usp=sharing"",""งบพรบ!BP15"")"),91800)</f>
        <v>91800</v>
      </c>
      <c r="I15" s="82">
        <f ca="1">IFERROR(__xludf.DUMMYFUNCTION("IMPORTRANGE(""https://docs.google.com/spreadsheets/d/1MeEWN-I1oV_STSDYn1IFDPWt_1FKiwhDph83XaGc0o0/edit?usp=sharing"",""งบพรบ!BQ15"")"),309000)</f>
        <v>309000</v>
      </c>
      <c r="J15" s="82">
        <f t="shared" ca="1" si="3"/>
        <v>333720</v>
      </c>
      <c r="K15" s="83">
        <f t="shared" ca="1" si="4"/>
        <v>73.350697306386209</v>
      </c>
      <c r="L15" s="82">
        <f ca="1">IFERROR(__xludf.DUMMYFUNCTION("IMPORTRANGE(""https://docs.google.com/spreadsheets/d/1MeEWN-I1oV_STSDYn1IFDPWt_1FKiwhDph83XaGc0o0/edit?usp=sharing"",""งบพรบ!BR15"")"),24720)</f>
        <v>24720</v>
      </c>
      <c r="M15" s="84">
        <f t="shared" ca="1" si="5"/>
        <v>16.935566745452675</v>
      </c>
      <c r="N15" s="84">
        <f t="shared" ca="1" si="6"/>
        <v>26.928104575163399</v>
      </c>
      <c r="O15" s="85">
        <f ca="1">IFERROR(__xludf.DUMMYFUNCTION("IMPORTRANGE(""https://docs.google.com/spreadsheets/d/1MeEWN-I1oV_STSDYn1IFDPWt_1FKiwhDph83XaGc0o0/edit?usp=sharing"",""งบพรบ!BS15"")"),309000)</f>
        <v>309000</v>
      </c>
      <c r="P15" s="85">
        <f t="shared" ca="1" si="30"/>
        <v>100</v>
      </c>
      <c r="Q15" s="84">
        <f t="shared" ca="1" si="8"/>
        <v>100</v>
      </c>
      <c r="R15" s="86">
        <f ca="1">IFERROR(__xludf.DUMMYFUNCTION("IMPORTRANGE(""https://docs.google.com/spreadsheets/d/1ZNYWeiFoFA1K1U4xKWqRX29MBvEyRHXORjo734Gnq_c/edit?usp=sharing"",""เชียงราย!J142"")"),0)</f>
        <v>0</v>
      </c>
      <c r="S15" s="86">
        <f ca="1">IFERROR(__xludf.DUMMYFUNCTION("IMPORTRANGE(""https://docs.google.com/spreadsheets/d/1ZNYWeiFoFA1K1U4xKWqRX29MBvEyRHXORjo734Gnq_c/edit?usp=sharing"",""เชียงราย!I143"")"),30)</f>
        <v>30</v>
      </c>
      <c r="T15" s="86">
        <f ca="1">IFERROR(__xludf.DUMMYFUNCTION("IMPORTRANGE(""https://docs.google.com/spreadsheets/d/1ZNYWeiFoFA1K1U4xKWqRX29MBvEyRHXORjo734Gnq_c/edit?usp=sharing"",""เชียงราย!J143"")"),0)</f>
        <v>0</v>
      </c>
      <c r="U15" s="87">
        <f t="shared" ca="1" si="25"/>
        <v>0</v>
      </c>
      <c r="V15" s="86">
        <f ca="1">IFERROR(__xludf.DUMMYFUNCTION("IMPORTRANGE(""https://docs.google.com/spreadsheets/d/1ZNYWeiFoFA1K1U4xKWqRX29MBvEyRHXORjo734Gnq_c/edit?usp=sharing"",""เชียงราย!I144"")"),15)</f>
        <v>15</v>
      </c>
      <c r="W15" s="86">
        <f ca="1">IFERROR(__xludf.DUMMYFUNCTION("IMPORTRANGE(""https://docs.google.com/spreadsheets/d/1ZNYWeiFoFA1K1U4xKWqRX29MBvEyRHXORjo734Gnq_c/edit?usp=sharing"",""เชียงราย!J144"")"),15)</f>
        <v>15</v>
      </c>
      <c r="X15" s="87">
        <f t="shared" ca="1" si="26"/>
        <v>100</v>
      </c>
      <c r="Y15" s="86">
        <f ca="1">IFERROR(__xludf.DUMMYFUNCTION("IMPORTRANGE(""https://docs.google.com/spreadsheets/d/1ZNYWeiFoFA1K1U4xKWqRX29MBvEyRHXORjo734Gnq_c/edit?usp=sharing"",""เชียงราย!I145"")"),30)</f>
        <v>30</v>
      </c>
      <c r="Z15" s="86">
        <f ca="1">IFERROR(__xludf.DUMMYFUNCTION("IMPORTRANGE(""https://docs.google.com/spreadsheets/d/1ZNYWeiFoFA1K1U4xKWqRX29MBvEyRHXORjo734Gnq_c/edit?usp=sharing"",""เชียงราย!J145"")"),0)</f>
        <v>0</v>
      </c>
      <c r="AA15" s="87">
        <f t="shared" ca="1" si="27"/>
        <v>0</v>
      </c>
      <c r="AB15" s="86">
        <f ca="1">IFERROR(__xludf.DUMMYFUNCTION("IMPORTRANGE(""https://docs.google.com/spreadsheets/d/1ZNYWeiFoFA1K1U4xKWqRX29MBvEyRHXORjo734Gnq_c/edit?usp=sharing"",""เชียงราย!I146"")"),3)</f>
        <v>3</v>
      </c>
      <c r="AC15" s="86">
        <f ca="1">IFERROR(__xludf.DUMMYFUNCTION("IMPORTRANGE(""https://docs.google.com/spreadsheets/d/1ZNYWeiFoFA1K1U4xKWqRX29MBvEyRHXORjo734Gnq_c/edit?usp=sharing"",""เชียงราย!J146"")"),3)</f>
        <v>3</v>
      </c>
      <c r="AD15" s="87">
        <f t="shared" ca="1" si="28"/>
        <v>100</v>
      </c>
    </row>
    <row r="16" spans="1:30" ht="24" customHeight="1" x14ac:dyDescent="0.2">
      <c r="A16" s="78">
        <v>3</v>
      </c>
      <c r="B16" s="79" t="s">
        <v>38</v>
      </c>
      <c r="C16" s="80">
        <f t="shared" ca="1" si="0"/>
        <v>0</v>
      </c>
      <c r="D16" s="81">
        <f t="shared" ca="1" si="35"/>
        <v>0</v>
      </c>
      <c r="E16" s="82">
        <f ca="1">IFERROR(__xludf.DUMMYFUNCTION("IMPORTRANGE(""https://docs.google.com/spreadsheets/d/1MeEWN-I1oV_STSDYn1IFDPWt_1FKiwhDph83XaGc0o0/edit?usp=sharing"",""งบพรบ!BL16"")"),0)</f>
        <v>0</v>
      </c>
      <c r="F16" s="82">
        <f ca="1">IFERROR(__xludf.DUMMYFUNCTION("IMPORTRANGE(""https://docs.google.com/spreadsheets/d/1MeEWN-I1oV_STSDYn1IFDPWt_1FKiwhDph83XaGc0o0/edit?usp=sharing"",""งบพรบ!BM16"")"),0)</f>
        <v>0</v>
      </c>
      <c r="G16" s="82">
        <f ca="1">IFERROR(__xludf.DUMMYFUNCTION("IMPORTRANGE(""https://docs.google.com/spreadsheets/d/1MeEWN-I1oV_STSDYn1IFDPWt_1FKiwhDph83XaGc0o0/edit?usp=sharing"",""งบพรบ!BN16"")"),0)</f>
        <v>0</v>
      </c>
      <c r="H16" s="82">
        <f ca="1">IFERROR(__xludf.DUMMYFUNCTION("IMPORTRANGE(""https://docs.google.com/spreadsheets/d/1MeEWN-I1oV_STSDYn1IFDPWt_1FKiwhDph83XaGc0o0/edit?usp=sharing"",""งบพรบ!BP16"")"),0)</f>
        <v>0</v>
      </c>
      <c r="I16" s="82">
        <f ca="1">IFERROR(__xludf.DUMMYFUNCTION("IMPORTRANGE(""https://docs.google.com/spreadsheets/d/1MeEWN-I1oV_STSDYn1IFDPWt_1FKiwhDph83XaGc0o0/edit?usp=sharing"",""งบพรบ!BQ16"")"),0)</f>
        <v>0</v>
      </c>
      <c r="J16" s="82">
        <f t="shared" ca="1" si="3"/>
        <v>0</v>
      </c>
      <c r="K16" s="83">
        <f t="shared" ca="1" si="4"/>
        <v>0</v>
      </c>
      <c r="L16" s="82">
        <f ca="1">IFERROR(__xludf.DUMMYFUNCTION("IMPORTRANGE(""https://docs.google.com/spreadsheets/d/1MeEWN-I1oV_STSDYn1IFDPWt_1FKiwhDph83XaGc0o0/edit?usp=sharing"",""งบพรบ!BR16"")"),0)</f>
        <v>0</v>
      </c>
      <c r="M16" s="84">
        <f t="shared" ca="1" si="5"/>
        <v>0</v>
      </c>
      <c r="N16" s="84">
        <f t="shared" ca="1" si="6"/>
        <v>0</v>
      </c>
      <c r="O16" s="85">
        <f ca="1">IFERROR(__xludf.DUMMYFUNCTION("IMPORTRANGE(""https://docs.google.com/spreadsheets/d/1MeEWN-I1oV_STSDYn1IFDPWt_1FKiwhDph83XaGc0o0/edit?usp=sharing"",""งบพรบ!BS16"")"),0)</f>
        <v>0</v>
      </c>
      <c r="P16" s="85">
        <f t="shared" ca="1" si="30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IFERROR(__xludf.DUMMYFUNCTION("IMPORTRANGE(""https://docs.google.com/spreadsheets/d/1Jgv0Y7YlHDtsiDawwp-uvifEJ8HVaSn0k2aGHG8-hwM/edit?usp=sharing"",""เชียงใหม่!J142"")"),0)</f>
        <v>0</v>
      </c>
      <c r="S16" s="86">
        <f ca="1">IFERROR(__xludf.DUMMYFUNCTION("IMPORTRANGE(""https://docs.google.com/spreadsheets/d/1Jgv0Y7YlHDtsiDawwp-uvifEJ8HVaSn0k2aGHG8-hwM/edit?usp=sharing"",""เชียงใหม่!I143"")"),0)</f>
        <v>0</v>
      </c>
      <c r="T16" s="86">
        <f ca="1">IFERROR(__xludf.DUMMYFUNCTION("IMPORTRANGE(""https://docs.google.com/spreadsheets/d/1Jgv0Y7YlHDtsiDawwp-uvifEJ8HVaSn0k2aGHG8-hwM/edit?usp=sharing"",""เชียงใหม่!J143"")"),0)</f>
        <v>0</v>
      </c>
      <c r="U16" s="87">
        <f t="shared" ca="1" si="25"/>
        <v>0</v>
      </c>
      <c r="V16" s="86">
        <f ca="1">IFERROR(__xludf.DUMMYFUNCTION("IMPORTRANGE(""https://docs.google.com/spreadsheets/d/1Jgv0Y7YlHDtsiDawwp-uvifEJ8HVaSn0k2aGHG8-hwM/edit?usp=sharing"",""เชียงใหม่!I144"")"),0)</f>
        <v>0</v>
      </c>
      <c r="W16" s="86">
        <f ca="1">IFERROR(__xludf.DUMMYFUNCTION("IMPORTRANGE(""https://docs.google.com/spreadsheets/d/1Jgv0Y7YlHDtsiDawwp-uvifEJ8HVaSn0k2aGHG8-hwM/edit?usp=sharing"",""เชียงใหม่!J144"")"),0)</f>
        <v>0</v>
      </c>
      <c r="X16" s="87">
        <f t="shared" ca="1" si="26"/>
        <v>0</v>
      </c>
      <c r="Y16" s="86">
        <f ca="1">IFERROR(__xludf.DUMMYFUNCTION("IMPORTRANGE(""https://docs.google.com/spreadsheets/d/1Jgv0Y7YlHDtsiDawwp-uvifEJ8HVaSn0k2aGHG8-hwM/edit?usp=sharing"",""เชียงใหม่!I145"")"),0)</f>
        <v>0</v>
      </c>
      <c r="Z16" s="86">
        <f ca="1">IFERROR(__xludf.DUMMYFUNCTION("IMPORTRANGE(""https://docs.google.com/spreadsheets/d/1Jgv0Y7YlHDtsiDawwp-uvifEJ8HVaSn0k2aGHG8-hwM/edit?usp=sharing"",""เชียงใหม่!J145"")"),0)</f>
        <v>0</v>
      </c>
      <c r="AA16" s="87">
        <f t="shared" ca="1" si="27"/>
        <v>0</v>
      </c>
      <c r="AB16" s="86">
        <f ca="1">IFERROR(__xludf.DUMMYFUNCTION("IMPORTRANGE(""https://docs.google.com/spreadsheets/d/1Jgv0Y7YlHDtsiDawwp-uvifEJ8HVaSn0k2aGHG8-hwM/edit?usp=sharing"",""เชียงใหม่!I146"")"),0)</f>
        <v>0</v>
      </c>
      <c r="AC16" s="86">
        <f ca="1">IFERROR(__xludf.DUMMYFUNCTION("IMPORTRANGE(""https://docs.google.com/spreadsheets/d/1Jgv0Y7YlHDtsiDawwp-uvifEJ8HVaSn0k2aGHG8-hwM/edit?usp=sharing"",""เชียงใหม่!J146"")"),0)</f>
        <v>0</v>
      </c>
      <c r="AD16" s="87">
        <f t="shared" ca="1" si="28"/>
        <v>0</v>
      </c>
    </row>
    <row r="17" spans="1:30" ht="24" customHeight="1" x14ac:dyDescent="0.2">
      <c r="A17" s="78">
        <v>4</v>
      </c>
      <c r="B17" s="79" t="s">
        <v>39</v>
      </c>
      <c r="C17" s="80">
        <f t="shared" ca="1" si="0"/>
        <v>239255</v>
      </c>
      <c r="D17" s="81">
        <f t="shared" ca="1" si="35"/>
        <v>136255</v>
      </c>
      <c r="E17" s="82">
        <f ca="1">IFERROR(__xludf.DUMMYFUNCTION("IMPORTRANGE(""https://docs.google.com/spreadsheets/d/1MeEWN-I1oV_STSDYn1IFDPWt_1FKiwhDph83XaGc0o0/edit?usp=sharing"",""งบพรบ!BL17"")"),87600)</f>
        <v>87600</v>
      </c>
      <c r="F17" s="82">
        <f ca="1">IFERROR(__xludf.DUMMYFUNCTION("IMPORTRANGE(""https://docs.google.com/spreadsheets/d/1MeEWN-I1oV_STSDYn1IFDPWt_1FKiwhDph83XaGc0o0/edit?usp=sharing"",""งบพรบ!BM17"")"),48655)</f>
        <v>48655</v>
      </c>
      <c r="G17" s="82">
        <f ca="1">IFERROR(__xludf.DUMMYFUNCTION("IMPORTRANGE(""https://docs.google.com/spreadsheets/d/1MeEWN-I1oV_STSDYn1IFDPWt_1FKiwhDph83XaGc0o0/edit?usp=sharing"",""งบพรบ!BN17"")"),103000)</f>
        <v>103000</v>
      </c>
      <c r="H17" s="82">
        <f ca="1">IFERROR(__xludf.DUMMYFUNCTION("IMPORTRANGE(""https://docs.google.com/spreadsheets/d/1MeEWN-I1oV_STSDYn1IFDPWt_1FKiwhDph83XaGc0o0/edit?usp=sharing"",""งบพรบ!BP17"")"),96300)</f>
        <v>96300</v>
      </c>
      <c r="I17" s="82">
        <f ca="1">IFERROR(__xludf.DUMMYFUNCTION("IMPORTRANGE(""https://docs.google.com/spreadsheets/d/1MeEWN-I1oV_STSDYn1IFDPWt_1FKiwhDph83XaGc0o0/edit?usp=sharing"",""งบพรบ!BQ17"")"),100000)</f>
        <v>100000</v>
      </c>
      <c r="J17" s="82">
        <f t="shared" ca="1" si="3"/>
        <v>145099</v>
      </c>
      <c r="K17" s="83">
        <f t="shared" ca="1" si="4"/>
        <v>60.646172493782785</v>
      </c>
      <c r="L17" s="82">
        <f ca="1">IFERROR(__xludf.DUMMYFUNCTION("IMPORTRANGE(""https://docs.google.com/spreadsheets/d/1MeEWN-I1oV_STSDYn1IFDPWt_1FKiwhDph83XaGc0o0/edit?usp=sharing"",""งบพรบ!BR17"")"),45099)</f>
        <v>45099</v>
      </c>
      <c r="M17" s="84">
        <f t="shared" ca="1" si="5"/>
        <v>33.098968845179996</v>
      </c>
      <c r="N17" s="84">
        <f t="shared" ca="1" si="6"/>
        <v>46.831775700934578</v>
      </c>
      <c r="O17" s="85">
        <f ca="1">IFERROR(__xludf.DUMMYFUNCTION("IMPORTRANGE(""https://docs.google.com/spreadsheets/d/1MeEWN-I1oV_STSDYn1IFDPWt_1FKiwhDph83XaGc0o0/edit?usp=sharing"",""งบพรบ!BS17"")"),100000)</f>
        <v>100000</v>
      </c>
      <c r="P17" s="85">
        <f t="shared" ca="1" si="30"/>
        <v>97.087378640776706</v>
      </c>
      <c r="Q17" s="84">
        <f t="shared" ca="1" si="8"/>
        <v>100</v>
      </c>
      <c r="R17" s="86">
        <f ca="1">IFERROR(__xludf.DUMMYFUNCTION("IMPORTRANGE(""https://docs.google.com/spreadsheets/d/1JWG2rZePOz9pe-f-ObA-yDr0VoOX2kSb0qIix2mTUo8/edit?usp=sharing"",""ตาก!J142"")"),1)</f>
        <v>1</v>
      </c>
      <c r="S17" s="86">
        <f ca="1">IFERROR(__xludf.DUMMYFUNCTION("IMPORTRANGE(""https://docs.google.com/spreadsheets/d/1JWG2rZePOz9pe-f-ObA-yDr0VoOX2kSb0qIix2mTUo8/edit?usp=sharing"",""ตาก!I143"")"),10)</f>
        <v>10</v>
      </c>
      <c r="T17" s="86">
        <f ca="1">IFERROR(__xludf.DUMMYFUNCTION("IMPORTRANGE(""https://docs.google.com/spreadsheets/d/1JWG2rZePOz9pe-f-ObA-yDr0VoOX2kSb0qIix2mTUo8/edit?usp=sharing"",""ตาก!J143"")"),0)</f>
        <v>0</v>
      </c>
      <c r="U17" s="87">
        <f t="shared" ca="1" si="25"/>
        <v>0</v>
      </c>
      <c r="V17" s="86">
        <f ca="1">IFERROR(__xludf.DUMMYFUNCTION("IMPORTRANGE(""https://docs.google.com/spreadsheets/d/1JWG2rZePOz9pe-f-ObA-yDr0VoOX2kSb0qIix2mTUo8/edit?usp=sharing"",""ตาก!I144"")"),5)</f>
        <v>5</v>
      </c>
      <c r="W17" s="86">
        <f ca="1">IFERROR(__xludf.DUMMYFUNCTION("IMPORTRANGE(""https://docs.google.com/spreadsheets/d/1JWG2rZePOz9pe-f-ObA-yDr0VoOX2kSb0qIix2mTUo8/edit?usp=sharing"",""ตาก!J144"")"),5)</f>
        <v>5</v>
      </c>
      <c r="X17" s="87">
        <f t="shared" ca="1" si="26"/>
        <v>100</v>
      </c>
      <c r="Y17" s="86">
        <f ca="1">IFERROR(__xludf.DUMMYFUNCTION("IMPORTRANGE(""https://docs.google.com/spreadsheets/d/1JWG2rZePOz9pe-f-ObA-yDr0VoOX2kSb0qIix2mTUo8/edit?usp=sharing"",""ตาก!I145"")"),10)</f>
        <v>10</v>
      </c>
      <c r="Z17" s="86">
        <f ca="1">IFERROR(__xludf.DUMMYFUNCTION("IMPORTRANGE(""https://docs.google.com/spreadsheets/d/1JWG2rZePOz9pe-f-ObA-yDr0VoOX2kSb0qIix2mTUo8/edit?usp=sharing"",""ตาก!J145"")"),0)</f>
        <v>0</v>
      </c>
      <c r="AA17" s="87">
        <f t="shared" ca="1" si="27"/>
        <v>0</v>
      </c>
      <c r="AB17" s="86">
        <f ca="1">IFERROR(__xludf.DUMMYFUNCTION("IMPORTRANGE(""https://docs.google.com/spreadsheets/d/1JWG2rZePOz9pe-f-ObA-yDr0VoOX2kSb0qIix2mTUo8/edit?usp=sharing"",""ตาก!I146"")"),1)</f>
        <v>1</v>
      </c>
      <c r="AC17" s="86">
        <f ca="1">IFERROR(__xludf.DUMMYFUNCTION("IMPORTRANGE(""https://docs.google.com/spreadsheets/d/1JWG2rZePOz9pe-f-ObA-yDr0VoOX2kSb0qIix2mTUo8/edit?usp=sharing"",""ตาก!J146"")"),0)</f>
        <v>0</v>
      </c>
      <c r="AD17" s="87">
        <f t="shared" ca="1" si="28"/>
        <v>0</v>
      </c>
    </row>
    <row r="18" spans="1:30" ht="24" customHeight="1" x14ac:dyDescent="0.2">
      <c r="A18" s="78">
        <v>5</v>
      </c>
      <c r="B18" s="79" t="s">
        <v>40</v>
      </c>
      <c r="C18" s="80">
        <f t="shared" ca="1" si="0"/>
        <v>239255</v>
      </c>
      <c r="D18" s="81">
        <f t="shared" ca="1" si="35"/>
        <v>136255</v>
      </c>
      <c r="E18" s="82">
        <f ca="1">IFERROR(__xludf.DUMMYFUNCTION("IMPORTRANGE(""https://docs.google.com/spreadsheets/d/1MeEWN-I1oV_STSDYn1IFDPWt_1FKiwhDph83XaGc0o0/edit?usp=sharing"",""งบพรบ!BL18"")"),87600)</f>
        <v>87600</v>
      </c>
      <c r="F18" s="82">
        <f ca="1">IFERROR(__xludf.DUMMYFUNCTION("IMPORTRANGE(""https://docs.google.com/spreadsheets/d/1MeEWN-I1oV_STSDYn1IFDPWt_1FKiwhDph83XaGc0o0/edit?usp=sharing"",""งบพรบ!BM18"")"),48655)</f>
        <v>48655</v>
      </c>
      <c r="G18" s="82">
        <f ca="1">IFERROR(__xludf.DUMMYFUNCTION("IMPORTRANGE(""https://docs.google.com/spreadsheets/d/1MeEWN-I1oV_STSDYn1IFDPWt_1FKiwhDph83XaGc0o0/edit?usp=sharing"",""งบพรบ!BN18"")"),103000)</f>
        <v>103000</v>
      </c>
      <c r="H18" s="82">
        <f ca="1">IFERROR(__xludf.DUMMYFUNCTION("IMPORTRANGE(""https://docs.google.com/spreadsheets/d/1MeEWN-I1oV_STSDYn1IFDPWt_1FKiwhDph83XaGc0o0/edit?usp=sharing"",""งบพรบ!BP18"")"),96300)</f>
        <v>96300</v>
      </c>
      <c r="I18" s="82">
        <f ca="1">IFERROR(__xludf.DUMMYFUNCTION("IMPORTRANGE(""https://docs.google.com/spreadsheets/d/1MeEWN-I1oV_STSDYn1IFDPWt_1FKiwhDph83XaGc0o0/edit?usp=sharing"",""งบพรบ!BQ18"")"),103000)</f>
        <v>103000</v>
      </c>
      <c r="J18" s="82">
        <f t="shared" ca="1" si="3"/>
        <v>159064</v>
      </c>
      <c r="K18" s="83">
        <f t="shared" ca="1" si="4"/>
        <v>66.483041106768923</v>
      </c>
      <c r="L18" s="82">
        <f ca="1">IFERROR(__xludf.DUMMYFUNCTION("IMPORTRANGE(""https://docs.google.com/spreadsheets/d/1MeEWN-I1oV_STSDYn1IFDPWt_1FKiwhDph83XaGc0o0/edit?usp=sharing"",""งบพรบ!BR18"")"),56064)</f>
        <v>56064</v>
      </c>
      <c r="M18" s="84">
        <f t="shared" ca="1" si="5"/>
        <v>41.146379949359655</v>
      </c>
      <c r="N18" s="84">
        <f t="shared" ca="1" si="6"/>
        <v>58.218068535825545</v>
      </c>
      <c r="O18" s="85">
        <f ca="1">IFERROR(__xludf.DUMMYFUNCTION("IMPORTRANGE(""https://docs.google.com/spreadsheets/d/1MeEWN-I1oV_STSDYn1IFDPWt_1FKiwhDph83XaGc0o0/edit?usp=sharing"",""งบพรบ!BS18"")"),103000)</f>
        <v>103000</v>
      </c>
      <c r="P18" s="85">
        <f t="shared" ca="1" si="30"/>
        <v>100</v>
      </c>
      <c r="Q18" s="84">
        <f t="shared" ca="1" si="8"/>
        <v>100</v>
      </c>
      <c r="R18" s="86">
        <f ca="1">IFERROR(__xludf.DUMMYFUNCTION("IMPORTRANGE(""https://docs.google.com/spreadsheets/d/10nSRjK08hx8Y6HgSOQKNw81lyY46Zc7U_Cj72hBMp9U/edit?usp=sharing"",""นครสวรรค์!J142"")"),0)</f>
        <v>0</v>
      </c>
      <c r="S18" s="86">
        <f ca="1">IFERROR(__xludf.DUMMYFUNCTION("IMPORTRANGE(""https://docs.google.com/spreadsheets/d/10nSRjK08hx8Y6HgSOQKNw81lyY46Zc7U_Cj72hBMp9U/edit?usp=sharing"",""นครสวรรค์!I143"")"),10)</f>
        <v>10</v>
      </c>
      <c r="T18" s="86">
        <f ca="1">IFERROR(__xludf.DUMMYFUNCTION("IMPORTRANGE(""https://docs.google.com/spreadsheets/d/10nSRjK08hx8Y6HgSOQKNw81lyY46Zc7U_Cj72hBMp9U/edit?usp=sharing"",""นครสวรรค์!J143"")"),10)</f>
        <v>10</v>
      </c>
      <c r="U18" s="87">
        <f t="shared" ca="1" si="25"/>
        <v>100</v>
      </c>
      <c r="V18" s="86">
        <f ca="1">IFERROR(__xludf.DUMMYFUNCTION("IMPORTRANGE(""https://docs.google.com/spreadsheets/d/10nSRjK08hx8Y6HgSOQKNw81lyY46Zc7U_Cj72hBMp9U/edit?usp=sharing"",""นครสวรรค์!I144"")"),5)</f>
        <v>5</v>
      </c>
      <c r="W18" s="86">
        <f ca="1">IFERROR(__xludf.DUMMYFUNCTION("IMPORTRANGE(""https://docs.google.com/spreadsheets/d/10nSRjK08hx8Y6HgSOQKNw81lyY46Zc7U_Cj72hBMp9U/edit?usp=sharing"",""นครสวรรค์!J144"")"),5)</f>
        <v>5</v>
      </c>
      <c r="X18" s="87">
        <f t="shared" ca="1" si="26"/>
        <v>100</v>
      </c>
      <c r="Y18" s="86">
        <f ca="1">IFERROR(__xludf.DUMMYFUNCTION("IMPORTRANGE(""https://docs.google.com/spreadsheets/d/10nSRjK08hx8Y6HgSOQKNw81lyY46Zc7U_Cj72hBMp9U/edit?usp=sharing"",""นครสวรรค์!I145"")"),10)</f>
        <v>10</v>
      </c>
      <c r="Z18" s="86">
        <f ca="1">IFERROR(__xludf.DUMMYFUNCTION("IMPORTRANGE(""https://docs.google.com/spreadsheets/d/10nSRjK08hx8Y6HgSOQKNw81lyY46Zc7U_Cj72hBMp9U/edit?usp=sharing"",""นครสวรรค์!J145"")"),10)</f>
        <v>10</v>
      </c>
      <c r="AA18" s="87">
        <f t="shared" ca="1" si="27"/>
        <v>100</v>
      </c>
      <c r="AB18" s="86">
        <f ca="1">IFERROR(__xludf.DUMMYFUNCTION("IMPORTRANGE(""https://docs.google.com/spreadsheets/d/10nSRjK08hx8Y6HgSOQKNw81lyY46Zc7U_Cj72hBMp9U/edit?usp=sharing"",""นครสวรรค์!I146"")"),1)</f>
        <v>1</v>
      </c>
      <c r="AC18" s="86">
        <f ca="1">IFERROR(__xludf.DUMMYFUNCTION("IMPORTRANGE(""https://docs.google.com/spreadsheets/d/10nSRjK08hx8Y6HgSOQKNw81lyY46Zc7U_Cj72hBMp9U/edit?usp=sharing"",""นครสวรรค์!J146"")"),1)</f>
        <v>1</v>
      </c>
      <c r="AD18" s="87">
        <f t="shared" ca="1" si="28"/>
        <v>100</v>
      </c>
    </row>
    <row r="19" spans="1:30" ht="24" customHeight="1" x14ac:dyDescent="0.2">
      <c r="A19" s="78">
        <v>6</v>
      </c>
      <c r="B19" s="79" t="s">
        <v>41</v>
      </c>
      <c r="C19" s="80">
        <f t="shared" ca="1" si="0"/>
        <v>303310</v>
      </c>
      <c r="D19" s="81">
        <f t="shared" ca="1" si="35"/>
        <v>97310</v>
      </c>
      <c r="E19" s="82">
        <f ca="1">IFERROR(__xludf.DUMMYFUNCTION("IMPORTRANGE(""https://docs.google.com/spreadsheets/d/1MeEWN-I1oV_STSDYn1IFDPWt_1FKiwhDph83XaGc0o0/edit?usp=sharing"",""งบพรบ!BL19"")"),0)</f>
        <v>0</v>
      </c>
      <c r="F19" s="82">
        <f ca="1">IFERROR(__xludf.DUMMYFUNCTION("IMPORTRANGE(""https://docs.google.com/spreadsheets/d/1MeEWN-I1oV_STSDYn1IFDPWt_1FKiwhDph83XaGc0o0/edit?usp=sharing"",""งบพรบ!BM19"")"),97310)</f>
        <v>97310</v>
      </c>
      <c r="G19" s="82">
        <f ca="1">IFERROR(__xludf.DUMMYFUNCTION("IMPORTRANGE(""https://docs.google.com/spreadsheets/d/1MeEWN-I1oV_STSDYn1IFDPWt_1FKiwhDph83XaGc0o0/edit?usp=sharing"",""งบพรบ!BN19"")"),206000)</f>
        <v>206000</v>
      </c>
      <c r="H19" s="82">
        <f ca="1">IFERROR(__xludf.DUMMYFUNCTION("IMPORTRANGE(""https://docs.google.com/spreadsheets/d/1MeEWN-I1oV_STSDYn1IFDPWt_1FKiwhDph83XaGc0o0/edit?usp=sharing"",""งบพรบ!BP19"")"),61200)</f>
        <v>61200</v>
      </c>
      <c r="I19" s="82">
        <f ca="1">IFERROR(__xludf.DUMMYFUNCTION("IMPORTRANGE(""https://docs.google.com/spreadsheets/d/1MeEWN-I1oV_STSDYn1IFDPWt_1FKiwhDph83XaGc0o0/edit?usp=sharing"",""งบพรบ!BQ19"")"),206000)</f>
        <v>206000</v>
      </c>
      <c r="J19" s="82">
        <f t="shared" ca="1" si="3"/>
        <v>88570</v>
      </c>
      <c r="K19" s="83">
        <f t="shared" ca="1" si="4"/>
        <v>29.201147341004255</v>
      </c>
      <c r="L19" s="82">
        <f ca="1">IFERROR(__xludf.DUMMYFUNCTION("IMPORTRANGE(""https://docs.google.com/spreadsheets/d/1MeEWN-I1oV_STSDYn1IFDPWt_1FKiwhDph83XaGc0o0/edit?usp=sharing"",""งบพรบ!BR19"")"),6570)</f>
        <v>6570</v>
      </c>
      <c r="M19" s="84">
        <f t="shared" ca="1" si="5"/>
        <v>6.7516185386907823</v>
      </c>
      <c r="N19" s="84">
        <f t="shared" ca="1" si="6"/>
        <v>10.735294117647058</v>
      </c>
      <c r="O19" s="85">
        <f ca="1">IFERROR(__xludf.DUMMYFUNCTION("IMPORTRANGE(""https://docs.google.com/spreadsheets/d/1MeEWN-I1oV_STSDYn1IFDPWt_1FKiwhDph83XaGc0o0/edit?usp=sharing"",""งบพรบ!BS19"")"),82000)</f>
        <v>82000</v>
      </c>
      <c r="P19" s="85">
        <f t="shared" ca="1" si="30"/>
        <v>39.805825242718448</v>
      </c>
      <c r="Q19" s="84">
        <f t="shared" ca="1" si="8"/>
        <v>39.805825242718448</v>
      </c>
      <c r="R19" s="86">
        <f ca="1">IFERROR(__xludf.DUMMYFUNCTION("IMPORTRANGE(""https://docs.google.com/spreadsheets/d/1gFVb7qd7amutrIxAAoM7lcy35hllxznovot8lyOfvDo/edit?usp=sharing"",""น่าน!J142"")"),0)</f>
        <v>0</v>
      </c>
      <c r="S19" s="86">
        <f ca="1">IFERROR(__xludf.DUMMYFUNCTION("IMPORTRANGE(""https://docs.google.com/spreadsheets/d/1gFVb7qd7amutrIxAAoM7lcy35hllxznovot8lyOfvDo/edit?usp=sharing"",""น่าน!I143"")"),20)</f>
        <v>20</v>
      </c>
      <c r="T19" s="86">
        <f ca="1">IFERROR(__xludf.DUMMYFUNCTION("IMPORTRANGE(""https://docs.google.com/spreadsheets/d/1gFVb7qd7amutrIxAAoM7lcy35hllxznovot8lyOfvDo/edit?usp=sharing"",""น่าน!J143"")"),0)</f>
        <v>0</v>
      </c>
      <c r="U19" s="87">
        <f t="shared" ca="1" si="25"/>
        <v>0</v>
      </c>
      <c r="V19" s="86">
        <f ca="1">IFERROR(__xludf.DUMMYFUNCTION("IMPORTRANGE(""https://docs.google.com/spreadsheets/d/1gFVb7qd7amutrIxAAoM7lcy35hllxznovot8lyOfvDo/edit?usp=sharing"",""น่าน!I144"")"),10)</f>
        <v>10</v>
      </c>
      <c r="W19" s="86">
        <f ca="1">IFERROR(__xludf.DUMMYFUNCTION("IMPORTRANGE(""https://docs.google.com/spreadsheets/d/1gFVb7qd7amutrIxAAoM7lcy35hllxznovot8lyOfvDo/edit?usp=sharing"",""น่าน!J144"")"),0)</f>
        <v>0</v>
      </c>
      <c r="X19" s="87">
        <f t="shared" ca="1" si="26"/>
        <v>0</v>
      </c>
      <c r="Y19" s="86">
        <f ca="1">IFERROR(__xludf.DUMMYFUNCTION("IMPORTRANGE(""https://docs.google.com/spreadsheets/d/1gFVb7qd7amutrIxAAoM7lcy35hllxznovot8lyOfvDo/edit?usp=sharing"",""น่าน!I145"")"),20)</f>
        <v>20</v>
      </c>
      <c r="Z19" s="86">
        <f ca="1">IFERROR(__xludf.DUMMYFUNCTION("IMPORTRANGE(""https://docs.google.com/spreadsheets/d/1gFVb7qd7amutrIxAAoM7lcy35hllxznovot8lyOfvDo/edit?usp=sharing"",""น่าน!J145"")"),0)</f>
        <v>0</v>
      </c>
      <c r="AA19" s="87">
        <f t="shared" ca="1" si="27"/>
        <v>0</v>
      </c>
      <c r="AB19" s="86">
        <f ca="1">IFERROR(__xludf.DUMMYFUNCTION("IMPORTRANGE(""https://docs.google.com/spreadsheets/d/1gFVb7qd7amutrIxAAoM7lcy35hllxznovot8lyOfvDo/edit?usp=sharing"",""น่าน!I146"")"),2)</f>
        <v>2</v>
      </c>
      <c r="AC19" s="86">
        <f ca="1">IFERROR(__xludf.DUMMYFUNCTION("IMPORTRANGE(""https://docs.google.com/spreadsheets/d/1gFVb7qd7amutrIxAAoM7lcy35hllxznovot8lyOfvDo/edit?usp=sharing"",""น่าน!J146"")"),0)</f>
        <v>0</v>
      </c>
      <c r="AD19" s="87">
        <f t="shared" ca="1" si="28"/>
        <v>0</v>
      </c>
    </row>
    <row r="20" spans="1:30" ht="24" customHeight="1" x14ac:dyDescent="0.2">
      <c r="A20" s="78">
        <v>7</v>
      </c>
      <c r="B20" s="79" t="s">
        <v>42</v>
      </c>
      <c r="C20" s="80">
        <f t="shared" ca="1" si="0"/>
        <v>0</v>
      </c>
      <c r="D20" s="81">
        <f t="shared" ca="1" si="35"/>
        <v>0</v>
      </c>
      <c r="E20" s="82">
        <f ca="1">IFERROR(__xludf.DUMMYFUNCTION("IMPORTRANGE(""https://docs.google.com/spreadsheets/d/1MeEWN-I1oV_STSDYn1IFDPWt_1FKiwhDph83XaGc0o0/edit?usp=sharing"",""งบพรบ!BL20"")"),0)</f>
        <v>0</v>
      </c>
      <c r="F20" s="82">
        <f ca="1">IFERROR(__xludf.DUMMYFUNCTION("IMPORTRANGE(""https://docs.google.com/spreadsheets/d/1MeEWN-I1oV_STSDYn1IFDPWt_1FKiwhDph83XaGc0o0/edit?usp=sharing"",""งบพรบ!BM20"")"),0)</f>
        <v>0</v>
      </c>
      <c r="G20" s="82">
        <f ca="1">IFERROR(__xludf.DUMMYFUNCTION("IMPORTRANGE(""https://docs.google.com/spreadsheets/d/1MeEWN-I1oV_STSDYn1IFDPWt_1FKiwhDph83XaGc0o0/edit?usp=sharing"",""งบพรบ!BN20"")"),0)</f>
        <v>0</v>
      </c>
      <c r="H20" s="82">
        <f ca="1">IFERROR(__xludf.DUMMYFUNCTION("IMPORTRANGE(""https://docs.google.com/spreadsheets/d/1MeEWN-I1oV_STSDYn1IFDPWt_1FKiwhDph83XaGc0o0/edit?usp=sharing"",""งบพรบ!BP20"")"),0)</f>
        <v>0</v>
      </c>
      <c r="I20" s="82">
        <f ca="1">IFERROR(__xludf.DUMMYFUNCTION("IMPORTRANGE(""https://docs.google.com/spreadsheets/d/1MeEWN-I1oV_STSDYn1IFDPWt_1FKiwhDph83XaGc0o0/edit?usp=sharing"",""งบพรบ!BQ20"")"),0)</f>
        <v>0</v>
      </c>
      <c r="J20" s="82">
        <f t="shared" ca="1" si="3"/>
        <v>0</v>
      </c>
      <c r="K20" s="83">
        <f t="shared" ca="1" si="4"/>
        <v>0</v>
      </c>
      <c r="L20" s="82">
        <f ca="1">IFERROR(__xludf.DUMMYFUNCTION("IMPORTRANGE(""https://docs.google.com/spreadsheets/d/1MeEWN-I1oV_STSDYn1IFDPWt_1FKiwhDph83XaGc0o0/edit?usp=sharing"",""งบพรบ!BR20"")"),0)</f>
        <v>0</v>
      </c>
      <c r="M20" s="84">
        <f t="shared" ca="1" si="5"/>
        <v>0</v>
      </c>
      <c r="N20" s="84">
        <f t="shared" ca="1" si="6"/>
        <v>0</v>
      </c>
      <c r="O20" s="85">
        <f ca="1">IFERROR(__xludf.DUMMYFUNCTION("IMPORTRANGE(""https://docs.google.com/spreadsheets/d/1MeEWN-I1oV_STSDYn1IFDPWt_1FKiwhDph83XaGc0o0/edit?usp=sharing"",""งบพรบ!BS20"")"),0)</f>
        <v>0</v>
      </c>
      <c r="P20" s="85">
        <f t="shared" ca="1" si="30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IFERROR(__xludf.DUMMYFUNCTION("IMPORTRANGE(""https://docs.google.com/spreadsheets/d/1K0Aa9s-6EuHE5M0FG1F9aHLXRCOV917xvycTdLdct0w/edit?usp=sharing"",""พะเยา!J142"")"),0)</f>
        <v>0</v>
      </c>
      <c r="S20" s="86">
        <f ca="1">IFERROR(__xludf.DUMMYFUNCTION("IMPORTRANGE(""https://docs.google.com/spreadsheets/d/1K0Aa9s-6EuHE5M0FG1F9aHLXRCOV917xvycTdLdct0w/edit?usp=sharing"",""พะเยา!I143"")"),0)</f>
        <v>0</v>
      </c>
      <c r="T20" s="86">
        <f ca="1">IFERROR(__xludf.DUMMYFUNCTION("IMPORTRANGE(""https://docs.google.com/spreadsheets/d/1K0Aa9s-6EuHE5M0FG1F9aHLXRCOV917xvycTdLdct0w/edit?usp=sharing"",""พะเยา!J143"")"),0)</f>
        <v>0</v>
      </c>
      <c r="U20" s="87">
        <f t="shared" ca="1" si="25"/>
        <v>0</v>
      </c>
      <c r="V20" s="86">
        <f ca="1">IFERROR(__xludf.DUMMYFUNCTION("IMPORTRANGE(""https://docs.google.com/spreadsheets/d/1K0Aa9s-6EuHE5M0FG1F9aHLXRCOV917xvycTdLdct0w/edit?usp=sharing"",""พะเยา!I144"")"),0)</f>
        <v>0</v>
      </c>
      <c r="W20" s="86">
        <f ca="1">IFERROR(__xludf.DUMMYFUNCTION("IMPORTRANGE(""https://docs.google.com/spreadsheets/d/1K0Aa9s-6EuHE5M0FG1F9aHLXRCOV917xvycTdLdct0w/edit?usp=sharing"",""พะเยา!J144"")"),0)</f>
        <v>0</v>
      </c>
      <c r="X20" s="87">
        <f t="shared" ca="1" si="26"/>
        <v>0</v>
      </c>
      <c r="Y20" s="86">
        <f ca="1">IFERROR(__xludf.DUMMYFUNCTION("IMPORTRANGE(""https://docs.google.com/spreadsheets/d/1K0Aa9s-6EuHE5M0FG1F9aHLXRCOV917xvycTdLdct0w/edit?usp=sharing"",""พะเยา!I145"")"),0)</f>
        <v>0</v>
      </c>
      <c r="Z20" s="86">
        <f ca="1">IFERROR(__xludf.DUMMYFUNCTION("IMPORTRANGE(""https://docs.google.com/spreadsheets/d/1K0Aa9s-6EuHE5M0FG1F9aHLXRCOV917xvycTdLdct0w/edit?usp=sharing"",""พะเยา!J145"")"),0)</f>
        <v>0</v>
      </c>
      <c r="AA20" s="87">
        <f t="shared" ca="1" si="27"/>
        <v>0</v>
      </c>
      <c r="AB20" s="86">
        <f ca="1">IFERROR(__xludf.DUMMYFUNCTION("IMPORTRANGE(""https://docs.google.com/spreadsheets/d/1K0Aa9s-6EuHE5M0FG1F9aHLXRCOV917xvycTdLdct0w/edit?usp=sharing"",""พะเยา!I146"")"),0)</f>
        <v>0</v>
      </c>
      <c r="AC20" s="86">
        <f ca="1">IFERROR(__xludf.DUMMYFUNCTION("IMPORTRANGE(""https://docs.google.com/spreadsheets/d/1K0Aa9s-6EuHE5M0FG1F9aHLXRCOV917xvycTdLdct0w/edit?usp=sharing"",""พะเยา!J146"")"),0)</f>
        <v>0</v>
      </c>
      <c r="AD20" s="87">
        <f t="shared" ca="1" si="28"/>
        <v>0</v>
      </c>
    </row>
    <row r="21" spans="1:30" ht="24" customHeight="1" x14ac:dyDescent="0.2">
      <c r="A21" s="78">
        <v>8</v>
      </c>
      <c r="B21" s="79" t="s">
        <v>43</v>
      </c>
      <c r="C21" s="80">
        <f t="shared" ca="1" si="0"/>
        <v>0</v>
      </c>
      <c r="D21" s="81">
        <f t="shared" ca="1" si="35"/>
        <v>0</v>
      </c>
      <c r="E21" s="82">
        <f ca="1">IFERROR(__xludf.DUMMYFUNCTION("IMPORTRANGE(""https://docs.google.com/spreadsheets/d/1MeEWN-I1oV_STSDYn1IFDPWt_1FKiwhDph83XaGc0o0/edit?usp=sharing"",""งบพรบ!BL21"")"),0)</f>
        <v>0</v>
      </c>
      <c r="F21" s="82">
        <f ca="1">IFERROR(__xludf.DUMMYFUNCTION("IMPORTRANGE(""https://docs.google.com/spreadsheets/d/1MeEWN-I1oV_STSDYn1IFDPWt_1FKiwhDph83XaGc0o0/edit?usp=sharing"",""งบพรบ!BM21"")"),0)</f>
        <v>0</v>
      </c>
      <c r="G21" s="82">
        <f ca="1">IFERROR(__xludf.DUMMYFUNCTION("IMPORTRANGE(""https://docs.google.com/spreadsheets/d/1MeEWN-I1oV_STSDYn1IFDPWt_1FKiwhDph83XaGc0o0/edit?usp=sharing"",""งบพรบ!BN21"")"),0)</f>
        <v>0</v>
      </c>
      <c r="H21" s="82">
        <f ca="1">IFERROR(__xludf.DUMMYFUNCTION("IMPORTRANGE(""https://docs.google.com/spreadsheets/d/1MeEWN-I1oV_STSDYn1IFDPWt_1FKiwhDph83XaGc0o0/edit?usp=sharing"",""งบพรบ!BP21"")"),0)</f>
        <v>0</v>
      </c>
      <c r="I21" s="82">
        <f ca="1">IFERROR(__xludf.DUMMYFUNCTION("IMPORTRANGE(""https://docs.google.com/spreadsheets/d/1MeEWN-I1oV_STSDYn1IFDPWt_1FKiwhDph83XaGc0o0/edit?usp=sharing"",""งบพรบ!BQ21"")"),0)</f>
        <v>0</v>
      </c>
      <c r="J21" s="82">
        <f t="shared" ca="1" si="3"/>
        <v>0</v>
      </c>
      <c r="K21" s="83">
        <f t="shared" ca="1" si="4"/>
        <v>0</v>
      </c>
      <c r="L21" s="82">
        <f ca="1">IFERROR(__xludf.DUMMYFUNCTION("IMPORTRANGE(""https://docs.google.com/spreadsheets/d/1MeEWN-I1oV_STSDYn1IFDPWt_1FKiwhDph83XaGc0o0/edit?usp=sharing"",""งบพรบ!BR21"")"),0)</f>
        <v>0</v>
      </c>
      <c r="M21" s="84">
        <f t="shared" ca="1" si="5"/>
        <v>0</v>
      </c>
      <c r="N21" s="84">
        <f t="shared" ca="1" si="6"/>
        <v>0</v>
      </c>
      <c r="O21" s="85">
        <f ca="1">IFERROR(__xludf.DUMMYFUNCTION("IMPORTRANGE(""https://docs.google.com/spreadsheets/d/1MeEWN-I1oV_STSDYn1IFDPWt_1FKiwhDph83XaGc0o0/edit?usp=sharing"",""งบพรบ!BS21"")"),0)</f>
        <v>0</v>
      </c>
      <c r="P21" s="85">
        <f t="shared" ca="1" si="30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IFERROR(__xludf.DUMMYFUNCTION("IMPORTRANGE(""https://docs.google.com/spreadsheets/d/1Y9LPKx95PyL5OKy09d-KbKJSuuEZCFdkhYjwC0XQjBA/edit?usp=sharing"",""พิจิตร!J142"")"),0)</f>
        <v>0</v>
      </c>
      <c r="S21" s="86">
        <f ca="1">IFERROR(__xludf.DUMMYFUNCTION("IMPORTRANGE(""https://docs.google.com/spreadsheets/d/1Y9LPKx95PyL5OKy09d-KbKJSuuEZCFdkhYjwC0XQjBA/edit?usp=sharing"",""พิจิตร!I143"")"),0)</f>
        <v>0</v>
      </c>
      <c r="T21" s="86">
        <f ca="1">IFERROR(__xludf.DUMMYFUNCTION("IMPORTRANGE(""https://docs.google.com/spreadsheets/d/1Y9LPKx95PyL5OKy09d-KbKJSuuEZCFdkhYjwC0XQjBA/edit?usp=sharing"",""พิจิตร!J143"")"),0)</f>
        <v>0</v>
      </c>
      <c r="U21" s="87">
        <f t="shared" ca="1" si="25"/>
        <v>0</v>
      </c>
      <c r="V21" s="86">
        <f ca="1">IFERROR(__xludf.DUMMYFUNCTION("IMPORTRANGE(""https://docs.google.com/spreadsheets/d/1Y9LPKx95PyL5OKy09d-KbKJSuuEZCFdkhYjwC0XQjBA/edit?usp=sharing"",""พิจิตร!I144"")"),0)</f>
        <v>0</v>
      </c>
      <c r="W21" s="86">
        <f ca="1">IFERROR(__xludf.DUMMYFUNCTION("IMPORTRANGE(""https://docs.google.com/spreadsheets/d/1Y9LPKx95PyL5OKy09d-KbKJSuuEZCFdkhYjwC0XQjBA/edit?usp=sharing"",""พิจิตร!J144"")"),0)</f>
        <v>0</v>
      </c>
      <c r="X21" s="87">
        <f t="shared" ca="1" si="26"/>
        <v>0</v>
      </c>
      <c r="Y21" s="86">
        <f ca="1">IFERROR(__xludf.DUMMYFUNCTION("IMPORTRANGE(""https://docs.google.com/spreadsheets/d/1Y9LPKx95PyL5OKy09d-KbKJSuuEZCFdkhYjwC0XQjBA/edit?usp=sharing"",""พิจิตร!I145"")"),0)</f>
        <v>0</v>
      </c>
      <c r="Z21" s="86">
        <f ca="1">IFERROR(__xludf.DUMMYFUNCTION("IMPORTRANGE(""https://docs.google.com/spreadsheets/d/1Y9LPKx95PyL5OKy09d-KbKJSuuEZCFdkhYjwC0XQjBA/edit?usp=sharing"",""พิจิตร!J145"")"),0)</f>
        <v>0</v>
      </c>
      <c r="AA21" s="87">
        <f t="shared" ca="1" si="27"/>
        <v>0</v>
      </c>
      <c r="AB21" s="86">
        <f ca="1">IFERROR(__xludf.DUMMYFUNCTION("IMPORTRANGE(""https://docs.google.com/spreadsheets/d/1Y9LPKx95PyL5OKy09d-KbKJSuuEZCFdkhYjwC0XQjBA/edit?usp=sharing"",""พิจิตร!I146"")"),0)</f>
        <v>0</v>
      </c>
      <c r="AC21" s="86">
        <f ca="1">IFERROR(__xludf.DUMMYFUNCTION("IMPORTRANGE(""https://docs.google.com/spreadsheets/d/1Y9LPKx95PyL5OKy09d-KbKJSuuEZCFdkhYjwC0XQjBA/edit?usp=sharing"",""พิจิตร!J146"")"),0)</f>
        <v>0</v>
      </c>
      <c r="AD21" s="87">
        <f t="shared" ca="1" si="28"/>
        <v>0</v>
      </c>
    </row>
    <row r="22" spans="1:30" ht="24" customHeight="1" x14ac:dyDescent="0.2">
      <c r="A22" s="78">
        <v>9</v>
      </c>
      <c r="B22" s="79" t="s">
        <v>44</v>
      </c>
      <c r="C22" s="80">
        <f t="shared" ca="1" si="0"/>
        <v>0</v>
      </c>
      <c r="D22" s="81">
        <f t="shared" ca="1" si="35"/>
        <v>0</v>
      </c>
      <c r="E22" s="82">
        <f ca="1">IFERROR(__xludf.DUMMYFUNCTION("IMPORTRANGE(""https://docs.google.com/spreadsheets/d/1MeEWN-I1oV_STSDYn1IFDPWt_1FKiwhDph83XaGc0o0/edit?usp=sharing"",""งบพรบ!BL22"")"),0)</f>
        <v>0</v>
      </c>
      <c r="F22" s="82">
        <f ca="1">IFERROR(__xludf.DUMMYFUNCTION("IMPORTRANGE(""https://docs.google.com/spreadsheets/d/1MeEWN-I1oV_STSDYn1IFDPWt_1FKiwhDph83XaGc0o0/edit?usp=sharing"",""งบพรบ!BM22"")"),0)</f>
        <v>0</v>
      </c>
      <c r="G22" s="82">
        <f ca="1">IFERROR(__xludf.DUMMYFUNCTION("IMPORTRANGE(""https://docs.google.com/spreadsheets/d/1MeEWN-I1oV_STSDYn1IFDPWt_1FKiwhDph83XaGc0o0/edit?usp=sharing"",""งบพรบ!BN22"")"),0)</f>
        <v>0</v>
      </c>
      <c r="H22" s="82">
        <f ca="1">IFERROR(__xludf.DUMMYFUNCTION("IMPORTRANGE(""https://docs.google.com/spreadsheets/d/1MeEWN-I1oV_STSDYn1IFDPWt_1FKiwhDph83XaGc0o0/edit?usp=sharing"",""งบพรบ!BP22"")"),0)</f>
        <v>0</v>
      </c>
      <c r="I22" s="82">
        <f ca="1">IFERROR(__xludf.DUMMYFUNCTION("IMPORTRANGE(""https://docs.google.com/spreadsheets/d/1MeEWN-I1oV_STSDYn1IFDPWt_1FKiwhDph83XaGc0o0/edit?usp=sharing"",""งบพรบ!BQ22"")"),0)</f>
        <v>0</v>
      </c>
      <c r="J22" s="82">
        <f t="shared" ca="1" si="3"/>
        <v>0</v>
      </c>
      <c r="K22" s="83">
        <f t="shared" ca="1" si="4"/>
        <v>0</v>
      </c>
      <c r="L22" s="82">
        <f ca="1">IFERROR(__xludf.DUMMYFUNCTION("IMPORTRANGE(""https://docs.google.com/spreadsheets/d/1MeEWN-I1oV_STSDYn1IFDPWt_1FKiwhDph83XaGc0o0/edit?usp=sharing"",""งบพรบ!BR22"")"),0)</f>
        <v>0</v>
      </c>
      <c r="M22" s="84">
        <f t="shared" ca="1" si="5"/>
        <v>0</v>
      </c>
      <c r="N22" s="84">
        <f t="shared" ca="1" si="6"/>
        <v>0</v>
      </c>
      <c r="O22" s="85">
        <f ca="1">IFERROR(__xludf.DUMMYFUNCTION("IMPORTRANGE(""https://docs.google.com/spreadsheets/d/1MeEWN-I1oV_STSDYn1IFDPWt_1FKiwhDph83XaGc0o0/edit?usp=sharing"",""งบพรบ!BS22"")"),0)</f>
        <v>0</v>
      </c>
      <c r="P22" s="85">
        <f t="shared" ca="1" si="30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IFERROR(__xludf.DUMMYFUNCTION("IMPORTRANGE(""https://docs.google.com/spreadsheets/d/16OMuOwy2eVqZcYWOouQtTpa8X1L23h4660uVHc0C8os/edit?usp=sharing"",""พิษณุโลก!J142"")"),0)</f>
        <v>0</v>
      </c>
      <c r="S22" s="86">
        <f ca="1">IFERROR(__xludf.DUMMYFUNCTION("IMPORTRANGE(""https://docs.google.com/spreadsheets/d/16OMuOwy2eVqZcYWOouQtTpa8X1L23h4660uVHc0C8os/edit?usp=sharing"",""พิษณุโลก!I143"")"),0)</f>
        <v>0</v>
      </c>
      <c r="T22" s="86">
        <f ca="1">IFERROR(__xludf.DUMMYFUNCTION("IMPORTRANGE(""https://docs.google.com/spreadsheets/d/16OMuOwy2eVqZcYWOouQtTpa8X1L23h4660uVHc0C8os/edit?usp=sharing"",""พิษณุโลก!J143"")"),0)</f>
        <v>0</v>
      </c>
      <c r="U22" s="87">
        <f t="shared" ca="1" si="25"/>
        <v>0</v>
      </c>
      <c r="V22" s="86">
        <f ca="1">IFERROR(__xludf.DUMMYFUNCTION("IMPORTRANGE(""https://docs.google.com/spreadsheets/d/16OMuOwy2eVqZcYWOouQtTpa8X1L23h4660uVHc0C8os/edit?usp=sharing"",""พิษณุโลก!I144"")"),0)</f>
        <v>0</v>
      </c>
      <c r="W22" s="86">
        <f ca="1">IFERROR(__xludf.DUMMYFUNCTION("IMPORTRANGE(""https://docs.google.com/spreadsheets/d/16OMuOwy2eVqZcYWOouQtTpa8X1L23h4660uVHc0C8os/edit?usp=sharing"",""พิษณุโลก!J144"")"),0)</f>
        <v>0</v>
      </c>
      <c r="X22" s="87">
        <f t="shared" ca="1" si="26"/>
        <v>0</v>
      </c>
      <c r="Y22" s="86">
        <f ca="1">IFERROR(__xludf.DUMMYFUNCTION("IMPORTRANGE(""https://docs.google.com/spreadsheets/d/16OMuOwy2eVqZcYWOouQtTpa8X1L23h4660uVHc0C8os/edit?usp=sharing"",""พิษณุโลก!I145"")"),0)</f>
        <v>0</v>
      </c>
      <c r="Z22" s="86">
        <f ca="1">IFERROR(__xludf.DUMMYFUNCTION("IMPORTRANGE(""https://docs.google.com/spreadsheets/d/16OMuOwy2eVqZcYWOouQtTpa8X1L23h4660uVHc0C8os/edit?usp=sharing"",""พิษณุโลก!J145"")"),0)</f>
        <v>0</v>
      </c>
      <c r="AA22" s="87">
        <f t="shared" ca="1" si="27"/>
        <v>0</v>
      </c>
      <c r="AB22" s="86">
        <f ca="1">IFERROR(__xludf.DUMMYFUNCTION("IMPORTRANGE(""https://docs.google.com/spreadsheets/d/16OMuOwy2eVqZcYWOouQtTpa8X1L23h4660uVHc0C8os/edit?usp=sharing"",""พิษณุโลก!I146"")"),0)</f>
        <v>0</v>
      </c>
      <c r="AC22" s="86">
        <f ca="1">IFERROR(__xludf.DUMMYFUNCTION("IMPORTRANGE(""https://docs.google.com/spreadsheets/d/16OMuOwy2eVqZcYWOouQtTpa8X1L23h4660uVHc0C8os/edit?usp=sharing"",""พิษณุโลก!J146"")"),0)</f>
        <v>0</v>
      </c>
      <c r="AD22" s="87">
        <f t="shared" ca="1" si="28"/>
        <v>0</v>
      </c>
    </row>
    <row r="23" spans="1:30" ht="24" customHeight="1" x14ac:dyDescent="0.2">
      <c r="A23" s="78">
        <v>10</v>
      </c>
      <c r="B23" s="79" t="s">
        <v>45</v>
      </c>
      <c r="C23" s="80">
        <f t="shared" ca="1" si="0"/>
        <v>239255</v>
      </c>
      <c r="D23" s="81">
        <f t="shared" ca="1" si="35"/>
        <v>136255</v>
      </c>
      <c r="E23" s="82">
        <f ca="1">IFERROR(__xludf.DUMMYFUNCTION("IMPORTRANGE(""https://docs.google.com/spreadsheets/d/1MeEWN-I1oV_STSDYn1IFDPWt_1FKiwhDph83XaGc0o0/edit?usp=sharing"",""งบพรบ!BL23"")"),87600)</f>
        <v>87600</v>
      </c>
      <c r="F23" s="82">
        <f ca="1">IFERROR(__xludf.DUMMYFUNCTION("IMPORTRANGE(""https://docs.google.com/spreadsheets/d/1MeEWN-I1oV_STSDYn1IFDPWt_1FKiwhDph83XaGc0o0/edit?usp=sharing"",""งบพรบ!BM23"")"),48655)</f>
        <v>48655</v>
      </c>
      <c r="G23" s="82">
        <f ca="1">IFERROR(__xludf.DUMMYFUNCTION("IMPORTRANGE(""https://docs.google.com/spreadsheets/d/1MeEWN-I1oV_STSDYn1IFDPWt_1FKiwhDph83XaGc0o0/edit?usp=sharing"",""งบพรบ!BN23"")"),103000)</f>
        <v>103000</v>
      </c>
      <c r="H23" s="82">
        <f ca="1">IFERROR(__xludf.DUMMYFUNCTION("IMPORTRANGE(""https://docs.google.com/spreadsheets/d/1MeEWN-I1oV_STSDYn1IFDPWt_1FKiwhDph83XaGc0o0/edit?usp=sharing"",""งบพรบ!BP23"")"),96300)</f>
        <v>96300</v>
      </c>
      <c r="I23" s="82">
        <f ca="1">IFERROR(__xludf.DUMMYFUNCTION("IMPORTRANGE(""https://docs.google.com/spreadsheets/d/1MeEWN-I1oV_STSDYn1IFDPWt_1FKiwhDph83XaGc0o0/edit?usp=sharing"",""งบพรบ!BQ23"")"),103000)</f>
        <v>103000</v>
      </c>
      <c r="J23" s="82">
        <f t="shared" ca="1" si="3"/>
        <v>147350</v>
      </c>
      <c r="K23" s="83">
        <f t="shared" ca="1" si="4"/>
        <v>61.587009675868842</v>
      </c>
      <c r="L23" s="82">
        <f ca="1">IFERROR(__xludf.DUMMYFUNCTION("IMPORTRANGE(""https://docs.google.com/spreadsheets/d/1MeEWN-I1oV_STSDYn1IFDPWt_1FKiwhDph83XaGc0o0/edit?usp=sharing"",""งบพรบ!BR23"")"),44350)</f>
        <v>44350</v>
      </c>
      <c r="M23" s="84">
        <f t="shared" ca="1" si="5"/>
        <v>32.549264247183586</v>
      </c>
      <c r="N23" s="84">
        <f t="shared" ca="1" si="6"/>
        <v>46.0539979231568</v>
      </c>
      <c r="O23" s="85">
        <f ca="1">IFERROR(__xludf.DUMMYFUNCTION("IMPORTRANGE(""https://docs.google.com/spreadsheets/d/1MeEWN-I1oV_STSDYn1IFDPWt_1FKiwhDph83XaGc0o0/edit?usp=sharing"",""งบพรบ!BS23"")"),103000)</f>
        <v>103000</v>
      </c>
      <c r="P23" s="85">
        <f t="shared" ca="1" si="30"/>
        <v>100</v>
      </c>
      <c r="Q23" s="84">
        <f t="shared" ca="1" si="8"/>
        <v>100</v>
      </c>
      <c r="R23" s="86">
        <f ca="1">IFERROR(__xludf.DUMMYFUNCTION("IMPORTRANGE(""https://docs.google.com/spreadsheets/d/1GfgTldLG6k77HXaMQzaafODklYuucJZQNs_GAPEfZyY/edit?usp=sharing"",""เพชรบูรณ์!J142"")"),0)</f>
        <v>0</v>
      </c>
      <c r="S23" s="86">
        <f ca="1">IFERROR(__xludf.DUMMYFUNCTION("IMPORTRANGE(""https://docs.google.com/spreadsheets/d/1GfgTldLG6k77HXaMQzaafODklYuucJZQNs_GAPEfZyY/edit?usp=sharing"",""เพชรบูรณ์!I143"")"),10)</f>
        <v>10</v>
      </c>
      <c r="T23" s="86">
        <f ca="1">IFERROR(__xludf.DUMMYFUNCTION("IMPORTRANGE(""https://docs.google.com/spreadsheets/d/1GfgTldLG6k77HXaMQzaafODklYuucJZQNs_GAPEfZyY/edit?usp=sharing"",""เพชรบูรณ์!J143"")"),0)</f>
        <v>0</v>
      </c>
      <c r="U23" s="87">
        <f t="shared" ca="1" si="25"/>
        <v>0</v>
      </c>
      <c r="V23" s="86">
        <f ca="1">IFERROR(__xludf.DUMMYFUNCTION("IMPORTRANGE(""https://docs.google.com/spreadsheets/d/1GfgTldLG6k77HXaMQzaafODklYuucJZQNs_GAPEfZyY/edit?usp=sharing"",""เพชรบูรณ์!I144"")"),5)</f>
        <v>5</v>
      </c>
      <c r="W23" s="86">
        <f ca="1">IFERROR(__xludf.DUMMYFUNCTION("IMPORTRANGE(""https://docs.google.com/spreadsheets/d/1GfgTldLG6k77HXaMQzaafODklYuucJZQNs_GAPEfZyY/edit?usp=sharing"",""เพชรบูรณ์!J144"")"),0)</f>
        <v>0</v>
      </c>
      <c r="X23" s="87">
        <f t="shared" ca="1" si="26"/>
        <v>0</v>
      </c>
      <c r="Y23" s="86">
        <f ca="1">IFERROR(__xludf.DUMMYFUNCTION("IMPORTRANGE(""https://docs.google.com/spreadsheets/d/1GfgTldLG6k77HXaMQzaafODklYuucJZQNs_GAPEfZyY/edit?usp=sharing"",""เพชรบูรณ์!I145"")"),10)</f>
        <v>10</v>
      </c>
      <c r="Z23" s="86">
        <f ca="1">IFERROR(__xludf.DUMMYFUNCTION("IMPORTRANGE(""https://docs.google.com/spreadsheets/d/1GfgTldLG6k77HXaMQzaafODklYuucJZQNs_GAPEfZyY/edit?usp=sharing"",""เพชรบูรณ์!J145"")"),0)</f>
        <v>0</v>
      </c>
      <c r="AA23" s="87">
        <f t="shared" ca="1" si="27"/>
        <v>0</v>
      </c>
      <c r="AB23" s="86">
        <f ca="1">IFERROR(__xludf.DUMMYFUNCTION("IMPORTRANGE(""https://docs.google.com/spreadsheets/d/1GfgTldLG6k77HXaMQzaafODklYuucJZQNs_GAPEfZyY/edit?usp=sharing"",""เพชรบูรณ์!I146"")"),1)</f>
        <v>1</v>
      </c>
      <c r="AC23" s="86">
        <f ca="1">IFERROR(__xludf.DUMMYFUNCTION("IMPORTRANGE(""https://docs.google.com/spreadsheets/d/1GfgTldLG6k77HXaMQzaafODklYuucJZQNs_GAPEfZyY/edit?usp=sharing"",""เพชรบูรณ์!J146"")"),0)</f>
        <v>0</v>
      </c>
      <c r="AD23" s="87">
        <f t="shared" ca="1" si="28"/>
        <v>0</v>
      </c>
    </row>
    <row r="24" spans="1:30" ht="24" customHeight="1" x14ac:dyDescent="0.2">
      <c r="A24" s="78">
        <v>11</v>
      </c>
      <c r="B24" s="79" t="s">
        <v>46</v>
      </c>
      <c r="C24" s="80">
        <f t="shared" ca="1" si="0"/>
        <v>542565</v>
      </c>
      <c r="D24" s="81">
        <f t="shared" ca="1" si="35"/>
        <v>233565</v>
      </c>
      <c r="E24" s="82">
        <f ca="1">IFERROR(__xludf.DUMMYFUNCTION("IMPORTRANGE(""https://docs.google.com/spreadsheets/d/1MeEWN-I1oV_STSDYn1IFDPWt_1FKiwhDph83XaGc0o0/edit?usp=sharing"",""งบพรบ!BL24"")"),87600)</f>
        <v>87600</v>
      </c>
      <c r="F24" s="82">
        <f ca="1">IFERROR(__xludf.DUMMYFUNCTION("IMPORTRANGE(""https://docs.google.com/spreadsheets/d/1MeEWN-I1oV_STSDYn1IFDPWt_1FKiwhDph83XaGc0o0/edit?usp=sharing"",""งบพรบ!BM24"")"),145965)</f>
        <v>145965</v>
      </c>
      <c r="G24" s="82">
        <f ca="1">IFERROR(__xludf.DUMMYFUNCTION("IMPORTRANGE(""https://docs.google.com/spreadsheets/d/1MeEWN-I1oV_STSDYn1IFDPWt_1FKiwhDph83XaGc0o0/edit?usp=sharing"",""งบพรบ!BN24"")"),309000)</f>
        <v>309000</v>
      </c>
      <c r="H24" s="82">
        <f ca="1">IFERROR(__xludf.DUMMYFUNCTION("IMPORTRANGE(""https://docs.google.com/spreadsheets/d/1MeEWN-I1oV_STSDYn1IFDPWt_1FKiwhDph83XaGc0o0/edit?usp=sharing"",""งบพรบ!BP24"")"),157500)</f>
        <v>157500</v>
      </c>
      <c r="I24" s="82">
        <f ca="1">IFERROR(__xludf.DUMMYFUNCTION("IMPORTRANGE(""https://docs.google.com/spreadsheets/d/1MeEWN-I1oV_STSDYn1IFDPWt_1FKiwhDph83XaGc0o0/edit?usp=sharing"",""งบพรบ!BQ24"")"),307500)</f>
        <v>307500</v>
      </c>
      <c r="J24" s="82">
        <f t="shared" ca="1" si="3"/>
        <v>348610</v>
      </c>
      <c r="K24" s="83">
        <f t="shared" ca="1" si="4"/>
        <v>64.252209412697098</v>
      </c>
      <c r="L24" s="82">
        <f ca="1">IFERROR(__xludf.DUMMYFUNCTION("IMPORTRANGE(""https://docs.google.com/spreadsheets/d/1MeEWN-I1oV_STSDYn1IFDPWt_1FKiwhDph83XaGc0o0/edit?usp=sharing"",""งบพรบ!BR24"")"),41110)</f>
        <v>41110</v>
      </c>
      <c r="M24" s="84">
        <f t="shared" ca="1" si="5"/>
        <v>17.601096054631473</v>
      </c>
      <c r="N24" s="84">
        <f t="shared" ca="1" si="6"/>
        <v>26.101587301587301</v>
      </c>
      <c r="O24" s="85">
        <f ca="1">IFERROR(__xludf.DUMMYFUNCTION("IMPORTRANGE(""https://docs.google.com/spreadsheets/d/1MeEWN-I1oV_STSDYn1IFDPWt_1FKiwhDph83XaGc0o0/edit?usp=sharing"",""งบพรบ!BS24"")"),307500)</f>
        <v>307500</v>
      </c>
      <c r="P24" s="85">
        <f t="shared" ca="1" si="30"/>
        <v>99.514563106796118</v>
      </c>
      <c r="Q24" s="84">
        <f t="shared" ca="1" si="8"/>
        <v>100</v>
      </c>
      <c r="R24" s="86" t="str">
        <f ca="1">IFERROR(__xludf.DUMMYFUNCTION("IMPORTRANGE(""https://docs.google.com/spreadsheets/d/1gvTMYAnm7v1yG1BKWFtr0DnaTsq59oW9dwWvFgq6hs0/edit?usp=sharing"",""แพร่!J142"")"),"")</f>
        <v/>
      </c>
      <c r="S24" s="86">
        <f ca="1">IFERROR(__xludf.DUMMYFUNCTION("IMPORTRANGE(""https://docs.google.com/spreadsheets/d/1gvTMYAnm7v1yG1BKWFtr0DnaTsq59oW9dwWvFgq6hs0/edit?usp=sharing"",""แพร่!I143"")"),30)</f>
        <v>30</v>
      </c>
      <c r="T24" s="86">
        <f ca="1">IFERROR(__xludf.DUMMYFUNCTION("IMPORTRANGE(""https://docs.google.com/spreadsheets/d/1gvTMYAnm7v1yG1BKWFtr0DnaTsq59oW9dwWvFgq6hs0/edit?usp=sharing"",""แพร่!J143"")"),0)</f>
        <v>0</v>
      </c>
      <c r="U24" s="87">
        <f t="shared" ca="1" si="25"/>
        <v>0</v>
      </c>
      <c r="V24" s="86">
        <f ca="1">IFERROR(__xludf.DUMMYFUNCTION("IMPORTRANGE(""https://docs.google.com/spreadsheets/d/1gvTMYAnm7v1yG1BKWFtr0DnaTsq59oW9dwWvFgq6hs0/edit?usp=sharing"",""แพร่!I144"")"),15)</f>
        <v>15</v>
      </c>
      <c r="W24" s="86">
        <f ca="1">IFERROR(__xludf.DUMMYFUNCTION("IMPORTRANGE(""https://docs.google.com/spreadsheets/d/1gvTMYAnm7v1yG1BKWFtr0DnaTsq59oW9dwWvFgq6hs0/edit?usp=sharing"",""แพร่!J144"")"),30)</f>
        <v>30</v>
      </c>
      <c r="X24" s="87">
        <f t="shared" ca="1" si="26"/>
        <v>200</v>
      </c>
      <c r="Y24" s="86">
        <f ca="1">IFERROR(__xludf.DUMMYFUNCTION("IMPORTRANGE(""https://docs.google.com/spreadsheets/d/1gvTMYAnm7v1yG1BKWFtr0DnaTsq59oW9dwWvFgq6hs0/edit?usp=sharing"",""แพร่!I145"")"),30)</f>
        <v>30</v>
      </c>
      <c r="Z24" s="86">
        <f ca="1">IFERROR(__xludf.DUMMYFUNCTION("IMPORTRANGE(""https://docs.google.com/spreadsheets/d/1gvTMYAnm7v1yG1BKWFtr0DnaTsq59oW9dwWvFgq6hs0/edit?usp=sharing"",""แพร่!J145"")"),0)</f>
        <v>0</v>
      </c>
      <c r="AA24" s="87">
        <f t="shared" ca="1" si="27"/>
        <v>0</v>
      </c>
      <c r="AB24" s="86">
        <f ca="1">IFERROR(__xludf.DUMMYFUNCTION("IMPORTRANGE(""https://docs.google.com/spreadsheets/d/1gvTMYAnm7v1yG1BKWFtr0DnaTsq59oW9dwWvFgq6hs0/edit?usp=sharing"",""แพร่!I146"")"),3)</f>
        <v>3</v>
      </c>
      <c r="AC24" s="86">
        <f ca="1">IFERROR(__xludf.DUMMYFUNCTION("IMPORTRANGE(""https://docs.google.com/spreadsheets/d/1gvTMYAnm7v1yG1BKWFtr0DnaTsq59oW9dwWvFgq6hs0/edit?usp=sharing"",""แพร่!J146"")"),3)</f>
        <v>3</v>
      </c>
      <c r="AD24" s="87">
        <f t="shared" ca="1" si="28"/>
        <v>100</v>
      </c>
    </row>
    <row r="25" spans="1:30" ht="24" customHeight="1" x14ac:dyDescent="0.2">
      <c r="A25" s="78">
        <v>12</v>
      </c>
      <c r="B25" s="79" t="s">
        <v>47</v>
      </c>
      <c r="C25" s="80">
        <f t="shared" ca="1" si="0"/>
        <v>0</v>
      </c>
      <c r="D25" s="81">
        <f t="shared" ca="1" si="35"/>
        <v>0</v>
      </c>
      <c r="E25" s="82">
        <f ca="1">IFERROR(__xludf.DUMMYFUNCTION("IMPORTRANGE(""https://docs.google.com/spreadsheets/d/1MeEWN-I1oV_STSDYn1IFDPWt_1FKiwhDph83XaGc0o0/edit?usp=sharing"",""งบพรบ!BL25"")"),0)</f>
        <v>0</v>
      </c>
      <c r="F25" s="82">
        <f ca="1">IFERROR(__xludf.DUMMYFUNCTION("IMPORTRANGE(""https://docs.google.com/spreadsheets/d/1MeEWN-I1oV_STSDYn1IFDPWt_1FKiwhDph83XaGc0o0/edit?usp=sharing"",""งบพรบ!BM25"")"),0)</f>
        <v>0</v>
      </c>
      <c r="G25" s="82">
        <f ca="1">IFERROR(__xludf.DUMMYFUNCTION("IMPORTRANGE(""https://docs.google.com/spreadsheets/d/1MeEWN-I1oV_STSDYn1IFDPWt_1FKiwhDph83XaGc0o0/edit?usp=sharing"",""งบพรบ!BN25"")"),0)</f>
        <v>0</v>
      </c>
      <c r="H25" s="82">
        <f ca="1">IFERROR(__xludf.DUMMYFUNCTION("IMPORTRANGE(""https://docs.google.com/spreadsheets/d/1MeEWN-I1oV_STSDYn1IFDPWt_1FKiwhDph83XaGc0o0/edit?usp=sharing"",""งบพรบ!BP25"")"),0)</f>
        <v>0</v>
      </c>
      <c r="I25" s="82">
        <f ca="1">IFERROR(__xludf.DUMMYFUNCTION("IMPORTRANGE(""https://docs.google.com/spreadsheets/d/1MeEWN-I1oV_STSDYn1IFDPWt_1FKiwhDph83XaGc0o0/edit?usp=sharing"",""งบพรบ!BQ25"")"),0)</f>
        <v>0</v>
      </c>
      <c r="J25" s="82">
        <f t="shared" ca="1" si="3"/>
        <v>0</v>
      </c>
      <c r="K25" s="83">
        <f t="shared" ca="1" si="4"/>
        <v>0</v>
      </c>
      <c r="L25" s="82">
        <f ca="1">IFERROR(__xludf.DUMMYFUNCTION("IMPORTRANGE(""https://docs.google.com/spreadsheets/d/1MeEWN-I1oV_STSDYn1IFDPWt_1FKiwhDph83XaGc0o0/edit?usp=sharing"",""งบพรบ!BR25"")"),0)</f>
        <v>0</v>
      </c>
      <c r="M25" s="84">
        <f t="shared" ca="1" si="5"/>
        <v>0</v>
      </c>
      <c r="N25" s="84">
        <f t="shared" ca="1" si="6"/>
        <v>0</v>
      </c>
      <c r="O25" s="85">
        <f ca="1">IFERROR(__xludf.DUMMYFUNCTION("IMPORTRANGE(""https://docs.google.com/spreadsheets/d/1MeEWN-I1oV_STSDYn1IFDPWt_1FKiwhDph83XaGc0o0/edit?usp=sharing"",""งบพรบ!BS25"")"),0)</f>
        <v>0</v>
      </c>
      <c r="P25" s="85">
        <f t="shared" ca="1" si="30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IFERROR(__xludf.DUMMYFUNCTION("IMPORTRANGE(""https://docs.google.com/spreadsheets/d/1Wbcosgy-Xa1xXUArJSOenub6EfZHUSzc_bpJFWwQUf0/edit?usp=sharing"",""แม่ฮ่องสอน!J142"")"),0)</f>
        <v>0</v>
      </c>
      <c r="S25" s="86">
        <f ca="1">IFERROR(__xludf.DUMMYFUNCTION("IMPORTRANGE(""https://docs.google.com/spreadsheets/d/1Wbcosgy-Xa1xXUArJSOenub6EfZHUSzc_bpJFWwQUf0/edit?usp=sharing"",""แม่ฮ่องสอน!I143"")"),0)</f>
        <v>0</v>
      </c>
      <c r="T25" s="86">
        <f ca="1">IFERROR(__xludf.DUMMYFUNCTION("IMPORTRANGE(""https://docs.google.com/spreadsheets/d/1Wbcosgy-Xa1xXUArJSOenub6EfZHUSzc_bpJFWwQUf0/edit?usp=sharing"",""แม่ฮ่องสอน!J143"")"),0)</f>
        <v>0</v>
      </c>
      <c r="U25" s="87">
        <f t="shared" ca="1" si="25"/>
        <v>0</v>
      </c>
      <c r="V25" s="86">
        <f ca="1">IFERROR(__xludf.DUMMYFUNCTION("IMPORTRANGE(""https://docs.google.com/spreadsheets/d/1Wbcosgy-Xa1xXUArJSOenub6EfZHUSzc_bpJFWwQUf0/edit?usp=sharing"",""แม่ฮ่องสอน!I144"")"),0)</f>
        <v>0</v>
      </c>
      <c r="W25" s="86">
        <f ca="1">IFERROR(__xludf.DUMMYFUNCTION("IMPORTRANGE(""https://docs.google.com/spreadsheets/d/1Wbcosgy-Xa1xXUArJSOenub6EfZHUSzc_bpJFWwQUf0/edit?usp=sharing"",""แม่ฮ่องสอน!J144"")"),0)</f>
        <v>0</v>
      </c>
      <c r="X25" s="87">
        <f t="shared" ca="1" si="26"/>
        <v>0</v>
      </c>
      <c r="Y25" s="86">
        <f ca="1">IFERROR(__xludf.DUMMYFUNCTION("IMPORTRANGE(""https://docs.google.com/spreadsheets/d/1Wbcosgy-Xa1xXUArJSOenub6EfZHUSzc_bpJFWwQUf0/edit?usp=sharing"",""แม่ฮ่องสอน!I145"")"),0)</f>
        <v>0</v>
      </c>
      <c r="Z25" s="86">
        <f ca="1">IFERROR(__xludf.DUMMYFUNCTION("IMPORTRANGE(""https://docs.google.com/spreadsheets/d/1Wbcosgy-Xa1xXUArJSOenub6EfZHUSzc_bpJFWwQUf0/edit?usp=sharing"",""แม่ฮ่องสอน!J145"")"),0)</f>
        <v>0</v>
      </c>
      <c r="AA25" s="87">
        <f t="shared" ca="1" si="27"/>
        <v>0</v>
      </c>
      <c r="AB25" s="86">
        <f ca="1">IFERROR(__xludf.DUMMYFUNCTION("IMPORTRANGE(""https://docs.google.com/spreadsheets/d/1Wbcosgy-Xa1xXUArJSOenub6EfZHUSzc_bpJFWwQUf0/edit?usp=sharing"",""แม่ฮ่องสอน!I146"")"),0)</f>
        <v>0</v>
      </c>
      <c r="AC25" s="86">
        <f ca="1">IFERROR(__xludf.DUMMYFUNCTION("IMPORTRANGE(""https://docs.google.com/spreadsheets/d/1Wbcosgy-Xa1xXUArJSOenub6EfZHUSzc_bpJFWwQUf0/edit?usp=sharing"",""แม่ฮ่องสอน!J146"")"),0)</f>
        <v>0</v>
      </c>
      <c r="AD25" s="87">
        <f t="shared" ca="1" si="28"/>
        <v>0</v>
      </c>
    </row>
    <row r="26" spans="1:30" ht="24" customHeight="1" x14ac:dyDescent="0.2">
      <c r="A26" s="78">
        <v>13</v>
      </c>
      <c r="B26" s="79" t="s">
        <v>48</v>
      </c>
      <c r="C26" s="80">
        <f t="shared" ca="1" si="0"/>
        <v>0</v>
      </c>
      <c r="D26" s="81">
        <f t="shared" ca="1" si="35"/>
        <v>0</v>
      </c>
      <c r="E26" s="82">
        <f ca="1">IFERROR(__xludf.DUMMYFUNCTION("IMPORTRANGE(""https://docs.google.com/spreadsheets/d/1MeEWN-I1oV_STSDYn1IFDPWt_1FKiwhDph83XaGc0o0/edit?usp=sharing"",""งบพรบ!BL26"")"),0)</f>
        <v>0</v>
      </c>
      <c r="F26" s="82">
        <f ca="1">IFERROR(__xludf.DUMMYFUNCTION("IMPORTRANGE(""https://docs.google.com/spreadsheets/d/1MeEWN-I1oV_STSDYn1IFDPWt_1FKiwhDph83XaGc0o0/edit?usp=sharing"",""งบพรบ!BM26"")"),0)</f>
        <v>0</v>
      </c>
      <c r="G26" s="82">
        <f ca="1">IFERROR(__xludf.DUMMYFUNCTION("IMPORTRANGE(""https://docs.google.com/spreadsheets/d/1MeEWN-I1oV_STSDYn1IFDPWt_1FKiwhDph83XaGc0o0/edit?usp=sharing"",""งบพรบ!BN26"")"),0)</f>
        <v>0</v>
      </c>
      <c r="H26" s="82">
        <f ca="1">IFERROR(__xludf.DUMMYFUNCTION("IMPORTRANGE(""https://docs.google.com/spreadsheets/d/1MeEWN-I1oV_STSDYn1IFDPWt_1FKiwhDph83XaGc0o0/edit?usp=sharing"",""งบพรบ!BP26"")"),0)</f>
        <v>0</v>
      </c>
      <c r="I26" s="82">
        <f ca="1">IFERROR(__xludf.DUMMYFUNCTION("IMPORTRANGE(""https://docs.google.com/spreadsheets/d/1MeEWN-I1oV_STSDYn1IFDPWt_1FKiwhDph83XaGc0o0/edit?usp=sharing"",""งบพรบ!BQ26"")"),0)</f>
        <v>0</v>
      </c>
      <c r="J26" s="82">
        <f t="shared" ca="1" si="3"/>
        <v>0</v>
      </c>
      <c r="K26" s="83">
        <f t="shared" ca="1" si="4"/>
        <v>0</v>
      </c>
      <c r="L26" s="82">
        <f ca="1">IFERROR(__xludf.DUMMYFUNCTION("IMPORTRANGE(""https://docs.google.com/spreadsheets/d/1MeEWN-I1oV_STSDYn1IFDPWt_1FKiwhDph83XaGc0o0/edit?usp=sharing"",""งบพรบ!BR26"")"),0)</f>
        <v>0</v>
      </c>
      <c r="M26" s="84">
        <f t="shared" ca="1" si="5"/>
        <v>0</v>
      </c>
      <c r="N26" s="84">
        <f t="shared" ca="1" si="6"/>
        <v>0</v>
      </c>
      <c r="O26" s="85">
        <f ca="1">IFERROR(__xludf.DUMMYFUNCTION("IMPORTRANGE(""https://docs.google.com/spreadsheets/d/1MeEWN-I1oV_STSDYn1IFDPWt_1FKiwhDph83XaGc0o0/edit?usp=sharing"",""งบพรบ!BS26"")"),0)</f>
        <v>0</v>
      </c>
      <c r="P26" s="85">
        <f t="shared" ca="1" si="30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IFERROR(__xludf.DUMMYFUNCTION("IMPORTRANGE(""https://docs.google.com/spreadsheets/d/1p7ERhsr0qZeSn-KSOdeHS9r0heI-lHtkcn2OH7hP0jQ/edit?usp=sharing"",""ลำปาง!J142"")"),0)</f>
        <v>0</v>
      </c>
      <c r="S26" s="86">
        <f ca="1">IFERROR(__xludf.DUMMYFUNCTION("IMPORTRANGE(""https://docs.google.com/spreadsheets/d/1p7ERhsr0qZeSn-KSOdeHS9r0heI-lHtkcn2OH7hP0jQ/edit?usp=sharing"",""ลำปาง!I143"")"),0)</f>
        <v>0</v>
      </c>
      <c r="T26" s="86">
        <f ca="1">IFERROR(__xludf.DUMMYFUNCTION("IMPORTRANGE(""https://docs.google.com/spreadsheets/d/1p7ERhsr0qZeSn-KSOdeHS9r0heI-lHtkcn2OH7hP0jQ/edit?usp=sharing"",""ลำปาง!J143"")"),0)</f>
        <v>0</v>
      </c>
      <c r="U26" s="87">
        <f t="shared" ca="1" si="25"/>
        <v>0</v>
      </c>
      <c r="V26" s="86">
        <f ca="1">IFERROR(__xludf.DUMMYFUNCTION("IMPORTRANGE(""https://docs.google.com/spreadsheets/d/1p7ERhsr0qZeSn-KSOdeHS9r0heI-lHtkcn2OH7hP0jQ/edit?usp=sharing"",""ลำปาง!I144"")"),0)</f>
        <v>0</v>
      </c>
      <c r="W26" s="86">
        <f ca="1">IFERROR(__xludf.DUMMYFUNCTION("IMPORTRANGE(""https://docs.google.com/spreadsheets/d/1p7ERhsr0qZeSn-KSOdeHS9r0heI-lHtkcn2OH7hP0jQ/edit?usp=sharing"",""ลำปาง!J144"")"),0)</f>
        <v>0</v>
      </c>
      <c r="X26" s="87">
        <f t="shared" ca="1" si="26"/>
        <v>0</v>
      </c>
      <c r="Y26" s="86">
        <f ca="1">IFERROR(__xludf.DUMMYFUNCTION("IMPORTRANGE(""https://docs.google.com/spreadsheets/d/1p7ERhsr0qZeSn-KSOdeHS9r0heI-lHtkcn2OH7hP0jQ/edit?usp=sharing"",""ลำปาง!I145"")"),0)</f>
        <v>0</v>
      </c>
      <c r="Z26" s="86">
        <f ca="1">IFERROR(__xludf.DUMMYFUNCTION("IMPORTRANGE(""https://docs.google.com/spreadsheets/d/1p7ERhsr0qZeSn-KSOdeHS9r0heI-lHtkcn2OH7hP0jQ/edit?usp=sharing"",""ลำปาง!J145"")"),0)</f>
        <v>0</v>
      </c>
      <c r="AA26" s="87">
        <f t="shared" ca="1" si="27"/>
        <v>0</v>
      </c>
      <c r="AB26" s="86">
        <f ca="1">IFERROR(__xludf.DUMMYFUNCTION("IMPORTRANGE(""https://docs.google.com/spreadsheets/d/1p7ERhsr0qZeSn-KSOdeHS9r0heI-lHtkcn2OH7hP0jQ/edit?usp=sharing"",""ลำปาง!I146"")"),0)</f>
        <v>0</v>
      </c>
      <c r="AC26" s="86">
        <f ca="1">IFERROR(__xludf.DUMMYFUNCTION("IMPORTRANGE(""https://docs.google.com/spreadsheets/d/1p7ERhsr0qZeSn-KSOdeHS9r0heI-lHtkcn2OH7hP0jQ/edit?usp=sharing"",""ลำปาง!J146"")"),0)</f>
        <v>0</v>
      </c>
      <c r="AD26" s="87">
        <f t="shared" ca="1" si="28"/>
        <v>0</v>
      </c>
    </row>
    <row r="27" spans="1:30" ht="24" customHeight="1" x14ac:dyDescent="0.2">
      <c r="A27" s="78">
        <v>14</v>
      </c>
      <c r="B27" s="79" t="s">
        <v>49</v>
      </c>
      <c r="C27" s="80">
        <f t="shared" ca="1" si="0"/>
        <v>0</v>
      </c>
      <c r="D27" s="81">
        <f t="shared" ca="1" si="35"/>
        <v>0</v>
      </c>
      <c r="E27" s="82">
        <f ca="1">IFERROR(__xludf.DUMMYFUNCTION("IMPORTRANGE(""https://docs.google.com/spreadsheets/d/1MeEWN-I1oV_STSDYn1IFDPWt_1FKiwhDph83XaGc0o0/edit?usp=sharing"",""งบพรบ!BL27"")"),0)</f>
        <v>0</v>
      </c>
      <c r="F27" s="82">
        <f ca="1">IFERROR(__xludf.DUMMYFUNCTION("IMPORTRANGE(""https://docs.google.com/spreadsheets/d/1MeEWN-I1oV_STSDYn1IFDPWt_1FKiwhDph83XaGc0o0/edit?usp=sharing"",""งบพรบ!BM27"")"),0)</f>
        <v>0</v>
      </c>
      <c r="G27" s="82">
        <f ca="1">IFERROR(__xludf.DUMMYFUNCTION("IMPORTRANGE(""https://docs.google.com/spreadsheets/d/1MeEWN-I1oV_STSDYn1IFDPWt_1FKiwhDph83XaGc0o0/edit?usp=sharing"",""งบพรบ!BN27"")"),0)</f>
        <v>0</v>
      </c>
      <c r="H27" s="82">
        <f ca="1">IFERROR(__xludf.DUMMYFUNCTION("IMPORTRANGE(""https://docs.google.com/spreadsheets/d/1MeEWN-I1oV_STSDYn1IFDPWt_1FKiwhDph83XaGc0o0/edit?usp=sharing"",""งบพรบ!BP27"")"),0)</f>
        <v>0</v>
      </c>
      <c r="I27" s="82">
        <f ca="1">IFERROR(__xludf.DUMMYFUNCTION("IMPORTRANGE(""https://docs.google.com/spreadsheets/d/1MeEWN-I1oV_STSDYn1IFDPWt_1FKiwhDph83XaGc0o0/edit?usp=sharing"",""งบพรบ!BQ27"")"),0)</f>
        <v>0</v>
      </c>
      <c r="J27" s="82">
        <f t="shared" ca="1" si="3"/>
        <v>0</v>
      </c>
      <c r="K27" s="83">
        <f t="shared" ca="1" si="4"/>
        <v>0</v>
      </c>
      <c r="L27" s="82">
        <f ca="1">IFERROR(__xludf.DUMMYFUNCTION("IMPORTRANGE(""https://docs.google.com/spreadsheets/d/1MeEWN-I1oV_STSDYn1IFDPWt_1FKiwhDph83XaGc0o0/edit?usp=sharing"",""งบพรบ!BR27"")"),0)</f>
        <v>0</v>
      </c>
      <c r="M27" s="84">
        <f t="shared" ca="1" si="5"/>
        <v>0</v>
      </c>
      <c r="N27" s="84">
        <f t="shared" ca="1" si="6"/>
        <v>0</v>
      </c>
      <c r="O27" s="85">
        <f ca="1">IFERROR(__xludf.DUMMYFUNCTION("IMPORTRANGE(""https://docs.google.com/spreadsheets/d/1MeEWN-I1oV_STSDYn1IFDPWt_1FKiwhDph83XaGc0o0/edit?usp=sharing"",""งบพรบ!BS27"")"),0)</f>
        <v>0</v>
      </c>
      <c r="P27" s="85">
        <f t="shared" ca="1" si="30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IFERROR(__xludf.DUMMYFUNCTION("IMPORTRANGE(""https://docs.google.com/spreadsheets/d/1-uUXvimVhiU2U0bMN-xi2te0tS4X7DI2GLPnMjzl8cA/edit?usp=sharing"",""ลำพูน!J142"")"),0)</f>
        <v>0</v>
      </c>
      <c r="S27" s="86">
        <f ca="1">IFERROR(__xludf.DUMMYFUNCTION("IMPORTRANGE(""https://docs.google.com/spreadsheets/d/1-uUXvimVhiU2U0bMN-xi2te0tS4X7DI2GLPnMjzl8cA/edit?usp=sharing"",""ลำพูน!I143"")"),0)</f>
        <v>0</v>
      </c>
      <c r="T27" s="86">
        <f ca="1">IFERROR(__xludf.DUMMYFUNCTION("IMPORTRANGE(""https://docs.google.com/spreadsheets/d/1-uUXvimVhiU2U0bMN-xi2te0tS4X7DI2GLPnMjzl8cA/edit?usp=sharing"",""ลำพูน!J143"")"),0)</f>
        <v>0</v>
      </c>
      <c r="U27" s="87">
        <f t="shared" ca="1" si="25"/>
        <v>0</v>
      </c>
      <c r="V27" s="86">
        <f ca="1">IFERROR(__xludf.DUMMYFUNCTION("IMPORTRANGE(""https://docs.google.com/spreadsheets/d/1-uUXvimVhiU2U0bMN-xi2te0tS4X7DI2GLPnMjzl8cA/edit?usp=sharing"",""ลำพูน!I144"")"),0)</f>
        <v>0</v>
      </c>
      <c r="W27" s="86">
        <f ca="1">IFERROR(__xludf.DUMMYFUNCTION("IMPORTRANGE(""https://docs.google.com/spreadsheets/d/1-uUXvimVhiU2U0bMN-xi2te0tS4X7DI2GLPnMjzl8cA/edit?usp=sharing"",""ลำพูน!J144"")"),0)</f>
        <v>0</v>
      </c>
      <c r="X27" s="87">
        <f t="shared" ca="1" si="26"/>
        <v>0</v>
      </c>
      <c r="Y27" s="86">
        <f ca="1">IFERROR(__xludf.DUMMYFUNCTION("IMPORTRANGE(""https://docs.google.com/spreadsheets/d/1-uUXvimVhiU2U0bMN-xi2te0tS4X7DI2GLPnMjzl8cA/edit?usp=sharing"",""ลำพูน!I145"")"),0)</f>
        <v>0</v>
      </c>
      <c r="Z27" s="86">
        <f ca="1">IFERROR(__xludf.DUMMYFUNCTION("IMPORTRANGE(""https://docs.google.com/spreadsheets/d/1-uUXvimVhiU2U0bMN-xi2te0tS4X7DI2GLPnMjzl8cA/edit?usp=sharing"",""ลำพูน!J145"")"),0)</f>
        <v>0</v>
      </c>
      <c r="AA27" s="87">
        <f t="shared" ca="1" si="27"/>
        <v>0</v>
      </c>
      <c r="AB27" s="86">
        <f ca="1">IFERROR(__xludf.DUMMYFUNCTION("IMPORTRANGE(""https://docs.google.com/spreadsheets/d/1-uUXvimVhiU2U0bMN-xi2te0tS4X7DI2GLPnMjzl8cA/edit?usp=sharing"",""ลำพูน!I146"")"),0)</f>
        <v>0</v>
      </c>
      <c r="AC27" s="86">
        <f ca="1">IFERROR(__xludf.DUMMYFUNCTION("IMPORTRANGE(""https://docs.google.com/spreadsheets/d/1-uUXvimVhiU2U0bMN-xi2te0tS4X7DI2GLPnMjzl8cA/edit?usp=sharing"",""ลำพูน!J146"")"),0)</f>
        <v>0</v>
      </c>
      <c r="AD27" s="87">
        <f t="shared" ca="1" si="28"/>
        <v>0</v>
      </c>
    </row>
    <row r="28" spans="1:30" ht="24" customHeight="1" x14ac:dyDescent="0.2">
      <c r="A28" s="78">
        <v>15</v>
      </c>
      <c r="B28" s="79" t="s">
        <v>50</v>
      </c>
      <c r="C28" s="80">
        <f t="shared" ca="1" si="0"/>
        <v>0</v>
      </c>
      <c r="D28" s="81">
        <f t="shared" ca="1" si="35"/>
        <v>0</v>
      </c>
      <c r="E28" s="82">
        <f ca="1">IFERROR(__xludf.DUMMYFUNCTION("IMPORTRANGE(""https://docs.google.com/spreadsheets/d/1MeEWN-I1oV_STSDYn1IFDPWt_1FKiwhDph83XaGc0o0/edit?usp=sharing"",""งบพรบ!BL28"")"),0)</f>
        <v>0</v>
      </c>
      <c r="F28" s="82">
        <f ca="1">IFERROR(__xludf.DUMMYFUNCTION("IMPORTRANGE(""https://docs.google.com/spreadsheets/d/1MeEWN-I1oV_STSDYn1IFDPWt_1FKiwhDph83XaGc0o0/edit?usp=sharing"",""งบพรบ!BM28"")"),0)</f>
        <v>0</v>
      </c>
      <c r="G28" s="82">
        <f ca="1">IFERROR(__xludf.DUMMYFUNCTION("IMPORTRANGE(""https://docs.google.com/spreadsheets/d/1MeEWN-I1oV_STSDYn1IFDPWt_1FKiwhDph83XaGc0o0/edit?usp=sharing"",""งบพรบ!BN28"")"),0)</f>
        <v>0</v>
      </c>
      <c r="H28" s="82">
        <f ca="1">IFERROR(__xludf.DUMMYFUNCTION("IMPORTRANGE(""https://docs.google.com/spreadsheets/d/1MeEWN-I1oV_STSDYn1IFDPWt_1FKiwhDph83XaGc0o0/edit?usp=sharing"",""งบพรบ!BP28"")"),0)</f>
        <v>0</v>
      </c>
      <c r="I28" s="82">
        <f ca="1">IFERROR(__xludf.DUMMYFUNCTION("IMPORTRANGE(""https://docs.google.com/spreadsheets/d/1MeEWN-I1oV_STSDYn1IFDPWt_1FKiwhDph83XaGc0o0/edit?usp=sharing"",""งบพรบ!BQ28"")"),0)</f>
        <v>0</v>
      </c>
      <c r="J28" s="82">
        <f t="shared" ca="1" si="3"/>
        <v>0</v>
      </c>
      <c r="K28" s="83">
        <f t="shared" ca="1" si="4"/>
        <v>0</v>
      </c>
      <c r="L28" s="82">
        <f ca="1">IFERROR(__xludf.DUMMYFUNCTION("IMPORTRANGE(""https://docs.google.com/spreadsheets/d/1MeEWN-I1oV_STSDYn1IFDPWt_1FKiwhDph83XaGc0o0/edit?usp=sharing"",""งบพรบ!BR28"")"),0)</f>
        <v>0</v>
      </c>
      <c r="M28" s="84">
        <f t="shared" ca="1" si="5"/>
        <v>0</v>
      </c>
      <c r="N28" s="84">
        <f t="shared" ca="1" si="6"/>
        <v>0</v>
      </c>
      <c r="O28" s="85">
        <f ca="1">IFERROR(__xludf.DUMMYFUNCTION("IMPORTRANGE(""https://docs.google.com/spreadsheets/d/1MeEWN-I1oV_STSDYn1IFDPWt_1FKiwhDph83XaGc0o0/edit?usp=sharing"",""งบพรบ!BS28"")"),0)</f>
        <v>0</v>
      </c>
      <c r="P28" s="85">
        <f t="shared" ca="1" si="30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IFERROR(__xludf.DUMMYFUNCTION("IMPORTRANGE(""https://docs.google.com/spreadsheets/d/17HrOaa5pBUI1onckFfumXB8xlg35qb2uBAFfF1D-Myo/edit?usp=sharing"",""สุโขทัย!J142"")"),0)</f>
        <v>0</v>
      </c>
      <c r="S28" s="86">
        <f ca="1">IFERROR(__xludf.DUMMYFUNCTION("IMPORTRANGE(""https://docs.google.com/spreadsheets/d/17HrOaa5pBUI1onckFfumXB8xlg35qb2uBAFfF1D-Myo/edit?usp=sharing"",""สุโขทัย!I143"")"),0)</f>
        <v>0</v>
      </c>
      <c r="T28" s="86">
        <f ca="1">IFERROR(__xludf.DUMMYFUNCTION("IMPORTRANGE(""https://docs.google.com/spreadsheets/d/17HrOaa5pBUI1onckFfumXB8xlg35qb2uBAFfF1D-Myo/edit?usp=sharing"",""สุโขทัย!J143"")"),0)</f>
        <v>0</v>
      </c>
      <c r="U28" s="87">
        <f t="shared" ca="1" si="25"/>
        <v>0</v>
      </c>
      <c r="V28" s="86">
        <f ca="1">IFERROR(__xludf.DUMMYFUNCTION("IMPORTRANGE(""https://docs.google.com/spreadsheets/d/17HrOaa5pBUI1onckFfumXB8xlg35qb2uBAFfF1D-Myo/edit?usp=sharing"",""สุโขทัย!I144"")"),0)</f>
        <v>0</v>
      </c>
      <c r="W28" s="86">
        <f ca="1">IFERROR(__xludf.DUMMYFUNCTION("IMPORTRANGE(""https://docs.google.com/spreadsheets/d/17HrOaa5pBUI1onckFfumXB8xlg35qb2uBAFfF1D-Myo/edit?usp=sharing"",""สุโขทัย!J144"")"),0)</f>
        <v>0</v>
      </c>
      <c r="X28" s="87">
        <f t="shared" ca="1" si="26"/>
        <v>0</v>
      </c>
      <c r="Y28" s="86">
        <f ca="1">IFERROR(__xludf.DUMMYFUNCTION("IMPORTRANGE(""https://docs.google.com/spreadsheets/d/17HrOaa5pBUI1onckFfumXB8xlg35qb2uBAFfF1D-Myo/edit?usp=sharing"",""สุโขทัย!I145"")"),0)</f>
        <v>0</v>
      </c>
      <c r="Z28" s="86">
        <f ca="1">IFERROR(__xludf.DUMMYFUNCTION("IMPORTRANGE(""https://docs.google.com/spreadsheets/d/17HrOaa5pBUI1onckFfumXB8xlg35qb2uBAFfF1D-Myo/edit?usp=sharing"",""สุโขทัย!J145"")"),0)</f>
        <v>0</v>
      </c>
      <c r="AA28" s="87">
        <f t="shared" ca="1" si="27"/>
        <v>0</v>
      </c>
      <c r="AB28" s="86">
        <f ca="1">IFERROR(__xludf.DUMMYFUNCTION("IMPORTRANGE(""https://docs.google.com/spreadsheets/d/17HrOaa5pBUI1onckFfumXB8xlg35qb2uBAFfF1D-Myo/edit?usp=sharing"",""สุโขทัย!I146"")"),0)</f>
        <v>0</v>
      </c>
      <c r="AC28" s="86">
        <f ca="1">IFERROR(__xludf.DUMMYFUNCTION("IMPORTRANGE(""https://docs.google.com/spreadsheets/d/17HrOaa5pBUI1onckFfumXB8xlg35qb2uBAFfF1D-Myo/edit?usp=sharing"",""สุโขทัย!J146"")"),0)</f>
        <v>0</v>
      </c>
      <c r="AD28" s="87">
        <f t="shared" ca="1" si="28"/>
        <v>0</v>
      </c>
    </row>
    <row r="29" spans="1:30" ht="24" customHeight="1" x14ac:dyDescent="0.2">
      <c r="A29" s="78">
        <v>16</v>
      </c>
      <c r="B29" s="79" t="s">
        <v>51</v>
      </c>
      <c r="C29" s="80">
        <f t="shared" ca="1" si="0"/>
        <v>0</v>
      </c>
      <c r="D29" s="81">
        <f t="shared" ca="1" si="35"/>
        <v>0</v>
      </c>
      <c r="E29" s="82">
        <f ca="1">IFERROR(__xludf.DUMMYFUNCTION("IMPORTRANGE(""https://docs.google.com/spreadsheets/d/1MeEWN-I1oV_STSDYn1IFDPWt_1FKiwhDph83XaGc0o0/edit?usp=sharing"",""งบพรบ!BL29"")"),0)</f>
        <v>0</v>
      </c>
      <c r="F29" s="82">
        <f ca="1">IFERROR(__xludf.DUMMYFUNCTION("IMPORTRANGE(""https://docs.google.com/spreadsheets/d/1MeEWN-I1oV_STSDYn1IFDPWt_1FKiwhDph83XaGc0o0/edit?usp=sharing"",""งบพรบ!BM29"")"),0)</f>
        <v>0</v>
      </c>
      <c r="G29" s="82">
        <f ca="1">IFERROR(__xludf.DUMMYFUNCTION("IMPORTRANGE(""https://docs.google.com/spreadsheets/d/1MeEWN-I1oV_STSDYn1IFDPWt_1FKiwhDph83XaGc0o0/edit?usp=sharing"",""งบพรบ!BN29"")"),0)</f>
        <v>0</v>
      </c>
      <c r="H29" s="82">
        <f ca="1">IFERROR(__xludf.DUMMYFUNCTION("IMPORTRANGE(""https://docs.google.com/spreadsheets/d/1MeEWN-I1oV_STSDYn1IFDPWt_1FKiwhDph83XaGc0o0/edit?usp=sharing"",""งบพรบ!BP29"")"),0)</f>
        <v>0</v>
      </c>
      <c r="I29" s="82">
        <f ca="1">IFERROR(__xludf.DUMMYFUNCTION("IMPORTRANGE(""https://docs.google.com/spreadsheets/d/1MeEWN-I1oV_STSDYn1IFDPWt_1FKiwhDph83XaGc0o0/edit?usp=sharing"",""งบพรบ!BQ29"")"),0)</f>
        <v>0</v>
      </c>
      <c r="J29" s="82">
        <f t="shared" ca="1" si="3"/>
        <v>0</v>
      </c>
      <c r="K29" s="83">
        <f t="shared" ca="1" si="4"/>
        <v>0</v>
      </c>
      <c r="L29" s="82">
        <f ca="1">IFERROR(__xludf.DUMMYFUNCTION("IMPORTRANGE(""https://docs.google.com/spreadsheets/d/1MeEWN-I1oV_STSDYn1IFDPWt_1FKiwhDph83XaGc0o0/edit?usp=sharing"",""งบพรบ!BR29"")"),0)</f>
        <v>0</v>
      </c>
      <c r="M29" s="84">
        <f t="shared" ca="1" si="5"/>
        <v>0</v>
      </c>
      <c r="N29" s="84">
        <f t="shared" ca="1" si="6"/>
        <v>0</v>
      </c>
      <c r="O29" s="85">
        <f ca="1">IFERROR(__xludf.DUMMYFUNCTION("IMPORTRANGE(""https://docs.google.com/spreadsheets/d/1MeEWN-I1oV_STSDYn1IFDPWt_1FKiwhDph83XaGc0o0/edit?usp=sharing"",""งบพรบ!BS29"")"),0)</f>
        <v>0</v>
      </c>
      <c r="P29" s="85">
        <f t="shared" ca="1" si="30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IFERROR(__xludf.DUMMYFUNCTION("IMPORTRANGE(""https://docs.google.com/spreadsheets/d/1ubs5cl16eYL9gHbdHTJtmtYb9MGzHBs7CAphn8kNCgM/edit?usp=sharing"",""อุตรดิตถ์!J142"")"),0)</f>
        <v>0</v>
      </c>
      <c r="S29" s="86">
        <f ca="1">IFERROR(__xludf.DUMMYFUNCTION("IMPORTRANGE(""https://docs.google.com/spreadsheets/d/1ubs5cl16eYL9gHbdHTJtmtYb9MGzHBs7CAphn8kNCgM/edit?usp=sharing"",""อุตรดิตถ์!I143"")"),0)</f>
        <v>0</v>
      </c>
      <c r="T29" s="86">
        <f ca="1">IFERROR(__xludf.DUMMYFUNCTION("IMPORTRANGE(""https://docs.google.com/spreadsheets/d/1ubs5cl16eYL9gHbdHTJtmtYb9MGzHBs7CAphn8kNCgM/edit?usp=sharing"",""อุตรดิตถ์!J143"")"),0)</f>
        <v>0</v>
      </c>
      <c r="U29" s="87">
        <f t="shared" ca="1" si="25"/>
        <v>0</v>
      </c>
      <c r="V29" s="86">
        <f ca="1">IFERROR(__xludf.DUMMYFUNCTION("IMPORTRANGE(""https://docs.google.com/spreadsheets/d/1ubs5cl16eYL9gHbdHTJtmtYb9MGzHBs7CAphn8kNCgM/edit?usp=sharing"",""อุตรดิตถ์!I144"")"),0)</f>
        <v>0</v>
      </c>
      <c r="W29" s="86">
        <f ca="1">IFERROR(__xludf.DUMMYFUNCTION("IMPORTRANGE(""https://docs.google.com/spreadsheets/d/1ubs5cl16eYL9gHbdHTJtmtYb9MGzHBs7CAphn8kNCgM/edit?usp=sharing"",""อุตรดิตถ์!J144"")"),0)</f>
        <v>0</v>
      </c>
      <c r="X29" s="87">
        <f t="shared" ca="1" si="26"/>
        <v>0</v>
      </c>
      <c r="Y29" s="86">
        <f ca="1">IFERROR(__xludf.DUMMYFUNCTION("IMPORTRANGE(""https://docs.google.com/spreadsheets/d/1ubs5cl16eYL9gHbdHTJtmtYb9MGzHBs7CAphn8kNCgM/edit?usp=sharing"",""อุตรดิตถ์!I145"")"),0)</f>
        <v>0</v>
      </c>
      <c r="Z29" s="86">
        <f ca="1">IFERROR(__xludf.DUMMYFUNCTION("IMPORTRANGE(""https://docs.google.com/spreadsheets/d/1ubs5cl16eYL9gHbdHTJtmtYb9MGzHBs7CAphn8kNCgM/edit?usp=sharing"",""อุตรดิตถ์!J145"")"),0)</f>
        <v>0</v>
      </c>
      <c r="AA29" s="87">
        <f t="shared" ca="1" si="27"/>
        <v>0</v>
      </c>
      <c r="AB29" s="86">
        <f ca="1">IFERROR(__xludf.DUMMYFUNCTION("IMPORTRANGE(""https://docs.google.com/spreadsheets/d/1ubs5cl16eYL9gHbdHTJtmtYb9MGzHBs7CAphn8kNCgM/edit?usp=sharing"",""อุตรดิตถ์!I146"")"),0)</f>
        <v>0</v>
      </c>
      <c r="AC29" s="86">
        <f ca="1">IFERROR(__xludf.DUMMYFUNCTION("IMPORTRANGE(""https://docs.google.com/spreadsheets/d/1ubs5cl16eYL9gHbdHTJtmtYb9MGzHBs7CAphn8kNCgM/edit?usp=sharing"",""อุตรดิตถ์!J146"")"),0)</f>
        <v>0</v>
      </c>
      <c r="AD29" s="87">
        <f t="shared" ca="1" si="28"/>
        <v>0</v>
      </c>
    </row>
    <row r="30" spans="1:30" ht="24" customHeight="1" x14ac:dyDescent="0.2">
      <c r="A30" s="89">
        <v>17</v>
      </c>
      <c r="B30" s="90" t="s">
        <v>52</v>
      </c>
      <c r="C30" s="91">
        <f t="shared" ca="1" si="0"/>
        <v>151655</v>
      </c>
      <c r="D30" s="92">
        <f t="shared" ca="1" si="35"/>
        <v>48655</v>
      </c>
      <c r="E30" s="93">
        <f ca="1">IFERROR(__xludf.DUMMYFUNCTION("IMPORTRANGE(""https://docs.google.com/spreadsheets/d/1MeEWN-I1oV_STSDYn1IFDPWt_1FKiwhDph83XaGc0o0/edit?usp=sharing"",""งบพรบ!BL30"")"),0)</f>
        <v>0</v>
      </c>
      <c r="F30" s="93">
        <f ca="1">IFERROR(__xludf.DUMMYFUNCTION("IMPORTRANGE(""https://docs.google.com/spreadsheets/d/1MeEWN-I1oV_STSDYn1IFDPWt_1FKiwhDph83XaGc0o0/edit?usp=sharing"",""งบพรบ!BM30"")"),48655)</f>
        <v>48655</v>
      </c>
      <c r="G30" s="93">
        <f ca="1">IFERROR(__xludf.DUMMYFUNCTION("IMPORTRANGE(""https://docs.google.com/spreadsheets/d/1MeEWN-I1oV_STSDYn1IFDPWt_1FKiwhDph83XaGc0o0/edit?usp=sharing"",""งบพรบ!BN30"")"),103000)</f>
        <v>103000</v>
      </c>
      <c r="H30" s="93">
        <f ca="1">IFERROR(__xludf.DUMMYFUNCTION("IMPORTRANGE(""https://docs.google.com/spreadsheets/d/1MeEWN-I1oV_STSDYn1IFDPWt_1FKiwhDph83XaGc0o0/edit?usp=sharing"",""งบพรบ!BP30"")"),30600)</f>
        <v>30600</v>
      </c>
      <c r="I30" s="93">
        <f ca="1">IFERROR(__xludf.DUMMYFUNCTION("IMPORTRANGE(""https://docs.google.com/spreadsheets/d/1MeEWN-I1oV_STSDYn1IFDPWt_1FKiwhDph83XaGc0o0/edit?usp=sharing"",""งบพรบ!BQ30"")"),103000)</f>
        <v>103000</v>
      </c>
      <c r="J30" s="93">
        <f t="shared" ca="1" si="3"/>
        <v>111095</v>
      </c>
      <c r="K30" s="94">
        <f t="shared" ca="1" si="4"/>
        <v>73.255085556031787</v>
      </c>
      <c r="L30" s="93">
        <f ca="1">IFERROR(__xludf.DUMMYFUNCTION("IMPORTRANGE(""https://docs.google.com/spreadsheets/d/1MeEWN-I1oV_STSDYn1IFDPWt_1FKiwhDph83XaGc0o0/edit?usp=sharing"",""งบพรบ!BR30"")"),8095)</f>
        <v>8095</v>
      </c>
      <c r="M30" s="95">
        <f t="shared" ca="1" si="5"/>
        <v>16.637550097626143</v>
      </c>
      <c r="N30" s="95">
        <f t="shared" ca="1" si="6"/>
        <v>26.454248366013072</v>
      </c>
      <c r="O30" s="96">
        <f ca="1">IFERROR(__xludf.DUMMYFUNCTION("IMPORTRANGE(""https://docs.google.com/spreadsheets/d/1MeEWN-I1oV_STSDYn1IFDPWt_1FKiwhDph83XaGc0o0/edit?usp=sharing"",""งบพรบ!BS30"")"),103000)</f>
        <v>103000</v>
      </c>
      <c r="P30" s="96">
        <f t="shared" ca="1" si="30"/>
        <v>100</v>
      </c>
      <c r="Q30" s="95">
        <f t="shared" ca="1" si="8"/>
        <v>100</v>
      </c>
      <c r="R30" s="97">
        <f ca="1">IFERROR(__xludf.DUMMYFUNCTION("IMPORTRANGE(""https://docs.google.com/spreadsheets/d/1kII0BjS6CtVrBvI8IrytgPdxDrlyQDyigzMsohRtDMs/edit?usp=sharing"",""อุทัยธานี!J142"")"),0)</f>
        <v>0</v>
      </c>
      <c r="S30" s="97">
        <f ca="1">IFERROR(__xludf.DUMMYFUNCTION("IMPORTRANGE(""https://docs.google.com/spreadsheets/d/1kII0BjS6CtVrBvI8IrytgPdxDrlyQDyigzMsohRtDMs/edit?usp=sharing"",""อุทัยธานี!I143"")"),10)</f>
        <v>10</v>
      </c>
      <c r="T30" s="97">
        <f ca="1">IFERROR(__xludf.DUMMYFUNCTION("IMPORTRANGE(""https://docs.google.com/spreadsheets/d/1kII0BjS6CtVrBvI8IrytgPdxDrlyQDyigzMsohRtDMs/edit?usp=sharing"",""อุทัยธานี!J143"")"),0)</f>
        <v>0</v>
      </c>
      <c r="U30" s="98">
        <f t="shared" ca="1" si="25"/>
        <v>0</v>
      </c>
      <c r="V30" s="97">
        <f ca="1">IFERROR(__xludf.DUMMYFUNCTION("IMPORTRANGE(""https://docs.google.com/spreadsheets/d/1kII0BjS6CtVrBvI8IrytgPdxDrlyQDyigzMsohRtDMs/edit?usp=sharing"",""อุทัยธานี!I144"")"),5)</f>
        <v>5</v>
      </c>
      <c r="W30" s="97">
        <f ca="1">IFERROR(__xludf.DUMMYFUNCTION("IMPORTRANGE(""https://docs.google.com/spreadsheets/d/1kII0BjS6CtVrBvI8IrytgPdxDrlyQDyigzMsohRtDMs/edit?usp=sharing"",""อุทัยธานี!J144"")"),0)</f>
        <v>0</v>
      </c>
      <c r="X30" s="98">
        <f t="shared" ca="1" si="26"/>
        <v>0</v>
      </c>
      <c r="Y30" s="97">
        <f ca="1">IFERROR(__xludf.DUMMYFUNCTION("IMPORTRANGE(""https://docs.google.com/spreadsheets/d/1kII0BjS6CtVrBvI8IrytgPdxDrlyQDyigzMsohRtDMs/edit?usp=sharing"",""อุทัยธานี!I145"")"),10)</f>
        <v>10</v>
      </c>
      <c r="Z30" s="97">
        <f ca="1">IFERROR(__xludf.DUMMYFUNCTION("IMPORTRANGE(""https://docs.google.com/spreadsheets/d/1kII0BjS6CtVrBvI8IrytgPdxDrlyQDyigzMsohRtDMs/edit?usp=sharing"",""อุทัยธานี!J145"")"),0)</f>
        <v>0</v>
      </c>
      <c r="AA30" s="98">
        <f t="shared" ca="1" si="27"/>
        <v>0</v>
      </c>
      <c r="AB30" s="97">
        <f ca="1">IFERROR(__xludf.DUMMYFUNCTION("IMPORTRANGE(""https://docs.google.com/spreadsheets/d/1kII0BjS6CtVrBvI8IrytgPdxDrlyQDyigzMsohRtDMs/edit?usp=sharing"",""อุทัยธานี!I146"")"),1)</f>
        <v>1</v>
      </c>
      <c r="AC30" s="97">
        <f ca="1">IFERROR(__xludf.DUMMYFUNCTION("IMPORTRANGE(""https://docs.google.com/spreadsheets/d/1kII0BjS6CtVrBvI8IrytgPdxDrlyQDyigzMsohRtDMs/edit?usp=sharing"",""อุทัยธานี!J146"")"),0)</f>
        <v>0</v>
      </c>
      <c r="AD30" s="98">
        <f t="shared" ca="1" si="28"/>
        <v>0</v>
      </c>
    </row>
    <row r="31" spans="1:30" ht="21" customHeight="1" x14ac:dyDescent="0.2">
      <c r="A31" s="378" t="s">
        <v>53</v>
      </c>
      <c r="B31" s="379"/>
      <c r="C31" s="99">
        <f t="shared" ca="1" si="0"/>
        <v>2460570</v>
      </c>
      <c r="D31" s="62">
        <f t="shared" ref="D31:I31" ca="1" si="36">SUM(D32:D51)</f>
        <v>1018570</v>
      </c>
      <c r="E31" s="62">
        <f t="shared" ca="1" si="36"/>
        <v>337400</v>
      </c>
      <c r="F31" s="62">
        <f t="shared" ca="1" si="36"/>
        <v>681170</v>
      </c>
      <c r="G31" s="62">
        <f t="shared" ca="1" si="36"/>
        <v>1442000</v>
      </c>
      <c r="H31" s="62">
        <f t="shared" ca="1" si="36"/>
        <v>681450</v>
      </c>
      <c r="I31" s="62">
        <f t="shared" ca="1" si="36"/>
        <v>1442000</v>
      </c>
      <c r="J31" s="62">
        <f t="shared" ca="1" si="3"/>
        <v>1909383</v>
      </c>
      <c r="K31" s="100">
        <f t="shared" ca="1" si="4"/>
        <v>77.599214816079197</v>
      </c>
      <c r="L31" s="62">
        <f ca="1">SUM(L32:L51)</f>
        <v>467883</v>
      </c>
      <c r="M31" s="101">
        <f t="shared" ca="1" si="5"/>
        <v>45.935281816664542</v>
      </c>
      <c r="N31" s="101">
        <f t="shared" ca="1" si="6"/>
        <v>68.659916354831608</v>
      </c>
      <c r="O31" s="102">
        <f ca="1">SUM(O32:O51)</f>
        <v>1441500</v>
      </c>
      <c r="P31" s="102">
        <f t="shared" ca="1" si="30"/>
        <v>99.965325936199719</v>
      </c>
      <c r="Q31" s="101">
        <f t="shared" ca="1" si="8"/>
        <v>99.965325936199719</v>
      </c>
      <c r="R31" s="62">
        <f t="shared" ref="R31:T31" ca="1" si="37">SUM(R32:R51)</f>
        <v>50</v>
      </c>
      <c r="S31" s="62">
        <f t="shared" ca="1" si="37"/>
        <v>140</v>
      </c>
      <c r="T31" s="62">
        <f t="shared" ca="1" si="37"/>
        <v>60</v>
      </c>
      <c r="U31" s="101">
        <f t="shared" ca="1" si="25"/>
        <v>42.857142857142854</v>
      </c>
      <c r="V31" s="62">
        <f t="shared" ref="V31:W31" ca="1" si="38">SUM(V32:V51)</f>
        <v>70</v>
      </c>
      <c r="W31" s="62">
        <f t="shared" ca="1" si="38"/>
        <v>70</v>
      </c>
      <c r="X31" s="101">
        <f t="shared" ca="1" si="26"/>
        <v>100</v>
      </c>
      <c r="Y31" s="62">
        <f t="shared" ref="Y31:Z31" ca="1" si="39">SUM(Y32:Y51)</f>
        <v>140</v>
      </c>
      <c r="Z31" s="62">
        <f t="shared" ca="1" si="39"/>
        <v>80</v>
      </c>
      <c r="AA31" s="101">
        <f t="shared" ca="1" si="27"/>
        <v>57.142857142857146</v>
      </c>
      <c r="AB31" s="62">
        <f t="shared" ref="AB31:AC31" ca="1" si="40">SUM(AB32:AB51)</f>
        <v>14</v>
      </c>
      <c r="AC31" s="62">
        <f t="shared" ca="1" si="40"/>
        <v>10</v>
      </c>
      <c r="AD31" s="101">
        <f t="shared" ca="1" si="28"/>
        <v>71.428571428571431</v>
      </c>
    </row>
    <row r="32" spans="1:30" ht="21" customHeight="1" x14ac:dyDescent="0.2">
      <c r="A32" s="68">
        <v>1</v>
      </c>
      <c r="B32" s="69" t="s">
        <v>54</v>
      </c>
      <c r="C32" s="103">
        <f t="shared" ca="1" si="0"/>
        <v>0</v>
      </c>
      <c r="D32" s="71">
        <f t="shared" ref="D32:D51" ca="1" si="41">+E32+F32</f>
        <v>0</v>
      </c>
      <c r="E32" s="72">
        <f ca="1">IFERROR(__xludf.DUMMYFUNCTION("IMPORTRANGE(""https://docs.google.com/spreadsheets/d/1MeEWN-I1oV_STSDYn1IFDPWt_1FKiwhDph83XaGc0o0/edit?usp=sharing"",""งบพรบ!BL32"")"),0)</f>
        <v>0</v>
      </c>
      <c r="F32" s="72">
        <f ca="1">IFERROR(__xludf.DUMMYFUNCTION("IMPORTRANGE(""https://docs.google.com/spreadsheets/d/1MeEWN-I1oV_STSDYn1IFDPWt_1FKiwhDph83XaGc0o0/edit?usp=sharing"",""งบพรบ!BM32"")"),0)</f>
        <v>0</v>
      </c>
      <c r="G32" s="73">
        <f ca="1">IFERROR(__xludf.DUMMYFUNCTION("IMPORTRANGE(""https://docs.google.com/spreadsheets/d/1MeEWN-I1oV_STSDYn1IFDPWt_1FKiwhDph83XaGc0o0/edit?usp=sharing"",""งบพรบ!BN32"")"),0)</f>
        <v>0</v>
      </c>
      <c r="H32" s="73">
        <f ca="1">IFERROR(__xludf.DUMMYFUNCTION("IMPORTRANGE(""https://docs.google.com/spreadsheets/d/1MeEWN-I1oV_STSDYn1IFDPWt_1FKiwhDph83XaGc0o0/edit?usp=sharing"",""งบพรบ!BP32"")"),0)</f>
        <v>0</v>
      </c>
      <c r="I32" s="73">
        <f ca="1">IFERROR(__xludf.DUMMYFUNCTION("IMPORTRANGE(""https://docs.google.com/spreadsheets/d/1MeEWN-I1oV_STSDYn1IFDPWt_1FKiwhDph83XaGc0o0/edit?usp=sharing"",""งบพรบ!BQ32"")"),0)</f>
        <v>0</v>
      </c>
      <c r="J32" s="73">
        <f t="shared" ca="1" si="3"/>
        <v>0</v>
      </c>
      <c r="K32" s="74">
        <f t="shared" ca="1" si="4"/>
        <v>0</v>
      </c>
      <c r="L32" s="73">
        <f ca="1">IFERROR(__xludf.DUMMYFUNCTION("IMPORTRANGE(""https://docs.google.com/spreadsheets/d/1MeEWN-I1oV_STSDYn1IFDPWt_1FKiwhDph83XaGc0o0/edit?usp=sharing"",""งบพรบ!BR32"")"),0)</f>
        <v>0</v>
      </c>
      <c r="M32" s="75">
        <f t="shared" ca="1" si="5"/>
        <v>0</v>
      </c>
      <c r="N32" s="75">
        <f t="shared" ca="1" si="6"/>
        <v>0</v>
      </c>
      <c r="O32" s="76">
        <f ca="1">IFERROR(__xludf.DUMMYFUNCTION("IMPORTRANGE(""https://docs.google.com/spreadsheets/d/1MeEWN-I1oV_STSDYn1IFDPWt_1FKiwhDph83XaGc0o0/edit?usp=sharing"",""งบพรบ!BS32"")"),0)</f>
        <v>0</v>
      </c>
      <c r="P32" s="76">
        <f t="shared" ca="1" si="30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IFERROR(__xludf.DUMMYFUNCTION("IMPORTRANGE(""https://docs.google.com/spreadsheets/d/1fb2B9NLcpJgjIieIJvenUTNPn0TimZDUi0OtYeiSQ_s/edit?usp=sharing"",""กาฬสินธุ์!J142"")"),0)</f>
        <v>0</v>
      </c>
      <c r="S32" s="73">
        <f ca="1">IFERROR(__xludf.DUMMYFUNCTION("IMPORTRANGE(""https://docs.google.com/spreadsheets/d/1fb2B9NLcpJgjIieIJvenUTNPn0TimZDUi0OtYeiSQ_s/edit?usp=sharing"",""กาฬสินธุ์!I143"")"),0)</f>
        <v>0</v>
      </c>
      <c r="T32" s="73">
        <f ca="1">IFERROR(__xludf.DUMMYFUNCTION("IMPORTRANGE(""https://docs.google.com/spreadsheets/d/1fb2B9NLcpJgjIieIJvenUTNPn0TimZDUi0OtYeiSQ_s/edit?usp=sharing"",""กาฬสินธุ์!J143"")"),0)</f>
        <v>0</v>
      </c>
      <c r="U32" s="77">
        <f t="shared" ca="1" si="25"/>
        <v>0</v>
      </c>
      <c r="V32" s="73">
        <f ca="1">IFERROR(__xludf.DUMMYFUNCTION("IMPORTRANGE(""https://docs.google.com/spreadsheets/d/1fb2B9NLcpJgjIieIJvenUTNPn0TimZDUi0OtYeiSQ_s/edit?usp=sharing"",""กาฬสินธุ์!I144"")"),0)</f>
        <v>0</v>
      </c>
      <c r="W32" s="73">
        <f ca="1">IFERROR(__xludf.DUMMYFUNCTION("IMPORTRANGE(""https://docs.google.com/spreadsheets/d/1fb2B9NLcpJgjIieIJvenUTNPn0TimZDUi0OtYeiSQ_s/edit?usp=sharing"",""กาฬสินธุ์!J144"")"),0)</f>
        <v>0</v>
      </c>
      <c r="X32" s="77">
        <f t="shared" ca="1" si="26"/>
        <v>0</v>
      </c>
      <c r="Y32" s="73">
        <f ca="1">IFERROR(__xludf.DUMMYFUNCTION("IMPORTRANGE(""https://docs.google.com/spreadsheets/d/1fb2B9NLcpJgjIieIJvenUTNPn0TimZDUi0OtYeiSQ_s/edit?usp=sharing"",""กาฬสินธุ์!I145"")"),0)</f>
        <v>0</v>
      </c>
      <c r="Z32" s="73">
        <f ca="1">IFERROR(__xludf.DUMMYFUNCTION("IMPORTRANGE(""https://docs.google.com/spreadsheets/d/1fb2B9NLcpJgjIieIJvenUTNPn0TimZDUi0OtYeiSQ_s/edit?usp=sharing"",""กาฬสินธุ์!J145"")"),0)</f>
        <v>0</v>
      </c>
      <c r="AA32" s="77">
        <f t="shared" ca="1" si="27"/>
        <v>0</v>
      </c>
      <c r="AB32" s="73">
        <f ca="1">IFERROR(__xludf.DUMMYFUNCTION("IMPORTRANGE(""https://docs.google.com/spreadsheets/d/1fb2B9NLcpJgjIieIJvenUTNPn0TimZDUi0OtYeiSQ_s/edit?usp=sharing"",""กาฬสินธุ์!I146"")"),0)</f>
        <v>0</v>
      </c>
      <c r="AC32" s="73">
        <f ca="1">IFERROR(__xludf.DUMMYFUNCTION("IMPORTRANGE(""https://docs.google.com/spreadsheets/d/1fb2B9NLcpJgjIieIJvenUTNPn0TimZDUi0OtYeiSQ_s/edit?usp=sharing"",""กาฬสินธุ์!J146"")"),0)</f>
        <v>0</v>
      </c>
      <c r="AD32" s="77">
        <f t="shared" ca="1" si="28"/>
        <v>0</v>
      </c>
    </row>
    <row r="33" spans="1:30" ht="21" customHeight="1" x14ac:dyDescent="0.2">
      <c r="A33" s="78">
        <v>2</v>
      </c>
      <c r="B33" s="79" t="s">
        <v>55</v>
      </c>
      <c r="C33" s="80">
        <f t="shared" ca="1" si="0"/>
        <v>0</v>
      </c>
      <c r="D33" s="81">
        <f t="shared" ca="1" si="41"/>
        <v>0</v>
      </c>
      <c r="E33" s="82">
        <f ca="1">IFERROR(__xludf.DUMMYFUNCTION("IMPORTRANGE(""https://docs.google.com/spreadsheets/d/1MeEWN-I1oV_STSDYn1IFDPWt_1FKiwhDph83XaGc0o0/edit?usp=sharing"",""งบพรบ!BL33"")"),0)</f>
        <v>0</v>
      </c>
      <c r="F33" s="82">
        <f ca="1">IFERROR(__xludf.DUMMYFUNCTION("IMPORTRANGE(""https://docs.google.com/spreadsheets/d/1MeEWN-I1oV_STSDYn1IFDPWt_1FKiwhDph83XaGc0o0/edit?usp=sharing"",""งบพรบ!BM33"")"),0)</f>
        <v>0</v>
      </c>
      <c r="G33" s="82">
        <f ca="1">IFERROR(__xludf.DUMMYFUNCTION("IMPORTRANGE(""https://docs.google.com/spreadsheets/d/1MeEWN-I1oV_STSDYn1IFDPWt_1FKiwhDph83XaGc0o0/edit?usp=sharing"",""งบพรบ!BN33"")"),0)</f>
        <v>0</v>
      </c>
      <c r="H33" s="82">
        <f ca="1">IFERROR(__xludf.DUMMYFUNCTION("IMPORTRANGE(""https://docs.google.com/spreadsheets/d/1MeEWN-I1oV_STSDYn1IFDPWt_1FKiwhDph83XaGc0o0/edit?usp=sharing"",""งบพรบ!BP33"")"),0)</f>
        <v>0</v>
      </c>
      <c r="I33" s="82">
        <f ca="1">IFERROR(__xludf.DUMMYFUNCTION("IMPORTRANGE(""https://docs.google.com/spreadsheets/d/1MeEWN-I1oV_STSDYn1IFDPWt_1FKiwhDph83XaGc0o0/edit?usp=sharing"",""งบพรบ!BQ33"")"),0)</f>
        <v>0</v>
      </c>
      <c r="J33" s="82">
        <f t="shared" ca="1" si="3"/>
        <v>0</v>
      </c>
      <c r="K33" s="83">
        <f t="shared" ca="1" si="4"/>
        <v>0</v>
      </c>
      <c r="L33" s="82">
        <f ca="1">IFERROR(__xludf.DUMMYFUNCTION("IMPORTRANGE(""https://docs.google.com/spreadsheets/d/1MeEWN-I1oV_STSDYn1IFDPWt_1FKiwhDph83XaGc0o0/edit?usp=sharing"",""งบพรบ!BR33"")"),0)</f>
        <v>0</v>
      </c>
      <c r="M33" s="84">
        <f t="shared" ca="1" si="5"/>
        <v>0</v>
      </c>
      <c r="N33" s="84">
        <f t="shared" ca="1" si="6"/>
        <v>0</v>
      </c>
      <c r="O33" s="85">
        <f ca="1">IFERROR(__xludf.DUMMYFUNCTION("IMPORTRANGE(""https://docs.google.com/spreadsheets/d/1MeEWN-I1oV_STSDYn1IFDPWt_1FKiwhDph83XaGc0o0/edit?usp=sharing"",""งบพรบ!BS33"")"),0)</f>
        <v>0</v>
      </c>
      <c r="P33" s="85">
        <f t="shared" ca="1" si="30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IFERROR(__xludf.DUMMYFUNCTION("IMPORTRANGE(""https://docs.google.com/spreadsheets/d/1SaMnqrwRGmFYNR0MhpWmHuL5niYUd5E7vDq8X7whAlI/edit?usp=sharing"",""ขอนแก่น!J142"")"),0)</f>
        <v>0</v>
      </c>
      <c r="S33" s="86">
        <f ca="1">IFERROR(__xludf.DUMMYFUNCTION("IMPORTRANGE(""https://docs.google.com/spreadsheets/d/1SaMnqrwRGmFYNR0MhpWmHuL5niYUd5E7vDq8X7whAlI/edit?usp=sharing"",""ขอนแก่น!I143"")"),0)</f>
        <v>0</v>
      </c>
      <c r="T33" s="86">
        <f ca="1">IFERROR(__xludf.DUMMYFUNCTION("IMPORTRANGE(""https://docs.google.com/spreadsheets/d/1SaMnqrwRGmFYNR0MhpWmHuL5niYUd5E7vDq8X7whAlI/edit?usp=sharing"",""ขอนแก่น!J143"")"),0)</f>
        <v>0</v>
      </c>
      <c r="U33" s="87">
        <f t="shared" ca="1" si="25"/>
        <v>0</v>
      </c>
      <c r="V33" s="86">
        <f ca="1">IFERROR(__xludf.DUMMYFUNCTION("IMPORTRANGE(""https://docs.google.com/spreadsheets/d/1SaMnqrwRGmFYNR0MhpWmHuL5niYUd5E7vDq8X7whAlI/edit?usp=sharing"",""ขอนแก่น!I144"")"),0)</f>
        <v>0</v>
      </c>
      <c r="W33" s="86">
        <f ca="1">IFERROR(__xludf.DUMMYFUNCTION("IMPORTRANGE(""https://docs.google.com/spreadsheets/d/1SaMnqrwRGmFYNR0MhpWmHuL5niYUd5E7vDq8X7whAlI/edit?usp=sharing"",""ขอนแก่น!J144"")"),0)</f>
        <v>0</v>
      </c>
      <c r="X33" s="87">
        <f t="shared" ca="1" si="26"/>
        <v>0</v>
      </c>
      <c r="Y33" s="86">
        <f ca="1">IFERROR(__xludf.DUMMYFUNCTION("IMPORTRANGE(""https://docs.google.com/spreadsheets/d/1SaMnqrwRGmFYNR0MhpWmHuL5niYUd5E7vDq8X7whAlI/edit?usp=sharing"",""ขอนแก่น!I145"")"),0)</f>
        <v>0</v>
      </c>
      <c r="Z33" s="86">
        <f ca="1">IFERROR(__xludf.DUMMYFUNCTION("IMPORTRANGE(""https://docs.google.com/spreadsheets/d/1SaMnqrwRGmFYNR0MhpWmHuL5niYUd5E7vDq8X7whAlI/edit?usp=sharing"",""ขอนแก่น!J145"")"),0)</f>
        <v>0</v>
      </c>
      <c r="AA33" s="87">
        <f t="shared" ca="1" si="27"/>
        <v>0</v>
      </c>
      <c r="AB33" s="86">
        <f ca="1">IFERROR(__xludf.DUMMYFUNCTION("IMPORTRANGE(""https://docs.google.com/spreadsheets/d/1SaMnqrwRGmFYNR0MhpWmHuL5niYUd5E7vDq8X7whAlI/edit?usp=sharing"",""ขอนแก่น!I146"")"),0)</f>
        <v>0</v>
      </c>
      <c r="AC33" s="86">
        <f ca="1">IFERROR(__xludf.DUMMYFUNCTION("IMPORTRANGE(""https://docs.google.com/spreadsheets/d/1SaMnqrwRGmFYNR0MhpWmHuL5niYUd5E7vDq8X7whAlI/edit?usp=sharing"",""ขอนแก่น!J146"")"),0)</f>
        <v>0</v>
      </c>
      <c r="AD33" s="87">
        <f t="shared" ca="1" si="28"/>
        <v>0</v>
      </c>
    </row>
    <row r="34" spans="1:30" ht="21" customHeight="1" x14ac:dyDescent="0.2">
      <c r="A34" s="78">
        <v>3</v>
      </c>
      <c r="B34" s="79" t="s">
        <v>56</v>
      </c>
      <c r="C34" s="80">
        <f t="shared" ca="1" si="0"/>
        <v>0</v>
      </c>
      <c r="D34" s="81">
        <f t="shared" ca="1" si="41"/>
        <v>0</v>
      </c>
      <c r="E34" s="82">
        <f ca="1">IFERROR(__xludf.DUMMYFUNCTION("IMPORTRANGE(""https://docs.google.com/spreadsheets/d/1MeEWN-I1oV_STSDYn1IFDPWt_1FKiwhDph83XaGc0o0/edit?usp=sharing"",""งบพรบ!BL34"")"),0)</f>
        <v>0</v>
      </c>
      <c r="F34" s="82">
        <f ca="1">IFERROR(__xludf.DUMMYFUNCTION("IMPORTRANGE(""https://docs.google.com/spreadsheets/d/1MeEWN-I1oV_STSDYn1IFDPWt_1FKiwhDph83XaGc0o0/edit?usp=sharing"",""งบพรบ!BM34"")"),0)</f>
        <v>0</v>
      </c>
      <c r="G34" s="82">
        <f ca="1">IFERROR(__xludf.DUMMYFUNCTION("IMPORTRANGE(""https://docs.google.com/spreadsheets/d/1MeEWN-I1oV_STSDYn1IFDPWt_1FKiwhDph83XaGc0o0/edit?usp=sharing"",""งบพรบ!BN34"")"),0)</f>
        <v>0</v>
      </c>
      <c r="H34" s="82">
        <f ca="1">IFERROR(__xludf.DUMMYFUNCTION("IMPORTRANGE(""https://docs.google.com/spreadsheets/d/1MeEWN-I1oV_STSDYn1IFDPWt_1FKiwhDph83XaGc0o0/edit?usp=sharing"",""งบพรบ!BP34"")"),0)</f>
        <v>0</v>
      </c>
      <c r="I34" s="82">
        <f ca="1">IFERROR(__xludf.DUMMYFUNCTION("IMPORTRANGE(""https://docs.google.com/spreadsheets/d/1MeEWN-I1oV_STSDYn1IFDPWt_1FKiwhDph83XaGc0o0/edit?usp=sharing"",""งบพรบ!BQ34"")"),0)</f>
        <v>0</v>
      </c>
      <c r="J34" s="82">
        <f t="shared" ca="1" si="3"/>
        <v>0</v>
      </c>
      <c r="K34" s="83">
        <f t="shared" ca="1" si="4"/>
        <v>0</v>
      </c>
      <c r="L34" s="82">
        <f ca="1">IFERROR(__xludf.DUMMYFUNCTION("IMPORTRANGE(""https://docs.google.com/spreadsheets/d/1MeEWN-I1oV_STSDYn1IFDPWt_1FKiwhDph83XaGc0o0/edit?usp=sharing"",""งบพรบ!BR34"")"),0)</f>
        <v>0</v>
      </c>
      <c r="M34" s="84">
        <f t="shared" ca="1" si="5"/>
        <v>0</v>
      </c>
      <c r="N34" s="84">
        <f t="shared" ca="1" si="6"/>
        <v>0</v>
      </c>
      <c r="O34" s="85">
        <f ca="1">IFERROR(__xludf.DUMMYFUNCTION("IMPORTRANGE(""https://docs.google.com/spreadsheets/d/1MeEWN-I1oV_STSDYn1IFDPWt_1FKiwhDph83XaGc0o0/edit?usp=sharing"",""งบพรบ!BS34"")"),0)</f>
        <v>0</v>
      </c>
      <c r="P34" s="85">
        <f t="shared" ca="1" si="30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IFERROR(__xludf.DUMMYFUNCTION("IMPORTRANGE(""https://docs.google.com/spreadsheets/d/1xQzEtGHhTTgxHh6YUkKY1P4dRyjVhS74dGswLfAASA4/edit?usp=sharing"",""ชัยภูมิ!J142"")"),0)</f>
        <v>0</v>
      </c>
      <c r="S34" s="86">
        <f ca="1">IFERROR(__xludf.DUMMYFUNCTION("IMPORTRANGE(""https://docs.google.com/spreadsheets/d/1xQzEtGHhTTgxHh6YUkKY1P4dRyjVhS74dGswLfAASA4/edit?usp=sharing"",""ชัยภูมิ!I143"")"),0)</f>
        <v>0</v>
      </c>
      <c r="T34" s="86">
        <f ca="1">IFERROR(__xludf.DUMMYFUNCTION("IMPORTRANGE(""https://docs.google.com/spreadsheets/d/1xQzEtGHhTTgxHh6YUkKY1P4dRyjVhS74dGswLfAASA4/edit?usp=sharing"",""ชัยภูมิ!J143"")"),0)</f>
        <v>0</v>
      </c>
      <c r="U34" s="87">
        <f t="shared" ca="1" si="25"/>
        <v>0</v>
      </c>
      <c r="V34" s="86">
        <f ca="1">IFERROR(__xludf.DUMMYFUNCTION("IMPORTRANGE(""https://docs.google.com/spreadsheets/d/1xQzEtGHhTTgxHh6YUkKY1P4dRyjVhS74dGswLfAASA4/edit?usp=sharing"",""ชัยภูมิ!I144"")"),0)</f>
        <v>0</v>
      </c>
      <c r="W34" s="86">
        <f ca="1">IFERROR(__xludf.DUMMYFUNCTION("IMPORTRANGE(""https://docs.google.com/spreadsheets/d/1xQzEtGHhTTgxHh6YUkKY1P4dRyjVhS74dGswLfAASA4/edit?usp=sharing"",""ชัยภูมิ!J144"")"),0)</f>
        <v>0</v>
      </c>
      <c r="X34" s="87">
        <f t="shared" ca="1" si="26"/>
        <v>0</v>
      </c>
      <c r="Y34" s="86">
        <f ca="1">IFERROR(__xludf.DUMMYFUNCTION("IMPORTRANGE(""https://docs.google.com/spreadsheets/d/1xQzEtGHhTTgxHh6YUkKY1P4dRyjVhS74dGswLfAASA4/edit?usp=sharing"",""ชัยภูมิ!I145"")"),0)</f>
        <v>0</v>
      </c>
      <c r="Z34" s="86">
        <f ca="1">IFERROR(__xludf.DUMMYFUNCTION("IMPORTRANGE(""https://docs.google.com/spreadsheets/d/1xQzEtGHhTTgxHh6YUkKY1P4dRyjVhS74dGswLfAASA4/edit?usp=sharing"",""ชัยภูมิ!J145"")"),0)</f>
        <v>0</v>
      </c>
      <c r="AA34" s="87">
        <f t="shared" ca="1" si="27"/>
        <v>0</v>
      </c>
      <c r="AB34" s="86">
        <f ca="1">IFERROR(__xludf.DUMMYFUNCTION("IMPORTRANGE(""https://docs.google.com/spreadsheets/d/1xQzEtGHhTTgxHh6YUkKY1P4dRyjVhS74dGswLfAASA4/edit?usp=sharing"",""ชัยภูมิ!I146"")"),0)</f>
        <v>0</v>
      </c>
      <c r="AC34" s="86">
        <f ca="1">IFERROR(__xludf.DUMMYFUNCTION("IMPORTRANGE(""https://docs.google.com/spreadsheets/d/1xQzEtGHhTTgxHh6YUkKY1P4dRyjVhS74dGswLfAASA4/edit?usp=sharing"",""ชัยภูมิ!J146"")"),0)</f>
        <v>0</v>
      </c>
      <c r="AD34" s="87">
        <f t="shared" ca="1" si="28"/>
        <v>0</v>
      </c>
    </row>
    <row r="35" spans="1:30" ht="21" customHeight="1" x14ac:dyDescent="0.2">
      <c r="A35" s="78">
        <v>4</v>
      </c>
      <c r="B35" s="79" t="s">
        <v>57</v>
      </c>
      <c r="C35" s="80">
        <f t="shared" ca="1" si="0"/>
        <v>0</v>
      </c>
      <c r="D35" s="81">
        <f t="shared" ca="1" si="41"/>
        <v>0</v>
      </c>
      <c r="E35" s="82">
        <f ca="1">IFERROR(__xludf.DUMMYFUNCTION("IMPORTRANGE(""https://docs.google.com/spreadsheets/d/1MeEWN-I1oV_STSDYn1IFDPWt_1FKiwhDph83XaGc0o0/edit?usp=sharing"",""งบพรบ!BL35"")"),0)</f>
        <v>0</v>
      </c>
      <c r="F35" s="82">
        <f ca="1">IFERROR(__xludf.DUMMYFUNCTION("IMPORTRANGE(""https://docs.google.com/spreadsheets/d/1MeEWN-I1oV_STSDYn1IFDPWt_1FKiwhDph83XaGc0o0/edit?usp=sharing"",""งบพรบ!BM35"")"),0)</f>
        <v>0</v>
      </c>
      <c r="G35" s="82">
        <f ca="1">IFERROR(__xludf.DUMMYFUNCTION("IMPORTRANGE(""https://docs.google.com/spreadsheets/d/1MeEWN-I1oV_STSDYn1IFDPWt_1FKiwhDph83XaGc0o0/edit?usp=sharing"",""งบพรบ!BN35"")"),0)</f>
        <v>0</v>
      </c>
      <c r="H35" s="82">
        <f ca="1">IFERROR(__xludf.DUMMYFUNCTION("IMPORTRANGE(""https://docs.google.com/spreadsheets/d/1MeEWN-I1oV_STSDYn1IFDPWt_1FKiwhDph83XaGc0o0/edit?usp=sharing"",""งบพรบ!BP35"")"),0)</f>
        <v>0</v>
      </c>
      <c r="I35" s="82">
        <f ca="1">IFERROR(__xludf.DUMMYFUNCTION("IMPORTRANGE(""https://docs.google.com/spreadsheets/d/1MeEWN-I1oV_STSDYn1IFDPWt_1FKiwhDph83XaGc0o0/edit?usp=sharing"",""งบพรบ!BQ35"")"),0)</f>
        <v>0</v>
      </c>
      <c r="J35" s="82">
        <f t="shared" ca="1" si="3"/>
        <v>0</v>
      </c>
      <c r="K35" s="83">
        <f t="shared" ca="1" si="4"/>
        <v>0</v>
      </c>
      <c r="L35" s="82">
        <f ca="1">IFERROR(__xludf.DUMMYFUNCTION("IMPORTRANGE(""https://docs.google.com/spreadsheets/d/1MeEWN-I1oV_STSDYn1IFDPWt_1FKiwhDph83XaGc0o0/edit?usp=sharing"",""งบพรบ!BR35"")"),0)</f>
        <v>0</v>
      </c>
      <c r="M35" s="84">
        <f t="shared" ca="1" si="5"/>
        <v>0</v>
      </c>
      <c r="N35" s="84">
        <f t="shared" ca="1" si="6"/>
        <v>0</v>
      </c>
      <c r="O35" s="85">
        <f ca="1">IFERROR(__xludf.DUMMYFUNCTION("IMPORTRANGE(""https://docs.google.com/spreadsheets/d/1MeEWN-I1oV_STSDYn1IFDPWt_1FKiwhDph83XaGc0o0/edit?usp=sharing"",""งบพรบ!BS35"")"),0)</f>
        <v>0</v>
      </c>
      <c r="P35" s="85">
        <f t="shared" ca="1" si="30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IFERROR(__xludf.DUMMYFUNCTION("IMPORTRANGE(""https://docs.google.com/spreadsheets/d/1EXMBoBxU3OFbjT2TRpneM33qFjqDzrKmn9ydcflfI0o/edit?usp=sharing"",""นครพนม!J142"")"),0)</f>
        <v>0</v>
      </c>
      <c r="S35" s="86">
        <f ca="1">IFERROR(__xludf.DUMMYFUNCTION("IMPORTRANGE(""https://docs.google.com/spreadsheets/d/1EXMBoBxU3OFbjT2TRpneM33qFjqDzrKmn9ydcflfI0o/edit?usp=sharing"",""นครพนม!I143"")"),0)</f>
        <v>0</v>
      </c>
      <c r="T35" s="86">
        <f ca="1">IFERROR(__xludf.DUMMYFUNCTION("IMPORTRANGE(""https://docs.google.com/spreadsheets/d/1EXMBoBxU3OFbjT2TRpneM33qFjqDzrKmn9ydcflfI0o/edit?usp=sharing"",""นครพนม!J143"")"),0)</f>
        <v>0</v>
      </c>
      <c r="U35" s="87">
        <f t="shared" ca="1" si="25"/>
        <v>0</v>
      </c>
      <c r="V35" s="86">
        <f ca="1">IFERROR(__xludf.DUMMYFUNCTION("IMPORTRANGE(""https://docs.google.com/spreadsheets/d/1EXMBoBxU3OFbjT2TRpneM33qFjqDzrKmn9ydcflfI0o/edit?usp=sharing"",""นครพนม!I144"")"),0)</f>
        <v>0</v>
      </c>
      <c r="W35" s="86">
        <f ca="1">IFERROR(__xludf.DUMMYFUNCTION("IMPORTRANGE(""https://docs.google.com/spreadsheets/d/1EXMBoBxU3OFbjT2TRpneM33qFjqDzrKmn9ydcflfI0o/edit?usp=sharing"",""นครพนม!J144"")"),0)</f>
        <v>0</v>
      </c>
      <c r="X35" s="87">
        <f t="shared" ca="1" si="26"/>
        <v>0</v>
      </c>
      <c r="Y35" s="86">
        <f ca="1">IFERROR(__xludf.DUMMYFUNCTION("IMPORTRANGE(""https://docs.google.com/spreadsheets/d/1EXMBoBxU3OFbjT2TRpneM33qFjqDzrKmn9ydcflfI0o/edit?usp=sharing"",""นครพนม!I145"")"),0)</f>
        <v>0</v>
      </c>
      <c r="Z35" s="86">
        <f ca="1">IFERROR(__xludf.DUMMYFUNCTION("IMPORTRANGE(""https://docs.google.com/spreadsheets/d/1EXMBoBxU3OFbjT2TRpneM33qFjqDzrKmn9ydcflfI0o/edit?usp=sharing"",""นครพนม!J145"")"),0)</f>
        <v>0</v>
      </c>
      <c r="AA35" s="87">
        <f t="shared" ca="1" si="27"/>
        <v>0</v>
      </c>
      <c r="AB35" s="86">
        <f ca="1">IFERROR(__xludf.DUMMYFUNCTION("IMPORTRANGE(""https://docs.google.com/spreadsheets/d/1EXMBoBxU3OFbjT2TRpneM33qFjqDzrKmn9ydcflfI0o/edit?usp=sharing"",""นครพนม!I146"")"),0)</f>
        <v>0</v>
      </c>
      <c r="AC35" s="86">
        <f ca="1">IFERROR(__xludf.DUMMYFUNCTION("IMPORTRANGE(""https://docs.google.com/spreadsheets/d/1EXMBoBxU3OFbjT2TRpneM33qFjqDzrKmn9ydcflfI0o/edit?usp=sharing"",""นครพนม!J146"")"),0)</f>
        <v>0</v>
      </c>
      <c r="AD35" s="87">
        <f t="shared" ca="1" si="28"/>
        <v>0</v>
      </c>
    </row>
    <row r="36" spans="1:30" ht="21" customHeight="1" x14ac:dyDescent="0.2">
      <c r="A36" s="78">
        <v>5</v>
      </c>
      <c r="B36" s="79" t="s">
        <v>58</v>
      </c>
      <c r="C36" s="80">
        <f t="shared" ca="1" si="0"/>
        <v>303310</v>
      </c>
      <c r="D36" s="81">
        <f t="shared" ca="1" si="41"/>
        <v>97310</v>
      </c>
      <c r="E36" s="82">
        <f ca="1">IFERROR(__xludf.DUMMYFUNCTION("IMPORTRANGE(""https://docs.google.com/spreadsheets/d/1MeEWN-I1oV_STSDYn1IFDPWt_1FKiwhDph83XaGc0o0/edit?usp=sharing"",""งบพรบ!BL36"")"),0)</f>
        <v>0</v>
      </c>
      <c r="F36" s="82">
        <f ca="1">IFERROR(__xludf.DUMMYFUNCTION("IMPORTRANGE(""https://docs.google.com/spreadsheets/d/1MeEWN-I1oV_STSDYn1IFDPWt_1FKiwhDph83XaGc0o0/edit?usp=sharing"",""งบพรบ!BM36"")"),97310)</f>
        <v>97310</v>
      </c>
      <c r="G36" s="82">
        <f ca="1">IFERROR(__xludf.DUMMYFUNCTION("IMPORTRANGE(""https://docs.google.com/spreadsheets/d/1MeEWN-I1oV_STSDYn1IFDPWt_1FKiwhDph83XaGc0o0/edit?usp=sharing"",""งบพรบ!BN36"")"),206000)</f>
        <v>206000</v>
      </c>
      <c r="H36" s="82">
        <f ca="1">IFERROR(__xludf.DUMMYFUNCTION("IMPORTRANGE(""https://docs.google.com/spreadsheets/d/1MeEWN-I1oV_STSDYn1IFDPWt_1FKiwhDph83XaGc0o0/edit?usp=sharing"",""งบพรบ!BP36"")"),61200)</f>
        <v>61200</v>
      </c>
      <c r="I36" s="82">
        <f ca="1">IFERROR(__xludf.DUMMYFUNCTION("IMPORTRANGE(""https://docs.google.com/spreadsheets/d/1MeEWN-I1oV_STSDYn1IFDPWt_1FKiwhDph83XaGc0o0/edit?usp=sharing"",""งบพรบ!BQ36"")"),206000)</f>
        <v>206000</v>
      </c>
      <c r="J36" s="82">
        <f t="shared" ca="1" si="3"/>
        <v>264175</v>
      </c>
      <c r="K36" s="83">
        <f t="shared" ca="1" si="4"/>
        <v>87.097359137516079</v>
      </c>
      <c r="L36" s="82">
        <f ca="1">IFERROR(__xludf.DUMMYFUNCTION("IMPORTRANGE(""https://docs.google.com/spreadsheets/d/1MeEWN-I1oV_STSDYn1IFDPWt_1FKiwhDph83XaGc0o0/edit?usp=sharing"",""งบพรบ!BR36"")"),58175)</f>
        <v>58175</v>
      </c>
      <c r="M36" s="84">
        <f t="shared" ca="1" si="5"/>
        <v>59.783167197615867</v>
      </c>
      <c r="N36" s="84">
        <f t="shared" ca="1" si="6"/>
        <v>95.057189542483655</v>
      </c>
      <c r="O36" s="85">
        <f ca="1">IFERROR(__xludf.DUMMYFUNCTION("IMPORTRANGE(""https://docs.google.com/spreadsheets/d/1MeEWN-I1oV_STSDYn1IFDPWt_1FKiwhDph83XaGc0o0/edit?usp=sharing"",""งบพรบ!BS36"")"),206000)</f>
        <v>206000</v>
      </c>
      <c r="P36" s="85">
        <f t="shared" ca="1" si="30"/>
        <v>100</v>
      </c>
      <c r="Q36" s="84">
        <f t="shared" ca="1" si="8"/>
        <v>100</v>
      </c>
      <c r="R36" s="86">
        <f ca="1">IFERROR(__xludf.DUMMYFUNCTION("IMPORTRANGE(""https://docs.google.com/spreadsheets/d/1bDQrolntRWtHumK8W-x-HXKntwxB9S3sF5aDeRS66Ko/edit?usp=sharing"",""นครราชสีมา!J142"")"),20)</f>
        <v>20</v>
      </c>
      <c r="S36" s="86">
        <f ca="1">IFERROR(__xludf.DUMMYFUNCTION("IMPORTRANGE(""https://docs.google.com/spreadsheets/d/1bDQrolntRWtHumK8W-x-HXKntwxB9S3sF5aDeRS66Ko/edit?usp=sharing"",""นครราชสีมา!I143"")"),20)</f>
        <v>20</v>
      </c>
      <c r="T36" s="86">
        <f ca="1">IFERROR(__xludf.DUMMYFUNCTION("IMPORTRANGE(""https://docs.google.com/spreadsheets/d/1bDQrolntRWtHumK8W-x-HXKntwxB9S3sF5aDeRS66Ko/edit?usp=sharing"",""นครราชสีมา!J143"")"),20)</f>
        <v>20</v>
      </c>
      <c r="U36" s="87">
        <f t="shared" ca="1" si="25"/>
        <v>100</v>
      </c>
      <c r="V36" s="86">
        <f ca="1">IFERROR(__xludf.DUMMYFUNCTION("IMPORTRANGE(""https://docs.google.com/spreadsheets/d/1bDQrolntRWtHumK8W-x-HXKntwxB9S3sF5aDeRS66Ko/edit?usp=sharing"",""นครราชสีมา!I144"")"),10)</f>
        <v>10</v>
      </c>
      <c r="W36" s="86">
        <f ca="1">IFERROR(__xludf.DUMMYFUNCTION("IMPORTRANGE(""https://docs.google.com/spreadsheets/d/1bDQrolntRWtHumK8W-x-HXKntwxB9S3sF5aDeRS66Ko/edit?usp=sharing"",""นครราชสีมา!J144"")"),10)</f>
        <v>10</v>
      </c>
      <c r="X36" s="87">
        <f t="shared" ca="1" si="26"/>
        <v>100</v>
      </c>
      <c r="Y36" s="86">
        <f ca="1">IFERROR(__xludf.DUMMYFUNCTION("IMPORTRANGE(""https://docs.google.com/spreadsheets/d/1bDQrolntRWtHumK8W-x-HXKntwxB9S3sF5aDeRS66Ko/edit?usp=sharing"",""นครราชสีมา!I145"")"),20)</f>
        <v>20</v>
      </c>
      <c r="Z36" s="86">
        <f ca="1">IFERROR(__xludf.DUMMYFUNCTION("IMPORTRANGE(""https://docs.google.com/spreadsheets/d/1bDQrolntRWtHumK8W-x-HXKntwxB9S3sF5aDeRS66Ko/edit?usp=sharing"",""นครราชสีมา!J145"")"),20)</f>
        <v>20</v>
      </c>
      <c r="AA36" s="87">
        <f t="shared" ca="1" si="27"/>
        <v>100</v>
      </c>
      <c r="AB36" s="86">
        <f ca="1">IFERROR(__xludf.DUMMYFUNCTION("IMPORTRANGE(""https://docs.google.com/spreadsheets/d/1bDQrolntRWtHumK8W-x-HXKntwxB9S3sF5aDeRS66Ko/edit?usp=sharing"",""นครราชสีมา!I146"")"),2)</f>
        <v>2</v>
      </c>
      <c r="AC36" s="86">
        <f ca="1">IFERROR(__xludf.DUMMYFUNCTION("IMPORTRANGE(""https://docs.google.com/spreadsheets/d/1bDQrolntRWtHumK8W-x-HXKntwxB9S3sF5aDeRS66Ko/edit?usp=sharing"",""นครราชสีมา!J146"")"),2)</f>
        <v>2</v>
      </c>
      <c r="AD36" s="87">
        <f t="shared" ca="1" si="28"/>
        <v>100</v>
      </c>
    </row>
    <row r="37" spans="1:30" ht="21" customHeight="1" x14ac:dyDescent="0.2">
      <c r="A37" s="78">
        <v>6</v>
      </c>
      <c r="B37" s="79" t="s">
        <v>59</v>
      </c>
      <c r="C37" s="80">
        <f t="shared" ca="1" si="0"/>
        <v>0</v>
      </c>
      <c r="D37" s="81">
        <f t="shared" ca="1" si="41"/>
        <v>0</v>
      </c>
      <c r="E37" s="82">
        <f ca="1">IFERROR(__xludf.DUMMYFUNCTION("IMPORTRANGE(""https://docs.google.com/spreadsheets/d/1MeEWN-I1oV_STSDYn1IFDPWt_1FKiwhDph83XaGc0o0/edit?usp=sharing"",""งบพรบ!BL37"")"),0)</f>
        <v>0</v>
      </c>
      <c r="F37" s="82">
        <f ca="1">IFERROR(__xludf.DUMMYFUNCTION("IMPORTRANGE(""https://docs.google.com/spreadsheets/d/1MeEWN-I1oV_STSDYn1IFDPWt_1FKiwhDph83XaGc0o0/edit?usp=sharing"",""งบพรบ!BM37"")"),0)</f>
        <v>0</v>
      </c>
      <c r="G37" s="82">
        <f ca="1">IFERROR(__xludf.DUMMYFUNCTION("IMPORTRANGE(""https://docs.google.com/spreadsheets/d/1MeEWN-I1oV_STSDYn1IFDPWt_1FKiwhDph83XaGc0o0/edit?usp=sharing"",""งบพรบ!BN37"")"),0)</f>
        <v>0</v>
      </c>
      <c r="H37" s="82">
        <f ca="1">IFERROR(__xludf.DUMMYFUNCTION("IMPORTRANGE(""https://docs.google.com/spreadsheets/d/1MeEWN-I1oV_STSDYn1IFDPWt_1FKiwhDph83XaGc0o0/edit?usp=sharing"",""งบพรบ!BP37"")"),0)</f>
        <v>0</v>
      </c>
      <c r="I37" s="82">
        <f ca="1">IFERROR(__xludf.DUMMYFUNCTION("IMPORTRANGE(""https://docs.google.com/spreadsheets/d/1MeEWN-I1oV_STSDYn1IFDPWt_1FKiwhDph83XaGc0o0/edit?usp=sharing"",""งบพรบ!BQ37"")"),0)</f>
        <v>0</v>
      </c>
      <c r="J37" s="82">
        <f t="shared" ca="1" si="3"/>
        <v>0</v>
      </c>
      <c r="K37" s="83">
        <f t="shared" ca="1" si="4"/>
        <v>0</v>
      </c>
      <c r="L37" s="82">
        <f ca="1">IFERROR(__xludf.DUMMYFUNCTION("IMPORTRANGE(""https://docs.google.com/spreadsheets/d/1MeEWN-I1oV_STSDYn1IFDPWt_1FKiwhDph83XaGc0o0/edit?usp=sharing"",""งบพรบ!BR37"")"),0)</f>
        <v>0</v>
      </c>
      <c r="M37" s="84">
        <f t="shared" ca="1" si="5"/>
        <v>0</v>
      </c>
      <c r="N37" s="84">
        <f t="shared" ca="1" si="6"/>
        <v>0</v>
      </c>
      <c r="O37" s="85">
        <f ca="1">IFERROR(__xludf.DUMMYFUNCTION("IMPORTRANGE(""https://docs.google.com/spreadsheets/d/1MeEWN-I1oV_STSDYn1IFDPWt_1FKiwhDph83XaGc0o0/edit?usp=sharing"",""งบพรบ!BS37"")"),0)</f>
        <v>0</v>
      </c>
      <c r="P37" s="85">
        <f t="shared" ca="1" si="30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IFERROR(__xludf.DUMMYFUNCTION("IMPORTRANGE(""https://docs.google.com/spreadsheets/d/1_MzZ-2gVPiCW-d2VcafoCmFJQTSrZ6SQyFcMqRRQQ2w/edit?usp=sharing"",""บึงกาฬ!J142"")"),0)</f>
        <v>0</v>
      </c>
      <c r="S37" s="86">
        <f ca="1">IFERROR(__xludf.DUMMYFUNCTION("IMPORTRANGE(""https://docs.google.com/spreadsheets/d/1_MzZ-2gVPiCW-d2VcafoCmFJQTSrZ6SQyFcMqRRQQ2w/edit?usp=sharing"",""บึงกาฬ!I143"")"),0)</f>
        <v>0</v>
      </c>
      <c r="T37" s="86">
        <f ca="1">IFERROR(__xludf.DUMMYFUNCTION("IMPORTRANGE(""https://docs.google.com/spreadsheets/d/1_MzZ-2gVPiCW-d2VcafoCmFJQTSrZ6SQyFcMqRRQQ2w/edit?usp=sharing"",""บึงกาฬ!J143"")"),0)</f>
        <v>0</v>
      </c>
      <c r="U37" s="87">
        <f t="shared" ca="1" si="25"/>
        <v>0</v>
      </c>
      <c r="V37" s="86">
        <f ca="1">IFERROR(__xludf.DUMMYFUNCTION("IMPORTRANGE(""https://docs.google.com/spreadsheets/d/1_MzZ-2gVPiCW-d2VcafoCmFJQTSrZ6SQyFcMqRRQQ2w/edit?usp=sharing"",""บึงกาฬ!I144"")"),0)</f>
        <v>0</v>
      </c>
      <c r="W37" s="86">
        <f ca="1">IFERROR(__xludf.DUMMYFUNCTION("IMPORTRANGE(""https://docs.google.com/spreadsheets/d/1_MzZ-2gVPiCW-d2VcafoCmFJQTSrZ6SQyFcMqRRQQ2w/edit?usp=sharing"",""บึงกาฬ!J144"")"),0)</f>
        <v>0</v>
      </c>
      <c r="X37" s="87">
        <f t="shared" ca="1" si="26"/>
        <v>0</v>
      </c>
      <c r="Y37" s="86">
        <f ca="1">IFERROR(__xludf.DUMMYFUNCTION("IMPORTRANGE(""https://docs.google.com/spreadsheets/d/1_MzZ-2gVPiCW-d2VcafoCmFJQTSrZ6SQyFcMqRRQQ2w/edit?usp=sharing"",""บึงกาฬ!I145"")"),0)</f>
        <v>0</v>
      </c>
      <c r="Z37" s="86">
        <f ca="1">IFERROR(__xludf.DUMMYFUNCTION("IMPORTRANGE(""https://docs.google.com/spreadsheets/d/1_MzZ-2gVPiCW-d2VcafoCmFJQTSrZ6SQyFcMqRRQQ2w/edit?usp=sharing"",""บึงกาฬ!J145"")"),0)</f>
        <v>0</v>
      </c>
      <c r="AA37" s="87">
        <f t="shared" ca="1" si="27"/>
        <v>0</v>
      </c>
      <c r="AB37" s="86">
        <f ca="1">IFERROR(__xludf.DUMMYFUNCTION("IMPORTRANGE(""https://docs.google.com/spreadsheets/d/1_MzZ-2gVPiCW-d2VcafoCmFJQTSrZ6SQyFcMqRRQQ2w/edit?usp=sharing"",""บึงกาฬ!I146"")"),0)</f>
        <v>0</v>
      </c>
      <c r="AC37" s="86">
        <f ca="1">IFERROR(__xludf.DUMMYFUNCTION("IMPORTRANGE(""https://docs.google.com/spreadsheets/d/1_MzZ-2gVPiCW-d2VcafoCmFJQTSrZ6SQyFcMqRRQQ2w/edit?usp=sharing"",""บึงกาฬ!J146"")"),0)</f>
        <v>0</v>
      </c>
      <c r="AD37" s="87">
        <f t="shared" ca="1" si="28"/>
        <v>0</v>
      </c>
    </row>
    <row r="38" spans="1:30" ht="21" customHeight="1" x14ac:dyDescent="0.2">
      <c r="A38" s="78">
        <v>7</v>
      </c>
      <c r="B38" s="79" t="s">
        <v>60</v>
      </c>
      <c r="C38" s="80">
        <f t="shared" ca="1" si="0"/>
        <v>0</v>
      </c>
      <c r="D38" s="81">
        <f t="shared" ca="1" si="41"/>
        <v>0</v>
      </c>
      <c r="E38" s="82">
        <f ca="1">IFERROR(__xludf.DUMMYFUNCTION("IMPORTRANGE(""https://docs.google.com/spreadsheets/d/1MeEWN-I1oV_STSDYn1IFDPWt_1FKiwhDph83XaGc0o0/edit?usp=sharing"",""งบพรบ!BL38"")"),0)</f>
        <v>0</v>
      </c>
      <c r="F38" s="82">
        <f ca="1">IFERROR(__xludf.DUMMYFUNCTION("IMPORTRANGE(""https://docs.google.com/spreadsheets/d/1MeEWN-I1oV_STSDYn1IFDPWt_1FKiwhDph83XaGc0o0/edit?usp=sharing"",""งบพรบ!BM38"")"),0)</f>
        <v>0</v>
      </c>
      <c r="G38" s="82">
        <f ca="1">IFERROR(__xludf.DUMMYFUNCTION("IMPORTRANGE(""https://docs.google.com/spreadsheets/d/1MeEWN-I1oV_STSDYn1IFDPWt_1FKiwhDph83XaGc0o0/edit?usp=sharing"",""งบพรบ!BN38"")"),0)</f>
        <v>0</v>
      </c>
      <c r="H38" s="82">
        <f ca="1">IFERROR(__xludf.DUMMYFUNCTION("IMPORTRANGE(""https://docs.google.com/spreadsheets/d/1MeEWN-I1oV_STSDYn1IFDPWt_1FKiwhDph83XaGc0o0/edit?usp=sharing"",""งบพรบ!BP38"")"),0)</f>
        <v>0</v>
      </c>
      <c r="I38" s="82">
        <f ca="1">IFERROR(__xludf.DUMMYFUNCTION("IMPORTRANGE(""https://docs.google.com/spreadsheets/d/1MeEWN-I1oV_STSDYn1IFDPWt_1FKiwhDph83XaGc0o0/edit?usp=sharing"",""งบพรบ!BQ38"")"),0)</f>
        <v>0</v>
      </c>
      <c r="J38" s="82">
        <f t="shared" ca="1" si="3"/>
        <v>0</v>
      </c>
      <c r="K38" s="83">
        <f t="shared" ca="1" si="4"/>
        <v>0</v>
      </c>
      <c r="L38" s="82">
        <f ca="1">IFERROR(__xludf.DUMMYFUNCTION("IMPORTRANGE(""https://docs.google.com/spreadsheets/d/1MeEWN-I1oV_STSDYn1IFDPWt_1FKiwhDph83XaGc0o0/edit?usp=sharing"",""งบพรบ!BR38"")"),0)</f>
        <v>0</v>
      </c>
      <c r="M38" s="84">
        <f t="shared" ca="1" si="5"/>
        <v>0</v>
      </c>
      <c r="N38" s="84">
        <f t="shared" ca="1" si="6"/>
        <v>0</v>
      </c>
      <c r="O38" s="85">
        <f ca="1">IFERROR(__xludf.DUMMYFUNCTION("IMPORTRANGE(""https://docs.google.com/spreadsheets/d/1MeEWN-I1oV_STSDYn1IFDPWt_1FKiwhDph83XaGc0o0/edit?usp=sharing"",""งบพรบ!BS38"")"),0)</f>
        <v>0</v>
      </c>
      <c r="P38" s="85">
        <f t="shared" ca="1" si="30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IFERROR(__xludf.DUMMYFUNCTION("IMPORTRANGE(""https://docs.google.com/spreadsheets/d/1B3lPpzOuaNwVItLwLEZYl_qEblfcx7dRnbRkAw0l-pE/edit?usp=sharing"",""บุรีรัมย์!J142"")"),0)</f>
        <v>0</v>
      </c>
      <c r="S38" s="86">
        <f ca="1">IFERROR(__xludf.DUMMYFUNCTION("IMPORTRANGE(""https://docs.google.com/spreadsheets/d/1B3lPpzOuaNwVItLwLEZYl_qEblfcx7dRnbRkAw0l-pE/edit?usp=sharing"",""บุรีรัมย์!I143"")"),0)</f>
        <v>0</v>
      </c>
      <c r="T38" s="86">
        <f ca="1">IFERROR(__xludf.DUMMYFUNCTION("IMPORTRANGE(""https://docs.google.com/spreadsheets/d/1B3lPpzOuaNwVItLwLEZYl_qEblfcx7dRnbRkAw0l-pE/edit?usp=sharing"",""บุรีรัมย์!J143"")"),0)</f>
        <v>0</v>
      </c>
      <c r="U38" s="87">
        <f t="shared" ca="1" si="25"/>
        <v>0</v>
      </c>
      <c r="V38" s="86">
        <f ca="1">IFERROR(__xludf.DUMMYFUNCTION("IMPORTRANGE(""https://docs.google.com/spreadsheets/d/1B3lPpzOuaNwVItLwLEZYl_qEblfcx7dRnbRkAw0l-pE/edit?usp=sharing"",""บุรีรัมย์!I144"")"),0)</f>
        <v>0</v>
      </c>
      <c r="W38" s="86">
        <f ca="1">IFERROR(__xludf.DUMMYFUNCTION("IMPORTRANGE(""https://docs.google.com/spreadsheets/d/1B3lPpzOuaNwVItLwLEZYl_qEblfcx7dRnbRkAw0l-pE/edit?usp=sharing"",""บุรีรัมย์!J144"")"),0)</f>
        <v>0</v>
      </c>
      <c r="X38" s="87">
        <f t="shared" ca="1" si="26"/>
        <v>0</v>
      </c>
      <c r="Y38" s="86">
        <f ca="1">IFERROR(__xludf.DUMMYFUNCTION("IMPORTRANGE(""https://docs.google.com/spreadsheets/d/1B3lPpzOuaNwVItLwLEZYl_qEblfcx7dRnbRkAw0l-pE/edit?usp=sharing"",""บุรีรัมย์!I145"")"),0)</f>
        <v>0</v>
      </c>
      <c r="Z38" s="86">
        <f ca="1">IFERROR(__xludf.DUMMYFUNCTION("IMPORTRANGE(""https://docs.google.com/spreadsheets/d/1B3lPpzOuaNwVItLwLEZYl_qEblfcx7dRnbRkAw0l-pE/edit?usp=sharing"",""บุรีรัมย์!J145"")"),0)</f>
        <v>0</v>
      </c>
      <c r="AA38" s="87">
        <f t="shared" ca="1" si="27"/>
        <v>0</v>
      </c>
      <c r="AB38" s="86">
        <f ca="1">IFERROR(__xludf.DUMMYFUNCTION("IMPORTRANGE(""https://docs.google.com/spreadsheets/d/1B3lPpzOuaNwVItLwLEZYl_qEblfcx7dRnbRkAw0l-pE/edit?usp=sharing"",""บุรีรัมย์!I146"")"),0)</f>
        <v>0</v>
      </c>
      <c r="AC38" s="86">
        <f ca="1">IFERROR(__xludf.DUMMYFUNCTION("IMPORTRANGE(""https://docs.google.com/spreadsheets/d/1B3lPpzOuaNwVItLwLEZYl_qEblfcx7dRnbRkAw0l-pE/edit?usp=sharing"",""บุรีรัมย์!J146"")"),0)</f>
        <v>0</v>
      </c>
      <c r="AD38" s="87">
        <f t="shared" ca="1" si="28"/>
        <v>0</v>
      </c>
    </row>
    <row r="39" spans="1:30" ht="21" customHeight="1" x14ac:dyDescent="0.2">
      <c r="A39" s="78">
        <v>8</v>
      </c>
      <c r="B39" s="79" t="s">
        <v>61</v>
      </c>
      <c r="C39" s="80">
        <f t="shared" ca="1" si="0"/>
        <v>454965</v>
      </c>
      <c r="D39" s="81">
        <f t="shared" ca="1" si="41"/>
        <v>145965</v>
      </c>
      <c r="E39" s="82">
        <f ca="1">IFERROR(__xludf.DUMMYFUNCTION("IMPORTRANGE(""https://docs.google.com/spreadsheets/d/1MeEWN-I1oV_STSDYn1IFDPWt_1FKiwhDph83XaGc0o0/edit?usp=sharing"",""งบพรบ!BL39"")"),0)</f>
        <v>0</v>
      </c>
      <c r="F39" s="82">
        <f ca="1">IFERROR(__xludf.DUMMYFUNCTION("IMPORTRANGE(""https://docs.google.com/spreadsheets/d/1MeEWN-I1oV_STSDYn1IFDPWt_1FKiwhDph83XaGc0o0/edit?usp=sharing"",""งบพรบ!BM39"")"),145965)</f>
        <v>145965</v>
      </c>
      <c r="G39" s="82">
        <f ca="1">IFERROR(__xludf.DUMMYFUNCTION("IMPORTRANGE(""https://docs.google.com/spreadsheets/d/1MeEWN-I1oV_STSDYn1IFDPWt_1FKiwhDph83XaGc0o0/edit?usp=sharing"",""งบพรบ!BN39"")"),309000)</f>
        <v>309000</v>
      </c>
      <c r="H39" s="82">
        <f ca="1">IFERROR(__xludf.DUMMYFUNCTION("IMPORTRANGE(""https://docs.google.com/spreadsheets/d/1MeEWN-I1oV_STSDYn1IFDPWt_1FKiwhDph83XaGc0o0/edit?usp=sharing"",""งบพรบ!BP39"")"),91800)</f>
        <v>91800</v>
      </c>
      <c r="I39" s="82">
        <f ca="1">IFERROR(__xludf.DUMMYFUNCTION("IMPORTRANGE(""https://docs.google.com/spreadsheets/d/1MeEWN-I1oV_STSDYn1IFDPWt_1FKiwhDph83XaGc0o0/edit?usp=sharing"",""งบพรบ!BQ39"")"),309000)</f>
        <v>309000</v>
      </c>
      <c r="J39" s="82">
        <f t="shared" ca="1" si="3"/>
        <v>388590</v>
      </c>
      <c r="K39" s="83">
        <f t="shared" ca="1" si="4"/>
        <v>85.410965678678579</v>
      </c>
      <c r="L39" s="82">
        <f ca="1">IFERROR(__xludf.DUMMYFUNCTION("IMPORTRANGE(""https://docs.google.com/spreadsheets/d/1MeEWN-I1oV_STSDYn1IFDPWt_1FKiwhDph83XaGc0o0/edit?usp=sharing"",""งบพรบ!BR39"")"),79590)</f>
        <v>79590</v>
      </c>
      <c r="M39" s="84">
        <f t="shared" ca="1" si="5"/>
        <v>54.526770116123728</v>
      </c>
      <c r="N39" s="84">
        <f t="shared" ca="1" si="6"/>
        <v>86.699346405228752</v>
      </c>
      <c r="O39" s="85">
        <f ca="1">IFERROR(__xludf.DUMMYFUNCTION("IMPORTRANGE(""https://docs.google.com/spreadsheets/d/1MeEWN-I1oV_STSDYn1IFDPWt_1FKiwhDph83XaGc0o0/edit?usp=sharing"",""งบพรบ!BS39"")"),309000)</f>
        <v>309000</v>
      </c>
      <c r="P39" s="85">
        <f t="shared" ca="1" si="30"/>
        <v>100</v>
      </c>
      <c r="Q39" s="84">
        <f t="shared" ca="1" si="8"/>
        <v>100</v>
      </c>
      <c r="R39" s="86">
        <f ca="1">IFERROR(__xludf.DUMMYFUNCTION("IMPORTRANGE(""https://docs.google.com/spreadsheets/d/19GOkiOqnzYbevLYWrMk4qFOXe3rX14BkSA8X-mq-a40/edit?usp=sharing"",""มหาสารคาม!J142"")"),30)</f>
        <v>30</v>
      </c>
      <c r="S39" s="86">
        <f ca="1">IFERROR(__xludf.DUMMYFUNCTION("IMPORTRANGE(""https://docs.google.com/spreadsheets/d/19GOkiOqnzYbevLYWrMk4qFOXe3rX14BkSA8X-mq-a40/edit?usp=sharing"",""มหาสารคาม!I143"")"),30)</f>
        <v>30</v>
      </c>
      <c r="T39" s="86">
        <f ca="1">IFERROR(__xludf.DUMMYFUNCTION("IMPORTRANGE(""https://docs.google.com/spreadsheets/d/19GOkiOqnzYbevLYWrMk4qFOXe3rX14BkSA8X-mq-a40/edit?usp=sharing"",""มหาสารคาม!J143"")"),0)</f>
        <v>0</v>
      </c>
      <c r="U39" s="87">
        <f t="shared" ca="1" si="25"/>
        <v>0</v>
      </c>
      <c r="V39" s="86">
        <f ca="1">IFERROR(__xludf.DUMMYFUNCTION("IMPORTRANGE(""https://docs.google.com/spreadsheets/d/19GOkiOqnzYbevLYWrMk4qFOXe3rX14BkSA8X-mq-a40/edit?usp=sharing"",""มหาสารคาม!I144"")"),15)</f>
        <v>15</v>
      </c>
      <c r="W39" s="86">
        <f ca="1">IFERROR(__xludf.DUMMYFUNCTION("IMPORTRANGE(""https://docs.google.com/spreadsheets/d/19GOkiOqnzYbevLYWrMk4qFOXe3rX14BkSA8X-mq-a40/edit?usp=sharing"",""มหาสารคาม!J144"")"),15)</f>
        <v>15</v>
      </c>
      <c r="X39" s="87">
        <f t="shared" ca="1" si="26"/>
        <v>100</v>
      </c>
      <c r="Y39" s="86">
        <f ca="1">IFERROR(__xludf.DUMMYFUNCTION("IMPORTRANGE(""https://docs.google.com/spreadsheets/d/19GOkiOqnzYbevLYWrMk4qFOXe3rX14BkSA8X-mq-a40/edit?usp=sharing"",""มหาสารคาม!I145"")"),30)</f>
        <v>30</v>
      </c>
      <c r="Z39" s="86">
        <f ca="1">IFERROR(__xludf.DUMMYFUNCTION("IMPORTRANGE(""https://docs.google.com/spreadsheets/d/19GOkiOqnzYbevLYWrMk4qFOXe3rX14BkSA8X-mq-a40/edit?usp=sharing"",""มหาสารคาม!J145"")"),20)</f>
        <v>20</v>
      </c>
      <c r="AA39" s="87">
        <f t="shared" ca="1" si="27"/>
        <v>66.666666666666671</v>
      </c>
      <c r="AB39" s="86">
        <f ca="1">IFERROR(__xludf.DUMMYFUNCTION("IMPORTRANGE(""https://docs.google.com/spreadsheets/d/19GOkiOqnzYbevLYWrMk4qFOXe3rX14BkSA8X-mq-a40/edit?usp=sharing"",""มหาสารคาม!I146"")"),3)</f>
        <v>3</v>
      </c>
      <c r="AC39" s="86">
        <f ca="1">IFERROR(__xludf.DUMMYFUNCTION("IMPORTRANGE(""https://docs.google.com/spreadsheets/d/19GOkiOqnzYbevLYWrMk4qFOXe3rX14BkSA8X-mq-a40/edit?usp=sharing"",""มหาสารคาม!J146"")"),3)</f>
        <v>3</v>
      </c>
      <c r="AD39" s="87">
        <f t="shared" ca="1" si="28"/>
        <v>100</v>
      </c>
    </row>
    <row r="40" spans="1:30" ht="21" customHeight="1" x14ac:dyDescent="0.2">
      <c r="A40" s="78">
        <v>9</v>
      </c>
      <c r="B40" s="79" t="s">
        <v>62</v>
      </c>
      <c r="C40" s="80">
        <f t="shared" ca="1" si="0"/>
        <v>151655</v>
      </c>
      <c r="D40" s="81">
        <f t="shared" ca="1" si="41"/>
        <v>48655</v>
      </c>
      <c r="E40" s="82">
        <f ca="1">IFERROR(__xludf.DUMMYFUNCTION("IMPORTRANGE(""https://docs.google.com/spreadsheets/d/1MeEWN-I1oV_STSDYn1IFDPWt_1FKiwhDph83XaGc0o0/edit?usp=sharing"",""งบพรบ!BL40"")"),0)</f>
        <v>0</v>
      </c>
      <c r="F40" s="82">
        <f ca="1">IFERROR(__xludf.DUMMYFUNCTION("IMPORTRANGE(""https://docs.google.com/spreadsheets/d/1MeEWN-I1oV_STSDYn1IFDPWt_1FKiwhDph83XaGc0o0/edit?usp=sharing"",""งบพรบ!BM40"")"),48655)</f>
        <v>48655</v>
      </c>
      <c r="G40" s="82">
        <f ca="1">IFERROR(__xludf.DUMMYFUNCTION("IMPORTRANGE(""https://docs.google.com/spreadsheets/d/1MeEWN-I1oV_STSDYn1IFDPWt_1FKiwhDph83XaGc0o0/edit?usp=sharing"",""งบพรบ!BN40"")"),103000)</f>
        <v>103000</v>
      </c>
      <c r="H40" s="82">
        <f ca="1">IFERROR(__xludf.DUMMYFUNCTION("IMPORTRANGE(""https://docs.google.com/spreadsheets/d/1MeEWN-I1oV_STSDYn1IFDPWt_1FKiwhDph83XaGc0o0/edit?usp=sharing"",""งบพรบ!BP40"")"),30600)</f>
        <v>30600</v>
      </c>
      <c r="I40" s="82">
        <f ca="1">IFERROR(__xludf.DUMMYFUNCTION("IMPORTRANGE(""https://docs.google.com/spreadsheets/d/1MeEWN-I1oV_STSDYn1IFDPWt_1FKiwhDph83XaGc0o0/edit?usp=sharing"",""งบพรบ!BQ40"")"),103000)</f>
        <v>103000</v>
      </c>
      <c r="J40" s="82">
        <f t="shared" ca="1" si="3"/>
        <v>133600</v>
      </c>
      <c r="K40" s="83">
        <f t="shared" ca="1" si="4"/>
        <v>88.094688602419964</v>
      </c>
      <c r="L40" s="82">
        <f ca="1">IFERROR(__xludf.DUMMYFUNCTION("IMPORTRANGE(""https://docs.google.com/spreadsheets/d/1MeEWN-I1oV_STSDYn1IFDPWt_1FKiwhDph83XaGc0o0/edit?usp=sharing"",""งบพรบ!BR40"")"),30600)</f>
        <v>30600</v>
      </c>
      <c r="M40" s="84">
        <f t="shared" ca="1" si="5"/>
        <v>62.891789127530572</v>
      </c>
      <c r="N40" s="84">
        <f t="shared" ca="1" si="6"/>
        <v>100</v>
      </c>
      <c r="O40" s="85">
        <f ca="1">IFERROR(__xludf.DUMMYFUNCTION("IMPORTRANGE(""https://docs.google.com/spreadsheets/d/1MeEWN-I1oV_STSDYn1IFDPWt_1FKiwhDph83XaGc0o0/edit?usp=sharing"",""งบพรบ!BS40"")"),103000)</f>
        <v>103000</v>
      </c>
      <c r="P40" s="85">
        <f t="shared" ca="1" si="30"/>
        <v>100</v>
      </c>
      <c r="Q40" s="84">
        <f t="shared" ca="1" si="8"/>
        <v>100</v>
      </c>
      <c r="R40" s="86">
        <f ca="1">IFERROR(__xludf.DUMMYFUNCTION("IMPORTRANGE(""https://docs.google.com/spreadsheets/d/1uMKqWwuNQ-TCKboGA3Bb1qXb5uj2-faACNUINCz8PN4/edit?usp=sharing"",""มุกดาหาร!J142"")"),0)</f>
        <v>0</v>
      </c>
      <c r="S40" s="86">
        <f ca="1">IFERROR(__xludf.DUMMYFUNCTION("IMPORTRANGE(""https://docs.google.com/spreadsheets/d/1uMKqWwuNQ-TCKboGA3Bb1qXb5uj2-faACNUINCz8PN4/edit?usp=sharing"",""มุกดาหาร!I143"")"),10)</f>
        <v>10</v>
      </c>
      <c r="T40" s="86">
        <f ca="1">IFERROR(__xludf.DUMMYFUNCTION("IMPORTRANGE(""https://docs.google.com/spreadsheets/d/1uMKqWwuNQ-TCKboGA3Bb1qXb5uj2-faACNUINCz8PN4/edit?usp=sharing"",""มุกดาหาร!J143"")"),10)</f>
        <v>10</v>
      </c>
      <c r="U40" s="87">
        <f t="shared" ca="1" si="25"/>
        <v>100</v>
      </c>
      <c r="V40" s="86">
        <f ca="1">IFERROR(__xludf.DUMMYFUNCTION("IMPORTRANGE(""https://docs.google.com/spreadsheets/d/1uMKqWwuNQ-TCKboGA3Bb1qXb5uj2-faACNUINCz8PN4/edit?usp=sharing"",""มุกดาหาร!I144"")"),5)</f>
        <v>5</v>
      </c>
      <c r="W40" s="86">
        <f ca="1">IFERROR(__xludf.DUMMYFUNCTION("IMPORTRANGE(""https://docs.google.com/spreadsheets/d/1uMKqWwuNQ-TCKboGA3Bb1qXb5uj2-faACNUINCz8PN4/edit?usp=sharing"",""มุกดาหาร!J144"")"),5)</f>
        <v>5</v>
      </c>
      <c r="X40" s="87">
        <f t="shared" ca="1" si="26"/>
        <v>100</v>
      </c>
      <c r="Y40" s="86">
        <f ca="1">IFERROR(__xludf.DUMMYFUNCTION("IMPORTRANGE(""https://docs.google.com/spreadsheets/d/1uMKqWwuNQ-TCKboGA3Bb1qXb5uj2-faACNUINCz8PN4/edit?usp=sharing"",""มุกดาหาร!I145"")"),10)</f>
        <v>10</v>
      </c>
      <c r="Z40" s="86">
        <f ca="1">IFERROR(__xludf.DUMMYFUNCTION("IMPORTRANGE(""https://docs.google.com/spreadsheets/d/1uMKqWwuNQ-TCKboGA3Bb1qXb5uj2-faACNUINCz8PN4/edit?usp=sharing"",""มุกดาหาร!J145"")"),10)</f>
        <v>10</v>
      </c>
      <c r="AA40" s="87">
        <f t="shared" ca="1" si="27"/>
        <v>100</v>
      </c>
      <c r="AB40" s="86">
        <f ca="1">IFERROR(__xludf.DUMMYFUNCTION("IMPORTRANGE(""https://docs.google.com/spreadsheets/d/1uMKqWwuNQ-TCKboGA3Bb1qXb5uj2-faACNUINCz8PN4/edit?usp=sharing"",""มุกดาหาร!I146"")"),1)</f>
        <v>1</v>
      </c>
      <c r="AC40" s="86">
        <f ca="1">IFERROR(__xludf.DUMMYFUNCTION("IMPORTRANGE(""https://docs.google.com/spreadsheets/d/1uMKqWwuNQ-TCKboGA3Bb1qXb5uj2-faACNUINCz8PN4/edit?usp=sharing"",""มุกดาหาร!J146"")"),1)</f>
        <v>1</v>
      </c>
      <c r="AD40" s="87">
        <f t="shared" ca="1" si="28"/>
        <v>100</v>
      </c>
    </row>
    <row r="41" spans="1:30" ht="21" customHeight="1" x14ac:dyDescent="0.2">
      <c r="A41" s="78">
        <v>10</v>
      </c>
      <c r="B41" s="79" t="s">
        <v>63</v>
      </c>
      <c r="C41" s="80">
        <f t="shared" ca="1" si="0"/>
        <v>489055</v>
      </c>
      <c r="D41" s="81">
        <f t="shared" ca="1" si="41"/>
        <v>386055</v>
      </c>
      <c r="E41" s="82">
        <f ca="1">IFERROR(__xludf.DUMMYFUNCTION("IMPORTRANGE(""https://docs.google.com/spreadsheets/d/1MeEWN-I1oV_STSDYn1IFDPWt_1FKiwhDph83XaGc0o0/edit?usp=sharing"",""งบพรบ!BL41"")"),337400)</f>
        <v>337400</v>
      </c>
      <c r="F41" s="82">
        <f ca="1">IFERROR(__xludf.DUMMYFUNCTION("IMPORTRANGE(""https://docs.google.com/spreadsheets/d/1MeEWN-I1oV_STSDYn1IFDPWt_1FKiwhDph83XaGc0o0/edit?usp=sharing"",""งบพรบ!BM41"")"),48655)</f>
        <v>48655</v>
      </c>
      <c r="G41" s="82">
        <f ca="1">IFERROR(__xludf.DUMMYFUNCTION("IMPORTRANGE(""https://docs.google.com/spreadsheets/d/1MeEWN-I1oV_STSDYn1IFDPWt_1FKiwhDph83XaGc0o0/edit?usp=sharing"",""งบพรบ!BN41"")"),103000)</f>
        <v>103000</v>
      </c>
      <c r="H41" s="82">
        <f ca="1">IFERROR(__xludf.DUMMYFUNCTION("IMPORTRANGE(""https://docs.google.com/spreadsheets/d/1MeEWN-I1oV_STSDYn1IFDPWt_1FKiwhDph83XaGc0o0/edit?usp=sharing"",""งบพรบ!BP41"")"),283650)</f>
        <v>283650</v>
      </c>
      <c r="I41" s="82">
        <f ca="1">IFERROR(__xludf.DUMMYFUNCTION("IMPORTRANGE(""https://docs.google.com/spreadsheets/d/1MeEWN-I1oV_STSDYn1IFDPWt_1FKiwhDph83XaGc0o0/edit?usp=sharing"",""งบพรบ!BQ41"")"),103000)</f>
        <v>103000</v>
      </c>
      <c r="J41" s="82">
        <f t="shared" ca="1" si="3"/>
        <v>272198</v>
      </c>
      <c r="K41" s="83">
        <f t="shared" ca="1" si="4"/>
        <v>55.657952582020428</v>
      </c>
      <c r="L41" s="82">
        <f ca="1">IFERROR(__xludf.DUMMYFUNCTION("IMPORTRANGE(""https://docs.google.com/spreadsheets/d/1MeEWN-I1oV_STSDYn1IFDPWt_1FKiwhDph83XaGc0o0/edit?usp=sharing"",""งบพรบ!BR41"")"),169198)</f>
        <v>169198</v>
      </c>
      <c r="M41" s="84">
        <f t="shared" ca="1" si="5"/>
        <v>43.827433914856691</v>
      </c>
      <c r="N41" s="84">
        <f t="shared" ca="1" si="6"/>
        <v>59.650273224043715</v>
      </c>
      <c r="O41" s="85">
        <f ca="1">IFERROR(__xludf.DUMMYFUNCTION("IMPORTRANGE(""https://docs.google.com/spreadsheets/d/1MeEWN-I1oV_STSDYn1IFDPWt_1FKiwhDph83XaGc0o0/edit?usp=sharing"",""งบพรบ!BS41"")"),103000)</f>
        <v>103000</v>
      </c>
      <c r="P41" s="85">
        <f t="shared" ca="1" si="30"/>
        <v>100</v>
      </c>
      <c r="Q41" s="84">
        <f t="shared" ca="1" si="8"/>
        <v>100</v>
      </c>
      <c r="R41" s="86">
        <f ca="1">IFERROR(__xludf.DUMMYFUNCTION("IMPORTRANGE(""https://docs.google.com/spreadsheets/d/1oKaccgDdQABndOzGr688Dbfxb_V3YcF67VqEPBtdzsc/edit?usp=sharing"",""ยโสธร!J142"")"),0)</f>
        <v>0</v>
      </c>
      <c r="S41" s="86">
        <f ca="1">IFERROR(__xludf.DUMMYFUNCTION("IMPORTRANGE(""https://docs.google.com/spreadsheets/d/1oKaccgDdQABndOzGr688Dbfxb_V3YcF67VqEPBtdzsc/edit?usp=sharing"",""ยโสธร!I143"")"),10)</f>
        <v>10</v>
      </c>
      <c r="T41" s="86">
        <f ca="1">IFERROR(__xludf.DUMMYFUNCTION("IMPORTRANGE(""https://docs.google.com/spreadsheets/d/1oKaccgDdQABndOzGr688Dbfxb_V3YcF67VqEPBtdzsc/edit?usp=sharing"",""ยโสธร!J143"")"),0)</f>
        <v>0</v>
      </c>
      <c r="U41" s="87">
        <f t="shared" ca="1" si="25"/>
        <v>0</v>
      </c>
      <c r="V41" s="86">
        <f ca="1">IFERROR(__xludf.DUMMYFUNCTION("IMPORTRANGE(""https://docs.google.com/spreadsheets/d/1oKaccgDdQABndOzGr688Dbfxb_V3YcF67VqEPBtdzsc/edit?usp=sharing"",""ยโสธร!I144"")"),5)</f>
        <v>5</v>
      </c>
      <c r="W41" s="86">
        <f ca="1">IFERROR(__xludf.DUMMYFUNCTION("IMPORTRANGE(""https://docs.google.com/spreadsheets/d/1oKaccgDdQABndOzGr688Dbfxb_V3YcF67VqEPBtdzsc/edit?usp=sharing"",""ยโสธร!J144"")"),10)</f>
        <v>10</v>
      </c>
      <c r="X41" s="87">
        <f t="shared" ca="1" si="26"/>
        <v>200</v>
      </c>
      <c r="Y41" s="86">
        <f ca="1">IFERROR(__xludf.DUMMYFUNCTION("IMPORTRANGE(""https://docs.google.com/spreadsheets/d/1oKaccgDdQABndOzGr688Dbfxb_V3YcF67VqEPBtdzsc/edit?usp=sharing"",""ยโสธร!I145"")"),10)</f>
        <v>10</v>
      </c>
      <c r="Z41" s="86">
        <f ca="1">IFERROR(__xludf.DUMMYFUNCTION("IMPORTRANGE(""https://docs.google.com/spreadsheets/d/1oKaccgDdQABndOzGr688Dbfxb_V3YcF67VqEPBtdzsc/edit?usp=sharing"",""ยโสธร!J145"")"),0)</f>
        <v>0</v>
      </c>
      <c r="AA41" s="87">
        <f t="shared" ca="1" si="27"/>
        <v>0</v>
      </c>
      <c r="AB41" s="86">
        <f ca="1">IFERROR(__xludf.DUMMYFUNCTION("IMPORTRANGE(""https://docs.google.com/spreadsheets/d/1oKaccgDdQABndOzGr688Dbfxb_V3YcF67VqEPBtdzsc/edit?usp=sharing"",""ยโสธร!I146"")"),1)</f>
        <v>1</v>
      </c>
      <c r="AC41" s="86">
        <f ca="1">IFERROR(__xludf.DUMMYFUNCTION("IMPORTRANGE(""https://docs.google.com/spreadsheets/d/1oKaccgDdQABndOzGr688Dbfxb_V3YcF67VqEPBtdzsc/edit?usp=sharing"",""ยโสธร!J146"")"),1)</f>
        <v>1</v>
      </c>
      <c r="AD41" s="87">
        <f t="shared" ca="1" si="28"/>
        <v>100</v>
      </c>
    </row>
    <row r="42" spans="1:30" ht="21" customHeight="1" x14ac:dyDescent="0.2">
      <c r="A42" s="78">
        <v>11</v>
      </c>
      <c r="B42" s="79" t="s">
        <v>64</v>
      </c>
      <c r="C42" s="80">
        <f t="shared" ca="1" si="0"/>
        <v>0</v>
      </c>
      <c r="D42" s="81">
        <f t="shared" ca="1" si="41"/>
        <v>0</v>
      </c>
      <c r="E42" s="82">
        <f ca="1">IFERROR(__xludf.DUMMYFUNCTION("IMPORTRANGE(""https://docs.google.com/spreadsheets/d/1MeEWN-I1oV_STSDYn1IFDPWt_1FKiwhDph83XaGc0o0/edit?usp=sharing"",""งบพรบ!BL42"")"),0)</f>
        <v>0</v>
      </c>
      <c r="F42" s="82">
        <f ca="1">IFERROR(__xludf.DUMMYFUNCTION("IMPORTRANGE(""https://docs.google.com/spreadsheets/d/1MeEWN-I1oV_STSDYn1IFDPWt_1FKiwhDph83XaGc0o0/edit?usp=sharing"",""งบพรบ!BM42"")"),0)</f>
        <v>0</v>
      </c>
      <c r="G42" s="82">
        <f ca="1">IFERROR(__xludf.DUMMYFUNCTION("IMPORTRANGE(""https://docs.google.com/spreadsheets/d/1MeEWN-I1oV_STSDYn1IFDPWt_1FKiwhDph83XaGc0o0/edit?usp=sharing"",""งบพรบ!BN42"")"),0)</f>
        <v>0</v>
      </c>
      <c r="H42" s="82">
        <f ca="1">IFERROR(__xludf.DUMMYFUNCTION("IMPORTRANGE(""https://docs.google.com/spreadsheets/d/1MeEWN-I1oV_STSDYn1IFDPWt_1FKiwhDph83XaGc0o0/edit?usp=sharing"",""งบพรบ!BP42"")"),0)</f>
        <v>0</v>
      </c>
      <c r="I42" s="82">
        <f ca="1">IFERROR(__xludf.DUMMYFUNCTION("IMPORTRANGE(""https://docs.google.com/spreadsheets/d/1MeEWN-I1oV_STSDYn1IFDPWt_1FKiwhDph83XaGc0o0/edit?usp=sharing"",""งบพรบ!BQ42"")"),0)</f>
        <v>0</v>
      </c>
      <c r="J42" s="82">
        <f t="shared" ca="1" si="3"/>
        <v>0</v>
      </c>
      <c r="K42" s="83">
        <f t="shared" ca="1" si="4"/>
        <v>0</v>
      </c>
      <c r="L42" s="82">
        <f ca="1">IFERROR(__xludf.DUMMYFUNCTION("IMPORTRANGE(""https://docs.google.com/spreadsheets/d/1MeEWN-I1oV_STSDYn1IFDPWt_1FKiwhDph83XaGc0o0/edit?usp=sharing"",""งบพรบ!BR42"")"),0)</f>
        <v>0</v>
      </c>
      <c r="M42" s="84">
        <f t="shared" ca="1" si="5"/>
        <v>0</v>
      </c>
      <c r="N42" s="84">
        <f t="shared" ca="1" si="6"/>
        <v>0</v>
      </c>
      <c r="O42" s="85">
        <f ca="1">IFERROR(__xludf.DUMMYFUNCTION("IMPORTRANGE(""https://docs.google.com/spreadsheets/d/1MeEWN-I1oV_STSDYn1IFDPWt_1FKiwhDph83XaGc0o0/edit?usp=sharing"",""งบพรบ!BS42"")"),0)</f>
        <v>0</v>
      </c>
      <c r="P42" s="85">
        <f t="shared" ca="1" si="30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IFERROR(__xludf.DUMMYFUNCTION("IMPORTRANGE(""https://docs.google.com/spreadsheets/d/1BRgc8xKpxZ0PX-gauieMVkV_IOxKSotf0yW8MabGprQ/edit?usp=sharing"",""ร้อยเอ็ด!J142"")"),0)</f>
        <v>0</v>
      </c>
      <c r="S42" s="86">
        <f ca="1">IFERROR(__xludf.DUMMYFUNCTION("IMPORTRANGE(""https://docs.google.com/spreadsheets/d/1BRgc8xKpxZ0PX-gauieMVkV_IOxKSotf0yW8MabGprQ/edit?usp=sharing"",""ร้อยเอ็ด!I143"")"),0)</f>
        <v>0</v>
      </c>
      <c r="T42" s="86">
        <f ca="1">IFERROR(__xludf.DUMMYFUNCTION("IMPORTRANGE(""https://docs.google.com/spreadsheets/d/1BRgc8xKpxZ0PX-gauieMVkV_IOxKSotf0yW8MabGprQ/edit?usp=sharing"",""ร้อยเอ็ด!J143"")"),0)</f>
        <v>0</v>
      </c>
      <c r="U42" s="87">
        <f t="shared" ca="1" si="25"/>
        <v>0</v>
      </c>
      <c r="V42" s="86">
        <f ca="1">IFERROR(__xludf.DUMMYFUNCTION("IMPORTRANGE(""https://docs.google.com/spreadsheets/d/1BRgc8xKpxZ0PX-gauieMVkV_IOxKSotf0yW8MabGprQ/edit?usp=sharing"",""ร้อยเอ็ด!I144"")"),0)</f>
        <v>0</v>
      </c>
      <c r="W42" s="86">
        <f ca="1">IFERROR(__xludf.DUMMYFUNCTION("IMPORTRANGE(""https://docs.google.com/spreadsheets/d/1BRgc8xKpxZ0PX-gauieMVkV_IOxKSotf0yW8MabGprQ/edit?usp=sharing"",""ร้อยเอ็ด!J144"")"),0)</f>
        <v>0</v>
      </c>
      <c r="X42" s="87">
        <f t="shared" ca="1" si="26"/>
        <v>0</v>
      </c>
      <c r="Y42" s="86">
        <f ca="1">IFERROR(__xludf.DUMMYFUNCTION("IMPORTRANGE(""https://docs.google.com/spreadsheets/d/1BRgc8xKpxZ0PX-gauieMVkV_IOxKSotf0yW8MabGprQ/edit?usp=sharing"",""ร้อยเอ็ด!I145"")"),0)</f>
        <v>0</v>
      </c>
      <c r="Z42" s="86">
        <f ca="1">IFERROR(__xludf.DUMMYFUNCTION("IMPORTRANGE(""https://docs.google.com/spreadsheets/d/1BRgc8xKpxZ0PX-gauieMVkV_IOxKSotf0yW8MabGprQ/edit?usp=sharing"",""ร้อยเอ็ด!J145"")"),0)</f>
        <v>0</v>
      </c>
      <c r="AA42" s="87">
        <f t="shared" ca="1" si="27"/>
        <v>0</v>
      </c>
      <c r="AB42" s="86">
        <f ca="1">IFERROR(__xludf.DUMMYFUNCTION("IMPORTRANGE(""https://docs.google.com/spreadsheets/d/1BRgc8xKpxZ0PX-gauieMVkV_IOxKSotf0yW8MabGprQ/edit?usp=sharing"",""ร้อยเอ็ด!I146"")"),0)</f>
        <v>0</v>
      </c>
      <c r="AC42" s="86">
        <f ca="1">IFERROR(__xludf.DUMMYFUNCTION("IMPORTRANGE(""https://docs.google.com/spreadsheets/d/1BRgc8xKpxZ0PX-gauieMVkV_IOxKSotf0yW8MabGprQ/edit?usp=sharing"",""ร้อยเอ็ด!J146"")"),0)</f>
        <v>0</v>
      </c>
      <c r="AD42" s="87">
        <f t="shared" ca="1" si="28"/>
        <v>0</v>
      </c>
    </row>
    <row r="43" spans="1:30" ht="21" customHeight="1" x14ac:dyDescent="0.2">
      <c r="A43" s="78">
        <v>12</v>
      </c>
      <c r="B43" s="79" t="s">
        <v>65</v>
      </c>
      <c r="C43" s="80">
        <f t="shared" ca="1" si="0"/>
        <v>151655</v>
      </c>
      <c r="D43" s="81">
        <f t="shared" ca="1" si="41"/>
        <v>48655</v>
      </c>
      <c r="E43" s="82">
        <f ca="1">IFERROR(__xludf.DUMMYFUNCTION("IMPORTRANGE(""https://docs.google.com/spreadsheets/d/1MeEWN-I1oV_STSDYn1IFDPWt_1FKiwhDph83XaGc0o0/edit?usp=sharing"",""งบพรบ!BL43"")"),0)</f>
        <v>0</v>
      </c>
      <c r="F43" s="82">
        <f ca="1">IFERROR(__xludf.DUMMYFUNCTION("IMPORTRANGE(""https://docs.google.com/spreadsheets/d/1MeEWN-I1oV_STSDYn1IFDPWt_1FKiwhDph83XaGc0o0/edit?usp=sharing"",""งบพรบ!BM43"")"),48655)</f>
        <v>48655</v>
      </c>
      <c r="G43" s="82">
        <f ca="1">IFERROR(__xludf.DUMMYFUNCTION("IMPORTRANGE(""https://docs.google.com/spreadsheets/d/1MeEWN-I1oV_STSDYn1IFDPWt_1FKiwhDph83XaGc0o0/edit?usp=sharing"",""งบพรบ!BN43"")"),103000)</f>
        <v>103000</v>
      </c>
      <c r="H43" s="82">
        <f ca="1">IFERROR(__xludf.DUMMYFUNCTION("IMPORTRANGE(""https://docs.google.com/spreadsheets/d/1MeEWN-I1oV_STSDYn1IFDPWt_1FKiwhDph83XaGc0o0/edit?usp=sharing"",""งบพรบ!BP43"")"),30600)</f>
        <v>30600</v>
      </c>
      <c r="I43" s="82">
        <f ca="1">IFERROR(__xludf.DUMMYFUNCTION("IMPORTRANGE(""https://docs.google.com/spreadsheets/d/1MeEWN-I1oV_STSDYn1IFDPWt_1FKiwhDph83XaGc0o0/edit?usp=sharing"",""งบพรบ!BQ43"")"),103000)</f>
        <v>103000</v>
      </c>
      <c r="J43" s="82">
        <f t="shared" ca="1" si="3"/>
        <v>102500</v>
      </c>
      <c r="K43" s="83">
        <f t="shared" ca="1" si="4"/>
        <v>67.587616629850643</v>
      </c>
      <c r="L43" s="82">
        <f ca="1">IFERROR(__xludf.DUMMYFUNCTION("IMPORTRANGE(""https://docs.google.com/spreadsheets/d/1MeEWN-I1oV_STSDYn1IFDPWt_1FKiwhDph83XaGc0o0/edit?usp=sharing"",""งบพรบ!BR43"")"),0)</f>
        <v>0</v>
      </c>
      <c r="M43" s="84">
        <f t="shared" ca="1" si="5"/>
        <v>0</v>
      </c>
      <c r="N43" s="84">
        <f t="shared" ca="1" si="6"/>
        <v>0</v>
      </c>
      <c r="O43" s="85">
        <f ca="1">IFERROR(__xludf.DUMMYFUNCTION("IMPORTRANGE(""https://docs.google.com/spreadsheets/d/1MeEWN-I1oV_STSDYn1IFDPWt_1FKiwhDph83XaGc0o0/edit?usp=sharing"",""งบพรบ!BS43"")"),102500)</f>
        <v>102500</v>
      </c>
      <c r="P43" s="85">
        <f t="shared" ca="1" si="30"/>
        <v>99.514563106796118</v>
      </c>
      <c r="Q43" s="84">
        <f t="shared" ca="1" si="8"/>
        <v>99.514563106796118</v>
      </c>
      <c r="R43" s="86">
        <f ca="1">IFERROR(__xludf.DUMMYFUNCTION("IMPORTRANGE(""https://docs.google.com/spreadsheets/d/1IdolZc-dfdgMwAm_KZxYJl1sUOcIgnbGQzbWOlddedo/edit?usp=sharing"",""เลย!J142"")"),0)</f>
        <v>0</v>
      </c>
      <c r="S43" s="86">
        <f ca="1">IFERROR(__xludf.DUMMYFUNCTION("IMPORTRANGE(""https://docs.google.com/spreadsheets/d/1IdolZc-dfdgMwAm_KZxYJl1sUOcIgnbGQzbWOlddedo/edit?usp=sharing"",""เลย!I143"")"),10)</f>
        <v>10</v>
      </c>
      <c r="T43" s="86">
        <f ca="1">IFERROR(__xludf.DUMMYFUNCTION("IMPORTRANGE(""https://docs.google.com/spreadsheets/d/1IdolZc-dfdgMwAm_KZxYJl1sUOcIgnbGQzbWOlddedo/edit?usp=sharing"",""เลย!J143"")"),0)</f>
        <v>0</v>
      </c>
      <c r="U43" s="87">
        <f t="shared" ca="1" si="25"/>
        <v>0</v>
      </c>
      <c r="V43" s="86">
        <f ca="1">IFERROR(__xludf.DUMMYFUNCTION("IMPORTRANGE(""https://docs.google.com/spreadsheets/d/1IdolZc-dfdgMwAm_KZxYJl1sUOcIgnbGQzbWOlddedo/edit?usp=sharing"",""เลย!I144"")"),5)</f>
        <v>5</v>
      </c>
      <c r="W43" s="86">
        <f ca="1">IFERROR(__xludf.DUMMYFUNCTION("IMPORTRANGE(""https://docs.google.com/spreadsheets/d/1IdolZc-dfdgMwAm_KZxYJl1sUOcIgnbGQzbWOlddedo/edit?usp=sharing"",""เลย!J144"")"),0)</f>
        <v>0</v>
      </c>
      <c r="X43" s="87">
        <f t="shared" ca="1" si="26"/>
        <v>0</v>
      </c>
      <c r="Y43" s="86">
        <f ca="1">IFERROR(__xludf.DUMMYFUNCTION("IMPORTRANGE(""https://docs.google.com/spreadsheets/d/1IdolZc-dfdgMwAm_KZxYJl1sUOcIgnbGQzbWOlddedo/edit?usp=sharing"",""เลย!I145"")"),10)</f>
        <v>10</v>
      </c>
      <c r="Z43" s="86">
        <f ca="1">IFERROR(__xludf.DUMMYFUNCTION("IMPORTRANGE(""https://docs.google.com/spreadsheets/d/1IdolZc-dfdgMwAm_KZxYJl1sUOcIgnbGQzbWOlddedo/edit?usp=sharing"",""เลย!J145"")"),0)</f>
        <v>0</v>
      </c>
      <c r="AA43" s="87">
        <f t="shared" ca="1" si="27"/>
        <v>0</v>
      </c>
      <c r="AB43" s="86">
        <f ca="1">IFERROR(__xludf.DUMMYFUNCTION("IMPORTRANGE(""https://docs.google.com/spreadsheets/d/1IdolZc-dfdgMwAm_KZxYJl1sUOcIgnbGQzbWOlddedo/edit?usp=sharing"",""เลย!I146"")"),1)</f>
        <v>1</v>
      </c>
      <c r="AC43" s="86">
        <f ca="1">IFERROR(__xludf.DUMMYFUNCTION("IMPORTRANGE(""https://docs.google.com/spreadsheets/d/1IdolZc-dfdgMwAm_KZxYJl1sUOcIgnbGQzbWOlddedo/edit?usp=sharing"",""เลย!J146"")"),0)</f>
        <v>0</v>
      </c>
      <c r="AD43" s="87">
        <f t="shared" ca="1" si="28"/>
        <v>0</v>
      </c>
    </row>
    <row r="44" spans="1:30" ht="21" customHeight="1" x14ac:dyDescent="0.2">
      <c r="A44" s="78">
        <v>13</v>
      </c>
      <c r="B44" s="79" t="s">
        <v>66</v>
      </c>
      <c r="C44" s="80">
        <f t="shared" ca="1" si="0"/>
        <v>0</v>
      </c>
      <c r="D44" s="81">
        <f t="shared" ca="1" si="41"/>
        <v>0</v>
      </c>
      <c r="E44" s="82">
        <f ca="1">IFERROR(__xludf.DUMMYFUNCTION("IMPORTRANGE(""https://docs.google.com/spreadsheets/d/1MeEWN-I1oV_STSDYn1IFDPWt_1FKiwhDph83XaGc0o0/edit?usp=sharing"",""งบพรบ!BL44"")"),0)</f>
        <v>0</v>
      </c>
      <c r="F44" s="82">
        <f ca="1">IFERROR(__xludf.DUMMYFUNCTION("IMPORTRANGE(""https://docs.google.com/spreadsheets/d/1MeEWN-I1oV_STSDYn1IFDPWt_1FKiwhDph83XaGc0o0/edit?usp=sharing"",""งบพรบ!BM44"")"),0)</f>
        <v>0</v>
      </c>
      <c r="G44" s="82">
        <f ca="1">IFERROR(__xludf.DUMMYFUNCTION("IMPORTRANGE(""https://docs.google.com/spreadsheets/d/1MeEWN-I1oV_STSDYn1IFDPWt_1FKiwhDph83XaGc0o0/edit?usp=sharing"",""งบพรบ!BN44"")"),0)</f>
        <v>0</v>
      </c>
      <c r="H44" s="82">
        <f ca="1">IFERROR(__xludf.DUMMYFUNCTION("IMPORTRANGE(""https://docs.google.com/spreadsheets/d/1MeEWN-I1oV_STSDYn1IFDPWt_1FKiwhDph83XaGc0o0/edit?usp=sharing"",""งบพรบ!BP44"")"),0)</f>
        <v>0</v>
      </c>
      <c r="I44" s="82">
        <f ca="1">IFERROR(__xludf.DUMMYFUNCTION("IMPORTRANGE(""https://docs.google.com/spreadsheets/d/1MeEWN-I1oV_STSDYn1IFDPWt_1FKiwhDph83XaGc0o0/edit?usp=sharing"",""งบพรบ!BQ44"")"),0)</f>
        <v>0</v>
      </c>
      <c r="J44" s="82">
        <f t="shared" ca="1" si="3"/>
        <v>0</v>
      </c>
      <c r="K44" s="83">
        <f t="shared" ca="1" si="4"/>
        <v>0</v>
      </c>
      <c r="L44" s="82">
        <f ca="1">IFERROR(__xludf.DUMMYFUNCTION("IMPORTRANGE(""https://docs.google.com/spreadsheets/d/1MeEWN-I1oV_STSDYn1IFDPWt_1FKiwhDph83XaGc0o0/edit?usp=sharing"",""งบพรบ!BR44"")"),0)</f>
        <v>0</v>
      </c>
      <c r="M44" s="84">
        <f t="shared" ca="1" si="5"/>
        <v>0</v>
      </c>
      <c r="N44" s="84">
        <f t="shared" ca="1" si="6"/>
        <v>0</v>
      </c>
      <c r="O44" s="85">
        <f ca="1">IFERROR(__xludf.DUMMYFUNCTION("IMPORTRANGE(""https://docs.google.com/spreadsheets/d/1MeEWN-I1oV_STSDYn1IFDPWt_1FKiwhDph83XaGc0o0/edit?usp=sharing"",""งบพรบ!BS44"")"),0)</f>
        <v>0</v>
      </c>
      <c r="P44" s="85">
        <f t="shared" ca="1" si="30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IFERROR(__xludf.DUMMYFUNCTION("IMPORTRANGE(""https://docs.google.com/spreadsheets/d/1tZ0nmtGuIRCaGAMXHlQU8EpR9LOAJvyKfc4f7EFmE34/edit?usp=sharing"",""ศรีสะเกษ!J142"")"),0)</f>
        <v>0</v>
      </c>
      <c r="S44" s="86">
        <f ca="1">IFERROR(__xludf.DUMMYFUNCTION("IMPORTRANGE(""https://docs.google.com/spreadsheets/d/1tZ0nmtGuIRCaGAMXHlQU8EpR9LOAJvyKfc4f7EFmE34/edit?usp=sharing"",""ศรีสะเกษ!I143"")"),0)</f>
        <v>0</v>
      </c>
      <c r="T44" s="86">
        <f ca="1">IFERROR(__xludf.DUMMYFUNCTION("IMPORTRANGE(""https://docs.google.com/spreadsheets/d/1tZ0nmtGuIRCaGAMXHlQU8EpR9LOAJvyKfc4f7EFmE34/edit?usp=sharing"",""ศรีสะเกษ!J143"")"),0)</f>
        <v>0</v>
      </c>
      <c r="U44" s="87">
        <f t="shared" ca="1" si="25"/>
        <v>0</v>
      </c>
      <c r="V44" s="86">
        <f ca="1">IFERROR(__xludf.DUMMYFUNCTION("IMPORTRANGE(""https://docs.google.com/spreadsheets/d/1tZ0nmtGuIRCaGAMXHlQU8EpR9LOAJvyKfc4f7EFmE34/edit?usp=sharing"",""ศรีสะเกษ!I144"")"),0)</f>
        <v>0</v>
      </c>
      <c r="W44" s="86">
        <f ca="1">IFERROR(__xludf.DUMMYFUNCTION("IMPORTRANGE(""https://docs.google.com/spreadsheets/d/1tZ0nmtGuIRCaGAMXHlQU8EpR9LOAJvyKfc4f7EFmE34/edit?usp=sharing"",""ศรีสะเกษ!J144"")"),0)</f>
        <v>0</v>
      </c>
      <c r="X44" s="87">
        <f t="shared" ca="1" si="26"/>
        <v>0</v>
      </c>
      <c r="Y44" s="86">
        <f ca="1">IFERROR(__xludf.DUMMYFUNCTION("IMPORTRANGE(""https://docs.google.com/spreadsheets/d/1tZ0nmtGuIRCaGAMXHlQU8EpR9LOAJvyKfc4f7EFmE34/edit?usp=sharing"",""ศรีสะเกษ!I145"")"),0)</f>
        <v>0</v>
      </c>
      <c r="Z44" s="86">
        <f ca="1">IFERROR(__xludf.DUMMYFUNCTION("IMPORTRANGE(""https://docs.google.com/spreadsheets/d/1tZ0nmtGuIRCaGAMXHlQU8EpR9LOAJvyKfc4f7EFmE34/edit?usp=sharing"",""ศรีสะเกษ!J145"")"),0)</f>
        <v>0</v>
      </c>
      <c r="AA44" s="87">
        <f t="shared" ca="1" si="27"/>
        <v>0</v>
      </c>
      <c r="AB44" s="86">
        <f ca="1">IFERROR(__xludf.DUMMYFUNCTION("IMPORTRANGE(""https://docs.google.com/spreadsheets/d/1tZ0nmtGuIRCaGAMXHlQU8EpR9LOAJvyKfc4f7EFmE34/edit?usp=sharing"",""ศรีสะเกษ!I146"")"),0)</f>
        <v>0</v>
      </c>
      <c r="AC44" s="86">
        <f ca="1">IFERROR(__xludf.DUMMYFUNCTION("IMPORTRANGE(""https://docs.google.com/spreadsheets/d/1tZ0nmtGuIRCaGAMXHlQU8EpR9LOAJvyKfc4f7EFmE34/edit?usp=sharing"",""ศรีสะเกษ!J146"")"),0)</f>
        <v>0</v>
      </c>
      <c r="AD44" s="87">
        <f t="shared" ca="1" si="28"/>
        <v>0</v>
      </c>
    </row>
    <row r="45" spans="1:30" ht="21" customHeight="1" x14ac:dyDescent="0.2">
      <c r="A45" s="78">
        <v>14</v>
      </c>
      <c r="B45" s="79" t="s">
        <v>67</v>
      </c>
      <c r="C45" s="80">
        <f t="shared" ca="1" si="0"/>
        <v>454965</v>
      </c>
      <c r="D45" s="81">
        <f t="shared" ca="1" si="41"/>
        <v>145965</v>
      </c>
      <c r="E45" s="82">
        <f ca="1">IFERROR(__xludf.DUMMYFUNCTION("IMPORTRANGE(""https://docs.google.com/spreadsheets/d/1MeEWN-I1oV_STSDYn1IFDPWt_1FKiwhDph83XaGc0o0/edit?usp=sharing"",""งบพรบ!BL45"")"),0)</f>
        <v>0</v>
      </c>
      <c r="F45" s="82">
        <f ca="1">IFERROR(__xludf.DUMMYFUNCTION("IMPORTRANGE(""https://docs.google.com/spreadsheets/d/1MeEWN-I1oV_STSDYn1IFDPWt_1FKiwhDph83XaGc0o0/edit?usp=sharing"",""งบพรบ!BM45"")"),145965)</f>
        <v>145965</v>
      </c>
      <c r="G45" s="82">
        <f ca="1">IFERROR(__xludf.DUMMYFUNCTION("IMPORTRANGE(""https://docs.google.com/spreadsheets/d/1MeEWN-I1oV_STSDYn1IFDPWt_1FKiwhDph83XaGc0o0/edit?usp=sharing"",""งบพรบ!BN45"")"),309000)</f>
        <v>309000</v>
      </c>
      <c r="H45" s="82">
        <f ca="1">IFERROR(__xludf.DUMMYFUNCTION("IMPORTRANGE(""https://docs.google.com/spreadsheets/d/1MeEWN-I1oV_STSDYn1IFDPWt_1FKiwhDph83XaGc0o0/edit?usp=sharing"",""งบพรบ!BP45"")"),91800)</f>
        <v>91800</v>
      </c>
      <c r="I45" s="82">
        <f ca="1">IFERROR(__xludf.DUMMYFUNCTION("IMPORTRANGE(""https://docs.google.com/spreadsheets/d/1MeEWN-I1oV_STSDYn1IFDPWt_1FKiwhDph83XaGc0o0/edit?usp=sharing"",""งบพรบ!BQ45"")"),309000)</f>
        <v>309000</v>
      </c>
      <c r="J45" s="82">
        <f t="shared" ca="1" si="3"/>
        <v>349050</v>
      </c>
      <c r="K45" s="83">
        <f t="shared" ca="1" si="4"/>
        <v>76.720187267152411</v>
      </c>
      <c r="L45" s="82">
        <f ca="1">IFERROR(__xludf.DUMMYFUNCTION("IMPORTRANGE(""https://docs.google.com/spreadsheets/d/1MeEWN-I1oV_STSDYn1IFDPWt_1FKiwhDph83XaGc0o0/edit?usp=sharing"",""งบพรบ!BR45"")"),40050)</f>
        <v>40050</v>
      </c>
      <c r="M45" s="84">
        <f t="shared" ca="1" si="5"/>
        <v>27.438084472305004</v>
      </c>
      <c r="N45" s="84">
        <f t="shared" ca="1" si="6"/>
        <v>43.627450980392155</v>
      </c>
      <c r="O45" s="85">
        <f ca="1">IFERROR(__xludf.DUMMYFUNCTION("IMPORTRANGE(""https://docs.google.com/spreadsheets/d/1MeEWN-I1oV_STSDYn1IFDPWt_1FKiwhDph83XaGc0o0/edit?usp=sharing"",""งบพรบ!BS45"")"),309000)</f>
        <v>309000</v>
      </c>
      <c r="P45" s="85">
        <f t="shared" ca="1" si="30"/>
        <v>100</v>
      </c>
      <c r="Q45" s="84">
        <f t="shared" ca="1" si="8"/>
        <v>100</v>
      </c>
      <c r="R45" s="86">
        <f ca="1">IFERROR(__xludf.DUMMYFUNCTION("IMPORTRANGE(""https://docs.google.com/spreadsheets/d/1QC8psz9w0f9IVE9Xuc2FT_btkaOzZbbUSgYObpBuetM/edit?usp=sharing"",""สกลนคร!J142"")"),0)</f>
        <v>0</v>
      </c>
      <c r="S45" s="86">
        <f ca="1">IFERROR(__xludf.DUMMYFUNCTION("IMPORTRANGE(""https://docs.google.com/spreadsheets/d/1QC8psz9w0f9IVE9Xuc2FT_btkaOzZbbUSgYObpBuetM/edit?usp=sharing"",""สกลนคร!I143"")"),30)</f>
        <v>30</v>
      </c>
      <c r="T45" s="86">
        <f ca="1">IFERROR(__xludf.DUMMYFUNCTION("IMPORTRANGE(""https://docs.google.com/spreadsheets/d/1QC8psz9w0f9IVE9Xuc2FT_btkaOzZbbUSgYObpBuetM/edit?usp=sharing"",""สกลนคร!J143"")"),0)</f>
        <v>0</v>
      </c>
      <c r="U45" s="87">
        <f t="shared" ca="1" si="25"/>
        <v>0</v>
      </c>
      <c r="V45" s="86">
        <f ca="1">IFERROR(__xludf.DUMMYFUNCTION("IMPORTRANGE(""https://docs.google.com/spreadsheets/d/1QC8psz9w0f9IVE9Xuc2FT_btkaOzZbbUSgYObpBuetM/edit?usp=sharing"",""สกลนคร!I144"")"),15)</f>
        <v>15</v>
      </c>
      <c r="W45" s="86">
        <f ca="1">IFERROR(__xludf.DUMMYFUNCTION("IMPORTRANGE(""https://docs.google.com/spreadsheets/d/1QC8psz9w0f9IVE9Xuc2FT_btkaOzZbbUSgYObpBuetM/edit?usp=sharing"",""สกลนคร!J144"")"),15)</f>
        <v>15</v>
      </c>
      <c r="X45" s="87">
        <f t="shared" ca="1" si="26"/>
        <v>100</v>
      </c>
      <c r="Y45" s="86">
        <f ca="1">IFERROR(__xludf.DUMMYFUNCTION("IMPORTRANGE(""https://docs.google.com/spreadsheets/d/1QC8psz9w0f9IVE9Xuc2FT_btkaOzZbbUSgYObpBuetM/edit?usp=sharing"",""สกลนคร!I145"")"),30)</f>
        <v>30</v>
      </c>
      <c r="Z45" s="86">
        <f ca="1">IFERROR(__xludf.DUMMYFUNCTION("IMPORTRANGE(""https://docs.google.com/spreadsheets/d/1QC8psz9w0f9IVE9Xuc2FT_btkaOzZbbUSgYObpBuetM/edit?usp=sharing"",""สกลนคร!J145"")"),0)</f>
        <v>0</v>
      </c>
      <c r="AA45" s="87">
        <f t="shared" ca="1" si="27"/>
        <v>0</v>
      </c>
      <c r="AB45" s="86">
        <f ca="1">IFERROR(__xludf.DUMMYFUNCTION("IMPORTRANGE(""https://docs.google.com/spreadsheets/d/1QC8psz9w0f9IVE9Xuc2FT_btkaOzZbbUSgYObpBuetM/edit?usp=sharing"",""สกลนคร!I146"")"),3)</f>
        <v>3</v>
      </c>
      <c r="AC45" s="86">
        <f ca="1">IFERROR(__xludf.DUMMYFUNCTION("IMPORTRANGE(""https://docs.google.com/spreadsheets/d/1QC8psz9w0f9IVE9Xuc2FT_btkaOzZbbUSgYObpBuetM/edit?usp=sharing"",""สกลนคร!J146"")"),3)</f>
        <v>3</v>
      </c>
      <c r="AD45" s="87">
        <f t="shared" ca="1" si="28"/>
        <v>100</v>
      </c>
    </row>
    <row r="46" spans="1:30" ht="21" customHeight="1" x14ac:dyDescent="0.2">
      <c r="A46" s="78">
        <v>15</v>
      </c>
      <c r="B46" s="79" t="s">
        <v>68</v>
      </c>
      <c r="C46" s="80">
        <f t="shared" ca="1" si="0"/>
        <v>0</v>
      </c>
      <c r="D46" s="81">
        <f t="shared" ca="1" si="41"/>
        <v>0</v>
      </c>
      <c r="E46" s="82">
        <f ca="1">IFERROR(__xludf.DUMMYFUNCTION("IMPORTRANGE(""https://docs.google.com/spreadsheets/d/1MeEWN-I1oV_STSDYn1IFDPWt_1FKiwhDph83XaGc0o0/edit?usp=sharing"",""งบพรบ!BL46"")"),0)</f>
        <v>0</v>
      </c>
      <c r="F46" s="82">
        <f ca="1">IFERROR(__xludf.DUMMYFUNCTION("IMPORTRANGE(""https://docs.google.com/spreadsheets/d/1MeEWN-I1oV_STSDYn1IFDPWt_1FKiwhDph83XaGc0o0/edit?usp=sharing"",""งบพรบ!BM46"")"),0)</f>
        <v>0</v>
      </c>
      <c r="G46" s="82">
        <f ca="1">IFERROR(__xludf.DUMMYFUNCTION("IMPORTRANGE(""https://docs.google.com/spreadsheets/d/1MeEWN-I1oV_STSDYn1IFDPWt_1FKiwhDph83XaGc0o0/edit?usp=sharing"",""งบพรบ!BN46"")"),0)</f>
        <v>0</v>
      </c>
      <c r="H46" s="82">
        <f ca="1">IFERROR(__xludf.DUMMYFUNCTION("IMPORTRANGE(""https://docs.google.com/spreadsheets/d/1MeEWN-I1oV_STSDYn1IFDPWt_1FKiwhDph83XaGc0o0/edit?usp=sharing"",""งบพรบ!BP46"")"),0)</f>
        <v>0</v>
      </c>
      <c r="I46" s="82">
        <f ca="1">IFERROR(__xludf.DUMMYFUNCTION("IMPORTRANGE(""https://docs.google.com/spreadsheets/d/1MeEWN-I1oV_STSDYn1IFDPWt_1FKiwhDph83XaGc0o0/edit?usp=sharing"",""งบพรบ!BQ46"")"),0)</f>
        <v>0</v>
      </c>
      <c r="J46" s="82">
        <f t="shared" ca="1" si="3"/>
        <v>0</v>
      </c>
      <c r="K46" s="83">
        <f t="shared" ca="1" si="4"/>
        <v>0</v>
      </c>
      <c r="L46" s="82">
        <f ca="1">IFERROR(__xludf.DUMMYFUNCTION("IMPORTRANGE(""https://docs.google.com/spreadsheets/d/1MeEWN-I1oV_STSDYn1IFDPWt_1FKiwhDph83XaGc0o0/edit?usp=sharing"",""งบพรบ!BR46"")"),0)</f>
        <v>0</v>
      </c>
      <c r="M46" s="84">
        <f t="shared" ca="1" si="5"/>
        <v>0</v>
      </c>
      <c r="N46" s="84">
        <f t="shared" ca="1" si="6"/>
        <v>0</v>
      </c>
      <c r="O46" s="85">
        <f ca="1">IFERROR(__xludf.DUMMYFUNCTION("IMPORTRANGE(""https://docs.google.com/spreadsheets/d/1MeEWN-I1oV_STSDYn1IFDPWt_1FKiwhDph83XaGc0o0/edit?usp=sharing"",""งบพรบ!BS46"")"),0)</f>
        <v>0</v>
      </c>
      <c r="P46" s="85">
        <f t="shared" ca="1" si="30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IFERROR(__xludf.DUMMYFUNCTION("IMPORTRANGE(""https://docs.google.com/spreadsheets/d/1wPdvRbu02d33MYVlbsCnyTiZpefEBs9NNktAnT1HZvw/edit?usp=sharing"",""สุรินทร์!J142"")"),0)</f>
        <v>0</v>
      </c>
      <c r="S46" s="86">
        <f ca="1">IFERROR(__xludf.DUMMYFUNCTION("IMPORTRANGE(""https://docs.google.com/spreadsheets/d/1wPdvRbu02d33MYVlbsCnyTiZpefEBs9NNktAnT1HZvw/edit?usp=sharing"",""สุรินทร์!I143"")"),0)</f>
        <v>0</v>
      </c>
      <c r="T46" s="86">
        <f ca="1">IFERROR(__xludf.DUMMYFUNCTION("IMPORTRANGE(""https://docs.google.com/spreadsheets/d/1wPdvRbu02d33MYVlbsCnyTiZpefEBs9NNktAnT1HZvw/edit?usp=sharing"",""สุรินทร์!J143"")"),0)</f>
        <v>0</v>
      </c>
      <c r="U46" s="87">
        <f t="shared" ca="1" si="25"/>
        <v>0</v>
      </c>
      <c r="V46" s="86">
        <f ca="1">IFERROR(__xludf.DUMMYFUNCTION("IMPORTRANGE(""https://docs.google.com/spreadsheets/d/1wPdvRbu02d33MYVlbsCnyTiZpefEBs9NNktAnT1HZvw/edit?usp=sharing"",""สุรินทร์!I144"")"),0)</f>
        <v>0</v>
      </c>
      <c r="W46" s="86">
        <f ca="1">IFERROR(__xludf.DUMMYFUNCTION("IMPORTRANGE(""https://docs.google.com/spreadsheets/d/1wPdvRbu02d33MYVlbsCnyTiZpefEBs9NNktAnT1HZvw/edit?usp=sharing"",""สุรินทร์!J144"")"),0)</f>
        <v>0</v>
      </c>
      <c r="X46" s="87">
        <f t="shared" ca="1" si="26"/>
        <v>0</v>
      </c>
      <c r="Y46" s="86">
        <f ca="1">IFERROR(__xludf.DUMMYFUNCTION("IMPORTRANGE(""https://docs.google.com/spreadsheets/d/1wPdvRbu02d33MYVlbsCnyTiZpefEBs9NNktAnT1HZvw/edit?usp=sharing"",""สุรินทร์!I145"")"),0)</f>
        <v>0</v>
      </c>
      <c r="Z46" s="86">
        <f ca="1">IFERROR(__xludf.DUMMYFUNCTION("IMPORTRANGE(""https://docs.google.com/spreadsheets/d/1wPdvRbu02d33MYVlbsCnyTiZpefEBs9NNktAnT1HZvw/edit?usp=sharing"",""สุรินทร์!J145"")"),0)</f>
        <v>0</v>
      </c>
      <c r="AA46" s="87">
        <f t="shared" ca="1" si="27"/>
        <v>0</v>
      </c>
      <c r="AB46" s="86">
        <f ca="1">IFERROR(__xludf.DUMMYFUNCTION("IMPORTRANGE(""https://docs.google.com/spreadsheets/d/1wPdvRbu02d33MYVlbsCnyTiZpefEBs9NNktAnT1HZvw/edit?usp=sharing"",""สุรินทร์!I146"")"),0)</f>
        <v>0</v>
      </c>
      <c r="AC46" s="86">
        <f ca="1">IFERROR(__xludf.DUMMYFUNCTION("IMPORTRANGE(""https://docs.google.com/spreadsheets/d/1wPdvRbu02d33MYVlbsCnyTiZpefEBs9NNktAnT1HZvw/edit?usp=sharing"",""สุรินทร์!J146"")"),0)</f>
        <v>0</v>
      </c>
      <c r="AD46" s="87">
        <f t="shared" ca="1" si="28"/>
        <v>0</v>
      </c>
    </row>
    <row r="47" spans="1:30" ht="21" customHeight="1" x14ac:dyDescent="0.2">
      <c r="A47" s="78">
        <v>16</v>
      </c>
      <c r="B47" s="79" t="s">
        <v>69</v>
      </c>
      <c r="C47" s="80">
        <f t="shared" ca="1" si="0"/>
        <v>454965</v>
      </c>
      <c r="D47" s="81">
        <f t="shared" ca="1" si="41"/>
        <v>145965</v>
      </c>
      <c r="E47" s="82">
        <f ca="1">IFERROR(__xludf.DUMMYFUNCTION("IMPORTRANGE(""https://docs.google.com/spreadsheets/d/1MeEWN-I1oV_STSDYn1IFDPWt_1FKiwhDph83XaGc0o0/edit?usp=sharing"",""งบพรบ!BL47"")"),0)</f>
        <v>0</v>
      </c>
      <c r="F47" s="82">
        <f ca="1">IFERROR(__xludf.DUMMYFUNCTION("IMPORTRANGE(""https://docs.google.com/spreadsheets/d/1MeEWN-I1oV_STSDYn1IFDPWt_1FKiwhDph83XaGc0o0/edit?usp=sharing"",""งบพรบ!BM47"")"),145965)</f>
        <v>145965</v>
      </c>
      <c r="G47" s="82">
        <f ca="1">IFERROR(__xludf.DUMMYFUNCTION("IMPORTRANGE(""https://docs.google.com/spreadsheets/d/1MeEWN-I1oV_STSDYn1IFDPWt_1FKiwhDph83XaGc0o0/edit?usp=sharing"",""งบพรบ!BN47"")"),309000)</f>
        <v>309000</v>
      </c>
      <c r="H47" s="82">
        <f ca="1">IFERROR(__xludf.DUMMYFUNCTION("IMPORTRANGE(""https://docs.google.com/spreadsheets/d/1MeEWN-I1oV_STSDYn1IFDPWt_1FKiwhDph83XaGc0o0/edit?usp=sharing"",""งบพรบ!BP47"")"),91800)</f>
        <v>91800</v>
      </c>
      <c r="I47" s="82">
        <f ca="1">IFERROR(__xludf.DUMMYFUNCTION("IMPORTRANGE(""https://docs.google.com/spreadsheets/d/1MeEWN-I1oV_STSDYn1IFDPWt_1FKiwhDph83XaGc0o0/edit?usp=sharing"",""งบพรบ!BQ47"")"),309000)</f>
        <v>309000</v>
      </c>
      <c r="J47" s="82">
        <f t="shared" ca="1" si="3"/>
        <v>399270</v>
      </c>
      <c r="K47" s="83">
        <f t="shared" ca="1" si="4"/>
        <v>87.758398997725095</v>
      </c>
      <c r="L47" s="82">
        <f ca="1">IFERROR(__xludf.DUMMYFUNCTION("IMPORTRANGE(""https://docs.google.com/spreadsheets/d/1MeEWN-I1oV_STSDYn1IFDPWt_1FKiwhDph83XaGc0o0/edit?usp=sharing"",""งบพรบ!BR47"")"),90270)</f>
        <v>90270</v>
      </c>
      <c r="M47" s="84">
        <f t="shared" ca="1" si="5"/>
        <v>61.843592642071727</v>
      </c>
      <c r="N47" s="84">
        <f t="shared" ca="1" si="6"/>
        <v>98.333333333333329</v>
      </c>
      <c r="O47" s="85">
        <f ca="1">IFERROR(__xludf.DUMMYFUNCTION("IMPORTRANGE(""https://docs.google.com/spreadsheets/d/1MeEWN-I1oV_STSDYn1IFDPWt_1FKiwhDph83XaGc0o0/edit?usp=sharing"",""งบพรบ!BS47"")"),309000)</f>
        <v>309000</v>
      </c>
      <c r="P47" s="85">
        <f t="shared" ca="1" si="30"/>
        <v>100</v>
      </c>
      <c r="Q47" s="84">
        <f t="shared" ca="1" si="8"/>
        <v>100</v>
      </c>
      <c r="R47" s="86">
        <f ca="1">IFERROR(__xludf.DUMMYFUNCTION("IMPORTRANGE(""https://docs.google.com/spreadsheets/d/1GVExpf-Exi_2gmuqTYH28fseTB9MoKPXWcXCbSt_YrM/edit?usp=sharing"",""หนองคาย!J142"")"),0)</f>
        <v>0</v>
      </c>
      <c r="S47" s="86">
        <f ca="1">IFERROR(__xludf.DUMMYFUNCTION("IMPORTRANGE(""https://docs.google.com/spreadsheets/d/1GVExpf-Exi_2gmuqTYH28fseTB9MoKPXWcXCbSt_YrM/edit?usp=sharing"",""หนองคาย!I143"")"),30)</f>
        <v>30</v>
      </c>
      <c r="T47" s="86">
        <f ca="1">IFERROR(__xludf.DUMMYFUNCTION("IMPORTRANGE(""https://docs.google.com/spreadsheets/d/1GVExpf-Exi_2gmuqTYH28fseTB9MoKPXWcXCbSt_YrM/edit?usp=sharing"",""หนองคาย!J143"")"),30)</f>
        <v>30</v>
      </c>
      <c r="U47" s="87">
        <f t="shared" ca="1" si="25"/>
        <v>100</v>
      </c>
      <c r="V47" s="86">
        <f ca="1">IFERROR(__xludf.DUMMYFUNCTION("IMPORTRANGE(""https://docs.google.com/spreadsheets/d/1GVExpf-Exi_2gmuqTYH28fseTB9MoKPXWcXCbSt_YrM/edit?usp=sharing"",""หนองคาย!I144"")"),15)</f>
        <v>15</v>
      </c>
      <c r="W47" s="86">
        <f ca="1">IFERROR(__xludf.DUMMYFUNCTION("IMPORTRANGE(""https://docs.google.com/spreadsheets/d/1GVExpf-Exi_2gmuqTYH28fseTB9MoKPXWcXCbSt_YrM/edit?usp=sharing"",""หนองคาย!J144"")"),15)</f>
        <v>15</v>
      </c>
      <c r="X47" s="87">
        <f t="shared" ca="1" si="26"/>
        <v>100</v>
      </c>
      <c r="Y47" s="86">
        <f ca="1">IFERROR(__xludf.DUMMYFUNCTION("IMPORTRANGE(""https://docs.google.com/spreadsheets/d/1GVExpf-Exi_2gmuqTYH28fseTB9MoKPXWcXCbSt_YrM/edit?usp=sharing"",""หนองคาย!I145"")"),30)</f>
        <v>30</v>
      </c>
      <c r="Z47" s="86">
        <f ca="1">IFERROR(__xludf.DUMMYFUNCTION("IMPORTRANGE(""https://docs.google.com/spreadsheets/d/1GVExpf-Exi_2gmuqTYH28fseTB9MoKPXWcXCbSt_YrM/edit?usp=sharing"",""หนองคาย!J145"")"),30)</f>
        <v>30</v>
      </c>
      <c r="AA47" s="87">
        <f t="shared" ca="1" si="27"/>
        <v>100</v>
      </c>
      <c r="AB47" s="86">
        <f ca="1">IFERROR(__xludf.DUMMYFUNCTION("IMPORTRANGE(""https://docs.google.com/spreadsheets/d/1GVExpf-Exi_2gmuqTYH28fseTB9MoKPXWcXCbSt_YrM/edit?usp=sharing"",""หนองคาย!I146"")"),3)</f>
        <v>3</v>
      </c>
      <c r="AC47" s="86">
        <f ca="1">IFERROR(__xludf.DUMMYFUNCTION("IMPORTRANGE(""https://docs.google.com/spreadsheets/d/1GVExpf-Exi_2gmuqTYH28fseTB9MoKPXWcXCbSt_YrM/edit?usp=sharing"",""หนองคาย!J146"")"),0)</f>
        <v>0</v>
      </c>
      <c r="AD47" s="87">
        <f t="shared" ca="1" si="28"/>
        <v>0</v>
      </c>
    </row>
    <row r="48" spans="1:30" ht="21" customHeight="1" x14ac:dyDescent="0.2">
      <c r="A48" s="78">
        <v>17</v>
      </c>
      <c r="B48" s="79" t="s">
        <v>70</v>
      </c>
      <c r="C48" s="80">
        <f t="shared" ca="1" si="0"/>
        <v>0</v>
      </c>
      <c r="D48" s="81">
        <f t="shared" ca="1" si="41"/>
        <v>0</v>
      </c>
      <c r="E48" s="82">
        <f ca="1">IFERROR(__xludf.DUMMYFUNCTION("IMPORTRANGE(""https://docs.google.com/spreadsheets/d/1MeEWN-I1oV_STSDYn1IFDPWt_1FKiwhDph83XaGc0o0/edit?usp=sharing"",""งบพรบ!BL48"")"),0)</f>
        <v>0</v>
      </c>
      <c r="F48" s="82">
        <f ca="1">IFERROR(__xludf.DUMMYFUNCTION("IMPORTRANGE(""https://docs.google.com/spreadsheets/d/1MeEWN-I1oV_STSDYn1IFDPWt_1FKiwhDph83XaGc0o0/edit?usp=sharing"",""งบพรบ!BM48"")"),0)</f>
        <v>0</v>
      </c>
      <c r="G48" s="82">
        <f ca="1">IFERROR(__xludf.DUMMYFUNCTION("IMPORTRANGE(""https://docs.google.com/spreadsheets/d/1MeEWN-I1oV_STSDYn1IFDPWt_1FKiwhDph83XaGc0o0/edit?usp=sharing"",""งบพรบ!BN48"")"),0)</f>
        <v>0</v>
      </c>
      <c r="H48" s="82">
        <f ca="1">IFERROR(__xludf.DUMMYFUNCTION("IMPORTRANGE(""https://docs.google.com/spreadsheets/d/1MeEWN-I1oV_STSDYn1IFDPWt_1FKiwhDph83XaGc0o0/edit?usp=sharing"",""งบพรบ!BP48"")"),0)</f>
        <v>0</v>
      </c>
      <c r="I48" s="82">
        <f ca="1">IFERROR(__xludf.DUMMYFUNCTION("IMPORTRANGE(""https://docs.google.com/spreadsheets/d/1MeEWN-I1oV_STSDYn1IFDPWt_1FKiwhDph83XaGc0o0/edit?usp=sharing"",""งบพรบ!BQ48"")"),0)</f>
        <v>0</v>
      </c>
      <c r="J48" s="82">
        <f t="shared" ca="1" si="3"/>
        <v>0</v>
      </c>
      <c r="K48" s="83">
        <f t="shared" ca="1" si="4"/>
        <v>0</v>
      </c>
      <c r="L48" s="82">
        <f ca="1">IFERROR(__xludf.DUMMYFUNCTION("IMPORTRANGE(""https://docs.google.com/spreadsheets/d/1MeEWN-I1oV_STSDYn1IFDPWt_1FKiwhDph83XaGc0o0/edit?usp=sharing"",""งบพรบ!BR48"")"),0)</f>
        <v>0</v>
      </c>
      <c r="M48" s="84">
        <f t="shared" ca="1" si="5"/>
        <v>0</v>
      </c>
      <c r="N48" s="84">
        <f t="shared" ca="1" si="6"/>
        <v>0</v>
      </c>
      <c r="O48" s="85">
        <f ca="1">IFERROR(__xludf.DUMMYFUNCTION("IMPORTRANGE(""https://docs.google.com/spreadsheets/d/1MeEWN-I1oV_STSDYn1IFDPWt_1FKiwhDph83XaGc0o0/edit?usp=sharing"",""งบพรบ!BS48"")"),0)</f>
        <v>0</v>
      </c>
      <c r="P48" s="85">
        <f t="shared" ca="1" si="30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IFERROR(__xludf.DUMMYFUNCTION("IMPORTRANGE(""https://docs.google.com/spreadsheets/d/16UeMz0UgOB5BZcoxP75eYGcLFtGYRn9GoesD4OX9m5U/edit?usp=sharing"",""หนองบัวลำภู!J142"")"),0)</f>
        <v>0</v>
      </c>
      <c r="S48" s="86">
        <f ca="1">IFERROR(__xludf.DUMMYFUNCTION("IMPORTRANGE(""https://docs.google.com/spreadsheets/d/16UeMz0UgOB5BZcoxP75eYGcLFtGYRn9GoesD4OX9m5U/edit?usp=sharing"",""หนองบัวลำภู!I143"")"),0)</f>
        <v>0</v>
      </c>
      <c r="T48" s="86">
        <f ca="1">IFERROR(__xludf.DUMMYFUNCTION("IMPORTRANGE(""https://docs.google.com/spreadsheets/d/16UeMz0UgOB5BZcoxP75eYGcLFtGYRn9GoesD4OX9m5U/edit?usp=sharing"",""หนองบัวลำภู!J143"")"),0)</f>
        <v>0</v>
      </c>
      <c r="U48" s="87">
        <f t="shared" ca="1" si="25"/>
        <v>0</v>
      </c>
      <c r="V48" s="86">
        <f ca="1">IFERROR(__xludf.DUMMYFUNCTION("IMPORTRANGE(""https://docs.google.com/spreadsheets/d/16UeMz0UgOB5BZcoxP75eYGcLFtGYRn9GoesD4OX9m5U/edit?usp=sharing"",""หนองบัวลำภู!I144"")"),0)</f>
        <v>0</v>
      </c>
      <c r="W48" s="86">
        <f ca="1">IFERROR(__xludf.DUMMYFUNCTION("IMPORTRANGE(""https://docs.google.com/spreadsheets/d/16UeMz0UgOB5BZcoxP75eYGcLFtGYRn9GoesD4OX9m5U/edit?usp=sharing"",""หนองบัวลำภู!J144"")"),0)</f>
        <v>0</v>
      </c>
      <c r="X48" s="87">
        <f t="shared" ca="1" si="26"/>
        <v>0</v>
      </c>
      <c r="Y48" s="86">
        <f ca="1">IFERROR(__xludf.DUMMYFUNCTION("IMPORTRANGE(""https://docs.google.com/spreadsheets/d/16UeMz0UgOB5BZcoxP75eYGcLFtGYRn9GoesD4OX9m5U/edit?usp=sharing"",""หนองบัวลำภู!I145"")"),0)</f>
        <v>0</v>
      </c>
      <c r="Z48" s="86">
        <f ca="1">IFERROR(__xludf.DUMMYFUNCTION("IMPORTRANGE(""https://docs.google.com/spreadsheets/d/16UeMz0UgOB5BZcoxP75eYGcLFtGYRn9GoesD4OX9m5U/edit?usp=sharing"",""หนองบัวลำภู!J145"")"),0)</f>
        <v>0</v>
      </c>
      <c r="AA48" s="87">
        <f t="shared" ca="1" si="27"/>
        <v>0</v>
      </c>
      <c r="AB48" s="86">
        <f ca="1">IFERROR(__xludf.DUMMYFUNCTION("IMPORTRANGE(""https://docs.google.com/spreadsheets/d/16UeMz0UgOB5BZcoxP75eYGcLFtGYRn9GoesD4OX9m5U/edit?usp=sharing"",""หนองบัวลำภู!I146"")"),0)</f>
        <v>0</v>
      </c>
      <c r="AC48" s="86">
        <f ca="1">IFERROR(__xludf.DUMMYFUNCTION("IMPORTRANGE(""https://docs.google.com/spreadsheets/d/16UeMz0UgOB5BZcoxP75eYGcLFtGYRn9GoesD4OX9m5U/edit?usp=sharing"",""หนองบัวลำภู!J146"")"),0)</f>
        <v>0</v>
      </c>
      <c r="AD48" s="87">
        <f t="shared" ca="1" si="28"/>
        <v>0</v>
      </c>
    </row>
    <row r="49" spans="1:30" ht="21" customHeight="1" x14ac:dyDescent="0.2">
      <c r="A49" s="78">
        <v>18</v>
      </c>
      <c r="B49" s="79" t="s">
        <v>71</v>
      </c>
      <c r="C49" s="80">
        <f t="shared" ca="1" si="0"/>
        <v>0</v>
      </c>
      <c r="D49" s="81">
        <f t="shared" ca="1" si="41"/>
        <v>0</v>
      </c>
      <c r="E49" s="82">
        <f ca="1">IFERROR(__xludf.DUMMYFUNCTION("IMPORTRANGE(""https://docs.google.com/spreadsheets/d/1MeEWN-I1oV_STSDYn1IFDPWt_1FKiwhDph83XaGc0o0/edit?usp=sharing"",""งบพรบ!BL49"")"),0)</f>
        <v>0</v>
      </c>
      <c r="F49" s="82">
        <f ca="1">IFERROR(__xludf.DUMMYFUNCTION("IMPORTRANGE(""https://docs.google.com/spreadsheets/d/1MeEWN-I1oV_STSDYn1IFDPWt_1FKiwhDph83XaGc0o0/edit?usp=sharing"",""งบพรบ!BM49"")"),0)</f>
        <v>0</v>
      </c>
      <c r="G49" s="82">
        <f ca="1">IFERROR(__xludf.DUMMYFUNCTION("IMPORTRANGE(""https://docs.google.com/spreadsheets/d/1MeEWN-I1oV_STSDYn1IFDPWt_1FKiwhDph83XaGc0o0/edit?usp=sharing"",""งบพรบ!BN49"")"),0)</f>
        <v>0</v>
      </c>
      <c r="H49" s="82">
        <f ca="1">IFERROR(__xludf.DUMMYFUNCTION("IMPORTRANGE(""https://docs.google.com/spreadsheets/d/1MeEWN-I1oV_STSDYn1IFDPWt_1FKiwhDph83XaGc0o0/edit?usp=sharing"",""งบพรบ!BP49"")"),0)</f>
        <v>0</v>
      </c>
      <c r="I49" s="82">
        <f ca="1">IFERROR(__xludf.DUMMYFUNCTION("IMPORTRANGE(""https://docs.google.com/spreadsheets/d/1MeEWN-I1oV_STSDYn1IFDPWt_1FKiwhDph83XaGc0o0/edit?usp=sharing"",""งบพรบ!BQ49"")"),0)</f>
        <v>0</v>
      </c>
      <c r="J49" s="82">
        <f t="shared" ca="1" si="3"/>
        <v>0</v>
      </c>
      <c r="K49" s="83">
        <f t="shared" ca="1" si="4"/>
        <v>0</v>
      </c>
      <c r="L49" s="82">
        <f ca="1">IFERROR(__xludf.DUMMYFUNCTION("IMPORTRANGE(""https://docs.google.com/spreadsheets/d/1MeEWN-I1oV_STSDYn1IFDPWt_1FKiwhDph83XaGc0o0/edit?usp=sharing"",""งบพรบ!BR49"")"),0)</f>
        <v>0</v>
      </c>
      <c r="M49" s="84">
        <f t="shared" ca="1" si="5"/>
        <v>0</v>
      </c>
      <c r="N49" s="84">
        <f t="shared" ca="1" si="6"/>
        <v>0</v>
      </c>
      <c r="O49" s="85">
        <f ca="1">IFERROR(__xludf.DUMMYFUNCTION("IMPORTRANGE(""https://docs.google.com/spreadsheets/d/1MeEWN-I1oV_STSDYn1IFDPWt_1FKiwhDph83XaGc0o0/edit?usp=sharing"",""งบพรบ!BS49"")"),0)</f>
        <v>0</v>
      </c>
      <c r="P49" s="85">
        <f t="shared" ca="1" si="30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IFERROR(__xludf.DUMMYFUNCTION("IMPORTRANGE(""https://docs.google.com/spreadsheets/d/1uUP8Zo1-qaJLuIkRU0qlwLSE3DHkbdrrj2JGJiWBQZE/edit?usp=sharing"",""อำนาจเจริญ!J142"")"),0)</f>
        <v>0</v>
      </c>
      <c r="S49" s="86">
        <f ca="1">IFERROR(__xludf.DUMMYFUNCTION("IMPORTRANGE(""https://docs.google.com/spreadsheets/d/1uUP8Zo1-qaJLuIkRU0qlwLSE3DHkbdrrj2JGJiWBQZE/edit?usp=sharing"",""อำนาจเจริญ!I143"")"),0)</f>
        <v>0</v>
      </c>
      <c r="T49" s="86">
        <f ca="1">IFERROR(__xludf.DUMMYFUNCTION("IMPORTRANGE(""https://docs.google.com/spreadsheets/d/1uUP8Zo1-qaJLuIkRU0qlwLSE3DHkbdrrj2JGJiWBQZE/edit?usp=sharing"",""อำนาจเจริญ!J143"")"),0)</f>
        <v>0</v>
      </c>
      <c r="U49" s="87">
        <f t="shared" ca="1" si="25"/>
        <v>0</v>
      </c>
      <c r="V49" s="86">
        <f ca="1">IFERROR(__xludf.DUMMYFUNCTION("IMPORTRANGE(""https://docs.google.com/spreadsheets/d/1uUP8Zo1-qaJLuIkRU0qlwLSE3DHkbdrrj2JGJiWBQZE/edit?usp=sharing"",""อำนาจเจริญ!I144"")"),0)</f>
        <v>0</v>
      </c>
      <c r="W49" s="86">
        <f ca="1">IFERROR(__xludf.DUMMYFUNCTION("IMPORTRANGE(""https://docs.google.com/spreadsheets/d/1uUP8Zo1-qaJLuIkRU0qlwLSE3DHkbdrrj2JGJiWBQZE/edit?usp=sharing"",""อำนาจเจริญ!J144"")"),0)</f>
        <v>0</v>
      </c>
      <c r="X49" s="87">
        <f t="shared" ca="1" si="26"/>
        <v>0</v>
      </c>
      <c r="Y49" s="86">
        <f ca="1">IFERROR(__xludf.DUMMYFUNCTION("IMPORTRANGE(""https://docs.google.com/spreadsheets/d/1uUP8Zo1-qaJLuIkRU0qlwLSE3DHkbdrrj2JGJiWBQZE/edit?usp=sharing"",""อำนาจเจริญ!I145"")"),0)</f>
        <v>0</v>
      </c>
      <c r="Z49" s="86">
        <f ca="1">IFERROR(__xludf.DUMMYFUNCTION("IMPORTRANGE(""https://docs.google.com/spreadsheets/d/1uUP8Zo1-qaJLuIkRU0qlwLSE3DHkbdrrj2JGJiWBQZE/edit?usp=sharing"",""อำนาจเจริญ!J145"")"),0)</f>
        <v>0</v>
      </c>
      <c r="AA49" s="87">
        <f t="shared" ca="1" si="27"/>
        <v>0</v>
      </c>
      <c r="AB49" s="86">
        <f ca="1">IFERROR(__xludf.DUMMYFUNCTION("IMPORTRANGE(""https://docs.google.com/spreadsheets/d/1uUP8Zo1-qaJLuIkRU0qlwLSE3DHkbdrrj2JGJiWBQZE/edit?usp=sharing"",""อำนาจเจริญ!I146"")"),0)</f>
        <v>0</v>
      </c>
      <c r="AC49" s="86">
        <f ca="1">IFERROR(__xludf.DUMMYFUNCTION("IMPORTRANGE(""https://docs.google.com/spreadsheets/d/1uUP8Zo1-qaJLuIkRU0qlwLSE3DHkbdrrj2JGJiWBQZE/edit?usp=sharing"",""อำนาจเจริญ!J146"")"),0)</f>
        <v>0</v>
      </c>
      <c r="AD49" s="87">
        <f t="shared" ca="1" si="28"/>
        <v>0</v>
      </c>
    </row>
    <row r="50" spans="1:30" ht="21" customHeight="1" x14ac:dyDescent="0.2">
      <c r="A50" s="78">
        <v>19</v>
      </c>
      <c r="B50" s="79" t="s">
        <v>72</v>
      </c>
      <c r="C50" s="80">
        <f t="shared" ca="1" si="0"/>
        <v>0</v>
      </c>
      <c r="D50" s="81">
        <f t="shared" ca="1" si="41"/>
        <v>0</v>
      </c>
      <c r="E50" s="82">
        <f ca="1">IFERROR(__xludf.DUMMYFUNCTION("IMPORTRANGE(""https://docs.google.com/spreadsheets/d/1MeEWN-I1oV_STSDYn1IFDPWt_1FKiwhDph83XaGc0o0/edit?usp=sharing"",""งบพรบ!BL50"")"),0)</f>
        <v>0</v>
      </c>
      <c r="F50" s="82">
        <f ca="1">IFERROR(__xludf.DUMMYFUNCTION("IMPORTRANGE(""https://docs.google.com/spreadsheets/d/1MeEWN-I1oV_STSDYn1IFDPWt_1FKiwhDph83XaGc0o0/edit?usp=sharing"",""งบพรบ!BM50"")"),0)</f>
        <v>0</v>
      </c>
      <c r="G50" s="82">
        <f ca="1">IFERROR(__xludf.DUMMYFUNCTION("IMPORTRANGE(""https://docs.google.com/spreadsheets/d/1MeEWN-I1oV_STSDYn1IFDPWt_1FKiwhDph83XaGc0o0/edit?usp=sharing"",""งบพรบ!BN50"")"),0)</f>
        <v>0</v>
      </c>
      <c r="H50" s="82">
        <f ca="1">IFERROR(__xludf.DUMMYFUNCTION("IMPORTRANGE(""https://docs.google.com/spreadsheets/d/1MeEWN-I1oV_STSDYn1IFDPWt_1FKiwhDph83XaGc0o0/edit?usp=sharing"",""งบพรบ!BP50"")"),0)</f>
        <v>0</v>
      </c>
      <c r="I50" s="82">
        <f ca="1">IFERROR(__xludf.DUMMYFUNCTION("IMPORTRANGE(""https://docs.google.com/spreadsheets/d/1MeEWN-I1oV_STSDYn1IFDPWt_1FKiwhDph83XaGc0o0/edit?usp=sharing"",""งบพรบ!BQ50"")"),0)</f>
        <v>0</v>
      </c>
      <c r="J50" s="82">
        <f t="shared" ca="1" si="3"/>
        <v>0</v>
      </c>
      <c r="K50" s="83">
        <f t="shared" ca="1" si="4"/>
        <v>0</v>
      </c>
      <c r="L50" s="82">
        <f ca="1">IFERROR(__xludf.DUMMYFUNCTION("IMPORTRANGE(""https://docs.google.com/spreadsheets/d/1MeEWN-I1oV_STSDYn1IFDPWt_1FKiwhDph83XaGc0o0/edit?usp=sharing"",""งบพรบ!BR50"")"),0)</f>
        <v>0</v>
      </c>
      <c r="M50" s="84">
        <f t="shared" ca="1" si="5"/>
        <v>0</v>
      </c>
      <c r="N50" s="84">
        <f t="shared" ca="1" si="6"/>
        <v>0</v>
      </c>
      <c r="O50" s="85">
        <f ca="1">IFERROR(__xludf.DUMMYFUNCTION("IMPORTRANGE(""https://docs.google.com/spreadsheets/d/1MeEWN-I1oV_STSDYn1IFDPWt_1FKiwhDph83XaGc0o0/edit?usp=sharing"",""งบพรบ!BS50"")"),0)</f>
        <v>0</v>
      </c>
      <c r="P50" s="85">
        <f t="shared" ca="1" si="30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IFERROR(__xludf.DUMMYFUNCTION("IMPORTRANGE(""https://docs.google.com/spreadsheets/d/1hb_taSOHanzRjqfzWPiFo8yiT83VV1L7vvUCLhOiHKc/edit?usp=sharing"",""อุดรธานี!J142"")"),0)</f>
        <v>0</v>
      </c>
      <c r="S50" s="86">
        <f ca="1">IFERROR(__xludf.DUMMYFUNCTION("IMPORTRANGE(""https://docs.google.com/spreadsheets/d/1hb_taSOHanzRjqfzWPiFo8yiT83VV1L7vvUCLhOiHKc/edit?usp=sharing"",""อุดรธานี!I143"")"),0)</f>
        <v>0</v>
      </c>
      <c r="T50" s="86">
        <f ca="1">IFERROR(__xludf.DUMMYFUNCTION("IMPORTRANGE(""https://docs.google.com/spreadsheets/d/1hb_taSOHanzRjqfzWPiFo8yiT83VV1L7vvUCLhOiHKc/edit?usp=sharing"",""อุดรธานี!J143"")"),0)</f>
        <v>0</v>
      </c>
      <c r="U50" s="87">
        <f t="shared" ca="1" si="25"/>
        <v>0</v>
      </c>
      <c r="V50" s="86">
        <f ca="1">IFERROR(__xludf.DUMMYFUNCTION("IMPORTRANGE(""https://docs.google.com/spreadsheets/d/1hb_taSOHanzRjqfzWPiFo8yiT83VV1L7vvUCLhOiHKc/edit?usp=sharing"",""อุดรธานี!I144"")"),0)</f>
        <v>0</v>
      </c>
      <c r="W50" s="86">
        <f ca="1">IFERROR(__xludf.DUMMYFUNCTION("IMPORTRANGE(""https://docs.google.com/spreadsheets/d/1hb_taSOHanzRjqfzWPiFo8yiT83VV1L7vvUCLhOiHKc/edit?usp=sharing"",""อุดรธานี!J144"")"),0)</f>
        <v>0</v>
      </c>
      <c r="X50" s="87">
        <f t="shared" ca="1" si="26"/>
        <v>0</v>
      </c>
      <c r="Y50" s="86">
        <f ca="1">IFERROR(__xludf.DUMMYFUNCTION("IMPORTRANGE(""https://docs.google.com/spreadsheets/d/1hb_taSOHanzRjqfzWPiFo8yiT83VV1L7vvUCLhOiHKc/edit?usp=sharing"",""อุดรธานี!I145"")"),0)</f>
        <v>0</v>
      </c>
      <c r="Z50" s="86">
        <f ca="1">IFERROR(__xludf.DUMMYFUNCTION("IMPORTRANGE(""https://docs.google.com/spreadsheets/d/1hb_taSOHanzRjqfzWPiFo8yiT83VV1L7vvUCLhOiHKc/edit?usp=sharing"",""อุดรธานี!J145"")"),0)</f>
        <v>0</v>
      </c>
      <c r="AA50" s="87">
        <f t="shared" ca="1" si="27"/>
        <v>0</v>
      </c>
      <c r="AB50" s="86">
        <f ca="1">IFERROR(__xludf.DUMMYFUNCTION("IMPORTRANGE(""https://docs.google.com/spreadsheets/d/1hb_taSOHanzRjqfzWPiFo8yiT83VV1L7vvUCLhOiHKc/edit?usp=sharing"",""อุดรธานี!I146"")"),0)</f>
        <v>0</v>
      </c>
      <c r="AC50" s="86">
        <f ca="1">IFERROR(__xludf.DUMMYFUNCTION("IMPORTRANGE(""https://docs.google.com/spreadsheets/d/1hb_taSOHanzRjqfzWPiFo8yiT83VV1L7vvUCLhOiHKc/edit?usp=sharing"",""อุดรธานี!J146"")"),0)</f>
        <v>0</v>
      </c>
      <c r="AD50" s="87">
        <f t="shared" ca="1" si="28"/>
        <v>0</v>
      </c>
    </row>
    <row r="51" spans="1:30" ht="21" customHeight="1" x14ac:dyDescent="0.2">
      <c r="A51" s="89">
        <v>20</v>
      </c>
      <c r="B51" s="90" t="s">
        <v>73</v>
      </c>
      <c r="C51" s="91">
        <f t="shared" ca="1" si="0"/>
        <v>0</v>
      </c>
      <c r="D51" s="92">
        <f t="shared" ca="1" si="41"/>
        <v>0</v>
      </c>
      <c r="E51" s="93">
        <f ca="1">IFERROR(__xludf.DUMMYFUNCTION("IMPORTRANGE(""https://docs.google.com/spreadsheets/d/1MeEWN-I1oV_STSDYn1IFDPWt_1FKiwhDph83XaGc0o0/edit?usp=sharing"",""งบพรบ!BL51"")"),0)</f>
        <v>0</v>
      </c>
      <c r="F51" s="93">
        <f ca="1">IFERROR(__xludf.DUMMYFUNCTION("IMPORTRANGE(""https://docs.google.com/spreadsheets/d/1MeEWN-I1oV_STSDYn1IFDPWt_1FKiwhDph83XaGc0o0/edit?usp=sharing"",""งบพรบ!BM51"")"),0)</f>
        <v>0</v>
      </c>
      <c r="G51" s="93">
        <f ca="1">IFERROR(__xludf.DUMMYFUNCTION("IMPORTRANGE(""https://docs.google.com/spreadsheets/d/1MeEWN-I1oV_STSDYn1IFDPWt_1FKiwhDph83XaGc0o0/edit?usp=sharing"",""งบพรบ!BN51"")"),0)</f>
        <v>0</v>
      </c>
      <c r="H51" s="93">
        <f ca="1">IFERROR(__xludf.DUMMYFUNCTION("IMPORTRANGE(""https://docs.google.com/spreadsheets/d/1MeEWN-I1oV_STSDYn1IFDPWt_1FKiwhDph83XaGc0o0/edit?usp=sharing"",""งบพรบ!BP51"")"),0)</f>
        <v>0</v>
      </c>
      <c r="I51" s="93">
        <f ca="1">IFERROR(__xludf.DUMMYFUNCTION("IMPORTRANGE(""https://docs.google.com/spreadsheets/d/1MeEWN-I1oV_STSDYn1IFDPWt_1FKiwhDph83XaGc0o0/edit?usp=sharing"",""งบพรบ!BQ51"")"),0)</f>
        <v>0</v>
      </c>
      <c r="J51" s="93">
        <f t="shared" ca="1" si="3"/>
        <v>0</v>
      </c>
      <c r="K51" s="94">
        <f t="shared" ca="1" si="4"/>
        <v>0</v>
      </c>
      <c r="L51" s="93">
        <f ca="1">IFERROR(__xludf.DUMMYFUNCTION("IMPORTRANGE(""https://docs.google.com/spreadsheets/d/1MeEWN-I1oV_STSDYn1IFDPWt_1FKiwhDph83XaGc0o0/edit?usp=sharing"",""งบพรบ!BR51"")"),0)</f>
        <v>0</v>
      </c>
      <c r="M51" s="95">
        <f t="shared" ca="1" si="5"/>
        <v>0</v>
      </c>
      <c r="N51" s="95">
        <f t="shared" ca="1" si="6"/>
        <v>0</v>
      </c>
      <c r="O51" s="96">
        <f ca="1">IFERROR(__xludf.DUMMYFUNCTION("IMPORTRANGE(""https://docs.google.com/spreadsheets/d/1MeEWN-I1oV_STSDYn1IFDPWt_1FKiwhDph83XaGc0o0/edit?usp=sharing"",""งบพรบ!BS51"")"),0)</f>
        <v>0</v>
      </c>
      <c r="P51" s="96">
        <f t="shared" ca="1" si="30"/>
        <v>0</v>
      </c>
      <c r="Q51" s="95">
        <f t="shared" ca="1" si="8"/>
        <v>0</v>
      </c>
      <c r="R51" s="97" t="str">
        <f ca="1">IFERROR(__xludf.DUMMYFUNCTION("IMPORTRANGE(""https://docs.google.com/spreadsheets/d/17IOkEwkUd63EGNfyNDnM5de9YlZ7rwzTiW6-dokVjKI/edit?usp=sharing"",""อุบลราชธานี!J142"")"),"")</f>
        <v/>
      </c>
      <c r="S51" s="97">
        <f ca="1">IFERROR(__xludf.DUMMYFUNCTION("IMPORTRANGE(""https://docs.google.com/spreadsheets/d/17IOkEwkUd63EGNfyNDnM5de9YlZ7rwzTiW6-dokVjKI/edit?usp=sharing"",""อุบลราชธานี!I143"")"),0)</f>
        <v>0</v>
      </c>
      <c r="T51" s="97">
        <f ca="1">IFERROR(__xludf.DUMMYFUNCTION("IMPORTRANGE(""https://docs.google.com/spreadsheets/d/17IOkEwkUd63EGNfyNDnM5de9YlZ7rwzTiW6-dokVjKI/edit?usp=sharing"",""อุบลราชธานี!J143"")"),0)</f>
        <v>0</v>
      </c>
      <c r="U51" s="98">
        <f t="shared" ca="1" si="25"/>
        <v>0</v>
      </c>
      <c r="V51" s="97">
        <f ca="1">IFERROR(__xludf.DUMMYFUNCTION("IMPORTRANGE(""https://docs.google.com/spreadsheets/d/17IOkEwkUd63EGNfyNDnM5de9YlZ7rwzTiW6-dokVjKI/edit?usp=sharing"",""อุบลราชธานี!I144"")"),0)</f>
        <v>0</v>
      </c>
      <c r="W51" s="97">
        <f ca="1">IFERROR(__xludf.DUMMYFUNCTION("IMPORTRANGE(""https://docs.google.com/spreadsheets/d/17IOkEwkUd63EGNfyNDnM5de9YlZ7rwzTiW6-dokVjKI/edit?usp=sharing"",""อุบลราชธานี!J144"")"),0)</f>
        <v>0</v>
      </c>
      <c r="X51" s="98">
        <f t="shared" ca="1" si="26"/>
        <v>0</v>
      </c>
      <c r="Y51" s="97">
        <f ca="1">IFERROR(__xludf.DUMMYFUNCTION("IMPORTRANGE(""https://docs.google.com/spreadsheets/d/17IOkEwkUd63EGNfyNDnM5de9YlZ7rwzTiW6-dokVjKI/edit?usp=sharing"",""อุบลราชธานี!I145"")"),0)</f>
        <v>0</v>
      </c>
      <c r="Z51" s="97">
        <f ca="1">IFERROR(__xludf.DUMMYFUNCTION("IMPORTRANGE(""https://docs.google.com/spreadsheets/d/17IOkEwkUd63EGNfyNDnM5de9YlZ7rwzTiW6-dokVjKI/edit?usp=sharing"",""อุบลราชธานี!J145"")"),0)</f>
        <v>0</v>
      </c>
      <c r="AA51" s="98">
        <f t="shared" ca="1" si="27"/>
        <v>0</v>
      </c>
      <c r="AB51" s="97">
        <f ca="1">IFERROR(__xludf.DUMMYFUNCTION("IMPORTRANGE(""https://docs.google.com/spreadsheets/d/17IOkEwkUd63EGNfyNDnM5de9YlZ7rwzTiW6-dokVjKI/edit?usp=sharing"",""อุบลราชธานี!I146"")"),0)</f>
        <v>0</v>
      </c>
      <c r="AC51" s="97">
        <f ca="1">IFERROR(__xludf.DUMMYFUNCTION("IMPORTRANGE(""https://docs.google.com/spreadsheets/d/17IOkEwkUd63EGNfyNDnM5de9YlZ7rwzTiW6-dokVjKI/edit?usp=sharing"",""อุบลราชธานี!J146"")"),0)</f>
        <v>0</v>
      </c>
      <c r="AD51" s="98">
        <f t="shared" ca="1" si="28"/>
        <v>0</v>
      </c>
    </row>
    <row r="52" spans="1:30" ht="21" customHeight="1" x14ac:dyDescent="0.2">
      <c r="A52" s="380" t="s">
        <v>74</v>
      </c>
      <c r="B52" s="379"/>
      <c r="C52" s="99">
        <f t="shared" ca="1" si="0"/>
        <v>1169175</v>
      </c>
      <c r="D52" s="62">
        <f t="shared" ref="D52:I52" ca="1" si="42">SUM(D53:D73)</f>
        <v>654175</v>
      </c>
      <c r="E52" s="62">
        <f t="shared" ca="1" si="42"/>
        <v>410900</v>
      </c>
      <c r="F52" s="62">
        <f t="shared" ca="1" si="42"/>
        <v>243275</v>
      </c>
      <c r="G52" s="62">
        <f t="shared" ca="1" si="42"/>
        <v>515000</v>
      </c>
      <c r="H52" s="62">
        <f t="shared" ca="1" si="42"/>
        <v>461150</v>
      </c>
      <c r="I52" s="62">
        <f t="shared" ca="1" si="42"/>
        <v>515000</v>
      </c>
      <c r="J52" s="62">
        <f t="shared" ca="1" si="3"/>
        <v>786656.45</v>
      </c>
      <c r="K52" s="100">
        <f t="shared" ca="1" si="4"/>
        <v>67.283037184339378</v>
      </c>
      <c r="L52" s="62">
        <f ca="1">SUM(L53:L73)</f>
        <v>271656.45</v>
      </c>
      <c r="M52" s="101">
        <f t="shared" ca="1" si="5"/>
        <v>41.526571636030113</v>
      </c>
      <c r="N52" s="101">
        <f t="shared" ca="1" si="6"/>
        <v>58.908478802992519</v>
      </c>
      <c r="O52" s="102">
        <f ca="1">SUM(O53:O73)</f>
        <v>515000</v>
      </c>
      <c r="P52" s="102">
        <f t="shared" ca="1" si="30"/>
        <v>100</v>
      </c>
      <c r="Q52" s="101">
        <f t="shared" ca="1" si="8"/>
        <v>100</v>
      </c>
      <c r="R52" s="62">
        <f t="shared" ref="R52:T52" ca="1" si="43">SUM(R53:R73)</f>
        <v>0</v>
      </c>
      <c r="S52" s="62">
        <f t="shared" ca="1" si="43"/>
        <v>50</v>
      </c>
      <c r="T52" s="62">
        <f t="shared" ca="1" si="43"/>
        <v>40</v>
      </c>
      <c r="U52" s="101">
        <f t="shared" ca="1" si="25"/>
        <v>80</v>
      </c>
      <c r="V52" s="62">
        <f t="shared" ref="V52:W52" ca="1" si="44">SUM(V53:V73)</f>
        <v>25</v>
      </c>
      <c r="W52" s="62">
        <f t="shared" ca="1" si="44"/>
        <v>50</v>
      </c>
      <c r="X52" s="101">
        <f t="shared" ca="1" si="26"/>
        <v>200</v>
      </c>
      <c r="Y52" s="62">
        <f t="shared" ref="Y52:Z52" ca="1" si="45">SUM(Y53:Y73)</f>
        <v>50</v>
      </c>
      <c r="Z52" s="62">
        <f t="shared" ca="1" si="45"/>
        <v>40</v>
      </c>
      <c r="AA52" s="101">
        <f t="shared" ca="1" si="27"/>
        <v>80</v>
      </c>
      <c r="AB52" s="62">
        <f t="shared" ref="AB52:AC52" ca="1" si="46">SUM(AB53:AB73)</f>
        <v>5</v>
      </c>
      <c r="AC52" s="62">
        <f t="shared" ca="1" si="46"/>
        <v>1</v>
      </c>
      <c r="AD52" s="101">
        <f t="shared" ca="1" si="28"/>
        <v>20</v>
      </c>
    </row>
    <row r="53" spans="1:30" ht="21" customHeight="1" x14ac:dyDescent="0.2">
      <c r="A53" s="68">
        <v>1</v>
      </c>
      <c r="B53" s="69" t="s">
        <v>75</v>
      </c>
      <c r="C53" s="103">
        <f t="shared" ca="1" si="0"/>
        <v>0</v>
      </c>
      <c r="D53" s="71">
        <f t="shared" ref="D53:D73" ca="1" si="47">+E53+F53</f>
        <v>0</v>
      </c>
      <c r="E53" s="72">
        <f ca="1">IFERROR(__xludf.DUMMYFUNCTION("IMPORTRANGE(""https://docs.google.com/spreadsheets/d/1MeEWN-I1oV_STSDYn1IFDPWt_1FKiwhDph83XaGc0o0/edit?usp=sharing"",""งบพรบ!BL53"")"),0)</f>
        <v>0</v>
      </c>
      <c r="F53" s="72">
        <f ca="1">IFERROR(__xludf.DUMMYFUNCTION("IMPORTRANGE(""https://docs.google.com/spreadsheets/d/1MeEWN-I1oV_STSDYn1IFDPWt_1FKiwhDph83XaGc0o0/edit?usp=sharing"",""งบพรบ!BM53"")"),0)</f>
        <v>0</v>
      </c>
      <c r="G53" s="73">
        <f ca="1">IFERROR(__xludf.DUMMYFUNCTION("IMPORTRANGE(""https://docs.google.com/spreadsheets/d/1MeEWN-I1oV_STSDYn1IFDPWt_1FKiwhDph83XaGc0o0/edit?usp=sharing"",""งบพรบ!BN53"")"),0)</f>
        <v>0</v>
      </c>
      <c r="H53" s="73">
        <f ca="1">IFERROR(__xludf.DUMMYFUNCTION("IMPORTRANGE(""https://docs.google.com/spreadsheets/d/1MeEWN-I1oV_STSDYn1IFDPWt_1FKiwhDph83XaGc0o0/edit?usp=sharing"",""งบพรบ!BP53"")"),0)</f>
        <v>0</v>
      </c>
      <c r="I53" s="73">
        <f ca="1">IFERROR(__xludf.DUMMYFUNCTION("IMPORTRANGE(""https://docs.google.com/spreadsheets/d/1MeEWN-I1oV_STSDYn1IFDPWt_1FKiwhDph83XaGc0o0/edit?usp=sharing"",""งบพรบ!BQ53"")"),0)</f>
        <v>0</v>
      </c>
      <c r="J53" s="73">
        <f t="shared" ca="1" si="3"/>
        <v>0</v>
      </c>
      <c r="K53" s="74">
        <f t="shared" ca="1" si="4"/>
        <v>0</v>
      </c>
      <c r="L53" s="73">
        <f ca="1">IFERROR(__xludf.DUMMYFUNCTION("IMPORTRANGE(""https://docs.google.com/spreadsheets/d/1MeEWN-I1oV_STSDYn1IFDPWt_1FKiwhDph83XaGc0o0/edit?usp=sharing"",""งบพรบ!BR53"")"),0)</f>
        <v>0</v>
      </c>
      <c r="M53" s="75">
        <f t="shared" ca="1" si="5"/>
        <v>0</v>
      </c>
      <c r="N53" s="75">
        <f t="shared" ca="1" si="6"/>
        <v>0</v>
      </c>
      <c r="O53" s="76">
        <f ca="1">IFERROR(__xludf.DUMMYFUNCTION("IMPORTRANGE(""https://docs.google.com/spreadsheets/d/1MeEWN-I1oV_STSDYn1IFDPWt_1FKiwhDph83XaGc0o0/edit?usp=sharing"",""งบพรบ!BS53"")"),0)</f>
        <v>0</v>
      </c>
      <c r="P53" s="76">
        <f t="shared" ca="1" si="30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IFERROR(__xludf.DUMMYFUNCTION("IMPORTRANGE(""https://docs.google.com/spreadsheets/d/1hKO5uv94SSRZWOvrh72HRcpyoEQF9TsE_Cvxl77XNU4/edit?usp=sharing"",""กาญจนบุรี!J142"")"),0)</f>
        <v>0</v>
      </c>
      <c r="S53" s="73">
        <f ca="1">IFERROR(__xludf.DUMMYFUNCTION("IMPORTRANGE(""https://docs.google.com/spreadsheets/d/1hKO5uv94SSRZWOvrh72HRcpyoEQF9TsE_Cvxl77XNU4/edit?usp=sharing"",""กาญจนบุรี!I143"")"),0)</f>
        <v>0</v>
      </c>
      <c r="T53" s="73">
        <f ca="1">IFERROR(__xludf.DUMMYFUNCTION("IMPORTRANGE(""https://docs.google.com/spreadsheets/d/1hKO5uv94SSRZWOvrh72HRcpyoEQF9TsE_Cvxl77XNU4/edit?usp=sharing"",""กาญจนบุรี!J143"")"),0)</f>
        <v>0</v>
      </c>
      <c r="U53" s="77">
        <f t="shared" ca="1" si="25"/>
        <v>0</v>
      </c>
      <c r="V53" s="73">
        <f ca="1">IFERROR(__xludf.DUMMYFUNCTION("IMPORTRANGE(""https://docs.google.com/spreadsheets/d/1hKO5uv94SSRZWOvrh72HRcpyoEQF9TsE_Cvxl77XNU4/edit?usp=sharing"",""กาญจนบุรี!I144"")"),0)</f>
        <v>0</v>
      </c>
      <c r="W53" s="73">
        <f ca="1">IFERROR(__xludf.DUMMYFUNCTION("IMPORTRANGE(""https://docs.google.com/spreadsheets/d/1hKO5uv94SSRZWOvrh72HRcpyoEQF9TsE_Cvxl77XNU4/edit?usp=sharing"",""กาญจนบุรี!J144"")"),0)</f>
        <v>0</v>
      </c>
      <c r="X53" s="77">
        <f t="shared" ca="1" si="26"/>
        <v>0</v>
      </c>
      <c r="Y53" s="73">
        <f ca="1">IFERROR(__xludf.DUMMYFUNCTION("IMPORTRANGE(""https://docs.google.com/spreadsheets/d/1hKO5uv94SSRZWOvrh72HRcpyoEQF9TsE_Cvxl77XNU4/edit?usp=sharing"",""กาญจนบุรี!I145"")"),0)</f>
        <v>0</v>
      </c>
      <c r="Z53" s="73">
        <f ca="1">IFERROR(__xludf.DUMMYFUNCTION("IMPORTRANGE(""https://docs.google.com/spreadsheets/d/1hKO5uv94SSRZWOvrh72HRcpyoEQF9TsE_Cvxl77XNU4/edit?usp=sharing"",""กาญจนบุรี!J145"")"),0)</f>
        <v>0</v>
      </c>
      <c r="AA53" s="77">
        <f t="shared" ca="1" si="27"/>
        <v>0</v>
      </c>
      <c r="AB53" s="73">
        <f ca="1">IFERROR(__xludf.DUMMYFUNCTION("IMPORTRANGE(""https://docs.google.com/spreadsheets/d/1hKO5uv94SSRZWOvrh72HRcpyoEQF9TsE_Cvxl77XNU4/edit?usp=sharing"",""กาญจนบุรี!I146"")"),0)</f>
        <v>0</v>
      </c>
      <c r="AC53" s="73">
        <f ca="1">IFERROR(__xludf.DUMMYFUNCTION("IMPORTRANGE(""https://docs.google.com/spreadsheets/d/1hKO5uv94SSRZWOvrh72HRcpyoEQF9TsE_Cvxl77XNU4/edit?usp=sharing"",""กาญจนบุรี!J146"")"),0)</f>
        <v>0</v>
      </c>
      <c r="AD53" s="77">
        <f t="shared" ca="1" si="28"/>
        <v>0</v>
      </c>
    </row>
    <row r="54" spans="1:30" ht="21" customHeight="1" x14ac:dyDescent="0.2">
      <c r="A54" s="78">
        <v>2</v>
      </c>
      <c r="B54" s="79" t="s">
        <v>76</v>
      </c>
      <c r="C54" s="80">
        <f t="shared" ca="1" si="0"/>
        <v>0</v>
      </c>
      <c r="D54" s="81">
        <f t="shared" ca="1" si="47"/>
        <v>0</v>
      </c>
      <c r="E54" s="82">
        <f ca="1">IFERROR(__xludf.DUMMYFUNCTION("IMPORTRANGE(""https://docs.google.com/spreadsheets/d/1MeEWN-I1oV_STSDYn1IFDPWt_1FKiwhDph83XaGc0o0/edit?usp=sharing"",""งบพรบ!BL54"")"),0)</f>
        <v>0</v>
      </c>
      <c r="F54" s="82">
        <f ca="1">IFERROR(__xludf.DUMMYFUNCTION("IMPORTRANGE(""https://docs.google.com/spreadsheets/d/1MeEWN-I1oV_STSDYn1IFDPWt_1FKiwhDph83XaGc0o0/edit?usp=sharing"",""งบพรบ!BM54"")"),0)</f>
        <v>0</v>
      </c>
      <c r="G54" s="82">
        <f ca="1">IFERROR(__xludf.DUMMYFUNCTION("IMPORTRANGE(""https://docs.google.com/spreadsheets/d/1MeEWN-I1oV_STSDYn1IFDPWt_1FKiwhDph83XaGc0o0/edit?usp=sharing"",""งบพรบ!BN54"")"),0)</f>
        <v>0</v>
      </c>
      <c r="H54" s="82">
        <f ca="1">IFERROR(__xludf.DUMMYFUNCTION("IMPORTRANGE(""https://docs.google.com/spreadsheets/d/1MeEWN-I1oV_STSDYn1IFDPWt_1FKiwhDph83XaGc0o0/edit?usp=sharing"",""งบพรบ!BP54"")"),0)</f>
        <v>0</v>
      </c>
      <c r="I54" s="82">
        <f ca="1">IFERROR(__xludf.DUMMYFUNCTION("IMPORTRANGE(""https://docs.google.com/spreadsheets/d/1MeEWN-I1oV_STSDYn1IFDPWt_1FKiwhDph83XaGc0o0/edit?usp=sharing"",""งบพรบ!BQ54"")"),0)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IFERROR(__xludf.DUMMYFUNCTION("IMPORTRANGE(""https://docs.google.com/spreadsheets/d/1MeEWN-I1oV_STSDYn1IFDPWt_1FKiwhDph83XaGc0o0/edit?usp=sharing"",""งบพรบ!BR54"")"),0)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IFERROR(__xludf.DUMMYFUNCTION("IMPORTRANGE(""https://docs.google.com/spreadsheets/d/1MeEWN-I1oV_STSDYn1IFDPWt_1FKiwhDph83XaGc0o0/edit?usp=sharing"",""งบพรบ!BS54"")"),0)</f>
        <v>0</v>
      </c>
      <c r="P54" s="85">
        <f t="shared" ca="1" si="30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IFERROR(__xludf.DUMMYFUNCTION("IMPORTRANGE(""https://docs.google.com/spreadsheets/d/1njBaP_xXd-Uotvo2D9zb01TTCFkLJLDK97Tk1l9Qux0/edit?usp=sharing"",""จันทบุรี!J142"")"),0)</f>
        <v>0</v>
      </c>
      <c r="S54" s="86">
        <f ca="1">IFERROR(__xludf.DUMMYFUNCTION("IMPORTRANGE(""https://docs.google.com/spreadsheets/d/1njBaP_xXd-Uotvo2D9zb01TTCFkLJLDK97Tk1l9Qux0/edit?usp=sharing"",""จันทบุรี!I143"")"),0)</f>
        <v>0</v>
      </c>
      <c r="T54" s="86">
        <f ca="1">IFERROR(__xludf.DUMMYFUNCTION("IMPORTRANGE(""https://docs.google.com/spreadsheets/d/1njBaP_xXd-Uotvo2D9zb01TTCFkLJLDK97Tk1l9Qux0/edit?usp=sharing"",""จันทบุรี!J143"")"),0)</f>
        <v>0</v>
      </c>
      <c r="U54" s="87">
        <f t="shared" ca="1" si="25"/>
        <v>0</v>
      </c>
      <c r="V54" s="86">
        <f ca="1">IFERROR(__xludf.DUMMYFUNCTION("IMPORTRANGE(""https://docs.google.com/spreadsheets/d/1njBaP_xXd-Uotvo2D9zb01TTCFkLJLDK97Tk1l9Qux0/edit?usp=sharing"",""จันทบุรี!I144"")"),0)</f>
        <v>0</v>
      </c>
      <c r="W54" s="86">
        <f ca="1">IFERROR(__xludf.DUMMYFUNCTION("IMPORTRANGE(""https://docs.google.com/spreadsheets/d/1njBaP_xXd-Uotvo2D9zb01TTCFkLJLDK97Tk1l9Qux0/edit?usp=sharing"",""จันทบุรี!J144"")"),0)</f>
        <v>0</v>
      </c>
      <c r="X54" s="87">
        <f t="shared" ca="1" si="26"/>
        <v>0</v>
      </c>
      <c r="Y54" s="86">
        <f ca="1">IFERROR(__xludf.DUMMYFUNCTION("IMPORTRANGE(""https://docs.google.com/spreadsheets/d/1njBaP_xXd-Uotvo2D9zb01TTCFkLJLDK97Tk1l9Qux0/edit?usp=sharing"",""จันทบุรี!I145"")"),0)</f>
        <v>0</v>
      </c>
      <c r="Z54" s="86">
        <f ca="1">IFERROR(__xludf.DUMMYFUNCTION("IMPORTRANGE(""https://docs.google.com/spreadsheets/d/1njBaP_xXd-Uotvo2D9zb01TTCFkLJLDK97Tk1l9Qux0/edit?usp=sharing"",""จันทบุรี!J145"")"),0)</f>
        <v>0</v>
      </c>
      <c r="AA54" s="87">
        <f t="shared" ca="1" si="27"/>
        <v>0</v>
      </c>
      <c r="AB54" s="86">
        <f ca="1">IFERROR(__xludf.DUMMYFUNCTION("IMPORTRANGE(""https://docs.google.com/spreadsheets/d/1njBaP_xXd-Uotvo2D9zb01TTCFkLJLDK97Tk1l9Qux0/edit?usp=sharing"",""จันทบุรี!I146"")"),0)</f>
        <v>0</v>
      </c>
      <c r="AC54" s="86">
        <f ca="1">IFERROR(__xludf.DUMMYFUNCTION("IMPORTRANGE(""https://docs.google.com/spreadsheets/d/1njBaP_xXd-Uotvo2D9zb01TTCFkLJLDK97Tk1l9Qux0/edit?usp=sharing"",""จันทบุรี!J146"")"),0)</f>
        <v>0</v>
      </c>
      <c r="AD54" s="87">
        <f t="shared" ca="1" si="28"/>
        <v>0</v>
      </c>
    </row>
    <row r="55" spans="1:30" ht="21" customHeight="1" x14ac:dyDescent="0.2">
      <c r="A55" s="78">
        <v>3</v>
      </c>
      <c r="B55" s="79" t="s">
        <v>77</v>
      </c>
      <c r="C55" s="80">
        <f t="shared" ca="1" si="0"/>
        <v>151655</v>
      </c>
      <c r="D55" s="81">
        <f t="shared" ca="1" si="47"/>
        <v>48655</v>
      </c>
      <c r="E55" s="82">
        <f ca="1">IFERROR(__xludf.DUMMYFUNCTION("IMPORTRANGE(""https://docs.google.com/spreadsheets/d/1MeEWN-I1oV_STSDYn1IFDPWt_1FKiwhDph83XaGc0o0/edit?usp=sharing"",""งบพรบ!BL55"")"),0)</f>
        <v>0</v>
      </c>
      <c r="F55" s="82">
        <f ca="1">IFERROR(__xludf.DUMMYFUNCTION("IMPORTRANGE(""https://docs.google.com/spreadsheets/d/1MeEWN-I1oV_STSDYn1IFDPWt_1FKiwhDph83XaGc0o0/edit?usp=sharing"",""งบพรบ!BM55"")"),48655)</f>
        <v>48655</v>
      </c>
      <c r="G55" s="82">
        <f ca="1">IFERROR(__xludf.DUMMYFUNCTION("IMPORTRANGE(""https://docs.google.com/spreadsheets/d/1MeEWN-I1oV_STSDYn1IFDPWt_1FKiwhDph83XaGc0o0/edit?usp=sharing"",""งบพรบ!BN55"")"),103000)</f>
        <v>103000</v>
      </c>
      <c r="H55" s="82">
        <f ca="1">IFERROR(__xludf.DUMMYFUNCTION("IMPORTRANGE(""https://docs.google.com/spreadsheets/d/1MeEWN-I1oV_STSDYn1IFDPWt_1FKiwhDph83XaGc0o0/edit?usp=sharing"",""งบพรบ!BP55"")"),30600)</f>
        <v>30600</v>
      </c>
      <c r="I55" s="82">
        <f ca="1">IFERROR(__xludf.DUMMYFUNCTION("IMPORTRANGE(""https://docs.google.com/spreadsheets/d/1MeEWN-I1oV_STSDYn1IFDPWt_1FKiwhDph83XaGc0o0/edit?usp=sharing"",""งบพรบ!BQ55"")"),103000)</f>
        <v>103000</v>
      </c>
      <c r="J55" s="82">
        <f t="shared" ca="1" si="3"/>
        <v>118090</v>
      </c>
      <c r="K55" s="83">
        <f t="shared" ca="1" si="4"/>
        <v>77.86752827140549</v>
      </c>
      <c r="L55" s="82">
        <f ca="1">IFERROR(__xludf.DUMMYFUNCTION("IMPORTRANGE(""https://docs.google.com/spreadsheets/d/1MeEWN-I1oV_STSDYn1IFDPWt_1FKiwhDph83XaGc0o0/edit?usp=sharing"",""งบพรบ!BR55"")"),15090)</f>
        <v>15090</v>
      </c>
      <c r="M55" s="84">
        <f t="shared" ca="1" si="5"/>
        <v>31.014284246223411</v>
      </c>
      <c r="N55" s="84">
        <f t="shared" ca="1" si="6"/>
        <v>49.313725490196077</v>
      </c>
      <c r="O55" s="85">
        <f ca="1">IFERROR(__xludf.DUMMYFUNCTION("IMPORTRANGE(""https://docs.google.com/spreadsheets/d/1MeEWN-I1oV_STSDYn1IFDPWt_1FKiwhDph83XaGc0o0/edit?usp=sharing"",""งบพรบ!BS55"")"),103000)</f>
        <v>103000</v>
      </c>
      <c r="P55" s="85">
        <f t="shared" ca="1" si="30"/>
        <v>100</v>
      </c>
      <c r="Q55" s="84">
        <f t="shared" ca="1" si="8"/>
        <v>100</v>
      </c>
      <c r="R55" s="86" t="str">
        <f ca="1">IFERROR(__xludf.DUMMYFUNCTION("IMPORTRANGE(""https://docs.google.com/spreadsheets/d/14xp6qUzrGFnUk_qnc1eEmfiaNRd4_grkhpfQH_46fa8/edit?usp=sharing"",""ฉะเชิงเทรา!J142"")"),"")</f>
        <v/>
      </c>
      <c r="S55" s="86">
        <f ca="1">IFERROR(__xludf.DUMMYFUNCTION("IMPORTRANGE(""https://docs.google.com/spreadsheets/d/14xp6qUzrGFnUk_qnc1eEmfiaNRd4_grkhpfQH_46fa8/edit?usp=sharing"",""ฉะเชิงเทรา!I143"")"),10)</f>
        <v>10</v>
      </c>
      <c r="T55" s="86">
        <f ca="1">IFERROR(__xludf.DUMMYFUNCTION("IMPORTRANGE(""https://docs.google.com/spreadsheets/d/14xp6qUzrGFnUk_qnc1eEmfiaNRd4_grkhpfQH_46fa8/edit?usp=sharing"",""ฉะเชิงเทรา!J143"")"),0)</f>
        <v>0</v>
      </c>
      <c r="U55" s="87">
        <f t="shared" ca="1" si="25"/>
        <v>0</v>
      </c>
      <c r="V55" s="86">
        <f ca="1">IFERROR(__xludf.DUMMYFUNCTION("IMPORTRANGE(""https://docs.google.com/spreadsheets/d/14xp6qUzrGFnUk_qnc1eEmfiaNRd4_grkhpfQH_46fa8/edit?usp=sharing"",""ฉะเชิงเทรา!I144"")"),5)</f>
        <v>5</v>
      </c>
      <c r="W55" s="86">
        <f ca="1">IFERROR(__xludf.DUMMYFUNCTION("IMPORTRANGE(""https://docs.google.com/spreadsheets/d/14xp6qUzrGFnUk_qnc1eEmfiaNRd4_grkhpfQH_46fa8/edit?usp=sharing"",""ฉะเชิงเทรา!J144"")"),10)</f>
        <v>10</v>
      </c>
      <c r="X55" s="87">
        <f t="shared" ca="1" si="26"/>
        <v>200</v>
      </c>
      <c r="Y55" s="86">
        <f ca="1">IFERROR(__xludf.DUMMYFUNCTION("IMPORTRANGE(""https://docs.google.com/spreadsheets/d/14xp6qUzrGFnUk_qnc1eEmfiaNRd4_grkhpfQH_46fa8/edit?usp=sharing"",""ฉะเชิงเทรา!I145"")"),10)</f>
        <v>10</v>
      </c>
      <c r="Z55" s="86">
        <f ca="1">IFERROR(__xludf.DUMMYFUNCTION("IMPORTRANGE(""https://docs.google.com/spreadsheets/d/14xp6qUzrGFnUk_qnc1eEmfiaNRd4_grkhpfQH_46fa8/edit?usp=sharing"",""ฉะเชิงเทรา!J145"")"),0)</f>
        <v>0</v>
      </c>
      <c r="AA55" s="87">
        <f t="shared" ca="1" si="27"/>
        <v>0</v>
      </c>
      <c r="AB55" s="86">
        <f ca="1">IFERROR(__xludf.DUMMYFUNCTION("IMPORTRANGE(""https://docs.google.com/spreadsheets/d/14xp6qUzrGFnUk_qnc1eEmfiaNRd4_grkhpfQH_46fa8/edit?usp=sharing"",""ฉะเชิงเทรา!I146"")"),1)</f>
        <v>1</v>
      </c>
      <c r="AC55" s="86">
        <f ca="1">IFERROR(__xludf.DUMMYFUNCTION("IMPORTRANGE(""https://docs.google.com/spreadsheets/d/14xp6qUzrGFnUk_qnc1eEmfiaNRd4_grkhpfQH_46fa8/edit?usp=sharing"",""ฉะเชิงเทรา!J146"")"),1)</f>
        <v>1</v>
      </c>
      <c r="AD55" s="87">
        <f t="shared" ca="1" si="28"/>
        <v>100</v>
      </c>
    </row>
    <row r="56" spans="1:30" ht="21" customHeight="1" x14ac:dyDescent="0.2">
      <c r="A56" s="78">
        <v>4</v>
      </c>
      <c r="B56" s="79" t="s">
        <v>78</v>
      </c>
      <c r="C56" s="80">
        <f t="shared" ca="1" si="0"/>
        <v>0</v>
      </c>
      <c r="D56" s="81">
        <f t="shared" ca="1" si="47"/>
        <v>0</v>
      </c>
      <c r="E56" s="82">
        <f ca="1">IFERROR(__xludf.DUMMYFUNCTION("IMPORTRANGE(""https://docs.google.com/spreadsheets/d/1MeEWN-I1oV_STSDYn1IFDPWt_1FKiwhDph83XaGc0o0/edit?usp=sharing"",""งบพรบ!BL56"")"),0)</f>
        <v>0</v>
      </c>
      <c r="F56" s="82">
        <f ca="1">IFERROR(__xludf.DUMMYFUNCTION("IMPORTRANGE(""https://docs.google.com/spreadsheets/d/1MeEWN-I1oV_STSDYn1IFDPWt_1FKiwhDph83XaGc0o0/edit?usp=sharing"",""งบพรบ!BM56"")"),0)</f>
        <v>0</v>
      </c>
      <c r="G56" s="82">
        <f ca="1">IFERROR(__xludf.DUMMYFUNCTION("IMPORTRANGE(""https://docs.google.com/spreadsheets/d/1MeEWN-I1oV_STSDYn1IFDPWt_1FKiwhDph83XaGc0o0/edit?usp=sharing"",""งบพรบ!BN56"")"),0)</f>
        <v>0</v>
      </c>
      <c r="H56" s="82">
        <f ca="1">IFERROR(__xludf.DUMMYFUNCTION("IMPORTRANGE(""https://docs.google.com/spreadsheets/d/1MeEWN-I1oV_STSDYn1IFDPWt_1FKiwhDph83XaGc0o0/edit?usp=sharing"",""งบพรบ!BP56"")"),0)</f>
        <v>0</v>
      </c>
      <c r="I56" s="82">
        <f ca="1">IFERROR(__xludf.DUMMYFUNCTION("IMPORTRANGE(""https://docs.google.com/spreadsheets/d/1MeEWN-I1oV_STSDYn1IFDPWt_1FKiwhDph83XaGc0o0/edit?usp=sharing"",""งบพรบ!BQ56"")"),0)</f>
        <v>0</v>
      </c>
      <c r="J56" s="82">
        <f t="shared" ca="1" si="3"/>
        <v>0</v>
      </c>
      <c r="K56" s="83">
        <f t="shared" ca="1" si="4"/>
        <v>0</v>
      </c>
      <c r="L56" s="82">
        <f ca="1">IFERROR(__xludf.DUMMYFUNCTION("IMPORTRANGE(""https://docs.google.com/spreadsheets/d/1MeEWN-I1oV_STSDYn1IFDPWt_1FKiwhDph83XaGc0o0/edit?usp=sharing"",""งบพรบ!BR56"")"),0)</f>
        <v>0</v>
      </c>
      <c r="M56" s="84">
        <f t="shared" ca="1" si="5"/>
        <v>0</v>
      </c>
      <c r="N56" s="84">
        <f t="shared" ca="1" si="6"/>
        <v>0</v>
      </c>
      <c r="O56" s="85">
        <f ca="1">IFERROR(__xludf.DUMMYFUNCTION("IMPORTRANGE(""https://docs.google.com/spreadsheets/d/1MeEWN-I1oV_STSDYn1IFDPWt_1FKiwhDph83XaGc0o0/edit?usp=sharing"",""งบพรบ!BS56"")"),0)</f>
        <v>0</v>
      </c>
      <c r="P56" s="85">
        <f t="shared" ca="1" si="30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IFERROR(__xludf.DUMMYFUNCTION("IMPORTRANGE(""https://docs.google.com/spreadsheets/d/1_Zwps30dlVa-pZFsorjVf1Pil6WXwzCsJU0U2whO3NI/edit?usp=sharing"",""ชลบุรี!J142"")"),0)</f>
        <v>0</v>
      </c>
      <c r="S56" s="86">
        <f ca="1">IFERROR(__xludf.DUMMYFUNCTION("IMPORTRANGE(""https://docs.google.com/spreadsheets/d/1_Zwps30dlVa-pZFsorjVf1Pil6WXwzCsJU0U2whO3NI/edit?usp=sharing"",""ชลบุรี!I143"")"),0)</f>
        <v>0</v>
      </c>
      <c r="T56" s="86">
        <f ca="1">IFERROR(__xludf.DUMMYFUNCTION("IMPORTRANGE(""https://docs.google.com/spreadsheets/d/1_Zwps30dlVa-pZFsorjVf1Pil6WXwzCsJU0U2whO3NI/edit?usp=sharing"",""ชลบุรี!J143"")"),0)</f>
        <v>0</v>
      </c>
      <c r="U56" s="87">
        <f t="shared" ca="1" si="25"/>
        <v>0</v>
      </c>
      <c r="V56" s="86">
        <f ca="1">IFERROR(__xludf.DUMMYFUNCTION("IMPORTRANGE(""https://docs.google.com/spreadsheets/d/1_Zwps30dlVa-pZFsorjVf1Pil6WXwzCsJU0U2whO3NI/edit?usp=sharing"",""ชลบุรี!I144"")"),0)</f>
        <v>0</v>
      </c>
      <c r="W56" s="86">
        <f ca="1">IFERROR(__xludf.DUMMYFUNCTION("IMPORTRANGE(""https://docs.google.com/spreadsheets/d/1_Zwps30dlVa-pZFsorjVf1Pil6WXwzCsJU0U2whO3NI/edit?usp=sharing"",""ชลบุรี!J144"")"),0)</f>
        <v>0</v>
      </c>
      <c r="X56" s="87">
        <f t="shared" ca="1" si="26"/>
        <v>0</v>
      </c>
      <c r="Y56" s="86">
        <f ca="1">IFERROR(__xludf.DUMMYFUNCTION("IMPORTRANGE(""https://docs.google.com/spreadsheets/d/1_Zwps30dlVa-pZFsorjVf1Pil6WXwzCsJU0U2whO3NI/edit?usp=sharing"",""ชลบุรี!I145"")"),0)</f>
        <v>0</v>
      </c>
      <c r="Z56" s="86">
        <f ca="1">IFERROR(__xludf.DUMMYFUNCTION("IMPORTRANGE(""https://docs.google.com/spreadsheets/d/1_Zwps30dlVa-pZFsorjVf1Pil6WXwzCsJU0U2whO3NI/edit?usp=sharing"",""ชลบุรี!J145"")"),0)</f>
        <v>0</v>
      </c>
      <c r="AA56" s="87">
        <f t="shared" ca="1" si="27"/>
        <v>0</v>
      </c>
      <c r="AB56" s="86">
        <f ca="1">IFERROR(__xludf.DUMMYFUNCTION("IMPORTRANGE(""https://docs.google.com/spreadsheets/d/1_Zwps30dlVa-pZFsorjVf1Pil6WXwzCsJU0U2whO3NI/edit?usp=sharing"",""ชลบุรี!I146"")"),0)</f>
        <v>0</v>
      </c>
      <c r="AC56" s="86">
        <f ca="1">IFERROR(__xludf.DUMMYFUNCTION("IMPORTRANGE(""https://docs.google.com/spreadsheets/d/1_Zwps30dlVa-pZFsorjVf1Pil6WXwzCsJU0U2whO3NI/edit?usp=sharing"",""ชลบุรี!J146"")"),0)</f>
        <v>0</v>
      </c>
      <c r="AD56" s="87">
        <f t="shared" ca="1" si="28"/>
        <v>0</v>
      </c>
    </row>
    <row r="57" spans="1:30" ht="21" customHeight="1" x14ac:dyDescent="0.2">
      <c r="A57" s="78">
        <v>5</v>
      </c>
      <c r="B57" s="79" t="s">
        <v>79</v>
      </c>
      <c r="C57" s="80">
        <f t="shared" ca="1" si="0"/>
        <v>0</v>
      </c>
      <c r="D57" s="81">
        <f t="shared" ca="1" si="47"/>
        <v>0</v>
      </c>
      <c r="E57" s="82">
        <f ca="1">IFERROR(__xludf.DUMMYFUNCTION("IMPORTRANGE(""https://docs.google.com/spreadsheets/d/1MeEWN-I1oV_STSDYn1IFDPWt_1FKiwhDph83XaGc0o0/edit?usp=sharing"",""งบพรบ!BL57"")"),0)</f>
        <v>0</v>
      </c>
      <c r="F57" s="82">
        <f ca="1">IFERROR(__xludf.DUMMYFUNCTION("IMPORTRANGE(""https://docs.google.com/spreadsheets/d/1MeEWN-I1oV_STSDYn1IFDPWt_1FKiwhDph83XaGc0o0/edit?usp=sharing"",""งบพรบ!BM57"")"),0)</f>
        <v>0</v>
      </c>
      <c r="G57" s="82">
        <f ca="1">IFERROR(__xludf.DUMMYFUNCTION("IMPORTRANGE(""https://docs.google.com/spreadsheets/d/1MeEWN-I1oV_STSDYn1IFDPWt_1FKiwhDph83XaGc0o0/edit?usp=sharing"",""งบพรบ!BN57"")"),0)</f>
        <v>0</v>
      </c>
      <c r="H57" s="82">
        <f ca="1">IFERROR(__xludf.DUMMYFUNCTION("IMPORTRANGE(""https://docs.google.com/spreadsheets/d/1MeEWN-I1oV_STSDYn1IFDPWt_1FKiwhDph83XaGc0o0/edit?usp=sharing"",""งบพรบ!BP57"")"),0)</f>
        <v>0</v>
      </c>
      <c r="I57" s="82">
        <f ca="1">IFERROR(__xludf.DUMMYFUNCTION("IMPORTRANGE(""https://docs.google.com/spreadsheets/d/1MeEWN-I1oV_STSDYn1IFDPWt_1FKiwhDph83XaGc0o0/edit?usp=sharing"",""งบพรบ!BQ57"")"),0)</f>
        <v>0</v>
      </c>
      <c r="J57" s="82">
        <f t="shared" ca="1" si="3"/>
        <v>0</v>
      </c>
      <c r="K57" s="83">
        <f t="shared" ca="1" si="4"/>
        <v>0</v>
      </c>
      <c r="L57" s="82">
        <f ca="1">IFERROR(__xludf.DUMMYFUNCTION("IMPORTRANGE(""https://docs.google.com/spreadsheets/d/1MeEWN-I1oV_STSDYn1IFDPWt_1FKiwhDph83XaGc0o0/edit?usp=sharing"",""งบพรบ!BR57"")"),0)</f>
        <v>0</v>
      </c>
      <c r="M57" s="84">
        <f t="shared" ca="1" si="5"/>
        <v>0</v>
      </c>
      <c r="N57" s="84">
        <f t="shared" ca="1" si="6"/>
        <v>0</v>
      </c>
      <c r="O57" s="85">
        <f ca="1">IFERROR(__xludf.DUMMYFUNCTION("IMPORTRANGE(""https://docs.google.com/spreadsheets/d/1MeEWN-I1oV_STSDYn1IFDPWt_1FKiwhDph83XaGc0o0/edit?usp=sharing"",""งบพรบ!BS57"")"),0)</f>
        <v>0</v>
      </c>
      <c r="P57" s="85">
        <f t="shared" ca="1" si="30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IFERROR(__xludf.DUMMYFUNCTION("IMPORTRANGE(""https://docs.google.com/spreadsheets/d/1xAsT4sUbBlom7l0acStESh_15nvjZcXjZM7fK5uZSq8/edit?usp=sharing"",""ชัยนาท!J142"")"),0)</f>
        <v>0</v>
      </c>
      <c r="S57" s="86">
        <f ca="1">IFERROR(__xludf.DUMMYFUNCTION("IMPORTRANGE(""https://docs.google.com/spreadsheets/d/1xAsT4sUbBlom7l0acStESh_15nvjZcXjZM7fK5uZSq8/edit?usp=sharing"",""ชัยนาท!I143"")"),0)</f>
        <v>0</v>
      </c>
      <c r="T57" s="86">
        <f ca="1">IFERROR(__xludf.DUMMYFUNCTION("IMPORTRANGE(""https://docs.google.com/spreadsheets/d/1xAsT4sUbBlom7l0acStESh_15nvjZcXjZM7fK5uZSq8/edit?usp=sharing"",""ชัยนาท!J143"")"),0)</f>
        <v>0</v>
      </c>
      <c r="U57" s="87">
        <f t="shared" ca="1" si="25"/>
        <v>0</v>
      </c>
      <c r="V57" s="86">
        <f ca="1">IFERROR(__xludf.DUMMYFUNCTION("IMPORTRANGE(""https://docs.google.com/spreadsheets/d/1xAsT4sUbBlom7l0acStESh_15nvjZcXjZM7fK5uZSq8/edit?usp=sharing"",""ชัยนาท!I144"")"),0)</f>
        <v>0</v>
      </c>
      <c r="W57" s="86">
        <f ca="1">IFERROR(__xludf.DUMMYFUNCTION("IMPORTRANGE(""https://docs.google.com/spreadsheets/d/1xAsT4sUbBlom7l0acStESh_15nvjZcXjZM7fK5uZSq8/edit?usp=sharing"",""ชัยนาท!J144"")"),0)</f>
        <v>0</v>
      </c>
      <c r="X57" s="87">
        <f t="shared" ca="1" si="26"/>
        <v>0</v>
      </c>
      <c r="Y57" s="86">
        <f ca="1">IFERROR(__xludf.DUMMYFUNCTION("IMPORTRANGE(""https://docs.google.com/spreadsheets/d/1xAsT4sUbBlom7l0acStESh_15nvjZcXjZM7fK5uZSq8/edit?usp=sharing"",""ชัยนาท!I145"")"),0)</f>
        <v>0</v>
      </c>
      <c r="Z57" s="86">
        <f ca="1">IFERROR(__xludf.DUMMYFUNCTION("IMPORTRANGE(""https://docs.google.com/spreadsheets/d/1xAsT4sUbBlom7l0acStESh_15nvjZcXjZM7fK5uZSq8/edit?usp=sharing"",""ชัยนาท!J145"")"),0)</f>
        <v>0</v>
      </c>
      <c r="AA57" s="87">
        <f t="shared" ca="1" si="27"/>
        <v>0</v>
      </c>
      <c r="AB57" s="86">
        <f ca="1">IFERROR(__xludf.DUMMYFUNCTION("IMPORTRANGE(""https://docs.google.com/spreadsheets/d/1xAsT4sUbBlom7l0acStESh_15nvjZcXjZM7fK5uZSq8/edit?usp=sharing"",""ชัยนาท!I146"")"),0)</f>
        <v>0</v>
      </c>
      <c r="AC57" s="86">
        <f ca="1">IFERROR(__xludf.DUMMYFUNCTION("IMPORTRANGE(""https://docs.google.com/spreadsheets/d/1xAsT4sUbBlom7l0acStESh_15nvjZcXjZM7fK5uZSq8/edit?usp=sharing"",""ชัยนาท!J146"")"),0)</f>
        <v>0</v>
      </c>
      <c r="AD57" s="87">
        <f t="shared" ca="1" si="28"/>
        <v>0</v>
      </c>
    </row>
    <row r="58" spans="1:30" ht="21" customHeight="1" x14ac:dyDescent="0.2">
      <c r="A58" s="78">
        <v>6</v>
      </c>
      <c r="B58" s="79" t="s">
        <v>80</v>
      </c>
      <c r="C58" s="80">
        <f t="shared" ca="1" si="0"/>
        <v>0</v>
      </c>
      <c r="D58" s="81">
        <f t="shared" ca="1" si="47"/>
        <v>0</v>
      </c>
      <c r="E58" s="82">
        <f ca="1">IFERROR(__xludf.DUMMYFUNCTION("IMPORTRANGE(""https://docs.google.com/spreadsheets/d/1MeEWN-I1oV_STSDYn1IFDPWt_1FKiwhDph83XaGc0o0/edit?usp=sharing"",""งบพรบ!BL58"")"),0)</f>
        <v>0</v>
      </c>
      <c r="F58" s="82">
        <f ca="1">IFERROR(__xludf.DUMMYFUNCTION("IMPORTRANGE(""https://docs.google.com/spreadsheets/d/1MeEWN-I1oV_STSDYn1IFDPWt_1FKiwhDph83XaGc0o0/edit?usp=sharing"",""งบพรบ!BM58"")"),0)</f>
        <v>0</v>
      </c>
      <c r="G58" s="82">
        <f ca="1">IFERROR(__xludf.DUMMYFUNCTION("IMPORTRANGE(""https://docs.google.com/spreadsheets/d/1MeEWN-I1oV_STSDYn1IFDPWt_1FKiwhDph83XaGc0o0/edit?usp=sharing"",""งบพรบ!BN58"")"),0)</f>
        <v>0</v>
      </c>
      <c r="H58" s="82">
        <f ca="1">IFERROR(__xludf.DUMMYFUNCTION("IMPORTRANGE(""https://docs.google.com/spreadsheets/d/1MeEWN-I1oV_STSDYn1IFDPWt_1FKiwhDph83XaGc0o0/edit?usp=sharing"",""งบพรบ!BP58"")"),0)</f>
        <v>0</v>
      </c>
      <c r="I58" s="82">
        <f ca="1">IFERROR(__xludf.DUMMYFUNCTION("IMPORTRANGE(""https://docs.google.com/spreadsheets/d/1MeEWN-I1oV_STSDYn1IFDPWt_1FKiwhDph83XaGc0o0/edit?usp=sharing"",""งบพรบ!BQ58"")"),0)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IFERROR(__xludf.DUMMYFUNCTION("IMPORTRANGE(""https://docs.google.com/spreadsheets/d/1MeEWN-I1oV_STSDYn1IFDPWt_1FKiwhDph83XaGc0o0/edit?usp=sharing"",""งบพรบ!BR58"")"),0)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IFERROR(__xludf.DUMMYFUNCTION("IMPORTRANGE(""https://docs.google.com/spreadsheets/d/1MeEWN-I1oV_STSDYn1IFDPWt_1FKiwhDph83XaGc0o0/edit?usp=sharing"",""งบพรบ!BS58"")"),0)</f>
        <v>0</v>
      </c>
      <c r="P58" s="85">
        <f t="shared" ca="1" si="30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IFERROR(__xludf.DUMMYFUNCTION("IMPORTRANGE(""https://docs.google.com/spreadsheets/d/1vWPVBOAaZ6mHSI8yf95DNqHwTJ1cpeFsvqt6cxV34QA/edit?usp=sharing"",""ตราด!J142"")"),0)</f>
        <v>0</v>
      </c>
      <c r="S58" s="86">
        <f ca="1">IFERROR(__xludf.DUMMYFUNCTION("IMPORTRANGE(""https://docs.google.com/spreadsheets/d/1vWPVBOAaZ6mHSI8yf95DNqHwTJ1cpeFsvqt6cxV34QA/edit?usp=sharing"",""ตราด!I143"")"),0)</f>
        <v>0</v>
      </c>
      <c r="T58" s="86">
        <f ca="1">IFERROR(__xludf.DUMMYFUNCTION("IMPORTRANGE(""https://docs.google.com/spreadsheets/d/1vWPVBOAaZ6mHSI8yf95DNqHwTJ1cpeFsvqt6cxV34QA/edit?usp=sharing"",""ตราด!J143"")"),0)</f>
        <v>0</v>
      </c>
      <c r="U58" s="87">
        <f t="shared" ca="1" si="25"/>
        <v>0</v>
      </c>
      <c r="V58" s="86">
        <f ca="1">IFERROR(__xludf.DUMMYFUNCTION("IMPORTRANGE(""https://docs.google.com/spreadsheets/d/1vWPVBOAaZ6mHSI8yf95DNqHwTJ1cpeFsvqt6cxV34QA/edit?usp=sharing"",""ตราด!I144"")"),0)</f>
        <v>0</v>
      </c>
      <c r="W58" s="86">
        <f ca="1">IFERROR(__xludf.DUMMYFUNCTION("IMPORTRANGE(""https://docs.google.com/spreadsheets/d/1vWPVBOAaZ6mHSI8yf95DNqHwTJ1cpeFsvqt6cxV34QA/edit?usp=sharing"",""ตราด!J144"")"),0)</f>
        <v>0</v>
      </c>
      <c r="X58" s="87">
        <f t="shared" ca="1" si="26"/>
        <v>0</v>
      </c>
      <c r="Y58" s="86">
        <f ca="1">IFERROR(__xludf.DUMMYFUNCTION("IMPORTRANGE(""https://docs.google.com/spreadsheets/d/1vWPVBOAaZ6mHSI8yf95DNqHwTJ1cpeFsvqt6cxV34QA/edit?usp=sharing"",""ตราด!I145"")"),0)</f>
        <v>0</v>
      </c>
      <c r="Z58" s="86">
        <f ca="1">IFERROR(__xludf.DUMMYFUNCTION("IMPORTRANGE(""https://docs.google.com/spreadsheets/d/1vWPVBOAaZ6mHSI8yf95DNqHwTJ1cpeFsvqt6cxV34QA/edit?usp=sharing"",""ตราด!J145"")"),0)</f>
        <v>0</v>
      </c>
      <c r="AA58" s="87">
        <f t="shared" ca="1" si="27"/>
        <v>0</v>
      </c>
      <c r="AB58" s="86">
        <f ca="1">IFERROR(__xludf.DUMMYFUNCTION("IMPORTRANGE(""https://docs.google.com/spreadsheets/d/1vWPVBOAaZ6mHSI8yf95DNqHwTJ1cpeFsvqt6cxV34QA/edit?usp=sharing"",""ตราด!I146"")"),0)</f>
        <v>0</v>
      </c>
      <c r="AC58" s="86">
        <f ca="1">IFERROR(__xludf.DUMMYFUNCTION("IMPORTRANGE(""https://docs.google.com/spreadsheets/d/1vWPVBOAaZ6mHSI8yf95DNqHwTJ1cpeFsvqt6cxV34QA/edit?usp=sharing"",""ตราด!J146"")"),0)</f>
        <v>0</v>
      </c>
      <c r="AD58" s="87">
        <f t="shared" ca="1" si="28"/>
        <v>0</v>
      </c>
    </row>
    <row r="59" spans="1:30" ht="21" customHeight="1" x14ac:dyDescent="0.2">
      <c r="A59" s="78">
        <v>7</v>
      </c>
      <c r="B59" s="79" t="s">
        <v>81</v>
      </c>
      <c r="C59" s="80">
        <f t="shared" ca="1" si="0"/>
        <v>0</v>
      </c>
      <c r="D59" s="81">
        <f t="shared" ca="1" si="47"/>
        <v>0</v>
      </c>
      <c r="E59" s="82">
        <f ca="1">IFERROR(__xludf.DUMMYFUNCTION("IMPORTRANGE(""https://docs.google.com/spreadsheets/d/1MeEWN-I1oV_STSDYn1IFDPWt_1FKiwhDph83XaGc0o0/edit?usp=sharing"",""งบพรบ!BL59"")"),0)</f>
        <v>0</v>
      </c>
      <c r="F59" s="82">
        <f ca="1">IFERROR(__xludf.DUMMYFUNCTION("IMPORTRANGE(""https://docs.google.com/spreadsheets/d/1MeEWN-I1oV_STSDYn1IFDPWt_1FKiwhDph83XaGc0o0/edit?usp=sharing"",""งบพรบ!BM59"")"),0)</f>
        <v>0</v>
      </c>
      <c r="G59" s="82">
        <f ca="1">IFERROR(__xludf.DUMMYFUNCTION("IMPORTRANGE(""https://docs.google.com/spreadsheets/d/1MeEWN-I1oV_STSDYn1IFDPWt_1FKiwhDph83XaGc0o0/edit?usp=sharing"",""งบพรบ!BN59"")"),0)</f>
        <v>0</v>
      </c>
      <c r="H59" s="82">
        <f ca="1">IFERROR(__xludf.DUMMYFUNCTION("IMPORTRANGE(""https://docs.google.com/spreadsheets/d/1MeEWN-I1oV_STSDYn1IFDPWt_1FKiwhDph83XaGc0o0/edit?usp=sharing"",""งบพรบ!BP59"")"),0)</f>
        <v>0</v>
      </c>
      <c r="I59" s="82">
        <f ca="1">IFERROR(__xludf.DUMMYFUNCTION("IMPORTRANGE(""https://docs.google.com/spreadsheets/d/1MeEWN-I1oV_STSDYn1IFDPWt_1FKiwhDph83XaGc0o0/edit?usp=sharing"",""งบพรบ!BQ59"")"),0)</f>
        <v>0</v>
      </c>
      <c r="J59" s="82">
        <f t="shared" ca="1" si="3"/>
        <v>0</v>
      </c>
      <c r="K59" s="83">
        <f t="shared" ca="1" si="4"/>
        <v>0</v>
      </c>
      <c r="L59" s="82">
        <f ca="1">IFERROR(__xludf.DUMMYFUNCTION("IMPORTRANGE(""https://docs.google.com/spreadsheets/d/1MeEWN-I1oV_STSDYn1IFDPWt_1FKiwhDph83XaGc0o0/edit?usp=sharing"",""งบพรบ!BR59"")"),0)</f>
        <v>0</v>
      </c>
      <c r="M59" s="84">
        <f t="shared" ca="1" si="5"/>
        <v>0</v>
      </c>
      <c r="N59" s="84">
        <f t="shared" ca="1" si="6"/>
        <v>0</v>
      </c>
      <c r="O59" s="85">
        <f ca="1">IFERROR(__xludf.DUMMYFUNCTION("IMPORTRANGE(""https://docs.google.com/spreadsheets/d/1MeEWN-I1oV_STSDYn1IFDPWt_1FKiwhDph83XaGc0o0/edit?usp=sharing"",""งบพรบ!BS59"")"),0)</f>
        <v>0</v>
      </c>
      <c r="P59" s="85">
        <f t="shared" ca="1" si="30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IFERROR(__xludf.DUMMYFUNCTION("IMPORTRANGE(""https://docs.google.com/spreadsheets/d/1phaeSb9lTGgzDpbvVqI9hfmOQQzUom07-HEvpbARzEg/edit?usp=sharing"",""นครนายก!J142"")"),0)</f>
        <v>0</v>
      </c>
      <c r="S59" s="86">
        <f ca="1">IFERROR(__xludf.DUMMYFUNCTION("IMPORTRANGE(""https://docs.google.com/spreadsheets/d/1phaeSb9lTGgzDpbvVqI9hfmOQQzUom07-HEvpbARzEg/edit?usp=sharing"",""นครนายก!I143"")"),0)</f>
        <v>0</v>
      </c>
      <c r="T59" s="86">
        <f ca="1">IFERROR(__xludf.DUMMYFUNCTION("IMPORTRANGE(""https://docs.google.com/spreadsheets/d/1phaeSb9lTGgzDpbvVqI9hfmOQQzUom07-HEvpbARzEg/edit?usp=sharing"",""นครนายก!J143"")"),0)</f>
        <v>0</v>
      </c>
      <c r="U59" s="87">
        <f t="shared" ca="1" si="25"/>
        <v>0</v>
      </c>
      <c r="V59" s="86">
        <f ca="1">IFERROR(__xludf.DUMMYFUNCTION("IMPORTRANGE(""https://docs.google.com/spreadsheets/d/1phaeSb9lTGgzDpbvVqI9hfmOQQzUom07-HEvpbARzEg/edit?usp=sharing"",""นครนายก!I144"")"),0)</f>
        <v>0</v>
      </c>
      <c r="W59" s="86">
        <f ca="1">IFERROR(__xludf.DUMMYFUNCTION("IMPORTRANGE(""https://docs.google.com/spreadsheets/d/1phaeSb9lTGgzDpbvVqI9hfmOQQzUom07-HEvpbARzEg/edit?usp=sharing"",""นครนายก!J144"")"),0)</f>
        <v>0</v>
      </c>
      <c r="X59" s="87">
        <f t="shared" ca="1" si="26"/>
        <v>0</v>
      </c>
      <c r="Y59" s="86">
        <f ca="1">IFERROR(__xludf.DUMMYFUNCTION("IMPORTRANGE(""https://docs.google.com/spreadsheets/d/1phaeSb9lTGgzDpbvVqI9hfmOQQzUom07-HEvpbARzEg/edit?usp=sharing"",""นครนายก!I145"")"),0)</f>
        <v>0</v>
      </c>
      <c r="Z59" s="86">
        <f ca="1">IFERROR(__xludf.DUMMYFUNCTION("IMPORTRANGE(""https://docs.google.com/spreadsheets/d/1phaeSb9lTGgzDpbvVqI9hfmOQQzUom07-HEvpbARzEg/edit?usp=sharing"",""นครนายก!J145"")"),0)</f>
        <v>0</v>
      </c>
      <c r="AA59" s="87">
        <f t="shared" ca="1" si="27"/>
        <v>0</v>
      </c>
      <c r="AB59" s="86">
        <f ca="1">IFERROR(__xludf.DUMMYFUNCTION("IMPORTRANGE(""https://docs.google.com/spreadsheets/d/1phaeSb9lTGgzDpbvVqI9hfmOQQzUom07-HEvpbARzEg/edit?usp=sharing"",""นครนายก!I146"")"),0)</f>
        <v>0</v>
      </c>
      <c r="AC59" s="86">
        <f ca="1">IFERROR(__xludf.DUMMYFUNCTION("IMPORTRANGE(""https://docs.google.com/spreadsheets/d/1phaeSb9lTGgzDpbvVqI9hfmOQQzUom07-HEvpbARzEg/edit?usp=sharing"",""นครนายก!J146"")"),0)</f>
        <v>0</v>
      </c>
      <c r="AD59" s="87">
        <f t="shared" ca="1" si="28"/>
        <v>0</v>
      </c>
    </row>
    <row r="60" spans="1:30" ht="21" customHeight="1" x14ac:dyDescent="0.2">
      <c r="A60" s="78">
        <v>8</v>
      </c>
      <c r="B60" s="79" t="s">
        <v>82</v>
      </c>
      <c r="C60" s="80">
        <f t="shared" ca="1" si="0"/>
        <v>0</v>
      </c>
      <c r="D60" s="81">
        <f t="shared" ca="1" si="47"/>
        <v>0</v>
      </c>
      <c r="E60" s="82">
        <f ca="1">IFERROR(__xludf.DUMMYFUNCTION("IMPORTRANGE(""https://docs.google.com/spreadsheets/d/1MeEWN-I1oV_STSDYn1IFDPWt_1FKiwhDph83XaGc0o0/edit?usp=sharing"",""งบพรบ!BL60"")"),0)</f>
        <v>0</v>
      </c>
      <c r="F60" s="82">
        <f ca="1">IFERROR(__xludf.DUMMYFUNCTION("IMPORTRANGE(""https://docs.google.com/spreadsheets/d/1MeEWN-I1oV_STSDYn1IFDPWt_1FKiwhDph83XaGc0o0/edit?usp=sharing"",""งบพรบ!BM60"")"),0)</f>
        <v>0</v>
      </c>
      <c r="G60" s="82">
        <f ca="1">IFERROR(__xludf.DUMMYFUNCTION("IMPORTRANGE(""https://docs.google.com/spreadsheets/d/1MeEWN-I1oV_STSDYn1IFDPWt_1FKiwhDph83XaGc0o0/edit?usp=sharing"",""งบพรบ!BN60"")"),0)</f>
        <v>0</v>
      </c>
      <c r="H60" s="82">
        <f ca="1">IFERROR(__xludf.DUMMYFUNCTION("IMPORTRANGE(""https://docs.google.com/spreadsheets/d/1MeEWN-I1oV_STSDYn1IFDPWt_1FKiwhDph83XaGc0o0/edit?usp=sharing"",""งบพรบ!BP60"")"),0)</f>
        <v>0</v>
      </c>
      <c r="I60" s="82">
        <f ca="1">IFERROR(__xludf.DUMMYFUNCTION("IMPORTRANGE(""https://docs.google.com/spreadsheets/d/1MeEWN-I1oV_STSDYn1IFDPWt_1FKiwhDph83XaGc0o0/edit?usp=sharing"",""งบพรบ!BQ60"")"),0)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IFERROR(__xludf.DUMMYFUNCTION("IMPORTRANGE(""https://docs.google.com/spreadsheets/d/1MeEWN-I1oV_STSDYn1IFDPWt_1FKiwhDph83XaGc0o0/edit?usp=sharing"",""งบพรบ!BR60"")"),0)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IFERROR(__xludf.DUMMYFUNCTION("IMPORTRANGE(""https://docs.google.com/spreadsheets/d/1MeEWN-I1oV_STSDYn1IFDPWt_1FKiwhDph83XaGc0o0/edit?usp=sharing"",""งบพรบ!BS60"")"),0)</f>
        <v>0</v>
      </c>
      <c r="P60" s="85">
        <f t="shared" ca="1" si="30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IFERROR(__xludf.DUMMYFUNCTION("IMPORTRANGE(""https://docs.google.com/spreadsheets/d/1tpwhWwkqkBeiSWCcfB5f2fbwPRbM9hHOEDSDHpl2MIc/edit?usp=sharing"",""นครปฐม!J142"")"),0)</f>
        <v>0</v>
      </c>
      <c r="S60" s="86">
        <f ca="1">IFERROR(__xludf.DUMMYFUNCTION("IMPORTRANGE(""https://docs.google.com/spreadsheets/d/1tpwhWwkqkBeiSWCcfB5f2fbwPRbM9hHOEDSDHpl2MIc/edit?usp=sharing"",""นครปฐม!I143"")"),0)</f>
        <v>0</v>
      </c>
      <c r="T60" s="86">
        <f ca="1">IFERROR(__xludf.DUMMYFUNCTION("IMPORTRANGE(""https://docs.google.com/spreadsheets/d/1tpwhWwkqkBeiSWCcfB5f2fbwPRbM9hHOEDSDHpl2MIc/edit?usp=sharing"",""นครปฐม!J143"")"),0)</f>
        <v>0</v>
      </c>
      <c r="U60" s="87">
        <f t="shared" ca="1" si="25"/>
        <v>0</v>
      </c>
      <c r="V60" s="86">
        <f ca="1">IFERROR(__xludf.DUMMYFUNCTION("IMPORTRANGE(""https://docs.google.com/spreadsheets/d/1tpwhWwkqkBeiSWCcfB5f2fbwPRbM9hHOEDSDHpl2MIc/edit?usp=sharing"",""นครปฐม!I144"")"),0)</f>
        <v>0</v>
      </c>
      <c r="W60" s="86">
        <f ca="1">IFERROR(__xludf.DUMMYFUNCTION("IMPORTRANGE(""https://docs.google.com/spreadsheets/d/1tpwhWwkqkBeiSWCcfB5f2fbwPRbM9hHOEDSDHpl2MIc/edit?usp=sharing"",""นครปฐม!J144"")"),0)</f>
        <v>0</v>
      </c>
      <c r="X60" s="87">
        <f t="shared" ca="1" si="26"/>
        <v>0</v>
      </c>
      <c r="Y60" s="86">
        <f ca="1">IFERROR(__xludf.DUMMYFUNCTION("IMPORTRANGE(""https://docs.google.com/spreadsheets/d/1tpwhWwkqkBeiSWCcfB5f2fbwPRbM9hHOEDSDHpl2MIc/edit?usp=sharing"",""นครปฐม!I145"")"),0)</f>
        <v>0</v>
      </c>
      <c r="Z60" s="86">
        <f ca="1">IFERROR(__xludf.DUMMYFUNCTION("IMPORTRANGE(""https://docs.google.com/spreadsheets/d/1tpwhWwkqkBeiSWCcfB5f2fbwPRbM9hHOEDSDHpl2MIc/edit?usp=sharing"",""นครปฐม!J145"")"),0)</f>
        <v>0</v>
      </c>
      <c r="AA60" s="87">
        <f t="shared" ca="1" si="27"/>
        <v>0</v>
      </c>
      <c r="AB60" s="86">
        <f ca="1">IFERROR(__xludf.DUMMYFUNCTION("IMPORTRANGE(""https://docs.google.com/spreadsheets/d/1tpwhWwkqkBeiSWCcfB5f2fbwPRbM9hHOEDSDHpl2MIc/edit?usp=sharing"",""นครปฐม!I146"")"),0)</f>
        <v>0</v>
      </c>
      <c r="AC60" s="86">
        <f ca="1">IFERROR(__xludf.DUMMYFUNCTION("IMPORTRANGE(""https://docs.google.com/spreadsheets/d/1tpwhWwkqkBeiSWCcfB5f2fbwPRbM9hHOEDSDHpl2MIc/edit?usp=sharing"",""นครปฐม!J146"")"),0)</f>
        <v>0</v>
      </c>
      <c r="AD60" s="87">
        <f t="shared" ca="1" si="28"/>
        <v>0</v>
      </c>
    </row>
    <row r="61" spans="1:30" ht="21" customHeight="1" x14ac:dyDescent="0.2">
      <c r="A61" s="78">
        <v>9</v>
      </c>
      <c r="B61" s="79" t="s">
        <v>83</v>
      </c>
      <c r="C61" s="80">
        <f t="shared" ca="1" si="0"/>
        <v>0</v>
      </c>
      <c r="D61" s="81">
        <f t="shared" ca="1" si="47"/>
        <v>0</v>
      </c>
      <c r="E61" s="82">
        <f ca="1">IFERROR(__xludf.DUMMYFUNCTION("IMPORTRANGE(""https://docs.google.com/spreadsheets/d/1MeEWN-I1oV_STSDYn1IFDPWt_1FKiwhDph83XaGc0o0/edit?usp=sharing"",""งบพรบ!BL61"")"),0)</f>
        <v>0</v>
      </c>
      <c r="F61" s="82">
        <f ca="1">IFERROR(__xludf.DUMMYFUNCTION("IMPORTRANGE(""https://docs.google.com/spreadsheets/d/1MeEWN-I1oV_STSDYn1IFDPWt_1FKiwhDph83XaGc0o0/edit?usp=sharing"",""งบพรบ!BM61"")"),0)</f>
        <v>0</v>
      </c>
      <c r="G61" s="82">
        <f ca="1">IFERROR(__xludf.DUMMYFUNCTION("IMPORTRANGE(""https://docs.google.com/spreadsheets/d/1MeEWN-I1oV_STSDYn1IFDPWt_1FKiwhDph83XaGc0o0/edit?usp=sharing"",""งบพรบ!BN61"")"),0)</f>
        <v>0</v>
      </c>
      <c r="H61" s="82">
        <f ca="1">IFERROR(__xludf.DUMMYFUNCTION("IMPORTRANGE(""https://docs.google.com/spreadsheets/d/1MeEWN-I1oV_STSDYn1IFDPWt_1FKiwhDph83XaGc0o0/edit?usp=sharing"",""งบพรบ!BP61"")"),0)</f>
        <v>0</v>
      </c>
      <c r="I61" s="82">
        <f ca="1">IFERROR(__xludf.DUMMYFUNCTION("IMPORTRANGE(""https://docs.google.com/spreadsheets/d/1MeEWN-I1oV_STSDYn1IFDPWt_1FKiwhDph83XaGc0o0/edit?usp=sharing"",""งบพรบ!BQ61"")"),0)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IFERROR(__xludf.DUMMYFUNCTION("IMPORTRANGE(""https://docs.google.com/spreadsheets/d/1MeEWN-I1oV_STSDYn1IFDPWt_1FKiwhDph83XaGc0o0/edit?usp=sharing"",""งบพรบ!BR61"")"),0)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IFERROR(__xludf.DUMMYFUNCTION("IMPORTRANGE(""https://docs.google.com/spreadsheets/d/1MeEWN-I1oV_STSDYn1IFDPWt_1FKiwhDph83XaGc0o0/edit?usp=sharing"",""งบพรบ!BS61"")"),0)</f>
        <v>0</v>
      </c>
      <c r="P61" s="85">
        <f t="shared" ca="1" si="30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IFERROR(__xludf.DUMMYFUNCTION("IMPORTRANGE(""https://docs.google.com/spreadsheets/d/1fJJCVBkBnhriyv0Cp5ZFMr0I_yrfdEITNpb4zILJgUQ/edit?usp=sharing"",""ปทุมธานี!J142"")"),0)</f>
        <v>0</v>
      </c>
      <c r="S61" s="86">
        <f ca="1">IFERROR(__xludf.DUMMYFUNCTION("IMPORTRANGE(""https://docs.google.com/spreadsheets/d/1fJJCVBkBnhriyv0Cp5ZFMr0I_yrfdEITNpb4zILJgUQ/edit?usp=sharing"",""ปทุมธานี!I143"")"),0)</f>
        <v>0</v>
      </c>
      <c r="T61" s="86">
        <f ca="1">IFERROR(__xludf.DUMMYFUNCTION("IMPORTRANGE(""https://docs.google.com/spreadsheets/d/1fJJCVBkBnhriyv0Cp5ZFMr0I_yrfdEITNpb4zILJgUQ/edit?usp=sharing"",""ปทุมธานี!J143"")"),0)</f>
        <v>0</v>
      </c>
      <c r="U61" s="87">
        <f t="shared" ca="1" si="25"/>
        <v>0</v>
      </c>
      <c r="V61" s="86">
        <f ca="1">IFERROR(__xludf.DUMMYFUNCTION("IMPORTRANGE(""https://docs.google.com/spreadsheets/d/1fJJCVBkBnhriyv0Cp5ZFMr0I_yrfdEITNpb4zILJgUQ/edit?usp=sharing"",""ปทุมธานี!I144"")"),0)</f>
        <v>0</v>
      </c>
      <c r="W61" s="86">
        <f ca="1">IFERROR(__xludf.DUMMYFUNCTION("IMPORTRANGE(""https://docs.google.com/spreadsheets/d/1fJJCVBkBnhriyv0Cp5ZFMr0I_yrfdEITNpb4zILJgUQ/edit?usp=sharing"",""ปทุมธานี!J144"")"),0)</f>
        <v>0</v>
      </c>
      <c r="X61" s="87">
        <f t="shared" ca="1" si="26"/>
        <v>0</v>
      </c>
      <c r="Y61" s="86">
        <f ca="1">IFERROR(__xludf.DUMMYFUNCTION("IMPORTRANGE(""https://docs.google.com/spreadsheets/d/1fJJCVBkBnhriyv0Cp5ZFMr0I_yrfdEITNpb4zILJgUQ/edit?usp=sharing"",""ปทุมธานี!I145"")"),0)</f>
        <v>0</v>
      </c>
      <c r="Z61" s="86">
        <f ca="1">IFERROR(__xludf.DUMMYFUNCTION("IMPORTRANGE(""https://docs.google.com/spreadsheets/d/1fJJCVBkBnhriyv0Cp5ZFMr0I_yrfdEITNpb4zILJgUQ/edit?usp=sharing"",""ปทุมธานี!J145"")"),0)</f>
        <v>0</v>
      </c>
      <c r="AA61" s="87">
        <f t="shared" ca="1" si="27"/>
        <v>0</v>
      </c>
      <c r="AB61" s="86">
        <f ca="1">IFERROR(__xludf.DUMMYFUNCTION("IMPORTRANGE(""https://docs.google.com/spreadsheets/d/1fJJCVBkBnhriyv0Cp5ZFMr0I_yrfdEITNpb4zILJgUQ/edit?usp=sharing"",""ปทุมธานี!I146"")"),0)</f>
        <v>0</v>
      </c>
      <c r="AC61" s="86">
        <f ca="1">IFERROR(__xludf.DUMMYFUNCTION("IMPORTRANGE(""https://docs.google.com/spreadsheets/d/1fJJCVBkBnhriyv0Cp5ZFMr0I_yrfdEITNpb4zILJgUQ/edit?usp=sharing"",""ปทุมธานี!J146"")"),0)</f>
        <v>0</v>
      </c>
      <c r="AD61" s="87">
        <f t="shared" ca="1" si="28"/>
        <v>0</v>
      </c>
    </row>
    <row r="62" spans="1:30" ht="21" customHeight="1" x14ac:dyDescent="0.2">
      <c r="A62" s="78">
        <v>10</v>
      </c>
      <c r="B62" s="79" t="s">
        <v>84</v>
      </c>
      <c r="C62" s="80">
        <f t="shared" ca="1" si="0"/>
        <v>0</v>
      </c>
      <c r="D62" s="81">
        <f t="shared" ca="1" si="47"/>
        <v>0</v>
      </c>
      <c r="E62" s="82">
        <f ca="1">IFERROR(__xludf.DUMMYFUNCTION("IMPORTRANGE(""https://docs.google.com/spreadsheets/d/1MeEWN-I1oV_STSDYn1IFDPWt_1FKiwhDph83XaGc0o0/edit?usp=sharing"",""งบพรบ!BL62"")"),0)</f>
        <v>0</v>
      </c>
      <c r="F62" s="82">
        <f ca="1">IFERROR(__xludf.DUMMYFUNCTION("IMPORTRANGE(""https://docs.google.com/spreadsheets/d/1MeEWN-I1oV_STSDYn1IFDPWt_1FKiwhDph83XaGc0o0/edit?usp=sharing"",""งบพรบ!BM62"")"),0)</f>
        <v>0</v>
      </c>
      <c r="G62" s="82">
        <f ca="1">IFERROR(__xludf.DUMMYFUNCTION("IMPORTRANGE(""https://docs.google.com/spreadsheets/d/1MeEWN-I1oV_STSDYn1IFDPWt_1FKiwhDph83XaGc0o0/edit?usp=sharing"",""งบพรบ!BN62"")"),0)</f>
        <v>0</v>
      </c>
      <c r="H62" s="82">
        <f ca="1">IFERROR(__xludf.DUMMYFUNCTION("IMPORTRANGE(""https://docs.google.com/spreadsheets/d/1MeEWN-I1oV_STSDYn1IFDPWt_1FKiwhDph83XaGc0o0/edit?usp=sharing"",""งบพรบ!BP62"")"),0)</f>
        <v>0</v>
      </c>
      <c r="I62" s="82">
        <f ca="1">IFERROR(__xludf.DUMMYFUNCTION("IMPORTRANGE(""https://docs.google.com/spreadsheets/d/1MeEWN-I1oV_STSDYn1IFDPWt_1FKiwhDph83XaGc0o0/edit?usp=sharing"",""งบพรบ!BQ62"")"),0)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IFERROR(__xludf.DUMMYFUNCTION("IMPORTRANGE(""https://docs.google.com/spreadsheets/d/1MeEWN-I1oV_STSDYn1IFDPWt_1FKiwhDph83XaGc0o0/edit?usp=sharing"",""งบพรบ!BR62"")"),0)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IFERROR(__xludf.DUMMYFUNCTION("IMPORTRANGE(""https://docs.google.com/spreadsheets/d/1MeEWN-I1oV_STSDYn1IFDPWt_1FKiwhDph83XaGc0o0/edit?usp=sharing"",""งบพรบ!BS62"")"),0)</f>
        <v>0</v>
      </c>
      <c r="P62" s="85">
        <f t="shared" ca="1" si="30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IFERROR(__xludf.DUMMYFUNCTION("IMPORTRANGE(""https://docs.google.com/spreadsheets/d/1W5Jj_S0gYw6wSO7QcMI02YgyOBDKYgmm0NSUk-AQEac/edit?usp=sharing"",""ประจวบคีรีขันธ์!J142"")"),0)</f>
        <v>0</v>
      </c>
      <c r="S62" s="86">
        <f ca="1">IFERROR(__xludf.DUMMYFUNCTION("IMPORTRANGE(""https://docs.google.com/spreadsheets/d/1W5Jj_S0gYw6wSO7QcMI02YgyOBDKYgmm0NSUk-AQEac/edit?usp=sharing"",""ประจวบคีรีขันธ์!I143"")"),0)</f>
        <v>0</v>
      </c>
      <c r="T62" s="86">
        <f ca="1">IFERROR(__xludf.DUMMYFUNCTION("IMPORTRANGE(""https://docs.google.com/spreadsheets/d/1W5Jj_S0gYw6wSO7QcMI02YgyOBDKYgmm0NSUk-AQEac/edit?usp=sharing"",""ประจวบคีรีขันธ์!J143"")"),0)</f>
        <v>0</v>
      </c>
      <c r="U62" s="87">
        <f t="shared" ca="1" si="25"/>
        <v>0</v>
      </c>
      <c r="V62" s="86">
        <f ca="1">IFERROR(__xludf.DUMMYFUNCTION("IMPORTRANGE(""https://docs.google.com/spreadsheets/d/1W5Jj_S0gYw6wSO7QcMI02YgyOBDKYgmm0NSUk-AQEac/edit?usp=sharing"",""ประจวบคีรีขันธ์!I144"")"),0)</f>
        <v>0</v>
      </c>
      <c r="W62" s="86">
        <f ca="1">IFERROR(__xludf.DUMMYFUNCTION("IMPORTRANGE(""https://docs.google.com/spreadsheets/d/1W5Jj_S0gYw6wSO7QcMI02YgyOBDKYgmm0NSUk-AQEac/edit?usp=sharing"",""ประจวบคีรีขันธ์!J144"")"),0)</f>
        <v>0</v>
      </c>
      <c r="X62" s="87">
        <f t="shared" ca="1" si="26"/>
        <v>0</v>
      </c>
      <c r="Y62" s="86">
        <f ca="1">IFERROR(__xludf.DUMMYFUNCTION("IMPORTRANGE(""https://docs.google.com/spreadsheets/d/1W5Jj_S0gYw6wSO7QcMI02YgyOBDKYgmm0NSUk-AQEac/edit?usp=sharing"",""ประจวบคีรีขันธ์!I145"")"),0)</f>
        <v>0</v>
      </c>
      <c r="Z62" s="86">
        <f ca="1">IFERROR(__xludf.DUMMYFUNCTION("IMPORTRANGE(""https://docs.google.com/spreadsheets/d/1W5Jj_S0gYw6wSO7QcMI02YgyOBDKYgmm0NSUk-AQEac/edit?usp=sharing"",""ประจวบคีรีขันธ์!J145"")"),0)</f>
        <v>0</v>
      </c>
      <c r="AA62" s="87">
        <f t="shared" ca="1" si="27"/>
        <v>0</v>
      </c>
      <c r="AB62" s="86">
        <f ca="1">IFERROR(__xludf.DUMMYFUNCTION("IMPORTRANGE(""https://docs.google.com/spreadsheets/d/1W5Jj_S0gYw6wSO7QcMI02YgyOBDKYgmm0NSUk-AQEac/edit?usp=sharing"",""ประจวบคีรีขันธ์!I146"")"),0)</f>
        <v>0</v>
      </c>
      <c r="AC62" s="86">
        <f ca="1">IFERROR(__xludf.DUMMYFUNCTION("IMPORTRANGE(""https://docs.google.com/spreadsheets/d/1W5Jj_S0gYw6wSO7QcMI02YgyOBDKYgmm0NSUk-AQEac/edit?usp=sharing"",""ประจวบคีรีขันธ์!J146"")"),0)</f>
        <v>0</v>
      </c>
      <c r="AD62" s="87">
        <f t="shared" ca="1" si="28"/>
        <v>0</v>
      </c>
    </row>
    <row r="63" spans="1:30" ht="21" customHeight="1" x14ac:dyDescent="0.2">
      <c r="A63" s="78">
        <v>11</v>
      </c>
      <c r="B63" s="79" t="s">
        <v>85</v>
      </c>
      <c r="C63" s="80">
        <f t="shared" ca="1" si="0"/>
        <v>1017520</v>
      </c>
      <c r="D63" s="81">
        <f t="shared" ca="1" si="47"/>
        <v>605520</v>
      </c>
      <c r="E63" s="82">
        <f ca="1">IFERROR(__xludf.DUMMYFUNCTION("IMPORTRANGE(""https://docs.google.com/spreadsheets/d/1MeEWN-I1oV_STSDYn1IFDPWt_1FKiwhDph83XaGc0o0/edit?usp=sharing"",""งบพรบ!BL63"")"),410900)</f>
        <v>410900</v>
      </c>
      <c r="F63" s="82">
        <f ca="1">IFERROR(__xludf.DUMMYFUNCTION("IMPORTRANGE(""https://docs.google.com/spreadsheets/d/1MeEWN-I1oV_STSDYn1IFDPWt_1FKiwhDph83XaGc0o0/edit?usp=sharing"",""งบพรบ!BM63"")"),194620)</f>
        <v>194620</v>
      </c>
      <c r="G63" s="82">
        <f ca="1">IFERROR(__xludf.DUMMYFUNCTION("IMPORTRANGE(""https://docs.google.com/spreadsheets/d/1MeEWN-I1oV_STSDYn1IFDPWt_1FKiwhDph83XaGc0o0/edit?usp=sharing"",""งบพรบ!BN63"")"),412000)</f>
        <v>412000</v>
      </c>
      <c r="H63" s="82">
        <f ca="1">IFERROR(__xludf.DUMMYFUNCTION("IMPORTRANGE(""https://docs.google.com/spreadsheets/d/1MeEWN-I1oV_STSDYn1IFDPWt_1FKiwhDph83XaGc0o0/edit?usp=sharing"",""งบพรบ!BP63"")"),430550)</f>
        <v>430550</v>
      </c>
      <c r="I63" s="82">
        <f ca="1">IFERROR(__xludf.DUMMYFUNCTION("IMPORTRANGE(""https://docs.google.com/spreadsheets/d/1MeEWN-I1oV_STSDYn1IFDPWt_1FKiwhDph83XaGc0o0/edit?usp=sharing"",""งบพรบ!BQ63"")"),412000)</f>
        <v>412000</v>
      </c>
      <c r="J63" s="82">
        <f t="shared" ca="1" si="3"/>
        <v>668566.44999999995</v>
      </c>
      <c r="K63" s="83">
        <f t="shared" ca="1" si="4"/>
        <v>65.705484904473622</v>
      </c>
      <c r="L63" s="82">
        <f ca="1">IFERROR(__xludf.DUMMYFUNCTION("IMPORTRANGE(""https://docs.google.com/spreadsheets/d/1MeEWN-I1oV_STSDYn1IFDPWt_1FKiwhDph83XaGc0o0/edit?usp=sharing"",""งบพรบ!BR63"")"),256566.45)</f>
        <v>256566.45</v>
      </c>
      <c r="M63" s="84">
        <f t="shared" ca="1" si="5"/>
        <v>42.37125941339675</v>
      </c>
      <c r="N63" s="84">
        <f t="shared" ca="1" si="6"/>
        <v>59.590396005109746</v>
      </c>
      <c r="O63" s="85">
        <f ca="1">IFERROR(__xludf.DUMMYFUNCTION("IMPORTRANGE(""https://docs.google.com/spreadsheets/d/1MeEWN-I1oV_STSDYn1IFDPWt_1FKiwhDph83XaGc0o0/edit?usp=sharing"",""งบพรบ!BS63"")"),412000)</f>
        <v>412000</v>
      </c>
      <c r="P63" s="85">
        <f t="shared" ca="1" si="30"/>
        <v>100</v>
      </c>
      <c r="Q63" s="84">
        <f t="shared" ca="1" si="8"/>
        <v>100</v>
      </c>
      <c r="R63" s="86">
        <f ca="1">IFERROR(__xludf.DUMMYFUNCTION("IMPORTRANGE(""https://docs.google.com/spreadsheets/d/1nYxRXgnCfTXtqUY1otYuTlnrzE0Tn-Y0YRsW5pkRVqo/edit?usp=sharing"",""ปราจีนบุรี!J142"")"),0)</f>
        <v>0</v>
      </c>
      <c r="S63" s="86">
        <f ca="1">IFERROR(__xludf.DUMMYFUNCTION("IMPORTRANGE(""https://docs.google.com/spreadsheets/d/1nYxRXgnCfTXtqUY1otYuTlnrzE0Tn-Y0YRsW5pkRVqo/edit?usp=sharing"",""ปราจีนบุรี!I143"")"),40)</f>
        <v>40</v>
      </c>
      <c r="T63" s="86">
        <f ca="1">IFERROR(__xludf.DUMMYFUNCTION("IMPORTRANGE(""https://docs.google.com/spreadsheets/d/1nYxRXgnCfTXtqUY1otYuTlnrzE0Tn-Y0YRsW5pkRVqo/edit?usp=sharing"",""ปราจีนบุรี!J143"")"),40)</f>
        <v>40</v>
      </c>
      <c r="U63" s="87">
        <f t="shared" ca="1" si="25"/>
        <v>100</v>
      </c>
      <c r="V63" s="86">
        <f ca="1">IFERROR(__xludf.DUMMYFUNCTION("IMPORTRANGE(""https://docs.google.com/spreadsheets/d/1nYxRXgnCfTXtqUY1otYuTlnrzE0Tn-Y0YRsW5pkRVqo/edit?usp=sharing"",""ปราจีนบุรี!I144"")"),20)</f>
        <v>20</v>
      </c>
      <c r="W63" s="86">
        <f ca="1">IFERROR(__xludf.DUMMYFUNCTION("IMPORTRANGE(""https://docs.google.com/spreadsheets/d/1nYxRXgnCfTXtqUY1otYuTlnrzE0Tn-Y0YRsW5pkRVqo/edit?usp=sharing"",""ปราจีนบุรี!J144"")"),40)</f>
        <v>40</v>
      </c>
      <c r="X63" s="87">
        <f t="shared" ca="1" si="26"/>
        <v>200</v>
      </c>
      <c r="Y63" s="86">
        <f ca="1">IFERROR(__xludf.DUMMYFUNCTION("IMPORTRANGE(""https://docs.google.com/spreadsheets/d/1nYxRXgnCfTXtqUY1otYuTlnrzE0Tn-Y0YRsW5pkRVqo/edit?usp=sharing"",""ปราจีนบุรี!I145"")"),40)</f>
        <v>40</v>
      </c>
      <c r="Z63" s="86">
        <f ca="1">IFERROR(__xludf.DUMMYFUNCTION("IMPORTRANGE(""https://docs.google.com/spreadsheets/d/1nYxRXgnCfTXtqUY1otYuTlnrzE0Tn-Y0YRsW5pkRVqo/edit?usp=sharing"",""ปราจีนบุรี!J145"")"),40)</f>
        <v>40</v>
      </c>
      <c r="AA63" s="87">
        <f t="shared" ca="1" si="27"/>
        <v>100</v>
      </c>
      <c r="AB63" s="86">
        <f ca="1">IFERROR(__xludf.DUMMYFUNCTION("IMPORTRANGE(""https://docs.google.com/spreadsheets/d/1nYxRXgnCfTXtqUY1otYuTlnrzE0Tn-Y0YRsW5pkRVqo/edit?usp=sharing"",""ปราจีนบุรี!I146"")"),4)</f>
        <v>4</v>
      </c>
      <c r="AC63" s="86">
        <f ca="1">IFERROR(__xludf.DUMMYFUNCTION("IMPORTRANGE(""https://docs.google.com/spreadsheets/d/1nYxRXgnCfTXtqUY1otYuTlnrzE0Tn-Y0YRsW5pkRVqo/edit?usp=sharing"",""ปราจีนบุรี!J146"")"),0)</f>
        <v>0</v>
      </c>
      <c r="AD63" s="87">
        <f t="shared" ca="1" si="28"/>
        <v>0</v>
      </c>
    </row>
    <row r="64" spans="1:30" ht="21" customHeight="1" x14ac:dyDescent="0.2">
      <c r="A64" s="78">
        <v>12</v>
      </c>
      <c r="B64" s="79" t="s">
        <v>86</v>
      </c>
      <c r="C64" s="80">
        <f t="shared" ca="1" si="0"/>
        <v>0</v>
      </c>
      <c r="D64" s="81">
        <f t="shared" ca="1" si="47"/>
        <v>0</v>
      </c>
      <c r="E64" s="82">
        <f ca="1">IFERROR(__xludf.DUMMYFUNCTION("IMPORTRANGE(""https://docs.google.com/spreadsheets/d/1MeEWN-I1oV_STSDYn1IFDPWt_1FKiwhDph83XaGc0o0/edit?usp=sharing"",""งบพรบ!BL64"")"),0)</f>
        <v>0</v>
      </c>
      <c r="F64" s="82">
        <f ca="1">IFERROR(__xludf.DUMMYFUNCTION("IMPORTRANGE(""https://docs.google.com/spreadsheets/d/1MeEWN-I1oV_STSDYn1IFDPWt_1FKiwhDph83XaGc0o0/edit?usp=sharing"",""งบพรบ!BM64"")"),0)</f>
        <v>0</v>
      </c>
      <c r="G64" s="82">
        <f ca="1">IFERROR(__xludf.DUMMYFUNCTION("IMPORTRANGE(""https://docs.google.com/spreadsheets/d/1MeEWN-I1oV_STSDYn1IFDPWt_1FKiwhDph83XaGc0o0/edit?usp=sharing"",""งบพรบ!BN64"")"),0)</f>
        <v>0</v>
      </c>
      <c r="H64" s="82">
        <f ca="1">IFERROR(__xludf.DUMMYFUNCTION("IMPORTRANGE(""https://docs.google.com/spreadsheets/d/1MeEWN-I1oV_STSDYn1IFDPWt_1FKiwhDph83XaGc0o0/edit?usp=sharing"",""งบพรบ!BP64"")"),0)</f>
        <v>0</v>
      </c>
      <c r="I64" s="82">
        <f ca="1">IFERROR(__xludf.DUMMYFUNCTION("IMPORTRANGE(""https://docs.google.com/spreadsheets/d/1MeEWN-I1oV_STSDYn1IFDPWt_1FKiwhDph83XaGc0o0/edit?usp=sharing"",""งบพรบ!BQ64"")"),0)</f>
        <v>0</v>
      </c>
      <c r="J64" s="82">
        <f t="shared" ca="1" si="3"/>
        <v>0</v>
      </c>
      <c r="K64" s="83">
        <f t="shared" ca="1" si="4"/>
        <v>0</v>
      </c>
      <c r="L64" s="82">
        <f ca="1">IFERROR(__xludf.DUMMYFUNCTION("IMPORTRANGE(""https://docs.google.com/spreadsheets/d/1MeEWN-I1oV_STSDYn1IFDPWt_1FKiwhDph83XaGc0o0/edit?usp=sharing"",""งบพรบ!BR64"")"),0)</f>
        <v>0</v>
      </c>
      <c r="M64" s="84">
        <f t="shared" ca="1" si="5"/>
        <v>0</v>
      </c>
      <c r="N64" s="84">
        <f t="shared" ca="1" si="6"/>
        <v>0</v>
      </c>
      <c r="O64" s="85">
        <f ca="1">IFERROR(__xludf.DUMMYFUNCTION("IMPORTRANGE(""https://docs.google.com/spreadsheets/d/1MeEWN-I1oV_STSDYn1IFDPWt_1FKiwhDph83XaGc0o0/edit?usp=sharing"",""งบพรบ!BS64"")"),0)</f>
        <v>0</v>
      </c>
      <c r="P64" s="85">
        <f t="shared" ca="1" si="30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IFERROR(__xludf.DUMMYFUNCTION("IMPORTRANGE(""https://docs.google.com/spreadsheets/d/1nNHCLO8ZAXOMfQvxux7cf_hrzPAh8FAvaHq_ClKbZNo/edit?usp=sharing"",""พระนครศรีอยุธยา!J142"")"),0)</f>
        <v>0</v>
      </c>
      <c r="S64" s="86">
        <f ca="1">IFERROR(__xludf.DUMMYFUNCTION("IMPORTRANGE(""https://docs.google.com/spreadsheets/d/1nNHCLO8ZAXOMfQvxux7cf_hrzPAh8FAvaHq_ClKbZNo/edit?usp=sharing"",""พระนครศรีอยุธยา!I143"")"),0)</f>
        <v>0</v>
      </c>
      <c r="T64" s="86">
        <f ca="1">IFERROR(__xludf.DUMMYFUNCTION("IMPORTRANGE(""https://docs.google.com/spreadsheets/d/1nNHCLO8ZAXOMfQvxux7cf_hrzPAh8FAvaHq_ClKbZNo/edit?usp=sharing"",""พระนครศรีอยุธยา!J143"")"),0)</f>
        <v>0</v>
      </c>
      <c r="U64" s="87">
        <f t="shared" ca="1" si="25"/>
        <v>0</v>
      </c>
      <c r="V64" s="86">
        <f ca="1">IFERROR(__xludf.DUMMYFUNCTION("IMPORTRANGE(""https://docs.google.com/spreadsheets/d/1nNHCLO8ZAXOMfQvxux7cf_hrzPAh8FAvaHq_ClKbZNo/edit?usp=sharing"",""พระนครศรีอยุธยา!I144"")"),0)</f>
        <v>0</v>
      </c>
      <c r="W64" s="86">
        <f ca="1">IFERROR(__xludf.DUMMYFUNCTION("IMPORTRANGE(""https://docs.google.com/spreadsheets/d/1nNHCLO8ZAXOMfQvxux7cf_hrzPAh8FAvaHq_ClKbZNo/edit?usp=sharing"",""พระนครศรีอยุธยา!J144"")"),0)</f>
        <v>0</v>
      </c>
      <c r="X64" s="87">
        <f t="shared" ca="1" si="26"/>
        <v>0</v>
      </c>
      <c r="Y64" s="86">
        <f ca="1">IFERROR(__xludf.DUMMYFUNCTION("IMPORTRANGE(""https://docs.google.com/spreadsheets/d/1nNHCLO8ZAXOMfQvxux7cf_hrzPAh8FAvaHq_ClKbZNo/edit?usp=sharing"",""พระนครศรีอยุธยา!I145"")"),0)</f>
        <v>0</v>
      </c>
      <c r="Z64" s="86">
        <f ca="1">IFERROR(__xludf.DUMMYFUNCTION("IMPORTRANGE(""https://docs.google.com/spreadsheets/d/1nNHCLO8ZAXOMfQvxux7cf_hrzPAh8FAvaHq_ClKbZNo/edit?usp=sharing"",""พระนครศรีอยุธยา!J145"")"),0)</f>
        <v>0</v>
      </c>
      <c r="AA64" s="87">
        <f t="shared" ca="1" si="27"/>
        <v>0</v>
      </c>
      <c r="AB64" s="86">
        <f ca="1">IFERROR(__xludf.DUMMYFUNCTION("IMPORTRANGE(""https://docs.google.com/spreadsheets/d/1nNHCLO8ZAXOMfQvxux7cf_hrzPAh8FAvaHq_ClKbZNo/edit?usp=sharing"",""พระนครศรีอยุธยา!I146"")"),0)</f>
        <v>0</v>
      </c>
      <c r="AC64" s="86">
        <f ca="1">IFERROR(__xludf.DUMMYFUNCTION("IMPORTRANGE(""https://docs.google.com/spreadsheets/d/1nNHCLO8ZAXOMfQvxux7cf_hrzPAh8FAvaHq_ClKbZNo/edit?usp=sharing"",""พระนครศรีอยุธยา!J146"")"),0)</f>
        <v>0</v>
      </c>
      <c r="AD64" s="87">
        <f t="shared" ca="1" si="28"/>
        <v>0</v>
      </c>
    </row>
    <row r="65" spans="1:30" ht="21" customHeight="1" x14ac:dyDescent="0.2">
      <c r="A65" s="78">
        <v>13</v>
      </c>
      <c r="B65" s="79" t="s">
        <v>87</v>
      </c>
      <c r="C65" s="80">
        <f t="shared" ca="1" si="0"/>
        <v>0</v>
      </c>
      <c r="D65" s="81">
        <f t="shared" ca="1" si="47"/>
        <v>0</v>
      </c>
      <c r="E65" s="82">
        <f ca="1">IFERROR(__xludf.DUMMYFUNCTION("IMPORTRANGE(""https://docs.google.com/spreadsheets/d/1MeEWN-I1oV_STSDYn1IFDPWt_1FKiwhDph83XaGc0o0/edit?usp=sharing"",""งบพรบ!BL65"")"),0)</f>
        <v>0</v>
      </c>
      <c r="F65" s="82">
        <f ca="1">IFERROR(__xludf.DUMMYFUNCTION("IMPORTRANGE(""https://docs.google.com/spreadsheets/d/1MeEWN-I1oV_STSDYn1IFDPWt_1FKiwhDph83XaGc0o0/edit?usp=sharing"",""งบพรบ!BM65"")"),0)</f>
        <v>0</v>
      </c>
      <c r="G65" s="82">
        <f ca="1">IFERROR(__xludf.DUMMYFUNCTION("IMPORTRANGE(""https://docs.google.com/spreadsheets/d/1MeEWN-I1oV_STSDYn1IFDPWt_1FKiwhDph83XaGc0o0/edit?usp=sharing"",""งบพรบ!BN65"")"),0)</f>
        <v>0</v>
      </c>
      <c r="H65" s="82">
        <f ca="1">IFERROR(__xludf.DUMMYFUNCTION("IMPORTRANGE(""https://docs.google.com/spreadsheets/d/1MeEWN-I1oV_STSDYn1IFDPWt_1FKiwhDph83XaGc0o0/edit?usp=sharing"",""งบพรบ!BP65"")"),0)</f>
        <v>0</v>
      </c>
      <c r="I65" s="82">
        <f ca="1">IFERROR(__xludf.DUMMYFUNCTION("IMPORTRANGE(""https://docs.google.com/spreadsheets/d/1MeEWN-I1oV_STSDYn1IFDPWt_1FKiwhDph83XaGc0o0/edit?usp=sharing"",""งบพรบ!BQ65"")"),0)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IFERROR(__xludf.DUMMYFUNCTION("IMPORTRANGE(""https://docs.google.com/spreadsheets/d/1MeEWN-I1oV_STSDYn1IFDPWt_1FKiwhDph83XaGc0o0/edit?usp=sharing"",""งบพรบ!BR65"")"),0)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IFERROR(__xludf.DUMMYFUNCTION("IMPORTRANGE(""https://docs.google.com/spreadsheets/d/1MeEWN-I1oV_STSDYn1IFDPWt_1FKiwhDph83XaGc0o0/edit?usp=sharing"",""งบพรบ!BS65"")"),0)</f>
        <v>0</v>
      </c>
      <c r="P65" s="85">
        <f t="shared" ca="1" si="30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IFERROR(__xludf.DUMMYFUNCTION("IMPORTRANGE(""https://docs.google.com/spreadsheets/d/1CdNicvf3i6yt4tJlCePe3V1Va76wYqW0QzMzTsaGRrA/edit?usp=sharing"",""เพชรบุรี!J142"")"),0)</f>
        <v>0</v>
      </c>
      <c r="S65" s="86">
        <f ca="1">IFERROR(__xludf.DUMMYFUNCTION("IMPORTRANGE(""https://docs.google.com/spreadsheets/d/1CdNicvf3i6yt4tJlCePe3V1Va76wYqW0QzMzTsaGRrA/edit?usp=sharing"",""เพชรบุรี!I143"")"),0)</f>
        <v>0</v>
      </c>
      <c r="T65" s="86">
        <f ca="1">IFERROR(__xludf.DUMMYFUNCTION("IMPORTRANGE(""https://docs.google.com/spreadsheets/d/1CdNicvf3i6yt4tJlCePe3V1Va76wYqW0QzMzTsaGRrA/edit?usp=sharing"",""เพชรบุรี!J143"")"),0)</f>
        <v>0</v>
      </c>
      <c r="U65" s="87">
        <f t="shared" ca="1" si="25"/>
        <v>0</v>
      </c>
      <c r="V65" s="86">
        <f ca="1">IFERROR(__xludf.DUMMYFUNCTION("IMPORTRANGE(""https://docs.google.com/spreadsheets/d/1CdNicvf3i6yt4tJlCePe3V1Va76wYqW0QzMzTsaGRrA/edit?usp=sharing"",""เพชรบุรี!I144"")"),0)</f>
        <v>0</v>
      </c>
      <c r="W65" s="86">
        <f ca="1">IFERROR(__xludf.DUMMYFUNCTION("IMPORTRANGE(""https://docs.google.com/spreadsheets/d/1CdNicvf3i6yt4tJlCePe3V1Va76wYqW0QzMzTsaGRrA/edit?usp=sharing"",""เพชรบุรี!J144"")"),0)</f>
        <v>0</v>
      </c>
      <c r="X65" s="87">
        <f t="shared" ca="1" si="26"/>
        <v>0</v>
      </c>
      <c r="Y65" s="86">
        <f ca="1">IFERROR(__xludf.DUMMYFUNCTION("IMPORTRANGE(""https://docs.google.com/spreadsheets/d/1CdNicvf3i6yt4tJlCePe3V1Va76wYqW0QzMzTsaGRrA/edit?usp=sharing"",""เพชรบุรี!I145"")"),0)</f>
        <v>0</v>
      </c>
      <c r="Z65" s="86">
        <f ca="1">IFERROR(__xludf.DUMMYFUNCTION("IMPORTRANGE(""https://docs.google.com/spreadsheets/d/1CdNicvf3i6yt4tJlCePe3V1Va76wYqW0QzMzTsaGRrA/edit?usp=sharing"",""เพชรบุรี!J145"")"),0)</f>
        <v>0</v>
      </c>
      <c r="AA65" s="87">
        <f t="shared" ca="1" si="27"/>
        <v>0</v>
      </c>
      <c r="AB65" s="86">
        <f ca="1">IFERROR(__xludf.DUMMYFUNCTION("IMPORTRANGE(""https://docs.google.com/spreadsheets/d/1CdNicvf3i6yt4tJlCePe3V1Va76wYqW0QzMzTsaGRrA/edit?usp=sharing"",""เพชรบุรี!I146"")"),0)</f>
        <v>0</v>
      </c>
      <c r="AC65" s="86">
        <f ca="1">IFERROR(__xludf.DUMMYFUNCTION("IMPORTRANGE(""https://docs.google.com/spreadsheets/d/1CdNicvf3i6yt4tJlCePe3V1Va76wYqW0QzMzTsaGRrA/edit?usp=sharing"",""เพชรบุรี!J146"")"),0)</f>
        <v>0</v>
      </c>
      <c r="AD65" s="87">
        <f t="shared" ca="1" si="28"/>
        <v>0</v>
      </c>
    </row>
    <row r="66" spans="1:30" ht="21" customHeight="1" x14ac:dyDescent="0.2">
      <c r="A66" s="78">
        <v>14</v>
      </c>
      <c r="B66" s="79" t="s">
        <v>88</v>
      </c>
      <c r="C66" s="80">
        <f t="shared" ca="1" si="0"/>
        <v>0</v>
      </c>
      <c r="D66" s="81">
        <f t="shared" ca="1" si="47"/>
        <v>0</v>
      </c>
      <c r="E66" s="82">
        <f ca="1">IFERROR(__xludf.DUMMYFUNCTION("IMPORTRANGE(""https://docs.google.com/spreadsheets/d/1MeEWN-I1oV_STSDYn1IFDPWt_1FKiwhDph83XaGc0o0/edit?usp=sharing"",""งบพรบ!BL66"")"),0)</f>
        <v>0</v>
      </c>
      <c r="F66" s="82">
        <f ca="1">IFERROR(__xludf.DUMMYFUNCTION("IMPORTRANGE(""https://docs.google.com/spreadsheets/d/1MeEWN-I1oV_STSDYn1IFDPWt_1FKiwhDph83XaGc0o0/edit?usp=sharing"",""งบพรบ!BM66"")"),0)</f>
        <v>0</v>
      </c>
      <c r="G66" s="82">
        <f ca="1">IFERROR(__xludf.DUMMYFUNCTION("IMPORTRANGE(""https://docs.google.com/spreadsheets/d/1MeEWN-I1oV_STSDYn1IFDPWt_1FKiwhDph83XaGc0o0/edit?usp=sharing"",""งบพรบ!BN66"")"),0)</f>
        <v>0</v>
      </c>
      <c r="H66" s="82">
        <f ca="1">IFERROR(__xludf.DUMMYFUNCTION("IMPORTRANGE(""https://docs.google.com/spreadsheets/d/1MeEWN-I1oV_STSDYn1IFDPWt_1FKiwhDph83XaGc0o0/edit?usp=sharing"",""งบพรบ!BP66"")"),0)</f>
        <v>0</v>
      </c>
      <c r="I66" s="82">
        <f ca="1">IFERROR(__xludf.DUMMYFUNCTION("IMPORTRANGE(""https://docs.google.com/spreadsheets/d/1MeEWN-I1oV_STSDYn1IFDPWt_1FKiwhDph83XaGc0o0/edit?usp=sharing"",""งบพรบ!BQ66"")"),0)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IFERROR(__xludf.DUMMYFUNCTION("IMPORTRANGE(""https://docs.google.com/spreadsheets/d/1MeEWN-I1oV_STSDYn1IFDPWt_1FKiwhDph83XaGc0o0/edit?usp=sharing"",""งบพรบ!BR66"")"),0)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IFERROR(__xludf.DUMMYFUNCTION("IMPORTRANGE(""https://docs.google.com/spreadsheets/d/1MeEWN-I1oV_STSDYn1IFDPWt_1FKiwhDph83XaGc0o0/edit?usp=sharing"",""งบพรบ!BS66"")"),0)</f>
        <v>0</v>
      </c>
      <c r="P66" s="85">
        <f t="shared" ca="1" si="30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IFERROR(__xludf.DUMMYFUNCTION("IMPORTRANGE(""https://docs.google.com/spreadsheets/d/1XiF77UIVHV0Kjc6xbXuOuJ10WgJYxd4p_22ngKVV5oM/edit?usp=sharing"",""ระยอง!J142"")"),0)</f>
        <v>0</v>
      </c>
      <c r="S66" s="86">
        <f ca="1">IFERROR(__xludf.DUMMYFUNCTION("IMPORTRANGE(""https://docs.google.com/spreadsheets/d/1XiF77UIVHV0Kjc6xbXuOuJ10WgJYxd4p_22ngKVV5oM/edit?usp=sharing"",""ระยอง!I143"")"),0)</f>
        <v>0</v>
      </c>
      <c r="T66" s="86">
        <f ca="1">IFERROR(__xludf.DUMMYFUNCTION("IMPORTRANGE(""https://docs.google.com/spreadsheets/d/1XiF77UIVHV0Kjc6xbXuOuJ10WgJYxd4p_22ngKVV5oM/edit?usp=sharing"",""ระยอง!J143"")"),0)</f>
        <v>0</v>
      </c>
      <c r="U66" s="87">
        <f t="shared" ca="1" si="25"/>
        <v>0</v>
      </c>
      <c r="V66" s="86">
        <f ca="1">IFERROR(__xludf.DUMMYFUNCTION("IMPORTRANGE(""https://docs.google.com/spreadsheets/d/1XiF77UIVHV0Kjc6xbXuOuJ10WgJYxd4p_22ngKVV5oM/edit?usp=sharing"",""ระยอง!I144"")"),0)</f>
        <v>0</v>
      </c>
      <c r="W66" s="86">
        <f ca="1">IFERROR(__xludf.DUMMYFUNCTION("IMPORTRANGE(""https://docs.google.com/spreadsheets/d/1XiF77UIVHV0Kjc6xbXuOuJ10WgJYxd4p_22ngKVV5oM/edit?usp=sharing"",""ระยอง!J144"")"),0)</f>
        <v>0</v>
      </c>
      <c r="X66" s="87">
        <f t="shared" ca="1" si="26"/>
        <v>0</v>
      </c>
      <c r="Y66" s="86">
        <f ca="1">IFERROR(__xludf.DUMMYFUNCTION("IMPORTRANGE(""https://docs.google.com/spreadsheets/d/1XiF77UIVHV0Kjc6xbXuOuJ10WgJYxd4p_22ngKVV5oM/edit?usp=sharing"",""ระยอง!I145"")"),0)</f>
        <v>0</v>
      </c>
      <c r="Z66" s="86">
        <f ca="1">IFERROR(__xludf.DUMMYFUNCTION("IMPORTRANGE(""https://docs.google.com/spreadsheets/d/1XiF77UIVHV0Kjc6xbXuOuJ10WgJYxd4p_22ngKVV5oM/edit?usp=sharing"",""ระยอง!J145"")"),0)</f>
        <v>0</v>
      </c>
      <c r="AA66" s="87">
        <f t="shared" ca="1" si="27"/>
        <v>0</v>
      </c>
      <c r="AB66" s="86">
        <f ca="1">IFERROR(__xludf.DUMMYFUNCTION("IMPORTRANGE(""https://docs.google.com/spreadsheets/d/1XiF77UIVHV0Kjc6xbXuOuJ10WgJYxd4p_22ngKVV5oM/edit?usp=sharing"",""ระยอง!I146"")"),0)</f>
        <v>0</v>
      </c>
      <c r="AC66" s="86">
        <f ca="1">IFERROR(__xludf.DUMMYFUNCTION("IMPORTRANGE(""https://docs.google.com/spreadsheets/d/1XiF77UIVHV0Kjc6xbXuOuJ10WgJYxd4p_22ngKVV5oM/edit?usp=sharing"",""ระยอง!J146"")"),0)</f>
        <v>0</v>
      </c>
      <c r="AD66" s="87">
        <f t="shared" ca="1" si="28"/>
        <v>0</v>
      </c>
    </row>
    <row r="67" spans="1:30" ht="21" customHeight="1" x14ac:dyDescent="0.2">
      <c r="A67" s="78">
        <v>15</v>
      </c>
      <c r="B67" s="79" t="s">
        <v>89</v>
      </c>
      <c r="C67" s="80">
        <f t="shared" ca="1" si="0"/>
        <v>0</v>
      </c>
      <c r="D67" s="81">
        <f t="shared" ca="1" si="47"/>
        <v>0</v>
      </c>
      <c r="E67" s="82">
        <f ca="1">IFERROR(__xludf.DUMMYFUNCTION("IMPORTRANGE(""https://docs.google.com/spreadsheets/d/1MeEWN-I1oV_STSDYn1IFDPWt_1FKiwhDph83XaGc0o0/edit?usp=sharing"",""งบพรบ!BL67"")"),0)</f>
        <v>0</v>
      </c>
      <c r="F67" s="82">
        <f ca="1">IFERROR(__xludf.DUMMYFUNCTION("IMPORTRANGE(""https://docs.google.com/spreadsheets/d/1MeEWN-I1oV_STSDYn1IFDPWt_1FKiwhDph83XaGc0o0/edit?usp=sharing"",""งบพรบ!BM67"")"),0)</f>
        <v>0</v>
      </c>
      <c r="G67" s="82">
        <f ca="1">IFERROR(__xludf.DUMMYFUNCTION("IMPORTRANGE(""https://docs.google.com/spreadsheets/d/1MeEWN-I1oV_STSDYn1IFDPWt_1FKiwhDph83XaGc0o0/edit?usp=sharing"",""งบพรบ!BN67"")"),0)</f>
        <v>0</v>
      </c>
      <c r="H67" s="82">
        <f ca="1">IFERROR(__xludf.DUMMYFUNCTION("IMPORTRANGE(""https://docs.google.com/spreadsheets/d/1MeEWN-I1oV_STSDYn1IFDPWt_1FKiwhDph83XaGc0o0/edit?usp=sharing"",""งบพรบ!BP67"")"),0)</f>
        <v>0</v>
      </c>
      <c r="I67" s="82">
        <f ca="1">IFERROR(__xludf.DUMMYFUNCTION("IMPORTRANGE(""https://docs.google.com/spreadsheets/d/1MeEWN-I1oV_STSDYn1IFDPWt_1FKiwhDph83XaGc0o0/edit?usp=sharing"",""งบพรบ!BQ67"")"),0)</f>
        <v>0</v>
      </c>
      <c r="J67" s="82">
        <f t="shared" ca="1" si="3"/>
        <v>0</v>
      </c>
      <c r="K67" s="83">
        <f t="shared" ca="1" si="4"/>
        <v>0</v>
      </c>
      <c r="L67" s="82">
        <f ca="1">IFERROR(__xludf.DUMMYFUNCTION("IMPORTRANGE(""https://docs.google.com/spreadsheets/d/1MeEWN-I1oV_STSDYn1IFDPWt_1FKiwhDph83XaGc0o0/edit?usp=sharing"",""งบพรบ!BR67"")"),0)</f>
        <v>0</v>
      </c>
      <c r="M67" s="84">
        <f t="shared" ca="1" si="5"/>
        <v>0</v>
      </c>
      <c r="N67" s="84">
        <f t="shared" ca="1" si="6"/>
        <v>0</v>
      </c>
      <c r="O67" s="85">
        <f ca="1">IFERROR(__xludf.DUMMYFUNCTION("IMPORTRANGE(""https://docs.google.com/spreadsheets/d/1MeEWN-I1oV_STSDYn1IFDPWt_1FKiwhDph83XaGc0o0/edit?usp=sharing"",""งบพรบ!BS67"")"),0)</f>
        <v>0</v>
      </c>
      <c r="P67" s="85">
        <f t="shared" ca="1" si="30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IFERROR(__xludf.DUMMYFUNCTION("IMPORTRANGE(""https://docs.google.com/spreadsheets/d/1qU-W_9MCQD1pgIVXGEOjCFo9QqlmJywuebyGgaN92r8/edit?usp=sharing"",""ราชบุรี!J142"")"),0)</f>
        <v>0</v>
      </c>
      <c r="S67" s="86">
        <f ca="1">IFERROR(__xludf.DUMMYFUNCTION("IMPORTRANGE(""https://docs.google.com/spreadsheets/d/1qU-W_9MCQD1pgIVXGEOjCFo9QqlmJywuebyGgaN92r8/edit?usp=sharing"",""ราชบุรี!I143"")"),0)</f>
        <v>0</v>
      </c>
      <c r="T67" s="86">
        <f ca="1">IFERROR(__xludf.DUMMYFUNCTION("IMPORTRANGE(""https://docs.google.com/spreadsheets/d/1qU-W_9MCQD1pgIVXGEOjCFo9QqlmJywuebyGgaN92r8/edit?usp=sharing"",""ราชบุรี!J143"")"),0)</f>
        <v>0</v>
      </c>
      <c r="U67" s="87">
        <f t="shared" ca="1" si="25"/>
        <v>0</v>
      </c>
      <c r="V67" s="86">
        <f ca="1">IFERROR(__xludf.DUMMYFUNCTION("IMPORTRANGE(""https://docs.google.com/spreadsheets/d/1qU-W_9MCQD1pgIVXGEOjCFo9QqlmJywuebyGgaN92r8/edit?usp=sharing"",""ราชบุรี!I144"")"),0)</f>
        <v>0</v>
      </c>
      <c r="W67" s="86">
        <f ca="1">IFERROR(__xludf.DUMMYFUNCTION("IMPORTRANGE(""https://docs.google.com/spreadsheets/d/1qU-W_9MCQD1pgIVXGEOjCFo9QqlmJywuebyGgaN92r8/edit?usp=sharing"",""ราชบุรี!J144"")"),0)</f>
        <v>0</v>
      </c>
      <c r="X67" s="87">
        <f t="shared" ca="1" si="26"/>
        <v>0</v>
      </c>
      <c r="Y67" s="86">
        <f ca="1">IFERROR(__xludf.DUMMYFUNCTION("IMPORTRANGE(""https://docs.google.com/spreadsheets/d/1qU-W_9MCQD1pgIVXGEOjCFo9QqlmJywuebyGgaN92r8/edit?usp=sharing"",""ราชบุรี!I145"")"),0)</f>
        <v>0</v>
      </c>
      <c r="Z67" s="86">
        <f ca="1">IFERROR(__xludf.DUMMYFUNCTION("IMPORTRANGE(""https://docs.google.com/spreadsheets/d/1qU-W_9MCQD1pgIVXGEOjCFo9QqlmJywuebyGgaN92r8/edit?usp=sharing"",""ราชบุรี!J145"")"),0)</f>
        <v>0</v>
      </c>
      <c r="AA67" s="87">
        <f t="shared" ca="1" si="27"/>
        <v>0</v>
      </c>
      <c r="AB67" s="86">
        <f ca="1">IFERROR(__xludf.DUMMYFUNCTION("IMPORTRANGE(""https://docs.google.com/spreadsheets/d/1qU-W_9MCQD1pgIVXGEOjCFo9QqlmJywuebyGgaN92r8/edit?usp=sharing"",""ราชบุรี!I146"")"),0)</f>
        <v>0</v>
      </c>
      <c r="AC67" s="86">
        <f ca="1">IFERROR(__xludf.DUMMYFUNCTION("IMPORTRANGE(""https://docs.google.com/spreadsheets/d/1qU-W_9MCQD1pgIVXGEOjCFo9QqlmJywuebyGgaN92r8/edit?usp=sharing"",""ราชบุรี!J146"")"),0)</f>
        <v>0</v>
      </c>
      <c r="AD67" s="87">
        <f t="shared" ca="1" si="28"/>
        <v>0</v>
      </c>
    </row>
    <row r="68" spans="1:30" ht="24" customHeight="1" x14ac:dyDescent="0.2">
      <c r="A68" s="78">
        <v>16</v>
      </c>
      <c r="B68" s="79" t="s">
        <v>90</v>
      </c>
      <c r="C68" s="80">
        <f t="shared" ca="1" si="0"/>
        <v>0</v>
      </c>
      <c r="D68" s="81">
        <f t="shared" ca="1" si="47"/>
        <v>0</v>
      </c>
      <c r="E68" s="82">
        <f ca="1">IFERROR(__xludf.DUMMYFUNCTION("IMPORTRANGE(""https://docs.google.com/spreadsheets/d/1MeEWN-I1oV_STSDYn1IFDPWt_1FKiwhDph83XaGc0o0/edit?usp=sharing"",""งบพรบ!BL68"")"),0)</f>
        <v>0</v>
      </c>
      <c r="F68" s="82">
        <f ca="1">IFERROR(__xludf.DUMMYFUNCTION("IMPORTRANGE(""https://docs.google.com/spreadsheets/d/1MeEWN-I1oV_STSDYn1IFDPWt_1FKiwhDph83XaGc0o0/edit?usp=sharing"",""งบพรบ!BM68"")"),0)</f>
        <v>0</v>
      </c>
      <c r="G68" s="82">
        <f ca="1">IFERROR(__xludf.DUMMYFUNCTION("IMPORTRANGE(""https://docs.google.com/spreadsheets/d/1MeEWN-I1oV_STSDYn1IFDPWt_1FKiwhDph83XaGc0o0/edit?usp=sharing"",""งบพรบ!BN68"")"),0)</f>
        <v>0</v>
      </c>
      <c r="H68" s="82">
        <f ca="1">IFERROR(__xludf.DUMMYFUNCTION("IMPORTRANGE(""https://docs.google.com/spreadsheets/d/1MeEWN-I1oV_STSDYn1IFDPWt_1FKiwhDph83XaGc0o0/edit?usp=sharing"",""งบพรบ!BP68"")"),0)</f>
        <v>0</v>
      </c>
      <c r="I68" s="82">
        <f ca="1">IFERROR(__xludf.DUMMYFUNCTION("IMPORTRANGE(""https://docs.google.com/spreadsheets/d/1MeEWN-I1oV_STSDYn1IFDPWt_1FKiwhDph83XaGc0o0/edit?usp=sharing"",""งบพรบ!BQ68"")"),0)</f>
        <v>0</v>
      </c>
      <c r="J68" s="82">
        <f t="shared" ca="1" si="3"/>
        <v>0</v>
      </c>
      <c r="K68" s="83">
        <f t="shared" ca="1" si="4"/>
        <v>0</v>
      </c>
      <c r="L68" s="82">
        <f ca="1">IFERROR(__xludf.DUMMYFUNCTION("IMPORTRANGE(""https://docs.google.com/spreadsheets/d/1MeEWN-I1oV_STSDYn1IFDPWt_1FKiwhDph83XaGc0o0/edit?usp=sharing"",""งบพรบ!BR68"")"),0)</f>
        <v>0</v>
      </c>
      <c r="M68" s="84">
        <f t="shared" ca="1" si="5"/>
        <v>0</v>
      </c>
      <c r="N68" s="84">
        <f t="shared" ca="1" si="6"/>
        <v>0</v>
      </c>
      <c r="O68" s="85">
        <f ca="1">IFERROR(__xludf.DUMMYFUNCTION("IMPORTRANGE(""https://docs.google.com/spreadsheets/d/1MeEWN-I1oV_STSDYn1IFDPWt_1FKiwhDph83XaGc0o0/edit?usp=sharing"",""งบพรบ!BS68"")"),0)</f>
        <v>0</v>
      </c>
      <c r="P68" s="85">
        <f t="shared" ca="1" si="30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IFERROR(__xludf.DUMMYFUNCTION("IMPORTRANGE(""https://docs.google.com/spreadsheets/d/1xYFIxIM_CspAP5Q-5Zx_V0T_Ut3cjryrjd2hss28vGk/edit?usp=sharing"",""ลพบุรี!J142"")"),0)</f>
        <v>0</v>
      </c>
      <c r="S68" s="86">
        <f ca="1">IFERROR(__xludf.DUMMYFUNCTION("IMPORTRANGE(""https://docs.google.com/spreadsheets/d/1xYFIxIM_CspAP5Q-5Zx_V0T_Ut3cjryrjd2hss28vGk/edit?usp=sharing"",""ลพบุรี!I143"")"),0)</f>
        <v>0</v>
      </c>
      <c r="T68" s="86">
        <f ca="1">IFERROR(__xludf.DUMMYFUNCTION("IMPORTRANGE(""https://docs.google.com/spreadsheets/d/1xYFIxIM_CspAP5Q-5Zx_V0T_Ut3cjryrjd2hss28vGk/edit?usp=sharing"",""ลพบุรี!J143"")"),0)</f>
        <v>0</v>
      </c>
      <c r="U68" s="87">
        <f t="shared" ca="1" si="25"/>
        <v>0</v>
      </c>
      <c r="V68" s="86">
        <f ca="1">IFERROR(__xludf.DUMMYFUNCTION("IMPORTRANGE(""https://docs.google.com/spreadsheets/d/1xYFIxIM_CspAP5Q-5Zx_V0T_Ut3cjryrjd2hss28vGk/edit?usp=sharing"",""ลพบุรี!I144"")"),0)</f>
        <v>0</v>
      </c>
      <c r="W68" s="86">
        <f ca="1">IFERROR(__xludf.DUMMYFUNCTION("IMPORTRANGE(""https://docs.google.com/spreadsheets/d/1xYFIxIM_CspAP5Q-5Zx_V0T_Ut3cjryrjd2hss28vGk/edit?usp=sharing"",""ลพบุรี!J144"")"),0)</f>
        <v>0</v>
      </c>
      <c r="X68" s="87">
        <f t="shared" ca="1" si="26"/>
        <v>0</v>
      </c>
      <c r="Y68" s="86">
        <f ca="1">IFERROR(__xludf.DUMMYFUNCTION("IMPORTRANGE(""https://docs.google.com/spreadsheets/d/1xYFIxIM_CspAP5Q-5Zx_V0T_Ut3cjryrjd2hss28vGk/edit?usp=sharing"",""ลพบุรี!I145"")"),0)</f>
        <v>0</v>
      </c>
      <c r="Z68" s="86">
        <f ca="1">IFERROR(__xludf.DUMMYFUNCTION("IMPORTRANGE(""https://docs.google.com/spreadsheets/d/1xYFIxIM_CspAP5Q-5Zx_V0T_Ut3cjryrjd2hss28vGk/edit?usp=sharing"",""ลพบุรี!J145"")"),0)</f>
        <v>0</v>
      </c>
      <c r="AA68" s="87">
        <f t="shared" ca="1" si="27"/>
        <v>0</v>
      </c>
      <c r="AB68" s="86">
        <f ca="1">IFERROR(__xludf.DUMMYFUNCTION("IMPORTRANGE(""https://docs.google.com/spreadsheets/d/1xYFIxIM_CspAP5Q-5Zx_V0T_Ut3cjryrjd2hss28vGk/edit?usp=sharing"",""ลพบุรี!I146"")"),0)</f>
        <v>0</v>
      </c>
      <c r="AC68" s="86">
        <f ca="1">IFERROR(__xludf.DUMMYFUNCTION("IMPORTRANGE(""https://docs.google.com/spreadsheets/d/1xYFIxIM_CspAP5Q-5Zx_V0T_Ut3cjryrjd2hss28vGk/edit?usp=sharing"",""ลพบุรี!J146"")"),0)</f>
        <v>0</v>
      </c>
      <c r="AD68" s="87">
        <f t="shared" ca="1" si="28"/>
        <v>0</v>
      </c>
    </row>
    <row r="69" spans="1:30" ht="21" customHeight="1" x14ac:dyDescent="0.2">
      <c r="A69" s="78">
        <v>17</v>
      </c>
      <c r="B69" s="79" t="s">
        <v>91</v>
      </c>
      <c r="C69" s="80">
        <f t="shared" ca="1" si="0"/>
        <v>0</v>
      </c>
      <c r="D69" s="81">
        <f t="shared" ca="1" si="47"/>
        <v>0</v>
      </c>
      <c r="E69" s="82">
        <f ca="1">IFERROR(__xludf.DUMMYFUNCTION("IMPORTRANGE(""https://docs.google.com/spreadsheets/d/1MeEWN-I1oV_STSDYn1IFDPWt_1FKiwhDph83XaGc0o0/edit?usp=sharing"",""งบพรบ!BL69"")"),0)</f>
        <v>0</v>
      </c>
      <c r="F69" s="82">
        <f ca="1">IFERROR(__xludf.DUMMYFUNCTION("IMPORTRANGE(""https://docs.google.com/spreadsheets/d/1MeEWN-I1oV_STSDYn1IFDPWt_1FKiwhDph83XaGc0o0/edit?usp=sharing"",""งบพรบ!BM69"")"),0)</f>
        <v>0</v>
      </c>
      <c r="G69" s="82">
        <f ca="1">IFERROR(__xludf.DUMMYFUNCTION("IMPORTRANGE(""https://docs.google.com/spreadsheets/d/1MeEWN-I1oV_STSDYn1IFDPWt_1FKiwhDph83XaGc0o0/edit?usp=sharing"",""งบพรบ!BN69"")"),0)</f>
        <v>0</v>
      </c>
      <c r="H69" s="82">
        <f ca="1">IFERROR(__xludf.DUMMYFUNCTION("IMPORTRANGE(""https://docs.google.com/spreadsheets/d/1MeEWN-I1oV_STSDYn1IFDPWt_1FKiwhDph83XaGc0o0/edit?usp=sharing"",""งบพรบ!BP69"")"),0)</f>
        <v>0</v>
      </c>
      <c r="I69" s="82">
        <f ca="1">IFERROR(__xludf.DUMMYFUNCTION("IMPORTRANGE(""https://docs.google.com/spreadsheets/d/1MeEWN-I1oV_STSDYn1IFDPWt_1FKiwhDph83XaGc0o0/edit?usp=sharing"",""งบพรบ!BQ69"")"),0)</f>
        <v>0</v>
      </c>
      <c r="J69" s="82">
        <f t="shared" ca="1" si="3"/>
        <v>0</v>
      </c>
      <c r="K69" s="83">
        <f t="shared" ca="1" si="4"/>
        <v>0</v>
      </c>
      <c r="L69" s="82">
        <f ca="1">IFERROR(__xludf.DUMMYFUNCTION("IMPORTRANGE(""https://docs.google.com/spreadsheets/d/1MeEWN-I1oV_STSDYn1IFDPWt_1FKiwhDph83XaGc0o0/edit?usp=sharing"",""งบพรบ!BR69"")"),0)</f>
        <v>0</v>
      </c>
      <c r="M69" s="84">
        <f t="shared" ca="1" si="5"/>
        <v>0</v>
      </c>
      <c r="N69" s="84">
        <f t="shared" ca="1" si="6"/>
        <v>0</v>
      </c>
      <c r="O69" s="85">
        <f ca="1">IFERROR(__xludf.DUMMYFUNCTION("IMPORTRANGE(""https://docs.google.com/spreadsheets/d/1MeEWN-I1oV_STSDYn1IFDPWt_1FKiwhDph83XaGc0o0/edit?usp=sharing"",""งบพรบ!BS69"")"),0)</f>
        <v>0</v>
      </c>
      <c r="P69" s="85">
        <f t="shared" ca="1" si="30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IFERROR(__xludf.DUMMYFUNCTION("IMPORTRANGE(""https://docs.google.com/spreadsheets/d/11s9m3tKsCBdPWq6syhZm27eBGbKneDLZc75co106bio/edit?usp=sharing"",""สระแก้ว!J142"")"),0)</f>
        <v>0</v>
      </c>
      <c r="S69" s="86">
        <f ca="1">IFERROR(__xludf.DUMMYFUNCTION("IMPORTRANGE(""https://docs.google.com/spreadsheets/d/11s9m3tKsCBdPWq6syhZm27eBGbKneDLZc75co106bio/edit?usp=sharing"",""สระแก้ว!I143"")"),0)</f>
        <v>0</v>
      </c>
      <c r="T69" s="86">
        <f ca="1">IFERROR(__xludf.DUMMYFUNCTION("IMPORTRANGE(""https://docs.google.com/spreadsheets/d/11s9m3tKsCBdPWq6syhZm27eBGbKneDLZc75co106bio/edit?usp=sharing"",""สระแก้ว!J143"")"),0)</f>
        <v>0</v>
      </c>
      <c r="U69" s="87">
        <f t="shared" ca="1" si="25"/>
        <v>0</v>
      </c>
      <c r="V69" s="86">
        <f ca="1">IFERROR(__xludf.DUMMYFUNCTION("IMPORTRANGE(""https://docs.google.com/spreadsheets/d/11s9m3tKsCBdPWq6syhZm27eBGbKneDLZc75co106bio/edit?usp=sharing"",""สระแก้ว!I144"")"),0)</f>
        <v>0</v>
      </c>
      <c r="W69" s="86">
        <f ca="1">IFERROR(__xludf.DUMMYFUNCTION("IMPORTRANGE(""https://docs.google.com/spreadsheets/d/11s9m3tKsCBdPWq6syhZm27eBGbKneDLZc75co106bio/edit?usp=sharing"",""สระแก้ว!J144"")"),0)</f>
        <v>0</v>
      </c>
      <c r="X69" s="87">
        <f t="shared" ca="1" si="26"/>
        <v>0</v>
      </c>
      <c r="Y69" s="86">
        <f ca="1">IFERROR(__xludf.DUMMYFUNCTION("IMPORTRANGE(""https://docs.google.com/spreadsheets/d/11s9m3tKsCBdPWq6syhZm27eBGbKneDLZc75co106bio/edit?usp=sharing"",""สระแก้ว!I145"")"),0)</f>
        <v>0</v>
      </c>
      <c r="Z69" s="86">
        <f ca="1">IFERROR(__xludf.DUMMYFUNCTION("IMPORTRANGE(""https://docs.google.com/spreadsheets/d/11s9m3tKsCBdPWq6syhZm27eBGbKneDLZc75co106bio/edit?usp=sharing"",""สระแก้ว!J145"")"),0)</f>
        <v>0</v>
      </c>
      <c r="AA69" s="87">
        <f t="shared" ca="1" si="27"/>
        <v>0</v>
      </c>
      <c r="AB69" s="86">
        <f ca="1">IFERROR(__xludf.DUMMYFUNCTION("IMPORTRANGE(""https://docs.google.com/spreadsheets/d/11s9m3tKsCBdPWq6syhZm27eBGbKneDLZc75co106bio/edit?usp=sharing"",""สระแก้ว!I146"")"),0)</f>
        <v>0</v>
      </c>
      <c r="AC69" s="86">
        <f ca="1">IFERROR(__xludf.DUMMYFUNCTION("IMPORTRANGE(""https://docs.google.com/spreadsheets/d/11s9m3tKsCBdPWq6syhZm27eBGbKneDLZc75co106bio/edit?usp=sharing"",""สระแก้ว!J146"")"),0)</f>
        <v>0</v>
      </c>
      <c r="AD69" s="87">
        <f t="shared" ca="1" si="28"/>
        <v>0</v>
      </c>
    </row>
    <row r="70" spans="1:30" ht="21" customHeight="1" x14ac:dyDescent="0.2">
      <c r="A70" s="78">
        <v>18</v>
      </c>
      <c r="B70" s="79" t="s">
        <v>92</v>
      </c>
      <c r="C70" s="80">
        <f t="shared" ca="1" si="0"/>
        <v>0</v>
      </c>
      <c r="D70" s="81">
        <f t="shared" ca="1" si="47"/>
        <v>0</v>
      </c>
      <c r="E70" s="82">
        <f ca="1">IFERROR(__xludf.DUMMYFUNCTION("IMPORTRANGE(""https://docs.google.com/spreadsheets/d/1MeEWN-I1oV_STSDYn1IFDPWt_1FKiwhDph83XaGc0o0/edit?usp=sharing"",""งบพรบ!BL70"")"),0)</f>
        <v>0</v>
      </c>
      <c r="F70" s="82">
        <f ca="1">IFERROR(__xludf.DUMMYFUNCTION("IMPORTRANGE(""https://docs.google.com/spreadsheets/d/1MeEWN-I1oV_STSDYn1IFDPWt_1FKiwhDph83XaGc0o0/edit?usp=sharing"",""งบพรบ!BM70"")"),0)</f>
        <v>0</v>
      </c>
      <c r="G70" s="82">
        <f ca="1">IFERROR(__xludf.DUMMYFUNCTION("IMPORTRANGE(""https://docs.google.com/spreadsheets/d/1MeEWN-I1oV_STSDYn1IFDPWt_1FKiwhDph83XaGc0o0/edit?usp=sharing"",""งบพรบ!BN70"")"),0)</f>
        <v>0</v>
      </c>
      <c r="H70" s="82">
        <f ca="1">IFERROR(__xludf.DUMMYFUNCTION("IMPORTRANGE(""https://docs.google.com/spreadsheets/d/1MeEWN-I1oV_STSDYn1IFDPWt_1FKiwhDph83XaGc0o0/edit?usp=sharing"",""งบพรบ!BP70"")"),0)</f>
        <v>0</v>
      </c>
      <c r="I70" s="82">
        <f ca="1">IFERROR(__xludf.DUMMYFUNCTION("IMPORTRANGE(""https://docs.google.com/spreadsheets/d/1MeEWN-I1oV_STSDYn1IFDPWt_1FKiwhDph83XaGc0o0/edit?usp=sharing"",""งบพรบ!BQ70"")"),0)</f>
        <v>0</v>
      </c>
      <c r="J70" s="82">
        <f t="shared" ca="1" si="3"/>
        <v>0</v>
      </c>
      <c r="K70" s="83">
        <f t="shared" ca="1" si="4"/>
        <v>0</v>
      </c>
      <c r="L70" s="82">
        <f ca="1">IFERROR(__xludf.DUMMYFUNCTION("IMPORTRANGE(""https://docs.google.com/spreadsheets/d/1MeEWN-I1oV_STSDYn1IFDPWt_1FKiwhDph83XaGc0o0/edit?usp=sharing"",""งบพรบ!BR70"")"),0)</f>
        <v>0</v>
      </c>
      <c r="M70" s="84">
        <f t="shared" ca="1" si="5"/>
        <v>0</v>
      </c>
      <c r="N70" s="84">
        <f t="shared" ca="1" si="6"/>
        <v>0</v>
      </c>
      <c r="O70" s="85">
        <f ca="1">IFERROR(__xludf.DUMMYFUNCTION("IMPORTRANGE(""https://docs.google.com/spreadsheets/d/1MeEWN-I1oV_STSDYn1IFDPWt_1FKiwhDph83XaGc0o0/edit?usp=sharing"",""งบพรบ!BS70"")"),0)</f>
        <v>0</v>
      </c>
      <c r="P70" s="85">
        <f t="shared" ca="1" si="30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IFERROR(__xludf.DUMMYFUNCTION("IMPORTRANGE(""https://docs.google.com/spreadsheets/d/1Nn1EvsFPtXldgpgVb3Rcng2K2cls68LFQsBh2FyW0Bg/edit?usp=sharing"",""สระบุรี!J142"")"),0)</f>
        <v>0</v>
      </c>
      <c r="S70" s="86">
        <f ca="1">IFERROR(__xludf.DUMMYFUNCTION("IMPORTRANGE(""https://docs.google.com/spreadsheets/d/1Nn1EvsFPtXldgpgVb3Rcng2K2cls68LFQsBh2FyW0Bg/edit?usp=sharing"",""สระบุรี!I143"")"),0)</f>
        <v>0</v>
      </c>
      <c r="T70" s="86">
        <f ca="1">IFERROR(__xludf.DUMMYFUNCTION("IMPORTRANGE(""https://docs.google.com/spreadsheets/d/1Nn1EvsFPtXldgpgVb3Rcng2K2cls68LFQsBh2FyW0Bg/edit?usp=sharing"",""สระบุรี!J143"")"),0)</f>
        <v>0</v>
      </c>
      <c r="U70" s="87">
        <f t="shared" ca="1" si="25"/>
        <v>0</v>
      </c>
      <c r="V70" s="86">
        <f ca="1">IFERROR(__xludf.DUMMYFUNCTION("IMPORTRANGE(""https://docs.google.com/spreadsheets/d/1Nn1EvsFPtXldgpgVb3Rcng2K2cls68LFQsBh2FyW0Bg/edit?usp=sharing"",""สระบุรี!I144"")"),0)</f>
        <v>0</v>
      </c>
      <c r="W70" s="86">
        <f ca="1">IFERROR(__xludf.DUMMYFUNCTION("IMPORTRANGE(""https://docs.google.com/spreadsheets/d/1Nn1EvsFPtXldgpgVb3Rcng2K2cls68LFQsBh2FyW0Bg/edit?usp=sharing"",""สระบุรี!J144"")"),0)</f>
        <v>0</v>
      </c>
      <c r="X70" s="87">
        <f t="shared" ca="1" si="26"/>
        <v>0</v>
      </c>
      <c r="Y70" s="86">
        <f ca="1">IFERROR(__xludf.DUMMYFUNCTION("IMPORTRANGE(""https://docs.google.com/spreadsheets/d/1Nn1EvsFPtXldgpgVb3Rcng2K2cls68LFQsBh2FyW0Bg/edit?usp=sharing"",""สระบุรี!I145"")"),0)</f>
        <v>0</v>
      </c>
      <c r="Z70" s="86">
        <f ca="1">IFERROR(__xludf.DUMMYFUNCTION("IMPORTRANGE(""https://docs.google.com/spreadsheets/d/1Nn1EvsFPtXldgpgVb3Rcng2K2cls68LFQsBh2FyW0Bg/edit?usp=sharing"",""สระบุรี!J145"")"),0)</f>
        <v>0</v>
      </c>
      <c r="AA70" s="87">
        <f t="shared" ca="1" si="27"/>
        <v>0</v>
      </c>
      <c r="AB70" s="86">
        <f ca="1">IFERROR(__xludf.DUMMYFUNCTION("IMPORTRANGE(""https://docs.google.com/spreadsheets/d/1Nn1EvsFPtXldgpgVb3Rcng2K2cls68LFQsBh2FyW0Bg/edit?usp=sharing"",""สระบุรี!I146"")"),0)</f>
        <v>0</v>
      </c>
      <c r="AC70" s="86">
        <f ca="1">IFERROR(__xludf.DUMMYFUNCTION("IMPORTRANGE(""https://docs.google.com/spreadsheets/d/1Nn1EvsFPtXldgpgVb3Rcng2K2cls68LFQsBh2FyW0Bg/edit?usp=sharing"",""สระบุรี!J146"")"),0)</f>
        <v>0</v>
      </c>
      <c r="AD70" s="87">
        <f t="shared" ca="1" si="28"/>
        <v>0</v>
      </c>
    </row>
    <row r="71" spans="1:30" ht="21" customHeight="1" x14ac:dyDescent="0.2">
      <c r="A71" s="78">
        <v>19</v>
      </c>
      <c r="B71" s="79" t="s">
        <v>93</v>
      </c>
      <c r="C71" s="80">
        <f t="shared" ca="1" si="0"/>
        <v>0</v>
      </c>
      <c r="D71" s="81">
        <f t="shared" ca="1" si="47"/>
        <v>0</v>
      </c>
      <c r="E71" s="82">
        <f ca="1">IFERROR(__xludf.DUMMYFUNCTION("IMPORTRANGE(""https://docs.google.com/spreadsheets/d/1MeEWN-I1oV_STSDYn1IFDPWt_1FKiwhDph83XaGc0o0/edit?usp=sharing"",""งบพรบ!BL71"")"),0)</f>
        <v>0</v>
      </c>
      <c r="F71" s="82">
        <f ca="1">IFERROR(__xludf.DUMMYFUNCTION("IMPORTRANGE(""https://docs.google.com/spreadsheets/d/1MeEWN-I1oV_STSDYn1IFDPWt_1FKiwhDph83XaGc0o0/edit?usp=sharing"",""งบพรบ!BM71"")"),0)</f>
        <v>0</v>
      </c>
      <c r="G71" s="82">
        <f ca="1">IFERROR(__xludf.DUMMYFUNCTION("IMPORTRANGE(""https://docs.google.com/spreadsheets/d/1MeEWN-I1oV_STSDYn1IFDPWt_1FKiwhDph83XaGc0o0/edit?usp=sharing"",""งบพรบ!BN71"")"),0)</f>
        <v>0</v>
      </c>
      <c r="H71" s="82">
        <f ca="1">IFERROR(__xludf.DUMMYFUNCTION("IMPORTRANGE(""https://docs.google.com/spreadsheets/d/1MeEWN-I1oV_STSDYn1IFDPWt_1FKiwhDph83XaGc0o0/edit?usp=sharing"",""งบพรบ!BP71"")"),0)</f>
        <v>0</v>
      </c>
      <c r="I71" s="82">
        <f ca="1">IFERROR(__xludf.DUMMYFUNCTION("IMPORTRANGE(""https://docs.google.com/spreadsheets/d/1MeEWN-I1oV_STSDYn1IFDPWt_1FKiwhDph83XaGc0o0/edit?usp=sharing"",""งบพรบ!BQ71"")"),0)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IFERROR(__xludf.DUMMYFUNCTION("IMPORTRANGE(""https://docs.google.com/spreadsheets/d/1MeEWN-I1oV_STSDYn1IFDPWt_1FKiwhDph83XaGc0o0/edit?usp=sharing"",""งบพรบ!BR71"")"),0)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IFERROR(__xludf.DUMMYFUNCTION("IMPORTRANGE(""https://docs.google.com/spreadsheets/d/1MeEWN-I1oV_STSDYn1IFDPWt_1FKiwhDph83XaGc0o0/edit?usp=sharing"",""งบพรบ!BS71"")"),0)</f>
        <v>0</v>
      </c>
      <c r="P71" s="85">
        <f t="shared" ca="1" si="30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IFERROR(__xludf.DUMMYFUNCTION("IMPORTRANGE(""https://docs.google.com/spreadsheets/d/149xufxukrnEciK3WPbNpHwUK8BKEJxp3UcBG3Al6dA4/edit?usp=sharing"",""สิงห์บุรี!J142"")"),0)</f>
        <v>0</v>
      </c>
      <c r="S71" s="86">
        <f ca="1">IFERROR(__xludf.DUMMYFUNCTION("IMPORTRANGE(""https://docs.google.com/spreadsheets/d/149xufxukrnEciK3WPbNpHwUK8BKEJxp3UcBG3Al6dA4/edit?usp=sharing"",""สิงห์บุรี!I143"")"),0)</f>
        <v>0</v>
      </c>
      <c r="T71" s="86">
        <f ca="1">IFERROR(__xludf.DUMMYFUNCTION("IMPORTRANGE(""https://docs.google.com/spreadsheets/d/149xufxukrnEciK3WPbNpHwUK8BKEJxp3UcBG3Al6dA4/edit?usp=sharing"",""สิงห์บุรี!J143"")"),0)</f>
        <v>0</v>
      </c>
      <c r="U71" s="87">
        <f t="shared" ca="1" si="25"/>
        <v>0</v>
      </c>
      <c r="V71" s="86">
        <f ca="1">IFERROR(__xludf.DUMMYFUNCTION("IMPORTRANGE(""https://docs.google.com/spreadsheets/d/149xufxukrnEciK3WPbNpHwUK8BKEJxp3UcBG3Al6dA4/edit?usp=sharing"",""สิงห์บุรี!I144"")"),0)</f>
        <v>0</v>
      </c>
      <c r="W71" s="86">
        <f ca="1">IFERROR(__xludf.DUMMYFUNCTION("IMPORTRANGE(""https://docs.google.com/spreadsheets/d/149xufxukrnEciK3WPbNpHwUK8BKEJxp3UcBG3Al6dA4/edit?usp=sharing"",""สิงห์บุรี!J144"")"),0)</f>
        <v>0</v>
      </c>
      <c r="X71" s="87">
        <f t="shared" ca="1" si="26"/>
        <v>0</v>
      </c>
      <c r="Y71" s="86">
        <f ca="1">IFERROR(__xludf.DUMMYFUNCTION("IMPORTRANGE(""https://docs.google.com/spreadsheets/d/149xufxukrnEciK3WPbNpHwUK8BKEJxp3UcBG3Al6dA4/edit?usp=sharing"",""สิงห์บุรี!I145"")"),0)</f>
        <v>0</v>
      </c>
      <c r="Z71" s="86">
        <f ca="1">IFERROR(__xludf.DUMMYFUNCTION("IMPORTRANGE(""https://docs.google.com/spreadsheets/d/149xufxukrnEciK3WPbNpHwUK8BKEJxp3UcBG3Al6dA4/edit?usp=sharing"",""สิงห์บุรี!J145"")"),0)</f>
        <v>0</v>
      </c>
      <c r="AA71" s="87">
        <f t="shared" ca="1" si="27"/>
        <v>0</v>
      </c>
      <c r="AB71" s="86">
        <f ca="1">IFERROR(__xludf.DUMMYFUNCTION("IMPORTRANGE(""https://docs.google.com/spreadsheets/d/149xufxukrnEciK3WPbNpHwUK8BKEJxp3UcBG3Al6dA4/edit?usp=sharing"",""สิงห์บุรี!I146"")"),0)</f>
        <v>0</v>
      </c>
      <c r="AC71" s="86">
        <f ca="1">IFERROR(__xludf.DUMMYFUNCTION("IMPORTRANGE(""https://docs.google.com/spreadsheets/d/149xufxukrnEciK3WPbNpHwUK8BKEJxp3UcBG3Al6dA4/edit?usp=sharing"",""สิงห์บุรี!J146"")"),0)</f>
        <v>0</v>
      </c>
      <c r="AD71" s="87">
        <f t="shared" ca="1" si="28"/>
        <v>0</v>
      </c>
    </row>
    <row r="72" spans="1:30" ht="21" customHeight="1" x14ac:dyDescent="0.2">
      <c r="A72" s="78">
        <v>20</v>
      </c>
      <c r="B72" s="79" t="s">
        <v>94</v>
      </c>
      <c r="C72" s="80">
        <f t="shared" ca="1" si="0"/>
        <v>0</v>
      </c>
      <c r="D72" s="81">
        <f t="shared" ca="1" si="47"/>
        <v>0</v>
      </c>
      <c r="E72" s="82">
        <f ca="1">IFERROR(__xludf.DUMMYFUNCTION("IMPORTRANGE(""https://docs.google.com/spreadsheets/d/1MeEWN-I1oV_STSDYn1IFDPWt_1FKiwhDph83XaGc0o0/edit?usp=sharing"",""งบพรบ!BL72"")"),0)</f>
        <v>0</v>
      </c>
      <c r="F72" s="82">
        <f ca="1">IFERROR(__xludf.DUMMYFUNCTION("IMPORTRANGE(""https://docs.google.com/spreadsheets/d/1MeEWN-I1oV_STSDYn1IFDPWt_1FKiwhDph83XaGc0o0/edit?usp=sharing"",""งบพรบ!BM72"")"),0)</f>
        <v>0</v>
      </c>
      <c r="G72" s="82">
        <f ca="1">IFERROR(__xludf.DUMMYFUNCTION("IMPORTRANGE(""https://docs.google.com/spreadsheets/d/1MeEWN-I1oV_STSDYn1IFDPWt_1FKiwhDph83XaGc0o0/edit?usp=sharing"",""งบพรบ!BN72"")"),0)</f>
        <v>0</v>
      </c>
      <c r="H72" s="82">
        <f ca="1">IFERROR(__xludf.DUMMYFUNCTION("IMPORTRANGE(""https://docs.google.com/spreadsheets/d/1MeEWN-I1oV_STSDYn1IFDPWt_1FKiwhDph83XaGc0o0/edit?usp=sharing"",""งบพรบ!BP72"")"),0)</f>
        <v>0</v>
      </c>
      <c r="I72" s="82">
        <f ca="1">IFERROR(__xludf.DUMMYFUNCTION("IMPORTRANGE(""https://docs.google.com/spreadsheets/d/1MeEWN-I1oV_STSDYn1IFDPWt_1FKiwhDph83XaGc0o0/edit?usp=sharing"",""งบพรบ!BQ72"")"),0)</f>
        <v>0</v>
      </c>
      <c r="J72" s="82">
        <f t="shared" ca="1" si="3"/>
        <v>0</v>
      </c>
      <c r="K72" s="83">
        <f t="shared" ca="1" si="4"/>
        <v>0</v>
      </c>
      <c r="L72" s="82">
        <f ca="1">IFERROR(__xludf.DUMMYFUNCTION("IMPORTRANGE(""https://docs.google.com/spreadsheets/d/1MeEWN-I1oV_STSDYn1IFDPWt_1FKiwhDph83XaGc0o0/edit?usp=sharing"",""งบพรบ!BR72"")"),0)</f>
        <v>0</v>
      </c>
      <c r="M72" s="84">
        <f t="shared" ca="1" si="5"/>
        <v>0</v>
      </c>
      <c r="N72" s="84">
        <f t="shared" ca="1" si="6"/>
        <v>0</v>
      </c>
      <c r="O72" s="85">
        <f ca="1">IFERROR(__xludf.DUMMYFUNCTION("IMPORTRANGE(""https://docs.google.com/spreadsheets/d/1MeEWN-I1oV_STSDYn1IFDPWt_1FKiwhDph83XaGc0o0/edit?usp=sharing"",""งบพรบ!BS72"")"),0)</f>
        <v>0</v>
      </c>
      <c r="P72" s="85">
        <f t="shared" ca="1" si="30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IFERROR(__xludf.DUMMYFUNCTION("IMPORTRANGE(""https://docs.google.com/spreadsheets/d/132g-zJpz2uMKimp17uOIx8A7o3w1Z25zwJyXnwsB56c/edit?usp=sharing"",""สุพรรณบุรี!J142"")"),0)</f>
        <v>0</v>
      </c>
      <c r="S72" s="86">
        <f ca="1">IFERROR(__xludf.DUMMYFUNCTION("IMPORTRANGE(""https://docs.google.com/spreadsheets/d/132g-zJpz2uMKimp17uOIx8A7o3w1Z25zwJyXnwsB56c/edit?usp=sharing"",""สุพรรณบุรี!I143"")"),0)</f>
        <v>0</v>
      </c>
      <c r="T72" s="86">
        <f ca="1">IFERROR(__xludf.DUMMYFUNCTION("IMPORTRANGE(""https://docs.google.com/spreadsheets/d/132g-zJpz2uMKimp17uOIx8A7o3w1Z25zwJyXnwsB56c/edit?usp=sharing"",""สุพรรณบุรี!J143"")"),0)</f>
        <v>0</v>
      </c>
      <c r="U72" s="87">
        <f t="shared" ca="1" si="25"/>
        <v>0</v>
      </c>
      <c r="V72" s="86">
        <f ca="1">IFERROR(__xludf.DUMMYFUNCTION("IMPORTRANGE(""https://docs.google.com/spreadsheets/d/132g-zJpz2uMKimp17uOIx8A7o3w1Z25zwJyXnwsB56c/edit?usp=sharing"",""สุพรรณบุรี!I144"")"),0)</f>
        <v>0</v>
      </c>
      <c r="W72" s="86">
        <f ca="1">IFERROR(__xludf.DUMMYFUNCTION("IMPORTRANGE(""https://docs.google.com/spreadsheets/d/132g-zJpz2uMKimp17uOIx8A7o3w1Z25zwJyXnwsB56c/edit?usp=sharing"",""สุพรรณบุรี!J144"")"),0)</f>
        <v>0</v>
      </c>
      <c r="X72" s="87">
        <f t="shared" ca="1" si="26"/>
        <v>0</v>
      </c>
      <c r="Y72" s="86">
        <f ca="1">IFERROR(__xludf.DUMMYFUNCTION("IMPORTRANGE(""https://docs.google.com/spreadsheets/d/132g-zJpz2uMKimp17uOIx8A7o3w1Z25zwJyXnwsB56c/edit?usp=sharing"",""สุพรรณบุรี!I145"")"),0)</f>
        <v>0</v>
      </c>
      <c r="Z72" s="86">
        <f ca="1">IFERROR(__xludf.DUMMYFUNCTION("IMPORTRANGE(""https://docs.google.com/spreadsheets/d/132g-zJpz2uMKimp17uOIx8A7o3w1Z25zwJyXnwsB56c/edit?usp=sharing"",""สุพรรณบุรี!J145"")"),0)</f>
        <v>0</v>
      </c>
      <c r="AA72" s="87">
        <f t="shared" ca="1" si="27"/>
        <v>0</v>
      </c>
      <c r="AB72" s="86">
        <f ca="1">IFERROR(__xludf.DUMMYFUNCTION("IMPORTRANGE(""https://docs.google.com/spreadsheets/d/132g-zJpz2uMKimp17uOIx8A7o3w1Z25zwJyXnwsB56c/edit?usp=sharing"",""สุพรรณบุรี!I146"")"),0)</f>
        <v>0</v>
      </c>
      <c r="AC72" s="86">
        <f ca="1">IFERROR(__xludf.DUMMYFUNCTION("IMPORTRANGE(""https://docs.google.com/spreadsheets/d/132g-zJpz2uMKimp17uOIx8A7o3w1Z25zwJyXnwsB56c/edit?usp=sharing"",""สุพรรณบุรี!J146"")"),0)</f>
        <v>0</v>
      </c>
      <c r="AD72" s="87">
        <f t="shared" ca="1" si="28"/>
        <v>0</v>
      </c>
    </row>
    <row r="73" spans="1:30" ht="21" customHeight="1" x14ac:dyDescent="0.2">
      <c r="A73" s="89">
        <v>21</v>
      </c>
      <c r="B73" s="90" t="s">
        <v>95</v>
      </c>
      <c r="C73" s="91">
        <f t="shared" ca="1" si="0"/>
        <v>0</v>
      </c>
      <c r="D73" s="92">
        <f t="shared" ca="1" si="47"/>
        <v>0</v>
      </c>
      <c r="E73" s="93">
        <f ca="1">IFERROR(__xludf.DUMMYFUNCTION("IMPORTRANGE(""https://docs.google.com/spreadsheets/d/1MeEWN-I1oV_STSDYn1IFDPWt_1FKiwhDph83XaGc0o0/edit?usp=sharing"",""งบพรบ!BL73"")"),0)</f>
        <v>0</v>
      </c>
      <c r="F73" s="93">
        <f ca="1">IFERROR(__xludf.DUMMYFUNCTION("IMPORTRANGE(""https://docs.google.com/spreadsheets/d/1MeEWN-I1oV_STSDYn1IFDPWt_1FKiwhDph83XaGc0o0/edit?usp=sharing"",""งบพรบ!BM73"")"),0)</f>
        <v>0</v>
      </c>
      <c r="G73" s="93">
        <f ca="1">IFERROR(__xludf.DUMMYFUNCTION("IMPORTRANGE(""https://docs.google.com/spreadsheets/d/1MeEWN-I1oV_STSDYn1IFDPWt_1FKiwhDph83XaGc0o0/edit?usp=sharing"",""งบพรบ!BN73"")"),0)</f>
        <v>0</v>
      </c>
      <c r="H73" s="93">
        <f ca="1">IFERROR(__xludf.DUMMYFUNCTION("IMPORTRANGE(""https://docs.google.com/spreadsheets/d/1MeEWN-I1oV_STSDYn1IFDPWt_1FKiwhDph83XaGc0o0/edit?usp=sharing"",""งบพรบ!BP73"")"),0)</f>
        <v>0</v>
      </c>
      <c r="I73" s="93">
        <f ca="1">IFERROR(__xludf.DUMMYFUNCTION("IMPORTRANGE(""https://docs.google.com/spreadsheets/d/1MeEWN-I1oV_STSDYn1IFDPWt_1FKiwhDph83XaGc0o0/edit?usp=sharing"",""งบพรบ!BQ73"")"),0)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IFERROR(__xludf.DUMMYFUNCTION("IMPORTRANGE(""https://docs.google.com/spreadsheets/d/1MeEWN-I1oV_STSDYn1IFDPWt_1FKiwhDph83XaGc0o0/edit?usp=sharing"",""งบพรบ!BR73"")"),0)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IFERROR(__xludf.DUMMYFUNCTION("IMPORTRANGE(""https://docs.google.com/spreadsheets/d/1MeEWN-I1oV_STSDYn1IFDPWt_1FKiwhDph83XaGc0o0/edit?usp=sharing"",""งบพรบ!BS73"")"),0)</f>
        <v>0</v>
      </c>
      <c r="P73" s="96">
        <f t="shared" ca="1" si="30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IFERROR(__xludf.DUMMYFUNCTION("IMPORTRANGE(""https://docs.google.com/spreadsheets/d/12Q_U0nVnFdxDFwa0pej9xvx8ZvLC9Dpi_vRro_aiG5g/edit?usp=sharing"",""อ่างทอง!J142"")"),0)</f>
        <v>0</v>
      </c>
      <c r="S73" s="97">
        <f ca="1">IFERROR(__xludf.DUMMYFUNCTION("IMPORTRANGE(""https://docs.google.com/spreadsheets/d/12Q_U0nVnFdxDFwa0pej9xvx8ZvLC9Dpi_vRro_aiG5g/edit?usp=sharing"",""อ่างทอง!I143"")"),0)</f>
        <v>0</v>
      </c>
      <c r="T73" s="97">
        <f ca="1">IFERROR(__xludf.DUMMYFUNCTION("IMPORTRANGE(""https://docs.google.com/spreadsheets/d/12Q_U0nVnFdxDFwa0pej9xvx8ZvLC9Dpi_vRro_aiG5g/edit?usp=sharing"",""อ่างทอง!J143"")"),0)</f>
        <v>0</v>
      </c>
      <c r="U73" s="98">
        <f t="shared" ca="1" si="25"/>
        <v>0</v>
      </c>
      <c r="V73" s="97">
        <f ca="1">IFERROR(__xludf.DUMMYFUNCTION("IMPORTRANGE(""https://docs.google.com/spreadsheets/d/12Q_U0nVnFdxDFwa0pej9xvx8ZvLC9Dpi_vRro_aiG5g/edit?usp=sharing"",""อ่างทอง!I144"")"),0)</f>
        <v>0</v>
      </c>
      <c r="W73" s="97">
        <f ca="1">IFERROR(__xludf.DUMMYFUNCTION("IMPORTRANGE(""https://docs.google.com/spreadsheets/d/12Q_U0nVnFdxDFwa0pej9xvx8ZvLC9Dpi_vRro_aiG5g/edit?usp=sharing"",""อ่างทอง!J144"")"),0)</f>
        <v>0</v>
      </c>
      <c r="X73" s="98">
        <f t="shared" ca="1" si="26"/>
        <v>0</v>
      </c>
      <c r="Y73" s="97">
        <f ca="1">IFERROR(__xludf.DUMMYFUNCTION("IMPORTRANGE(""https://docs.google.com/spreadsheets/d/12Q_U0nVnFdxDFwa0pej9xvx8ZvLC9Dpi_vRro_aiG5g/edit?usp=sharing"",""อ่างทอง!I145"")"),0)</f>
        <v>0</v>
      </c>
      <c r="Z73" s="97">
        <f ca="1">IFERROR(__xludf.DUMMYFUNCTION("IMPORTRANGE(""https://docs.google.com/spreadsheets/d/12Q_U0nVnFdxDFwa0pej9xvx8ZvLC9Dpi_vRro_aiG5g/edit?usp=sharing"",""อ่างทอง!J145"")"),0)</f>
        <v>0</v>
      </c>
      <c r="AA73" s="98">
        <f t="shared" ca="1" si="27"/>
        <v>0</v>
      </c>
      <c r="AB73" s="97">
        <f ca="1">IFERROR(__xludf.DUMMYFUNCTION("IMPORTRANGE(""https://docs.google.com/spreadsheets/d/12Q_U0nVnFdxDFwa0pej9xvx8ZvLC9Dpi_vRro_aiG5g/edit?usp=sharing"",""อ่างทอง!I146"")"),0)</f>
        <v>0</v>
      </c>
      <c r="AC73" s="97">
        <f ca="1">IFERROR(__xludf.DUMMYFUNCTION("IMPORTRANGE(""https://docs.google.com/spreadsheets/d/12Q_U0nVnFdxDFwa0pej9xvx8ZvLC9Dpi_vRro_aiG5g/edit?usp=sharing"",""อ่างทอง!J146"")"),0)</f>
        <v>0</v>
      </c>
      <c r="AD73" s="98">
        <f t="shared" ca="1" si="28"/>
        <v>0</v>
      </c>
    </row>
    <row r="74" spans="1:30" ht="21" customHeight="1" x14ac:dyDescent="0.2">
      <c r="A74" s="377" t="s">
        <v>96</v>
      </c>
      <c r="B74" s="357"/>
      <c r="C74" s="104">
        <f t="shared" ca="1" si="0"/>
        <v>2365095</v>
      </c>
      <c r="D74" s="62">
        <f t="shared" ref="D74:I74" ca="1" si="48">SUM(D75:D88)</f>
        <v>1438095</v>
      </c>
      <c r="E74" s="62">
        <f t="shared" ca="1" si="48"/>
        <v>1000200</v>
      </c>
      <c r="F74" s="62">
        <f t="shared" ca="1" si="48"/>
        <v>437895</v>
      </c>
      <c r="G74" s="62">
        <f t="shared" ca="1" si="48"/>
        <v>927000</v>
      </c>
      <c r="H74" s="62">
        <f t="shared" ca="1" si="48"/>
        <v>1025600</v>
      </c>
      <c r="I74" s="62">
        <f t="shared" ca="1" si="48"/>
        <v>921000</v>
      </c>
      <c r="J74" s="62">
        <f t="shared" ca="1" si="3"/>
        <v>1382133.17</v>
      </c>
      <c r="K74" s="100">
        <f t="shared" ca="1" si="4"/>
        <v>58.438801401212217</v>
      </c>
      <c r="L74" s="62">
        <f ca="1">SUM(L75:L88)</f>
        <v>461133.17000000004</v>
      </c>
      <c r="M74" s="101">
        <f t="shared" ca="1" si="5"/>
        <v>32.065556865158428</v>
      </c>
      <c r="N74" s="101">
        <f t="shared" ca="1" si="6"/>
        <v>44.962282566302662</v>
      </c>
      <c r="O74" s="102">
        <f ca="1">SUM(O75:O88)</f>
        <v>921000</v>
      </c>
      <c r="P74" s="102">
        <f t="shared" ca="1" si="30"/>
        <v>99.35275080906149</v>
      </c>
      <c r="Q74" s="101">
        <f t="shared" ca="1" si="8"/>
        <v>100</v>
      </c>
      <c r="R74" s="62">
        <f t="shared" ref="R74:T74" ca="1" si="49">SUM(R75:R88)</f>
        <v>0</v>
      </c>
      <c r="S74" s="62">
        <f t="shared" ca="1" si="49"/>
        <v>90</v>
      </c>
      <c r="T74" s="62">
        <f t="shared" ca="1" si="49"/>
        <v>20</v>
      </c>
      <c r="U74" s="101">
        <f t="shared" ca="1" si="25"/>
        <v>22.222222222222221</v>
      </c>
      <c r="V74" s="62">
        <f t="shared" ref="V74:W74" ca="1" si="50">SUM(V75:V88)</f>
        <v>45</v>
      </c>
      <c r="W74" s="62">
        <f t="shared" ca="1" si="50"/>
        <v>10</v>
      </c>
      <c r="X74" s="101">
        <f t="shared" ca="1" si="26"/>
        <v>22.222222222222221</v>
      </c>
      <c r="Y74" s="62">
        <f t="shared" ref="Y74:Z74" ca="1" si="51">SUM(Y75:Y88)</f>
        <v>90</v>
      </c>
      <c r="Z74" s="62">
        <f t="shared" ca="1" si="51"/>
        <v>50</v>
      </c>
      <c r="AA74" s="101">
        <f t="shared" ca="1" si="27"/>
        <v>55.555555555555557</v>
      </c>
      <c r="AB74" s="62">
        <f t="shared" ref="AB74:AC74" ca="1" si="52">SUM(AB75:AB88)</f>
        <v>9</v>
      </c>
      <c r="AC74" s="62">
        <f t="shared" ca="1" si="52"/>
        <v>0</v>
      </c>
      <c r="AD74" s="101">
        <f t="shared" ca="1" si="28"/>
        <v>0</v>
      </c>
    </row>
    <row r="75" spans="1:30" ht="21" customHeight="1" x14ac:dyDescent="0.2">
      <c r="A75" s="68">
        <v>1</v>
      </c>
      <c r="B75" s="69" t="s">
        <v>97</v>
      </c>
      <c r="C75" s="103">
        <f t="shared" ca="1" si="0"/>
        <v>0</v>
      </c>
      <c r="D75" s="71">
        <f t="shared" ref="D75:D88" ca="1" si="53">+E75+F75</f>
        <v>0</v>
      </c>
      <c r="E75" s="72">
        <f ca="1">IFERROR(__xludf.DUMMYFUNCTION("IMPORTRANGE(""https://docs.google.com/spreadsheets/d/1MeEWN-I1oV_STSDYn1IFDPWt_1FKiwhDph83XaGc0o0/edit?usp=sharing"",""งบพรบ!BL75"")"),0)</f>
        <v>0</v>
      </c>
      <c r="F75" s="72">
        <f ca="1">IFERROR(__xludf.DUMMYFUNCTION("IMPORTRANGE(""https://docs.google.com/spreadsheets/d/1MeEWN-I1oV_STSDYn1IFDPWt_1FKiwhDph83XaGc0o0/edit?usp=sharing"",""งบพรบ!BM75"")"),0)</f>
        <v>0</v>
      </c>
      <c r="G75" s="105">
        <f ca="1">IFERROR(__xludf.DUMMYFUNCTION("IMPORTRANGE(""https://docs.google.com/spreadsheets/d/1MeEWN-I1oV_STSDYn1IFDPWt_1FKiwhDph83XaGc0o0/edit?usp=sharing"",""งบพรบ!BN75"")"),0)</f>
        <v>0</v>
      </c>
      <c r="H75" s="105">
        <f ca="1">IFERROR(__xludf.DUMMYFUNCTION("IMPORTRANGE(""https://docs.google.com/spreadsheets/d/1MeEWN-I1oV_STSDYn1IFDPWt_1FKiwhDph83XaGc0o0/edit?usp=sharing"",""งบพรบ!BP75"")"),0)</f>
        <v>0</v>
      </c>
      <c r="I75" s="105">
        <f ca="1">IFERROR(__xludf.DUMMYFUNCTION("IMPORTRANGE(""https://docs.google.com/spreadsheets/d/1MeEWN-I1oV_STSDYn1IFDPWt_1FKiwhDph83XaGc0o0/edit?usp=sharing"",""งบพรบ!BQ75"")"),0)</f>
        <v>0</v>
      </c>
      <c r="J75" s="105">
        <f t="shared" ca="1" si="3"/>
        <v>0</v>
      </c>
      <c r="K75" s="106">
        <f t="shared" ca="1" si="4"/>
        <v>0</v>
      </c>
      <c r="L75" s="82">
        <f ca="1">IFERROR(__xludf.DUMMYFUNCTION("IMPORTRANGE(""https://docs.google.com/spreadsheets/d/1MeEWN-I1oV_STSDYn1IFDPWt_1FKiwhDph83XaGc0o0/edit?usp=sharing"",""งบพรบ!BR75"")"),0)</f>
        <v>0</v>
      </c>
      <c r="M75" s="75">
        <f t="shared" ca="1" si="5"/>
        <v>0</v>
      </c>
      <c r="N75" s="75">
        <f t="shared" ca="1" si="6"/>
        <v>0</v>
      </c>
      <c r="O75" s="76">
        <f ca="1">IFERROR(__xludf.DUMMYFUNCTION("IMPORTRANGE(""https://docs.google.com/spreadsheets/d/1MeEWN-I1oV_STSDYn1IFDPWt_1FKiwhDph83XaGc0o0/edit?usp=sharing"",""งบพรบ!BS75"")"),0)</f>
        <v>0</v>
      </c>
      <c r="P75" s="76">
        <f t="shared" ca="1" si="30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IFERROR(__xludf.DUMMYFUNCTION("IMPORTRANGE(""https://docs.google.com/spreadsheets/d/1kC41EOXpGBFOW658Fs3oD8beYlym0-zO54WY-2Qnp9I/edit?usp=sharing"",""กระบี่!J142"")"),0)</f>
        <v>0</v>
      </c>
      <c r="S75" s="73">
        <f ca="1">IFERROR(__xludf.DUMMYFUNCTION("IMPORTRANGE(""https://docs.google.com/spreadsheets/d/1kC41EOXpGBFOW658Fs3oD8beYlym0-zO54WY-2Qnp9I/edit?usp=sharing"",""กระบี่!I143"")"),0)</f>
        <v>0</v>
      </c>
      <c r="T75" s="73">
        <f ca="1">IFERROR(__xludf.DUMMYFUNCTION("IMPORTRANGE(""https://docs.google.com/spreadsheets/d/1kC41EOXpGBFOW658Fs3oD8beYlym0-zO54WY-2Qnp9I/edit?usp=sharing"",""กระบี่!J143"")"),0)</f>
        <v>0</v>
      </c>
      <c r="U75" s="77">
        <f t="shared" ca="1" si="25"/>
        <v>0</v>
      </c>
      <c r="V75" s="73">
        <f ca="1">IFERROR(__xludf.DUMMYFUNCTION("IMPORTRANGE(""https://docs.google.com/spreadsheets/d/1kC41EOXpGBFOW658Fs3oD8beYlym0-zO54WY-2Qnp9I/edit?usp=sharing"",""กระบี่!I144"")"),0)</f>
        <v>0</v>
      </c>
      <c r="W75" s="73">
        <f ca="1">IFERROR(__xludf.DUMMYFUNCTION("IMPORTRANGE(""https://docs.google.com/spreadsheets/d/1kC41EOXpGBFOW658Fs3oD8beYlym0-zO54WY-2Qnp9I/edit?usp=sharing"",""กระบี่!J144"")"),0)</f>
        <v>0</v>
      </c>
      <c r="X75" s="77">
        <f t="shared" ca="1" si="26"/>
        <v>0</v>
      </c>
      <c r="Y75" s="73">
        <f ca="1">IFERROR(__xludf.DUMMYFUNCTION("IMPORTRANGE(""https://docs.google.com/spreadsheets/d/1kC41EOXpGBFOW658Fs3oD8beYlym0-zO54WY-2Qnp9I/edit?usp=sharing"",""กระบี่!I145"")"),0)</f>
        <v>0</v>
      </c>
      <c r="Z75" s="73">
        <f ca="1">IFERROR(__xludf.DUMMYFUNCTION("IMPORTRANGE(""https://docs.google.com/spreadsheets/d/1kC41EOXpGBFOW658Fs3oD8beYlym0-zO54WY-2Qnp9I/edit?usp=sharing"",""กระบี่!J145"")"),0)</f>
        <v>0</v>
      </c>
      <c r="AA75" s="77">
        <f t="shared" ca="1" si="27"/>
        <v>0</v>
      </c>
      <c r="AB75" s="73">
        <f ca="1">IFERROR(__xludf.DUMMYFUNCTION("IMPORTRANGE(""https://docs.google.com/spreadsheets/d/1kC41EOXpGBFOW658Fs3oD8beYlym0-zO54WY-2Qnp9I/edit?usp=sharing"",""กระบี่!I146"")"),0)</f>
        <v>0</v>
      </c>
      <c r="AC75" s="73">
        <f ca="1">IFERROR(__xludf.DUMMYFUNCTION("IMPORTRANGE(""https://docs.google.com/spreadsheets/d/1kC41EOXpGBFOW658Fs3oD8beYlym0-zO54WY-2Qnp9I/edit?usp=sharing"",""กระบี่!J146"")"),0)</f>
        <v>0</v>
      </c>
      <c r="AD75" s="77">
        <f t="shared" ca="1" si="28"/>
        <v>0</v>
      </c>
    </row>
    <row r="76" spans="1:30" ht="21" customHeight="1" x14ac:dyDescent="0.2">
      <c r="A76" s="78">
        <v>2</v>
      </c>
      <c r="B76" s="79" t="s">
        <v>98</v>
      </c>
      <c r="C76" s="80">
        <f t="shared" ca="1" si="0"/>
        <v>151655</v>
      </c>
      <c r="D76" s="81">
        <f t="shared" ca="1" si="53"/>
        <v>48655</v>
      </c>
      <c r="E76" s="82">
        <f ca="1">IFERROR(__xludf.DUMMYFUNCTION("IMPORTRANGE(""https://docs.google.com/spreadsheets/d/1MeEWN-I1oV_STSDYn1IFDPWt_1FKiwhDph83XaGc0o0/edit?usp=sharing"",""งบพรบ!BL76"")"),0)</f>
        <v>0</v>
      </c>
      <c r="F76" s="82">
        <f ca="1">IFERROR(__xludf.DUMMYFUNCTION("IMPORTRANGE(""https://docs.google.com/spreadsheets/d/1MeEWN-I1oV_STSDYn1IFDPWt_1FKiwhDph83XaGc0o0/edit?usp=sharing"",""งบพรบ!BM76"")"),48655)</f>
        <v>48655</v>
      </c>
      <c r="G76" s="82">
        <f ca="1">IFERROR(__xludf.DUMMYFUNCTION("IMPORTRANGE(""https://docs.google.com/spreadsheets/d/1MeEWN-I1oV_STSDYn1IFDPWt_1FKiwhDph83XaGc0o0/edit?usp=sharing"",""งบพรบ!BN76"")"),103000)</f>
        <v>103000</v>
      </c>
      <c r="H76" s="82">
        <f ca="1">IFERROR(__xludf.DUMMYFUNCTION("IMPORTRANGE(""https://docs.google.com/spreadsheets/d/1MeEWN-I1oV_STSDYn1IFDPWt_1FKiwhDph83XaGc0o0/edit?usp=sharing"",""งบพรบ!BP76"")"),30600)</f>
        <v>30600</v>
      </c>
      <c r="I76" s="82">
        <f ca="1">IFERROR(__xludf.DUMMYFUNCTION("IMPORTRANGE(""https://docs.google.com/spreadsheets/d/1MeEWN-I1oV_STSDYn1IFDPWt_1FKiwhDph83XaGc0o0/edit?usp=sharing"",""งบพรบ!BQ76"")"),103000)</f>
        <v>103000</v>
      </c>
      <c r="J76" s="82">
        <f t="shared" ca="1" si="3"/>
        <v>113070</v>
      </c>
      <c r="K76" s="83">
        <f t="shared" ca="1" si="4"/>
        <v>74.5573835349972</v>
      </c>
      <c r="L76" s="82">
        <f ca="1">IFERROR(__xludf.DUMMYFUNCTION("IMPORTRANGE(""https://docs.google.com/spreadsheets/d/1MeEWN-I1oV_STSDYn1IFDPWt_1FKiwhDph83XaGc0o0/edit?usp=sharing"",""งบพรบ!BR76"")"),10070)</f>
        <v>10070</v>
      </c>
      <c r="M76" s="84">
        <f t="shared" ca="1" si="5"/>
        <v>20.696742369746172</v>
      </c>
      <c r="N76" s="84">
        <f t="shared" ca="1" si="6"/>
        <v>32.908496732026144</v>
      </c>
      <c r="O76" s="85">
        <f ca="1">IFERROR(__xludf.DUMMYFUNCTION("IMPORTRANGE(""https://docs.google.com/spreadsheets/d/1MeEWN-I1oV_STSDYn1IFDPWt_1FKiwhDph83XaGc0o0/edit?usp=sharing"",""งบพรบ!BS76"")"),103000)</f>
        <v>103000</v>
      </c>
      <c r="P76" s="85">
        <f t="shared" ca="1" si="30"/>
        <v>100</v>
      </c>
      <c r="Q76" s="84">
        <f t="shared" ca="1" si="8"/>
        <v>100</v>
      </c>
      <c r="R76" s="86">
        <f ca="1">IFERROR(__xludf.DUMMYFUNCTION("IMPORTRANGE(""https://docs.google.com/spreadsheets/d/1FbzMZY_f3MDiEuK7RpCQKrilJ_kpX0Wm7QBZ1L7EjIU/edit?usp=sharing"",""ชุมพร!J142"")"),0)</f>
        <v>0</v>
      </c>
      <c r="S76" s="86">
        <f ca="1">IFERROR(__xludf.DUMMYFUNCTION("IMPORTRANGE(""https://docs.google.com/spreadsheets/d/1FbzMZY_f3MDiEuK7RpCQKrilJ_kpX0Wm7QBZ1L7EjIU/edit?usp=sharing"",""ชุมพร!I143"")"),10)</f>
        <v>10</v>
      </c>
      <c r="T76" s="86">
        <f ca="1">IFERROR(__xludf.DUMMYFUNCTION("IMPORTRANGE(""https://docs.google.com/spreadsheets/d/1FbzMZY_f3MDiEuK7RpCQKrilJ_kpX0Wm7QBZ1L7EjIU/edit?usp=sharing"",""ชุมพร!J143"")"),0)</f>
        <v>0</v>
      </c>
      <c r="U76" s="87">
        <f t="shared" ca="1" si="25"/>
        <v>0</v>
      </c>
      <c r="V76" s="86">
        <f ca="1">IFERROR(__xludf.DUMMYFUNCTION("IMPORTRANGE(""https://docs.google.com/spreadsheets/d/1FbzMZY_f3MDiEuK7RpCQKrilJ_kpX0Wm7QBZ1L7EjIU/edit?usp=sharing"",""ชุมพร!I144"")"),5)</f>
        <v>5</v>
      </c>
      <c r="W76" s="86">
        <f ca="1">IFERROR(__xludf.DUMMYFUNCTION("IMPORTRANGE(""https://docs.google.com/spreadsheets/d/1FbzMZY_f3MDiEuK7RpCQKrilJ_kpX0Wm7QBZ1L7EjIU/edit?usp=sharing"",""ชุมพร!J144"")"),0)</f>
        <v>0</v>
      </c>
      <c r="X76" s="87">
        <f t="shared" ca="1" si="26"/>
        <v>0</v>
      </c>
      <c r="Y76" s="86">
        <f ca="1">IFERROR(__xludf.DUMMYFUNCTION("IMPORTRANGE(""https://docs.google.com/spreadsheets/d/1FbzMZY_f3MDiEuK7RpCQKrilJ_kpX0Wm7QBZ1L7EjIU/edit?usp=sharing"",""ชุมพร!I145"")"),10)</f>
        <v>10</v>
      </c>
      <c r="Z76" s="86">
        <f ca="1">IFERROR(__xludf.DUMMYFUNCTION("IMPORTRANGE(""https://docs.google.com/spreadsheets/d/1FbzMZY_f3MDiEuK7RpCQKrilJ_kpX0Wm7QBZ1L7EjIU/edit?usp=sharing"",""ชุมพร!J145"")"),0)</f>
        <v>0</v>
      </c>
      <c r="AA76" s="87">
        <f t="shared" ca="1" si="27"/>
        <v>0</v>
      </c>
      <c r="AB76" s="86">
        <f ca="1">IFERROR(__xludf.DUMMYFUNCTION("IMPORTRANGE(""https://docs.google.com/spreadsheets/d/1FbzMZY_f3MDiEuK7RpCQKrilJ_kpX0Wm7QBZ1L7EjIU/edit?usp=sharing"",""ชุมพร!I146"")"),1)</f>
        <v>1</v>
      </c>
      <c r="AC76" s="86">
        <f ca="1">IFERROR(__xludf.DUMMYFUNCTION("IMPORTRANGE(""https://docs.google.com/spreadsheets/d/1FbzMZY_f3MDiEuK7RpCQKrilJ_kpX0Wm7QBZ1L7EjIU/edit?usp=sharing"",""ชุมพร!J146"")"),0)</f>
        <v>0</v>
      </c>
      <c r="AD76" s="87">
        <f t="shared" ca="1" si="28"/>
        <v>0</v>
      </c>
    </row>
    <row r="77" spans="1:30" ht="21" customHeight="1" x14ac:dyDescent="0.2">
      <c r="A77" s="78">
        <v>3</v>
      </c>
      <c r="B77" s="79" t="s">
        <v>99</v>
      </c>
      <c r="C77" s="80">
        <f t="shared" ca="1" si="0"/>
        <v>0</v>
      </c>
      <c r="D77" s="81">
        <f t="shared" ca="1" si="53"/>
        <v>0</v>
      </c>
      <c r="E77" s="82">
        <f ca="1">IFERROR(__xludf.DUMMYFUNCTION("IMPORTRANGE(""https://docs.google.com/spreadsheets/d/1MeEWN-I1oV_STSDYn1IFDPWt_1FKiwhDph83XaGc0o0/edit?usp=sharing"",""งบพรบ!BL77"")"),0)</f>
        <v>0</v>
      </c>
      <c r="F77" s="82">
        <f ca="1">IFERROR(__xludf.DUMMYFUNCTION("IMPORTRANGE(""https://docs.google.com/spreadsheets/d/1MeEWN-I1oV_STSDYn1IFDPWt_1FKiwhDph83XaGc0o0/edit?usp=sharing"",""งบพรบ!BM77"")"),0)</f>
        <v>0</v>
      </c>
      <c r="G77" s="82">
        <f ca="1">IFERROR(__xludf.DUMMYFUNCTION("IMPORTRANGE(""https://docs.google.com/spreadsheets/d/1MeEWN-I1oV_STSDYn1IFDPWt_1FKiwhDph83XaGc0o0/edit?usp=sharing"",""งบพรบ!BN77"")"),0)</f>
        <v>0</v>
      </c>
      <c r="H77" s="82">
        <f ca="1">IFERROR(__xludf.DUMMYFUNCTION("IMPORTRANGE(""https://docs.google.com/spreadsheets/d/1MeEWN-I1oV_STSDYn1IFDPWt_1FKiwhDph83XaGc0o0/edit?usp=sharing"",""งบพรบ!BP77"")"),0)</f>
        <v>0</v>
      </c>
      <c r="I77" s="82">
        <f ca="1">IFERROR(__xludf.DUMMYFUNCTION("IMPORTRANGE(""https://docs.google.com/spreadsheets/d/1MeEWN-I1oV_STSDYn1IFDPWt_1FKiwhDph83XaGc0o0/edit?usp=sharing"",""งบพรบ!BQ77"")"),0)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IFERROR(__xludf.DUMMYFUNCTION("IMPORTRANGE(""https://docs.google.com/spreadsheets/d/1MeEWN-I1oV_STSDYn1IFDPWt_1FKiwhDph83XaGc0o0/edit?usp=sharing"",""งบพรบ!BR77"")"),0)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IFERROR(__xludf.DUMMYFUNCTION("IMPORTRANGE(""https://docs.google.com/spreadsheets/d/1MeEWN-I1oV_STSDYn1IFDPWt_1FKiwhDph83XaGc0o0/edit?usp=sharing"",""งบพรบ!BS77"")"),0)</f>
        <v>0</v>
      </c>
      <c r="P77" s="85">
        <f t="shared" ca="1" si="30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IFERROR(__xludf.DUMMYFUNCTION("IMPORTRANGE(""https://docs.google.com/spreadsheets/d/1v5sN-00LrXuhBxw4dkh2GrG_z4l5oAqOdJRBCsUyMaM/edit?usp=sharing"",""ตรัง!J142"")"),0)</f>
        <v>0</v>
      </c>
      <c r="S77" s="86">
        <f ca="1">IFERROR(__xludf.DUMMYFUNCTION("IMPORTRANGE(""https://docs.google.com/spreadsheets/d/1v5sN-00LrXuhBxw4dkh2GrG_z4l5oAqOdJRBCsUyMaM/edit?usp=sharing"",""ตรัง!I143"")"),0)</f>
        <v>0</v>
      </c>
      <c r="T77" s="86">
        <f ca="1">IFERROR(__xludf.DUMMYFUNCTION("IMPORTRANGE(""https://docs.google.com/spreadsheets/d/1v5sN-00LrXuhBxw4dkh2GrG_z4l5oAqOdJRBCsUyMaM/edit?usp=sharing"",""ตรัง!J143"")"),0)</f>
        <v>0</v>
      </c>
      <c r="U77" s="87">
        <f t="shared" ca="1" si="25"/>
        <v>0</v>
      </c>
      <c r="V77" s="86">
        <f ca="1">IFERROR(__xludf.DUMMYFUNCTION("IMPORTRANGE(""https://docs.google.com/spreadsheets/d/1v5sN-00LrXuhBxw4dkh2GrG_z4l5oAqOdJRBCsUyMaM/edit?usp=sharing"",""ตรัง!I144"")"),0)</f>
        <v>0</v>
      </c>
      <c r="W77" s="86">
        <f ca="1">IFERROR(__xludf.DUMMYFUNCTION("IMPORTRANGE(""https://docs.google.com/spreadsheets/d/1v5sN-00LrXuhBxw4dkh2GrG_z4l5oAqOdJRBCsUyMaM/edit?usp=sharing"",""ตรัง!J144"")"),0)</f>
        <v>0</v>
      </c>
      <c r="X77" s="87">
        <f t="shared" ca="1" si="26"/>
        <v>0</v>
      </c>
      <c r="Y77" s="86">
        <f ca="1">IFERROR(__xludf.DUMMYFUNCTION("IMPORTRANGE(""https://docs.google.com/spreadsheets/d/1v5sN-00LrXuhBxw4dkh2GrG_z4l5oAqOdJRBCsUyMaM/edit?usp=sharing"",""ตรัง!I145"")"),0)</f>
        <v>0</v>
      </c>
      <c r="Z77" s="86">
        <f ca="1">IFERROR(__xludf.DUMMYFUNCTION("IMPORTRANGE(""https://docs.google.com/spreadsheets/d/1v5sN-00LrXuhBxw4dkh2GrG_z4l5oAqOdJRBCsUyMaM/edit?usp=sharing"",""ตรัง!J145"")"),0)</f>
        <v>0</v>
      </c>
      <c r="AA77" s="87">
        <f t="shared" ca="1" si="27"/>
        <v>0</v>
      </c>
      <c r="AB77" s="86">
        <f ca="1">IFERROR(__xludf.DUMMYFUNCTION("IMPORTRANGE(""https://docs.google.com/spreadsheets/d/1v5sN-00LrXuhBxw4dkh2GrG_z4l5oAqOdJRBCsUyMaM/edit?usp=sharing"",""ตรัง!I146"")"),0)</f>
        <v>0</v>
      </c>
      <c r="AC77" s="86">
        <f ca="1">IFERROR(__xludf.DUMMYFUNCTION("IMPORTRANGE(""https://docs.google.com/spreadsheets/d/1v5sN-00LrXuhBxw4dkh2GrG_z4l5oAqOdJRBCsUyMaM/edit?usp=sharing"",""ตรัง!J146"")"),0)</f>
        <v>0</v>
      </c>
      <c r="AD77" s="87">
        <f t="shared" ca="1" si="28"/>
        <v>0</v>
      </c>
    </row>
    <row r="78" spans="1:30" ht="21" customHeight="1" x14ac:dyDescent="0.2">
      <c r="A78" s="78">
        <v>4</v>
      </c>
      <c r="B78" s="79" t="s">
        <v>100</v>
      </c>
      <c r="C78" s="80">
        <f t="shared" ca="1" si="0"/>
        <v>303310</v>
      </c>
      <c r="D78" s="81">
        <f t="shared" ca="1" si="53"/>
        <v>97310</v>
      </c>
      <c r="E78" s="82">
        <f ca="1">IFERROR(__xludf.DUMMYFUNCTION("IMPORTRANGE(""https://docs.google.com/spreadsheets/d/1MeEWN-I1oV_STSDYn1IFDPWt_1FKiwhDph83XaGc0o0/edit?usp=sharing"",""งบพรบ!BL78"")"),0)</f>
        <v>0</v>
      </c>
      <c r="F78" s="82">
        <f ca="1">IFERROR(__xludf.DUMMYFUNCTION("IMPORTRANGE(""https://docs.google.com/spreadsheets/d/1MeEWN-I1oV_STSDYn1IFDPWt_1FKiwhDph83XaGc0o0/edit?usp=sharing"",""งบพรบ!BM78"")"),97310)</f>
        <v>97310</v>
      </c>
      <c r="G78" s="82">
        <f ca="1">IFERROR(__xludf.DUMMYFUNCTION("IMPORTRANGE(""https://docs.google.com/spreadsheets/d/1MeEWN-I1oV_STSDYn1IFDPWt_1FKiwhDph83XaGc0o0/edit?usp=sharing"",""งบพรบ!BN78"")"),206000)</f>
        <v>206000</v>
      </c>
      <c r="H78" s="82">
        <f ca="1">IFERROR(__xludf.DUMMYFUNCTION("IMPORTRANGE(""https://docs.google.com/spreadsheets/d/1MeEWN-I1oV_STSDYn1IFDPWt_1FKiwhDph83XaGc0o0/edit?usp=sharing"",""งบพรบ!BP78"")"),61200)</f>
        <v>61200</v>
      </c>
      <c r="I78" s="82">
        <f ca="1">IFERROR(__xludf.DUMMYFUNCTION("IMPORTRANGE(""https://docs.google.com/spreadsheets/d/1MeEWN-I1oV_STSDYn1IFDPWt_1FKiwhDph83XaGc0o0/edit?usp=sharing"",""งบพรบ!BQ78"")"),206000)</f>
        <v>206000</v>
      </c>
      <c r="J78" s="82">
        <f t="shared" ca="1" si="3"/>
        <v>206000</v>
      </c>
      <c r="K78" s="83">
        <f t="shared" ca="1" si="4"/>
        <v>67.917312320727973</v>
      </c>
      <c r="L78" s="82">
        <f ca="1">IFERROR(__xludf.DUMMYFUNCTION("IMPORTRANGE(""https://docs.google.com/spreadsheets/d/1MeEWN-I1oV_STSDYn1IFDPWt_1FKiwhDph83XaGc0o0/edit?usp=sharing"",""งบพรบ!BR78"")"),0)</f>
        <v>0</v>
      </c>
      <c r="M78" s="84">
        <f t="shared" ca="1" si="5"/>
        <v>0</v>
      </c>
      <c r="N78" s="84">
        <f t="shared" ca="1" si="6"/>
        <v>0</v>
      </c>
      <c r="O78" s="85">
        <f ca="1">IFERROR(__xludf.DUMMYFUNCTION("IMPORTRANGE(""https://docs.google.com/spreadsheets/d/1MeEWN-I1oV_STSDYn1IFDPWt_1FKiwhDph83XaGc0o0/edit?usp=sharing"",""งบพรบ!BS78"")"),206000)</f>
        <v>206000</v>
      </c>
      <c r="P78" s="85">
        <f t="shared" ca="1" si="30"/>
        <v>100</v>
      </c>
      <c r="Q78" s="84">
        <f t="shared" ca="1" si="8"/>
        <v>100</v>
      </c>
      <c r="R78" s="86">
        <f ca="1">IFERROR(__xludf.DUMMYFUNCTION("IMPORTRANGE(""https://docs.google.com/spreadsheets/d/1T5rRTzFc79aSIvqnzkZNvwPstq829QYz_xALlO1Z0s8/edit?usp=sharing"",""นครศรีธรรมราช!J142"")"),0)</f>
        <v>0</v>
      </c>
      <c r="S78" s="86">
        <f ca="1">IFERROR(__xludf.DUMMYFUNCTION("IMPORTRANGE(""https://docs.google.com/spreadsheets/d/1T5rRTzFc79aSIvqnzkZNvwPstq829QYz_xALlO1Z0s8/edit?usp=sharing"",""นครศรีธรรมราช!I143"")"),20)</f>
        <v>20</v>
      </c>
      <c r="T78" s="86">
        <f ca="1">IFERROR(__xludf.DUMMYFUNCTION("IMPORTRANGE(""https://docs.google.com/spreadsheets/d/1T5rRTzFc79aSIvqnzkZNvwPstq829QYz_xALlO1Z0s8/edit?usp=sharing"",""นครศรีธรรมราช!J143"")"),0)</f>
        <v>0</v>
      </c>
      <c r="U78" s="87">
        <f t="shared" ca="1" si="25"/>
        <v>0</v>
      </c>
      <c r="V78" s="86">
        <f ca="1">IFERROR(__xludf.DUMMYFUNCTION("IMPORTRANGE(""https://docs.google.com/spreadsheets/d/1T5rRTzFc79aSIvqnzkZNvwPstq829QYz_xALlO1Z0s8/edit?usp=sharing"",""นครศรีธรรมราช!I144"")"),10)</f>
        <v>10</v>
      </c>
      <c r="W78" s="86">
        <f ca="1">IFERROR(__xludf.DUMMYFUNCTION("IMPORTRANGE(""https://docs.google.com/spreadsheets/d/1T5rRTzFc79aSIvqnzkZNvwPstq829QYz_xALlO1Z0s8/edit?usp=sharing"",""นครศรีธรรมราช!J144"")"),0)</f>
        <v>0</v>
      </c>
      <c r="X78" s="87">
        <f t="shared" ca="1" si="26"/>
        <v>0</v>
      </c>
      <c r="Y78" s="86">
        <f ca="1">IFERROR(__xludf.DUMMYFUNCTION("IMPORTRANGE(""https://docs.google.com/spreadsheets/d/1T5rRTzFc79aSIvqnzkZNvwPstq829QYz_xALlO1Z0s8/edit?usp=sharing"",""นครศรีธรรมราช!I145"")"),20)</f>
        <v>20</v>
      </c>
      <c r="Z78" s="86">
        <f ca="1">IFERROR(__xludf.DUMMYFUNCTION("IMPORTRANGE(""https://docs.google.com/spreadsheets/d/1T5rRTzFc79aSIvqnzkZNvwPstq829QYz_xALlO1Z0s8/edit?usp=sharing"",""นครศรีธรรมราช!J145"")"),0)</f>
        <v>0</v>
      </c>
      <c r="AA78" s="87">
        <f t="shared" ca="1" si="27"/>
        <v>0</v>
      </c>
      <c r="AB78" s="86">
        <f ca="1">IFERROR(__xludf.DUMMYFUNCTION("IMPORTRANGE(""https://docs.google.com/spreadsheets/d/1T5rRTzFc79aSIvqnzkZNvwPstq829QYz_xALlO1Z0s8/edit?usp=sharing"",""นครศรีธรรมราช!I146"")"),2)</f>
        <v>2</v>
      </c>
      <c r="AC78" s="86">
        <f ca="1">IFERROR(__xludf.DUMMYFUNCTION("IMPORTRANGE(""https://docs.google.com/spreadsheets/d/1T5rRTzFc79aSIvqnzkZNvwPstq829QYz_xALlO1Z0s8/edit?usp=sharing"",""นครศรีธรรมราช!J146"")"),0)</f>
        <v>0</v>
      </c>
      <c r="AD78" s="87">
        <f t="shared" ca="1" si="28"/>
        <v>0</v>
      </c>
    </row>
    <row r="79" spans="1:30" ht="21" customHeight="1" x14ac:dyDescent="0.2">
      <c r="A79" s="78">
        <v>5</v>
      </c>
      <c r="B79" s="79" t="s">
        <v>101</v>
      </c>
      <c r="C79" s="80">
        <f t="shared" ca="1" si="0"/>
        <v>0</v>
      </c>
      <c r="D79" s="81">
        <f t="shared" ca="1" si="53"/>
        <v>0</v>
      </c>
      <c r="E79" s="82">
        <f ca="1">IFERROR(__xludf.DUMMYFUNCTION("IMPORTRANGE(""https://docs.google.com/spreadsheets/d/1MeEWN-I1oV_STSDYn1IFDPWt_1FKiwhDph83XaGc0o0/edit?usp=sharing"",""งบพรบ!BL79"")"),0)</f>
        <v>0</v>
      </c>
      <c r="F79" s="82">
        <f ca="1">IFERROR(__xludf.DUMMYFUNCTION("IMPORTRANGE(""https://docs.google.com/spreadsheets/d/1MeEWN-I1oV_STSDYn1IFDPWt_1FKiwhDph83XaGc0o0/edit?usp=sharing"",""งบพรบ!BM79"")"),0)</f>
        <v>0</v>
      </c>
      <c r="G79" s="82">
        <f ca="1">IFERROR(__xludf.DUMMYFUNCTION("IMPORTRANGE(""https://docs.google.com/spreadsheets/d/1MeEWN-I1oV_STSDYn1IFDPWt_1FKiwhDph83XaGc0o0/edit?usp=sharing"",""งบพรบ!BN79"")"),0)</f>
        <v>0</v>
      </c>
      <c r="H79" s="82">
        <f ca="1">IFERROR(__xludf.DUMMYFUNCTION("IMPORTRANGE(""https://docs.google.com/spreadsheets/d/1MeEWN-I1oV_STSDYn1IFDPWt_1FKiwhDph83XaGc0o0/edit?usp=sharing"",""งบพรบ!BP79"")"),0)</f>
        <v>0</v>
      </c>
      <c r="I79" s="82">
        <f ca="1">IFERROR(__xludf.DUMMYFUNCTION("IMPORTRANGE(""https://docs.google.com/spreadsheets/d/1MeEWN-I1oV_STSDYn1IFDPWt_1FKiwhDph83XaGc0o0/edit?usp=sharing"",""งบพรบ!BQ79"")"),0)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IFERROR(__xludf.DUMMYFUNCTION("IMPORTRANGE(""https://docs.google.com/spreadsheets/d/1MeEWN-I1oV_STSDYn1IFDPWt_1FKiwhDph83XaGc0o0/edit?usp=sharing"",""งบพรบ!BR79"")"),0)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IFERROR(__xludf.DUMMYFUNCTION("IMPORTRANGE(""https://docs.google.com/spreadsheets/d/1MeEWN-I1oV_STSDYn1IFDPWt_1FKiwhDph83XaGc0o0/edit?usp=sharing"",""งบพรบ!BS79"")"),0)</f>
        <v>0</v>
      </c>
      <c r="P79" s="85">
        <f t="shared" ca="1" si="30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IFERROR(__xludf.DUMMYFUNCTION("IMPORTRANGE(""https://docs.google.com/spreadsheets/d/1BeghqumK0IvCmRd2QOy6_afsZq7ZtAGrSnVJy2u7WmY/edit?usp=sharing"",""นราธิวาส!J142"")"),0)</f>
        <v>0</v>
      </c>
      <c r="S79" s="86">
        <f ca="1">IFERROR(__xludf.DUMMYFUNCTION("IMPORTRANGE(""https://docs.google.com/spreadsheets/d/1BeghqumK0IvCmRd2QOy6_afsZq7ZtAGrSnVJy2u7WmY/edit?usp=sharing"",""นราธิวาส!I143"")"),0)</f>
        <v>0</v>
      </c>
      <c r="T79" s="86">
        <f ca="1">IFERROR(__xludf.DUMMYFUNCTION("IMPORTRANGE(""https://docs.google.com/spreadsheets/d/1BeghqumK0IvCmRd2QOy6_afsZq7ZtAGrSnVJy2u7WmY/edit?usp=sharing"",""นราธิวาส!J143"")"),0)</f>
        <v>0</v>
      </c>
      <c r="U79" s="87">
        <f t="shared" ca="1" si="25"/>
        <v>0</v>
      </c>
      <c r="V79" s="86">
        <f ca="1">IFERROR(__xludf.DUMMYFUNCTION("IMPORTRANGE(""https://docs.google.com/spreadsheets/d/1BeghqumK0IvCmRd2QOy6_afsZq7ZtAGrSnVJy2u7WmY/edit?usp=sharing"",""นราธิวาส!I144"")"),0)</f>
        <v>0</v>
      </c>
      <c r="W79" s="86">
        <f ca="1">IFERROR(__xludf.DUMMYFUNCTION("IMPORTRANGE(""https://docs.google.com/spreadsheets/d/1BeghqumK0IvCmRd2QOy6_afsZq7ZtAGrSnVJy2u7WmY/edit?usp=sharing"",""นราธิวาส!J144"")"),0)</f>
        <v>0</v>
      </c>
      <c r="X79" s="87">
        <f t="shared" ca="1" si="26"/>
        <v>0</v>
      </c>
      <c r="Y79" s="86">
        <f ca="1">IFERROR(__xludf.DUMMYFUNCTION("IMPORTRANGE(""https://docs.google.com/spreadsheets/d/1BeghqumK0IvCmRd2QOy6_afsZq7ZtAGrSnVJy2u7WmY/edit?usp=sharing"",""นราธิวาส!I145"")"),0)</f>
        <v>0</v>
      </c>
      <c r="Z79" s="86">
        <f ca="1">IFERROR(__xludf.DUMMYFUNCTION("IMPORTRANGE(""https://docs.google.com/spreadsheets/d/1BeghqumK0IvCmRd2QOy6_afsZq7ZtAGrSnVJy2u7WmY/edit?usp=sharing"",""นราธิวาส!J145"")"),0)</f>
        <v>0</v>
      </c>
      <c r="AA79" s="87">
        <f t="shared" ca="1" si="27"/>
        <v>0</v>
      </c>
      <c r="AB79" s="86">
        <f ca="1">IFERROR(__xludf.DUMMYFUNCTION("IMPORTRANGE(""https://docs.google.com/spreadsheets/d/1BeghqumK0IvCmRd2QOy6_afsZq7ZtAGrSnVJy2u7WmY/edit?usp=sharing"",""นราธิวาส!I146"")"),0)</f>
        <v>0</v>
      </c>
      <c r="AC79" s="86">
        <f ca="1">IFERROR(__xludf.DUMMYFUNCTION("IMPORTRANGE(""https://docs.google.com/spreadsheets/d/1BeghqumK0IvCmRd2QOy6_afsZq7ZtAGrSnVJy2u7WmY/edit?usp=sharing"",""นราธิวาส!J146"")"),0)</f>
        <v>0</v>
      </c>
      <c r="AD79" s="87">
        <f t="shared" ca="1" si="28"/>
        <v>0</v>
      </c>
    </row>
    <row r="80" spans="1:30" ht="21" customHeight="1" x14ac:dyDescent="0.2">
      <c r="A80" s="78">
        <v>6</v>
      </c>
      <c r="B80" s="79" t="s">
        <v>102</v>
      </c>
      <c r="C80" s="80">
        <f t="shared" ca="1" si="0"/>
        <v>0</v>
      </c>
      <c r="D80" s="81">
        <f t="shared" ca="1" si="53"/>
        <v>0</v>
      </c>
      <c r="E80" s="82">
        <f ca="1">IFERROR(__xludf.DUMMYFUNCTION("IMPORTRANGE(""https://docs.google.com/spreadsheets/d/1MeEWN-I1oV_STSDYn1IFDPWt_1FKiwhDph83XaGc0o0/edit?usp=sharing"",""งบพรบ!BL80"")"),0)</f>
        <v>0</v>
      </c>
      <c r="F80" s="82">
        <f ca="1">IFERROR(__xludf.DUMMYFUNCTION("IMPORTRANGE(""https://docs.google.com/spreadsheets/d/1MeEWN-I1oV_STSDYn1IFDPWt_1FKiwhDph83XaGc0o0/edit?usp=sharing"",""งบพรบ!BM80"")"),0)</f>
        <v>0</v>
      </c>
      <c r="G80" s="82">
        <f ca="1">IFERROR(__xludf.DUMMYFUNCTION("IMPORTRANGE(""https://docs.google.com/spreadsheets/d/1MeEWN-I1oV_STSDYn1IFDPWt_1FKiwhDph83XaGc0o0/edit?usp=sharing"",""งบพรบ!BN80"")"),0)</f>
        <v>0</v>
      </c>
      <c r="H80" s="82">
        <f ca="1">IFERROR(__xludf.DUMMYFUNCTION("IMPORTRANGE(""https://docs.google.com/spreadsheets/d/1MeEWN-I1oV_STSDYn1IFDPWt_1FKiwhDph83XaGc0o0/edit?usp=sharing"",""งบพรบ!BP80"")"),0)</f>
        <v>0</v>
      </c>
      <c r="I80" s="82">
        <f ca="1">IFERROR(__xludf.DUMMYFUNCTION("IMPORTRANGE(""https://docs.google.com/spreadsheets/d/1MeEWN-I1oV_STSDYn1IFDPWt_1FKiwhDph83XaGc0o0/edit?usp=sharing"",""งบพรบ!BQ80"")"),0)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IFERROR(__xludf.DUMMYFUNCTION("IMPORTRANGE(""https://docs.google.com/spreadsheets/d/1MeEWN-I1oV_STSDYn1IFDPWt_1FKiwhDph83XaGc0o0/edit?usp=sharing"",""งบพรบ!BR80"")"),0)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IFERROR(__xludf.DUMMYFUNCTION("IMPORTRANGE(""https://docs.google.com/spreadsheets/d/1MeEWN-I1oV_STSDYn1IFDPWt_1FKiwhDph83XaGc0o0/edit?usp=sharing"",""งบพรบ!BS80"")"),0)</f>
        <v>0</v>
      </c>
      <c r="P80" s="85">
        <f t="shared" ca="1" si="30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IFERROR(__xludf.DUMMYFUNCTION("IMPORTRANGE(""https://docs.google.com/spreadsheets/d/1IwnW3-jjRf74MCLW-6PiFwMUffRQXZwZA7YM609NmRc/edit?usp=sharing"",""ปัตตานี!J142"")"),0)</f>
        <v>0</v>
      </c>
      <c r="S80" s="86">
        <f ca="1">IFERROR(__xludf.DUMMYFUNCTION("IMPORTRANGE(""https://docs.google.com/spreadsheets/d/1IwnW3-jjRf74MCLW-6PiFwMUffRQXZwZA7YM609NmRc/edit?usp=sharing"",""ปัตตานี!I143"")"),0)</f>
        <v>0</v>
      </c>
      <c r="T80" s="86">
        <f ca="1">IFERROR(__xludf.DUMMYFUNCTION("IMPORTRANGE(""https://docs.google.com/spreadsheets/d/1IwnW3-jjRf74MCLW-6PiFwMUffRQXZwZA7YM609NmRc/edit?usp=sharing"",""ปัตตานี!J143"")"),0)</f>
        <v>0</v>
      </c>
      <c r="U80" s="87">
        <f t="shared" ca="1" si="25"/>
        <v>0</v>
      </c>
      <c r="V80" s="86">
        <f ca="1">IFERROR(__xludf.DUMMYFUNCTION("IMPORTRANGE(""https://docs.google.com/spreadsheets/d/1IwnW3-jjRf74MCLW-6PiFwMUffRQXZwZA7YM609NmRc/edit?usp=sharing"",""ปัตตานี!I144"")"),0)</f>
        <v>0</v>
      </c>
      <c r="W80" s="86">
        <f ca="1">IFERROR(__xludf.DUMMYFUNCTION("IMPORTRANGE(""https://docs.google.com/spreadsheets/d/1IwnW3-jjRf74MCLW-6PiFwMUffRQXZwZA7YM609NmRc/edit?usp=sharing"",""ปัตตานี!J144"")"),0)</f>
        <v>0</v>
      </c>
      <c r="X80" s="87">
        <f t="shared" ca="1" si="26"/>
        <v>0</v>
      </c>
      <c r="Y80" s="86">
        <f ca="1">IFERROR(__xludf.DUMMYFUNCTION("IMPORTRANGE(""https://docs.google.com/spreadsheets/d/1IwnW3-jjRf74MCLW-6PiFwMUffRQXZwZA7YM609NmRc/edit?usp=sharing"",""ปัตตานี!I145"")"),0)</f>
        <v>0</v>
      </c>
      <c r="Z80" s="86">
        <f ca="1">IFERROR(__xludf.DUMMYFUNCTION("IMPORTRANGE(""https://docs.google.com/spreadsheets/d/1IwnW3-jjRf74MCLW-6PiFwMUffRQXZwZA7YM609NmRc/edit?usp=sharing"",""ปัตตานี!J145"")"),0)</f>
        <v>0</v>
      </c>
      <c r="AA80" s="87">
        <f t="shared" ca="1" si="27"/>
        <v>0</v>
      </c>
      <c r="AB80" s="86">
        <f ca="1">IFERROR(__xludf.DUMMYFUNCTION("IMPORTRANGE(""https://docs.google.com/spreadsheets/d/1IwnW3-jjRf74MCLW-6PiFwMUffRQXZwZA7YM609NmRc/edit?usp=sharing"",""ปัตตานี!I146"")"),0)</f>
        <v>0</v>
      </c>
      <c r="AC80" s="86">
        <f ca="1">IFERROR(__xludf.DUMMYFUNCTION("IMPORTRANGE(""https://docs.google.com/spreadsheets/d/1IwnW3-jjRf74MCLW-6PiFwMUffRQXZwZA7YM609NmRc/edit?usp=sharing"",""ปัตตานี!J146"")"),0)</f>
        <v>0</v>
      </c>
      <c r="AD80" s="87">
        <f t="shared" ca="1" si="28"/>
        <v>0</v>
      </c>
    </row>
    <row r="81" spans="1:30" ht="21" customHeight="1" x14ac:dyDescent="0.2">
      <c r="A81" s="78">
        <v>7</v>
      </c>
      <c r="B81" s="79" t="s">
        <v>103</v>
      </c>
      <c r="C81" s="80">
        <f t="shared" ca="1" si="0"/>
        <v>0</v>
      </c>
      <c r="D81" s="81">
        <f t="shared" ca="1" si="53"/>
        <v>0</v>
      </c>
      <c r="E81" s="82">
        <f ca="1">IFERROR(__xludf.DUMMYFUNCTION("IMPORTRANGE(""https://docs.google.com/spreadsheets/d/1MeEWN-I1oV_STSDYn1IFDPWt_1FKiwhDph83XaGc0o0/edit?usp=sharing"",""งบพรบ!BL81"")"),0)</f>
        <v>0</v>
      </c>
      <c r="F81" s="82">
        <f ca="1">IFERROR(__xludf.DUMMYFUNCTION("IMPORTRANGE(""https://docs.google.com/spreadsheets/d/1MeEWN-I1oV_STSDYn1IFDPWt_1FKiwhDph83XaGc0o0/edit?usp=sharing"",""งบพรบ!BM81"")"),0)</f>
        <v>0</v>
      </c>
      <c r="G81" s="82">
        <f ca="1">IFERROR(__xludf.DUMMYFUNCTION("IMPORTRANGE(""https://docs.google.com/spreadsheets/d/1MeEWN-I1oV_STSDYn1IFDPWt_1FKiwhDph83XaGc0o0/edit?usp=sharing"",""งบพรบ!BN81"")"),0)</f>
        <v>0</v>
      </c>
      <c r="H81" s="82">
        <f ca="1">IFERROR(__xludf.DUMMYFUNCTION("IMPORTRANGE(""https://docs.google.com/spreadsheets/d/1MeEWN-I1oV_STSDYn1IFDPWt_1FKiwhDph83XaGc0o0/edit?usp=sharing"",""งบพรบ!BP81"")"),0)</f>
        <v>0</v>
      </c>
      <c r="I81" s="82">
        <f ca="1">IFERROR(__xludf.DUMMYFUNCTION("IMPORTRANGE(""https://docs.google.com/spreadsheets/d/1MeEWN-I1oV_STSDYn1IFDPWt_1FKiwhDph83XaGc0o0/edit?usp=sharing"",""งบพรบ!BQ81"")"),0)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IFERROR(__xludf.DUMMYFUNCTION("IMPORTRANGE(""https://docs.google.com/spreadsheets/d/1MeEWN-I1oV_STSDYn1IFDPWt_1FKiwhDph83XaGc0o0/edit?usp=sharing"",""งบพรบ!BR81"")"),0)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IFERROR(__xludf.DUMMYFUNCTION("IMPORTRANGE(""https://docs.google.com/spreadsheets/d/1MeEWN-I1oV_STSDYn1IFDPWt_1FKiwhDph83XaGc0o0/edit?usp=sharing"",""งบพรบ!BS81"")"),0)</f>
        <v>0</v>
      </c>
      <c r="P81" s="85">
        <f t="shared" ca="1" si="30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IFERROR(__xludf.DUMMYFUNCTION("IMPORTRANGE(""https://docs.google.com/spreadsheets/d/1vl4QWbWdFruual5o_wdo6ZSqXZ_it806oja4CctTLKs/edit?usp=sharing"",""พังงา!J142"")"),0)</f>
        <v>0</v>
      </c>
      <c r="S81" s="86">
        <f ca="1">IFERROR(__xludf.DUMMYFUNCTION("IMPORTRANGE(""https://docs.google.com/spreadsheets/d/1vl4QWbWdFruual5o_wdo6ZSqXZ_it806oja4CctTLKs/edit?usp=sharing"",""พังงา!I143"")"),0)</f>
        <v>0</v>
      </c>
      <c r="T81" s="86">
        <f ca="1">IFERROR(__xludf.DUMMYFUNCTION("IMPORTRANGE(""https://docs.google.com/spreadsheets/d/1vl4QWbWdFruual5o_wdo6ZSqXZ_it806oja4CctTLKs/edit?usp=sharing"",""พังงา!J143"")"),0)</f>
        <v>0</v>
      </c>
      <c r="U81" s="87">
        <f t="shared" ca="1" si="25"/>
        <v>0</v>
      </c>
      <c r="V81" s="86">
        <f ca="1">IFERROR(__xludf.DUMMYFUNCTION("IMPORTRANGE(""https://docs.google.com/spreadsheets/d/1vl4QWbWdFruual5o_wdo6ZSqXZ_it806oja4CctTLKs/edit?usp=sharing"",""พังงา!I144"")"),0)</f>
        <v>0</v>
      </c>
      <c r="W81" s="86">
        <f ca="1">IFERROR(__xludf.DUMMYFUNCTION("IMPORTRANGE(""https://docs.google.com/spreadsheets/d/1vl4QWbWdFruual5o_wdo6ZSqXZ_it806oja4CctTLKs/edit?usp=sharing"",""พังงา!J144"")"),0)</f>
        <v>0</v>
      </c>
      <c r="X81" s="87">
        <f t="shared" ca="1" si="26"/>
        <v>0</v>
      </c>
      <c r="Y81" s="86">
        <f ca="1">IFERROR(__xludf.DUMMYFUNCTION("IMPORTRANGE(""https://docs.google.com/spreadsheets/d/1vl4QWbWdFruual5o_wdo6ZSqXZ_it806oja4CctTLKs/edit?usp=sharing"",""พังงา!I145"")"),0)</f>
        <v>0</v>
      </c>
      <c r="Z81" s="86">
        <f ca="1">IFERROR(__xludf.DUMMYFUNCTION("IMPORTRANGE(""https://docs.google.com/spreadsheets/d/1vl4QWbWdFruual5o_wdo6ZSqXZ_it806oja4CctTLKs/edit?usp=sharing"",""พังงา!J145"")"),0)</f>
        <v>0</v>
      </c>
      <c r="AA81" s="87">
        <f t="shared" ca="1" si="27"/>
        <v>0</v>
      </c>
      <c r="AB81" s="86">
        <f ca="1">IFERROR(__xludf.DUMMYFUNCTION("IMPORTRANGE(""https://docs.google.com/spreadsheets/d/1vl4QWbWdFruual5o_wdo6ZSqXZ_it806oja4CctTLKs/edit?usp=sharing"",""พังงา!I146"")"),0)</f>
        <v>0</v>
      </c>
      <c r="AC81" s="86">
        <f ca="1">IFERROR(__xludf.DUMMYFUNCTION("IMPORTRANGE(""https://docs.google.com/spreadsheets/d/1vl4QWbWdFruual5o_wdo6ZSqXZ_it806oja4CctTLKs/edit?usp=sharing"",""พังงา!J146"")"),0)</f>
        <v>0</v>
      </c>
      <c r="AD81" s="87">
        <f t="shared" ca="1" si="28"/>
        <v>0</v>
      </c>
    </row>
    <row r="82" spans="1:30" ht="21" customHeight="1" x14ac:dyDescent="0.2">
      <c r="A82" s="78">
        <v>8</v>
      </c>
      <c r="B82" s="79" t="s">
        <v>104</v>
      </c>
      <c r="C82" s="80">
        <f t="shared" ca="1" si="0"/>
        <v>454965</v>
      </c>
      <c r="D82" s="81">
        <f t="shared" ca="1" si="53"/>
        <v>145965</v>
      </c>
      <c r="E82" s="82">
        <f ca="1">IFERROR(__xludf.DUMMYFUNCTION("IMPORTRANGE(""https://docs.google.com/spreadsheets/d/1MeEWN-I1oV_STSDYn1IFDPWt_1FKiwhDph83XaGc0o0/edit?usp=sharing"",""งบพรบ!BL82"")"),0)</f>
        <v>0</v>
      </c>
      <c r="F82" s="82">
        <f ca="1">IFERROR(__xludf.DUMMYFUNCTION("IMPORTRANGE(""https://docs.google.com/spreadsheets/d/1MeEWN-I1oV_STSDYn1IFDPWt_1FKiwhDph83XaGc0o0/edit?usp=sharing"",""งบพรบ!BM82"")"),145965)</f>
        <v>145965</v>
      </c>
      <c r="G82" s="82">
        <f ca="1">IFERROR(__xludf.DUMMYFUNCTION("IMPORTRANGE(""https://docs.google.com/spreadsheets/d/1MeEWN-I1oV_STSDYn1IFDPWt_1FKiwhDph83XaGc0o0/edit?usp=sharing"",""งบพรบ!BN82"")"),309000)</f>
        <v>309000</v>
      </c>
      <c r="H82" s="82">
        <f ca="1">IFERROR(__xludf.DUMMYFUNCTION("IMPORTRANGE(""https://docs.google.com/spreadsheets/d/1MeEWN-I1oV_STSDYn1IFDPWt_1FKiwhDph83XaGc0o0/edit?usp=sharing"",""งบพรบ!BP82"")"),91800)</f>
        <v>91800</v>
      </c>
      <c r="I82" s="82">
        <f ca="1">IFERROR(__xludf.DUMMYFUNCTION("IMPORTRANGE(""https://docs.google.com/spreadsheets/d/1MeEWN-I1oV_STSDYn1IFDPWt_1FKiwhDph83XaGc0o0/edit?usp=sharing"",""งบพรบ!BQ82"")"),309000)</f>
        <v>309000</v>
      </c>
      <c r="J82" s="82">
        <f t="shared" ca="1" si="3"/>
        <v>374060</v>
      </c>
      <c r="K82" s="83">
        <f t="shared" ca="1" si="4"/>
        <v>82.217313419713605</v>
      </c>
      <c r="L82" s="82">
        <f ca="1">IFERROR(__xludf.DUMMYFUNCTION("IMPORTRANGE(""https://docs.google.com/spreadsheets/d/1MeEWN-I1oV_STSDYn1IFDPWt_1FKiwhDph83XaGc0o0/edit?usp=sharing"",""งบพรบ!BR82"")"),65060)</f>
        <v>65060</v>
      </c>
      <c r="M82" s="84">
        <f t="shared" ca="1" si="5"/>
        <v>44.572328982975371</v>
      </c>
      <c r="N82" s="84">
        <f t="shared" ca="1" si="6"/>
        <v>70.871459694989113</v>
      </c>
      <c r="O82" s="85">
        <f ca="1">IFERROR(__xludf.DUMMYFUNCTION("IMPORTRANGE(""https://docs.google.com/spreadsheets/d/1MeEWN-I1oV_STSDYn1IFDPWt_1FKiwhDph83XaGc0o0/edit?usp=sharing"",""งบพรบ!BS82"")"),309000)</f>
        <v>309000</v>
      </c>
      <c r="P82" s="85">
        <f t="shared" ca="1" si="30"/>
        <v>100</v>
      </c>
      <c r="Q82" s="84">
        <f t="shared" ca="1" si="8"/>
        <v>100</v>
      </c>
      <c r="R82" s="86">
        <f ca="1">IFERROR(__xludf.DUMMYFUNCTION("IMPORTRANGE(""https://docs.google.com/spreadsheets/d/1b6QssHQp2FoAPSMKHOy273KNzAomaIKhtdlvuZ_zDNE/edit?usp=sharing"",""พัทลุง!J142"")"),0)</f>
        <v>0</v>
      </c>
      <c r="S82" s="86">
        <f ca="1">IFERROR(__xludf.DUMMYFUNCTION("IMPORTRANGE(""https://docs.google.com/spreadsheets/d/1b6QssHQp2FoAPSMKHOy273KNzAomaIKhtdlvuZ_zDNE/edit?usp=sharing"",""พัทลุง!I143"")"),30)</f>
        <v>30</v>
      </c>
      <c r="T82" s="86">
        <f ca="1">IFERROR(__xludf.DUMMYFUNCTION("IMPORTRANGE(""https://docs.google.com/spreadsheets/d/1b6QssHQp2FoAPSMKHOy273KNzAomaIKhtdlvuZ_zDNE/edit?usp=sharing"",""พัทลุง!J143"")"),0)</f>
        <v>0</v>
      </c>
      <c r="U82" s="87">
        <f t="shared" ca="1" si="25"/>
        <v>0</v>
      </c>
      <c r="V82" s="86">
        <f ca="1">IFERROR(__xludf.DUMMYFUNCTION("IMPORTRANGE(""https://docs.google.com/spreadsheets/d/1b6QssHQp2FoAPSMKHOy273KNzAomaIKhtdlvuZ_zDNE/edit?usp=sharing"",""พัทลุง!I144"")"),15)</f>
        <v>15</v>
      </c>
      <c r="W82" s="86">
        <f ca="1">IFERROR(__xludf.DUMMYFUNCTION("IMPORTRANGE(""https://docs.google.com/spreadsheets/d/1b6QssHQp2FoAPSMKHOy273KNzAomaIKhtdlvuZ_zDNE/edit?usp=sharing"",""พัทลุง!J144"")"),0)</f>
        <v>0</v>
      </c>
      <c r="X82" s="87">
        <f t="shared" ca="1" si="26"/>
        <v>0</v>
      </c>
      <c r="Y82" s="86">
        <f ca="1">IFERROR(__xludf.DUMMYFUNCTION("IMPORTRANGE(""https://docs.google.com/spreadsheets/d/1b6QssHQp2FoAPSMKHOy273KNzAomaIKhtdlvuZ_zDNE/edit?usp=sharing"",""พัทลุง!I145"")"),30)</f>
        <v>30</v>
      </c>
      <c r="Z82" s="86">
        <f ca="1">IFERROR(__xludf.DUMMYFUNCTION("IMPORTRANGE(""https://docs.google.com/spreadsheets/d/1b6QssHQp2FoAPSMKHOy273KNzAomaIKhtdlvuZ_zDNE/edit?usp=sharing"",""พัทลุง!J145"")"),30)</f>
        <v>30</v>
      </c>
      <c r="AA82" s="87">
        <f t="shared" ca="1" si="27"/>
        <v>100</v>
      </c>
      <c r="AB82" s="86">
        <f ca="1">IFERROR(__xludf.DUMMYFUNCTION("IMPORTRANGE(""https://docs.google.com/spreadsheets/d/1b6QssHQp2FoAPSMKHOy273KNzAomaIKhtdlvuZ_zDNE/edit?usp=sharing"",""พัทลุง!I146"")"),3)</f>
        <v>3</v>
      </c>
      <c r="AC82" s="86">
        <f ca="1">IFERROR(__xludf.DUMMYFUNCTION("IMPORTRANGE(""https://docs.google.com/spreadsheets/d/1b6QssHQp2FoAPSMKHOy273KNzAomaIKhtdlvuZ_zDNE/edit?usp=sharing"",""พัทลุง!J146"")"),0)</f>
        <v>0</v>
      </c>
      <c r="AD82" s="87">
        <f t="shared" ca="1" si="28"/>
        <v>0</v>
      </c>
    </row>
    <row r="83" spans="1:30" ht="21" customHeight="1" x14ac:dyDescent="0.2">
      <c r="A83" s="78">
        <v>9</v>
      </c>
      <c r="B83" s="79" t="s">
        <v>105</v>
      </c>
      <c r="C83" s="80">
        <f t="shared" ca="1" si="0"/>
        <v>0</v>
      </c>
      <c r="D83" s="81">
        <f t="shared" ca="1" si="53"/>
        <v>0</v>
      </c>
      <c r="E83" s="82">
        <f ca="1">IFERROR(__xludf.DUMMYFUNCTION("IMPORTRANGE(""https://docs.google.com/spreadsheets/d/1MeEWN-I1oV_STSDYn1IFDPWt_1FKiwhDph83XaGc0o0/edit?usp=sharing"",""งบพรบ!BL83"")"),0)</f>
        <v>0</v>
      </c>
      <c r="F83" s="82">
        <f ca="1">IFERROR(__xludf.DUMMYFUNCTION("IMPORTRANGE(""https://docs.google.com/spreadsheets/d/1MeEWN-I1oV_STSDYn1IFDPWt_1FKiwhDph83XaGc0o0/edit?usp=sharing"",""งบพรบ!BM83"")"),0)</f>
        <v>0</v>
      </c>
      <c r="G83" s="82">
        <f ca="1">IFERROR(__xludf.DUMMYFUNCTION("IMPORTRANGE(""https://docs.google.com/spreadsheets/d/1MeEWN-I1oV_STSDYn1IFDPWt_1FKiwhDph83XaGc0o0/edit?usp=sharing"",""งบพรบ!BN83"")"),0)</f>
        <v>0</v>
      </c>
      <c r="H83" s="82">
        <f ca="1">IFERROR(__xludf.DUMMYFUNCTION("IMPORTRANGE(""https://docs.google.com/spreadsheets/d/1MeEWN-I1oV_STSDYn1IFDPWt_1FKiwhDph83XaGc0o0/edit?usp=sharing"",""งบพรบ!BP83"")"),0)</f>
        <v>0</v>
      </c>
      <c r="I83" s="82">
        <f ca="1">IFERROR(__xludf.DUMMYFUNCTION("IMPORTRANGE(""https://docs.google.com/spreadsheets/d/1MeEWN-I1oV_STSDYn1IFDPWt_1FKiwhDph83XaGc0o0/edit?usp=sharing"",""งบพรบ!BQ83"")"),0)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IFERROR(__xludf.DUMMYFUNCTION("IMPORTRANGE(""https://docs.google.com/spreadsheets/d/1MeEWN-I1oV_STSDYn1IFDPWt_1FKiwhDph83XaGc0o0/edit?usp=sharing"",""งบพรบ!BR83"")"),0)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IFERROR(__xludf.DUMMYFUNCTION("IMPORTRANGE(""https://docs.google.com/spreadsheets/d/1MeEWN-I1oV_STSDYn1IFDPWt_1FKiwhDph83XaGc0o0/edit?usp=sharing"",""งบพรบ!BS83"")"),0)</f>
        <v>0</v>
      </c>
      <c r="P83" s="85">
        <f t="shared" ca="1" si="30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IFERROR(__xludf.DUMMYFUNCTION("IMPORTRANGE(""https://docs.google.com/spreadsheets/d/1o7UZe4_OqlqtLDHrj01Z2YFRSZDf1DMy1n3XViHaxRc/edit?usp=sharing"",""ภูเก็ต!J142"")"),0)</f>
        <v>0</v>
      </c>
      <c r="S83" s="86">
        <f ca="1">IFERROR(__xludf.DUMMYFUNCTION("IMPORTRANGE(""https://docs.google.com/spreadsheets/d/1o7UZe4_OqlqtLDHrj01Z2YFRSZDf1DMy1n3XViHaxRc/edit?usp=sharing"",""ภูเก็ต!I143"")"),0)</f>
        <v>0</v>
      </c>
      <c r="T83" s="86">
        <f ca="1">IFERROR(__xludf.DUMMYFUNCTION("IMPORTRANGE(""https://docs.google.com/spreadsheets/d/1o7UZe4_OqlqtLDHrj01Z2YFRSZDf1DMy1n3XViHaxRc/edit?usp=sharing"",""ภูเก็ต!J143"")"),0)</f>
        <v>0</v>
      </c>
      <c r="U83" s="87">
        <f t="shared" ca="1" si="25"/>
        <v>0</v>
      </c>
      <c r="V83" s="86">
        <f ca="1">IFERROR(__xludf.DUMMYFUNCTION("IMPORTRANGE(""https://docs.google.com/spreadsheets/d/1o7UZe4_OqlqtLDHrj01Z2YFRSZDf1DMy1n3XViHaxRc/edit?usp=sharing"",""ภูเก็ต!I144"")"),0)</f>
        <v>0</v>
      </c>
      <c r="W83" s="86">
        <f ca="1">IFERROR(__xludf.DUMMYFUNCTION("IMPORTRANGE(""https://docs.google.com/spreadsheets/d/1o7UZe4_OqlqtLDHrj01Z2YFRSZDf1DMy1n3XViHaxRc/edit?usp=sharing"",""ภูเก็ต!J144"")"),0)</f>
        <v>0</v>
      </c>
      <c r="X83" s="87">
        <f t="shared" ca="1" si="26"/>
        <v>0</v>
      </c>
      <c r="Y83" s="86">
        <f ca="1">IFERROR(__xludf.DUMMYFUNCTION("IMPORTRANGE(""https://docs.google.com/spreadsheets/d/1o7UZe4_OqlqtLDHrj01Z2YFRSZDf1DMy1n3XViHaxRc/edit?usp=sharing"",""ภูเก็ต!I145"")"),0)</f>
        <v>0</v>
      </c>
      <c r="Z83" s="86">
        <f ca="1">IFERROR(__xludf.DUMMYFUNCTION("IMPORTRANGE(""https://docs.google.com/spreadsheets/d/1o7UZe4_OqlqtLDHrj01Z2YFRSZDf1DMy1n3XViHaxRc/edit?usp=sharing"",""ภูเก็ต!J145"")"),0)</f>
        <v>0</v>
      </c>
      <c r="AA83" s="87">
        <f t="shared" ca="1" si="27"/>
        <v>0</v>
      </c>
      <c r="AB83" s="86">
        <f ca="1">IFERROR(__xludf.DUMMYFUNCTION("IMPORTRANGE(""https://docs.google.com/spreadsheets/d/1o7UZe4_OqlqtLDHrj01Z2YFRSZDf1DMy1n3XViHaxRc/edit?usp=sharing"",""ภูเก็ต!I146"")"),0)</f>
        <v>0</v>
      </c>
      <c r="AC83" s="86">
        <f ca="1">IFERROR(__xludf.DUMMYFUNCTION("IMPORTRANGE(""https://docs.google.com/spreadsheets/d/1o7UZe4_OqlqtLDHrj01Z2YFRSZDf1DMy1n3XViHaxRc/edit?usp=sharing"",""ภูเก็ต!J146"")"),0)</f>
        <v>0</v>
      </c>
      <c r="AD83" s="87">
        <f t="shared" ca="1" si="28"/>
        <v>0</v>
      </c>
    </row>
    <row r="84" spans="1:30" ht="21" customHeight="1" x14ac:dyDescent="0.2">
      <c r="A84" s="78">
        <v>10</v>
      </c>
      <c r="B84" s="79" t="s">
        <v>106</v>
      </c>
      <c r="C84" s="80">
        <f t="shared" ca="1" si="0"/>
        <v>0</v>
      </c>
      <c r="D84" s="81">
        <f t="shared" ca="1" si="53"/>
        <v>0</v>
      </c>
      <c r="E84" s="82">
        <f ca="1">IFERROR(__xludf.DUMMYFUNCTION("IMPORTRANGE(""https://docs.google.com/spreadsheets/d/1MeEWN-I1oV_STSDYn1IFDPWt_1FKiwhDph83XaGc0o0/edit?usp=sharing"",""งบพรบ!BL84"")"),0)</f>
        <v>0</v>
      </c>
      <c r="F84" s="82">
        <f ca="1">IFERROR(__xludf.DUMMYFUNCTION("IMPORTRANGE(""https://docs.google.com/spreadsheets/d/1MeEWN-I1oV_STSDYn1IFDPWt_1FKiwhDph83XaGc0o0/edit?usp=sharing"",""งบพรบ!BM84"")"),0)</f>
        <v>0</v>
      </c>
      <c r="G84" s="82">
        <f ca="1">IFERROR(__xludf.DUMMYFUNCTION("IMPORTRANGE(""https://docs.google.com/spreadsheets/d/1MeEWN-I1oV_STSDYn1IFDPWt_1FKiwhDph83XaGc0o0/edit?usp=sharing"",""งบพรบ!BN84"")"),0)</f>
        <v>0</v>
      </c>
      <c r="H84" s="82">
        <f ca="1">IFERROR(__xludf.DUMMYFUNCTION("IMPORTRANGE(""https://docs.google.com/spreadsheets/d/1MeEWN-I1oV_STSDYn1IFDPWt_1FKiwhDph83XaGc0o0/edit?usp=sharing"",""งบพรบ!BP84"")"),0)</f>
        <v>0</v>
      </c>
      <c r="I84" s="82">
        <f ca="1">IFERROR(__xludf.DUMMYFUNCTION("IMPORTRANGE(""https://docs.google.com/spreadsheets/d/1MeEWN-I1oV_STSDYn1IFDPWt_1FKiwhDph83XaGc0o0/edit?usp=sharing"",""งบพรบ!BQ84"")"),0)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IFERROR(__xludf.DUMMYFUNCTION("IMPORTRANGE(""https://docs.google.com/spreadsheets/d/1MeEWN-I1oV_STSDYn1IFDPWt_1FKiwhDph83XaGc0o0/edit?usp=sharing"",""งบพรบ!BR84"")"),0)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IFERROR(__xludf.DUMMYFUNCTION("IMPORTRANGE(""https://docs.google.com/spreadsheets/d/1MeEWN-I1oV_STSDYn1IFDPWt_1FKiwhDph83XaGc0o0/edit?usp=sharing"",""งบพรบ!BS84"")"),0)</f>
        <v>0</v>
      </c>
      <c r="P84" s="85">
        <f t="shared" ca="1" si="30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IFERROR(__xludf.DUMMYFUNCTION("IMPORTRANGE(""https://docs.google.com/spreadsheets/d/1ctPm1vUzcUCPuOj9-eoHUD85PqINFqUB0TjdSWmR5-c/edit?usp=sharing"",""ยะลา!J142"")"),0)</f>
        <v>0</v>
      </c>
      <c r="S84" s="86">
        <f ca="1">IFERROR(__xludf.DUMMYFUNCTION("IMPORTRANGE(""https://docs.google.com/spreadsheets/d/1ctPm1vUzcUCPuOj9-eoHUD85PqINFqUB0TjdSWmR5-c/edit?usp=sharing"",""ยะลา!I143"")"),0)</f>
        <v>0</v>
      </c>
      <c r="T84" s="86">
        <f ca="1">IFERROR(__xludf.DUMMYFUNCTION("IMPORTRANGE(""https://docs.google.com/spreadsheets/d/1ctPm1vUzcUCPuOj9-eoHUD85PqINFqUB0TjdSWmR5-c/edit?usp=sharing"",""ยะลา!J143"")"),0)</f>
        <v>0</v>
      </c>
      <c r="U84" s="87">
        <f t="shared" ca="1" si="25"/>
        <v>0</v>
      </c>
      <c r="V84" s="86">
        <f ca="1">IFERROR(__xludf.DUMMYFUNCTION("IMPORTRANGE(""https://docs.google.com/spreadsheets/d/1ctPm1vUzcUCPuOj9-eoHUD85PqINFqUB0TjdSWmR5-c/edit?usp=sharing"",""ยะลา!I144"")"),0)</f>
        <v>0</v>
      </c>
      <c r="W84" s="86">
        <f ca="1">IFERROR(__xludf.DUMMYFUNCTION("IMPORTRANGE(""https://docs.google.com/spreadsheets/d/1ctPm1vUzcUCPuOj9-eoHUD85PqINFqUB0TjdSWmR5-c/edit?usp=sharing"",""ยะลา!J144"")"),0)</f>
        <v>0</v>
      </c>
      <c r="X84" s="87">
        <f t="shared" ca="1" si="26"/>
        <v>0</v>
      </c>
      <c r="Y84" s="86">
        <f ca="1">IFERROR(__xludf.DUMMYFUNCTION("IMPORTRANGE(""https://docs.google.com/spreadsheets/d/1ctPm1vUzcUCPuOj9-eoHUD85PqINFqUB0TjdSWmR5-c/edit?usp=sharing"",""ยะลา!I145"")"),0)</f>
        <v>0</v>
      </c>
      <c r="Z84" s="86">
        <f ca="1">IFERROR(__xludf.DUMMYFUNCTION("IMPORTRANGE(""https://docs.google.com/spreadsheets/d/1ctPm1vUzcUCPuOj9-eoHUD85PqINFqUB0TjdSWmR5-c/edit?usp=sharing"",""ยะลา!J145"")"),0)</f>
        <v>0</v>
      </c>
      <c r="AA84" s="87">
        <f t="shared" ca="1" si="27"/>
        <v>0</v>
      </c>
      <c r="AB84" s="86">
        <f ca="1">IFERROR(__xludf.DUMMYFUNCTION("IMPORTRANGE(""https://docs.google.com/spreadsheets/d/1ctPm1vUzcUCPuOj9-eoHUD85PqINFqUB0TjdSWmR5-c/edit?usp=sharing"",""ยะลา!I146"")"),0)</f>
        <v>0</v>
      </c>
      <c r="AC84" s="86">
        <f ca="1">IFERROR(__xludf.DUMMYFUNCTION("IMPORTRANGE(""https://docs.google.com/spreadsheets/d/1ctPm1vUzcUCPuOj9-eoHUD85PqINFqUB0TjdSWmR5-c/edit?usp=sharing"",""ยะลา!J146"")"),0)</f>
        <v>0</v>
      </c>
      <c r="AD84" s="87">
        <f t="shared" ca="1" si="28"/>
        <v>0</v>
      </c>
    </row>
    <row r="85" spans="1:30" ht="21" customHeight="1" x14ac:dyDescent="0.2">
      <c r="A85" s="78">
        <v>11</v>
      </c>
      <c r="B85" s="79" t="s">
        <v>107</v>
      </c>
      <c r="C85" s="80">
        <f t="shared" ca="1" si="0"/>
        <v>0</v>
      </c>
      <c r="D85" s="81">
        <f t="shared" ca="1" si="53"/>
        <v>0</v>
      </c>
      <c r="E85" s="82">
        <f ca="1">IFERROR(__xludf.DUMMYFUNCTION("IMPORTRANGE(""https://docs.google.com/spreadsheets/d/1MeEWN-I1oV_STSDYn1IFDPWt_1FKiwhDph83XaGc0o0/edit?usp=sharing"",""งบพรบ!BL85"")"),0)</f>
        <v>0</v>
      </c>
      <c r="F85" s="82">
        <f ca="1">IFERROR(__xludf.DUMMYFUNCTION("IMPORTRANGE(""https://docs.google.com/spreadsheets/d/1MeEWN-I1oV_STSDYn1IFDPWt_1FKiwhDph83XaGc0o0/edit?usp=sharing"",""งบพรบ!BM85"")"),0)</f>
        <v>0</v>
      </c>
      <c r="G85" s="82">
        <f ca="1">IFERROR(__xludf.DUMMYFUNCTION("IMPORTRANGE(""https://docs.google.com/spreadsheets/d/1MeEWN-I1oV_STSDYn1IFDPWt_1FKiwhDph83XaGc0o0/edit?usp=sharing"",""งบพรบ!BN85"")"),0)</f>
        <v>0</v>
      </c>
      <c r="H85" s="82">
        <f ca="1">IFERROR(__xludf.DUMMYFUNCTION("IMPORTRANGE(""https://docs.google.com/spreadsheets/d/1MeEWN-I1oV_STSDYn1IFDPWt_1FKiwhDph83XaGc0o0/edit?usp=sharing"",""งบพรบ!BP85"")"),0)</f>
        <v>0</v>
      </c>
      <c r="I85" s="82">
        <f ca="1">IFERROR(__xludf.DUMMYFUNCTION("IMPORTRANGE(""https://docs.google.com/spreadsheets/d/1MeEWN-I1oV_STSDYn1IFDPWt_1FKiwhDph83XaGc0o0/edit?usp=sharing"",""งบพรบ!BQ85"")"),0)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IFERROR(__xludf.DUMMYFUNCTION("IMPORTRANGE(""https://docs.google.com/spreadsheets/d/1MeEWN-I1oV_STSDYn1IFDPWt_1FKiwhDph83XaGc0o0/edit?usp=sharing"",""งบพรบ!BR85"")"),0)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IFERROR(__xludf.DUMMYFUNCTION("IMPORTRANGE(""https://docs.google.com/spreadsheets/d/1MeEWN-I1oV_STSDYn1IFDPWt_1FKiwhDph83XaGc0o0/edit?usp=sharing"",""งบพรบ!BS85"")"),0)</f>
        <v>0</v>
      </c>
      <c r="P85" s="85">
        <f t="shared" ca="1" si="30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IFERROR(__xludf.DUMMYFUNCTION("IMPORTRANGE(""https://docs.google.com/spreadsheets/d/1YiDIE7Klmt8osgdapRqYWNr7iPGFSsiJqq46S7PYRE0/edit?usp=sharing"",""ระนอง!J142"")"),0)</f>
        <v>0</v>
      </c>
      <c r="S85" s="86">
        <f ca="1">IFERROR(__xludf.DUMMYFUNCTION("IMPORTRANGE(""https://docs.google.com/spreadsheets/d/1YiDIE7Klmt8osgdapRqYWNr7iPGFSsiJqq46S7PYRE0/edit?usp=sharing"",""ระนอง!I143"")"),0)</f>
        <v>0</v>
      </c>
      <c r="T85" s="86">
        <f ca="1">IFERROR(__xludf.DUMMYFUNCTION("IMPORTRANGE(""https://docs.google.com/spreadsheets/d/1YiDIE7Klmt8osgdapRqYWNr7iPGFSsiJqq46S7PYRE0/edit?usp=sharing"",""ระนอง!J143"")"),0)</f>
        <v>0</v>
      </c>
      <c r="U85" s="87">
        <f t="shared" ca="1" si="25"/>
        <v>0</v>
      </c>
      <c r="V85" s="86">
        <f ca="1">IFERROR(__xludf.DUMMYFUNCTION("IMPORTRANGE(""https://docs.google.com/spreadsheets/d/1YiDIE7Klmt8osgdapRqYWNr7iPGFSsiJqq46S7PYRE0/edit?usp=sharing"",""ระนอง!I144"")"),0)</f>
        <v>0</v>
      </c>
      <c r="W85" s="86">
        <f ca="1">IFERROR(__xludf.DUMMYFUNCTION("IMPORTRANGE(""https://docs.google.com/spreadsheets/d/1YiDIE7Klmt8osgdapRqYWNr7iPGFSsiJqq46S7PYRE0/edit?usp=sharing"",""ระนอง!J144"")"),0)</f>
        <v>0</v>
      </c>
      <c r="X85" s="87">
        <f t="shared" ca="1" si="26"/>
        <v>0</v>
      </c>
      <c r="Y85" s="86">
        <f ca="1">IFERROR(__xludf.DUMMYFUNCTION("IMPORTRANGE(""https://docs.google.com/spreadsheets/d/1YiDIE7Klmt8osgdapRqYWNr7iPGFSsiJqq46S7PYRE0/edit?usp=sharing"",""ระนอง!I145"")"),0)</f>
        <v>0</v>
      </c>
      <c r="Z85" s="86">
        <f ca="1">IFERROR(__xludf.DUMMYFUNCTION("IMPORTRANGE(""https://docs.google.com/spreadsheets/d/1YiDIE7Klmt8osgdapRqYWNr7iPGFSsiJqq46S7PYRE0/edit?usp=sharing"",""ระนอง!J145"")"),0)</f>
        <v>0</v>
      </c>
      <c r="AA85" s="87">
        <f t="shared" ca="1" si="27"/>
        <v>0</v>
      </c>
      <c r="AB85" s="86">
        <f ca="1">IFERROR(__xludf.DUMMYFUNCTION("IMPORTRANGE(""https://docs.google.com/spreadsheets/d/1YiDIE7Klmt8osgdapRqYWNr7iPGFSsiJqq46S7PYRE0/edit?usp=sharing"",""ระนอง!I146"")"),0)</f>
        <v>0</v>
      </c>
      <c r="AC85" s="86">
        <f ca="1">IFERROR(__xludf.DUMMYFUNCTION("IMPORTRANGE(""https://docs.google.com/spreadsheets/d/1YiDIE7Klmt8osgdapRqYWNr7iPGFSsiJqq46S7PYRE0/edit?usp=sharing"",""ระนอง!J146"")"),0)</f>
        <v>0</v>
      </c>
      <c r="AD85" s="87">
        <f t="shared" ca="1" si="28"/>
        <v>0</v>
      </c>
    </row>
    <row r="86" spans="1:30" ht="24" customHeight="1" x14ac:dyDescent="0.2">
      <c r="A86" s="78">
        <v>12</v>
      </c>
      <c r="B86" s="79" t="s">
        <v>108</v>
      </c>
      <c r="C86" s="80">
        <f t="shared" ca="1" si="0"/>
        <v>543555</v>
      </c>
      <c r="D86" s="81">
        <f t="shared" ca="1" si="53"/>
        <v>440555</v>
      </c>
      <c r="E86" s="82">
        <f ca="1">IFERROR(__xludf.DUMMYFUNCTION("IMPORTRANGE(""https://docs.google.com/spreadsheets/d/1MeEWN-I1oV_STSDYn1IFDPWt_1FKiwhDph83XaGc0o0/edit?usp=sharing"",""งบพรบ!BL86"")"),391900)</f>
        <v>391900</v>
      </c>
      <c r="F86" s="82">
        <f ca="1">IFERROR(__xludf.DUMMYFUNCTION("IMPORTRANGE(""https://docs.google.com/spreadsheets/d/1MeEWN-I1oV_STSDYn1IFDPWt_1FKiwhDph83XaGc0o0/edit?usp=sharing"",""งบพรบ!BM86"")"),48655)</f>
        <v>48655</v>
      </c>
      <c r="G86" s="82">
        <f ca="1">IFERROR(__xludf.DUMMYFUNCTION("IMPORTRANGE(""https://docs.google.com/spreadsheets/d/1MeEWN-I1oV_STSDYn1IFDPWt_1FKiwhDph83XaGc0o0/edit?usp=sharing"",""งบพรบ!BN86"")"),103000)</f>
        <v>103000</v>
      </c>
      <c r="H86" s="82">
        <f ca="1">IFERROR(__xludf.DUMMYFUNCTION("IMPORTRANGE(""https://docs.google.com/spreadsheets/d/1MeEWN-I1oV_STSDYn1IFDPWt_1FKiwhDph83XaGc0o0/edit?usp=sharing"",""งบพรบ!BP86"")"),324550)</f>
        <v>324550</v>
      </c>
      <c r="I86" s="82">
        <f ca="1">IFERROR(__xludf.DUMMYFUNCTION("IMPORTRANGE(""https://docs.google.com/spreadsheets/d/1MeEWN-I1oV_STSDYn1IFDPWt_1FKiwhDph83XaGc0o0/edit?usp=sharing"",""งบพรบ!BQ86"")"),103000)</f>
        <v>103000</v>
      </c>
      <c r="J86" s="82">
        <f t="shared" ca="1" si="3"/>
        <v>231641</v>
      </c>
      <c r="K86" s="83">
        <f t="shared" ca="1" si="4"/>
        <v>42.615926631159681</v>
      </c>
      <c r="L86" s="82">
        <f ca="1">IFERROR(__xludf.DUMMYFUNCTION("IMPORTRANGE(""https://docs.google.com/spreadsheets/d/1MeEWN-I1oV_STSDYn1IFDPWt_1FKiwhDph83XaGc0o0/edit?usp=sharing"",""งบพรบ!BR86"")"),128641)</f>
        <v>128641</v>
      </c>
      <c r="M86" s="84">
        <f t="shared" ca="1" si="5"/>
        <v>29.199759394400246</v>
      </c>
      <c r="N86" s="84">
        <f t="shared" ca="1" si="6"/>
        <v>39.636727776921894</v>
      </c>
      <c r="O86" s="85">
        <f ca="1">IFERROR(__xludf.DUMMYFUNCTION("IMPORTRANGE(""https://docs.google.com/spreadsheets/d/1MeEWN-I1oV_STSDYn1IFDPWt_1FKiwhDph83XaGc0o0/edit?usp=sharing"",""งบพรบ!BS86"")"),103000)</f>
        <v>103000</v>
      </c>
      <c r="P86" s="85">
        <f t="shared" ca="1" si="30"/>
        <v>100</v>
      </c>
      <c r="Q86" s="84">
        <f t="shared" ca="1" si="8"/>
        <v>100</v>
      </c>
      <c r="R86" s="86">
        <f ca="1">IFERROR(__xludf.DUMMYFUNCTION("IMPORTRANGE(""https://docs.google.com/spreadsheets/d/16o_4B-V7AWw_6E93bSpXj_XxVv1oVQctk-B6z1dNEWU/edit?usp=sharing"",""สงขลา!J142"")"),0)</f>
        <v>0</v>
      </c>
      <c r="S86" s="86">
        <f ca="1">IFERROR(__xludf.DUMMYFUNCTION("IMPORTRANGE(""https://docs.google.com/spreadsheets/d/16o_4B-V7AWw_6E93bSpXj_XxVv1oVQctk-B6z1dNEWU/edit?usp=sharing"",""สงขลา!I143"")"),10)</f>
        <v>10</v>
      </c>
      <c r="T86" s="86">
        <f ca="1">IFERROR(__xludf.DUMMYFUNCTION("IMPORTRANGE(""https://docs.google.com/spreadsheets/d/16o_4B-V7AWw_6E93bSpXj_XxVv1oVQctk-B6z1dNEWU/edit?usp=sharing"",""สงขลา!J143"")"),0)</f>
        <v>0</v>
      </c>
      <c r="U86" s="87">
        <f t="shared" ca="1" si="25"/>
        <v>0</v>
      </c>
      <c r="V86" s="86">
        <f ca="1">IFERROR(__xludf.DUMMYFUNCTION("IMPORTRANGE(""https://docs.google.com/spreadsheets/d/16o_4B-V7AWw_6E93bSpXj_XxVv1oVQctk-B6z1dNEWU/edit?usp=sharing"",""สงขลา!I144"")"),5)</f>
        <v>5</v>
      </c>
      <c r="W86" s="86">
        <f ca="1">IFERROR(__xludf.DUMMYFUNCTION("IMPORTRANGE(""https://docs.google.com/spreadsheets/d/16o_4B-V7AWw_6E93bSpXj_XxVv1oVQctk-B6z1dNEWU/edit?usp=sharing"",""สงขลา!J144"")"),0)</f>
        <v>0</v>
      </c>
      <c r="X86" s="87">
        <f t="shared" ca="1" si="26"/>
        <v>0</v>
      </c>
      <c r="Y86" s="86">
        <f ca="1">IFERROR(__xludf.DUMMYFUNCTION("IMPORTRANGE(""https://docs.google.com/spreadsheets/d/16o_4B-V7AWw_6E93bSpXj_XxVv1oVQctk-B6z1dNEWU/edit?usp=sharing"",""สงขลา!I145"")"),10)</f>
        <v>10</v>
      </c>
      <c r="Z86" s="86">
        <f ca="1">IFERROR(__xludf.DUMMYFUNCTION("IMPORTRANGE(""https://docs.google.com/spreadsheets/d/16o_4B-V7AWw_6E93bSpXj_XxVv1oVQctk-B6z1dNEWU/edit?usp=sharing"",""สงขลา!J145"")"),0)</f>
        <v>0</v>
      </c>
      <c r="AA86" s="87">
        <f t="shared" ca="1" si="27"/>
        <v>0</v>
      </c>
      <c r="AB86" s="86">
        <f ca="1">IFERROR(__xludf.DUMMYFUNCTION("IMPORTRANGE(""https://docs.google.com/spreadsheets/d/16o_4B-V7AWw_6E93bSpXj_XxVv1oVQctk-B6z1dNEWU/edit?usp=sharing"",""สงขลา!I146"")"),1)</f>
        <v>1</v>
      </c>
      <c r="AC86" s="86">
        <f ca="1">IFERROR(__xludf.DUMMYFUNCTION("IMPORTRANGE(""https://docs.google.com/spreadsheets/d/16o_4B-V7AWw_6E93bSpXj_XxVv1oVQctk-B6z1dNEWU/edit?usp=sharing"",""สงขลา!J146"")"),0)</f>
        <v>0</v>
      </c>
      <c r="AD86" s="87">
        <f t="shared" ca="1" si="28"/>
        <v>0</v>
      </c>
    </row>
    <row r="87" spans="1:30" ht="24" customHeight="1" x14ac:dyDescent="0.2">
      <c r="A87" s="78">
        <v>13</v>
      </c>
      <c r="B87" s="79" t="s">
        <v>109</v>
      </c>
      <c r="C87" s="80">
        <f t="shared" ca="1" si="0"/>
        <v>0</v>
      </c>
      <c r="D87" s="81">
        <f t="shared" ca="1" si="53"/>
        <v>0</v>
      </c>
      <c r="E87" s="82">
        <f ca="1">IFERROR(__xludf.DUMMYFUNCTION("IMPORTRANGE(""https://docs.google.com/spreadsheets/d/1MeEWN-I1oV_STSDYn1IFDPWt_1FKiwhDph83XaGc0o0/edit?usp=sharing"",""งบพรบ!BL87"")"),0)</f>
        <v>0</v>
      </c>
      <c r="F87" s="82">
        <f ca="1">IFERROR(__xludf.DUMMYFUNCTION("IMPORTRANGE(""https://docs.google.com/spreadsheets/d/1MeEWN-I1oV_STSDYn1IFDPWt_1FKiwhDph83XaGc0o0/edit?usp=sharing"",""งบพรบ!BM87"")"),0)</f>
        <v>0</v>
      </c>
      <c r="G87" s="82">
        <f ca="1">IFERROR(__xludf.DUMMYFUNCTION("IMPORTRANGE(""https://docs.google.com/spreadsheets/d/1MeEWN-I1oV_STSDYn1IFDPWt_1FKiwhDph83XaGc0o0/edit?usp=sharing"",""งบพรบ!BN87"")"),0)</f>
        <v>0</v>
      </c>
      <c r="H87" s="82">
        <f ca="1">IFERROR(__xludf.DUMMYFUNCTION("IMPORTRANGE(""https://docs.google.com/spreadsheets/d/1MeEWN-I1oV_STSDYn1IFDPWt_1FKiwhDph83XaGc0o0/edit?usp=sharing"",""งบพรบ!BP87"")"),0)</f>
        <v>0</v>
      </c>
      <c r="I87" s="82">
        <f ca="1">IFERROR(__xludf.DUMMYFUNCTION("IMPORTRANGE(""https://docs.google.com/spreadsheets/d/1MeEWN-I1oV_STSDYn1IFDPWt_1FKiwhDph83XaGc0o0/edit?usp=sharing"",""งบพรบ!BQ87"")"),0)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IFERROR(__xludf.DUMMYFUNCTION("IMPORTRANGE(""https://docs.google.com/spreadsheets/d/1MeEWN-I1oV_STSDYn1IFDPWt_1FKiwhDph83XaGc0o0/edit?usp=sharing"",""งบพรบ!BR87"")"),0)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IFERROR(__xludf.DUMMYFUNCTION("IMPORTRANGE(""https://docs.google.com/spreadsheets/d/1MeEWN-I1oV_STSDYn1IFDPWt_1FKiwhDph83XaGc0o0/edit?usp=sharing"",""งบพรบ!BS87"")"),0)</f>
        <v>0</v>
      </c>
      <c r="P87" s="85">
        <f t="shared" ca="1" si="30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IFERROR(__xludf.DUMMYFUNCTION("IMPORTRANGE(""https://docs.google.com/spreadsheets/d/16cywr71Fj4fA5OGRHsZh30ZG2gwJhMAQv69oVBzYHv0/edit?usp=sharing"",""สตูล!J142"")"),0)</f>
        <v>0</v>
      </c>
      <c r="S87" s="86">
        <f ca="1">IFERROR(__xludf.DUMMYFUNCTION("IMPORTRANGE(""https://docs.google.com/spreadsheets/d/16cywr71Fj4fA5OGRHsZh30ZG2gwJhMAQv69oVBzYHv0/edit?usp=sharing"",""สตูล!I143"")"),0)</f>
        <v>0</v>
      </c>
      <c r="T87" s="86">
        <f ca="1">IFERROR(__xludf.DUMMYFUNCTION("IMPORTRANGE(""https://docs.google.com/spreadsheets/d/16cywr71Fj4fA5OGRHsZh30ZG2gwJhMAQv69oVBzYHv0/edit?usp=sharing"",""สตูล!J143"")"),0)</f>
        <v>0</v>
      </c>
      <c r="U87" s="87">
        <f t="shared" ca="1" si="25"/>
        <v>0</v>
      </c>
      <c r="V87" s="86">
        <f ca="1">IFERROR(__xludf.DUMMYFUNCTION("IMPORTRANGE(""https://docs.google.com/spreadsheets/d/16cywr71Fj4fA5OGRHsZh30ZG2gwJhMAQv69oVBzYHv0/edit?usp=sharing"",""สตูล!I144"")"),0)</f>
        <v>0</v>
      </c>
      <c r="W87" s="86">
        <f ca="1">IFERROR(__xludf.DUMMYFUNCTION("IMPORTRANGE(""https://docs.google.com/spreadsheets/d/16cywr71Fj4fA5OGRHsZh30ZG2gwJhMAQv69oVBzYHv0/edit?usp=sharing"",""สตูล!J144"")"),0)</f>
        <v>0</v>
      </c>
      <c r="X87" s="87">
        <f t="shared" ca="1" si="26"/>
        <v>0</v>
      </c>
      <c r="Y87" s="86">
        <f ca="1">IFERROR(__xludf.DUMMYFUNCTION("IMPORTRANGE(""https://docs.google.com/spreadsheets/d/16cywr71Fj4fA5OGRHsZh30ZG2gwJhMAQv69oVBzYHv0/edit?usp=sharing"",""สตูล!I145"")"),0)</f>
        <v>0</v>
      </c>
      <c r="Z87" s="86">
        <f ca="1">IFERROR(__xludf.DUMMYFUNCTION("IMPORTRANGE(""https://docs.google.com/spreadsheets/d/16cywr71Fj4fA5OGRHsZh30ZG2gwJhMAQv69oVBzYHv0/edit?usp=sharing"",""สตูล!J145"")"),0)</f>
        <v>0</v>
      </c>
      <c r="AA87" s="87">
        <f t="shared" ca="1" si="27"/>
        <v>0</v>
      </c>
      <c r="AB87" s="86">
        <f ca="1">IFERROR(__xludf.DUMMYFUNCTION("IMPORTRANGE(""https://docs.google.com/spreadsheets/d/16cywr71Fj4fA5OGRHsZh30ZG2gwJhMAQv69oVBzYHv0/edit?usp=sharing"",""สตูล!I146"")"),0)</f>
        <v>0</v>
      </c>
      <c r="AC87" s="86">
        <f ca="1">IFERROR(__xludf.DUMMYFUNCTION("IMPORTRANGE(""https://docs.google.com/spreadsheets/d/16cywr71Fj4fA5OGRHsZh30ZG2gwJhMAQv69oVBzYHv0/edit?usp=sharing"",""สตูล!J146"")"),0)</f>
        <v>0</v>
      </c>
      <c r="AD87" s="87">
        <f t="shared" ca="1" si="28"/>
        <v>0</v>
      </c>
    </row>
    <row r="88" spans="1:30" ht="24" customHeight="1" x14ac:dyDescent="0.2">
      <c r="A88" s="89">
        <v>14</v>
      </c>
      <c r="B88" s="90" t="s">
        <v>110</v>
      </c>
      <c r="C88" s="91">
        <f t="shared" ca="1" si="0"/>
        <v>911610</v>
      </c>
      <c r="D88" s="92">
        <f t="shared" ca="1" si="53"/>
        <v>705610</v>
      </c>
      <c r="E88" s="93">
        <f ca="1">IFERROR(__xludf.DUMMYFUNCTION("IMPORTRANGE(""https://docs.google.com/spreadsheets/d/1MeEWN-I1oV_STSDYn1IFDPWt_1FKiwhDph83XaGc0o0/edit?usp=sharing"",""งบพรบ!BL88"")"),608300)</f>
        <v>608300</v>
      </c>
      <c r="F88" s="93">
        <f ca="1">IFERROR(__xludf.DUMMYFUNCTION("IMPORTRANGE(""https://docs.google.com/spreadsheets/d/1MeEWN-I1oV_STSDYn1IFDPWt_1FKiwhDph83XaGc0o0/edit?usp=sharing"",""งบพรบ!BM88"")"),97310)</f>
        <v>97310</v>
      </c>
      <c r="G88" s="93">
        <f ca="1">IFERROR(__xludf.DUMMYFUNCTION("IMPORTRANGE(""https://docs.google.com/spreadsheets/d/1MeEWN-I1oV_STSDYn1IFDPWt_1FKiwhDph83XaGc0o0/edit?usp=sharing"",""งบพรบ!BN88"")"),206000)</f>
        <v>206000</v>
      </c>
      <c r="H88" s="93">
        <f ca="1">IFERROR(__xludf.DUMMYFUNCTION("IMPORTRANGE(""https://docs.google.com/spreadsheets/d/1MeEWN-I1oV_STSDYn1IFDPWt_1FKiwhDph83XaGc0o0/edit?usp=sharing"",""งบพรบ!BP88"")"),517450)</f>
        <v>517450</v>
      </c>
      <c r="I88" s="93">
        <f ca="1">IFERROR(__xludf.DUMMYFUNCTION("IMPORTRANGE(""https://docs.google.com/spreadsheets/d/1MeEWN-I1oV_STSDYn1IFDPWt_1FKiwhDph83XaGc0o0/edit?usp=sharing"",""งบพรบ!BQ88"")"),200000)</f>
        <v>200000</v>
      </c>
      <c r="J88" s="93">
        <f t="shared" ca="1" si="3"/>
        <v>457362.17000000004</v>
      </c>
      <c r="K88" s="94">
        <f t="shared" ca="1" si="4"/>
        <v>50.170815370608054</v>
      </c>
      <c r="L88" s="93">
        <f ca="1">IFERROR(__xludf.DUMMYFUNCTION("IMPORTRANGE(""https://docs.google.com/spreadsheets/d/1MeEWN-I1oV_STSDYn1IFDPWt_1FKiwhDph83XaGc0o0/edit?usp=sharing"",""งบพรบ!BR88"")"),257362.17)</f>
        <v>257362.17</v>
      </c>
      <c r="M88" s="95">
        <f t="shared" ca="1" si="5"/>
        <v>36.473713524468188</v>
      </c>
      <c r="N88" s="95">
        <f t="shared" ca="1" si="6"/>
        <v>49.736625760943085</v>
      </c>
      <c r="O88" s="96">
        <f ca="1">IFERROR(__xludf.DUMMYFUNCTION("IMPORTRANGE(""https://docs.google.com/spreadsheets/d/1MeEWN-I1oV_STSDYn1IFDPWt_1FKiwhDph83XaGc0o0/edit?usp=sharing"",""งบพรบ!BS88"")"),200000)</f>
        <v>200000</v>
      </c>
      <c r="P88" s="96">
        <f t="shared" ca="1" si="30"/>
        <v>97.087378640776706</v>
      </c>
      <c r="Q88" s="95">
        <f t="shared" ca="1" si="8"/>
        <v>100</v>
      </c>
      <c r="R88" s="97">
        <f ca="1">IFERROR(__xludf.DUMMYFUNCTION("IMPORTRANGE(""https://docs.google.com/spreadsheets/d/1vO9Sws6kMtrVtyvrAJptINXjK8TFBoX9xLYOVK_C8bQ/edit?usp=sharing"",""สุราษฎร์ธานี!J142"")"),0)</f>
        <v>0</v>
      </c>
      <c r="S88" s="97">
        <f ca="1">IFERROR(__xludf.DUMMYFUNCTION("IMPORTRANGE(""https://docs.google.com/spreadsheets/d/1vO9Sws6kMtrVtyvrAJptINXjK8TFBoX9xLYOVK_C8bQ/edit?usp=sharing"",""สุราษฎร์ธานี!I143"")"),20)</f>
        <v>20</v>
      </c>
      <c r="T88" s="97">
        <f ca="1">IFERROR(__xludf.DUMMYFUNCTION("IMPORTRANGE(""https://docs.google.com/spreadsheets/d/1vO9Sws6kMtrVtyvrAJptINXjK8TFBoX9xLYOVK_C8bQ/edit?usp=sharing"",""สุราษฎร์ธานี!J143"")"),20)</f>
        <v>20</v>
      </c>
      <c r="U88" s="98">
        <f t="shared" ca="1" si="25"/>
        <v>100</v>
      </c>
      <c r="V88" s="97">
        <f ca="1">IFERROR(__xludf.DUMMYFUNCTION("IMPORTRANGE(""https://docs.google.com/spreadsheets/d/1vO9Sws6kMtrVtyvrAJptINXjK8TFBoX9xLYOVK_C8bQ/edit?usp=sharing"",""สุราษฎร์ธานี!I144"")"),10)</f>
        <v>10</v>
      </c>
      <c r="W88" s="97">
        <f ca="1">IFERROR(__xludf.DUMMYFUNCTION("IMPORTRANGE(""https://docs.google.com/spreadsheets/d/1vO9Sws6kMtrVtyvrAJptINXjK8TFBoX9xLYOVK_C8bQ/edit?usp=sharing"",""สุราษฎร์ธานี!J144"")"),10)</f>
        <v>10</v>
      </c>
      <c r="X88" s="98">
        <f t="shared" ca="1" si="26"/>
        <v>100</v>
      </c>
      <c r="Y88" s="97">
        <f ca="1">IFERROR(__xludf.DUMMYFUNCTION("IMPORTRANGE(""https://docs.google.com/spreadsheets/d/1vO9Sws6kMtrVtyvrAJptINXjK8TFBoX9xLYOVK_C8bQ/edit?usp=sharing"",""สุราษฎร์ธานี!I145"")"),20)</f>
        <v>20</v>
      </c>
      <c r="Z88" s="97">
        <f ca="1">IFERROR(__xludf.DUMMYFUNCTION("IMPORTRANGE(""https://docs.google.com/spreadsheets/d/1vO9Sws6kMtrVtyvrAJptINXjK8TFBoX9xLYOVK_C8bQ/edit?usp=sharing"",""สุราษฎร์ธานี!J145"")"),20)</f>
        <v>20</v>
      </c>
      <c r="AA88" s="98">
        <f t="shared" ca="1" si="27"/>
        <v>100</v>
      </c>
      <c r="AB88" s="97">
        <f ca="1">IFERROR(__xludf.DUMMYFUNCTION("IMPORTRANGE(""https://docs.google.com/spreadsheets/d/1vO9Sws6kMtrVtyvrAJptINXjK8TFBoX9xLYOVK_C8bQ/edit?usp=sharing"",""สุราษฎร์ธานี!I146"")"),2)</f>
        <v>2</v>
      </c>
      <c r="AC88" s="97">
        <f ca="1">IFERROR(__xludf.DUMMYFUNCTION("IMPORTRANGE(""https://docs.google.com/spreadsheets/d/1vO9Sws6kMtrVtyvrAJptINXjK8TFBoX9xLYOVK_C8bQ/edit?usp=sharing"",""สุราษฎร์ธานี!J146"")"),0)</f>
        <v>0</v>
      </c>
      <c r="AD88" s="98">
        <f t="shared" ca="1" si="28"/>
        <v>0</v>
      </c>
    </row>
    <row r="89" spans="1:30" ht="21" hidden="1" customHeight="1" x14ac:dyDescent="0.2">
      <c r="A89" s="381" t="s">
        <v>111</v>
      </c>
      <c r="B89" s="357"/>
      <c r="C89" s="107">
        <f t="shared" ca="1" si="0"/>
        <v>1220800</v>
      </c>
      <c r="D89" s="46">
        <f t="shared" ref="D89:I89" ca="1" si="54">+D90+D91+D92+D93+D94+D95+D96+D97+D98+D99+D100+D101+D102+D103</f>
        <v>1220800</v>
      </c>
      <c r="E89" s="46">
        <f t="shared" ca="1" si="54"/>
        <v>135000</v>
      </c>
      <c r="F89" s="46">
        <f t="shared" ca="1" si="54"/>
        <v>1085800</v>
      </c>
      <c r="G89" s="46">
        <f t="shared" ca="1" si="54"/>
        <v>0</v>
      </c>
      <c r="H89" s="46">
        <f t="shared" ca="1" si="54"/>
        <v>1274700</v>
      </c>
      <c r="I89" s="46">
        <f t="shared" ca="1" si="54"/>
        <v>0</v>
      </c>
      <c r="J89" s="46">
        <f t="shared" ca="1" si="3"/>
        <v>218733.42</v>
      </c>
      <c r="K89" s="48">
        <f t="shared" ca="1" si="4"/>
        <v>17.91721985583224</v>
      </c>
      <c r="L89" s="46">
        <f ca="1">+L90+L91+L92+L93+L94+L95+L96+L97+L98+L99+L100+L101+L102+L103</f>
        <v>218733.42</v>
      </c>
      <c r="M89" s="49">
        <f t="shared" ca="1" si="5"/>
        <v>17.91721985583224</v>
      </c>
      <c r="N89" s="49">
        <f t="shared" ca="1" si="6"/>
        <v>17.159599905860201</v>
      </c>
      <c r="O89" s="50">
        <f ca="1">+O90+O91+O92+O93+O94+O95+O96+O97+O98+O99+O100+O101+O102+O103</f>
        <v>0</v>
      </c>
      <c r="P89" s="50">
        <f t="shared" ca="1" si="30"/>
        <v>0</v>
      </c>
      <c r="Q89" s="49">
        <f t="shared" ca="1" si="8"/>
        <v>0</v>
      </c>
      <c r="R89" s="46"/>
      <c r="S89" s="46"/>
      <c r="T89" s="46"/>
      <c r="U89" s="49"/>
      <c r="V89" s="46"/>
      <c r="W89" s="46"/>
      <c r="X89" s="49"/>
      <c r="Y89" s="46"/>
      <c r="Z89" s="46"/>
      <c r="AA89" s="49"/>
      <c r="AB89" s="46"/>
      <c r="AC89" s="46"/>
      <c r="AD89" s="49"/>
    </row>
    <row r="90" spans="1:30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55">+E90+F90</f>
        <v>0</v>
      </c>
      <c r="E90" s="72">
        <f ca="1">IFERROR(__xludf.DUMMYFUNCTION("IMPORTRANGE(""https://docs.google.com/spreadsheets/d/1MeEWN-I1oV_STSDYn1IFDPWt_1FKiwhDph83XaGc0o0/edit?usp=sharing"",""งบพรบ!BL90"")"),0)</f>
        <v>0</v>
      </c>
      <c r="F90" s="72">
        <f ca="1">IFERROR(__xludf.DUMMYFUNCTION("IMPORTRANGE(""https://docs.google.com/spreadsheets/d/1MeEWN-I1oV_STSDYn1IFDPWt_1FKiwhDph83XaGc0o0/edit?usp=sharing"",""งบพรบ!BM90"")"),0)</f>
        <v>0</v>
      </c>
      <c r="G90" s="72">
        <f ca="1">IFERROR(__xludf.DUMMYFUNCTION("IMPORTRANGE(""https://docs.google.com/spreadsheets/d/1MeEWN-I1oV_STSDYn1IFDPWt_1FKiwhDph83XaGc0o0/edit?usp=sharing"",""งบพรบ!BN90"")"),0)</f>
        <v>0</v>
      </c>
      <c r="H90" s="72">
        <f ca="1">IFERROR(__xludf.DUMMYFUNCTION("IMPORTRANGE(""https://docs.google.com/spreadsheets/d/1MeEWN-I1oV_STSDYn1IFDPWt_1FKiwhDph83XaGc0o0/edit?usp=sharing"",""งบพรบ!BP90"")"),0)</f>
        <v>0</v>
      </c>
      <c r="I90" s="72">
        <f ca="1">IFERROR(__xludf.DUMMYFUNCTION("IMPORTRANGE(""https://docs.google.com/spreadsheets/d/1MeEWN-I1oV_STSDYn1IFDPWt_1FKiwhDph83XaGc0o0/edit?usp=sharing"",""งบพรบ!BQ90"")"),0)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IFERROR(__xludf.DUMMYFUNCTION("IMPORTRANGE(""https://docs.google.com/spreadsheets/d/1MeEWN-I1oV_STSDYn1IFDPWt_1FKiwhDph83XaGc0o0/edit?usp=sharing"",""งบพรบ!BR90"")"),0)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IFERROR(__xludf.DUMMYFUNCTION("IMPORTRANGE(""https://docs.google.com/spreadsheets/d/1MeEWN-I1oV_STSDYn1IFDPWt_1FKiwhDph83XaGc0o0/edit?usp=sharing"",""งบพรบ!BS90"")"),0)</f>
        <v>0</v>
      </c>
      <c r="P90" s="76">
        <f t="shared" ca="1" si="30"/>
        <v>0</v>
      </c>
      <c r="Q90" s="75">
        <f t="shared" ca="1" si="8"/>
        <v>0</v>
      </c>
      <c r="R90" s="72"/>
      <c r="S90" s="72"/>
      <c r="T90" s="72"/>
      <c r="U90" s="75"/>
      <c r="V90" s="72"/>
      <c r="W90" s="72"/>
      <c r="X90" s="75"/>
      <c r="Y90" s="72"/>
      <c r="Z90" s="72"/>
      <c r="AA90" s="75"/>
      <c r="AB90" s="72"/>
      <c r="AC90" s="72"/>
      <c r="AD90" s="75"/>
    </row>
    <row r="91" spans="1:30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55"/>
        <v>0</v>
      </c>
      <c r="E91" s="82">
        <f ca="1">IFERROR(__xludf.DUMMYFUNCTION("IMPORTRANGE(""https://docs.google.com/spreadsheets/d/1MeEWN-I1oV_STSDYn1IFDPWt_1FKiwhDph83XaGc0o0/edit?usp=sharing"",""งบพรบ!BL91"")"),0)</f>
        <v>0</v>
      </c>
      <c r="F91" s="82">
        <f ca="1">IFERROR(__xludf.DUMMYFUNCTION("IMPORTRANGE(""https://docs.google.com/spreadsheets/d/1MeEWN-I1oV_STSDYn1IFDPWt_1FKiwhDph83XaGc0o0/edit?usp=sharing"",""งบพรบ!BM91"")"),0)</f>
        <v>0</v>
      </c>
      <c r="G91" s="82">
        <f ca="1">IFERROR(__xludf.DUMMYFUNCTION("IMPORTRANGE(""https://docs.google.com/spreadsheets/d/1MeEWN-I1oV_STSDYn1IFDPWt_1FKiwhDph83XaGc0o0/edit?usp=sharing"",""งบพรบ!BN91"")"),0)</f>
        <v>0</v>
      </c>
      <c r="H91" s="82">
        <f ca="1">IFERROR(__xludf.DUMMYFUNCTION("IMPORTRANGE(""https://docs.google.com/spreadsheets/d/1MeEWN-I1oV_STSDYn1IFDPWt_1FKiwhDph83XaGc0o0/edit?usp=sharing"",""งบพรบ!BP91"")"),0)</f>
        <v>0</v>
      </c>
      <c r="I91" s="82">
        <f ca="1">IFERROR(__xludf.DUMMYFUNCTION("IMPORTRANGE(""https://docs.google.com/spreadsheets/d/1MeEWN-I1oV_STSDYn1IFDPWt_1FKiwhDph83XaGc0o0/edit?usp=sharing"",""งบพรบ!BQ91"")"),0)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IFERROR(__xludf.DUMMYFUNCTION("IMPORTRANGE(""https://docs.google.com/spreadsheets/d/1MeEWN-I1oV_STSDYn1IFDPWt_1FKiwhDph83XaGc0o0/edit?usp=sharing"",""งบพรบ!BR91"")"),0)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IFERROR(__xludf.DUMMYFUNCTION("IMPORTRANGE(""https://docs.google.com/spreadsheets/d/1MeEWN-I1oV_STSDYn1IFDPWt_1FKiwhDph83XaGc0o0/edit?usp=sharing"",""งบพรบ!BS91"")"),0)</f>
        <v>0</v>
      </c>
      <c r="P91" s="85">
        <f t="shared" ca="1" si="30"/>
        <v>0</v>
      </c>
      <c r="Q91" s="84">
        <f t="shared" ca="1" si="8"/>
        <v>0</v>
      </c>
      <c r="R91" s="82"/>
      <c r="S91" s="82"/>
      <c r="T91" s="82"/>
      <c r="U91" s="84"/>
      <c r="V91" s="82"/>
      <c r="W91" s="82"/>
      <c r="X91" s="84"/>
      <c r="Y91" s="82"/>
      <c r="Z91" s="82"/>
      <c r="AA91" s="84"/>
      <c r="AB91" s="82"/>
      <c r="AC91" s="82"/>
      <c r="AD91" s="84"/>
    </row>
    <row r="92" spans="1:30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55"/>
        <v>0</v>
      </c>
      <c r="E92" s="82">
        <f ca="1">IFERROR(__xludf.DUMMYFUNCTION("IMPORTRANGE(""https://docs.google.com/spreadsheets/d/1MeEWN-I1oV_STSDYn1IFDPWt_1FKiwhDph83XaGc0o0/edit?usp=sharing"",""งบพรบ!BL92"")"),0)</f>
        <v>0</v>
      </c>
      <c r="F92" s="82">
        <f ca="1">IFERROR(__xludf.DUMMYFUNCTION("IMPORTRANGE(""https://docs.google.com/spreadsheets/d/1MeEWN-I1oV_STSDYn1IFDPWt_1FKiwhDph83XaGc0o0/edit?usp=sharing"",""งบพรบ!BM92"")"),0)</f>
        <v>0</v>
      </c>
      <c r="G92" s="82">
        <f ca="1">IFERROR(__xludf.DUMMYFUNCTION("IMPORTRANGE(""https://docs.google.com/spreadsheets/d/1MeEWN-I1oV_STSDYn1IFDPWt_1FKiwhDph83XaGc0o0/edit?usp=sharing"",""งบพรบ!BN92"")"),0)</f>
        <v>0</v>
      </c>
      <c r="H92" s="82">
        <f ca="1">IFERROR(__xludf.DUMMYFUNCTION("IMPORTRANGE(""https://docs.google.com/spreadsheets/d/1MeEWN-I1oV_STSDYn1IFDPWt_1FKiwhDph83XaGc0o0/edit?usp=sharing"",""งบพรบ!BP92"")"),123450)</f>
        <v>123450</v>
      </c>
      <c r="I92" s="82">
        <f ca="1">IFERROR(__xludf.DUMMYFUNCTION("IMPORTRANGE(""https://docs.google.com/spreadsheets/d/1MeEWN-I1oV_STSDYn1IFDPWt_1FKiwhDph83XaGc0o0/edit?usp=sharing"",""งบพรบ!BQ92"")"),0)</f>
        <v>0</v>
      </c>
      <c r="J92" s="82">
        <f t="shared" ca="1" si="3"/>
        <v>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IFERROR(__xludf.DUMMYFUNCTION("IMPORTRANGE(""https://docs.google.com/spreadsheets/d/1MeEWN-I1oV_STSDYn1IFDPWt_1FKiwhDph83XaGc0o0/edit?usp=sharing"",""งบพรบ!BR92"")"),0)</f>
        <v>0</v>
      </c>
      <c r="M92" s="84">
        <f t="shared" ca="1" si="5"/>
        <v>0</v>
      </c>
      <c r="N92" s="84">
        <f t="shared" ca="1" si="6"/>
        <v>0</v>
      </c>
      <c r="O92" s="85">
        <f ca="1">IFERROR(__xludf.DUMMYFUNCTION("IMPORTRANGE(""https://docs.google.com/spreadsheets/d/1MeEWN-I1oV_STSDYn1IFDPWt_1FKiwhDph83XaGc0o0/edit?usp=sharing"",""งบพรบ!BS92"")"),0)</f>
        <v>0</v>
      </c>
      <c r="P92" s="85">
        <f t="shared" ca="1" si="30"/>
        <v>0</v>
      </c>
      <c r="Q92" s="84">
        <f t="shared" ca="1" si="8"/>
        <v>0</v>
      </c>
      <c r="R92" s="82"/>
      <c r="S92" s="82"/>
      <c r="T92" s="82"/>
      <c r="U92" s="84"/>
      <c r="V92" s="82"/>
      <c r="W92" s="82"/>
      <c r="X92" s="84"/>
      <c r="Y92" s="82"/>
      <c r="Z92" s="82"/>
      <c r="AA92" s="84"/>
      <c r="AB92" s="82"/>
      <c r="AC92" s="82"/>
      <c r="AD92" s="84"/>
    </row>
    <row r="93" spans="1:30" ht="24" hidden="1" customHeight="1" x14ac:dyDescent="0.2">
      <c r="A93" s="111">
        <f t="shared" ref="A93:A103" si="56">+A92+1</f>
        <v>4</v>
      </c>
      <c r="B93" s="112" t="s">
        <v>115</v>
      </c>
      <c r="C93" s="80">
        <f t="shared" ca="1" si="0"/>
        <v>135000</v>
      </c>
      <c r="D93" s="81">
        <f t="shared" ca="1" si="55"/>
        <v>135000</v>
      </c>
      <c r="E93" s="82">
        <f ca="1">IFERROR(__xludf.DUMMYFUNCTION("IMPORTRANGE(""https://docs.google.com/spreadsheets/d/1MeEWN-I1oV_STSDYn1IFDPWt_1FKiwhDph83XaGc0o0/edit?usp=sharing"",""งบพรบ!BL93"")"),135000)</f>
        <v>135000</v>
      </c>
      <c r="F93" s="82">
        <f ca="1">IFERROR(__xludf.DUMMYFUNCTION("IMPORTRANGE(""https://docs.google.com/spreadsheets/d/1MeEWN-I1oV_STSDYn1IFDPWt_1FKiwhDph83XaGc0o0/edit?usp=sharing"",""งบพรบ!BM93"")"),0)</f>
        <v>0</v>
      </c>
      <c r="G93" s="82">
        <f ca="1">IFERROR(__xludf.DUMMYFUNCTION("IMPORTRANGE(""https://docs.google.com/spreadsheets/d/1MeEWN-I1oV_STSDYn1IFDPWt_1FKiwhDph83XaGc0o0/edit?usp=sharing"",""งบพรบ!BN93"")"),0)</f>
        <v>0</v>
      </c>
      <c r="H93" s="82">
        <f ca="1">IFERROR(__xludf.DUMMYFUNCTION("IMPORTRANGE(""https://docs.google.com/spreadsheets/d/1MeEWN-I1oV_STSDYn1IFDPWt_1FKiwhDph83XaGc0o0/edit?usp=sharing"",""งบพรบ!BP93"")"),101250)</f>
        <v>101250</v>
      </c>
      <c r="I93" s="82">
        <f ca="1">IFERROR(__xludf.DUMMYFUNCTION("IMPORTRANGE(""https://docs.google.com/spreadsheets/d/1MeEWN-I1oV_STSDYn1IFDPWt_1FKiwhDph83XaGc0o0/edit?usp=sharing"",""งบพรบ!BQ93"")"),0)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IFERROR(__xludf.DUMMYFUNCTION("IMPORTRANGE(""https://docs.google.com/spreadsheets/d/1MeEWN-I1oV_STSDYn1IFDPWt_1FKiwhDph83XaGc0o0/edit?usp=sharing"",""งบพรบ!BR93"")"),0)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IFERROR(__xludf.DUMMYFUNCTION("IMPORTRANGE(""https://docs.google.com/spreadsheets/d/1MeEWN-I1oV_STSDYn1IFDPWt_1FKiwhDph83XaGc0o0/edit?usp=sharing"",""งบพรบ!BS93"")"),0)</f>
        <v>0</v>
      </c>
      <c r="P93" s="85">
        <f t="shared" ca="1" si="30"/>
        <v>0</v>
      </c>
      <c r="Q93" s="84">
        <f t="shared" ca="1" si="8"/>
        <v>0</v>
      </c>
      <c r="R93" s="82"/>
      <c r="S93" s="82"/>
      <c r="T93" s="82"/>
      <c r="U93" s="84"/>
      <c r="V93" s="82"/>
      <c r="W93" s="82"/>
      <c r="X93" s="84"/>
      <c r="Y93" s="82"/>
      <c r="Z93" s="82"/>
      <c r="AA93" s="84"/>
      <c r="AB93" s="82"/>
      <c r="AC93" s="82"/>
      <c r="AD93" s="84"/>
    </row>
    <row r="94" spans="1:30" ht="24" hidden="1" customHeight="1" x14ac:dyDescent="0.2">
      <c r="A94" s="111">
        <f t="shared" si="56"/>
        <v>5</v>
      </c>
      <c r="B94" s="112" t="s">
        <v>116</v>
      </c>
      <c r="C94" s="80">
        <f t="shared" ca="1" si="0"/>
        <v>0</v>
      </c>
      <c r="D94" s="81">
        <f t="shared" ca="1" si="55"/>
        <v>0</v>
      </c>
      <c r="E94" s="82">
        <f ca="1">IFERROR(__xludf.DUMMYFUNCTION("IMPORTRANGE(""https://docs.google.com/spreadsheets/d/1MeEWN-I1oV_STSDYn1IFDPWt_1FKiwhDph83XaGc0o0/edit?usp=sharing"",""งบพรบ!BL94"")"),0)</f>
        <v>0</v>
      </c>
      <c r="F94" s="82">
        <f ca="1">IFERROR(__xludf.DUMMYFUNCTION("IMPORTRANGE(""https://docs.google.com/spreadsheets/d/1MeEWN-I1oV_STSDYn1IFDPWt_1FKiwhDph83XaGc0o0/edit?usp=sharing"",""งบพรบ!BM94"")"),0)</f>
        <v>0</v>
      </c>
      <c r="G94" s="82">
        <f ca="1">IFERROR(__xludf.DUMMYFUNCTION("IMPORTRANGE(""https://docs.google.com/spreadsheets/d/1MeEWN-I1oV_STSDYn1IFDPWt_1FKiwhDph83XaGc0o0/edit?usp=sharing"",""งบพรบ!BN94"")"),0)</f>
        <v>0</v>
      </c>
      <c r="H94" s="82">
        <f ca="1">IFERROR(__xludf.DUMMYFUNCTION("IMPORTRANGE(""https://docs.google.com/spreadsheets/d/1MeEWN-I1oV_STSDYn1IFDPWt_1FKiwhDph83XaGc0o0/edit?usp=sharing"",""งบพรบ!BP94"")"),0)</f>
        <v>0</v>
      </c>
      <c r="I94" s="82">
        <f ca="1">IFERROR(__xludf.DUMMYFUNCTION("IMPORTRANGE(""https://docs.google.com/spreadsheets/d/1MeEWN-I1oV_STSDYn1IFDPWt_1FKiwhDph83XaGc0o0/edit?usp=sharing"",""งบพรบ!BQ94"")"),0)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IFERROR(__xludf.DUMMYFUNCTION("IMPORTRANGE(""https://docs.google.com/spreadsheets/d/1MeEWN-I1oV_STSDYn1IFDPWt_1FKiwhDph83XaGc0o0/edit?usp=sharing"",""งบพรบ!BR94"")"),0)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IFERROR(__xludf.DUMMYFUNCTION("IMPORTRANGE(""https://docs.google.com/spreadsheets/d/1MeEWN-I1oV_STSDYn1IFDPWt_1FKiwhDph83XaGc0o0/edit?usp=sharing"",""งบพรบ!BS94"")"),0)</f>
        <v>0</v>
      </c>
      <c r="P94" s="85">
        <f t="shared" ca="1" si="30"/>
        <v>0</v>
      </c>
      <c r="Q94" s="84">
        <f t="shared" ca="1" si="8"/>
        <v>0</v>
      </c>
      <c r="R94" s="82"/>
      <c r="S94" s="82"/>
      <c r="T94" s="82"/>
      <c r="U94" s="84"/>
      <c r="V94" s="82"/>
      <c r="W94" s="82"/>
      <c r="X94" s="84"/>
      <c r="Y94" s="82"/>
      <c r="Z94" s="82"/>
      <c r="AA94" s="84"/>
      <c r="AB94" s="82"/>
      <c r="AC94" s="82"/>
      <c r="AD94" s="84"/>
    </row>
    <row r="95" spans="1:30" ht="24" hidden="1" customHeight="1" x14ac:dyDescent="0.2">
      <c r="A95" s="111">
        <f t="shared" si="56"/>
        <v>6</v>
      </c>
      <c r="B95" s="112" t="s">
        <v>117</v>
      </c>
      <c r="C95" s="80">
        <f t="shared" ca="1" si="0"/>
        <v>0</v>
      </c>
      <c r="D95" s="81">
        <f t="shared" ca="1" si="55"/>
        <v>0</v>
      </c>
      <c r="E95" s="82">
        <f ca="1">IFERROR(__xludf.DUMMYFUNCTION("IMPORTRANGE(""https://docs.google.com/spreadsheets/d/1MeEWN-I1oV_STSDYn1IFDPWt_1FKiwhDph83XaGc0o0/edit?usp=sharing"",""งบพรบ!BL95"")"),0)</f>
        <v>0</v>
      </c>
      <c r="F95" s="82">
        <f ca="1">IFERROR(__xludf.DUMMYFUNCTION("IMPORTRANGE(""https://docs.google.com/spreadsheets/d/1MeEWN-I1oV_STSDYn1IFDPWt_1FKiwhDph83XaGc0o0/edit?usp=sharing"",""งบพรบ!BM95"")"),0)</f>
        <v>0</v>
      </c>
      <c r="G95" s="82">
        <f ca="1">IFERROR(__xludf.DUMMYFUNCTION("IMPORTRANGE(""https://docs.google.com/spreadsheets/d/1MeEWN-I1oV_STSDYn1IFDPWt_1FKiwhDph83XaGc0o0/edit?usp=sharing"",""งบพรบ!BN95"")"),0)</f>
        <v>0</v>
      </c>
      <c r="H95" s="82">
        <f ca="1">IFERROR(__xludf.DUMMYFUNCTION("IMPORTRANGE(""https://docs.google.com/spreadsheets/d/1MeEWN-I1oV_STSDYn1IFDPWt_1FKiwhDph83XaGc0o0/edit?usp=sharing"",""งบพรบ!BP95"")"),0)</f>
        <v>0</v>
      </c>
      <c r="I95" s="82">
        <f ca="1">IFERROR(__xludf.DUMMYFUNCTION("IMPORTRANGE(""https://docs.google.com/spreadsheets/d/1MeEWN-I1oV_STSDYn1IFDPWt_1FKiwhDph83XaGc0o0/edit?usp=sharing"",""งบพรบ!BQ95"")"),0)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IFERROR(__xludf.DUMMYFUNCTION("IMPORTRANGE(""https://docs.google.com/spreadsheets/d/1MeEWN-I1oV_STSDYn1IFDPWt_1FKiwhDph83XaGc0o0/edit?usp=sharing"",""งบพรบ!BR95"")"),0)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IFERROR(__xludf.DUMMYFUNCTION("IMPORTRANGE(""https://docs.google.com/spreadsheets/d/1MeEWN-I1oV_STSDYn1IFDPWt_1FKiwhDph83XaGc0o0/edit?usp=sharing"",""งบพรบ!BS95"")"),0)</f>
        <v>0</v>
      </c>
      <c r="P95" s="85">
        <f t="shared" ca="1" si="30"/>
        <v>0</v>
      </c>
      <c r="Q95" s="84">
        <f t="shared" ca="1" si="8"/>
        <v>0</v>
      </c>
      <c r="R95" s="82"/>
      <c r="S95" s="82"/>
      <c r="T95" s="82"/>
      <c r="U95" s="84"/>
      <c r="V95" s="82"/>
      <c r="W95" s="82"/>
      <c r="X95" s="84"/>
      <c r="Y95" s="82"/>
      <c r="Z95" s="82"/>
      <c r="AA95" s="84"/>
      <c r="AB95" s="82"/>
      <c r="AC95" s="82"/>
      <c r="AD95" s="84"/>
    </row>
    <row r="96" spans="1:30" ht="24" hidden="1" customHeight="1" x14ac:dyDescent="0.2">
      <c r="A96" s="111">
        <f t="shared" si="56"/>
        <v>7</v>
      </c>
      <c r="B96" s="112" t="s">
        <v>118</v>
      </c>
      <c r="C96" s="80">
        <f t="shared" ca="1" si="0"/>
        <v>1085800</v>
      </c>
      <c r="D96" s="81">
        <f t="shared" ca="1" si="55"/>
        <v>1085800</v>
      </c>
      <c r="E96" s="82">
        <f ca="1">IFERROR(__xludf.DUMMYFUNCTION("IMPORTRANGE(""https://docs.google.com/spreadsheets/d/1MeEWN-I1oV_STSDYn1IFDPWt_1FKiwhDph83XaGc0o0/edit?usp=sharing"",""งบพรบ!BL96"")"),0)</f>
        <v>0</v>
      </c>
      <c r="F96" s="82">
        <f ca="1">IFERROR(__xludf.DUMMYFUNCTION("IMPORTRANGE(""https://docs.google.com/spreadsheets/d/1MeEWN-I1oV_STSDYn1IFDPWt_1FKiwhDph83XaGc0o0/edit?usp=sharing"",""งบพรบ!BM96"")"),1085800)</f>
        <v>1085800</v>
      </c>
      <c r="G96" s="82">
        <f ca="1">IFERROR(__xludf.DUMMYFUNCTION("IMPORTRANGE(""https://docs.google.com/spreadsheets/d/1MeEWN-I1oV_STSDYn1IFDPWt_1FKiwhDph83XaGc0o0/edit?usp=sharing"",""งบพรบ!BN96"")"),0)</f>
        <v>0</v>
      </c>
      <c r="H96" s="82">
        <f ca="1">IFERROR(__xludf.DUMMYFUNCTION("IMPORTRANGE(""https://docs.google.com/spreadsheets/d/1MeEWN-I1oV_STSDYn1IFDPWt_1FKiwhDph83XaGc0o0/edit?usp=sharing"",""งบพรบ!BP96"")"),1050000)</f>
        <v>1050000</v>
      </c>
      <c r="I96" s="82">
        <f ca="1">IFERROR(__xludf.DUMMYFUNCTION("IMPORTRANGE(""https://docs.google.com/spreadsheets/d/1MeEWN-I1oV_STSDYn1IFDPWt_1FKiwhDph83XaGc0o0/edit?usp=sharing"",""งบพรบ!BQ96"")"),0)</f>
        <v>0</v>
      </c>
      <c r="J96" s="82">
        <f t="shared" ca="1" si="3"/>
        <v>218733.42</v>
      </c>
      <c r="K96" s="83">
        <f t="shared" ca="1" si="4"/>
        <v>20.144908822987659</v>
      </c>
      <c r="L96" s="82">
        <f ca="1">IFERROR(__xludf.DUMMYFUNCTION("IMPORTRANGE(""https://docs.google.com/spreadsheets/d/1MeEWN-I1oV_STSDYn1IFDPWt_1FKiwhDph83XaGc0o0/edit?usp=sharing"",""งบพรบ!BR96"")"),218733.42)</f>
        <v>218733.42</v>
      </c>
      <c r="M96" s="84">
        <f t="shared" ca="1" si="5"/>
        <v>20.144908822987659</v>
      </c>
      <c r="N96" s="84">
        <f t="shared" ca="1" si="6"/>
        <v>20.831754285714286</v>
      </c>
      <c r="O96" s="85">
        <f ca="1">IFERROR(__xludf.DUMMYFUNCTION("IMPORTRANGE(""https://docs.google.com/spreadsheets/d/1MeEWN-I1oV_STSDYn1IFDPWt_1FKiwhDph83XaGc0o0/edit?usp=sharing"",""งบพรบ!BS96"")"),0)</f>
        <v>0</v>
      </c>
      <c r="P96" s="85">
        <f t="shared" ca="1" si="30"/>
        <v>0</v>
      </c>
      <c r="Q96" s="84">
        <f t="shared" ca="1" si="8"/>
        <v>0</v>
      </c>
      <c r="R96" s="82"/>
      <c r="S96" s="82"/>
      <c r="T96" s="82"/>
      <c r="U96" s="84"/>
      <c r="V96" s="82"/>
      <c r="W96" s="82"/>
      <c r="X96" s="84"/>
      <c r="Y96" s="82"/>
      <c r="Z96" s="82"/>
      <c r="AA96" s="84"/>
      <c r="AB96" s="82"/>
      <c r="AC96" s="82"/>
      <c r="AD96" s="84"/>
    </row>
    <row r="97" spans="1:30" ht="24" hidden="1" customHeight="1" x14ac:dyDescent="0.2">
      <c r="A97" s="111">
        <f t="shared" si="56"/>
        <v>8</v>
      </c>
      <c r="B97" s="112" t="s">
        <v>119</v>
      </c>
      <c r="C97" s="80">
        <f t="shared" ca="1" si="0"/>
        <v>0</v>
      </c>
      <c r="D97" s="81">
        <f t="shared" ca="1" si="55"/>
        <v>0</v>
      </c>
      <c r="E97" s="82">
        <f ca="1">IFERROR(__xludf.DUMMYFUNCTION("IMPORTRANGE(""https://docs.google.com/spreadsheets/d/1MeEWN-I1oV_STSDYn1IFDPWt_1FKiwhDph83XaGc0o0/edit?usp=sharing"",""งบพรบ!BL97"")"),0)</f>
        <v>0</v>
      </c>
      <c r="F97" s="82">
        <f ca="1">IFERROR(__xludf.DUMMYFUNCTION("IMPORTRANGE(""https://docs.google.com/spreadsheets/d/1MeEWN-I1oV_STSDYn1IFDPWt_1FKiwhDph83XaGc0o0/edit?usp=sharing"",""งบพรบ!BM97"")"),0)</f>
        <v>0</v>
      </c>
      <c r="G97" s="82">
        <f ca="1">IFERROR(__xludf.DUMMYFUNCTION("IMPORTRANGE(""https://docs.google.com/spreadsheets/d/1MeEWN-I1oV_STSDYn1IFDPWt_1FKiwhDph83XaGc0o0/edit?usp=sharing"",""งบพรบ!BN97"")"),0)</f>
        <v>0</v>
      </c>
      <c r="H97" s="82">
        <f ca="1">IFERROR(__xludf.DUMMYFUNCTION("IMPORTRANGE(""https://docs.google.com/spreadsheets/d/1MeEWN-I1oV_STSDYn1IFDPWt_1FKiwhDph83XaGc0o0/edit?usp=sharing"",""งบพรบ!BP97"")"),0)</f>
        <v>0</v>
      </c>
      <c r="I97" s="82">
        <f ca="1">IFERROR(__xludf.DUMMYFUNCTION("IMPORTRANGE(""https://docs.google.com/spreadsheets/d/1MeEWN-I1oV_STSDYn1IFDPWt_1FKiwhDph83XaGc0o0/edit?usp=sharing"",""งบพรบ!BQ97"")"),0)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IFERROR(__xludf.DUMMYFUNCTION("IMPORTRANGE(""https://docs.google.com/spreadsheets/d/1MeEWN-I1oV_STSDYn1IFDPWt_1FKiwhDph83XaGc0o0/edit?usp=sharing"",""งบพรบ!BR97"")"),0)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IFERROR(__xludf.DUMMYFUNCTION("IMPORTRANGE(""https://docs.google.com/spreadsheets/d/1MeEWN-I1oV_STSDYn1IFDPWt_1FKiwhDph83XaGc0o0/edit?usp=sharing"",""งบพรบ!BS97"")"),0)</f>
        <v>0</v>
      </c>
      <c r="P97" s="85">
        <f t="shared" ca="1" si="30"/>
        <v>0</v>
      </c>
      <c r="Q97" s="84">
        <f t="shared" ca="1" si="8"/>
        <v>0</v>
      </c>
      <c r="R97" s="82"/>
      <c r="S97" s="82"/>
      <c r="T97" s="82"/>
      <c r="U97" s="84"/>
      <c r="V97" s="82"/>
      <c r="W97" s="82"/>
      <c r="X97" s="84"/>
      <c r="Y97" s="82"/>
      <c r="Z97" s="82"/>
      <c r="AA97" s="84"/>
      <c r="AB97" s="82"/>
      <c r="AC97" s="82"/>
      <c r="AD97" s="84"/>
    </row>
    <row r="98" spans="1:30" ht="24" hidden="1" customHeight="1" x14ac:dyDescent="0.2">
      <c r="A98" s="111">
        <f t="shared" si="56"/>
        <v>9</v>
      </c>
      <c r="B98" s="112" t="s">
        <v>120</v>
      </c>
      <c r="C98" s="80">
        <f t="shared" ca="1" si="0"/>
        <v>0</v>
      </c>
      <c r="D98" s="81">
        <f t="shared" ca="1" si="55"/>
        <v>0</v>
      </c>
      <c r="E98" s="82">
        <f ca="1">IFERROR(__xludf.DUMMYFUNCTION("IMPORTRANGE(""https://docs.google.com/spreadsheets/d/1MeEWN-I1oV_STSDYn1IFDPWt_1FKiwhDph83XaGc0o0/edit?usp=sharing"",""งบพรบ!BL98"")"),0)</f>
        <v>0</v>
      </c>
      <c r="F98" s="82">
        <f ca="1">IFERROR(__xludf.DUMMYFUNCTION("IMPORTRANGE(""https://docs.google.com/spreadsheets/d/1MeEWN-I1oV_STSDYn1IFDPWt_1FKiwhDph83XaGc0o0/edit?usp=sharing"",""งบพรบ!BM98"")"),0)</f>
        <v>0</v>
      </c>
      <c r="G98" s="82">
        <f ca="1">IFERROR(__xludf.DUMMYFUNCTION("IMPORTRANGE(""https://docs.google.com/spreadsheets/d/1MeEWN-I1oV_STSDYn1IFDPWt_1FKiwhDph83XaGc0o0/edit?usp=sharing"",""งบพรบ!BN98"")"),0)</f>
        <v>0</v>
      </c>
      <c r="H98" s="82">
        <f ca="1">IFERROR(__xludf.DUMMYFUNCTION("IMPORTRANGE(""https://docs.google.com/spreadsheets/d/1MeEWN-I1oV_STSDYn1IFDPWt_1FKiwhDph83XaGc0o0/edit?usp=sharing"",""งบพรบ!BP98"")"),0)</f>
        <v>0</v>
      </c>
      <c r="I98" s="82">
        <f ca="1">IFERROR(__xludf.DUMMYFUNCTION("IMPORTRANGE(""https://docs.google.com/spreadsheets/d/1MeEWN-I1oV_STSDYn1IFDPWt_1FKiwhDph83XaGc0o0/edit?usp=sharing"",""งบพรบ!BQ98"")"),0)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IFERROR(__xludf.DUMMYFUNCTION("IMPORTRANGE(""https://docs.google.com/spreadsheets/d/1MeEWN-I1oV_STSDYn1IFDPWt_1FKiwhDph83XaGc0o0/edit?usp=sharing"",""งบพรบ!BR98"")"),0)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IFERROR(__xludf.DUMMYFUNCTION("IMPORTRANGE(""https://docs.google.com/spreadsheets/d/1MeEWN-I1oV_STSDYn1IFDPWt_1FKiwhDph83XaGc0o0/edit?usp=sharing"",""งบพรบ!BS98"")"),0)</f>
        <v>0</v>
      </c>
      <c r="P98" s="85">
        <f t="shared" ca="1" si="30"/>
        <v>0</v>
      </c>
      <c r="Q98" s="84">
        <f t="shared" ca="1" si="8"/>
        <v>0</v>
      </c>
      <c r="R98" s="82"/>
      <c r="S98" s="82"/>
      <c r="T98" s="82"/>
      <c r="U98" s="84"/>
      <c r="V98" s="82"/>
      <c r="W98" s="82"/>
      <c r="X98" s="84"/>
      <c r="Y98" s="82"/>
      <c r="Z98" s="82"/>
      <c r="AA98" s="84"/>
      <c r="AB98" s="82"/>
      <c r="AC98" s="82"/>
      <c r="AD98" s="84"/>
    </row>
    <row r="99" spans="1:30" ht="24" hidden="1" customHeight="1" x14ac:dyDescent="0.2">
      <c r="A99" s="111">
        <f t="shared" si="56"/>
        <v>10</v>
      </c>
      <c r="B99" s="112" t="s">
        <v>121</v>
      </c>
      <c r="C99" s="80">
        <f t="shared" ca="1" si="0"/>
        <v>0</v>
      </c>
      <c r="D99" s="81">
        <f t="shared" ca="1" si="55"/>
        <v>0</v>
      </c>
      <c r="E99" s="82">
        <f ca="1">IFERROR(__xludf.DUMMYFUNCTION("IMPORTRANGE(""https://docs.google.com/spreadsheets/d/1MeEWN-I1oV_STSDYn1IFDPWt_1FKiwhDph83XaGc0o0/edit?usp=sharing"",""งบพรบ!BL99"")"),0)</f>
        <v>0</v>
      </c>
      <c r="F99" s="82">
        <f ca="1">IFERROR(__xludf.DUMMYFUNCTION("IMPORTRANGE(""https://docs.google.com/spreadsheets/d/1MeEWN-I1oV_STSDYn1IFDPWt_1FKiwhDph83XaGc0o0/edit?usp=sharing"",""งบพรบ!BM99"")"),0)</f>
        <v>0</v>
      </c>
      <c r="G99" s="82">
        <f ca="1">IFERROR(__xludf.DUMMYFUNCTION("IMPORTRANGE(""https://docs.google.com/spreadsheets/d/1MeEWN-I1oV_STSDYn1IFDPWt_1FKiwhDph83XaGc0o0/edit?usp=sharing"",""งบพรบ!BN99"")"),0)</f>
        <v>0</v>
      </c>
      <c r="H99" s="82">
        <f ca="1">IFERROR(__xludf.DUMMYFUNCTION("IMPORTRANGE(""https://docs.google.com/spreadsheets/d/1MeEWN-I1oV_STSDYn1IFDPWt_1FKiwhDph83XaGc0o0/edit?usp=sharing"",""งบพรบ!BP99"")"),0)</f>
        <v>0</v>
      </c>
      <c r="I99" s="82">
        <f ca="1">IFERROR(__xludf.DUMMYFUNCTION("IMPORTRANGE(""https://docs.google.com/spreadsheets/d/1MeEWN-I1oV_STSDYn1IFDPWt_1FKiwhDph83XaGc0o0/edit?usp=sharing"",""งบพรบ!BQ99"")"),0)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IFERROR(__xludf.DUMMYFUNCTION("IMPORTRANGE(""https://docs.google.com/spreadsheets/d/1MeEWN-I1oV_STSDYn1IFDPWt_1FKiwhDph83XaGc0o0/edit?usp=sharing"",""งบพรบ!BR99"")"),0)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IFERROR(__xludf.DUMMYFUNCTION("IMPORTRANGE(""https://docs.google.com/spreadsheets/d/1MeEWN-I1oV_STSDYn1IFDPWt_1FKiwhDph83XaGc0o0/edit?usp=sharing"",""งบพรบ!BS99"")"),0)</f>
        <v>0</v>
      </c>
      <c r="P99" s="85">
        <f t="shared" ca="1" si="30"/>
        <v>0</v>
      </c>
      <c r="Q99" s="84">
        <f t="shared" ca="1" si="8"/>
        <v>0</v>
      </c>
      <c r="R99" s="82"/>
      <c r="S99" s="82"/>
      <c r="T99" s="82"/>
      <c r="U99" s="84"/>
      <c r="V99" s="82"/>
      <c r="W99" s="82"/>
      <c r="X99" s="84"/>
      <c r="Y99" s="82"/>
      <c r="Z99" s="82"/>
      <c r="AA99" s="84"/>
      <c r="AB99" s="82"/>
      <c r="AC99" s="82"/>
      <c r="AD99" s="84"/>
    </row>
    <row r="100" spans="1:30" ht="24" hidden="1" customHeight="1" x14ac:dyDescent="0.2">
      <c r="A100" s="111">
        <f t="shared" si="56"/>
        <v>11</v>
      </c>
      <c r="B100" s="112" t="s">
        <v>122</v>
      </c>
      <c r="C100" s="80">
        <f t="shared" ca="1" si="0"/>
        <v>0</v>
      </c>
      <c r="D100" s="81">
        <f t="shared" ca="1" si="55"/>
        <v>0</v>
      </c>
      <c r="E100" s="82">
        <f ca="1">IFERROR(__xludf.DUMMYFUNCTION("IMPORTRANGE(""https://docs.google.com/spreadsheets/d/1MeEWN-I1oV_STSDYn1IFDPWt_1FKiwhDph83XaGc0o0/edit?usp=sharing"",""งบพรบ!BL100"")"),0)</f>
        <v>0</v>
      </c>
      <c r="F100" s="82">
        <f ca="1">IFERROR(__xludf.DUMMYFUNCTION("IMPORTRANGE(""https://docs.google.com/spreadsheets/d/1MeEWN-I1oV_STSDYn1IFDPWt_1FKiwhDph83XaGc0o0/edit?usp=sharing"",""งบพรบ!BM100"")"),0)</f>
        <v>0</v>
      </c>
      <c r="G100" s="82">
        <f ca="1">IFERROR(__xludf.DUMMYFUNCTION("IMPORTRANGE(""https://docs.google.com/spreadsheets/d/1MeEWN-I1oV_STSDYn1IFDPWt_1FKiwhDph83XaGc0o0/edit?usp=sharing"",""งบพรบ!BN100"")"),0)</f>
        <v>0</v>
      </c>
      <c r="H100" s="82">
        <f ca="1">IFERROR(__xludf.DUMMYFUNCTION("IMPORTRANGE(""https://docs.google.com/spreadsheets/d/1MeEWN-I1oV_STSDYn1IFDPWt_1FKiwhDph83XaGc0o0/edit?usp=sharing"",""งบพรบ!BP100"")"),0)</f>
        <v>0</v>
      </c>
      <c r="I100" s="82">
        <f ca="1">IFERROR(__xludf.DUMMYFUNCTION("IMPORTRANGE(""https://docs.google.com/spreadsheets/d/1MeEWN-I1oV_STSDYn1IFDPWt_1FKiwhDph83XaGc0o0/edit?usp=sharing"",""งบพรบ!BQ100"")"),0)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IFERROR(__xludf.DUMMYFUNCTION("IMPORTRANGE(""https://docs.google.com/spreadsheets/d/1MeEWN-I1oV_STSDYn1IFDPWt_1FKiwhDph83XaGc0o0/edit?usp=sharing"",""งบพรบ!BR100"")"),0)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IFERROR(__xludf.DUMMYFUNCTION("IMPORTRANGE(""https://docs.google.com/spreadsheets/d/1MeEWN-I1oV_STSDYn1IFDPWt_1FKiwhDph83XaGc0o0/edit?usp=sharing"",""งบพรบ!BS100"")"),0)</f>
        <v>0</v>
      </c>
      <c r="P100" s="85">
        <f t="shared" ca="1" si="30"/>
        <v>0</v>
      </c>
      <c r="Q100" s="84">
        <f t="shared" ca="1" si="8"/>
        <v>0</v>
      </c>
      <c r="R100" s="82"/>
      <c r="S100" s="82"/>
      <c r="T100" s="82"/>
      <c r="U100" s="84"/>
      <c r="V100" s="82"/>
      <c r="W100" s="82"/>
      <c r="X100" s="84"/>
      <c r="Y100" s="82"/>
      <c r="Z100" s="82"/>
      <c r="AA100" s="84"/>
      <c r="AB100" s="82"/>
      <c r="AC100" s="82"/>
      <c r="AD100" s="84"/>
    </row>
    <row r="101" spans="1:30" ht="24" hidden="1" customHeight="1" x14ac:dyDescent="0.2">
      <c r="A101" s="111">
        <f t="shared" si="56"/>
        <v>12</v>
      </c>
      <c r="B101" s="112" t="s">
        <v>123</v>
      </c>
      <c r="C101" s="80">
        <f t="shared" ca="1" si="0"/>
        <v>0</v>
      </c>
      <c r="D101" s="81">
        <f t="shared" ca="1" si="55"/>
        <v>0</v>
      </c>
      <c r="E101" s="82">
        <f ca="1">IFERROR(__xludf.DUMMYFUNCTION("IMPORTRANGE(""https://docs.google.com/spreadsheets/d/1MeEWN-I1oV_STSDYn1IFDPWt_1FKiwhDph83XaGc0o0/edit?usp=sharing"",""งบพรบ!BL101"")"),0)</f>
        <v>0</v>
      </c>
      <c r="F101" s="82">
        <f ca="1">IFERROR(__xludf.DUMMYFUNCTION("IMPORTRANGE(""https://docs.google.com/spreadsheets/d/1MeEWN-I1oV_STSDYn1IFDPWt_1FKiwhDph83XaGc0o0/edit?usp=sharing"",""งบพรบ!BM101"")"),0)</f>
        <v>0</v>
      </c>
      <c r="G101" s="82">
        <f ca="1">IFERROR(__xludf.DUMMYFUNCTION("IMPORTRANGE(""https://docs.google.com/spreadsheets/d/1MeEWN-I1oV_STSDYn1IFDPWt_1FKiwhDph83XaGc0o0/edit?usp=sharing"",""งบพรบ!BN101"")"),0)</f>
        <v>0</v>
      </c>
      <c r="H101" s="82">
        <f ca="1">IFERROR(__xludf.DUMMYFUNCTION("IMPORTRANGE(""https://docs.google.com/spreadsheets/d/1MeEWN-I1oV_STSDYn1IFDPWt_1FKiwhDph83XaGc0o0/edit?usp=sharing"",""งบพรบ!BP101"")"),0)</f>
        <v>0</v>
      </c>
      <c r="I101" s="82">
        <f ca="1">IFERROR(__xludf.DUMMYFUNCTION("IMPORTRANGE(""https://docs.google.com/spreadsheets/d/1MeEWN-I1oV_STSDYn1IFDPWt_1FKiwhDph83XaGc0o0/edit?usp=sharing"",""งบพรบ!BQ101"")"),0)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IFERROR(__xludf.DUMMYFUNCTION("IMPORTRANGE(""https://docs.google.com/spreadsheets/d/1MeEWN-I1oV_STSDYn1IFDPWt_1FKiwhDph83XaGc0o0/edit?usp=sharing"",""งบพรบ!BR101"")"),0)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IFERROR(__xludf.DUMMYFUNCTION("IMPORTRANGE(""https://docs.google.com/spreadsheets/d/1MeEWN-I1oV_STSDYn1IFDPWt_1FKiwhDph83XaGc0o0/edit?usp=sharing"",""งบพรบ!BS101"")"),0)</f>
        <v>0</v>
      </c>
      <c r="P101" s="85">
        <f t="shared" ca="1" si="30"/>
        <v>0</v>
      </c>
      <c r="Q101" s="84">
        <f t="shared" ca="1" si="8"/>
        <v>0</v>
      </c>
      <c r="R101" s="82"/>
      <c r="S101" s="82"/>
      <c r="T101" s="82"/>
      <c r="U101" s="84"/>
      <c r="V101" s="82"/>
      <c r="W101" s="82"/>
      <c r="X101" s="84"/>
      <c r="Y101" s="82"/>
      <c r="Z101" s="82"/>
      <c r="AA101" s="84"/>
      <c r="AB101" s="82"/>
      <c r="AC101" s="82"/>
      <c r="AD101" s="84"/>
    </row>
    <row r="102" spans="1:30" ht="24" hidden="1" customHeight="1" x14ac:dyDescent="0.2">
      <c r="A102" s="111">
        <f t="shared" si="56"/>
        <v>13</v>
      </c>
      <c r="B102" s="112" t="s">
        <v>124</v>
      </c>
      <c r="C102" s="80">
        <f t="shared" ca="1" si="0"/>
        <v>0</v>
      </c>
      <c r="D102" s="81">
        <f t="shared" ca="1" si="55"/>
        <v>0</v>
      </c>
      <c r="E102" s="82">
        <f ca="1">IFERROR(__xludf.DUMMYFUNCTION("IMPORTRANGE(""https://docs.google.com/spreadsheets/d/1MeEWN-I1oV_STSDYn1IFDPWt_1FKiwhDph83XaGc0o0/edit?usp=sharing"",""งบพรบ!BL102"")"),0)</f>
        <v>0</v>
      </c>
      <c r="F102" s="82">
        <f ca="1">IFERROR(__xludf.DUMMYFUNCTION("IMPORTRANGE(""https://docs.google.com/spreadsheets/d/1MeEWN-I1oV_STSDYn1IFDPWt_1FKiwhDph83XaGc0o0/edit?usp=sharing"",""งบพรบ!BM102"")"),0)</f>
        <v>0</v>
      </c>
      <c r="G102" s="82">
        <f ca="1">IFERROR(__xludf.DUMMYFUNCTION("IMPORTRANGE(""https://docs.google.com/spreadsheets/d/1MeEWN-I1oV_STSDYn1IFDPWt_1FKiwhDph83XaGc0o0/edit?usp=sharing"",""งบพรบ!BN102"")"),0)</f>
        <v>0</v>
      </c>
      <c r="H102" s="82">
        <f ca="1">IFERROR(__xludf.DUMMYFUNCTION("IMPORTRANGE(""https://docs.google.com/spreadsheets/d/1MeEWN-I1oV_STSDYn1IFDPWt_1FKiwhDph83XaGc0o0/edit?usp=sharing"",""งบพรบ!BP102"")"),0)</f>
        <v>0</v>
      </c>
      <c r="I102" s="82">
        <f ca="1">IFERROR(__xludf.DUMMYFUNCTION("IMPORTRANGE(""https://docs.google.com/spreadsheets/d/1MeEWN-I1oV_STSDYn1IFDPWt_1FKiwhDph83XaGc0o0/edit?usp=sharing"",""งบพรบ!BQ102"")"),0)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IFERROR(__xludf.DUMMYFUNCTION("IMPORTRANGE(""https://docs.google.com/spreadsheets/d/1MeEWN-I1oV_STSDYn1IFDPWt_1FKiwhDph83XaGc0o0/edit?usp=sharing"",""งบพรบ!BR102"")"),0)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IFERROR(__xludf.DUMMYFUNCTION("IMPORTRANGE(""https://docs.google.com/spreadsheets/d/1MeEWN-I1oV_STSDYn1IFDPWt_1FKiwhDph83XaGc0o0/edit?usp=sharing"",""งบพรบ!BS102"")"),0)</f>
        <v>0</v>
      </c>
      <c r="P102" s="85">
        <f t="shared" ca="1" si="30"/>
        <v>0</v>
      </c>
      <c r="Q102" s="84">
        <f t="shared" ca="1" si="8"/>
        <v>0</v>
      </c>
      <c r="R102" s="82"/>
      <c r="S102" s="82"/>
      <c r="T102" s="82"/>
      <c r="U102" s="84"/>
      <c r="V102" s="82"/>
      <c r="W102" s="82"/>
      <c r="X102" s="84"/>
      <c r="Y102" s="82"/>
      <c r="Z102" s="82"/>
      <c r="AA102" s="84"/>
      <c r="AB102" s="82"/>
      <c r="AC102" s="82"/>
      <c r="AD102" s="84"/>
    </row>
    <row r="103" spans="1:30" ht="24" hidden="1" customHeight="1" x14ac:dyDescent="0.2">
      <c r="A103" s="113">
        <f t="shared" si="56"/>
        <v>14</v>
      </c>
      <c r="B103" s="114" t="s">
        <v>125</v>
      </c>
      <c r="C103" s="91">
        <f t="shared" ca="1" si="0"/>
        <v>0</v>
      </c>
      <c r="D103" s="92">
        <f t="shared" ca="1" si="55"/>
        <v>0</v>
      </c>
      <c r="E103" s="93">
        <f ca="1">IFERROR(__xludf.DUMMYFUNCTION("IMPORTRANGE(""https://docs.google.com/spreadsheets/d/1MeEWN-I1oV_STSDYn1IFDPWt_1FKiwhDph83XaGc0o0/edit?usp=sharing"",""งบพรบ!BL103"")"),0)</f>
        <v>0</v>
      </c>
      <c r="F103" s="93">
        <f ca="1">IFERROR(__xludf.DUMMYFUNCTION("IMPORTRANGE(""https://docs.google.com/spreadsheets/d/1MeEWN-I1oV_STSDYn1IFDPWt_1FKiwhDph83XaGc0o0/edit?usp=sharing"",""งบพรบ!BM103"")"),0)</f>
        <v>0</v>
      </c>
      <c r="G103" s="93">
        <f ca="1">IFERROR(__xludf.DUMMYFUNCTION("IMPORTRANGE(""https://docs.google.com/spreadsheets/d/1MeEWN-I1oV_STSDYn1IFDPWt_1FKiwhDph83XaGc0o0/edit?usp=sharing"",""งบพรบ!BN103"")"),0)</f>
        <v>0</v>
      </c>
      <c r="H103" s="93">
        <f ca="1">IFERROR(__xludf.DUMMYFUNCTION("IMPORTRANGE(""https://docs.google.com/spreadsheets/d/1MeEWN-I1oV_STSDYn1IFDPWt_1FKiwhDph83XaGc0o0/edit?usp=sharing"",""งบพรบ!BP103"")"),0)</f>
        <v>0</v>
      </c>
      <c r="I103" s="93">
        <f ca="1">IFERROR(__xludf.DUMMYFUNCTION("IMPORTRANGE(""https://docs.google.com/spreadsheets/d/1MeEWN-I1oV_STSDYn1IFDPWt_1FKiwhDph83XaGc0o0/edit?usp=sharing"",""งบพรบ!BQ103"")"),0)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IFERROR(__xludf.DUMMYFUNCTION("IMPORTRANGE(""https://docs.google.com/spreadsheets/d/1MeEWN-I1oV_STSDYn1IFDPWt_1FKiwhDph83XaGc0o0/edit?usp=sharing"",""งบพรบ!BR103"")"),0)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IFERROR(__xludf.DUMMYFUNCTION("IMPORTRANGE(""https://docs.google.com/spreadsheets/d/1MeEWN-I1oV_STSDYn1IFDPWt_1FKiwhDph83XaGc0o0/edit?usp=sharing"",""งบพรบ!BS103"")"),0)</f>
        <v>0</v>
      </c>
      <c r="P103" s="96">
        <f t="shared" ca="1" si="30"/>
        <v>0</v>
      </c>
      <c r="Q103" s="95">
        <f t="shared" ca="1" si="8"/>
        <v>0</v>
      </c>
      <c r="R103" s="93"/>
      <c r="S103" s="93"/>
      <c r="T103" s="93"/>
      <c r="U103" s="95"/>
      <c r="V103" s="93"/>
      <c r="W103" s="93"/>
      <c r="X103" s="95"/>
      <c r="Y103" s="93"/>
      <c r="Z103" s="93"/>
      <c r="AA103" s="95"/>
      <c r="AB103" s="93"/>
      <c r="AC103" s="93"/>
      <c r="AD103" s="95"/>
    </row>
    <row r="104" spans="1:30" ht="21" hidden="1" customHeight="1" x14ac:dyDescent="0.2">
      <c r="A104" s="381" t="s">
        <v>126</v>
      </c>
      <c r="B104" s="357"/>
      <c r="C104" s="107">
        <f t="shared" ca="1" si="0"/>
        <v>246900</v>
      </c>
      <c r="D104" s="46">
        <f ca="1">SUM(D105:D116)</f>
        <v>246900</v>
      </c>
      <c r="E104" s="46">
        <f ca="1">IFERROR(__xludf.DUMMYFUNCTION("IMPORTRANGE(""https://docs.google.com/spreadsheets/d/1MeEWN-I1oV_STSDYn1IFDPWt_1FKiwhDph83XaGc0o0/edit?usp=sharing"",""งบพรบ!BL104"")"),246900)</f>
        <v>246900</v>
      </c>
      <c r="F104" s="46">
        <f ca="1">IFERROR(__xludf.DUMMYFUNCTION("IMPORTRANGE(""https://docs.google.com/spreadsheets/d/1MeEWN-I1oV_STSDYn1IFDPWt_1FKiwhDph83XaGc0o0/edit?usp=sharing"",""งบพรบ!BM104"")"),0)</f>
        <v>0</v>
      </c>
      <c r="G104" s="46">
        <f ca="1">IFERROR(__xludf.DUMMYFUNCTION("IMPORTRANGE(""https://docs.google.com/spreadsheets/d/1MeEWN-I1oV_STSDYn1IFDPWt_1FKiwhDph83XaGc0o0/edit?usp=sharing"",""งบพรบ!BN104"")"),0)</f>
        <v>0</v>
      </c>
      <c r="H104" s="46">
        <f ca="1">IFERROR(__xludf.DUMMYFUNCTION("IMPORTRANGE(""https://docs.google.com/spreadsheets/d/1MeEWN-I1oV_STSDYn1IFDPWt_1FKiwhDph83XaGc0o0/edit?usp=sharing"",""งบพรบ!BP104"")"),61700)</f>
        <v>61700</v>
      </c>
      <c r="I104" s="46">
        <f ca="1">IFERROR(__xludf.DUMMYFUNCTION("IMPORTRANGE(""https://docs.google.com/spreadsheets/d/1MeEWN-I1oV_STSDYn1IFDPWt_1FKiwhDph83XaGc0o0/edit?usp=sharing"",""งบพรบ!BQ104"")"),10500)</f>
        <v>10500</v>
      </c>
      <c r="J104" s="46">
        <f t="shared" ca="1" si="3"/>
        <v>0</v>
      </c>
      <c r="K104" s="48">
        <f t="shared" ca="1" si="4"/>
        <v>0</v>
      </c>
      <c r="L104" s="46">
        <f ca="1">IFERROR(__xludf.DUMMYFUNCTION("IMPORTRANGE(""https://docs.google.com/spreadsheets/d/1MeEWN-I1oV_STSDYn1IFDPWt_1FKiwhDph83XaGc0o0/edit?usp=sharing"",""งบพรบ!BR104"")"),0)</f>
        <v>0</v>
      </c>
      <c r="M104" s="48">
        <f t="shared" ca="1" si="5"/>
        <v>0</v>
      </c>
      <c r="N104" s="48">
        <f t="shared" ca="1" si="6"/>
        <v>0</v>
      </c>
      <c r="O104" s="46">
        <f ca="1">IFERROR(__xludf.DUMMYFUNCTION("IMPORTRANGE(""https://docs.google.com/spreadsheets/d/1MeEWN-I1oV_STSDYn1IFDPWt_1FKiwhDph83XaGc0o0/edit?usp=sharing"",""งบพรบ!BS104"")"),0)</f>
        <v>0</v>
      </c>
      <c r="P104" s="46">
        <f t="shared" ca="1" si="30"/>
        <v>0</v>
      </c>
      <c r="Q104" s="46">
        <f t="shared" ca="1" si="8"/>
        <v>0</v>
      </c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</row>
    <row r="105" spans="1:30" ht="24" hidden="1" customHeight="1" x14ac:dyDescent="0.2">
      <c r="A105" s="108">
        <v>1</v>
      </c>
      <c r="B105" s="115" t="s">
        <v>127</v>
      </c>
      <c r="C105" s="116">
        <f t="shared" ca="1" si="0"/>
        <v>246900</v>
      </c>
      <c r="D105" s="71">
        <f t="shared" ref="D105:D116" ca="1" si="57">+E105+F105</f>
        <v>246900</v>
      </c>
      <c r="E105" s="72">
        <f ca="1">IFERROR(__xludf.DUMMYFUNCTION("IMPORTRANGE(""https://docs.google.com/spreadsheets/d/1MeEWN-I1oV_STSDYn1IFDPWt_1FKiwhDph83XaGc0o0/edit?usp=sharing"",""งบพรบ!BL105"")"),246900)</f>
        <v>246900</v>
      </c>
      <c r="F105" s="72">
        <f ca="1">IFERROR(__xludf.DUMMYFUNCTION("IMPORTRANGE(""https://docs.google.com/spreadsheets/d/1MeEWN-I1oV_STSDYn1IFDPWt_1FKiwhDph83XaGc0o0/edit?usp=sharing"",""งบพรบ!BM105"")"),0)</f>
        <v>0</v>
      </c>
      <c r="G105" s="72">
        <f ca="1">IFERROR(__xludf.DUMMYFUNCTION("IMPORTRANGE(""https://docs.google.com/spreadsheets/d/1MeEWN-I1oV_STSDYn1IFDPWt_1FKiwhDph83XaGc0o0/edit?usp=sharing"",""งบพรบ!BN105"")"),0)</f>
        <v>0</v>
      </c>
      <c r="H105" s="72">
        <f ca="1">IFERROR(__xludf.DUMMYFUNCTION("IMPORTRANGE(""https://docs.google.com/spreadsheets/d/1MeEWN-I1oV_STSDYn1IFDPWt_1FKiwhDph83XaGc0o0/edit?usp=sharing"",""งบพรบ!BP105"")"),61700)</f>
        <v>61700</v>
      </c>
      <c r="I105" s="72">
        <f ca="1">IFERROR(__xludf.DUMMYFUNCTION("IMPORTRANGE(""https://docs.google.com/spreadsheets/d/1MeEWN-I1oV_STSDYn1IFDPWt_1FKiwhDph83XaGc0o0/edit?usp=sharing"",""งบพรบ!BQ105"")"),0)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IFERROR(__xludf.DUMMYFUNCTION("IMPORTRANGE(""https://docs.google.com/spreadsheets/d/1MeEWN-I1oV_STSDYn1IFDPWt_1FKiwhDph83XaGc0o0/edit?usp=sharing"",""งบพรบ!BR105"")"),0)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IFERROR(__xludf.DUMMYFUNCTION("IMPORTRANGE(""https://docs.google.com/spreadsheets/d/1MeEWN-I1oV_STSDYn1IFDPWt_1FKiwhDph83XaGc0o0/edit?usp=sharing"",""งบพรบ!BS105"")"),0)</f>
        <v>0</v>
      </c>
      <c r="P105" s="76">
        <f t="shared" ca="1" si="30"/>
        <v>0</v>
      </c>
      <c r="Q105" s="75">
        <f t="shared" ca="1" si="8"/>
        <v>0</v>
      </c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</row>
    <row r="106" spans="1:30" ht="24" hidden="1" customHeight="1" x14ac:dyDescent="0.2">
      <c r="A106" s="111">
        <v>2</v>
      </c>
      <c r="B106" s="117" t="s">
        <v>128</v>
      </c>
      <c r="C106" s="118">
        <f t="shared" ca="1" si="0"/>
        <v>0</v>
      </c>
      <c r="D106" s="81">
        <f t="shared" ca="1" si="57"/>
        <v>0</v>
      </c>
      <c r="E106" s="82">
        <f ca="1">IFERROR(__xludf.DUMMYFUNCTION("IMPORTRANGE(""https://docs.google.com/spreadsheets/d/1MeEWN-I1oV_STSDYn1IFDPWt_1FKiwhDph83XaGc0o0/edit?usp=sharing"",""งบพรบ!BL106"")"),0)</f>
        <v>0</v>
      </c>
      <c r="F106" s="82">
        <f ca="1">IFERROR(__xludf.DUMMYFUNCTION("IMPORTRANGE(""https://docs.google.com/spreadsheets/d/1MeEWN-I1oV_STSDYn1IFDPWt_1FKiwhDph83XaGc0o0/edit?usp=sharing"",""งบพรบ!BM106"")"),0)</f>
        <v>0</v>
      </c>
      <c r="G106" s="82">
        <f ca="1">IFERROR(__xludf.DUMMYFUNCTION("IMPORTRANGE(""https://docs.google.com/spreadsheets/d/1MeEWN-I1oV_STSDYn1IFDPWt_1FKiwhDph83XaGc0o0/edit?usp=sharing"",""งบพรบ!BN106"")"),0)</f>
        <v>0</v>
      </c>
      <c r="H106" s="82">
        <f ca="1">IFERROR(__xludf.DUMMYFUNCTION("IMPORTRANGE(""https://docs.google.com/spreadsheets/d/1MeEWN-I1oV_STSDYn1IFDPWt_1FKiwhDph83XaGc0o0/edit?usp=sharing"",""งบพรบ!BP106"")"),0)</f>
        <v>0</v>
      </c>
      <c r="I106" s="82">
        <f ca="1">IFERROR(__xludf.DUMMYFUNCTION("IMPORTRANGE(""https://docs.google.com/spreadsheets/d/1MeEWN-I1oV_STSDYn1IFDPWt_1FKiwhDph83XaGc0o0/edit?usp=sharing"",""งบพรบ!BQ106"")"),0)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IFERROR(__xludf.DUMMYFUNCTION("IMPORTRANGE(""https://docs.google.com/spreadsheets/d/1MeEWN-I1oV_STSDYn1IFDPWt_1FKiwhDph83XaGc0o0/edit?usp=sharing"",""งบพรบ!BR106"")"),0)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IFERROR(__xludf.DUMMYFUNCTION("IMPORTRANGE(""https://docs.google.com/spreadsheets/d/1MeEWN-I1oV_STSDYn1IFDPWt_1FKiwhDph83XaGc0o0/edit?usp=sharing"",""งบพรบ!BS106"")"),0)</f>
        <v>0</v>
      </c>
      <c r="P106" s="85">
        <f t="shared" ca="1" si="30"/>
        <v>0</v>
      </c>
      <c r="Q106" s="84">
        <f t="shared" ca="1" si="8"/>
        <v>0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</row>
    <row r="107" spans="1:30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57"/>
        <v>0</v>
      </c>
      <c r="E107" s="82">
        <f ca="1">IFERROR(__xludf.DUMMYFUNCTION("IMPORTRANGE(""https://docs.google.com/spreadsheets/d/1MeEWN-I1oV_STSDYn1IFDPWt_1FKiwhDph83XaGc0o0/edit?usp=sharing"",""งบพรบ!BL107"")"),0)</f>
        <v>0</v>
      </c>
      <c r="F107" s="82">
        <f ca="1">IFERROR(__xludf.DUMMYFUNCTION("IMPORTRANGE(""https://docs.google.com/spreadsheets/d/1MeEWN-I1oV_STSDYn1IFDPWt_1FKiwhDph83XaGc0o0/edit?usp=sharing"",""งบพรบ!BM107"")"),0)</f>
        <v>0</v>
      </c>
      <c r="G107" s="82">
        <f ca="1">IFERROR(__xludf.DUMMYFUNCTION("IMPORTRANGE(""https://docs.google.com/spreadsheets/d/1MeEWN-I1oV_STSDYn1IFDPWt_1FKiwhDph83XaGc0o0/edit?usp=sharing"",""งบพรบ!BN107"")"),0)</f>
        <v>0</v>
      </c>
      <c r="H107" s="82">
        <f ca="1">IFERROR(__xludf.DUMMYFUNCTION("IMPORTRANGE(""https://docs.google.com/spreadsheets/d/1MeEWN-I1oV_STSDYn1IFDPWt_1FKiwhDph83XaGc0o0/edit?usp=sharing"",""งบพรบ!BP107"")"),0)</f>
        <v>0</v>
      </c>
      <c r="I107" s="82">
        <f ca="1">IFERROR(__xludf.DUMMYFUNCTION("IMPORTRANGE(""https://docs.google.com/spreadsheets/d/1MeEWN-I1oV_STSDYn1IFDPWt_1FKiwhDph83XaGc0o0/edit?usp=sharing"",""งบพรบ!BQ107"")"),0)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IFERROR(__xludf.DUMMYFUNCTION("IMPORTRANGE(""https://docs.google.com/spreadsheets/d/1MeEWN-I1oV_STSDYn1IFDPWt_1FKiwhDph83XaGc0o0/edit?usp=sharing"",""งบพรบ!BR107"")"),0)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IFERROR(__xludf.DUMMYFUNCTION("IMPORTRANGE(""https://docs.google.com/spreadsheets/d/1MeEWN-I1oV_STSDYn1IFDPWt_1FKiwhDph83XaGc0o0/edit?usp=sharing"",""งบพรบ!BS107"")"),0)</f>
        <v>0</v>
      </c>
      <c r="P107" s="85">
        <f t="shared" ca="1" si="30"/>
        <v>0</v>
      </c>
      <c r="Q107" s="84">
        <f t="shared" ca="1" si="8"/>
        <v>0</v>
      </c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</row>
    <row r="108" spans="1:30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57"/>
        <v>0</v>
      </c>
      <c r="E108" s="82">
        <f ca="1">IFERROR(__xludf.DUMMYFUNCTION("IMPORTRANGE(""https://docs.google.com/spreadsheets/d/1MeEWN-I1oV_STSDYn1IFDPWt_1FKiwhDph83XaGc0o0/edit?usp=sharing"",""งบพรบ!BL108"")"),0)</f>
        <v>0</v>
      </c>
      <c r="F108" s="82">
        <f ca="1">IFERROR(__xludf.DUMMYFUNCTION("IMPORTRANGE(""https://docs.google.com/spreadsheets/d/1MeEWN-I1oV_STSDYn1IFDPWt_1FKiwhDph83XaGc0o0/edit?usp=sharing"",""งบพรบ!BM108"")"),0)</f>
        <v>0</v>
      </c>
      <c r="G108" s="82">
        <f ca="1">IFERROR(__xludf.DUMMYFUNCTION("IMPORTRANGE(""https://docs.google.com/spreadsheets/d/1MeEWN-I1oV_STSDYn1IFDPWt_1FKiwhDph83XaGc0o0/edit?usp=sharing"",""งบพรบ!BN108"")"),0)</f>
        <v>0</v>
      </c>
      <c r="H108" s="82">
        <f ca="1">IFERROR(__xludf.DUMMYFUNCTION("IMPORTRANGE(""https://docs.google.com/spreadsheets/d/1MeEWN-I1oV_STSDYn1IFDPWt_1FKiwhDph83XaGc0o0/edit?usp=sharing"",""งบพรบ!BP108"")"),0)</f>
        <v>0</v>
      </c>
      <c r="I108" s="82">
        <f ca="1">IFERROR(__xludf.DUMMYFUNCTION("IMPORTRANGE(""https://docs.google.com/spreadsheets/d/1MeEWN-I1oV_STSDYn1IFDPWt_1FKiwhDph83XaGc0o0/edit?usp=sharing"",""งบพรบ!BQ108"")"),0)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IFERROR(__xludf.DUMMYFUNCTION("IMPORTRANGE(""https://docs.google.com/spreadsheets/d/1MeEWN-I1oV_STSDYn1IFDPWt_1FKiwhDph83XaGc0o0/edit?usp=sharing"",""งบพรบ!BR108"")"),0)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IFERROR(__xludf.DUMMYFUNCTION("IMPORTRANGE(""https://docs.google.com/spreadsheets/d/1MeEWN-I1oV_STSDYn1IFDPWt_1FKiwhDph83XaGc0o0/edit?usp=sharing"",""งบพรบ!BS108"")"),0)</f>
        <v>0</v>
      </c>
      <c r="P108" s="85">
        <f t="shared" ca="1" si="30"/>
        <v>0</v>
      </c>
      <c r="Q108" s="84">
        <f t="shared" ca="1" si="8"/>
        <v>0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</row>
    <row r="109" spans="1:30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57"/>
        <v>0</v>
      </c>
      <c r="E109" s="82">
        <f ca="1">IFERROR(__xludf.DUMMYFUNCTION("IMPORTRANGE(""https://docs.google.com/spreadsheets/d/1MeEWN-I1oV_STSDYn1IFDPWt_1FKiwhDph83XaGc0o0/edit?usp=sharing"",""งบพรบ!BL109"")"),0)</f>
        <v>0</v>
      </c>
      <c r="F109" s="82">
        <f ca="1">IFERROR(__xludf.DUMMYFUNCTION("IMPORTRANGE(""https://docs.google.com/spreadsheets/d/1MeEWN-I1oV_STSDYn1IFDPWt_1FKiwhDph83XaGc0o0/edit?usp=sharing"",""งบพรบ!BM109"")"),0)</f>
        <v>0</v>
      </c>
      <c r="G109" s="82">
        <f ca="1">IFERROR(__xludf.DUMMYFUNCTION("IMPORTRANGE(""https://docs.google.com/spreadsheets/d/1MeEWN-I1oV_STSDYn1IFDPWt_1FKiwhDph83XaGc0o0/edit?usp=sharing"",""งบพรบ!BN109"")"),0)</f>
        <v>0</v>
      </c>
      <c r="H109" s="82">
        <f ca="1">IFERROR(__xludf.DUMMYFUNCTION("IMPORTRANGE(""https://docs.google.com/spreadsheets/d/1MeEWN-I1oV_STSDYn1IFDPWt_1FKiwhDph83XaGc0o0/edit?usp=sharing"",""งบพรบ!BP109"")"),0)</f>
        <v>0</v>
      </c>
      <c r="I109" s="82">
        <f ca="1">IFERROR(__xludf.DUMMYFUNCTION("IMPORTRANGE(""https://docs.google.com/spreadsheets/d/1MeEWN-I1oV_STSDYn1IFDPWt_1FKiwhDph83XaGc0o0/edit?usp=sharing"",""งบพรบ!BQ109"")"),0)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IFERROR(__xludf.DUMMYFUNCTION("IMPORTRANGE(""https://docs.google.com/spreadsheets/d/1MeEWN-I1oV_STSDYn1IFDPWt_1FKiwhDph83XaGc0o0/edit?usp=sharing"",""งบพรบ!BR109"")"),0)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IFERROR(__xludf.DUMMYFUNCTION("IMPORTRANGE(""https://docs.google.com/spreadsheets/d/1MeEWN-I1oV_STSDYn1IFDPWt_1FKiwhDph83XaGc0o0/edit?usp=sharing"",""งบพรบ!BS109"")"),0)</f>
        <v>0</v>
      </c>
      <c r="P109" s="85">
        <f t="shared" ca="1" si="30"/>
        <v>0</v>
      </c>
      <c r="Q109" s="84">
        <f t="shared" ca="1" si="8"/>
        <v>0</v>
      </c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</row>
    <row r="110" spans="1:30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57"/>
        <v>0</v>
      </c>
      <c r="E110" s="82">
        <f ca="1">IFERROR(__xludf.DUMMYFUNCTION("IMPORTRANGE(""https://docs.google.com/spreadsheets/d/1MeEWN-I1oV_STSDYn1IFDPWt_1FKiwhDph83XaGc0o0/edit?usp=sharing"",""งบพรบ!BL110"")"),0)</f>
        <v>0</v>
      </c>
      <c r="F110" s="82">
        <f ca="1">IFERROR(__xludf.DUMMYFUNCTION("IMPORTRANGE(""https://docs.google.com/spreadsheets/d/1MeEWN-I1oV_STSDYn1IFDPWt_1FKiwhDph83XaGc0o0/edit?usp=sharing"",""งบพรบ!BM110"")"),0)</f>
        <v>0</v>
      </c>
      <c r="G110" s="82">
        <f ca="1">IFERROR(__xludf.DUMMYFUNCTION("IMPORTRANGE(""https://docs.google.com/spreadsheets/d/1MeEWN-I1oV_STSDYn1IFDPWt_1FKiwhDph83XaGc0o0/edit?usp=sharing"",""งบพรบ!BN110"")"),0)</f>
        <v>0</v>
      </c>
      <c r="H110" s="82">
        <f ca="1">IFERROR(__xludf.DUMMYFUNCTION("IMPORTRANGE(""https://docs.google.com/spreadsheets/d/1MeEWN-I1oV_STSDYn1IFDPWt_1FKiwhDph83XaGc0o0/edit?usp=sharing"",""งบพรบ!BP110"")"),0)</f>
        <v>0</v>
      </c>
      <c r="I110" s="82">
        <f ca="1">IFERROR(__xludf.DUMMYFUNCTION("IMPORTRANGE(""https://docs.google.com/spreadsheets/d/1MeEWN-I1oV_STSDYn1IFDPWt_1FKiwhDph83XaGc0o0/edit?usp=sharing"",""งบพรบ!BQ110"")"),0)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IFERROR(__xludf.DUMMYFUNCTION("IMPORTRANGE(""https://docs.google.com/spreadsheets/d/1MeEWN-I1oV_STSDYn1IFDPWt_1FKiwhDph83XaGc0o0/edit?usp=sharing"",""งบพรบ!BR110"")"),0)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IFERROR(__xludf.DUMMYFUNCTION("IMPORTRANGE(""https://docs.google.com/spreadsheets/d/1MeEWN-I1oV_STSDYn1IFDPWt_1FKiwhDph83XaGc0o0/edit?usp=sharing"",""งบพรบ!BS110"")"),0)</f>
        <v>0</v>
      </c>
      <c r="P110" s="85">
        <f t="shared" ca="1" si="30"/>
        <v>0</v>
      </c>
      <c r="Q110" s="84">
        <f t="shared" ca="1" si="8"/>
        <v>0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</row>
    <row r="111" spans="1:30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57"/>
        <v>0</v>
      </c>
      <c r="E111" s="82">
        <f ca="1">IFERROR(__xludf.DUMMYFUNCTION("IMPORTRANGE(""https://docs.google.com/spreadsheets/d/1MeEWN-I1oV_STSDYn1IFDPWt_1FKiwhDph83XaGc0o0/edit?usp=sharing"",""งบพรบ!BL111"")"),0)</f>
        <v>0</v>
      </c>
      <c r="F111" s="82">
        <f ca="1">IFERROR(__xludf.DUMMYFUNCTION("IMPORTRANGE(""https://docs.google.com/spreadsheets/d/1MeEWN-I1oV_STSDYn1IFDPWt_1FKiwhDph83XaGc0o0/edit?usp=sharing"",""งบพรบ!BM111"")"),0)</f>
        <v>0</v>
      </c>
      <c r="G111" s="82">
        <f ca="1">IFERROR(__xludf.DUMMYFUNCTION("IMPORTRANGE(""https://docs.google.com/spreadsheets/d/1MeEWN-I1oV_STSDYn1IFDPWt_1FKiwhDph83XaGc0o0/edit?usp=sharing"",""งบพรบ!BN111"")"),0)</f>
        <v>0</v>
      </c>
      <c r="H111" s="82">
        <f ca="1">IFERROR(__xludf.DUMMYFUNCTION("IMPORTRANGE(""https://docs.google.com/spreadsheets/d/1MeEWN-I1oV_STSDYn1IFDPWt_1FKiwhDph83XaGc0o0/edit?usp=sharing"",""งบพรบ!BP111"")"),0)</f>
        <v>0</v>
      </c>
      <c r="I111" s="82">
        <f ca="1">IFERROR(__xludf.DUMMYFUNCTION("IMPORTRANGE(""https://docs.google.com/spreadsheets/d/1MeEWN-I1oV_STSDYn1IFDPWt_1FKiwhDph83XaGc0o0/edit?usp=sharing"",""งบพรบ!BQ111"")"),0)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IFERROR(__xludf.DUMMYFUNCTION("IMPORTRANGE(""https://docs.google.com/spreadsheets/d/1MeEWN-I1oV_STSDYn1IFDPWt_1FKiwhDph83XaGc0o0/edit?usp=sharing"",""งบพรบ!BR111"")"),0)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IFERROR(__xludf.DUMMYFUNCTION("IMPORTRANGE(""https://docs.google.com/spreadsheets/d/1MeEWN-I1oV_STSDYn1IFDPWt_1FKiwhDph83XaGc0o0/edit?usp=sharing"",""งบพรบ!BS111"")"),0)</f>
        <v>0</v>
      </c>
      <c r="P111" s="85">
        <f t="shared" ca="1" si="30"/>
        <v>0</v>
      </c>
      <c r="Q111" s="84">
        <f t="shared" ca="1" si="8"/>
        <v>0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</row>
    <row r="112" spans="1:30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57"/>
        <v>0</v>
      </c>
      <c r="E112" s="82">
        <f ca="1">IFERROR(__xludf.DUMMYFUNCTION("IMPORTRANGE(""https://docs.google.com/spreadsheets/d/1MeEWN-I1oV_STSDYn1IFDPWt_1FKiwhDph83XaGc0o0/edit?usp=sharing"",""งบพรบ!BL112"")"),0)</f>
        <v>0</v>
      </c>
      <c r="F112" s="82">
        <f ca="1">IFERROR(__xludf.DUMMYFUNCTION("IMPORTRANGE(""https://docs.google.com/spreadsheets/d/1MeEWN-I1oV_STSDYn1IFDPWt_1FKiwhDph83XaGc0o0/edit?usp=sharing"",""งบพรบ!BM112"")"),0)</f>
        <v>0</v>
      </c>
      <c r="G112" s="82">
        <f ca="1">IFERROR(__xludf.DUMMYFUNCTION("IMPORTRANGE(""https://docs.google.com/spreadsheets/d/1MeEWN-I1oV_STSDYn1IFDPWt_1FKiwhDph83XaGc0o0/edit?usp=sharing"",""งบพรบ!BN112"")"),0)</f>
        <v>0</v>
      </c>
      <c r="H112" s="82">
        <f ca="1">IFERROR(__xludf.DUMMYFUNCTION("IMPORTRANGE(""https://docs.google.com/spreadsheets/d/1MeEWN-I1oV_STSDYn1IFDPWt_1FKiwhDph83XaGc0o0/edit?usp=sharing"",""งบพรบ!BP112"")"),0)</f>
        <v>0</v>
      </c>
      <c r="I112" s="82">
        <f ca="1">IFERROR(__xludf.DUMMYFUNCTION("IMPORTRANGE(""https://docs.google.com/spreadsheets/d/1MeEWN-I1oV_STSDYn1IFDPWt_1FKiwhDph83XaGc0o0/edit?usp=sharing"",""งบพรบ!BQ112"")"),0)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IFERROR(__xludf.DUMMYFUNCTION("IMPORTRANGE(""https://docs.google.com/spreadsheets/d/1MeEWN-I1oV_STSDYn1IFDPWt_1FKiwhDph83XaGc0o0/edit?usp=sharing"",""งบพรบ!BR112"")"),0)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IFERROR(__xludf.DUMMYFUNCTION("IMPORTRANGE(""https://docs.google.com/spreadsheets/d/1MeEWN-I1oV_STSDYn1IFDPWt_1FKiwhDph83XaGc0o0/edit?usp=sharing"",""งบพรบ!BS112"")"),0)</f>
        <v>0</v>
      </c>
      <c r="P112" s="85">
        <f t="shared" ca="1" si="30"/>
        <v>0</v>
      </c>
      <c r="Q112" s="84">
        <f t="shared" ca="1" si="8"/>
        <v>0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</row>
    <row r="113" spans="1:30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57"/>
        <v>0</v>
      </c>
      <c r="E113" s="82">
        <f ca="1">IFERROR(__xludf.DUMMYFUNCTION("IMPORTRANGE(""https://docs.google.com/spreadsheets/d/1MeEWN-I1oV_STSDYn1IFDPWt_1FKiwhDph83XaGc0o0/edit?usp=sharing"",""งบพรบ!BL113"")"),0)</f>
        <v>0</v>
      </c>
      <c r="F113" s="82">
        <f ca="1">IFERROR(__xludf.DUMMYFUNCTION("IMPORTRANGE(""https://docs.google.com/spreadsheets/d/1MeEWN-I1oV_STSDYn1IFDPWt_1FKiwhDph83XaGc0o0/edit?usp=sharing"",""งบพรบ!BM113"")"),0)</f>
        <v>0</v>
      </c>
      <c r="G113" s="82">
        <f ca="1">IFERROR(__xludf.DUMMYFUNCTION("IMPORTRANGE(""https://docs.google.com/spreadsheets/d/1MeEWN-I1oV_STSDYn1IFDPWt_1FKiwhDph83XaGc0o0/edit?usp=sharing"",""งบพรบ!BN113"")"),0)</f>
        <v>0</v>
      </c>
      <c r="H113" s="82">
        <f ca="1">IFERROR(__xludf.DUMMYFUNCTION("IMPORTRANGE(""https://docs.google.com/spreadsheets/d/1MeEWN-I1oV_STSDYn1IFDPWt_1FKiwhDph83XaGc0o0/edit?usp=sharing"",""งบพรบ!BP113"")"),0)</f>
        <v>0</v>
      </c>
      <c r="I113" s="82">
        <f ca="1">IFERROR(__xludf.DUMMYFUNCTION("IMPORTRANGE(""https://docs.google.com/spreadsheets/d/1MeEWN-I1oV_STSDYn1IFDPWt_1FKiwhDph83XaGc0o0/edit?usp=sharing"",""งบพรบ!BQ113"")"),0)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IFERROR(__xludf.DUMMYFUNCTION("IMPORTRANGE(""https://docs.google.com/spreadsheets/d/1MeEWN-I1oV_STSDYn1IFDPWt_1FKiwhDph83XaGc0o0/edit?usp=sharing"",""งบพรบ!BR113"")"),0)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IFERROR(__xludf.DUMMYFUNCTION("IMPORTRANGE(""https://docs.google.com/spreadsheets/d/1MeEWN-I1oV_STSDYn1IFDPWt_1FKiwhDph83XaGc0o0/edit?usp=sharing"",""งบพรบ!BS113"")"),0)</f>
        <v>0</v>
      </c>
      <c r="P113" s="85">
        <f t="shared" ca="1" si="30"/>
        <v>0</v>
      </c>
      <c r="Q113" s="84">
        <f t="shared" ca="1" si="8"/>
        <v>0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</row>
    <row r="114" spans="1:30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57"/>
        <v>0</v>
      </c>
      <c r="E114" s="82">
        <f ca="1">IFERROR(__xludf.DUMMYFUNCTION("IMPORTRANGE(""https://docs.google.com/spreadsheets/d/1MeEWN-I1oV_STSDYn1IFDPWt_1FKiwhDph83XaGc0o0/edit?usp=sharing"",""งบพรบ!BL114"")"),0)</f>
        <v>0</v>
      </c>
      <c r="F114" s="82">
        <f ca="1">IFERROR(__xludf.DUMMYFUNCTION("IMPORTRANGE(""https://docs.google.com/spreadsheets/d/1MeEWN-I1oV_STSDYn1IFDPWt_1FKiwhDph83XaGc0o0/edit?usp=sharing"",""งบพรบ!BM114"")"),0)</f>
        <v>0</v>
      </c>
      <c r="G114" s="82">
        <f ca="1">IFERROR(__xludf.DUMMYFUNCTION("IMPORTRANGE(""https://docs.google.com/spreadsheets/d/1MeEWN-I1oV_STSDYn1IFDPWt_1FKiwhDph83XaGc0o0/edit?usp=sharing"",""งบพรบ!BN114"")"),0)</f>
        <v>0</v>
      </c>
      <c r="H114" s="82">
        <f ca="1">IFERROR(__xludf.DUMMYFUNCTION("IMPORTRANGE(""https://docs.google.com/spreadsheets/d/1MeEWN-I1oV_STSDYn1IFDPWt_1FKiwhDph83XaGc0o0/edit?usp=sharing"",""งบพรบ!BP114"")"),0)</f>
        <v>0</v>
      </c>
      <c r="I114" s="82">
        <f ca="1">IFERROR(__xludf.DUMMYFUNCTION("IMPORTRANGE(""https://docs.google.com/spreadsheets/d/1MeEWN-I1oV_STSDYn1IFDPWt_1FKiwhDph83XaGc0o0/edit?usp=sharing"",""งบพรบ!BQ114"")"),0)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IFERROR(__xludf.DUMMYFUNCTION("IMPORTRANGE(""https://docs.google.com/spreadsheets/d/1MeEWN-I1oV_STSDYn1IFDPWt_1FKiwhDph83XaGc0o0/edit?usp=sharing"",""งบพรบ!BR114"")"),0)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IFERROR(__xludf.DUMMYFUNCTION("IMPORTRANGE(""https://docs.google.com/spreadsheets/d/1MeEWN-I1oV_STSDYn1IFDPWt_1FKiwhDph83XaGc0o0/edit?usp=sharing"",""งบพรบ!BS114"")"),0)</f>
        <v>0</v>
      </c>
      <c r="P114" s="85">
        <f t="shared" ca="1" si="30"/>
        <v>0</v>
      </c>
      <c r="Q114" s="84">
        <f t="shared" ca="1" si="8"/>
        <v>0</v>
      </c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</row>
    <row r="115" spans="1:30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57"/>
        <v>0</v>
      </c>
      <c r="E115" s="82">
        <f ca="1">IFERROR(__xludf.DUMMYFUNCTION("IMPORTRANGE(""https://docs.google.com/spreadsheets/d/1MeEWN-I1oV_STSDYn1IFDPWt_1FKiwhDph83XaGc0o0/edit?usp=sharing"",""งบพรบ!BL115"")"),0)</f>
        <v>0</v>
      </c>
      <c r="F115" s="82">
        <f ca="1">IFERROR(__xludf.DUMMYFUNCTION("IMPORTRANGE(""https://docs.google.com/spreadsheets/d/1MeEWN-I1oV_STSDYn1IFDPWt_1FKiwhDph83XaGc0o0/edit?usp=sharing"",""งบพรบ!BM115"")"),0)</f>
        <v>0</v>
      </c>
      <c r="G115" s="82">
        <f ca="1">IFERROR(__xludf.DUMMYFUNCTION("IMPORTRANGE(""https://docs.google.com/spreadsheets/d/1MeEWN-I1oV_STSDYn1IFDPWt_1FKiwhDph83XaGc0o0/edit?usp=sharing"",""งบพรบ!BN115"")"),0)</f>
        <v>0</v>
      </c>
      <c r="H115" s="82">
        <f ca="1">IFERROR(__xludf.DUMMYFUNCTION("IMPORTRANGE(""https://docs.google.com/spreadsheets/d/1MeEWN-I1oV_STSDYn1IFDPWt_1FKiwhDph83XaGc0o0/edit?usp=sharing"",""งบพรบ!BP115"")"),0)</f>
        <v>0</v>
      </c>
      <c r="I115" s="82">
        <f ca="1">IFERROR(__xludf.DUMMYFUNCTION("IMPORTRANGE(""https://docs.google.com/spreadsheets/d/1MeEWN-I1oV_STSDYn1IFDPWt_1FKiwhDph83XaGc0o0/edit?usp=sharing"",""งบพรบ!BQ115"")"),0)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IFERROR(__xludf.DUMMYFUNCTION("IMPORTRANGE(""https://docs.google.com/spreadsheets/d/1MeEWN-I1oV_STSDYn1IFDPWt_1FKiwhDph83XaGc0o0/edit?usp=sharing"",""งบพรบ!BR115"")"),0)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IFERROR(__xludf.DUMMYFUNCTION("IMPORTRANGE(""https://docs.google.com/spreadsheets/d/1MeEWN-I1oV_STSDYn1IFDPWt_1FKiwhDph83XaGc0o0/edit?usp=sharing"",""งบพรบ!BS115"")"),0)</f>
        <v>0</v>
      </c>
      <c r="P115" s="85">
        <f t="shared" ca="1" si="30"/>
        <v>0</v>
      </c>
      <c r="Q115" s="84">
        <f t="shared" ca="1" si="8"/>
        <v>0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</row>
    <row r="116" spans="1:30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57"/>
        <v>0</v>
      </c>
      <c r="E116" s="82">
        <f ca="1">IFERROR(__xludf.DUMMYFUNCTION("IMPORTRANGE(""https://docs.google.com/spreadsheets/d/1MeEWN-I1oV_STSDYn1IFDPWt_1FKiwhDph83XaGc0o0/edit?usp=sharing"",""งบพรบ!BL116"")"),0)</f>
        <v>0</v>
      </c>
      <c r="F116" s="82">
        <f ca="1">IFERROR(__xludf.DUMMYFUNCTION("IMPORTRANGE(""https://docs.google.com/spreadsheets/d/1MeEWN-I1oV_STSDYn1IFDPWt_1FKiwhDph83XaGc0o0/edit?usp=sharing"",""งบพรบ!BM116"")"),0)</f>
        <v>0</v>
      </c>
      <c r="G116" s="82">
        <f ca="1">IFERROR(__xludf.DUMMYFUNCTION("IMPORTRANGE(""https://docs.google.com/spreadsheets/d/1MeEWN-I1oV_STSDYn1IFDPWt_1FKiwhDph83XaGc0o0/edit?usp=sharing"",""งบพรบ!BN116"")"),0)</f>
        <v>0</v>
      </c>
      <c r="H116" s="82">
        <f ca="1">IFERROR(__xludf.DUMMYFUNCTION("IMPORTRANGE(""https://docs.google.com/spreadsheets/d/1MeEWN-I1oV_STSDYn1IFDPWt_1FKiwhDph83XaGc0o0/edit?usp=sharing"",""งบพรบ!BP116"")"),0)</f>
        <v>0</v>
      </c>
      <c r="I116" s="82">
        <f ca="1">IFERROR(__xludf.DUMMYFUNCTION("IMPORTRANGE(""https://docs.google.com/spreadsheets/d/1MeEWN-I1oV_STSDYn1IFDPWt_1FKiwhDph83XaGc0o0/edit?usp=sharing"",""งบพรบ!BQ116"")"),0)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IFERROR(__xludf.DUMMYFUNCTION("IMPORTRANGE(""https://docs.google.com/spreadsheets/d/1MeEWN-I1oV_STSDYn1IFDPWt_1FKiwhDph83XaGc0o0/edit?usp=sharing"",""งบพรบ!BR116"")"),0)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IFERROR(__xludf.DUMMYFUNCTION("IMPORTRANGE(""https://docs.google.com/spreadsheets/d/1MeEWN-I1oV_STSDYn1IFDPWt_1FKiwhDph83XaGc0o0/edit?usp=sharing"",""งบพรบ!BS116"")"),0)</f>
        <v>0</v>
      </c>
      <c r="P116" s="85">
        <f t="shared" ca="1" si="30"/>
        <v>0</v>
      </c>
      <c r="Q116" s="84">
        <f t="shared" ca="1" si="8"/>
        <v>0</v>
      </c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</row>
    <row r="117" spans="1:3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0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</row>
    <row r="315" spans="1:30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0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</row>
    <row r="316" spans="1:30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0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</row>
    <row r="317" spans="1:30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0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</row>
    <row r="318" spans="1:30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0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</row>
    <row r="319" spans="1:30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0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</row>
    <row r="320" spans="1:30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0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</row>
    <row r="321" spans="1:30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0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</row>
    <row r="322" spans="1:30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0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</row>
    <row r="323" spans="1:30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0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</row>
    <row r="324" spans="1:30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0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</row>
    <row r="325" spans="1:30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0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</row>
    <row r="326" spans="1:30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0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</row>
    <row r="327" spans="1:30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0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</row>
    <row r="328" spans="1:30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0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</row>
    <row r="329" spans="1:30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0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</row>
    <row r="330" spans="1:30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0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</row>
    <row r="331" spans="1:30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0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</row>
    <row r="332" spans="1:30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0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</row>
    <row r="333" spans="1:30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0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</row>
    <row r="334" spans="1:30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0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</row>
    <row r="335" spans="1:30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0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</row>
    <row r="336" spans="1:30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0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</row>
    <row r="337" spans="1:30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0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</row>
    <row r="338" spans="1:30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0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</row>
    <row r="339" spans="1:30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0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</row>
    <row r="340" spans="1:30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0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</row>
    <row r="341" spans="1:30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0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</row>
    <row r="342" spans="1:30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0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</row>
    <row r="343" spans="1:30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0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</row>
    <row r="344" spans="1:30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0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</row>
    <row r="345" spans="1:30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0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</row>
    <row r="346" spans="1:30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0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</row>
    <row r="347" spans="1:30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0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</row>
    <row r="348" spans="1:30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0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</row>
    <row r="349" spans="1:30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0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</row>
    <row r="350" spans="1:30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0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</row>
    <row r="351" spans="1:30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0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</row>
    <row r="352" spans="1:30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0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</row>
    <row r="353" spans="1:30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0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</row>
    <row r="354" spans="1:30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0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</row>
    <row r="355" spans="1:30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0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</row>
    <row r="356" spans="1:30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0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</row>
    <row r="357" spans="1:30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0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</row>
    <row r="358" spans="1:30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0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</row>
    <row r="359" spans="1:30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0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</row>
    <row r="360" spans="1:30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0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</row>
    <row r="361" spans="1:30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0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</row>
    <row r="362" spans="1:30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0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</row>
    <row r="363" spans="1:30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0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</row>
    <row r="364" spans="1:30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0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</row>
    <row r="365" spans="1:30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0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</row>
    <row r="366" spans="1:30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0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</row>
    <row r="367" spans="1:30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0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</row>
    <row r="368" spans="1:30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0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</row>
    <row r="369" spans="1:30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0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</row>
    <row r="370" spans="1:30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0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</row>
    <row r="371" spans="1:30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0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</row>
    <row r="372" spans="1:30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0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</row>
    <row r="373" spans="1:30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0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</row>
    <row r="374" spans="1:30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0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</row>
    <row r="375" spans="1:30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0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</row>
    <row r="376" spans="1:30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0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</row>
    <row r="377" spans="1:30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0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</row>
    <row r="378" spans="1:30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0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</row>
    <row r="379" spans="1:30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0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</row>
    <row r="380" spans="1:30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0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</row>
    <row r="381" spans="1:30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0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</row>
    <row r="382" spans="1:30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0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</row>
    <row r="383" spans="1:30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0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</row>
    <row r="384" spans="1:30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0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</row>
    <row r="385" spans="1:30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0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</row>
    <row r="386" spans="1:30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0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</row>
    <row r="387" spans="1:30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0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</row>
    <row r="388" spans="1:30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0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</row>
    <row r="389" spans="1:30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0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</row>
    <row r="390" spans="1:30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0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</row>
    <row r="391" spans="1:30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0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</row>
    <row r="392" spans="1:30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0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</row>
    <row r="393" spans="1:30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0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</row>
    <row r="394" spans="1:30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0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</row>
    <row r="395" spans="1:30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0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</row>
    <row r="396" spans="1:30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0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</row>
    <row r="397" spans="1:30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0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</row>
    <row r="398" spans="1:30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0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</row>
    <row r="399" spans="1:30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0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</row>
    <row r="400" spans="1:30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0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</row>
    <row r="401" spans="1:30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0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</row>
    <row r="402" spans="1:30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0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</row>
    <row r="403" spans="1:30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0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</row>
    <row r="404" spans="1:30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0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</row>
    <row r="405" spans="1:30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0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</row>
    <row r="406" spans="1:30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0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</row>
    <row r="407" spans="1:30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0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</row>
    <row r="408" spans="1:30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0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</row>
    <row r="409" spans="1:30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0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</row>
    <row r="410" spans="1:30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0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</row>
    <row r="411" spans="1:30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0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</row>
    <row r="412" spans="1:30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0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</row>
    <row r="413" spans="1:30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0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</row>
    <row r="414" spans="1:30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0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</row>
    <row r="415" spans="1:30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0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</row>
    <row r="416" spans="1:30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0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</row>
    <row r="417" spans="1:30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0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</row>
    <row r="418" spans="1:30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0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</row>
    <row r="419" spans="1:30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0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</row>
    <row r="420" spans="1:30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0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</row>
    <row r="421" spans="1:30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0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</row>
    <row r="422" spans="1:30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0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</row>
    <row r="423" spans="1:30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0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</row>
    <row r="424" spans="1:30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0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</row>
    <row r="425" spans="1:30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0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</row>
    <row r="426" spans="1:30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0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</row>
    <row r="427" spans="1:30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0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</row>
    <row r="428" spans="1:30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0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</row>
    <row r="429" spans="1:30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0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</row>
    <row r="430" spans="1:30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0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</row>
    <row r="431" spans="1:30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0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</row>
    <row r="432" spans="1:30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0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</row>
    <row r="433" spans="1:30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0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</row>
    <row r="434" spans="1:30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0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</row>
    <row r="435" spans="1:30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0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</row>
    <row r="436" spans="1:30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0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</row>
    <row r="437" spans="1:30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0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</row>
    <row r="438" spans="1:30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0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</row>
    <row r="439" spans="1:30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0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</row>
    <row r="440" spans="1:30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0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</row>
    <row r="441" spans="1:30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0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</row>
    <row r="442" spans="1:30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0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</row>
    <row r="443" spans="1:30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0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</row>
    <row r="444" spans="1:30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0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</row>
    <row r="445" spans="1:30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0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</row>
    <row r="446" spans="1:30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0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</row>
    <row r="447" spans="1:30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0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</row>
    <row r="448" spans="1:30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0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</row>
    <row r="449" spans="1:30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0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</row>
    <row r="450" spans="1:30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0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</row>
    <row r="451" spans="1:30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0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</row>
    <row r="452" spans="1:30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0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</row>
    <row r="453" spans="1:30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0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</row>
    <row r="454" spans="1:30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0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</row>
    <row r="455" spans="1:30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0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</row>
    <row r="456" spans="1:30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0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</row>
    <row r="457" spans="1:30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0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</row>
    <row r="458" spans="1:30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0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</row>
    <row r="459" spans="1:30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0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</row>
    <row r="460" spans="1:30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0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</row>
    <row r="461" spans="1:30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0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</row>
    <row r="462" spans="1:30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0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</row>
    <row r="463" spans="1:30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0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</row>
    <row r="464" spans="1:30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0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</row>
    <row r="465" spans="1:30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0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</row>
    <row r="466" spans="1:30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0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</row>
    <row r="467" spans="1:30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0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</row>
    <row r="468" spans="1:30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0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</row>
    <row r="469" spans="1:30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0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</row>
    <row r="470" spans="1:30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0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</row>
    <row r="471" spans="1:30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0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</row>
    <row r="472" spans="1:30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0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</row>
    <row r="473" spans="1:30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0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</row>
    <row r="474" spans="1:30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0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</row>
    <row r="475" spans="1:30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0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</row>
    <row r="476" spans="1:30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0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</row>
    <row r="477" spans="1:30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0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</row>
    <row r="478" spans="1:30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0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</row>
    <row r="479" spans="1:30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0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</row>
    <row r="480" spans="1:30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0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</row>
    <row r="481" spans="1:30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0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</row>
    <row r="482" spans="1:30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0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</row>
    <row r="483" spans="1:30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0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</row>
    <row r="484" spans="1:30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0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</row>
    <row r="485" spans="1:30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0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</row>
    <row r="486" spans="1:30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0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</row>
    <row r="487" spans="1:30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0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</row>
    <row r="488" spans="1:30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0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</row>
    <row r="489" spans="1:30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0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</row>
    <row r="490" spans="1:30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0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</row>
    <row r="491" spans="1:30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0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</row>
    <row r="492" spans="1:30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0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</row>
    <row r="493" spans="1:30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0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</row>
    <row r="494" spans="1:30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0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</row>
    <row r="495" spans="1:30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0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</row>
    <row r="496" spans="1:30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0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</row>
    <row r="497" spans="1:30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0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</row>
    <row r="498" spans="1:30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0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</row>
    <row r="499" spans="1:30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0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</row>
    <row r="500" spans="1:30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0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</row>
    <row r="501" spans="1:30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0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</row>
    <row r="502" spans="1:30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0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</row>
    <row r="503" spans="1:30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0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</row>
    <row r="504" spans="1:30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0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</row>
    <row r="505" spans="1:30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0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</row>
    <row r="506" spans="1:30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0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</row>
    <row r="507" spans="1:30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0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</row>
    <row r="508" spans="1:30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0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</row>
    <row r="509" spans="1:30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0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</row>
    <row r="510" spans="1:30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0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</row>
    <row r="511" spans="1:30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0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</row>
    <row r="512" spans="1:30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0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</row>
    <row r="513" spans="1:30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0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</row>
    <row r="514" spans="1:30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0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</row>
    <row r="515" spans="1:30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0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</row>
    <row r="516" spans="1:30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0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</row>
    <row r="517" spans="1:30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0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</row>
    <row r="518" spans="1:30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0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</row>
    <row r="519" spans="1:30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0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</row>
    <row r="520" spans="1:30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0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</row>
    <row r="521" spans="1:30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0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</row>
    <row r="522" spans="1:30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0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</row>
    <row r="523" spans="1:30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0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</row>
    <row r="524" spans="1:30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0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</row>
    <row r="525" spans="1:30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0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</row>
    <row r="526" spans="1:30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0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</row>
    <row r="527" spans="1:30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0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</row>
    <row r="528" spans="1:30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0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</row>
    <row r="529" spans="1:30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0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</row>
    <row r="530" spans="1:30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0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</row>
    <row r="531" spans="1:30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0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</row>
    <row r="532" spans="1:30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0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</row>
    <row r="533" spans="1:30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0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</row>
    <row r="534" spans="1:30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0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</row>
    <row r="535" spans="1:30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0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</row>
    <row r="536" spans="1:30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0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</row>
    <row r="537" spans="1:30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0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</row>
    <row r="538" spans="1:30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0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</row>
    <row r="539" spans="1:30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0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</row>
    <row r="540" spans="1:30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0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</row>
    <row r="541" spans="1:30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0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</row>
    <row r="542" spans="1:30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0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</row>
    <row r="543" spans="1:30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0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</row>
    <row r="544" spans="1:30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0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</row>
    <row r="545" spans="1:30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0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</row>
    <row r="546" spans="1:30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0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</row>
    <row r="547" spans="1:30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0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</row>
    <row r="548" spans="1:30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0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</row>
    <row r="549" spans="1:30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0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</row>
    <row r="550" spans="1:30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0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</row>
    <row r="551" spans="1:30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0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</row>
    <row r="552" spans="1:30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0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</row>
    <row r="553" spans="1:30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0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</row>
    <row r="554" spans="1:30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0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</row>
    <row r="555" spans="1:30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0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</row>
    <row r="556" spans="1:30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0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</row>
    <row r="557" spans="1:30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0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</row>
    <row r="558" spans="1:30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0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</row>
    <row r="559" spans="1:30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0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</row>
    <row r="560" spans="1:30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0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</row>
    <row r="561" spans="1:30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0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</row>
    <row r="562" spans="1:30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0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</row>
    <row r="563" spans="1:30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0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</row>
    <row r="564" spans="1:30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0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</row>
    <row r="565" spans="1:30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0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</row>
    <row r="566" spans="1:30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0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</row>
    <row r="567" spans="1:30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0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</row>
    <row r="568" spans="1:30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0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</row>
    <row r="569" spans="1:30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0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</row>
    <row r="570" spans="1:30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0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</row>
    <row r="571" spans="1:30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0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</row>
    <row r="572" spans="1:30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0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</row>
    <row r="573" spans="1:30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0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</row>
    <row r="574" spans="1:30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0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</row>
    <row r="575" spans="1:30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0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</row>
    <row r="576" spans="1:30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0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</row>
    <row r="577" spans="1:30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0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</row>
    <row r="578" spans="1:30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0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</row>
    <row r="579" spans="1:30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0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</row>
    <row r="580" spans="1:30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0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</row>
    <row r="581" spans="1:30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0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</row>
    <row r="582" spans="1:30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0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</row>
    <row r="583" spans="1:30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0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</row>
    <row r="584" spans="1:30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0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</row>
    <row r="585" spans="1:30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0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</row>
    <row r="586" spans="1:30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0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</row>
    <row r="587" spans="1:30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0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</row>
    <row r="588" spans="1:30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0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</row>
    <row r="589" spans="1:30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0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</row>
    <row r="590" spans="1:30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0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</row>
    <row r="591" spans="1:30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0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</row>
    <row r="592" spans="1:30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0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</row>
    <row r="593" spans="1:30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0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</row>
    <row r="594" spans="1:30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0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</row>
    <row r="595" spans="1:30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0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</row>
    <row r="596" spans="1:30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0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</row>
    <row r="597" spans="1:30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0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</row>
    <row r="598" spans="1:30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0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</row>
    <row r="599" spans="1:30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0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</row>
    <row r="600" spans="1:30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0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</row>
    <row r="601" spans="1:30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0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</row>
    <row r="602" spans="1:30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0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</row>
    <row r="603" spans="1:30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0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</row>
    <row r="604" spans="1:30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0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</row>
    <row r="605" spans="1:30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0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</row>
    <row r="606" spans="1:30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0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</row>
    <row r="607" spans="1:30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0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</row>
    <row r="608" spans="1:30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0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</row>
    <row r="609" spans="1:30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0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</row>
    <row r="610" spans="1:30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0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</row>
    <row r="611" spans="1:30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0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</row>
    <row r="612" spans="1:30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0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</row>
    <row r="613" spans="1:30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0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</row>
    <row r="614" spans="1:30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0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</row>
    <row r="615" spans="1:30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0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</row>
    <row r="616" spans="1:30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0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</row>
    <row r="617" spans="1:30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0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</row>
    <row r="618" spans="1:30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0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</row>
    <row r="619" spans="1:30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0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</row>
    <row r="620" spans="1:30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0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</row>
    <row r="621" spans="1:30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0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</row>
    <row r="622" spans="1:30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0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</row>
    <row r="623" spans="1:30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0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</row>
    <row r="624" spans="1:30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0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</row>
    <row r="625" spans="1:30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0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</row>
    <row r="626" spans="1:30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0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</row>
    <row r="627" spans="1:30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0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</row>
    <row r="628" spans="1:30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0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</row>
    <row r="629" spans="1:30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0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</row>
    <row r="630" spans="1:30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0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</row>
    <row r="631" spans="1:30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0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</row>
    <row r="632" spans="1:30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0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</row>
    <row r="633" spans="1:30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0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</row>
    <row r="634" spans="1:30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0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</row>
    <row r="635" spans="1:30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0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</row>
    <row r="636" spans="1:30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0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</row>
    <row r="637" spans="1:30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0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</row>
    <row r="638" spans="1:30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0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</row>
    <row r="639" spans="1:30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0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</row>
    <row r="640" spans="1:30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0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</row>
    <row r="641" spans="1:30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0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</row>
    <row r="642" spans="1:30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0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</row>
    <row r="643" spans="1:30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0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</row>
    <row r="644" spans="1:30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0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</row>
    <row r="645" spans="1:30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0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</row>
    <row r="646" spans="1:30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0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</row>
    <row r="647" spans="1:30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0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</row>
    <row r="648" spans="1:30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0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</row>
    <row r="649" spans="1:30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0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</row>
    <row r="650" spans="1:30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0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</row>
    <row r="651" spans="1:30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0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</row>
    <row r="652" spans="1:30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0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</row>
    <row r="653" spans="1:30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0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</row>
    <row r="654" spans="1:30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0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</row>
    <row r="655" spans="1:30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0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</row>
    <row r="656" spans="1:30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0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</row>
    <row r="657" spans="1:30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0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</row>
    <row r="658" spans="1:30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0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</row>
    <row r="659" spans="1:30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0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</row>
    <row r="660" spans="1:30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0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</row>
    <row r="661" spans="1:30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0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</row>
    <row r="662" spans="1:30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0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</row>
    <row r="663" spans="1:30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0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</row>
    <row r="664" spans="1:30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0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</row>
    <row r="665" spans="1:30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0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</row>
    <row r="666" spans="1:30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0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</row>
    <row r="667" spans="1:30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0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</row>
    <row r="668" spans="1:30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0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</row>
    <row r="669" spans="1:30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0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</row>
    <row r="670" spans="1:30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0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</row>
    <row r="671" spans="1:30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0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</row>
    <row r="672" spans="1:30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0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</row>
    <row r="673" spans="1:30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0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</row>
    <row r="674" spans="1:30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0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</row>
    <row r="675" spans="1:30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0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</row>
    <row r="676" spans="1:30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0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</row>
    <row r="677" spans="1:30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0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</row>
    <row r="678" spans="1:30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0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</row>
    <row r="679" spans="1:30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0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</row>
    <row r="680" spans="1:30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0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</row>
    <row r="681" spans="1:30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0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</row>
    <row r="682" spans="1:30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0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</row>
    <row r="683" spans="1:30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0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</row>
    <row r="684" spans="1:30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0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</row>
    <row r="685" spans="1:30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0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</row>
    <row r="686" spans="1:30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0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</row>
    <row r="687" spans="1:30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0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</row>
    <row r="688" spans="1:30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0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</row>
    <row r="689" spans="1:30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0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</row>
    <row r="690" spans="1:30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0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</row>
    <row r="691" spans="1:30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0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</row>
    <row r="692" spans="1:30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0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</row>
    <row r="693" spans="1:30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0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</row>
    <row r="694" spans="1:30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0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</row>
    <row r="695" spans="1:30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0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</row>
    <row r="696" spans="1:30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0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</row>
    <row r="697" spans="1:30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0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</row>
    <row r="698" spans="1:30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0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</row>
    <row r="699" spans="1:30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0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</row>
    <row r="700" spans="1:30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0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</row>
    <row r="701" spans="1:30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0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</row>
    <row r="702" spans="1:30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0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</row>
    <row r="703" spans="1:30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0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</row>
    <row r="704" spans="1:30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0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</row>
    <row r="705" spans="1:30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0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</row>
    <row r="706" spans="1:30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0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</row>
    <row r="707" spans="1:30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0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</row>
    <row r="708" spans="1:30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0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</row>
    <row r="709" spans="1:30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0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</row>
    <row r="710" spans="1:30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0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</row>
    <row r="711" spans="1:30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0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</row>
    <row r="712" spans="1:30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0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</row>
    <row r="713" spans="1:30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0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</row>
    <row r="714" spans="1:30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0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</row>
    <row r="715" spans="1:30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0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</row>
    <row r="716" spans="1:30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0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</row>
    <row r="717" spans="1:30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0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</row>
    <row r="718" spans="1:30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0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</row>
    <row r="719" spans="1:30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0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</row>
    <row r="720" spans="1:30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0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</row>
    <row r="721" spans="1:30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0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</row>
    <row r="722" spans="1:30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0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</row>
    <row r="723" spans="1:30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0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</row>
    <row r="724" spans="1:30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0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</row>
    <row r="725" spans="1:30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0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</row>
    <row r="726" spans="1:30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0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</row>
    <row r="727" spans="1:30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0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</row>
    <row r="728" spans="1:30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0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</row>
    <row r="729" spans="1:30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0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</row>
    <row r="730" spans="1:30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0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</row>
    <row r="731" spans="1:30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0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</row>
    <row r="732" spans="1:30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0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</row>
    <row r="733" spans="1:30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0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</row>
    <row r="734" spans="1:30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0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</row>
    <row r="735" spans="1:30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0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</row>
    <row r="736" spans="1:30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0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</row>
    <row r="737" spans="1:30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0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</row>
    <row r="738" spans="1:30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0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</row>
    <row r="739" spans="1:30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0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</row>
    <row r="740" spans="1:30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0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</row>
    <row r="741" spans="1:30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0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</row>
    <row r="742" spans="1:30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0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</row>
    <row r="743" spans="1:30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0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</row>
    <row r="744" spans="1:30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0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</row>
    <row r="745" spans="1:30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0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</row>
    <row r="746" spans="1:30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0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</row>
    <row r="747" spans="1:30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0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</row>
    <row r="748" spans="1:30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0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</row>
    <row r="749" spans="1:30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0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</row>
    <row r="750" spans="1:30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0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</row>
    <row r="751" spans="1:30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0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</row>
    <row r="752" spans="1:30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0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</row>
    <row r="753" spans="1:30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0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</row>
    <row r="754" spans="1:30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0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</row>
    <row r="755" spans="1:30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0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</row>
    <row r="756" spans="1:30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0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</row>
    <row r="757" spans="1:30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0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</row>
    <row r="758" spans="1:30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0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</row>
    <row r="759" spans="1:30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0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</row>
    <row r="760" spans="1:30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0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</row>
    <row r="761" spans="1:30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0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</row>
    <row r="762" spans="1:30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0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</row>
    <row r="763" spans="1:30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0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</row>
    <row r="764" spans="1:30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0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</row>
    <row r="765" spans="1:30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0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</row>
    <row r="766" spans="1:30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0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</row>
    <row r="767" spans="1:30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0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</row>
    <row r="768" spans="1:30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0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</row>
    <row r="769" spans="1:30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0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</row>
    <row r="770" spans="1:30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0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</row>
    <row r="771" spans="1:30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0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</row>
    <row r="772" spans="1:30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0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</row>
    <row r="773" spans="1:30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0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</row>
    <row r="774" spans="1:30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0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</row>
    <row r="775" spans="1:30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0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</row>
    <row r="776" spans="1:30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0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</row>
    <row r="777" spans="1:30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0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</row>
    <row r="778" spans="1:30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0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</row>
    <row r="779" spans="1:30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0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</row>
    <row r="780" spans="1:30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0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</row>
    <row r="781" spans="1:30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0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</row>
    <row r="782" spans="1:30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0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</row>
    <row r="783" spans="1:30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0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</row>
    <row r="784" spans="1:30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0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</row>
    <row r="785" spans="1:30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0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</row>
    <row r="786" spans="1:30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0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</row>
    <row r="787" spans="1:30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0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</row>
    <row r="788" spans="1:30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0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</row>
    <row r="789" spans="1:30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0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</row>
    <row r="790" spans="1:30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0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</row>
    <row r="791" spans="1:30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0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</row>
    <row r="792" spans="1:30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0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</row>
    <row r="793" spans="1:30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0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</row>
    <row r="794" spans="1:30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0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</row>
    <row r="795" spans="1:30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0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</row>
    <row r="796" spans="1:30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0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</row>
    <row r="797" spans="1:30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0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</row>
    <row r="798" spans="1:30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0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</row>
    <row r="799" spans="1:30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0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</row>
    <row r="800" spans="1:30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0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</row>
    <row r="801" spans="1:30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0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</row>
    <row r="802" spans="1:30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0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</row>
    <row r="803" spans="1:30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0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</row>
    <row r="804" spans="1:30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0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</row>
    <row r="805" spans="1:30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0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</row>
    <row r="806" spans="1:30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0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</row>
    <row r="807" spans="1:30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0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</row>
    <row r="808" spans="1:30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0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</row>
    <row r="809" spans="1:30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0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</row>
    <row r="810" spans="1:30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0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</row>
    <row r="811" spans="1:30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0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</row>
    <row r="812" spans="1:30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0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</row>
    <row r="813" spans="1:30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0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</row>
    <row r="814" spans="1:30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0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</row>
    <row r="815" spans="1:30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0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</row>
    <row r="816" spans="1:30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0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</row>
    <row r="817" spans="1:30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0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</row>
    <row r="818" spans="1:30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0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</row>
    <row r="819" spans="1:30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0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</row>
    <row r="820" spans="1:30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0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</row>
    <row r="821" spans="1:30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0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</row>
    <row r="822" spans="1:30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0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</row>
    <row r="823" spans="1:30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0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</row>
    <row r="824" spans="1:30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0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</row>
    <row r="825" spans="1:30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0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</row>
    <row r="826" spans="1:30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0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</row>
    <row r="827" spans="1:30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0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</row>
    <row r="828" spans="1:30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0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</row>
    <row r="829" spans="1:30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0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</row>
    <row r="830" spans="1:30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0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</row>
    <row r="831" spans="1:30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0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</row>
    <row r="832" spans="1:30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0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</row>
    <row r="833" spans="1:30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0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</row>
    <row r="834" spans="1:30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0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</row>
    <row r="835" spans="1:30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0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</row>
    <row r="836" spans="1:30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0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</row>
    <row r="837" spans="1:30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0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</row>
    <row r="838" spans="1:30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0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</row>
    <row r="839" spans="1:30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0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</row>
    <row r="840" spans="1:30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0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</row>
    <row r="841" spans="1:30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0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</row>
    <row r="842" spans="1:30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0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</row>
    <row r="843" spans="1:30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0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</row>
    <row r="844" spans="1:30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0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</row>
    <row r="845" spans="1:30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0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</row>
    <row r="846" spans="1:30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0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</row>
    <row r="847" spans="1:30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0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</row>
    <row r="848" spans="1:30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0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</row>
    <row r="849" spans="1:30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0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</row>
    <row r="850" spans="1:30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0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</row>
    <row r="851" spans="1:30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0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</row>
    <row r="852" spans="1:30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0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</row>
    <row r="853" spans="1:30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0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</row>
    <row r="854" spans="1:30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0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</row>
    <row r="855" spans="1:30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0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</row>
    <row r="856" spans="1:30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0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</row>
    <row r="857" spans="1:30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0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</row>
    <row r="858" spans="1:30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0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</row>
    <row r="859" spans="1:30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0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</row>
    <row r="860" spans="1:30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0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</row>
    <row r="861" spans="1:30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0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</row>
    <row r="862" spans="1:30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0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</row>
    <row r="863" spans="1:30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0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</row>
    <row r="864" spans="1:30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0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</row>
    <row r="865" spans="1:30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0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</row>
    <row r="866" spans="1:30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0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</row>
    <row r="867" spans="1:30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0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</row>
    <row r="868" spans="1:30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0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</row>
    <row r="869" spans="1:30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0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</row>
    <row r="870" spans="1:30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0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</row>
    <row r="871" spans="1:30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0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</row>
    <row r="872" spans="1:30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0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</row>
    <row r="873" spans="1:30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0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</row>
    <row r="874" spans="1:30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0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</row>
    <row r="875" spans="1:30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0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</row>
    <row r="876" spans="1:30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0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</row>
    <row r="877" spans="1:30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0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</row>
    <row r="878" spans="1:30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0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</row>
    <row r="879" spans="1:30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0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</row>
    <row r="880" spans="1:30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0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</row>
    <row r="881" spans="1:30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0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</row>
    <row r="882" spans="1:30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0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</row>
    <row r="883" spans="1:30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0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</row>
    <row r="884" spans="1:30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0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</row>
    <row r="885" spans="1:30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0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</row>
    <row r="886" spans="1:30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0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</row>
    <row r="887" spans="1:30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0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</row>
    <row r="888" spans="1:30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0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</row>
    <row r="889" spans="1:30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0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</row>
    <row r="890" spans="1:30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0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</row>
    <row r="891" spans="1:30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0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</row>
    <row r="892" spans="1:30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0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</row>
    <row r="893" spans="1:30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0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</row>
    <row r="894" spans="1:30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0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</row>
    <row r="895" spans="1:30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0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</row>
    <row r="896" spans="1:30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0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</row>
    <row r="897" spans="1:30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0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</row>
    <row r="898" spans="1:30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0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</row>
    <row r="899" spans="1:30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0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</row>
    <row r="900" spans="1:30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0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</row>
    <row r="901" spans="1:30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0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</row>
    <row r="902" spans="1:30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0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</row>
    <row r="903" spans="1:30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0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</row>
    <row r="904" spans="1:30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0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</row>
    <row r="905" spans="1:30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0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</row>
    <row r="906" spans="1:30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0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</row>
    <row r="907" spans="1:30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0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</row>
    <row r="908" spans="1:30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0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</row>
    <row r="909" spans="1:30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0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</row>
    <row r="910" spans="1:30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0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</row>
    <row r="911" spans="1:30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0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</row>
    <row r="912" spans="1:30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0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</row>
    <row r="913" spans="1:30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0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</row>
    <row r="914" spans="1:30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0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</row>
    <row r="915" spans="1:30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0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</row>
    <row r="916" spans="1:30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0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</row>
    <row r="917" spans="1:30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0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</row>
    <row r="918" spans="1:30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0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</row>
    <row r="919" spans="1:30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0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</row>
    <row r="920" spans="1:30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0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</row>
    <row r="921" spans="1:30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0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</row>
    <row r="922" spans="1:30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0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</row>
    <row r="923" spans="1:30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0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</row>
    <row r="924" spans="1:30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0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</row>
    <row r="925" spans="1:30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0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</row>
    <row r="926" spans="1:30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0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</row>
    <row r="927" spans="1:30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0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</row>
    <row r="928" spans="1:30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0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</row>
    <row r="929" spans="1:30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0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</row>
    <row r="930" spans="1:30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0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</row>
    <row r="931" spans="1:30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0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</row>
    <row r="932" spans="1:30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0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</row>
    <row r="933" spans="1:30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0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</row>
    <row r="934" spans="1:30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0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</row>
    <row r="935" spans="1:30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0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</row>
    <row r="936" spans="1:30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0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</row>
    <row r="937" spans="1:30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0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</row>
    <row r="938" spans="1:30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0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</row>
    <row r="939" spans="1:30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0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</row>
    <row r="940" spans="1:30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0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</row>
    <row r="941" spans="1:30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0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</row>
    <row r="942" spans="1:30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0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</row>
    <row r="943" spans="1:30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0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</row>
    <row r="944" spans="1:30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0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</row>
    <row r="945" spans="1:30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0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</row>
    <row r="946" spans="1:30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0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</row>
    <row r="947" spans="1:30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0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</row>
    <row r="948" spans="1:30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0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</row>
    <row r="949" spans="1:30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0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</row>
    <row r="950" spans="1:30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0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</row>
    <row r="951" spans="1:30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0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</row>
    <row r="952" spans="1:30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0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</row>
    <row r="953" spans="1:30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0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</row>
    <row r="954" spans="1:30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0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</row>
    <row r="955" spans="1:30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0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</row>
    <row r="956" spans="1:30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0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</row>
    <row r="957" spans="1:30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0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</row>
    <row r="958" spans="1:30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0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</row>
    <row r="959" spans="1:30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0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</row>
    <row r="960" spans="1:30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0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</row>
    <row r="961" spans="1:30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0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</row>
    <row r="962" spans="1:30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0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</row>
    <row r="963" spans="1:30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0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</row>
    <row r="964" spans="1:30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0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</row>
    <row r="965" spans="1:30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0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</row>
    <row r="966" spans="1:30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0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</row>
    <row r="967" spans="1:30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0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</row>
    <row r="968" spans="1:30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0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</row>
    <row r="969" spans="1:30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0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</row>
    <row r="970" spans="1:30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0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</row>
    <row r="971" spans="1:30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0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</row>
    <row r="972" spans="1:30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0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</row>
    <row r="973" spans="1:30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0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</row>
    <row r="974" spans="1:30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0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</row>
    <row r="975" spans="1:30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0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</row>
    <row r="976" spans="1:30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0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</row>
    <row r="977" spans="1:30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0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</row>
    <row r="978" spans="1:30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0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</row>
    <row r="979" spans="1:30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0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</row>
    <row r="980" spans="1:30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0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</row>
    <row r="981" spans="1:30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0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</row>
    <row r="982" spans="1:30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0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</row>
    <row r="983" spans="1:30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0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</row>
    <row r="984" spans="1:30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0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</row>
    <row r="985" spans="1:30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0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</row>
    <row r="986" spans="1:30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0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</row>
    <row r="987" spans="1:30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0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</row>
    <row r="988" spans="1:30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0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</row>
    <row r="989" spans="1:30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0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</row>
    <row r="990" spans="1:30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0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</row>
    <row r="991" spans="1:30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0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</row>
    <row r="992" spans="1:30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0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</row>
    <row r="993" spans="1:30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0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</row>
    <row r="994" spans="1:30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0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</row>
    <row r="995" spans="1:30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0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</row>
    <row r="996" spans="1:30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0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</row>
    <row r="997" spans="1:30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0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</row>
    <row r="998" spans="1:30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0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</row>
    <row r="999" spans="1:30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0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</row>
  </sheetData>
  <mergeCells count="31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AC5:AD5"/>
    <mergeCell ref="C2:AD2"/>
    <mergeCell ref="C3:Q3"/>
    <mergeCell ref="S3:AA3"/>
    <mergeCell ref="AB3:AD4"/>
    <mergeCell ref="C4:G4"/>
    <mergeCell ref="H4:I4"/>
    <mergeCell ref="Y4:AA4"/>
    <mergeCell ref="F5:F6"/>
    <mergeCell ref="G5:G6"/>
    <mergeCell ref="S4:U4"/>
    <mergeCell ref="V4:X4"/>
    <mergeCell ref="T5:U5"/>
    <mergeCell ref="W5:X5"/>
    <mergeCell ref="Z5:AA5"/>
    <mergeCell ref="J4:Q4"/>
    <mergeCell ref="R4:R6"/>
    <mergeCell ref="J5:K5"/>
    <mergeCell ref="L5:N5"/>
    <mergeCell ref="O5:Q5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J17" sqref="J17"/>
      <selection pane="topRight" activeCell="J17" sqref="J17"/>
      <selection pane="bottomLeft" activeCell="J17" sqref="J17"/>
      <selection pane="bottomRight" activeCell="D15" sqref="D15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82" t="s">
        <v>1</v>
      </c>
      <c r="B2" s="383"/>
      <c r="C2" s="352" t="s">
        <v>162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4"/>
    </row>
    <row r="3" spans="1:20" ht="30" customHeight="1" x14ac:dyDescent="0.2">
      <c r="A3" s="384"/>
      <c r="B3" s="385"/>
      <c r="C3" s="355" t="s">
        <v>3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414" t="s">
        <v>163</v>
      </c>
      <c r="S3" s="361"/>
      <c r="T3" s="362"/>
    </row>
    <row r="4" spans="1:20" ht="30" customHeight="1" x14ac:dyDescent="0.2">
      <c r="A4" s="384"/>
      <c r="B4" s="385"/>
      <c r="C4" s="366" t="s">
        <v>6</v>
      </c>
      <c r="D4" s="356"/>
      <c r="E4" s="356"/>
      <c r="F4" s="356"/>
      <c r="G4" s="359"/>
      <c r="H4" s="367" t="s">
        <v>7</v>
      </c>
      <c r="I4" s="359"/>
      <c r="J4" s="371" t="s">
        <v>8</v>
      </c>
      <c r="K4" s="356"/>
      <c r="L4" s="356"/>
      <c r="M4" s="356"/>
      <c r="N4" s="356"/>
      <c r="O4" s="356"/>
      <c r="P4" s="356"/>
      <c r="Q4" s="359"/>
      <c r="R4" s="415"/>
      <c r="S4" s="364"/>
      <c r="T4" s="365"/>
    </row>
    <row r="5" spans="1:20" ht="24" customHeight="1" x14ac:dyDescent="0.3">
      <c r="A5" s="384"/>
      <c r="B5" s="385"/>
      <c r="C5" s="437" t="s">
        <v>13</v>
      </c>
      <c r="D5" s="438" t="s">
        <v>14</v>
      </c>
      <c r="E5" s="439" t="s">
        <v>15</v>
      </c>
      <c r="F5" s="440" t="s">
        <v>16</v>
      </c>
      <c r="G5" s="441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64"/>
      <c r="N5" s="365"/>
      <c r="O5" s="375" t="s">
        <v>19</v>
      </c>
      <c r="P5" s="364"/>
      <c r="Q5" s="365"/>
      <c r="R5" s="216" t="s">
        <v>21</v>
      </c>
      <c r="S5" s="376" t="s">
        <v>22</v>
      </c>
      <c r="T5" s="359"/>
    </row>
    <row r="6" spans="1:20" ht="36" customHeight="1" x14ac:dyDescent="0.2">
      <c r="A6" s="386"/>
      <c r="B6" s="387"/>
      <c r="C6" s="442"/>
      <c r="D6" s="443"/>
      <c r="E6" s="443"/>
      <c r="F6" s="443"/>
      <c r="G6" s="443"/>
      <c r="H6" s="6"/>
      <c r="I6" s="6"/>
      <c r="J6" s="8" t="s">
        <v>23</v>
      </c>
      <c r="K6" s="9" t="s">
        <v>24</v>
      </c>
      <c r="L6" s="8" t="s">
        <v>23</v>
      </c>
      <c r="M6" s="450" t="s">
        <v>25</v>
      </c>
      <c r="N6" s="451" t="s">
        <v>26</v>
      </c>
      <c r="O6" s="452" t="s">
        <v>23</v>
      </c>
      <c r="P6" s="450" t="s">
        <v>25</v>
      </c>
      <c r="Q6" s="451" t="s">
        <v>26</v>
      </c>
      <c r="R6" s="14" t="s">
        <v>28</v>
      </c>
      <c r="S6" s="17" t="s">
        <v>28</v>
      </c>
      <c r="T6" s="16" t="s">
        <v>24</v>
      </c>
    </row>
    <row r="7" spans="1:20" ht="24" customHeight="1" x14ac:dyDescent="0.2">
      <c r="A7" s="389" t="s">
        <v>233</v>
      </c>
      <c r="B7" s="390"/>
      <c r="C7" s="210">
        <f t="shared" ref="C7:C116" ca="1" si="0">D7+G7</f>
        <v>5113000</v>
      </c>
      <c r="D7" s="211">
        <f t="shared" ref="D7:E7" ca="1" si="1">D8+D9+D12</f>
        <v>5113000</v>
      </c>
      <c r="E7" s="23">
        <f t="shared" ca="1" si="1"/>
        <v>2300900</v>
      </c>
      <c r="F7" s="24">
        <f ca="1">F8+F9</f>
        <v>2812100</v>
      </c>
      <c r="G7" s="25">
        <f t="shared" ref="G7:I7" ca="1" si="2">G8+G9+G12</f>
        <v>0</v>
      </c>
      <c r="H7" s="26">
        <f t="shared" ca="1" si="2"/>
        <v>3834700</v>
      </c>
      <c r="I7" s="26">
        <f t="shared" ca="1" si="2"/>
        <v>0</v>
      </c>
      <c r="J7" s="27">
        <f t="shared" ref="J7:J116" ca="1" si="3">L7+O7</f>
        <v>1727693.46</v>
      </c>
      <c r="K7" s="28">
        <f t="shared" ref="K7:K116" ca="1" si="4">IF(C7&gt;0,J7*100/C7,0)</f>
        <v>33.790210443966359</v>
      </c>
      <c r="L7" s="27">
        <f ca="1">L8+L9+L12</f>
        <v>1727693.46</v>
      </c>
      <c r="M7" s="29">
        <f t="shared" ref="M7:M116" ca="1" si="5">IF(D7&gt;0,L7*100/D7,0)</f>
        <v>33.790210443966359</v>
      </c>
      <c r="N7" s="29">
        <f t="shared" ref="N7:N116" ca="1" si="6">IF(H7&gt;0,L7*100/H7,0)</f>
        <v>45.054201371684876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1">
        <f t="shared" ref="R7:S7" ca="1" si="9">R8</f>
        <v>500</v>
      </c>
      <c r="S7" s="32">
        <f t="shared" ca="1" si="9"/>
        <v>254</v>
      </c>
      <c r="T7" s="33">
        <f t="shared" ref="T7:T8" ca="1" si="10">IF(R7&gt;0,S7*100/R7,0)</f>
        <v>50.8</v>
      </c>
    </row>
    <row r="8" spans="1:20" ht="28.5" customHeight="1" x14ac:dyDescent="0.2">
      <c r="A8" s="34" t="s">
        <v>31</v>
      </c>
      <c r="B8" s="35"/>
      <c r="C8" s="36">
        <f t="shared" ca="1" si="0"/>
        <v>250000</v>
      </c>
      <c r="D8" s="37">
        <f t="shared" ref="D8:I8" ca="1" si="11">+D13+D31+D52+D74</f>
        <v>250000</v>
      </c>
      <c r="E8" s="38">
        <f t="shared" ca="1" si="11"/>
        <v>0</v>
      </c>
      <c r="F8" s="38">
        <f t="shared" ca="1" si="11"/>
        <v>250000</v>
      </c>
      <c r="G8" s="38">
        <f t="shared" ca="1" si="11"/>
        <v>0</v>
      </c>
      <c r="H8" s="38">
        <f t="shared" ca="1" si="11"/>
        <v>637640</v>
      </c>
      <c r="I8" s="38">
        <f t="shared" ca="1" si="11"/>
        <v>0</v>
      </c>
      <c r="J8" s="38">
        <f t="shared" ca="1" si="3"/>
        <v>268308.18999999994</v>
      </c>
      <c r="K8" s="39">
        <f t="shared" ca="1" si="4"/>
        <v>107.32327599999996</v>
      </c>
      <c r="L8" s="38">
        <f ca="1">+L13+L31+L52+L74</f>
        <v>268308.18999999994</v>
      </c>
      <c r="M8" s="40">
        <f t="shared" ca="1" si="5"/>
        <v>107.32327599999996</v>
      </c>
      <c r="N8" s="40">
        <f t="shared" ca="1" si="6"/>
        <v>42.078318486920509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8">
        <f t="shared" ref="R8:S8" ca="1" si="12">+R13+R31+R52+R74</f>
        <v>500</v>
      </c>
      <c r="S8" s="38">
        <f t="shared" ca="1" si="12"/>
        <v>254</v>
      </c>
      <c r="T8" s="40">
        <f t="shared" ca="1" si="10"/>
        <v>50.8</v>
      </c>
    </row>
    <row r="9" spans="1:20" ht="28.5" customHeight="1" x14ac:dyDescent="0.2">
      <c r="A9" s="44" t="s">
        <v>234</v>
      </c>
      <c r="B9" s="45"/>
      <c r="C9" s="46">
        <f t="shared" ca="1" si="0"/>
        <v>4863000</v>
      </c>
      <c r="D9" s="47">
        <f t="shared" ref="D9:I9" ca="1" si="13">+D10+D11</f>
        <v>4863000</v>
      </c>
      <c r="E9" s="46">
        <f t="shared" ca="1" si="13"/>
        <v>2300900</v>
      </c>
      <c r="F9" s="46">
        <f t="shared" ca="1" si="13"/>
        <v>2562100</v>
      </c>
      <c r="G9" s="46">
        <f t="shared" ca="1" si="13"/>
        <v>0</v>
      </c>
      <c r="H9" s="46">
        <f t="shared" ca="1" si="13"/>
        <v>3197060</v>
      </c>
      <c r="I9" s="46">
        <f t="shared" ca="1" si="13"/>
        <v>0</v>
      </c>
      <c r="J9" s="46">
        <f t="shared" ca="1" si="3"/>
        <v>1459385.27</v>
      </c>
      <c r="K9" s="48">
        <f t="shared" ca="1" si="4"/>
        <v>30.009978819658645</v>
      </c>
      <c r="L9" s="46">
        <f ca="1">+L10+L11</f>
        <v>1459385.27</v>
      </c>
      <c r="M9" s="49">
        <f t="shared" ca="1" si="5"/>
        <v>30.009978819658645</v>
      </c>
      <c r="N9" s="49">
        <f t="shared" ca="1" si="6"/>
        <v>45.647728538094377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9"/>
    </row>
    <row r="10" spans="1:20" ht="28.5" hidden="1" customHeight="1" x14ac:dyDescent="0.2">
      <c r="A10" s="44" t="s">
        <v>32</v>
      </c>
      <c r="B10" s="45"/>
      <c r="C10" s="46">
        <f t="shared" ca="1" si="0"/>
        <v>3058200</v>
      </c>
      <c r="D10" s="47">
        <f t="shared" ref="D10:I10" ca="1" si="14">+D89</f>
        <v>3058200</v>
      </c>
      <c r="E10" s="46">
        <f t="shared" ca="1" si="14"/>
        <v>496100</v>
      </c>
      <c r="F10" s="46">
        <f t="shared" ca="1" si="14"/>
        <v>2562100</v>
      </c>
      <c r="G10" s="46">
        <f t="shared" ca="1" si="14"/>
        <v>0</v>
      </c>
      <c r="H10" s="46">
        <f t="shared" ca="1" si="14"/>
        <v>2185860</v>
      </c>
      <c r="I10" s="46">
        <f t="shared" ca="1" si="14"/>
        <v>0</v>
      </c>
      <c r="J10" s="46">
        <f t="shared" ca="1" si="3"/>
        <v>899385.27</v>
      </c>
      <c r="K10" s="48">
        <f t="shared" ca="1" si="4"/>
        <v>29.408974887188542</v>
      </c>
      <c r="L10" s="46">
        <f ca="1">+L89</f>
        <v>899385.27</v>
      </c>
      <c r="M10" s="49">
        <f t="shared" ca="1" si="5"/>
        <v>29.408974887188542</v>
      </c>
      <c r="N10" s="49">
        <f t="shared" ca="1" si="6"/>
        <v>41.145602646098105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9"/>
    </row>
    <row r="11" spans="1:20" ht="28.5" hidden="1" customHeight="1" x14ac:dyDescent="0.2">
      <c r="A11" s="53" t="s">
        <v>33</v>
      </c>
      <c r="B11" s="45"/>
      <c r="C11" s="46">
        <f t="shared" ca="1" si="0"/>
        <v>1804800</v>
      </c>
      <c r="D11" s="47">
        <f t="shared" ref="D11:I11" ca="1" si="15">+D104</f>
        <v>1804800</v>
      </c>
      <c r="E11" s="46">
        <f t="shared" ca="1" si="15"/>
        <v>1804800</v>
      </c>
      <c r="F11" s="46">
        <f t="shared" ca="1" si="15"/>
        <v>0</v>
      </c>
      <c r="G11" s="46">
        <f t="shared" ca="1" si="15"/>
        <v>0</v>
      </c>
      <c r="H11" s="46">
        <f t="shared" ca="1" si="15"/>
        <v>1011200</v>
      </c>
      <c r="I11" s="46">
        <f t="shared" ca="1" si="15"/>
        <v>0</v>
      </c>
      <c r="J11" s="46">
        <f t="shared" ca="1" si="3"/>
        <v>560000</v>
      </c>
      <c r="K11" s="48">
        <f t="shared" ca="1" si="4"/>
        <v>31.028368794326241</v>
      </c>
      <c r="L11" s="46">
        <f ca="1">+L104</f>
        <v>560000</v>
      </c>
      <c r="M11" s="49">
        <f t="shared" ca="1" si="5"/>
        <v>31.028368794326241</v>
      </c>
      <c r="N11" s="49">
        <f t="shared" ca="1" si="6"/>
        <v>55.379746835443036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9"/>
    </row>
    <row r="12" spans="1:20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60">
        <f t="shared" ref="T12:T88" si="16">IF(R12&gt;0,S12*100/R12,0)</f>
        <v>0</v>
      </c>
    </row>
    <row r="13" spans="1:20" ht="28.5" customHeight="1" x14ac:dyDescent="0.2">
      <c r="A13" s="377" t="s">
        <v>35</v>
      </c>
      <c r="B13" s="359"/>
      <c r="C13" s="62">
        <f t="shared" ca="1" si="0"/>
        <v>90000</v>
      </c>
      <c r="D13" s="63">
        <f t="shared" ref="D13:I13" ca="1" si="17">SUM(D14:D30)</f>
        <v>90000</v>
      </c>
      <c r="E13" s="64">
        <f t="shared" ca="1" si="17"/>
        <v>0</v>
      </c>
      <c r="F13" s="64">
        <f t="shared" ca="1" si="17"/>
        <v>90000</v>
      </c>
      <c r="G13" s="64">
        <f t="shared" ca="1" si="17"/>
        <v>0</v>
      </c>
      <c r="H13" s="64">
        <f t="shared" ca="1" si="17"/>
        <v>306140</v>
      </c>
      <c r="I13" s="64">
        <f t="shared" ca="1" si="17"/>
        <v>0</v>
      </c>
      <c r="J13" s="64">
        <f t="shared" ca="1" si="3"/>
        <v>119266.79</v>
      </c>
      <c r="K13" s="65">
        <f t="shared" ca="1" si="4"/>
        <v>132.51865555555557</v>
      </c>
      <c r="L13" s="64">
        <f ca="1">SUM(L14:L30)</f>
        <v>119266.79</v>
      </c>
      <c r="M13" s="66">
        <f t="shared" ca="1" si="5"/>
        <v>132.51865555555557</v>
      </c>
      <c r="N13" s="66">
        <f t="shared" ca="1" si="6"/>
        <v>38.958251126935387</v>
      </c>
      <c r="O13" s="67">
        <f ca="1">SUM(O14:O30)</f>
        <v>0</v>
      </c>
      <c r="P13" s="67">
        <f t="shared" ref="P13:P116" ca="1" si="18">IF(G13&gt;0,O13*100/G13,0)</f>
        <v>0</v>
      </c>
      <c r="Q13" s="66">
        <f t="shared" ca="1" si="8"/>
        <v>0</v>
      </c>
      <c r="R13" s="64">
        <f t="shared" ref="R13:S13" ca="1" si="19">SUM(R14:R30)</f>
        <v>180</v>
      </c>
      <c r="S13" s="64">
        <f t="shared" ca="1" si="19"/>
        <v>140</v>
      </c>
      <c r="T13" s="66">
        <f t="shared" ca="1" si="16"/>
        <v>77.777777777777771</v>
      </c>
    </row>
    <row r="14" spans="1:20" ht="24" customHeight="1" x14ac:dyDescent="0.2">
      <c r="A14" s="68">
        <v>1</v>
      </c>
      <c r="B14" s="69" t="s">
        <v>36</v>
      </c>
      <c r="C14" s="70">
        <f t="shared" ca="1" si="0"/>
        <v>0</v>
      </c>
      <c r="D14" s="71">
        <f t="shared" ref="D14:D30" ca="1" si="20">+E14+F14</f>
        <v>0</v>
      </c>
      <c r="E14" s="72">
        <f ca="1">IFERROR(__xludf.DUMMYFUNCTION("IMPORTRANGE(""https://docs.google.com/spreadsheets/d/1MeEWN-I1oV_STSDYn1IFDPWt_1FKiwhDph83XaGc0o0/edit?usp=sharing"",""งบพรบ!BV14"")"),0)</f>
        <v>0</v>
      </c>
      <c r="F14" s="72">
        <f ca="1">IFERROR(__xludf.DUMMYFUNCTION("IMPORTRANGE(""https://docs.google.com/spreadsheets/d/1MeEWN-I1oV_STSDYn1IFDPWt_1FKiwhDph83XaGc0o0/edit?usp=sharing"",""งบพรบ!BW14"")"),0)</f>
        <v>0</v>
      </c>
      <c r="G14" s="73">
        <f ca="1">IFERROR(__xludf.DUMMYFUNCTION("IMPORTRANGE(""https://docs.google.com/spreadsheets/d/1MeEWN-I1oV_STSDYn1IFDPWt_1FKiwhDph83XaGc0o0/edit?usp=sharing"",""งบพรบ!BX14"")"),0)</f>
        <v>0</v>
      </c>
      <c r="H14" s="73">
        <f ca="1">IFERROR(__xludf.DUMMYFUNCTION("IMPORTRANGE(""https://docs.google.com/spreadsheets/d/1MeEWN-I1oV_STSDYn1IFDPWt_1FKiwhDph83XaGc0o0/edit?usp=sharing"",""งบพรบ!BZ14"")"),0)</f>
        <v>0</v>
      </c>
      <c r="I14" s="73">
        <f ca="1">IFERROR(__xludf.DUMMYFUNCTION("IMPORTRANGE(""https://docs.google.com/spreadsheets/d/1MeEWN-I1oV_STSDYn1IFDPWt_1FKiwhDph83XaGc0o0/edit?usp=sharing"",""งบพรบ!CA14"")"),0)</f>
        <v>0</v>
      </c>
      <c r="J14" s="73">
        <f t="shared" ca="1" si="3"/>
        <v>0</v>
      </c>
      <c r="K14" s="74">
        <f t="shared" ca="1" si="4"/>
        <v>0</v>
      </c>
      <c r="L14" s="73">
        <f ca="1">IFERROR(__xludf.DUMMYFUNCTION("IMPORTRANGE(""https://docs.google.com/spreadsheets/d/1MeEWN-I1oV_STSDYn1IFDPWt_1FKiwhDph83XaGc0o0/edit?usp=sharing"",""งบพรบ!CB14"")"),0)</f>
        <v>0</v>
      </c>
      <c r="M14" s="75">
        <f t="shared" ca="1" si="5"/>
        <v>0</v>
      </c>
      <c r="N14" s="75">
        <f t="shared" ca="1" si="6"/>
        <v>0</v>
      </c>
      <c r="O14" s="76">
        <f ca="1">IFERROR(__xludf.DUMMYFUNCTION("IMPORTRANGE(""https://docs.google.com/spreadsheets/d/1MeEWN-I1oV_STSDYn1IFDPWt_1FKiwhDph83XaGc0o0/edit?usp=sharing"",""งบพรบ!CC14"")"),0)</f>
        <v>0</v>
      </c>
      <c r="P14" s="76">
        <f t="shared" ca="1" si="18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IFERROR(__xludf.DUMMYFUNCTION("IMPORTRANGE(""https://docs.google.com/spreadsheets/d/1KxicF4apzSqm0-jIpmueT4kyZtE-Cwn5zskl7GD4loQ/edit?usp=sharing"",""กำแพงเพชร!I159"")"),0)</f>
        <v>0</v>
      </c>
      <c r="S14" s="73">
        <f ca="1">IFERROR(__xludf.DUMMYFUNCTION("IMPORTRANGE(""https://docs.google.com/spreadsheets/d/1KxicF4apzSqm0-jIpmueT4kyZtE-Cwn5zskl7GD4loQ/edit?usp=sharing"",""กำแพงเพชร!J159"")"),0)</f>
        <v>0</v>
      </c>
      <c r="T14" s="77">
        <f t="shared" ca="1" si="16"/>
        <v>0</v>
      </c>
    </row>
    <row r="15" spans="1:20" ht="24" customHeight="1" x14ac:dyDescent="0.2">
      <c r="A15" s="78">
        <v>2</v>
      </c>
      <c r="B15" s="79" t="s">
        <v>37</v>
      </c>
      <c r="C15" s="80">
        <f t="shared" ca="1" si="0"/>
        <v>10000</v>
      </c>
      <c r="D15" s="81">
        <f t="shared" ca="1" si="20"/>
        <v>10000</v>
      </c>
      <c r="E15" s="82">
        <f ca="1">IFERROR(__xludf.DUMMYFUNCTION("IMPORTRANGE(""https://docs.google.com/spreadsheets/d/1MeEWN-I1oV_STSDYn1IFDPWt_1FKiwhDph83XaGc0o0/edit?usp=sharing"",""งบพรบ!BV15"")"),0)</f>
        <v>0</v>
      </c>
      <c r="F15" s="82">
        <f ca="1">IFERROR(__xludf.DUMMYFUNCTION("IMPORTRANGE(""https://docs.google.com/spreadsheets/d/1MeEWN-I1oV_STSDYn1IFDPWt_1FKiwhDph83XaGc0o0/edit?usp=sharing"",""งบพรบ!BW15"")"),10000)</f>
        <v>10000</v>
      </c>
      <c r="G15" s="82">
        <f ca="1">IFERROR(__xludf.DUMMYFUNCTION("IMPORTRANGE(""https://docs.google.com/spreadsheets/d/1MeEWN-I1oV_STSDYn1IFDPWt_1FKiwhDph83XaGc0o0/edit?usp=sharing"",""งบพรบ!BX15"")"),0)</f>
        <v>0</v>
      </c>
      <c r="H15" s="82">
        <f ca="1">IFERROR(__xludf.DUMMYFUNCTION("IMPORTRANGE(""https://docs.google.com/spreadsheets/d/1MeEWN-I1oV_STSDYn1IFDPWt_1FKiwhDph83XaGc0o0/edit?usp=sharing"",""งบพรบ!BZ15"")"),10000)</f>
        <v>10000</v>
      </c>
      <c r="I15" s="82">
        <f ca="1">IFERROR(__xludf.DUMMYFUNCTION("IMPORTRANGE(""https://docs.google.com/spreadsheets/d/1MeEWN-I1oV_STSDYn1IFDPWt_1FKiwhDph83XaGc0o0/edit?usp=sharing"",""งบพรบ!CA15"")"),0)</f>
        <v>0</v>
      </c>
      <c r="J15" s="82">
        <f t="shared" ca="1" si="3"/>
        <v>240</v>
      </c>
      <c r="K15" s="83">
        <f t="shared" ca="1" si="4"/>
        <v>2.4</v>
      </c>
      <c r="L15" s="82">
        <f ca="1">IFERROR(__xludf.DUMMYFUNCTION("IMPORTRANGE(""https://docs.google.com/spreadsheets/d/1MeEWN-I1oV_STSDYn1IFDPWt_1FKiwhDph83XaGc0o0/edit?usp=sharing"",""งบพรบ!CB15"")"),240)</f>
        <v>240</v>
      </c>
      <c r="M15" s="84">
        <f t="shared" ca="1" si="5"/>
        <v>2.4</v>
      </c>
      <c r="N15" s="84">
        <f t="shared" ca="1" si="6"/>
        <v>2.4</v>
      </c>
      <c r="O15" s="85">
        <f ca="1">IFERROR(__xludf.DUMMYFUNCTION("IMPORTRANGE(""https://docs.google.com/spreadsheets/d/1MeEWN-I1oV_STSDYn1IFDPWt_1FKiwhDph83XaGc0o0/edit?usp=sharing"",""งบพรบ!CC15"")"),0)</f>
        <v>0</v>
      </c>
      <c r="P15" s="85">
        <f t="shared" ca="1" si="18"/>
        <v>0</v>
      </c>
      <c r="Q15" s="84">
        <f t="shared" ca="1" si="8"/>
        <v>0</v>
      </c>
      <c r="R15" s="86">
        <f ca="1">IFERROR(__xludf.DUMMYFUNCTION("IMPORTRANGE(""https://docs.google.com/spreadsheets/d/1ZNYWeiFoFA1K1U4xKWqRX29MBvEyRHXORjo734Gnq_c/edit?usp=sharing"",""เชียงราย!I159"")"),20)</f>
        <v>20</v>
      </c>
      <c r="S15" s="86">
        <f ca="1">IFERROR(__xludf.DUMMYFUNCTION("IMPORTRANGE(""https://docs.google.com/spreadsheets/d/1ZNYWeiFoFA1K1U4xKWqRX29MBvEyRHXORjo734Gnq_c/edit?usp=sharing"",""เชียงราย!J159"")"),0)</f>
        <v>0</v>
      </c>
      <c r="T15" s="87">
        <f t="shared" ca="1" si="16"/>
        <v>0</v>
      </c>
    </row>
    <row r="16" spans="1:20" ht="24" customHeight="1" x14ac:dyDescent="0.2">
      <c r="A16" s="78">
        <v>3</v>
      </c>
      <c r="B16" s="79" t="s">
        <v>38</v>
      </c>
      <c r="C16" s="80">
        <f t="shared" ca="1" si="0"/>
        <v>0</v>
      </c>
      <c r="D16" s="81">
        <f t="shared" ca="1" si="20"/>
        <v>0</v>
      </c>
      <c r="E16" s="82">
        <f ca="1">IFERROR(__xludf.DUMMYFUNCTION("IMPORTRANGE(""https://docs.google.com/spreadsheets/d/1MeEWN-I1oV_STSDYn1IFDPWt_1FKiwhDph83XaGc0o0/edit?usp=sharing"",""งบพรบ!BV16"")"),0)</f>
        <v>0</v>
      </c>
      <c r="F16" s="82">
        <f ca="1">IFERROR(__xludf.DUMMYFUNCTION("IMPORTRANGE(""https://docs.google.com/spreadsheets/d/1MeEWN-I1oV_STSDYn1IFDPWt_1FKiwhDph83XaGc0o0/edit?usp=sharing"",""งบพรบ!BW16"")"),0)</f>
        <v>0</v>
      </c>
      <c r="G16" s="82">
        <f ca="1">IFERROR(__xludf.DUMMYFUNCTION("IMPORTRANGE(""https://docs.google.com/spreadsheets/d/1MeEWN-I1oV_STSDYn1IFDPWt_1FKiwhDph83XaGc0o0/edit?usp=sharing"",""งบพรบ!BX16"")"),0)</f>
        <v>0</v>
      </c>
      <c r="H16" s="82">
        <f ca="1">IFERROR(__xludf.DUMMYFUNCTION("IMPORTRANGE(""https://docs.google.com/spreadsheets/d/1MeEWN-I1oV_STSDYn1IFDPWt_1FKiwhDph83XaGc0o0/edit?usp=sharing"",""งบพรบ!BZ16"")"),2000)</f>
        <v>2000</v>
      </c>
      <c r="I16" s="82">
        <f ca="1">IFERROR(__xludf.DUMMYFUNCTION("IMPORTRANGE(""https://docs.google.com/spreadsheets/d/1MeEWN-I1oV_STSDYn1IFDPWt_1FKiwhDph83XaGc0o0/edit?usp=sharing"",""งบพรบ!CA16"")"),0)</f>
        <v>0</v>
      </c>
      <c r="J16" s="82">
        <f t="shared" ca="1" si="3"/>
        <v>2000</v>
      </c>
      <c r="K16" s="83">
        <f t="shared" ca="1" si="4"/>
        <v>0</v>
      </c>
      <c r="L16" s="82">
        <f ca="1">IFERROR(__xludf.DUMMYFUNCTION("IMPORTRANGE(""https://docs.google.com/spreadsheets/d/1MeEWN-I1oV_STSDYn1IFDPWt_1FKiwhDph83XaGc0o0/edit?usp=sharing"",""งบพรบ!CB16"")"),2000)</f>
        <v>2000</v>
      </c>
      <c r="M16" s="84">
        <f t="shared" ca="1" si="5"/>
        <v>0</v>
      </c>
      <c r="N16" s="84">
        <f t="shared" ca="1" si="6"/>
        <v>100</v>
      </c>
      <c r="O16" s="85">
        <f ca="1">IFERROR(__xludf.DUMMYFUNCTION("IMPORTRANGE(""https://docs.google.com/spreadsheets/d/1MeEWN-I1oV_STSDYn1IFDPWt_1FKiwhDph83XaGc0o0/edit?usp=sharing"",""งบพรบ!CC16"")"),0)</f>
        <v>0</v>
      </c>
      <c r="P16" s="85">
        <f t="shared" ca="1" si="18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IFERROR(__xludf.DUMMYFUNCTION("IMPORTRANGE(""https://docs.google.com/spreadsheets/d/1Jgv0Y7YlHDtsiDawwp-uvifEJ8HVaSn0k2aGHG8-hwM/edit?usp=sharing"",""เชียงใหม่!I159"")"),0)</f>
        <v>0</v>
      </c>
      <c r="S16" s="86">
        <f ca="1">IFERROR(__xludf.DUMMYFUNCTION("IMPORTRANGE(""https://docs.google.com/spreadsheets/d/1Jgv0Y7YlHDtsiDawwp-uvifEJ8HVaSn0k2aGHG8-hwM/edit?usp=sharing"",""เชียงใหม่!J159"")"),0)</f>
        <v>0</v>
      </c>
      <c r="T16" s="87">
        <f t="shared" ca="1" si="16"/>
        <v>0</v>
      </c>
    </row>
    <row r="17" spans="1:20" ht="24" customHeight="1" x14ac:dyDescent="0.2">
      <c r="A17" s="78">
        <v>4</v>
      </c>
      <c r="B17" s="79" t="s">
        <v>39</v>
      </c>
      <c r="C17" s="80">
        <f t="shared" ca="1" si="0"/>
        <v>10000</v>
      </c>
      <c r="D17" s="81">
        <f t="shared" ca="1" si="20"/>
        <v>10000</v>
      </c>
      <c r="E17" s="82">
        <f ca="1">IFERROR(__xludf.DUMMYFUNCTION("IMPORTRANGE(""https://docs.google.com/spreadsheets/d/1MeEWN-I1oV_STSDYn1IFDPWt_1FKiwhDph83XaGc0o0/edit?usp=sharing"",""งบพรบ!BV17"")"),0)</f>
        <v>0</v>
      </c>
      <c r="F17" s="82">
        <f ca="1">IFERROR(__xludf.DUMMYFUNCTION("IMPORTRANGE(""https://docs.google.com/spreadsheets/d/1MeEWN-I1oV_STSDYn1IFDPWt_1FKiwhDph83XaGc0o0/edit?usp=sharing"",""งบพรบ!BW17"")"),10000)</f>
        <v>10000</v>
      </c>
      <c r="G17" s="82">
        <f ca="1">IFERROR(__xludf.DUMMYFUNCTION("IMPORTRANGE(""https://docs.google.com/spreadsheets/d/1MeEWN-I1oV_STSDYn1IFDPWt_1FKiwhDph83XaGc0o0/edit?usp=sharing"",""งบพรบ!BX17"")"),0)</f>
        <v>0</v>
      </c>
      <c r="H17" s="82">
        <f ca="1">IFERROR(__xludf.DUMMYFUNCTION("IMPORTRANGE(""https://docs.google.com/spreadsheets/d/1MeEWN-I1oV_STSDYn1IFDPWt_1FKiwhDph83XaGc0o0/edit?usp=sharing"",""งบพรบ!BZ17"")"),11360)</f>
        <v>11360</v>
      </c>
      <c r="I17" s="82">
        <f ca="1">IFERROR(__xludf.DUMMYFUNCTION("IMPORTRANGE(""https://docs.google.com/spreadsheets/d/1MeEWN-I1oV_STSDYn1IFDPWt_1FKiwhDph83XaGc0o0/edit?usp=sharing"",""งบพรบ!CA17"")"),0)</f>
        <v>0</v>
      </c>
      <c r="J17" s="82">
        <f t="shared" ca="1" si="3"/>
        <v>1672</v>
      </c>
      <c r="K17" s="83">
        <f t="shared" ca="1" si="4"/>
        <v>16.72</v>
      </c>
      <c r="L17" s="82">
        <f ca="1">IFERROR(__xludf.DUMMYFUNCTION("IMPORTRANGE(""https://docs.google.com/spreadsheets/d/1MeEWN-I1oV_STSDYn1IFDPWt_1FKiwhDph83XaGc0o0/edit?usp=sharing"",""งบพรบ!CB17"")"),1672)</f>
        <v>1672</v>
      </c>
      <c r="M17" s="84">
        <f t="shared" ca="1" si="5"/>
        <v>16.72</v>
      </c>
      <c r="N17" s="84">
        <f t="shared" ca="1" si="6"/>
        <v>14.71830985915493</v>
      </c>
      <c r="O17" s="85">
        <f ca="1">IFERROR(__xludf.DUMMYFUNCTION("IMPORTRANGE(""https://docs.google.com/spreadsheets/d/1MeEWN-I1oV_STSDYn1IFDPWt_1FKiwhDph83XaGc0o0/edit?usp=sharing"",""งบพรบ!CC17"")"),0)</f>
        <v>0</v>
      </c>
      <c r="P17" s="85">
        <f t="shared" ca="1" si="18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IFERROR(__xludf.DUMMYFUNCTION("IMPORTRANGE(""https://docs.google.com/spreadsheets/d/1JWG2rZePOz9pe-f-ObA-yDr0VoOX2kSb0qIix2mTUo8/edit?usp=sharing"",""ตาก!I159"")"),20)</f>
        <v>20</v>
      </c>
      <c r="S17" s="86">
        <f ca="1">IFERROR(__xludf.DUMMYFUNCTION("IMPORTRANGE(""https://docs.google.com/spreadsheets/d/1JWG2rZePOz9pe-f-ObA-yDr0VoOX2kSb0qIix2mTUo8/edit?usp=sharing"",""ตาก!J159"")"),0)</f>
        <v>0</v>
      </c>
      <c r="T17" s="87">
        <f t="shared" ca="1" si="16"/>
        <v>0</v>
      </c>
    </row>
    <row r="18" spans="1:20" ht="24" customHeight="1" x14ac:dyDescent="0.2">
      <c r="A18" s="78">
        <v>5</v>
      </c>
      <c r="B18" s="79" t="s">
        <v>40</v>
      </c>
      <c r="C18" s="80">
        <f t="shared" ca="1" si="0"/>
        <v>10000</v>
      </c>
      <c r="D18" s="81">
        <f t="shared" ca="1" si="20"/>
        <v>10000</v>
      </c>
      <c r="E18" s="82">
        <f ca="1">IFERROR(__xludf.DUMMYFUNCTION("IMPORTRANGE(""https://docs.google.com/spreadsheets/d/1MeEWN-I1oV_STSDYn1IFDPWt_1FKiwhDph83XaGc0o0/edit?usp=sharing"",""งบพรบ!BV18"")"),0)</f>
        <v>0</v>
      </c>
      <c r="F18" s="82">
        <f ca="1">IFERROR(__xludf.DUMMYFUNCTION("IMPORTRANGE(""https://docs.google.com/spreadsheets/d/1MeEWN-I1oV_STSDYn1IFDPWt_1FKiwhDph83XaGc0o0/edit?usp=sharing"",""งบพรบ!BW18"")"),10000)</f>
        <v>10000</v>
      </c>
      <c r="G18" s="82">
        <f ca="1">IFERROR(__xludf.DUMMYFUNCTION("IMPORTRANGE(""https://docs.google.com/spreadsheets/d/1MeEWN-I1oV_STSDYn1IFDPWt_1FKiwhDph83XaGc0o0/edit?usp=sharing"",""งบพรบ!BX18"")"),0)</f>
        <v>0</v>
      </c>
      <c r="H18" s="82">
        <f ca="1">IFERROR(__xludf.DUMMYFUNCTION("IMPORTRANGE(""https://docs.google.com/spreadsheets/d/1MeEWN-I1oV_STSDYn1IFDPWt_1FKiwhDph83XaGc0o0/edit?usp=sharing"",""งบพรบ!BZ18"")"),12000)</f>
        <v>12000</v>
      </c>
      <c r="I18" s="82">
        <f ca="1">IFERROR(__xludf.DUMMYFUNCTION("IMPORTRANGE(""https://docs.google.com/spreadsheets/d/1MeEWN-I1oV_STSDYn1IFDPWt_1FKiwhDph83XaGc0o0/edit?usp=sharing"",""งบพรบ!CA18"")"),0)</f>
        <v>0</v>
      </c>
      <c r="J18" s="82">
        <f t="shared" ca="1" si="3"/>
        <v>11730</v>
      </c>
      <c r="K18" s="83">
        <f t="shared" ca="1" si="4"/>
        <v>117.3</v>
      </c>
      <c r="L18" s="82">
        <f ca="1">IFERROR(__xludf.DUMMYFUNCTION("IMPORTRANGE(""https://docs.google.com/spreadsheets/d/1MeEWN-I1oV_STSDYn1IFDPWt_1FKiwhDph83XaGc0o0/edit?usp=sharing"",""งบพรบ!CB18"")"),11730)</f>
        <v>11730</v>
      </c>
      <c r="M18" s="84">
        <f t="shared" ca="1" si="5"/>
        <v>117.3</v>
      </c>
      <c r="N18" s="84">
        <f t="shared" ca="1" si="6"/>
        <v>97.75</v>
      </c>
      <c r="O18" s="85">
        <f ca="1">IFERROR(__xludf.DUMMYFUNCTION("IMPORTRANGE(""https://docs.google.com/spreadsheets/d/1MeEWN-I1oV_STSDYn1IFDPWt_1FKiwhDph83XaGc0o0/edit?usp=sharing"",""งบพรบ!CC18"")"),0)</f>
        <v>0</v>
      </c>
      <c r="P18" s="85">
        <f t="shared" ca="1" si="18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IFERROR(__xludf.DUMMYFUNCTION("IMPORTRANGE(""https://docs.google.com/spreadsheets/d/10nSRjK08hx8Y6HgSOQKNw81lyY46Zc7U_Cj72hBMp9U/edit?usp=sharing"",""นครสวรรค์!I159"")"),20)</f>
        <v>20</v>
      </c>
      <c r="S18" s="86">
        <f ca="1">IFERROR(__xludf.DUMMYFUNCTION("IMPORTRANGE(""https://docs.google.com/spreadsheets/d/10nSRjK08hx8Y6HgSOQKNw81lyY46Zc7U_Cj72hBMp9U/edit?usp=sharing"",""นครสวรรค์!J159"")"),20)</f>
        <v>20</v>
      </c>
      <c r="T18" s="87">
        <f t="shared" ca="1" si="16"/>
        <v>100</v>
      </c>
    </row>
    <row r="19" spans="1:20" ht="24" customHeight="1" x14ac:dyDescent="0.2">
      <c r="A19" s="78">
        <v>6</v>
      </c>
      <c r="B19" s="79" t="s">
        <v>41</v>
      </c>
      <c r="C19" s="80">
        <f t="shared" ca="1" si="0"/>
        <v>0</v>
      </c>
      <c r="D19" s="81">
        <f t="shared" ca="1" si="20"/>
        <v>0</v>
      </c>
      <c r="E19" s="82">
        <f ca="1">IFERROR(__xludf.DUMMYFUNCTION("IMPORTRANGE(""https://docs.google.com/spreadsheets/d/1MeEWN-I1oV_STSDYn1IFDPWt_1FKiwhDph83XaGc0o0/edit?usp=sharing"",""งบพรบ!BV19"")"),0)</f>
        <v>0</v>
      </c>
      <c r="F19" s="82">
        <f ca="1">IFERROR(__xludf.DUMMYFUNCTION("IMPORTRANGE(""https://docs.google.com/spreadsheets/d/1MeEWN-I1oV_STSDYn1IFDPWt_1FKiwhDph83XaGc0o0/edit?usp=sharing"",""งบพรบ!BW19"")"),0)</f>
        <v>0</v>
      </c>
      <c r="G19" s="82">
        <f ca="1">IFERROR(__xludf.DUMMYFUNCTION("IMPORTRANGE(""https://docs.google.com/spreadsheets/d/1MeEWN-I1oV_STSDYn1IFDPWt_1FKiwhDph83XaGc0o0/edit?usp=sharing"",""งบพรบ!BX19"")"),0)</f>
        <v>0</v>
      </c>
      <c r="H19" s="82">
        <f ca="1">IFERROR(__xludf.DUMMYFUNCTION("IMPORTRANGE(""https://docs.google.com/spreadsheets/d/1MeEWN-I1oV_STSDYn1IFDPWt_1FKiwhDph83XaGc0o0/edit?usp=sharing"",""งบพรบ!BZ19"")"),0)</f>
        <v>0</v>
      </c>
      <c r="I19" s="82">
        <f ca="1">IFERROR(__xludf.DUMMYFUNCTION("IMPORTRANGE(""https://docs.google.com/spreadsheets/d/1MeEWN-I1oV_STSDYn1IFDPWt_1FKiwhDph83XaGc0o0/edit?usp=sharing"",""งบพรบ!CA19"")"),0)</f>
        <v>0</v>
      </c>
      <c r="J19" s="82">
        <f t="shared" ca="1" si="3"/>
        <v>0</v>
      </c>
      <c r="K19" s="83">
        <f t="shared" ca="1" si="4"/>
        <v>0</v>
      </c>
      <c r="L19" s="82">
        <f ca="1">IFERROR(__xludf.DUMMYFUNCTION("IMPORTRANGE(""https://docs.google.com/spreadsheets/d/1MeEWN-I1oV_STSDYn1IFDPWt_1FKiwhDph83XaGc0o0/edit?usp=sharing"",""งบพรบ!CB19"")"),0)</f>
        <v>0</v>
      </c>
      <c r="M19" s="84">
        <f t="shared" ca="1" si="5"/>
        <v>0</v>
      </c>
      <c r="N19" s="84">
        <f t="shared" ca="1" si="6"/>
        <v>0</v>
      </c>
      <c r="O19" s="85">
        <f ca="1">IFERROR(__xludf.DUMMYFUNCTION("IMPORTRANGE(""https://docs.google.com/spreadsheets/d/1MeEWN-I1oV_STSDYn1IFDPWt_1FKiwhDph83XaGc0o0/edit?usp=sharing"",""งบพรบ!CC19"")"),0)</f>
        <v>0</v>
      </c>
      <c r="P19" s="85">
        <f t="shared" ca="1" si="18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IFERROR(__xludf.DUMMYFUNCTION("IMPORTRANGE(""https://docs.google.com/spreadsheets/d/1gFVb7qd7amutrIxAAoM7lcy35hllxznovot8lyOfvDo/edit?usp=sharing"",""น่าน!I159"")"),0)</f>
        <v>0</v>
      </c>
      <c r="S19" s="86">
        <f ca="1">IFERROR(__xludf.DUMMYFUNCTION("IMPORTRANGE(""https://docs.google.com/spreadsheets/d/1gFVb7qd7amutrIxAAoM7lcy35hllxznovot8lyOfvDo/edit?usp=sharing"",""น่าน!J159"")"),0)</f>
        <v>0</v>
      </c>
      <c r="T19" s="87">
        <f t="shared" ca="1" si="16"/>
        <v>0</v>
      </c>
    </row>
    <row r="20" spans="1:20" ht="24" customHeight="1" x14ac:dyDescent="0.2">
      <c r="A20" s="78">
        <v>7</v>
      </c>
      <c r="B20" s="79" t="s">
        <v>42</v>
      </c>
      <c r="C20" s="80">
        <f t="shared" ca="1" si="0"/>
        <v>10000</v>
      </c>
      <c r="D20" s="81">
        <f t="shared" ca="1" si="20"/>
        <v>10000</v>
      </c>
      <c r="E20" s="82">
        <f ca="1">IFERROR(__xludf.DUMMYFUNCTION("IMPORTRANGE(""https://docs.google.com/spreadsheets/d/1MeEWN-I1oV_STSDYn1IFDPWt_1FKiwhDph83XaGc0o0/edit?usp=sharing"",""งบพรบ!BV20"")"),0)</f>
        <v>0</v>
      </c>
      <c r="F20" s="82">
        <f ca="1">IFERROR(__xludf.DUMMYFUNCTION("IMPORTRANGE(""https://docs.google.com/spreadsheets/d/1MeEWN-I1oV_STSDYn1IFDPWt_1FKiwhDph83XaGc0o0/edit?usp=sharing"",""งบพรบ!BW20"")"),10000)</f>
        <v>10000</v>
      </c>
      <c r="G20" s="82">
        <f ca="1">IFERROR(__xludf.DUMMYFUNCTION("IMPORTRANGE(""https://docs.google.com/spreadsheets/d/1MeEWN-I1oV_STSDYn1IFDPWt_1FKiwhDph83XaGc0o0/edit?usp=sharing"",""งบพรบ!BX20"")"),0)</f>
        <v>0</v>
      </c>
      <c r="H20" s="82">
        <f ca="1">IFERROR(__xludf.DUMMYFUNCTION("IMPORTRANGE(""https://docs.google.com/spreadsheets/d/1MeEWN-I1oV_STSDYn1IFDPWt_1FKiwhDph83XaGc0o0/edit?usp=sharing"",""งบพรบ!BZ20"")"),12080)</f>
        <v>12080</v>
      </c>
      <c r="I20" s="82">
        <f ca="1">IFERROR(__xludf.DUMMYFUNCTION("IMPORTRANGE(""https://docs.google.com/spreadsheets/d/1MeEWN-I1oV_STSDYn1IFDPWt_1FKiwhDph83XaGc0o0/edit?usp=sharing"",""งบพรบ!CA20"")"),0)</f>
        <v>0</v>
      </c>
      <c r="J20" s="82">
        <f t="shared" ca="1" si="3"/>
        <v>2440</v>
      </c>
      <c r="K20" s="83">
        <f t="shared" ca="1" si="4"/>
        <v>24.4</v>
      </c>
      <c r="L20" s="82">
        <f ca="1">IFERROR(__xludf.DUMMYFUNCTION("IMPORTRANGE(""https://docs.google.com/spreadsheets/d/1MeEWN-I1oV_STSDYn1IFDPWt_1FKiwhDph83XaGc0o0/edit?usp=sharing"",""งบพรบ!CB20"")"),2440)</f>
        <v>2440</v>
      </c>
      <c r="M20" s="84">
        <f t="shared" ca="1" si="5"/>
        <v>24.4</v>
      </c>
      <c r="N20" s="84">
        <f t="shared" ca="1" si="6"/>
        <v>20.198675496688743</v>
      </c>
      <c r="O20" s="85">
        <f ca="1">IFERROR(__xludf.DUMMYFUNCTION("IMPORTRANGE(""https://docs.google.com/spreadsheets/d/1MeEWN-I1oV_STSDYn1IFDPWt_1FKiwhDph83XaGc0o0/edit?usp=sharing"",""งบพรบ!CC20"")"),0)</f>
        <v>0</v>
      </c>
      <c r="P20" s="85">
        <f t="shared" ca="1" si="18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IFERROR(__xludf.DUMMYFUNCTION("IMPORTRANGE(""https://docs.google.com/spreadsheets/d/1K0Aa9s-6EuHE5M0FG1F9aHLXRCOV917xvycTdLdct0w/edit?usp=sharing"",""พะเยา!I159"")"),20)</f>
        <v>20</v>
      </c>
      <c r="S20" s="86">
        <f ca="1">IFERROR(__xludf.DUMMYFUNCTION("IMPORTRANGE(""https://docs.google.com/spreadsheets/d/1K0Aa9s-6EuHE5M0FG1F9aHLXRCOV917xvycTdLdct0w/edit?usp=sharing"",""พะเยา!J159"")"),0)</f>
        <v>0</v>
      </c>
      <c r="T20" s="87">
        <f t="shared" ca="1" si="16"/>
        <v>0</v>
      </c>
    </row>
    <row r="21" spans="1:20" ht="24" customHeight="1" x14ac:dyDescent="0.2">
      <c r="A21" s="78">
        <v>8</v>
      </c>
      <c r="B21" s="79" t="s">
        <v>43</v>
      </c>
      <c r="C21" s="80">
        <f t="shared" ca="1" si="0"/>
        <v>0</v>
      </c>
      <c r="D21" s="81">
        <f t="shared" ca="1" si="20"/>
        <v>0</v>
      </c>
      <c r="E21" s="82">
        <f ca="1">IFERROR(__xludf.DUMMYFUNCTION("IMPORTRANGE(""https://docs.google.com/spreadsheets/d/1MeEWN-I1oV_STSDYn1IFDPWt_1FKiwhDph83XaGc0o0/edit?usp=sharing"",""งบพรบ!BV21"")"),0)</f>
        <v>0</v>
      </c>
      <c r="F21" s="82">
        <f ca="1">IFERROR(__xludf.DUMMYFUNCTION("IMPORTRANGE(""https://docs.google.com/spreadsheets/d/1MeEWN-I1oV_STSDYn1IFDPWt_1FKiwhDph83XaGc0o0/edit?usp=sharing"",""งบพรบ!BW21"")"),0)</f>
        <v>0</v>
      </c>
      <c r="G21" s="82">
        <f ca="1">IFERROR(__xludf.DUMMYFUNCTION("IMPORTRANGE(""https://docs.google.com/spreadsheets/d/1MeEWN-I1oV_STSDYn1IFDPWt_1FKiwhDph83XaGc0o0/edit?usp=sharing"",""งบพรบ!BX21"")"),0)</f>
        <v>0</v>
      </c>
      <c r="H21" s="82">
        <f ca="1">IFERROR(__xludf.DUMMYFUNCTION("IMPORTRANGE(""https://docs.google.com/spreadsheets/d/1MeEWN-I1oV_STSDYn1IFDPWt_1FKiwhDph83XaGc0o0/edit?usp=sharing"",""งบพรบ!BZ21"")"),1600)</f>
        <v>1600</v>
      </c>
      <c r="I21" s="82">
        <f ca="1">IFERROR(__xludf.DUMMYFUNCTION("IMPORTRANGE(""https://docs.google.com/spreadsheets/d/1MeEWN-I1oV_STSDYn1IFDPWt_1FKiwhDph83XaGc0o0/edit?usp=sharing"",""งบพรบ!CA21"")"),0)</f>
        <v>0</v>
      </c>
      <c r="J21" s="82">
        <f t="shared" ca="1" si="3"/>
        <v>1600</v>
      </c>
      <c r="K21" s="83">
        <f t="shared" ca="1" si="4"/>
        <v>0</v>
      </c>
      <c r="L21" s="82">
        <f ca="1">IFERROR(__xludf.DUMMYFUNCTION("IMPORTRANGE(""https://docs.google.com/spreadsheets/d/1MeEWN-I1oV_STSDYn1IFDPWt_1FKiwhDph83XaGc0o0/edit?usp=sharing"",""งบพรบ!CB21"")"),1600)</f>
        <v>1600</v>
      </c>
      <c r="M21" s="84">
        <f t="shared" ca="1" si="5"/>
        <v>0</v>
      </c>
      <c r="N21" s="84">
        <f t="shared" ca="1" si="6"/>
        <v>100</v>
      </c>
      <c r="O21" s="85">
        <f ca="1">IFERROR(__xludf.DUMMYFUNCTION("IMPORTRANGE(""https://docs.google.com/spreadsheets/d/1MeEWN-I1oV_STSDYn1IFDPWt_1FKiwhDph83XaGc0o0/edit?usp=sharing"",""งบพรบ!CC21"")"),0)</f>
        <v>0</v>
      </c>
      <c r="P21" s="85">
        <f t="shared" ca="1" si="18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IFERROR(__xludf.DUMMYFUNCTION("IMPORTRANGE(""https://docs.google.com/spreadsheets/d/1Y9LPKx95PyL5OKy09d-KbKJSuuEZCFdkhYjwC0XQjBA/edit?usp=sharing"",""พิจิตร!I159"")"),0)</f>
        <v>0</v>
      </c>
      <c r="S21" s="86">
        <f ca="1">IFERROR(__xludf.DUMMYFUNCTION("IMPORTRANGE(""https://docs.google.com/spreadsheets/d/1Y9LPKx95PyL5OKy09d-KbKJSuuEZCFdkhYjwC0XQjBA/edit?usp=sharing"",""พิจิตร!J159"")"),0)</f>
        <v>0</v>
      </c>
      <c r="T21" s="87">
        <f t="shared" ca="1" si="16"/>
        <v>0</v>
      </c>
    </row>
    <row r="22" spans="1:20" ht="24" customHeight="1" x14ac:dyDescent="0.2">
      <c r="A22" s="78">
        <v>9</v>
      </c>
      <c r="B22" s="79" t="s">
        <v>44</v>
      </c>
      <c r="C22" s="80">
        <f t="shared" ca="1" si="0"/>
        <v>0</v>
      </c>
      <c r="D22" s="81">
        <f t="shared" ca="1" si="20"/>
        <v>0</v>
      </c>
      <c r="E22" s="82">
        <f ca="1">IFERROR(__xludf.DUMMYFUNCTION("IMPORTRANGE(""https://docs.google.com/spreadsheets/d/1MeEWN-I1oV_STSDYn1IFDPWt_1FKiwhDph83XaGc0o0/edit?usp=sharing"",""งบพรบ!BV22"")"),0)</f>
        <v>0</v>
      </c>
      <c r="F22" s="82">
        <f ca="1">IFERROR(__xludf.DUMMYFUNCTION("IMPORTRANGE(""https://docs.google.com/spreadsheets/d/1MeEWN-I1oV_STSDYn1IFDPWt_1FKiwhDph83XaGc0o0/edit?usp=sharing"",""งบพรบ!BW22"")"),0)</f>
        <v>0</v>
      </c>
      <c r="G22" s="82">
        <f ca="1">IFERROR(__xludf.DUMMYFUNCTION("IMPORTRANGE(""https://docs.google.com/spreadsheets/d/1MeEWN-I1oV_STSDYn1IFDPWt_1FKiwhDph83XaGc0o0/edit?usp=sharing"",""งบพรบ!BX22"")"),0)</f>
        <v>0</v>
      </c>
      <c r="H22" s="82">
        <f ca="1">IFERROR(__xludf.DUMMYFUNCTION("IMPORTRANGE(""https://docs.google.com/spreadsheets/d/1MeEWN-I1oV_STSDYn1IFDPWt_1FKiwhDph83XaGc0o0/edit?usp=sharing"",""งบพรบ!BZ22"")"),1360)</f>
        <v>1360</v>
      </c>
      <c r="I22" s="82">
        <f ca="1">IFERROR(__xludf.DUMMYFUNCTION("IMPORTRANGE(""https://docs.google.com/spreadsheets/d/1MeEWN-I1oV_STSDYn1IFDPWt_1FKiwhDph83XaGc0o0/edit?usp=sharing"",""งบพรบ!CA22"")"),0)</f>
        <v>0</v>
      </c>
      <c r="J22" s="82">
        <f t="shared" ca="1" si="3"/>
        <v>0</v>
      </c>
      <c r="K22" s="83">
        <f t="shared" ca="1" si="4"/>
        <v>0</v>
      </c>
      <c r="L22" s="82">
        <f ca="1">IFERROR(__xludf.DUMMYFUNCTION("IMPORTRANGE(""https://docs.google.com/spreadsheets/d/1MeEWN-I1oV_STSDYn1IFDPWt_1FKiwhDph83XaGc0o0/edit?usp=sharing"",""งบพรบ!CB22"")"),0)</f>
        <v>0</v>
      </c>
      <c r="M22" s="84">
        <f t="shared" ca="1" si="5"/>
        <v>0</v>
      </c>
      <c r="N22" s="84">
        <f t="shared" ca="1" si="6"/>
        <v>0</v>
      </c>
      <c r="O22" s="85">
        <f ca="1">IFERROR(__xludf.DUMMYFUNCTION("IMPORTRANGE(""https://docs.google.com/spreadsheets/d/1MeEWN-I1oV_STSDYn1IFDPWt_1FKiwhDph83XaGc0o0/edit?usp=sharing"",""งบพรบ!CC22"")"),0)</f>
        <v>0</v>
      </c>
      <c r="P22" s="85">
        <f t="shared" ca="1" si="18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IFERROR(__xludf.DUMMYFUNCTION("IMPORTRANGE(""https://docs.google.com/spreadsheets/d/16OMuOwy2eVqZcYWOouQtTpa8X1L23h4660uVHc0C8os/edit?usp=sharing"",""พิษณุโลก!I159"")"),0)</f>
        <v>0</v>
      </c>
      <c r="S22" s="86">
        <f ca="1">IFERROR(__xludf.DUMMYFUNCTION("IMPORTRANGE(""https://docs.google.com/spreadsheets/d/16OMuOwy2eVqZcYWOouQtTpa8X1L23h4660uVHc0C8os/edit?usp=sharing"",""พิษณุโลก!J159"")"),0)</f>
        <v>0</v>
      </c>
      <c r="T22" s="87">
        <f t="shared" ca="1" si="16"/>
        <v>0</v>
      </c>
    </row>
    <row r="23" spans="1:20" ht="24" customHeight="1" x14ac:dyDescent="0.2">
      <c r="A23" s="78">
        <v>10</v>
      </c>
      <c r="B23" s="79" t="s">
        <v>45</v>
      </c>
      <c r="C23" s="80">
        <f t="shared" ca="1" si="0"/>
        <v>10000</v>
      </c>
      <c r="D23" s="81">
        <f t="shared" ca="1" si="20"/>
        <v>10000</v>
      </c>
      <c r="E23" s="82">
        <f ca="1">IFERROR(__xludf.DUMMYFUNCTION("IMPORTRANGE(""https://docs.google.com/spreadsheets/d/1MeEWN-I1oV_STSDYn1IFDPWt_1FKiwhDph83XaGc0o0/edit?usp=sharing"",""งบพรบ!BV23"")"),0)</f>
        <v>0</v>
      </c>
      <c r="F23" s="82">
        <f ca="1">IFERROR(__xludf.DUMMYFUNCTION("IMPORTRANGE(""https://docs.google.com/spreadsheets/d/1MeEWN-I1oV_STSDYn1IFDPWt_1FKiwhDph83XaGc0o0/edit?usp=sharing"",""งบพรบ!BW23"")"),10000)</f>
        <v>10000</v>
      </c>
      <c r="G23" s="82">
        <f ca="1">IFERROR(__xludf.DUMMYFUNCTION("IMPORTRANGE(""https://docs.google.com/spreadsheets/d/1MeEWN-I1oV_STSDYn1IFDPWt_1FKiwhDph83XaGc0o0/edit?usp=sharing"",""งบพรบ!BX23"")"),0)</f>
        <v>0</v>
      </c>
      <c r="H23" s="82">
        <f ca="1">IFERROR(__xludf.DUMMYFUNCTION("IMPORTRANGE(""https://docs.google.com/spreadsheets/d/1MeEWN-I1oV_STSDYn1IFDPWt_1FKiwhDph83XaGc0o0/edit?usp=sharing"",""งบพรบ!BZ23"")"),29480)</f>
        <v>29480</v>
      </c>
      <c r="I23" s="82">
        <f ca="1">IFERROR(__xludf.DUMMYFUNCTION("IMPORTRANGE(""https://docs.google.com/spreadsheets/d/1MeEWN-I1oV_STSDYn1IFDPWt_1FKiwhDph83XaGc0o0/edit?usp=sharing"",""งบพรบ!CA23"")"),0)</f>
        <v>0</v>
      </c>
      <c r="J23" s="82">
        <f t="shared" ca="1" si="3"/>
        <v>22047.5</v>
      </c>
      <c r="K23" s="83">
        <f t="shared" ca="1" si="4"/>
        <v>220.47499999999999</v>
      </c>
      <c r="L23" s="82">
        <f ca="1">IFERROR(__xludf.DUMMYFUNCTION("IMPORTRANGE(""https://docs.google.com/spreadsheets/d/1MeEWN-I1oV_STSDYn1IFDPWt_1FKiwhDph83XaGc0o0/edit?usp=sharing"",""งบพรบ!CB23"")"),22047.5)</f>
        <v>22047.5</v>
      </c>
      <c r="M23" s="84">
        <f t="shared" ca="1" si="5"/>
        <v>220.47499999999999</v>
      </c>
      <c r="N23" s="84">
        <f t="shared" ca="1" si="6"/>
        <v>74.787991858887381</v>
      </c>
      <c r="O23" s="85">
        <f ca="1">IFERROR(__xludf.DUMMYFUNCTION("IMPORTRANGE(""https://docs.google.com/spreadsheets/d/1MeEWN-I1oV_STSDYn1IFDPWt_1FKiwhDph83XaGc0o0/edit?usp=sharing"",""งบพรบ!CC23"")"),0)</f>
        <v>0</v>
      </c>
      <c r="P23" s="85">
        <f t="shared" ca="1" si="18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IFERROR(__xludf.DUMMYFUNCTION("IMPORTRANGE(""https://docs.google.com/spreadsheets/d/1GfgTldLG6k77HXaMQzaafODklYuucJZQNs_GAPEfZyY/edit?usp=sharing"",""เพชรบูรณ์!I159"")"),20)</f>
        <v>20</v>
      </c>
      <c r="S23" s="86">
        <f ca="1">IFERROR(__xludf.DUMMYFUNCTION("IMPORTRANGE(""https://docs.google.com/spreadsheets/d/1GfgTldLG6k77HXaMQzaafODklYuucJZQNs_GAPEfZyY/edit?usp=sharing"",""เพชรบูรณ์!J159"")"),40)</f>
        <v>40</v>
      </c>
      <c r="T23" s="87">
        <f t="shared" ca="1" si="16"/>
        <v>200</v>
      </c>
    </row>
    <row r="24" spans="1:20" ht="24" customHeight="1" x14ac:dyDescent="0.2">
      <c r="A24" s="78">
        <v>11</v>
      </c>
      <c r="B24" s="79" t="s">
        <v>46</v>
      </c>
      <c r="C24" s="80">
        <f t="shared" ca="1" si="0"/>
        <v>0</v>
      </c>
      <c r="D24" s="81">
        <f t="shared" ca="1" si="20"/>
        <v>0</v>
      </c>
      <c r="E24" s="82">
        <f ca="1">IFERROR(__xludf.DUMMYFUNCTION("IMPORTRANGE(""https://docs.google.com/spreadsheets/d/1MeEWN-I1oV_STSDYn1IFDPWt_1FKiwhDph83XaGc0o0/edit?usp=sharing"",""งบพรบ!BV24"")"),0)</f>
        <v>0</v>
      </c>
      <c r="F24" s="82">
        <f ca="1">IFERROR(__xludf.DUMMYFUNCTION("IMPORTRANGE(""https://docs.google.com/spreadsheets/d/1MeEWN-I1oV_STSDYn1IFDPWt_1FKiwhDph83XaGc0o0/edit?usp=sharing"",""งบพรบ!BW24"")"),0)</f>
        <v>0</v>
      </c>
      <c r="G24" s="82">
        <f ca="1">IFERROR(__xludf.DUMMYFUNCTION("IMPORTRANGE(""https://docs.google.com/spreadsheets/d/1MeEWN-I1oV_STSDYn1IFDPWt_1FKiwhDph83XaGc0o0/edit?usp=sharing"",""งบพรบ!BX24"")"),0)</f>
        <v>0</v>
      </c>
      <c r="H24" s="82">
        <f ca="1">IFERROR(__xludf.DUMMYFUNCTION("IMPORTRANGE(""https://docs.google.com/spreadsheets/d/1MeEWN-I1oV_STSDYn1IFDPWt_1FKiwhDph83XaGc0o0/edit?usp=sharing"",""งบพรบ!BZ24"")"),720)</f>
        <v>720</v>
      </c>
      <c r="I24" s="82">
        <f ca="1">IFERROR(__xludf.DUMMYFUNCTION("IMPORTRANGE(""https://docs.google.com/spreadsheets/d/1MeEWN-I1oV_STSDYn1IFDPWt_1FKiwhDph83XaGc0o0/edit?usp=sharing"",""งบพรบ!CA24"")"),0)</f>
        <v>0</v>
      </c>
      <c r="J24" s="82">
        <f t="shared" ca="1" si="3"/>
        <v>720</v>
      </c>
      <c r="K24" s="83">
        <f t="shared" ca="1" si="4"/>
        <v>0</v>
      </c>
      <c r="L24" s="82">
        <f ca="1">IFERROR(__xludf.DUMMYFUNCTION("IMPORTRANGE(""https://docs.google.com/spreadsheets/d/1MeEWN-I1oV_STSDYn1IFDPWt_1FKiwhDph83XaGc0o0/edit?usp=sharing"",""งบพรบ!CB24"")"),720)</f>
        <v>720</v>
      </c>
      <c r="M24" s="84">
        <f t="shared" ca="1" si="5"/>
        <v>0</v>
      </c>
      <c r="N24" s="84">
        <f t="shared" ca="1" si="6"/>
        <v>100</v>
      </c>
      <c r="O24" s="85">
        <f ca="1">IFERROR(__xludf.DUMMYFUNCTION("IMPORTRANGE(""https://docs.google.com/spreadsheets/d/1MeEWN-I1oV_STSDYn1IFDPWt_1FKiwhDph83XaGc0o0/edit?usp=sharing"",""งบพรบ!CC24"")"),0)</f>
        <v>0</v>
      </c>
      <c r="P24" s="85">
        <f t="shared" ca="1" si="18"/>
        <v>0</v>
      </c>
      <c r="Q24" s="84">
        <f t="shared" ca="1" si="8"/>
        <v>0</v>
      </c>
      <c r="R24" s="86">
        <f ca="1">IFERROR(__xludf.DUMMYFUNCTION("IMPORTRANGE(""https://docs.google.com/spreadsheets/d/1gvTMYAnm7v1yG1BKWFtr0DnaTsq59oW9dwWvFgq6hs0/edit?usp=sharing"",""แพร่!I159"")"),0)</f>
        <v>0</v>
      </c>
      <c r="S24" s="86">
        <f ca="1">IFERROR(__xludf.DUMMYFUNCTION("IMPORTRANGE(""https://docs.google.com/spreadsheets/d/1gvTMYAnm7v1yG1BKWFtr0DnaTsq59oW9dwWvFgq6hs0/edit?usp=sharing"",""แพร่!J159"")"),0)</f>
        <v>0</v>
      </c>
      <c r="T24" s="87">
        <f t="shared" ca="1" si="16"/>
        <v>0</v>
      </c>
    </row>
    <row r="25" spans="1:20" ht="24" customHeight="1" x14ac:dyDescent="0.2">
      <c r="A25" s="78">
        <v>12</v>
      </c>
      <c r="B25" s="79" t="s">
        <v>47</v>
      </c>
      <c r="C25" s="80">
        <f t="shared" ca="1" si="0"/>
        <v>10000</v>
      </c>
      <c r="D25" s="81">
        <f t="shared" ca="1" si="20"/>
        <v>10000</v>
      </c>
      <c r="E25" s="82">
        <f ca="1">IFERROR(__xludf.DUMMYFUNCTION("IMPORTRANGE(""https://docs.google.com/spreadsheets/d/1MeEWN-I1oV_STSDYn1IFDPWt_1FKiwhDph83XaGc0o0/edit?usp=sharing"",""งบพรบ!BV25"")"),0)</f>
        <v>0</v>
      </c>
      <c r="F25" s="82">
        <f ca="1">IFERROR(__xludf.DUMMYFUNCTION("IMPORTRANGE(""https://docs.google.com/spreadsheets/d/1MeEWN-I1oV_STSDYn1IFDPWt_1FKiwhDph83XaGc0o0/edit?usp=sharing"",""งบพรบ!BW25"")"),10000)</f>
        <v>10000</v>
      </c>
      <c r="G25" s="82">
        <f ca="1">IFERROR(__xludf.DUMMYFUNCTION("IMPORTRANGE(""https://docs.google.com/spreadsheets/d/1MeEWN-I1oV_STSDYn1IFDPWt_1FKiwhDph83XaGc0o0/edit?usp=sharing"",""งบพรบ!BX25"")"),0)</f>
        <v>0</v>
      </c>
      <c r="H25" s="82">
        <f ca="1">IFERROR(__xludf.DUMMYFUNCTION("IMPORTRANGE(""https://docs.google.com/spreadsheets/d/1MeEWN-I1oV_STSDYn1IFDPWt_1FKiwhDph83XaGc0o0/edit?usp=sharing"",""งบพรบ!BZ25"")"),14880)</f>
        <v>14880</v>
      </c>
      <c r="I25" s="82">
        <f ca="1">IFERROR(__xludf.DUMMYFUNCTION("IMPORTRANGE(""https://docs.google.com/spreadsheets/d/1MeEWN-I1oV_STSDYn1IFDPWt_1FKiwhDph83XaGc0o0/edit?usp=sharing"",""งบพรบ!CA25"")"),0)</f>
        <v>0</v>
      </c>
      <c r="J25" s="82">
        <f t="shared" ca="1" si="3"/>
        <v>4880</v>
      </c>
      <c r="K25" s="83">
        <f t="shared" ca="1" si="4"/>
        <v>48.8</v>
      </c>
      <c r="L25" s="82">
        <f ca="1">IFERROR(__xludf.DUMMYFUNCTION("IMPORTRANGE(""https://docs.google.com/spreadsheets/d/1MeEWN-I1oV_STSDYn1IFDPWt_1FKiwhDph83XaGc0o0/edit?usp=sharing"",""งบพรบ!CB25"")"),4880)</f>
        <v>4880</v>
      </c>
      <c r="M25" s="84">
        <f t="shared" ca="1" si="5"/>
        <v>48.8</v>
      </c>
      <c r="N25" s="84">
        <f t="shared" ca="1" si="6"/>
        <v>32.795698924731184</v>
      </c>
      <c r="O25" s="85">
        <f ca="1">IFERROR(__xludf.DUMMYFUNCTION("IMPORTRANGE(""https://docs.google.com/spreadsheets/d/1MeEWN-I1oV_STSDYn1IFDPWt_1FKiwhDph83XaGc0o0/edit?usp=sharing"",""งบพรบ!CC25"")"),0)</f>
        <v>0</v>
      </c>
      <c r="P25" s="85">
        <f t="shared" ca="1" si="18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IFERROR(__xludf.DUMMYFUNCTION("IMPORTRANGE(""https://docs.google.com/spreadsheets/d/1Wbcosgy-Xa1xXUArJSOenub6EfZHUSzc_bpJFWwQUf0/edit?usp=sharing"",""แม่ฮ่องสอน!I159"")"),20)</f>
        <v>20</v>
      </c>
      <c r="S25" s="86">
        <f ca="1">IFERROR(__xludf.DUMMYFUNCTION("IMPORTRANGE(""https://docs.google.com/spreadsheets/d/1Wbcosgy-Xa1xXUArJSOenub6EfZHUSzc_bpJFWwQUf0/edit?usp=sharing"",""แม่ฮ่องสอน!J159"")"),0)</f>
        <v>0</v>
      </c>
      <c r="T25" s="87">
        <f t="shared" ca="1" si="16"/>
        <v>0</v>
      </c>
    </row>
    <row r="26" spans="1:20" ht="24" customHeight="1" x14ac:dyDescent="0.2">
      <c r="A26" s="78">
        <v>13</v>
      </c>
      <c r="B26" s="79" t="s">
        <v>48</v>
      </c>
      <c r="C26" s="80">
        <f t="shared" ca="1" si="0"/>
        <v>0</v>
      </c>
      <c r="D26" s="81">
        <f t="shared" ca="1" si="20"/>
        <v>0</v>
      </c>
      <c r="E26" s="82">
        <f ca="1">IFERROR(__xludf.DUMMYFUNCTION("IMPORTRANGE(""https://docs.google.com/spreadsheets/d/1MeEWN-I1oV_STSDYn1IFDPWt_1FKiwhDph83XaGc0o0/edit?usp=sharing"",""งบพรบ!BV26"")"),0)</f>
        <v>0</v>
      </c>
      <c r="F26" s="82">
        <f ca="1">IFERROR(__xludf.DUMMYFUNCTION("IMPORTRANGE(""https://docs.google.com/spreadsheets/d/1MeEWN-I1oV_STSDYn1IFDPWt_1FKiwhDph83XaGc0o0/edit?usp=sharing"",""งบพรบ!BW26"")"),0)</f>
        <v>0</v>
      </c>
      <c r="G26" s="82">
        <f ca="1">IFERROR(__xludf.DUMMYFUNCTION("IMPORTRANGE(""https://docs.google.com/spreadsheets/d/1MeEWN-I1oV_STSDYn1IFDPWt_1FKiwhDph83XaGc0o0/edit?usp=sharing"",""งบพรบ!BX26"")"),0)</f>
        <v>0</v>
      </c>
      <c r="H26" s="82">
        <f ca="1">IFERROR(__xludf.DUMMYFUNCTION("IMPORTRANGE(""https://docs.google.com/spreadsheets/d/1MeEWN-I1oV_STSDYn1IFDPWt_1FKiwhDph83XaGc0o0/edit?usp=sharing"",""งบพรบ!BZ26"")"),2400)</f>
        <v>2400</v>
      </c>
      <c r="I26" s="82">
        <f ca="1">IFERROR(__xludf.DUMMYFUNCTION("IMPORTRANGE(""https://docs.google.com/spreadsheets/d/1MeEWN-I1oV_STSDYn1IFDPWt_1FKiwhDph83XaGc0o0/edit?usp=sharing"",""งบพรบ!CA26"")"),0)</f>
        <v>0</v>
      </c>
      <c r="J26" s="82">
        <f t="shared" ca="1" si="3"/>
        <v>1888</v>
      </c>
      <c r="K26" s="83">
        <f t="shared" ca="1" si="4"/>
        <v>0</v>
      </c>
      <c r="L26" s="82">
        <f ca="1">IFERROR(__xludf.DUMMYFUNCTION("IMPORTRANGE(""https://docs.google.com/spreadsheets/d/1MeEWN-I1oV_STSDYn1IFDPWt_1FKiwhDph83XaGc0o0/edit?usp=sharing"",""งบพรบ!CB26"")"),1888)</f>
        <v>1888</v>
      </c>
      <c r="M26" s="84">
        <f t="shared" ca="1" si="5"/>
        <v>0</v>
      </c>
      <c r="N26" s="84">
        <f t="shared" ca="1" si="6"/>
        <v>78.666666666666671</v>
      </c>
      <c r="O26" s="85">
        <f ca="1">IFERROR(__xludf.DUMMYFUNCTION("IMPORTRANGE(""https://docs.google.com/spreadsheets/d/1MeEWN-I1oV_STSDYn1IFDPWt_1FKiwhDph83XaGc0o0/edit?usp=sharing"",""งบพรบ!CC26"")"),0)</f>
        <v>0</v>
      </c>
      <c r="P26" s="85">
        <f t="shared" ca="1" si="18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IFERROR(__xludf.DUMMYFUNCTION("IMPORTRANGE(""https://docs.google.com/spreadsheets/d/1p7ERhsr0qZeSn-KSOdeHS9r0heI-lHtkcn2OH7hP0jQ/edit?usp=sharing"",""ลำปาง!I159"")"),0)</f>
        <v>0</v>
      </c>
      <c r="S26" s="86">
        <f ca="1">IFERROR(__xludf.DUMMYFUNCTION("IMPORTRANGE(""https://docs.google.com/spreadsheets/d/1p7ERhsr0qZeSn-KSOdeHS9r0heI-lHtkcn2OH7hP0jQ/edit?usp=sharing"",""ลำปาง!J159"")"),0)</f>
        <v>0</v>
      </c>
      <c r="T26" s="87">
        <f t="shared" ca="1" si="16"/>
        <v>0</v>
      </c>
    </row>
    <row r="27" spans="1:20" ht="24" customHeight="1" x14ac:dyDescent="0.2">
      <c r="A27" s="78">
        <v>14</v>
      </c>
      <c r="B27" s="79" t="s">
        <v>49</v>
      </c>
      <c r="C27" s="80">
        <f t="shared" ca="1" si="0"/>
        <v>10000</v>
      </c>
      <c r="D27" s="81">
        <f t="shared" ca="1" si="20"/>
        <v>10000</v>
      </c>
      <c r="E27" s="82">
        <f ca="1">IFERROR(__xludf.DUMMYFUNCTION("IMPORTRANGE(""https://docs.google.com/spreadsheets/d/1MeEWN-I1oV_STSDYn1IFDPWt_1FKiwhDph83XaGc0o0/edit?usp=sharing"",""งบพรบ!BV27"")"),0)</f>
        <v>0</v>
      </c>
      <c r="F27" s="82">
        <f ca="1">IFERROR(__xludf.DUMMYFUNCTION("IMPORTRANGE(""https://docs.google.com/spreadsheets/d/1MeEWN-I1oV_STSDYn1IFDPWt_1FKiwhDph83XaGc0o0/edit?usp=sharing"",""งบพรบ!BW27"")"),10000)</f>
        <v>10000</v>
      </c>
      <c r="G27" s="82">
        <f ca="1">IFERROR(__xludf.DUMMYFUNCTION("IMPORTRANGE(""https://docs.google.com/spreadsheets/d/1MeEWN-I1oV_STSDYn1IFDPWt_1FKiwhDph83XaGc0o0/edit?usp=sharing"",""งบพรบ!BX27"")"),0)</f>
        <v>0</v>
      </c>
      <c r="H27" s="82">
        <f ca="1">IFERROR(__xludf.DUMMYFUNCTION("IMPORTRANGE(""https://docs.google.com/spreadsheets/d/1MeEWN-I1oV_STSDYn1IFDPWt_1FKiwhDph83XaGc0o0/edit?usp=sharing"",""งบพรบ!BZ27"")"),11680)</f>
        <v>11680</v>
      </c>
      <c r="I27" s="82">
        <f ca="1">IFERROR(__xludf.DUMMYFUNCTION("IMPORTRANGE(""https://docs.google.com/spreadsheets/d/1MeEWN-I1oV_STSDYn1IFDPWt_1FKiwhDph83XaGc0o0/edit?usp=sharing"",""งบพรบ!CA27"")"),0)</f>
        <v>0</v>
      </c>
      <c r="J27" s="82">
        <f t="shared" ca="1" si="3"/>
        <v>2320</v>
      </c>
      <c r="K27" s="83">
        <f t="shared" ca="1" si="4"/>
        <v>23.2</v>
      </c>
      <c r="L27" s="82">
        <f ca="1">IFERROR(__xludf.DUMMYFUNCTION("IMPORTRANGE(""https://docs.google.com/spreadsheets/d/1MeEWN-I1oV_STSDYn1IFDPWt_1FKiwhDph83XaGc0o0/edit?usp=sharing"",""งบพรบ!CB27"")"),2320)</f>
        <v>2320</v>
      </c>
      <c r="M27" s="84">
        <f t="shared" ca="1" si="5"/>
        <v>23.2</v>
      </c>
      <c r="N27" s="84">
        <f t="shared" ca="1" si="6"/>
        <v>19.863013698630137</v>
      </c>
      <c r="O27" s="85">
        <f ca="1">IFERROR(__xludf.DUMMYFUNCTION("IMPORTRANGE(""https://docs.google.com/spreadsheets/d/1MeEWN-I1oV_STSDYn1IFDPWt_1FKiwhDph83XaGc0o0/edit?usp=sharing"",""งบพรบ!CC27"")"),0)</f>
        <v>0</v>
      </c>
      <c r="P27" s="85">
        <f t="shared" ca="1" si="18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IFERROR(__xludf.DUMMYFUNCTION("IMPORTRANGE(""https://docs.google.com/spreadsheets/d/1-uUXvimVhiU2U0bMN-xi2te0tS4X7DI2GLPnMjzl8cA/edit?usp=sharing"",""ลำพูน!I159"")"),20)</f>
        <v>20</v>
      </c>
      <c r="S27" s="86">
        <f ca="1">IFERROR(__xludf.DUMMYFUNCTION("IMPORTRANGE(""https://docs.google.com/spreadsheets/d/1-uUXvimVhiU2U0bMN-xi2te0tS4X7DI2GLPnMjzl8cA/edit?usp=sharing"",""ลำพูน!J159"")"),0)</f>
        <v>0</v>
      </c>
      <c r="T27" s="87">
        <f t="shared" ca="1" si="16"/>
        <v>0</v>
      </c>
    </row>
    <row r="28" spans="1:20" ht="24" customHeight="1" x14ac:dyDescent="0.2">
      <c r="A28" s="78">
        <v>15</v>
      </c>
      <c r="B28" s="79" t="s">
        <v>50</v>
      </c>
      <c r="C28" s="80">
        <f t="shared" ca="1" si="0"/>
        <v>10000</v>
      </c>
      <c r="D28" s="81">
        <f t="shared" ca="1" si="20"/>
        <v>10000</v>
      </c>
      <c r="E28" s="82">
        <f ca="1">IFERROR(__xludf.DUMMYFUNCTION("IMPORTRANGE(""https://docs.google.com/spreadsheets/d/1MeEWN-I1oV_STSDYn1IFDPWt_1FKiwhDph83XaGc0o0/edit?usp=sharing"",""งบพรบ!BV28"")"),0)</f>
        <v>0</v>
      </c>
      <c r="F28" s="82">
        <f ca="1">IFERROR(__xludf.DUMMYFUNCTION("IMPORTRANGE(""https://docs.google.com/spreadsheets/d/1MeEWN-I1oV_STSDYn1IFDPWt_1FKiwhDph83XaGc0o0/edit?usp=sharing"",""งบพรบ!BW28"")"),10000)</f>
        <v>10000</v>
      </c>
      <c r="G28" s="82">
        <f ca="1">IFERROR(__xludf.DUMMYFUNCTION("IMPORTRANGE(""https://docs.google.com/spreadsheets/d/1MeEWN-I1oV_STSDYn1IFDPWt_1FKiwhDph83XaGc0o0/edit?usp=sharing"",""งบพรบ!BX28"")"),0)</f>
        <v>0</v>
      </c>
      <c r="H28" s="82">
        <f ca="1">IFERROR(__xludf.DUMMYFUNCTION("IMPORTRANGE(""https://docs.google.com/spreadsheets/d/1MeEWN-I1oV_STSDYn1IFDPWt_1FKiwhDph83XaGc0o0/edit?usp=sharing"",""งบพรบ!BZ28"")"),186580)</f>
        <v>186580</v>
      </c>
      <c r="I28" s="82">
        <f ca="1">IFERROR(__xludf.DUMMYFUNCTION("IMPORTRANGE(""https://docs.google.com/spreadsheets/d/1MeEWN-I1oV_STSDYn1IFDPWt_1FKiwhDph83XaGc0o0/edit?usp=sharing"",""งบพรบ!CA28"")"),0)</f>
        <v>0</v>
      </c>
      <c r="J28" s="82">
        <f t="shared" ca="1" si="3"/>
        <v>67729.289999999994</v>
      </c>
      <c r="K28" s="83">
        <f t="shared" ca="1" si="4"/>
        <v>677.29289999999992</v>
      </c>
      <c r="L28" s="82">
        <f ca="1">IFERROR(__xludf.DUMMYFUNCTION("IMPORTRANGE(""https://docs.google.com/spreadsheets/d/1MeEWN-I1oV_STSDYn1IFDPWt_1FKiwhDph83XaGc0o0/edit?usp=sharing"",""งบพรบ!CB28"")"),67729.29)</f>
        <v>67729.289999999994</v>
      </c>
      <c r="M28" s="84">
        <f t="shared" ca="1" si="5"/>
        <v>677.29289999999992</v>
      </c>
      <c r="N28" s="84">
        <f t="shared" ca="1" si="6"/>
        <v>36.300401972344297</v>
      </c>
      <c r="O28" s="85">
        <f ca="1">IFERROR(__xludf.DUMMYFUNCTION("IMPORTRANGE(""https://docs.google.com/spreadsheets/d/1MeEWN-I1oV_STSDYn1IFDPWt_1FKiwhDph83XaGc0o0/edit?usp=sharing"",""งบพรบ!CC28"")"),0)</f>
        <v>0</v>
      </c>
      <c r="P28" s="85">
        <f t="shared" ca="1" si="18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IFERROR(__xludf.DUMMYFUNCTION("IMPORTRANGE(""https://docs.google.com/spreadsheets/d/17HrOaa5pBUI1onckFfumXB8xlg35qb2uBAFfF1D-Myo/edit?usp=sharing"",""สุโขทัย!I159"")"),20)</f>
        <v>20</v>
      </c>
      <c r="S28" s="86">
        <f ca="1">IFERROR(__xludf.DUMMYFUNCTION("IMPORTRANGE(""https://docs.google.com/spreadsheets/d/17HrOaa5pBUI1onckFfumXB8xlg35qb2uBAFfF1D-Myo/edit?usp=sharing"",""สุโขทัย!J159"")"),80)</f>
        <v>80</v>
      </c>
      <c r="T28" s="87">
        <f t="shared" ca="1" si="16"/>
        <v>400</v>
      </c>
    </row>
    <row r="29" spans="1:20" ht="24" customHeight="1" x14ac:dyDescent="0.2">
      <c r="A29" s="78">
        <v>16</v>
      </c>
      <c r="B29" s="79" t="s">
        <v>51</v>
      </c>
      <c r="C29" s="80">
        <f t="shared" ca="1" si="0"/>
        <v>0</v>
      </c>
      <c r="D29" s="81">
        <f t="shared" ca="1" si="20"/>
        <v>0</v>
      </c>
      <c r="E29" s="82">
        <f ca="1">IFERROR(__xludf.DUMMYFUNCTION("IMPORTRANGE(""https://docs.google.com/spreadsheets/d/1MeEWN-I1oV_STSDYn1IFDPWt_1FKiwhDph83XaGc0o0/edit?usp=sharing"",""งบพรบ!BV29"")"),0)</f>
        <v>0</v>
      </c>
      <c r="F29" s="82">
        <f ca="1">IFERROR(__xludf.DUMMYFUNCTION("IMPORTRANGE(""https://docs.google.com/spreadsheets/d/1MeEWN-I1oV_STSDYn1IFDPWt_1FKiwhDph83XaGc0o0/edit?usp=sharing"",""งบพรบ!BW29"")"),0)</f>
        <v>0</v>
      </c>
      <c r="G29" s="82">
        <f ca="1">IFERROR(__xludf.DUMMYFUNCTION("IMPORTRANGE(""https://docs.google.com/spreadsheets/d/1MeEWN-I1oV_STSDYn1IFDPWt_1FKiwhDph83XaGc0o0/edit?usp=sharing"",""งบพรบ!BX29"")"),0)</f>
        <v>0</v>
      </c>
      <c r="H29" s="82">
        <f ca="1">IFERROR(__xludf.DUMMYFUNCTION("IMPORTRANGE(""https://docs.google.com/spreadsheets/d/1MeEWN-I1oV_STSDYn1IFDPWt_1FKiwhDph83XaGc0o0/edit?usp=sharing"",""งบพรบ!BZ29"")"),0)</f>
        <v>0</v>
      </c>
      <c r="I29" s="82">
        <f ca="1">IFERROR(__xludf.DUMMYFUNCTION("IMPORTRANGE(""https://docs.google.com/spreadsheets/d/1MeEWN-I1oV_STSDYn1IFDPWt_1FKiwhDph83XaGc0o0/edit?usp=sharing"",""งบพรบ!CA29"")"),0)</f>
        <v>0</v>
      </c>
      <c r="J29" s="82">
        <f t="shared" ca="1" si="3"/>
        <v>0</v>
      </c>
      <c r="K29" s="83">
        <f t="shared" ca="1" si="4"/>
        <v>0</v>
      </c>
      <c r="L29" s="82">
        <f ca="1">IFERROR(__xludf.DUMMYFUNCTION("IMPORTRANGE(""https://docs.google.com/spreadsheets/d/1MeEWN-I1oV_STSDYn1IFDPWt_1FKiwhDph83XaGc0o0/edit?usp=sharing"",""งบพรบ!CB29"")"),0)</f>
        <v>0</v>
      </c>
      <c r="M29" s="84">
        <f t="shared" ca="1" si="5"/>
        <v>0</v>
      </c>
      <c r="N29" s="84">
        <f t="shared" ca="1" si="6"/>
        <v>0</v>
      </c>
      <c r="O29" s="85">
        <f ca="1">IFERROR(__xludf.DUMMYFUNCTION("IMPORTRANGE(""https://docs.google.com/spreadsheets/d/1MeEWN-I1oV_STSDYn1IFDPWt_1FKiwhDph83XaGc0o0/edit?usp=sharing"",""งบพรบ!CC29"")"),0)</f>
        <v>0</v>
      </c>
      <c r="P29" s="85">
        <f t="shared" ca="1" si="18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IFERROR(__xludf.DUMMYFUNCTION("IMPORTRANGE(""https://docs.google.com/spreadsheets/d/1ubs5cl16eYL9gHbdHTJtmtYb9MGzHBs7CAphn8kNCgM/edit?usp=sharing"",""อุตรดิตถ์!I159"")"),0)</f>
        <v>0</v>
      </c>
      <c r="S29" s="86">
        <f ca="1">IFERROR(__xludf.DUMMYFUNCTION("IMPORTRANGE(""https://docs.google.com/spreadsheets/d/1ubs5cl16eYL9gHbdHTJtmtYb9MGzHBs7CAphn8kNCgM/edit?usp=sharing"",""อุตรดิตถ์!J159"")"),0)</f>
        <v>0</v>
      </c>
      <c r="T29" s="87">
        <f t="shared" ca="1" si="16"/>
        <v>0</v>
      </c>
    </row>
    <row r="30" spans="1:20" ht="24" customHeight="1" x14ac:dyDescent="0.2">
      <c r="A30" s="89">
        <v>17</v>
      </c>
      <c r="B30" s="90" t="s">
        <v>52</v>
      </c>
      <c r="C30" s="91">
        <f t="shared" ca="1" si="0"/>
        <v>10000</v>
      </c>
      <c r="D30" s="92">
        <f t="shared" ca="1" si="20"/>
        <v>10000</v>
      </c>
      <c r="E30" s="93">
        <f ca="1">IFERROR(__xludf.DUMMYFUNCTION("IMPORTRANGE(""https://docs.google.com/spreadsheets/d/1MeEWN-I1oV_STSDYn1IFDPWt_1FKiwhDph83XaGc0o0/edit?usp=sharing"",""งบพรบ!BV30"")"),0)</f>
        <v>0</v>
      </c>
      <c r="F30" s="93">
        <f ca="1">IFERROR(__xludf.DUMMYFUNCTION("IMPORTRANGE(""https://docs.google.com/spreadsheets/d/1MeEWN-I1oV_STSDYn1IFDPWt_1FKiwhDph83XaGc0o0/edit?usp=sharing"",""งบพรบ!BW30"")"),10000)</f>
        <v>10000</v>
      </c>
      <c r="G30" s="93">
        <f ca="1">IFERROR(__xludf.DUMMYFUNCTION("IMPORTRANGE(""https://docs.google.com/spreadsheets/d/1MeEWN-I1oV_STSDYn1IFDPWt_1FKiwhDph83XaGc0o0/edit?usp=sharing"",""งบพรบ!BX30"")"),0)</f>
        <v>0</v>
      </c>
      <c r="H30" s="93">
        <f ca="1">IFERROR(__xludf.DUMMYFUNCTION("IMPORTRANGE(""https://docs.google.com/spreadsheets/d/1MeEWN-I1oV_STSDYn1IFDPWt_1FKiwhDph83XaGc0o0/edit?usp=sharing"",""งบพรบ!BZ30"")"),10000)</f>
        <v>10000</v>
      </c>
      <c r="I30" s="93">
        <f ca="1">IFERROR(__xludf.DUMMYFUNCTION("IMPORTRANGE(""https://docs.google.com/spreadsheets/d/1MeEWN-I1oV_STSDYn1IFDPWt_1FKiwhDph83XaGc0o0/edit?usp=sharing"",""งบพรบ!CA30"")"),0)</f>
        <v>0</v>
      </c>
      <c r="J30" s="93">
        <f t="shared" ca="1" si="3"/>
        <v>0</v>
      </c>
      <c r="K30" s="94">
        <f t="shared" ca="1" si="4"/>
        <v>0</v>
      </c>
      <c r="L30" s="93">
        <f ca="1">IFERROR(__xludf.DUMMYFUNCTION("IMPORTRANGE(""https://docs.google.com/spreadsheets/d/1MeEWN-I1oV_STSDYn1IFDPWt_1FKiwhDph83XaGc0o0/edit?usp=sharing"",""งบพรบ!CB30"")"),0)</f>
        <v>0</v>
      </c>
      <c r="M30" s="95">
        <f t="shared" ca="1" si="5"/>
        <v>0</v>
      </c>
      <c r="N30" s="95">
        <f t="shared" ca="1" si="6"/>
        <v>0</v>
      </c>
      <c r="O30" s="96">
        <f ca="1">IFERROR(__xludf.DUMMYFUNCTION("IMPORTRANGE(""https://docs.google.com/spreadsheets/d/1MeEWN-I1oV_STSDYn1IFDPWt_1FKiwhDph83XaGc0o0/edit?usp=sharing"",""งบพรบ!CC30"")"),0)</f>
        <v>0</v>
      </c>
      <c r="P30" s="96">
        <f t="shared" ca="1" si="18"/>
        <v>0</v>
      </c>
      <c r="Q30" s="95">
        <f t="shared" ca="1" si="8"/>
        <v>0</v>
      </c>
      <c r="R30" s="97">
        <f ca="1">IFERROR(__xludf.DUMMYFUNCTION("IMPORTRANGE(""https://docs.google.com/spreadsheets/d/1kII0BjS6CtVrBvI8IrytgPdxDrlyQDyigzMsohRtDMs/edit?usp=sharing"",""อุทัยธานี!I159"")"),20)</f>
        <v>20</v>
      </c>
      <c r="S30" s="97">
        <f ca="1">IFERROR(__xludf.DUMMYFUNCTION("IMPORTRANGE(""https://docs.google.com/spreadsheets/d/1kII0BjS6CtVrBvI8IrytgPdxDrlyQDyigzMsohRtDMs/edit?usp=sharing"",""อุทัยธานี!J159"")"),0)</f>
        <v>0</v>
      </c>
      <c r="T30" s="98">
        <f t="shared" ca="1" si="16"/>
        <v>0</v>
      </c>
    </row>
    <row r="31" spans="1:20" ht="21" customHeight="1" x14ac:dyDescent="0.2">
      <c r="A31" s="378" t="s">
        <v>53</v>
      </c>
      <c r="B31" s="379"/>
      <c r="C31" s="99">
        <f t="shared" ca="1" si="0"/>
        <v>65000</v>
      </c>
      <c r="D31" s="62">
        <f t="shared" ref="D31:I31" ca="1" si="21">SUM(D32:D51)</f>
        <v>65000</v>
      </c>
      <c r="E31" s="62">
        <f t="shared" ca="1" si="21"/>
        <v>0</v>
      </c>
      <c r="F31" s="62">
        <f t="shared" ca="1" si="21"/>
        <v>65000</v>
      </c>
      <c r="G31" s="62">
        <f t="shared" ca="1" si="21"/>
        <v>0</v>
      </c>
      <c r="H31" s="62">
        <f t="shared" ca="1" si="21"/>
        <v>157410</v>
      </c>
      <c r="I31" s="62">
        <f t="shared" ca="1" si="21"/>
        <v>0</v>
      </c>
      <c r="J31" s="62">
        <f t="shared" ca="1" si="3"/>
        <v>78838</v>
      </c>
      <c r="K31" s="100">
        <f t="shared" ca="1" si="4"/>
        <v>121.28923076923077</v>
      </c>
      <c r="L31" s="62">
        <f ca="1">SUM(L32:L51)</f>
        <v>78838</v>
      </c>
      <c r="M31" s="101">
        <f t="shared" ca="1" si="5"/>
        <v>121.28923076923077</v>
      </c>
      <c r="N31" s="101">
        <f t="shared" ca="1" si="6"/>
        <v>50.084492726002161</v>
      </c>
      <c r="O31" s="102">
        <f ca="1">SUM(O32:O51)</f>
        <v>0</v>
      </c>
      <c r="P31" s="102">
        <f t="shared" ca="1" si="18"/>
        <v>0</v>
      </c>
      <c r="Q31" s="101">
        <f t="shared" ca="1" si="8"/>
        <v>0</v>
      </c>
      <c r="R31" s="62">
        <f t="shared" ref="R31:S31" ca="1" si="22">SUM(R32:R51)</f>
        <v>130</v>
      </c>
      <c r="S31" s="62">
        <f t="shared" ca="1" si="22"/>
        <v>54</v>
      </c>
      <c r="T31" s="101">
        <f t="shared" ca="1" si="16"/>
        <v>41.53846153846154</v>
      </c>
    </row>
    <row r="32" spans="1:20" ht="21" customHeight="1" x14ac:dyDescent="0.2">
      <c r="A32" s="68">
        <v>1</v>
      </c>
      <c r="B32" s="69" t="s">
        <v>54</v>
      </c>
      <c r="C32" s="103">
        <f t="shared" ca="1" si="0"/>
        <v>10000</v>
      </c>
      <c r="D32" s="71">
        <f t="shared" ref="D32:D51" ca="1" si="23">+E32+F32</f>
        <v>10000</v>
      </c>
      <c r="E32" s="72">
        <f ca="1">IFERROR(__xludf.DUMMYFUNCTION("IMPORTRANGE(""https://docs.google.com/spreadsheets/d/1MeEWN-I1oV_STSDYn1IFDPWt_1FKiwhDph83XaGc0o0/edit?usp=sharing"",""งบพรบ!BV32"")"),0)</f>
        <v>0</v>
      </c>
      <c r="F32" s="72">
        <f ca="1">IFERROR(__xludf.DUMMYFUNCTION("IMPORTRANGE(""https://docs.google.com/spreadsheets/d/1MeEWN-I1oV_STSDYn1IFDPWt_1FKiwhDph83XaGc0o0/edit?usp=sharing"",""งบพรบ!BW32"")"),10000)</f>
        <v>10000</v>
      </c>
      <c r="G32" s="73">
        <f ca="1">IFERROR(__xludf.DUMMYFUNCTION("IMPORTRANGE(""https://docs.google.com/spreadsheets/d/1MeEWN-I1oV_STSDYn1IFDPWt_1FKiwhDph83XaGc0o0/edit?usp=sharing"",""งบพรบ!BX32"")"),0)</f>
        <v>0</v>
      </c>
      <c r="H32" s="73">
        <f ca="1">IFERROR(__xludf.DUMMYFUNCTION("IMPORTRANGE(""https://docs.google.com/spreadsheets/d/1MeEWN-I1oV_STSDYn1IFDPWt_1FKiwhDph83XaGc0o0/edit?usp=sharing"",""งบพรบ!BZ32"")"),22820)</f>
        <v>22820</v>
      </c>
      <c r="I32" s="73">
        <f ca="1">IFERROR(__xludf.DUMMYFUNCTION("IMPORTRANGE(""https://docs.google.com/spreadsheets/d/1MeEWN-I1oV_STSDYn1IFDPWt_1FKiwhDph83XaGc0o0/edit?usp=sharing"",""งบพรบ!CA32"")"),0)</f>
        <v>0</v>
      </c>
      <c r="J32" s="73">
        <f t="shared" ca="1" si="3"/>
        <v>7372</v>
      </c>
      <c r="K32" s="74">
        <f t="shared" ca="1" si="4"/>
        <v>73.72</v>
      </c>
      <c r="L32" s="73">
        <f ca="1">IFERROR(__xludf.DUMMYFUNCTION("IMPORTRANGE(""https://docs.google.com/spreadsheets/d/1MeEWN-I1oV_STSDYn1IFDPWt_1FKiwhDph83XaGc0o0/edit?usp=sharing"",""งบพรบ!CB32"")"),7372)</f>
        <v>7372</v>
      </c>
      <c r="M32" s="75">
        <f t="shared" ca="1" si="5"/>
        <v>73.72</v>
      </c>
      <c r="N32" s="75">
        <f t="shared" ca="1" si="6"/>
        <v>32.304995617879051</v>
      </c>
      <c r="O32" s="76">
        <f ca="1">IFERROR(__xludf.DUMMYFUNCTION("IMPORTRANGE(""https://docs.google.com/spreadsheets/d/1MeEWN-I1oV_STSDYn1IFDPWt_1FKiwhDph83XaGc0o0/edit?usp=sharing"",""งบพรบ!CC32"")"),0)</f>
        <v>0</v>
      </c>
      <c r="P32" s="76">
        <f t="shared" ca="1" si="18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IFERROR(__xludf.DUMMYFUNCTION("IMPORTRANGE(""https://docs.google.com/spreadsheets/d/1fb2B9NLcpJgjIieIJvenUTNPn0TimZDUi0OtYeiSQ_s/edit?usp=sharing"",""กาฬสินธุ์!I159"")"),20)</f>
        <v>20</v>
      </c>
      <c r="S32" s="73">
        <f ca="1">IFERROR(__xludf.DUMMYFUNCTION("IMPORTRANGE(""https://docs.google.com/spreadsheets/d/1fb2B9NLcpJgjIieIJvenUTNPn0TimZDUi0OtYeiSQ_s/edit?usp=sharing"",""กาฬสินธุ์!J159"")"),0)</f>
        <v>0</v>
      </c>
      <c r="T32" s="77">
        <f t="shared" ca="1" si="16"/>
        <v>0</v>
      </c>
    </row>
    <row r="33" spans="1:20" ht="21" customHeight="1" x14ac:dyDescent="0.2">
      <c r="A33" s="78">
        <v>2</v>
      </c>
      <c r="B33" s="79" t="s">
        <v>55</v>
      </c>
      <c r="C33" s="80">
        <f t="shared" ca="1" si="0"/>
        <v>0</v>
      </c>
      <c r="D33" s="81">
        <f t="shared" ca="1" si="23"/>
        <v>0</v>
      </c>
      <c r="E33" s="82">
        <f ca="1">IFERROR(__xludf.DUMMYFUNCTION("IMPORTRANGE(""https://docs.google.com/spreadsheets/d/1MeEWN-I1oV_STSDYn1IFDPWt_1FKiwhDph83XaGc0o0/edit?usp=sharing"",""งบพรบ!BV33"")"),0)</f>
        <v>0</v>
      </c>
      <c r="F33" s="82">
        <f ca="1">IFERROR(__xludf.DUMMYFUNCTION("IMPORTRANGE(""https://docs.google.com/spreadsheets/d/1MeEWN-I1oV_STSDYn1IFDPWt_1FKiwhDph83XaGc0o0/edit?usp=sharing"",""งบพรบ!BW33"")"),0)</f>
        <v>0</v>
      </c>
      <c r="G33" s="82">
        <f ca="1">IFERROR(__xludf.DUMMYFUNCTION("IMPORTRANGE(""https://docs.google.com/spreadsheets/d/1MeEWN-I1oV_STSDYn1IFDPWt_1FKiwhDph83XaGc0o0/edit?usp=sharing"",""งบพรบ!BX33"")"),0)</f>
        <v>0</v>
      </c>
      <c r="H33" s="82">
        <f ca="1">IFERROR(__xludf.DUMMYFUNCTION("IMPORTRANGE(""https://docs.google.com/spreadsheets/d/1MeEWN-I1oV_STSDYn1IFDPWt_1FKiwhDph83XaGc0o0/edit?usp=sharing"",""งบพรบ!BZ33"")"),0)</f>
        <v>0</v>
      </c>
      <c r="I33" s="82">
        <f ca="1">IFERROR(__xludf.DUMMYFUNCTION("IMPORTRANGE(""https://docs.google.com/spreadsheets/d/1MeEWN-I1oV_STSDYn1IFDPWt_1FKiwhDph83XaGc0o0/edit?usp=sharing"",""งบพรบ!CA33"")"),0)</f>
        <v>0</v>
      </c>
      <c r="J33" s="82">
        <f t="shared" ca="1" si="3"/>
        <v>0</v>
      </c>
      <c r="K33" s="83">
        <f t="shared" ca="1" si="4"/>
        <v>0</v>
      </c>
      <c r="L33" s="82">
        <f ca="1">IFERROR(__xludf.DUMMYFUNCTION("IMPORTRANGE(""https://docs.google.com/spreadsheets/d/1MeEWN-I1oV_STSDYn1IFDPWt_1FKiwhDph83XaGc0o0/edit?usp=sharing"",""งบพรบ!CB33"")"),0)</f>
        <v>0</v>
      </c>
      <c r="M33" s="84">
        <f t="shared" ca="1" si="5"/>
        <v>0</v>
      </c>
      <c r="N33" s="84">
        <f t="shared" ca="1" si="6"/>
        <v>0</v>
      </c>
      <c r="O33" s="85">
        <f ca="1">IFERROR(__xludf.DUMMYFUNCTION("IMPORTRANGE(""https://docs.google.com/spreadsheets/d/1MeEWN-I1oV_STSDYn1IFDPWt_1FKiwhDph83XaGc0o0/edit?usp=sharing"",""งบพรบ!CC33"")"),0)</f>
        <v>0</v>
      </c>
      <c r="P33" s="85">
        <f t="shared" ca="1" si="18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IFERROR(__xludf.DUMMYFUNCTION("IMPORTRANGE(""https://docs.google.com/spreadsheets/d/1SaMnqrwRGmFYNR0MhpWmHuL5niYUd5E7vDq8X7whAlI/edit?usp=sharing"",""ขอนแก่น!I159"")"),0)</f>
        <v>0</v>
      </c>
      <c r="S33" s="86">
        <f ca="1">IFERROR(__xludf.DUMMYFUNCTION("IMPORTRANGE(""https://docs.google.com/spreadsheets/d/1SaMnqrwRGmFYNR0MhpWmHuL5niYUd5E7vDq8X7whAlI/edit?usp=sharing"",""ขอนแก่น!J159"")"),0)</f>
        <v>0</v>
      </c>
      <c r="T33" s="87">
        <f t="shared" ca="1" si="16"/>
        <v>0</v>
      </c>
    </row>
    <row r="34" spans="1:20" ht="21" customHeight="1" x14ac:dyDescent="0.2">
      <c r="A34" s="78">
        <v>3</v>
      </c>
      <c r="B34" s="79" t="s">
        <v>56</v>
      </c>
      <c r="C34" s="80">
        <f t="shared" ca="1" si="0"/>
        <v>0</v>
      </c>
      <c r="D34" s="81">
        <f t="shared" ca="1" si="23"/>
        <v>0</v>
      </c>
      <c r="E34" s="82">
        <f ca="1">IFERROR(__xludf.DUMMYFUNCTION("IMPORTRANGE(""https://docs.google.com/spreadsheets/d/1MeEWN-I1oV_STSDYn1IFDPWt_1FKiwhDph83XaGc0o0/edit?usp=sharing"",""งบพรบ!BV34"")"),0)</f>
        <v>0</v>
      </c>
      <c r="F34" s="82">
        <f ca="1">IFERROR(__xludf.DUMMYFUNCTION("IMPORTRANGE(""https://docs.google.com/spreadsheets/d/1MeEWN-I1oV_STSDYn1IFDPWt_1FKiwhDph83XaGc0o0/edit?usp=sharing"",""งบพรบ!BW34"")"),0)</f>
        <v>0</v>
      </c>
      <c r="G34" s="82">
        <f ca="1">IFERROR(__xludf.DUMMYFUNCTION("IMPORTRANGE(""https://docs.google.com/spreadsheets/d/1MeEWN-I1oV_STSDYn1IFDPWt_1FKiwhDph83XaGc0o0/edit?usp=sharing"",""งบพรบ!BX34"")"),0)</f>
        <v>0</v>
      </c>
      <c r="H34" s="82">
        <f ca="1">IFERROR(__xludf.DUMMYFUNCTION("IMPORTRANGE(""https://docs.google.com/spreadsheets/d/1MeEWN-I1oV_STSDYn1IFDPWt_1FKiwhDph83XaGc0o0/edit?usp=sharing"",""งบพรบ!BZ34"")"),6720)</f>
        <v>6720</v>
      </c>
      <c r="I34" s="82">
        <f ca="1">IFERROR(__xludf.DUMMYFUNCTION("IMPORTRANGE(""https://docs.google.com/spreadsheets/d/1MeEWN-I1oV_STSDYn1IFDPWt_1FKiwhDph83XaGc0o0/edit?usp=sharing"",""งบพรบ!CA34"")"),0)</f>
        <v>0</v>
      </c>
      <c r="J34" s="82">
        <f t="shared" ca="1" si="3"/>
        <v>4208</v>
      </c>
      <c r="K34" s="83">
        <f t="shared" ca="1" si="4"/>
        <v>0</v>
      </c>
      <c r="L34" s="82">
        <f ca="1">IFERROR(__xludf.DUMMYFUNCTION("IMPORTRANGE(""https://docs.google.com/spreadsheets/d/1MeEWN-I1oV_STSDYn1IFDPWt_1FKiwhDph83XaGc0o0/edit?usp=sharing"",""งบพรบ!CB34"")"),4208)</f>
        <v>4208</v>
      </c>
      <c r="M34" s="84">
        <f t="shared" ca="1" si="5"/>
        <v>0</v>
      </c>
      <c r="N34" s="84">
        <f t="shared" ca="1" si="6"/>
        <v>62.61904761904762</v>
      </c>
      <c r="O34" s="85">
        <f ca="1">IFERROR(__xludf.DUMMYFUNCTION("IMPORTRANGE(""https://docs.google.com/spreadsheets/d/1MeEWN-I1oV_STSDYn1IFDPWt_1FKiwhDph83XaGc0o0/edit?usp=sharing"",""งบพรบ!CC34"")"),0)</f>
        <v>0</v>
      </c>
      <c r="P34" s="85">
        <f t="shared" ca="1" si="18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IFERROR(__xludf.DUMMYFUNCTION("IMPORTRANGE(""https://docs.google.com/spreadsheets/d/1xQzEtGHhTTgxHh6YUkKY1P4dRyjVhS74dGswLfAASA4/edit?usp=sharing"",""ชัยภูมิ!I159"")"),0)</f>
        <v>0</v>
      </c>
      <c r="S34" s="86">
        <f ca="1">IFERROR(__xludf.DUMMYFUNCTION("IMPORTRANGE(""https://docs.google.com/spreadsheets/d/1xQzEtGHhTTgxHh6YUkKY1P4dRyjVhS74dGswLfAASA4/edit?usp=sharing"",""ชัยภูมิ!J159"")"),0)</f>
        <v>0</v>
      </c>
      <c r="T34" s="87">
        <f t="shared" ca="1" si="16"/>
        <v>0</v>
      </c>
    </row>
    <row r="35" spans="1:20" ht="21" customHeight="1" x14ac:dyDescent="0.2">
      <c r="A35" s="78">
        <v>4</v>
      </c>
      <c r="B35" s="79" t="s">
        <v>57</v>
      </c>
      <c r="C35" s="80">
        <f t="shared" ca="1" si="0"/>
        <v>0</v>
      </c>
      <c r="D35" s="81">
        <f t="shared" ca="1" si="23"/>
        <v>0</v>
      </c>
      <c r="E35" s="82">
        <f ca="1">IFERROR(__xludf.DUMMYFUNCTION("IMPORTRANGE(""https://docs.google.com/spreadsheets/d/1MeEWN-I1oV_STSDYn1IFDPWt_1FKiwhDph83XaGc0o0/edit?usp=sharing"",""งบพรบ!BV35"")"),0)</f>
        <v>0</v>
      </c>
      <c r="F35" s="82">
        <f ca="1">IFERROR(__xludf.DUMMYFUNCTION("IMPORTRANGE(""https://docs.google.com/spreadsheets/d/1MeEWN-I1oV_STSDYn1IFDPWt_1FKiwhDph83XaGc0o0/edit?usp=sharing"",""งบพรบ!BW35"")"),0)</f>
        <v>0</v>
      </c>
      <c r="G35" s="82">
        <f ca="1">IFERROR(__xludf.DUMMYFUNCTION("IMPORTRANGE(""https://docs.google.com/spreadsheets/d/1MeEWN-I1oV_STSDYn1IFDPWt_1FKiwhDph83XaGc0o0/edit?usp=sharing"",""งบพรบ!BX35"")"),0)</f>
        <v>0</v>
      </c>
      <c r="H35" s="82">
        <f ca="1">IFERROR(__xludf.DUMMYFUNCTION("IMPORTRANGE(""https://docs.google.com/spreadsheets/d/1MeEWN-I1oV_STSDYn1IFDPWt_1FKiwhDph83XaGc0o0/edit?usp=sharing"",""งบพรบ!BZ35"")"),0)</f>
        <v>0</v>
      </c>
      <c r="I35" s="82">
        <f ca="1">IFERROR(__xludf.DUMMYFUNCTION("IMPORTRANGE(""https://docs.google.com/spreadsheets/d/1MeEWN-I1oV_STSDYn1IFDPWt_1FKiwhDph83XaGc0o0/edit?usp=sharing"",""งบพรบ!CA35"")"),0)</f>
        <v>0</v>
      </c>
      <c r="J35" s="82">
        <f t="shared" ca="1" si="3"/>
        <v>0</v>
      </c>
      <c r="K35" s="83">
        <f t="shared" ca="1" si="4"/>
        <v>0</v>
      </c>
      <c r="L35" s="82">
        <f ca="1">IFERROR(__xludf.DUMMYFUNCTION("IMPORTRANGE(""https://docs.google.com/spreadsheets/d/1MeEWN-I1oV_STSDYn1IFDPWt_1FKiwhDph83XaGc0o0/edit?usp=sharing"",""งบพรบ!CB35"")"),0)</f>
        <v>0</v>
      </c>
      <c r="M35" s="84">
        <f t="shared" ca="1" si="5"/>
        <v>0</v>
      </c>
      <c r="N35" s="84">
        <f t="shared" ca="1" si="6"/>
        <v>0</v>
      </c>
      <c r="O35" s="85">
        <f ca="1">IFERROR(__xludf.DUMMYFUNCTION("IMPORTRANGE(""https://docs.google.com/spreadsheets/d/1MeEWN-I1oV_STSDYn1IFDPWt_1FKiwhDph83XaGc0o0/edit?usp=sharing"",""งบพรบ!CC35"")"),0)</f>
        <v>0</v>
      </c>
      <c r="P35" s="85">
        <f t="shared" ca="1" si="18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IFERROR(__xludf.DUMMYFUNCTION("IMPORTRANGE(""https://docs.google.com/spreadsheets/d/1EXMBoBxU3OFbjT2TRpneM33qFjqDzrKmn9ydcflfI0o/edit?usp=sharing"",""นครพนม!I159"")"),0)</f>
        <v>0</v>
      </c>
      <c r="S35" s="86">
        <f ca="1">IFERROR(__xludf.DUMMYFUNCTION("IMPORTRANGE(""https://docs.google.com/spreadsheets/d/1EXMBoBxU3OFbjT2TRpneM33qFjqDzrKmn9ydcflfI0o/edit?usp=sharing"",""นครพนม!J159"")"),0)</f>
        <v>0</v>
      </c>
      <c r="T35" s="87">
        <f t="shared" ca="1" si="16"/>
        <v>0</v>
      </c>
    </row>
    <row r="36" spans="1:20" ht="21" customHeight="1" x14ac:dyDescent="0.2">
      <c r="A36" s="78">
        <v>5</v>
      </c>
      <c r="B36" s="79" t="s">
        <v>58</v>
      </c>
      <c r="C36" s="80">
        <f t="shared" ca="1" si="0"/>
        <v>10000</v>
      </c>
      <c r="D36" s="81">
        <f t="shared" ca="1" si="23"/>
        <v>10000</v>
      </c>
      <c r="E36" s="82">
        <f ca="1">IFERROR(__xludf.DUMMYFUNCTION("IMPORTRANGE(""https://docs.google.com/spreadsheets/d/1MeEWN-I1oV_STSDYn1IFDPWt_1FKiwhDph83XaGc0o0/edit?usp=sharing"",""งบพรบ!BV36"")"),0)</f>
        <v>0</v>
      </c>
      <c r="F36" s="82">
        <f ca="1">IFERROR(__xludf.DUMMYFUNCTION("IMPORTRANGE(""https://docs.google.com/spreadsheets/d/1MeEWN-I1oV_STSDYn1IFDPWt_1FKiwhDph83XaGc0o0/edit?usp=sharing"",""งบพรบ!BW36"")"),10000)</f>
        <v>10000</v>
      </c>
      <c r="G36" s="82">
        <f ca="1">IFERROR(__xludf.DUMMYFUNCTION("IMPORTRANGE(""https://docs.google.com/spreadsheets/d/1MeEWN-I1oV_STSDYn1IFDPWt_1FKiwhDph83XaGc0o0/edit?usp=sharing"",""งบพรบ!BX36"")"),0)</f>
        <v>0</v>
      </c>
      <c r="H36" s="82">
        <f ca="1">IFERROR(__xludf.DUMMYFUNCTION("IMPORTRANGE(""https://docs.google.com/spreadsheets/d/1MeEWN-I1oV_STSDYn1IFDPWt_1FKiwhDph83XaGc0o0/edit?usp=sharing"",""งบพรบ!BZ36"")"),10000)</f>
        <v>10000</v>
      </c>
      <c r="I36" s="82">
        <f ca="1">IFERROR(__xludf.DUMMYFUNCTION("IMPORTRANGE(""https://docs.google.com/spreadsheets/d/1MeEWN-I1oV_STSDYn1IFDPWt_1FKiwhDph83XaGc0o0/edit?usp=sharing"",""งบพรบ!CA36"")"),0)</f>
        <v>0</v>
      </c>
      <c r="J36" s="82">
        <f t="shared" ca="1" si="3"/>
        <v>4780</v>
      </c>
      <c r="K36" s="83">
        <f t="shared" ca="1" si="4"/>
        <v>47.8</v>
      </c>
      <c r="L36" s="82">
        <f ca="1">IFERROR(__xludf.DUMMYFUNCTION("IMPORTRANGE(""https://docs.google.com/spreadsheets/d/1MeEWN-I1oV_STSDYn1IFDPWt_1FKiwhDph83XaGc0o0/edit?usp=sharing"",""งบพรบ!CB36"")"),4780)</f>
        <v>4780</v>
      </c>
      <c r="M36" s="84">
        <f t="shared" ca="1" si="5"/>
        <v>47.8</v>
      </c>
      <c r="N36" s="84">
        <f t="shared" ca="1" si="6"/>
        <v>47.8</v>
      </c>
      <c r="O36" s="85">
        <f ca="1">IFERROR(__xludf.DUMMYFUNCTION("IMPORTRANGE(""https://docs.google.com/spreadsheets/d/1MeEWN-I1oV_STSDYn1IFDPWt_1FKiwhDph83XaGc0o0/edit?usp=sharing"",""งบพรบ!CC36"")"),0)</f>
        <v>0</v>
      </c>
      <c r="P36" s="85">
        <f t="shared" ca="1" si="18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IFERROR(__xludf.DUMMYFUNCTION("IMPORTRANGE(""https://docs.google.com/spreadsheets/d/1bDQrolntRWtHumK8W-x-HXKntwxB9S3sF5aDeRS66Ko/edit?usp=sharing"",""นครราชสีมา!I159"")"),20)</f>
        <v>20</v>
      </c>
      <c r="S36" s="86">
        <f ca="1">IFERROR(__xludf.DUMMYFUNCTION("IMPORTRANGE(""https://docs.google.com/spreadsheets/d/1bDQrolntRWtHumK8W-x-HXKntwxB9S3sF5aDeRS66Ko/edit?usp=sharing"",""นครราชสีมา!J159"")"),20)</f>
        <v>20</v>
      </c>
      <c r="T36" s="87">
        <f t="shared" ca="1" si="16"/>
        <v>100</v>
      </c>
    </row>
    <row r="37" spans="1:20" ht="21" customHeight="1" x14ac:dyDescent="0.2">
      <c r="A37" s="78">
        <v>6</v>
      </c>
      <c r="B37" s="79" t="s">
        <v>59</v>
      </c>
      <c r="C37" s="80">
        <f t="shared" ca="1" si="0"/>
        <v>10000</v>
      </c>
      <c r="D37" s="81">
        <f t="shared" ca="1" si="23"/>
        <v>10000</v>
      </c>
      <c r="E37" s="82">
        <f ca="1">IFERROR(__xludf.DUMMYFUNCTION("IMPORTRANGE(""https://docs.google.com/spreadsheets/d/1MeEWN-I1oV_STSDYn1IFDPWt_1FKiwhDph83XaGc0o0/edit?usp=sharing"",""งบพรบ!BV37"")"),0)</f>
        <v>0</v>
      </c>
      <c r="F37" s="82">
        <f ca="1">IFERROR(__xludf.DUMMYFUNCTION("IMPORTRANGE(""https://docs.google.com/spreadsheets/d/1MeEWN-I1oV_STSDYn1IFDPWt_1FKiwhDph83XaGc0o0/edit?usp=sharing"",""งบพรบ!BW37"")"),10000)</f>
        <v>10000</v>
      </c>
      <c r="G37" s="82">
        <f ca="1">IFERROR(__xludf.DUMMYFUNCTION("IMPORTRANGE(""https://docs.google.com/spreadsheets/d/1MeEWN-I1oV_STSDYn1IFDPWt_1FKiwhDph83XaGc0o0/edit?usp=sharing"",""งบพรบ!BX37"")"),0)</f>
        <v>0</v>
      </c>
      <c r="H37" s="82">
        <f ca="1">IFERROR(__xludf.DUMMYFUNCTION("IMPORTRANGE(""https://docs.google.com/spreadsheets/d/1MeEWN-I1oV_STSDYn1IFDPWt_1FKiwhDph83XaGc0o0/edit?usp=sharing"",""งบพรบ!BZ37"")"),10000)</f>
        <v>10000</v>
      </c>
      <c r="I37" s="82">
        <f ca="1">IFERROR(__xludf.DUMMYFUNCTION("IMPORTRANGE(""https://docs.google.com/spreadsheets/d/1MeEWN-I1oV_STSDYn1IFDPWt_1FKiwhDph83XaGc0o0/edit?usp=sharing"",""งบพรบ!CA37"")"),0)</f>
        <v>0</v>
      </c>
      <c r="J37" s="82">
        <f t="shared" ca="1" si="3"/>
        <v>4350</v>
      </c>
      <c r="K37" s="83">
        <f t="shared" ca="1" si="4"/>
        <v>43.5</v>
      </c>
      <c r="L37" s="82">
        <f ca="1">IFERROR(__xludf.DUMMYFUNCTION("IMPORTRANGE(""https://docs.google.com/spreadsheets/d/1MeEWN-I1oV_STSDYn1IFDPWt_1FKiwhDph83XaGc0o0/edit?usp=sharing"",""งบพรบ!CB37"")"),4350)</f>
        <v>4350</v>
      </c>
      <c r="M37" s="84">
        <f t="shared" ca="1" si="5"/>
        <v>43.5</v>
      </c>
      <c r="N37" s="84">
        <f t="shared" ca="1" si="6"/>
        <v>43.5</v>
      </c>
      <c r="O37" s="85">
        <f ca="1">IFERROR(__xludf.DUMMYFUNCTION("IMPORTRANGE(""https://docs.google.com/spreadsheets/d/1MeEWN-I1oV_STSDYn1IFDPWt_1FKiwhDph83XaGc0o0/edit?usp=sharing"",""งบพรบ!CC37"")"),0)</f>
        <v>0</v>
      </c>
      <c r="P37" s="85">
        <f t="shared" ca="1" si="18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IFERROR(__xludf.DUMMYFUNCTION("IMPORTRANGE(""https://docs.google.com/spreadsheets/d/1_MzZ-2gVPiCW-d2VcafoCmFJQTSrZ6SQyFcMqRRQQ2w/edit?usp=sharing"",""บึงกาฬ!I159"")"),20)</f>
        <v>20</v>
      </c>
      <c r="S37" s="86">
        <f ca="1">IFERROR(__xludf.DUMMYFUNCTION("IMPORTRANGE(""https://docs.google.com/spreadsheets/d/1_MzZ-2gVPiCW-d2VcafoCmFJQTSrZ6SQyFcMqRRQQ2w/edit?usp=sharing"",""บึงกาฬ!J159"")"),1)</f>
        <v>1</v>
      </c>
      <c r="T37" s="87">
        <f t="shared" ca="1" si="16"/>
        <v>5</v>
      </c>
    </row>
    <row r="38" spans="1:20" ht="21" customHeight="1" x14ac:dyDescent="0.2">
      <c r="A38" s="78">
        <v>7</v>
      </c>
      <c r="B38" s="79" t="s">
        <v>60</v>
      </c>
      <c r="C38" s="80">
        <f t="shared" ca="1" si="0"/>
        <v>10000</v>
      </c>
      <c r="D38" s="81">
        <f t="shared" ca="1" si="23"/>
        <v>10000</v>
      </c>
      <c r="E38" s="82">
        <f ca="1">IFERROR(__xludf.DUMMYFUNCTION("IMPORTRANGE(""https://docs.google.com/spreadsheets/d/1MeEWN-I1oV_STSDYn1IFDPWt_1FKiwhDph83XaGc0o0/edit?usp=sharing"",""งบพรบ!BV38"")"),0)</f>
        <v>0</v>
      </c>
      <c r="F38" s="82">
        <f ca="1">IFERROR(__xludf.DUMMYFUNCTION("IMPORTRANGE(""https://docs.google.com/spreadsheets/d/1MeEWN-I1oV_STSDYn1IFDPWt_1FKiwhDph83XaGc0o0/edit?usp=sharing"",""งบพรบ!BW38"")"),10000)</f>
        <v>10000</v>
      </c>
      <c r="G38" s="82">
        <f ca="1">IFERROR(__xludf.DUMMYFUNCTION("IMPORTRANGE(""https://docs.google.com/spreadsheets/d/1MeEWN-I1oV_STSDYn1IFDPWt_1FKiwhDph83XaGc0o0/edit?usp=sharing"",""งบพรบ!BX38"")"),0)</f>
        <v>0</v>
      </c>
      <c r="H38" s="82">
        <f ca="1">IFERROR(__xludf.DUMMYFUNCTION("IMPORTRANGE(""https://docs.google.com/spreadsheets/d/1MeEWN-I1oV_STSDYn1IFDPWt_1FKiwhDph83XaGc0o0/edit?usp=sharing"",""งบพรบ!BZ38"")"),16720)</f>
        <v>16720</v>
      </c>
      <c r="I38" s="82">
        <f ca="1">IFERROR(__xludf.DUMMYFUNCTION("IMPORTRANGE(""https://docs.google.com/spreadsheets/d/1MeEWN-I1oV_STSDYn1IFDPWt_1FKiwhDph83XaGc0o0/edit?usp=sharing"",""งบพรบ!CA38"")"),0)</f>
        <v>0</v>
      </c>
      <c r="J38" s="82">
        <f t="shared" ca="1" si="3"/>
        <v>6712</v>
      </c>
      <c r="K38" s="83">
        <f t="shared" ca="1" si="4"/>
        <v>67.12</v>
      </c>
      <c r="L38" s="82">
        <f ca="1">IFERROR(__xludf.DUMMYFUNCTION("IMPORTRANGE(""https://docs.google.com/spreadsheets/d/1MeEWN-I1oV_STSDYn1IFDPWt_1FKiwhDph83XaGc0o0/edit?usp=sharing"",""งบพรบ!CB38"")"),6712)</f>
        <v>6712</v>
      </c>
      <c r="M38" s="84">
        <f t="shared" ca="1" si="5"/>
        <v>67.12</v>
      </c>
      <c r="N38" s="84">
        <f t="shared" ca="1" si="6"/>
        <v>40.143540669856456</v>
      </c>
      <c r="O38" s="85">
        <f ca="1">IFERROR(__xludf.DUMMYFUNCTION("IMPORTRANGE(""https://docs.google.com/spreadsheets/d/1MeEWN-I1oV_STSDYn1IFDPWt_1FKiwhDph83XaGc0o0/edit?usp=sharing"",""งบพรบ!CC38"")"),0)</f>
        <v>0</v>
      </c>
      <c r="P38" s="85">
        <f t="shared" ca="1" si="18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IFERROR(__xludf.DUMMYFUNCTION("IMPORTRANGE(""https://docs.google.com/spreadsheets/d/1B3lPpzOuaNwVItLwLEZYl_qEblfcx7dRnbRkAw0l-pE/edit?usp=sharing"",""บุรีรัมย์!I159"")"),20)</f>
        <v>20</v>
      </c>
      <c r="S38" s="86">
        <f ca="1">IFERROR(__xludf.DUMMYFUNCTION("IMPORTRANGE(""https://docs.google.com/spreadsheets/d/1B3lPpzOuaNwVItLwLEZYl_qEblfcx7dRnbRkAw0l-pE/edit?usp=sharing"",""บุรีรัมย์!J159"")"),0)</f>
        <v>0</v>
      </c>
      <c r="T38" s="87">
        <f t="shared" ca="1" si="16"/>
        <v>0</v>
      </c>
    </row>
    <row r="39" spans="1:20" ht="21" customHeight="1" x14ac:dyDescent="0.2">
      <c r="A39" s="78">
        <v>8</v>
      </c>
      <c r="B39" s="79" t="s">
        <v>61</v>
      </c>
      <c r="C39" s="80">
        <f t="shared" ca="1" si="0"/>
        <v>0</v>
      </c>
      <c r="D39" s="81">
        <f t="shared" ca="1" si="23"/>
        <v>0</v>
      </c>
      <c r="E39" s="82">
        <f ca="1">IFERROR(__xludf.DUMMYFUNCTION("IMPORTRANGE(""https://docs.google.com/spreadsheets/d/1MeEWN-I1oV_STSDYn1IFDPWt_1FKiwhDph83XaGc0o0/edit?usp=sharing"",""งบพรบ!BV39"")"),0)</f>
        <v>0</v>
      </c>
      <c r="F39" s="82">
        <f ca="1">IFERROR(__xludf.DUMMYFUNCTION("IMPORTRANGE(""https://docs.google.com/spreadsheets/d/1MeEWN-I1oV_STSDYn1IFDPWt_1FKiwhDph83XaGc0o0/edit?usp=sharing"",""งบพรบ!BW39"")"),0)</f>
        <v>0</v>
      </c>
      <c r="G39" s="82">
        <f ca="1">IFERROR(__xludf.DUMMYFUNCTION("IMPORTRANGE(""https://docs.google.com/spreadsheets/d/1MeEWN-I1oV_STSDYn1IFDPWt_1FKiwhDph83XaGc0o0/edit?usp=sharing"",""งบพรบ!BX39"")"),0)</f>
        <v>0</v>
      </c>
      <c r="H39" s="82">
        <f ca="1">IFERROR(__xludf.DUMMYFUNCTION("IMPORTRANGE(""https://docs.google.com/spreadsheets/d/1MeEWN-I1oV_STSDYn1IFDPWt_1FKiwhDph83XaGc0o0/edit?usp=sharing"",""งบพรบ!BZ39"")"),0)</f>
        <v>0</v>
      </c>
      <c r="I39" s="82">
        <f ca="1">IFERROR(__xludf.DUMMYFUNCTION("IMPORTRANGE(""https://docs.google.com/spreadsheets/d/1MeEWN-I1oV_STSDYn1IFDPWt_1FKiwhDph83XaGc0o0/edit?usp=sharing"",""งบพรบ!CA39"")"),0)</f>
        <v>0</v>
      </c>
      <c r="J39" s="82">
        <f t="shared" ca="1" si="3"/>
        <v>0</v>
      </c>
      <c r="K39" s="83">
        <f t="shared" ca="1" si="4"/>
        <v>0</v>
      </c>
      <c r="L39" s="82">
        <f ca="1">IFERROR(__xludf.DUMMYFUNCTION("IMPORTRANGE(""https://docs.google.com/spreadsheets/d/1MeEWN-I1oV_STSDYn1IFDPWt_1FKiwhDph83XaGc0o0/edit?usp=sharing"",""งบพรบ!CB39"")"),0)</f>
        <v>0</v>
      </c>
      <c r="M39" s="84">
        <f t="shared" ca="1" si="5"/>
        <v>0</v>
      </c>
      <c r="N39" s="84">
        <f t="shared" ca="1" si="6"/>
        <v>0</v>
      </c>
      <c r="O39" s="85">
        <f ca="1">IFERROR(__xludf.DUMMYFUNCTION("IMPORTRANGE(""https://docs.google.com/spreadsheets/d/1MeEWN-I1oV_STSDYn1IFDPWt_1FKiwhDph83XaGc0o0/edit?usp=sharing"",""งบพรบ!CC39"")"),0)</f>
        <v>0</v>
      </c>
      <c r="P39" s="85">
        <f t="shared" ca="1" si="18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IFERROR(__xludf.DUMMYFUNCTION("IMPORTRANGE(""https://docs.google.com/spreadsheets/d/19GOkiOqnzYbevLYWrMk4qFOXe3rX14BkSA8X-mq-a40/edit?usp=sharing"",""มหาสารคาม!I159"")"),0)</f>
        <v>0</v>
      </c>
      <c r="S39" s="86">
        <f ca="1">IFERROR(__xludf.DUMMYFUNCTION("IMPORTRANGE(""https://docs.google.com/spreadsheets/d/19GOkiOqnzYbevLYWrMk4qFOXe3rX14BkSA8X-mq-a40/edit?usp=sharing"",""มหาสารคาม!J159"")"),0)</f>
        <v>0</v>
      </c>
      <c r="T39" s="87">
        <f t="shared" ca="1" si="16"/>
        <v>0</v>
      </c>
    </row>
    <row r="40" spans="1:20" ht="21" customHeight="1" x14ac:dyDescent="0.2">
      <c r="A40" s="78">
        <v>9</v>
      </c>
      <c r="B40" s="79" t="s">
        <v>62</v>
      </c>
      <c r="C40" s="80">
        <f t="shared" ca="1" si="0"/>
        <v>0</v>
      </c>
      <c r="D40" s="81">
        <f t="shared" ca="1" si="23"/>
        <v>0</v>
      </c>
      <c r="E40" s="82">
        <f ca="1">IFERROR(__xludf.DUMMYFUNCTION("IMPORTRANGE(""https://docs.google.com/spreadsheets/d/1MeEWN-I1oV_STSDYn1IFDPWt_1FKiwhDph83XaGc0o0/edit?usp=sharing"",""งบพรบ!BV40"")"),0)</f>
        <v>0</v>
      </c>
      <c r="F40" s="82">
        <f ca="1">IFERROR(__xludf.DUMMYFUNCTION("IMPORTRANGE(""https://docs.google.com/spreadsheets/d/1MeEWN-I1oV_STSDYn1IFDPWt_1FKiwhDph83XaGc0o0/edit?usp=sharing"",""งบพรบ!BW40"")"),0)</f>
        <v>0</v>
      </c>
      <c r="G40" s="82">
        <f ca="1">IFERROR(__xludf.DUMMYFUNCTION("IMPORTRANGE(""https://docs.google.com/spreadsheets/d/1MeEWN-I1oV_STSDYn1IFDPWt_1FKiwhDph83XaGc0o0/edit?usp=sharing"",""งบพรบ!BX40"")"),0)</f>
        <v>0</v>
      </c>
      <c r="H40" s="82">
        <f ca="1">IFERROR(__xludf.DUMMYFUNCTION("IMPORTRANGE(""https://docs.google.com/spreadsheets/d/1MeEWN-I1oV_STSDYn1IFDPWt_1FKiwhDph83XaGc0o0/edit?usp=sharing"",""งบพรบ!BZ40"")"),0)</f>
        <v>0</v>
      </c>
      <c r="I40" s="82">
        <f ca="1">IFERROR(__xludf.DUMMYFUNCTION("IMPORTRANGE(""https://docs.google.com/spreadsheets/d/1MeEWN-I1oV_STSDYn1IFDPWt_1FKiwhDph83XaGc0o0/edit?usp=sharing"",""งบพรบ!CA40"")"),0)</f>
        <v>0</v>
      </c>
      <c r="J40" s="82">
        <f t="shared" ca="1" si="3"/>
        <v>0</v>
      </c>
      <c r="K40" s="83">
        <f t="shared" ca="1" si="4"/>
        <v>0</v>
      </c>
      <c r="L40" s="82">
        <f ca="1">IFERROR(__xludf.DUMMYFUNCTION("IMPORTRANGE(""https://docs.google.com/spreadsheets/d/1MeEWN-I1oV_STSDYn1IFDPWt_1FKiwhDph83XaGc0o0/edit?usp=sharing"",""งบพรบ!CB40"")"),0)</f>
        <v>0</v>
      </c>
      <c r="M40" s="84">
        <f t="shared" ca="1" si="5"/>
        <v>0</v>
      </c>
      <c r="N40" s="84">
        <f t="shared" ca="1" si="6"/>
        <v>0</v>
      </c>
      <c r="O40" s="85">
        <f ca="1">IFERROR(__xludf.DUMMYFUNCTION("IMPORTRANGE(""https://docs.google.com/spreadsheets/d/1MeEWN-I1oV_STSDYn1IFDPWt_1FKiwhDph83XaGc0o0/edit?usp=sharing"",""งบพรบ!CC40"")"),0)</f>
        <v>0</v>
      </c>
      <c r="P40" s="85">
        <f t="shared" ca="1" si="18"/>
        <v>0</v>
      </c>
      <c r="Q40" s="84">
        <f t="shared" ca="1" si="8"/>
        <v>0</v>
      </c>
      <c r="R40" s="86">
        <f ca="1">IFERROR(__xludf.DUMMYFUNCTION("IMPORTRANGE(""https://docs.google.com/spreadsheets/d/1uMKqWwuNQ-TCKboGA3Bb1qXb5uj2-faACNUINCz8PN4/edit?usp=sharing"",""มุกดาหาร!I159"")"),0)</f>
        <v>0</v>
      </c>
      <c r="S40" s="86">
        <f ca="1">IFERROR(__xludf.DUMMYFUNCTION("IMPORTRANGE(""https://docs.google.com/spreadsheets/d/1uMKqWwuNQ-TCKboGA3Bb1qXb5uj2-faACNUINCz8PN4/edit?usp=sharing"",""มุกดาหาร!J159"")"),0)</f>
        <v>0</v>
      </c>
      <c r="T40" s="87">
        <f t="shared" ca="1" si="16"/>
        <v>0</v>
      </c>
    </row>
    <row r="41" spans="1:20" ht="21" customHeight="1" x14ac:dyDescent="0.2">
      <c r="A41" s="78">
        <v>10</v>
      </c>
      <c r="B41" s="79" t="s">
        <v>63</v>
      </c>
      <c r="C41" s="80">
        <f t="shared" ca="1" si="0"/>
        <v>0</v>
      </c>
      <c r="D41" s="81">
        <f t="shared" ca="1" si="23"/>
        <v>0</v>
      </c>
      <c r="E41" s="82">
        <f ca="1">IFERROR(__xludf.DUMMYFUNCTION("IMPORTRANGE(""https://docs.google.com/spreadsheets/d/1MeEWN-I1oV_STSDYn1IFDPWt_1FKiwhDph83XaGc0o0/edit?usp=sharing"",""งบพรบ!BV41"")"),0)</f>
        <v>0</v>
      </c>
      <c r="F41" s="82">
        <f ca="1">IFERROR(__xludf.DUMMYFUNCTION("IMPORTRANGE(""https://docs.google.com/spreadsheets/d/1MeEWN-I1oV_STSDYn1IFDPWt_1FKiwhDph83XaGc0o0/edit?usp=sharing"",""งบพรบ!BW41"")"),0)</f>
        <v>0</v>
      </c>
      <c r="G41" s="82">
        <f ca="1">IFERROR(__xludf.DUMMYFUNCTION("IMPORTRANGE(""https://docs.google.com/spreadsheets/d/1MeEWN-I1oV_STSDYn1IFDPWt_1FKiwhDph83XaGc0o0/edit?usp=sharing"",""งบพรบ!BX41"")"),0)</f>
        <v>0</v>
      </c>
      <c r="H41" s="82">
        <f ca="1">IFERROR(__xludf.DUMMYFUNCTION("IMPORTRANGE(""https://docs.google.com/spreadsheets/d/1MeEWN-I1oV_STSDYn1IFDPWt_1FKiwhDph83XaGc0o0/edit?usp=sharing"",""งบพรบ!BZ41"")"),7840)</f>
        <v>7840</v>
      </c>
      <c r="I41" s="82">
        <f ca="1">IFERROR(__xludf.DUMMYFUNCTION("IMPORTRANGE(""https://docs.google.com/spreadsheets/d/1MeEWN-I1oV_STSDYn1IFDPWt_1FKiwhDph83XaGc0o0/edit?usp=sharing"",""งบพรบ!CA41"")"),0)</f>
        <v>0</v>
      </c>
      <c r="J41" s="82">
        <f t="shared" ca="1" si="3"/>
        <v>2194</v>
      </c>
      <c r="K41" s="83">
        <f t="shared" ca="1" si="4"/>
        <v>0</v>
      </c>
      <c r="L41" s="82">
        <f ca="1">IFERROR(__xludf.DUMMYFUNCTION("IMPORTRANGE(""https://docs.google.com/spreadsheets/d/1MeEWN-I1oV_STSDYn1IFDPWt_1FKiwhDph83XaGc0o0/edit?usp=sharing"",""งบพรบ!CB41"")"),2194)</f>
        <v>2194</v>
      </c>
      <c r="M41" s="84">
        <f t="shared" ca="1" si="5"/>
        <v>0</v>
      </c>
      <c r="N41" s="84">
        <f t="shared" ca="1" si="6"/>
        <v>27.98469387755102</v>
      </c>
      <c r="O41" s="85">
        <f ca="1">IFERROR(__xludf.DUMMYFUNCTION("IMPORTRANGE(""https://docs.google.com/spreadsheets/d/1MeEWN-I1oV_STSDYn1IFDPWt_1FKiwhDph83XaGc0o0/edit?usp=sharing"",""งบพรบ!CC41"")"),0)</f>
        <v>0</v>
      </c>
      <c r="P41" s="85">
        <f t="shared" ca="1" si="18"/>
        <v>0</v>
      </c>
      <c r="Q41" s="84">
        <f t="shared" ca="1" si="8"/>
        <v>0</v>
      </c>
      <c r="R41" s="86">
        <f ca="1">IFERROR(__xludf.DUMMYFUNCTION("IMPORTRANGE(""https://docs.google.com/spreadsheets/d/1oKaccgDdQABndOzGr688Dbfxb_V3YcF67VqEPBtdzsc/edit?usp=sharing"",""ยโสธร!I159"")"),0)</f>
        <v>0</v>
      </c>
      <c r="S41" s="86">
        <f ca="1">IFERROR(__xludf.DUMMYFUNCTION("IMPORTRANGE(""https://docs.google.com/spreadsheets/d/1oKaccgDdQABndOzGr688Dbfxb_V3YcF67VqEPBtdzsc/edit?usp=sharing"",""ยโสธร!J159"")"),0)</f>
        <v>0</v>
      </c>
      <c r="T41" s="87">
        <f t="shared" ca="1" si="16"/>
        <v>0</v>
      </c>
    </row>
    <row r="42" spans="1:20" ht="21" customHeight="1" x14ac:dyDescent="0.2">
      <c r="A42" s="78">
        <v>11</v>
      </c>
      <c r="B42" s="79" t="s">
        <v>64</v>
      </c>
      <c r="C42" s="80">
        <f t="shared" ca="1" si="0"/>
        <v>5000</v>
      </c>
      <c r="D42" s="81">
        <f t="shared" ca="1" si="23"/>
        <v>5000</v>
      </c>
      <c r="E42" s="82">
        <f ca="1">IFERROR(__xludf.DUMMYFUNCTION("IMPORTRANGE(""https://docs.google.com/spreadsheets/d/1MeEWN-I1oV_STSDYn1IFDPWt_1FKiwhDph83XaGc0o0/edit?usp=sharing"",""งบพรบ!BV42"")"),0)</f>
        <v>0</v>
      </c>
      <c r="F42" s="82">
        <f ca="1">IFERROR(__xludf.DUMMYFUNCTION("IMPORTRANGE(""https://docs.google.com/spreadsheets/d/1MeEWN-I1oV_STSDYn1IFDPWt_1FKiwhDph83XaGc0o0/edit?usp=sharing"",""งบพรบ!BW42"")"),5000)</f>
        <v>5000</v>
      </c>
      <c r="G42" s="82">
        <f ca="1">IFERROR(__xludf.DUMMYFUNCTION("IMPORTRANGE(""https://docs.google.com/spreadsheets/d/1MeEWN-I1oV_STSDYn1IFDPWt_1FKiwhDph83XaGc0o0/edit?usp=sharing"",""งบพรบ!BX42"")"),0)</f>
        <v>0</v>
      </c>
      <c r="H42" s="82">
        <f ca="1">IFERROR(__xludf.DUMMYFUNCTION("IMPORTRANGE(""https://docs.google.com/spreadsheets/d/1MeEWN-I1oV_STSDYn1IFDPWt_1FKiwhDph83XaGc0o0/edit?usp=sharing"",""งบพรบ!BZ42"")"),12520)</f>
        <v>12520</v>
      </c>
      <c r="I42" s="82">
        <f ca="1">IFERROR(__xludf.DUMMYFUNCTION("IMPORTRANGE(""https://docs.google.com/spreadsheets/d/1MeEWN-I1oV_STSDYn1IFDPWt_1FKiwhDph83XaGc0o0/edit?usp=sharing"",""งบพรบ!CA42"")"),0)</f>
        <v>0</v>
      </c>
      <c r="J42" s="82">
        <f t="shared" ca="1" si="3"/>
        <v>4800</v>
      </c>
      <c r="K42" s="83">
        <f t="shared" ca="1" si="4"/>
        <v>96</v>
      </c>
      <c r="L42" s="82">
        <f ca="1">IFERROR(__xludf.DUMMYFUNCTION("IMPORTRANGE(""https://docs.google.com/spreadsheets/d/1MeEWN-I1oV_STSDYn1IFDPWt_1FKiwhDph83XaGc0o0/edit?usp=sharing"",""งบพรบ!CB42"")"),4800)</f>
        <v>4800</v>
      </c>
      <c r="M42" s="84">
        <f t="shared" ca="1" si="5"/>
        <v>96</v>
      </c>
      <c r="N42" s="84">
        <f t="shared" ca="1" si="6"/>
        <v>38.338658146964853</v>
      </c>
      <c r="O42" s="85">
        <f ca="1">IFERROR(__xludf.DUMMYFUNCTION("IMPORTRANGE(""https://docs.google.com/spreadsheets/d/1MeEWN-I1oV_STSDYn1IFDPWt_1FKiwhDph83XaGc0o0/edit?usp=sharing"",""งบพรบ!CC42"")"),0)</f>
        <v>0</v>
      </c>
      <c r="P42" s="85">
        <f t="shared" ca="1" si="18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IFERROR(__xludf.DUMMYFUNCTION("IMPORTRANGE(""https://docs.google.com/spreadsheets/d/1BRgc8xKpxZ0PX-gauieMVkV_IOxKSotf0yW8MabGprQ/edit?usp=sharing"",""ร้อยเอ็ด!I159"")"),10)</f>
        <v>10</v>
      </c>
      <c r="S42" s="86">
        <f ca="1">IFERROR(__xludf.DUMMYFUNCTION("IMPORTRANGE(""https://docs.google.com/spreadsheets/d/1BRgc8xKpxZ0PX-gauieMVkV_IOxKSotf0yW8MabGprQ/edit?usp=sharing"",""ร้อยเอ็ด!J159"")"),0)</f>
        <v>0</v>
      </c>
      <c r="T42" s="87">
        <f t="shared" ca="1" si="16"/>
        <v>0</v>
      </c>
    </row>
    <row r="43" spans="1:20" ht="21" customHeight="1" x14ac:dyDescent="0.2">
      <c r="A43" s="78">
        <v>12</v>
      </c>
      <c r="B43" s="79" t="s">
        <v>65</v>
      </c>
      <c r="C43" s="80">
        <f t="shared" ca="1" si="0"/>
        <v>0</v>
      </c>
      <c r="D43" s="81">
        <f t="shared" ca="1" si="23"/>
        <v>0</v>
      </c>
      <c r="E43" s="82">
        <f ca="1">IFERROR(__xludf.DUMMYFUNCTION("IMPORTRANGE(""https://docs.google.com/spreadsheets/d/1MeEWN-I1oV_STSDYn1IFDPWt_1FKiwhDph83XaGc0o0/edit?usp=sharing"",""งบพรบ!BV43"")"),0)</f>
        <v>0</v>
      </c>
      <c r="F43" s="82">
        <f ca="1">IFERROR(__xludf.DUMMYFUNCTION("IMPORTRANGE(""https://docs.google.com/spreadsheets/d/1MeEWN-I1oV_STSDYn1IFDPWt_1FKiwhDph83XaGc0o0/edit?usp=sharing"",""งบพรบ!BW43"")"),0)</f>
        <v>0</v>
      </c>
      <c r="G43" s="82">
        <f ca="1">IFERROR(__xludf.DUMMYFUNCTION("IMPORTRANGE(""https://docs.google.com/spreadsheets/d/1MeEWN-I1oV_STSDYn1IFDPWt_1FKiwhDph83XaGc0o0/edit?usp=sharing"",""งบพรบ!BX43"")"),0)</f>
        <v>0</v>
      </c>
      <c r="H43" s="82">
        <f ca="1">IFERROR(__xludf.DUMMYFUNCTION("IMPORTRANGE(""https://docs.google.com/spreadsheets/d/1MeEWN-I1oV_STSDYn1IFDPWt_1FKiwhDph83XaGc0o0/edit?usp=sharing"",""งบพรบ!BZ43"")"),7760)</f>
        <v>7760</v>
      </c>
      <c r="I43" s="82">
        <f ca="1">IFERROR(__xludf.DUMMYFUNCTION("IMPORTRANGE(""https://docs.google.com/spreadsheets/d/1MeEWN-I1oV_STSDYn1IFDPWt_1FKiwhDph83XaGc0o0/edit?usp=sharing"",""งบพรบ!CA43"")"),0)</f>
        <v>0</v>
      </c>
      <c r="J43" s="82">
        <f t="shared" ca="1" si="3"/>
        <v>2592</v>
      </c>
      <c r="K43" s="83">
        <f t="shared" ca="1" si="4"/>
        <v>0</v>
      </c>
      <c r="L43" s="82">
        <f ca="1">IFERROR(__xludf.DUMMYFUNCTION("IMPORTRANGE(""https://docs.google.com/spreadsheets/d/1MeEWN-I1oV_STSDYn1IFDPWt_1FKiwhDph83XaGc0o0/edit?usp=sharing"",""งบพรบ!CB43"")"),2592)</f>
        <v>2592</v>
      </c>
      <c r="M43" s="84">
        <f t="shared" ca="1" si="5"/>
        <v>0</v>
      </c>
      <c r="N43" s="84">
        <f t="shared" ca="1" si="6"/>
        <v>33.402061855670105</v>
      </c>
      <c r="O43" s="85">
        <f ca="1">IFERROR(__xludf.DUMMYFUNCTION("IMPORTRANGE(""https://docs.google.com/spreadsheets/d/1MeEWN-I1oV_STSDYn1IFDPWt_1FKiwhDph83XaGc0o0/edit?usp=sharing"",""งบพรบ!CC43"")"),0)</f>
        <v>0</v>
      </c>
      <c r="P43" s="85">
        <f t="shared" ca="1" si="18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IFERROR(__xludf.DUMMYFUNCTION("IMPORTRANGE(""https://docs.google.com/spreadsheets/d/1IdolZc-dfdgMwAm_KZxYJl1sUOcIgnbGQzbWOlddedo/edit?usp=sharing"",""เลย!I159"")"),0)</f>
        <v>0</v>
      </c>
      <c r="S43" s="86">
        <f ca="1">IFERROR(__xludf.DUMMYFUNCTION("IMPORTRANGE(""https://docs.google.com/spreadsheets/d/1IdolZc-dfdgMwAm_KZxYJl1sUOcIgnbGQzbWOlddedo/edit?usp=sharing"",""เลย!J159"")"),0)</f>
        <v>0</v>
      </c>
      <c r="T43" s="87">
        <f t="shared" ca="1" si="16"/>
        <v>0</v>
      </c>
    </row>
    <row r="44" spans="1:20" ht="21" customHeight="1" x14ac:dyDescent="0.2">
      <c r="A44" s="78">
        <v>13</v>
      </c>
      <c r="B44" s="79" t="s">
        <v>66</v>
      </c>
      <c r="C44" s="80">
        <f t="shared" ca="1" si="0"/>
        <v>0</v>
      </c>
      <c r="D44" s="81">
        <f t="shared" ca="1" si="23"/>
        <v>0</v>
      </c>
      <c r="E44" s="82">
        <f ca="1">IFERROR(__xludf.DUMMYFUNCTION("IMPORTRANGE(""https://docs.google.com/spreadsheets/d/1MeEWN-I1oV_STSDYn1IFDPWt_1FKiwhDph83XaGc0o0/edit?usp=sharing"",""งบพรบ!BV44"")"),0)</f>
        <v>0</v>
      </c>
      <c r="F44" s="82">
        <f ca="1">IFERROR(__xludf.DUMMYFUNCTION("IMPORTRANGE(""https://docs.google.com/spreadsheets/d/1MeEWN-I1oV_STSDYn1IFDPWt_1FKiwhDph83XaGc0o0/edit?usp=sharing"",""งบพรบ!BW44"")"),0)</f>
        <v>0</v>
      </c>
      <c r="G44" s="82">
        <f ca="1">IFERROR(__xludf.DUMMYFUNCTION("IMPORTRANGE(""https://docs.google.com/spreadsheets/d/1MeEWN-I1oV_STSDYn1IFDPWt_1FKiwhDph83XaGc0o0/edit?usp=sharing"",""งบพรบ!BX44"")"),0)</f>
        <v>0</v>
      </c>
      <c r="H44" s="82">
        <f ca="1">IFERROR(__xludf.DUMMYFUNCTION("IMPORTRANGE(""https://docs.google.com/spreadsheets/d/1MeEWN-I1oV_STSDYn1IFDPWt_1FKiwhDph83XaGc0o0/edit?usp=sharing"",""งบพรบ!BZ44"")"),8170)</f>
        <v>8170</v>
      </c>
      <c r="I44" s="82">
        <f ca="1">IFERROR(__xludf.DUMMYFUNCTION("IMPORTRANGE(""https://docs.google.com/spreadsheets/d/1MeEWN-I1oV_STSDYn1IFDPWt_1FKiwhDph83XaGc0o0/edit?usp=sharing"",""งบพรบ!CA44"")"),0)</f>
        <v>0</v>
      </c>
      <c r="J44" s="82">
        <f t="shared" ca="1" si="3"/>
        <v>8170</v>
      </c>
      <c r="K44" s="83">
        <f t="shared" ca="1" si="4"/>
        <v>0</v>
      </c>
      <c r="L44" s="82">
        <f ca="1">IFERROR(__xludf.DUMMYFUNCTION("IMPORTRANGE(""https://docs.google.com/spreadsheets/d/1MeEWN-I1oV_STSDYn1IFDPWt_1FKiwhDph83XaGc0o0/edit?usp=sharing"",""งบพรบ!CB44"")"),8170)</f>
        <v>8170</v>
      </c>
      <c r="M44" s="84">
        <f t="shared" ca="1" si="5"/>
        <v>0</v>
      </c>
      <c r="N44" s="84">
        <f t="shared" ca="1" si="6"/>
        <v>100</v>
      </c>
      <c r="O44" s="85">
        <f ca="1">IFERROR(__xludf.DUMMYFUNCTION("IMPORTRANGE(""https://docs.google.com/spreadsheets/d/1MeEWN-I1oV_STSDYn1IFDPWt_1FKiwhDph83XaGc0o0/edit?usp=sharing"",""งบพรบ!CC44"")"),0)</f>
        <v>0</v>
      </c>
      <c r="P44" s="85">
        <f t="shared" ca="1" si="18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IFERROR(__xludf.DUMMYFUNCTION("IMPORTRANGE(""https://docs.google.com/spreadsheets/d/1tZ0nmtGuIRCaGAMXHlQU8EpR9LOAJvyKfc4f7EFmE34/edit?usp=sharing"",""ศรีสะเกษ!I159"")"),0)</f>
        <v>0</v>
      </c>
      <c r="S44" s="86">
        <f ca="1">IFERROR(__xludf.DUMMYFUNCTION("IMPORTRANGE(""https://docs.google.com/spreadsheets/d/1tZ0nmtGuIRCaGAMXHlQU8EpR9LOAJvyKfc4f7EFmE34/edit?usp=sharing"",""ศรีสะเกษ!J159"")"),0)</f>
        <v>0</v>
      </c>
      <c r="T44" s="87">
        <f t="shared" ca="1" si="16"/>
        <v>0</v>
      </c>
    </row>
    <row r="45" spans="1:20" ht="21" customHeight="1" x14ac:dyDescent="0.2">
      <c r="A45" s="78">
        <v>14</v>
      </c>
      <c r="B45" s="79" t="s">
        <v>67</v>
      </c>
      <c r="C45" s="80">
        <f t="shared" ca="1" si="0"/>
        <v>10000</v>
      </c>
      <c r="D45" s="81">
        <f t="shared" ca="1" si="23"/>
        <v>10000</v>
      </c>
      <c r="E45" s="82">
        <f ca="1">IFERROR(__xludf.DUMMYFUNCTION("IMPORTRANGE(""https://docs.google.com/spreadsheets/d/1MeEWN-I1oV_STSDYn1IFDPWt_1FKiwhDph83XaGc0o0/edit?usp=sharing"",""งบพรบ!BV45"")"),0)</f>
        <v>0</v>
      </c>
      <c r="F45" s="82">
        <f ca="1">IFERROR(__xludf.DUMMYFUNCTION("IMPORTRANGE(""https://docs.google.com/spreadsheets/d/1MeEWN-I1oV_STSDYn1IFDPWt_1FKiwhDph83XaGc0o0/edit?usp=sharing"",""งบพรบ!BW45"")"),10000)</f>
        <v>10000</v>
      </c>
      <c r="G45" s="82">
        <f ca="1">IFERROR(__xludf.DUMMYFUNCTION("IMPORTRANGE(""https://docs.google.com/spreadsheets/d/1MeEWN-I1oV_STSDYn1IFDPWt_1FKiwhDph83XaGc0o0/edit?usp=sharing"",""งบพรบ!BX45"")"),0)</f>
        <v>0</v>
      </c>
      <c r="H45" s="82">
        <f ca="1">IFERROR(__xludf.DUMMYFUNCTION("IMPORTRANGE(""https://docs.google.com/spreadsheets/d/1MeEWN-I1oV_STSDYn1IFDPWt_1FKiwhDph83XaGc0o0/edit?usp=sharing"",""งบพรบ!BZ45"")"),31400)</f>
        <v>31400</v>
      </c>
      <c r="I45" s="82">
        <f ca="1">IFERROR(__xludf.DUMMYFUNCTION("IMPORTRANGE(""https://docs.google.com/spreadsheets/d/1MeEWN-I1oV_STSDYn1IFDPWt_1FKiwhDph83XaGc0o0/edit?usp=sharing"",""งบพรบ!CA45"")"),0)</f>
        <v>0</v>
      </c>
      <c r="J45" s="82">
        <f t="shared" ca="1" si="3"/>
        <v>16060</v>
      </c>
      <c r="K45" s="83">
        <f t="shared" ca="1" si="4"/>
        <v>160.6</v>
      </c>
      <c r="L45" s="82">
        <f ca="1">IFERROR(__xludf.DUMMYFUNCTION("IMPORTRANGE(""https://docs.google.com/spreadsheets/d/1MeEWN-I1oV_STSDYn1IFDPWt_1FKiwhDph83XaGc0o0/edit?usp=sharing"",""งบพรบ!CB45"")"),16060)</f>
        <v>16060</v>
      </c>
      <c r="M45" s="84">
        <f t="shared" ca="1" si="5"/>
        <v>160.6</v>
      </c>
      <c r="N45" s="84">
        <f t="shared" ca="1" si="6"/>
        <v>51.146496815286625</v>
      </c>
      <c r="O45" s="85">
        <f ca="1">IFERROR(__xludf.DUMMYFUNCTION("IMPORTRANGE(""https://docs.google.com/spreadsheets/d/1MeEWN-I1oV_STSDYn1IFDPWt_1FKiwhDph83XaGc0o0/edit?usp=sharing"",""งบพรบ!CC45"")"),0)</f>
        <v>0</v>
      </c>
      <c r="P45" s="85">
        <f t="shared" ca="1" si="18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IFERROR(__xludf.DUMMYFUNCTION("IMPORTRANGE(""https://docs.google.com/spreadsheets/d/1QC8psz9w0f9IVE9Xuc2FT_btkaOzZbbUSgYObpBuetM/edit?usp=sharing"",""สกลนคร!I159"")"),20)</f>
        <v>20</v>
      </c>
      <c r="S45" s="86">
        <f ca="1">IFERROR(__xludf.DUMMYFUNCTION("IMPORTRANGE(""https://docs.google.com/spreadsheets/d/1QC8psz9w0f9IVE9Xuc2FT_btkaOzZbbUSgYObpBuetM/edit?usp=sharing"",""สกลนคร!J159"")"),0)</f>
        <v>0</v>
      </c>
      <c r="T45" s="87">
        <f t="shared" ca="1" si="16"/>
        <v>0</v>
      </c>
    </row>
    <row r="46" spans="1:20" ht="21" customHeight="1" x14ac:dyDescent="0.2">
      <c r="A46" s="78">
        <v>15</v>
      </c>
      <c r="B46" s="79" t="s">
        <v>68</v>
      </c>
      <c r="C46" s="80">
        <f t="shared" ca="1" si="0"/>
        <v>0</v>
      </c>
      <c r="D46" s="81">
        <f t="shared" ca="1" si="23"/>
        <v>0</v>
      </c>
      <c r="E46" s="82">
        <f ca="1">IFERROR(__xludf.DUMMYFUNCTION("IMPORTRANGE(""https://docs.google.com/spreadsheets/d/1MeEWN-I1oV_STSDYn1IFDPWt_1FKiwhDph83XaGc0o0/edit?usp=sharing"",""งบพรบ!BV46"")"),0)</f>
        <v>0</v>
      </c>
      <c r="F46" s="82">
        <f ca="1">IFERROR(__xludf.DUMMYFUNCTION("IMPORTRANGE(""https://docs.google.com/spreadsheets/d/1MeEWN-I1oV_STSDYn1IFDPWt_1FKiwhDph83XaGc0o0/edit?usp=sharing"",""งบพรบ!BW46"")"),0)</f>
        <v>0</v>
      </c>
      <c r="G46" s="82">
        <f ca="1">IFERROR(__xludf.DUMMYFUNCTION("IMPORTRANGE(""https://docs.google.com/spreadsheets/d/1MeEWN-I1oV_STSDYn1IFDPWt_1FKiwhDph83XaGc0o0/edit?usp=sharing"",""งบพรบ!BX46"")"),0)</f>
        <v>0</v>
      </c>
      <c r="H46" s="82">
        <f ca="1">IFERROR(__xludf.DUMMYFUNCTION("IMPORTRANGE(""https://docs.google.com/spreadsheets/d/1MeEWN-I1oV_STSDYn1IFDPWt_1FKiwhDph83XaGc0o0/edit?usp=sharing"",""งบพรบ!BZ46"")"),0)</f>
        <v>0</v>
      </c>
      <c r="I46" s="82">
        <f ca="1">IFERROR(__xludf.DUMMYFUNCTION("IMPORTRANGE(""https://docs.google.com/spreadsheets/d/1MeEWN-I1oV_STSDYn1IFDPWt_1FKiwhDph83XaGc0o0/edit?usp=sharing"",""งบพรบ!CA46"")"),0)</f>
        <v>0</v>
      </c>
      <c r="J46" s="82">
        <f t="shared" ca="1" si="3"/>
        <v>0</v>
      </c>
      <c r="K46" s="83">
        <f t="shared" ca="1" si="4"/>
        <v>0</v>
      </c>
      <c r="L46" s="82">
        <f ca="1">IFERROR(__xludf.DUMMYFUNCTION("IMPORTRANGE(""https://docs.google.com/spreadsheets/d/1MeEWN-I1oV_STSDYn1IFDPWt_1FKiwhDph83XaGc0o0/edit?usp=sharing"",""งบพรบ!CB46"")"),0)</f>
        <v>0</v>
      </c>
      <c r="M46" s="84">
        <f t="shared" ca="1" si="5"/>
        <v>0</v>
      </c>
      <c r="N46" s="84">
        <f t="shared" ca="1" si="6"/>
        <v>0</v>
      </c>
      <c r="O46" s="85">
        <f ca="1">IFERROR(__xludf.DUMMYFUNCTION("IMPORTRANGE(""https://docs.google.com/spreadsheets/d/1MeEWN-I1oV_STSDYn1IFDPWt_1FKiwhDph83XaGc0o0/edit?usp=sharing"",""งบพรบ!CC46"")"),0)</f>
        <v>0</v>
      </c>
      <c r="P46" s="85">
        <f t="shared" ca="1" si="18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IFERROR(__xludf.DUMMYFUNCTION("IMPORTRANGE(""https://docs.google.com/spreadsheets/d/1wPdvRbu02d33MYVlbsCnyTiZpefEBs9NNktAnT1HZvw/edit?usp=sharing"",""สุรินทร์!I159"")"),0)</f>
        <v>0</v>
      </c>
      <c r="S46" s="86">
        <f ca="1">IFERROR(__xludf.DUMMYFUNCTION("IMPORTRANGE(""https://docs.google.com/spreadsheets/d/1wPdvRbu02d33MYVlbsCnyTiZpefEBs9NNktAnT1HZvw/edit?usp=sharing"",""สุรินทร์!J159"")"),0)</f>
        <v>0</v>
      </c>
      <c r="T46" s="87">
        <f t="shared" ca="1" si="16"/>
        <v>0</v>
      </c>
    </row>
    <row r="47" spans="1:20" ht="21" customHeight="1" x14ac:dyDescent="0.2">
      <c r="A47" s="78">
        <v>16</v>
      </c>
      <c r="B47" s="79" t="s">
        <v>69</v>
      </c>
      <c r="C47" s="80">
        <f t="shared" ca="1" si="0"/>
        <v>0</v>
      </c>
      <c r="D47" s="81">
        <f t="shared" ca="1" si="23"/>
        <v>0</v>
      </c>
      <c r="E47" s="82">
        <f ca="1">IFERROR(__xludf.DUMMYFUNCTION("IMPORTRANGE(""https://docs.google.com/spreadsheets/d/1MeEWN-I1oV_STSDYn1IFDPWt_1FKiwhDph83XaGc0o0/edit?usp=sharing"",""งบพรบ!BV47"")"),0)</f>
        <v>0</v>
      </c>
      <c r="F47" s="82">
        <f ca="1">IFERROR(__xludf.DUMMYFUNCTION("IMPORTRANGE(""https://docs.google.com/spreadsheets/d/1MeEWN-I1oV_STSDYn1IFDPWt_1FKiwhDph83XaGc0o0/edit?usp=sharing"",""งบพรบ!BW47"")"),0)</f>
        <v>0</v>
      </c>
      <c r="G47" s="82">
        <f ca="1">IFERROR(__xludf.DUMMYFUNCTION("IMPORTRANGE(""https://docs.google.com/spreadsheets/d/1MeEWN-I1oV_STSDYn1IFDPWt_1FKiwhDph83XaGc0o0/edit?usp=sharing"",""งบพรบ!BX47"")"),0)</f>
        <v>0</v>
      </c>
      <c r="H47" s="82">
        <f ca="1">IFERROR(__xludf.DUMMYFUNCTION("IMPORTRANGE(""https://docs.google.com/spreadsheets/d/1MeEWN-I1oV_STSDYn1IFDPWt_1FKiwhDph83XaGc0o0/edit?usp=sharing"",""งบพรบ!BZ47"")"),0)</f>
        <v>0</v>
      </c>
      <c r="I47" s="82">
        <f ca="1">IFERROR(__xludf.DUMMYFUNCTION("IMPORTRANGE(""https://docs.google.com/spreadsheets/d/1MeEWN-I1oV_STSDYn1IFDPWt_1FKiwhDph83XaGc0o0/edit?usp=sharing"",""งบพรบ!CA47"")"),0)</f>
        <v>0</v>
      </c>
      <c r="J47" s="82">
        <f t="shared" ca="1" si="3"/>
        <v>0</v>
      </c>
      <c r="K47" s="83">
        <f t="shared" ca="1" si="4"/>
        <v>0</v>
      </c>
      <c r="L47" s="82">
        <f ca="1">IFERROR(__xludf.DUMMYFUNCTION("IMPORTRANGE(""https://docs.google.com/spreadsheets/d/1MeEWN-I1oV_STSDYn1IFDPWt_1FKiwhDph83XaGc0o0/edit?usp=sharing"",""งบพรบ!CB47"")"),0)</f>
        <v>0</v>
      </c>
      <c r="M47" s="84">
        <f t="shared" ca="1" si="5"/>
        <v>0</v>
      </c>
      <c r="N47" s="84">
        <f t="shared" ca="1" si="6"/>
        <v>0</v>
      </c>
      <c r="O47" s="85">
        <f ca="1">IFERROR(__xludf.DUMMYFUNCTION("IMPORTRANGE(""https://docs.google.com/spreadsheets/d/1MeEWN-I1oV_STSDYn1IFDPWt_1FKiwhDph83XaGc0o0/edit?usp=sharing"",""งบพรบ!CC47"")"),0)</f>
        <v>0</v>
      </c>
      <c r="P47" s="85">
        <f t="shared" ca="1" si="18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IFERROR(__xludf.DUMMYFUNCTION("IMPORTRANGE(""https://docs.google.com/spreadsheets/d/1GVExpf-Exi_2gmuqTYH28fseTB9MoKPXWcXCbSt_YrM/edit?usp=sharing"",""หนองคาย!I159"")"),0)</f>
        <v>0</v>
      </c>
      <c r="S47" s="86">
        <f ca="1">IFERROR(__xludf.DUMMYFUNCTION("IMPORTRANGE(""https://docs.google.com/spreadsheets/d/1GVExpf-Exi_2gmuqTYH28fseTB9MoKPXWcXCbSt_YrM/edit?usp=sharing"",""หนองคาย!J159"")"),0)</f>
        <v>0</v>
      </c>
      <c r="T47" s="87">
        <f t="shared" ca="1" si="16"/>
        <v>0</v>
      </c>
    </row>
    <row r="48" spans="1:20" ht="21" customHeight="1" x14ac:dyDescent="0.2">
      <c r="A48" s="78">
        <v>17</v>
      </c>
      <c r="B48" s="79" t="s">
        <v>70</v>
      </c>
      <c r="C48" s="80">
        <f t="shared" ca="1" si="0"/>
        <v>0</v>
      </c>
      <c r="D48" s="81">
        <f t="shared" ca="1" si="23"/>
        <v>0</v>
      </c>
      <c r="E48" s="82">
        <f ca="1">IFERROR(__xludf.DUMMYFUNCTION("IMPORTRANGE(""https://docs.google.com/spreadsheets/d/1MeEWN-I1oV_STSDYn1IFDPWt_1FKiwhDph83XaGc0o0/edit?usp=sharing"",""งบพรบ!BV48"")"),0)</f>
        <v>0</v>
      </c>
      <c r="F48" s="82">
        <f ca="1">IFERROR(__xludf.DUMMYFUNCTION("IMPORTRANGE(""https://docs.google.com/spreadsheets/d/1MeEWN-I1oV_STSDYn1IFDPWt_1FKiwhDph83XaGc0o0/edit?usp=sharing"",""งบพรบ!BW48"")"),0)</f>
        <v>0</v>
      </c>
      <c r="G48" s="82">
        <f ca="1">IFERROR(__xludf.DUMMYFUNCTION("IMPORTRANGE(""https://docs.google.com/spreadsheets/d/1MeEWN-I1oV_STSDYn1IFDPWt_1FKiwhDph83XaGc0o0/edit?usp=sharing"",""งบพรบ!BX48"")"),0)</f>
        <v>0</v>
      </c>
      <c r="H48" s="82">
        <f ca="1">IFERROR(__xludf.DUMMYFUNCTION("IMPORTRANGE(""https://docs.google.com/spreadsheets/d/1MeEWN-I1oV_STSDYn1IFDPWt_1FKiwhDph83XaGc0o0/edit?usp=sharing"",""งบพรบ!BZ48"")"),0)</f>
        <v>0</v>
      </c>
      <c r="I48" s="82">
        <f ca="1">IFERROR(__xludf.DUMMYFUNCTION("IMPORTRANGE(""https://docs.google.com/spreadsheets/d/1MeEWN-I1oV_STSDYn1IFDPWt_1FKiwhDph83XaGc0o0/edit?usp=sharing"",""งบพรบ!CA48"")"),0)</f>
        <v>0</v>
      </c>
      <c r="J48" s="82">
        <f t="shared" ca="1" si="3"/>
        <v>0</v>
      </c>
      <c r="K48" s="83">
        <f t="shared" ca="1" si="4"/>
        <v>0</v>
      </c>
      <c r="L48" s="82">
        <f ca="1">IFERROR(__xludf.DUMMYFUNCTION("IMPORTRANGE(""https://docs.google.com/spreadsheets/d/1MeEWN-I1oV_STSDYn1IFDPWt_1FKiwhDph83XaGc0o0/edit?usp=sharing"",""งบพรบ!CB48"")"),0)</f>
        <v>0</v>
      </c>
      <c r="M48" s="84">
        <f t="shared" ca="1" si="5"/>
        <v>0</v>
      </c>
      <c r="N48" s="84">
        <f t="shared" ca="1" si="6"/>
        <v>0</v>
      </c>
      <c r="O48" s="85">
        <f ca="1">IFERROR(__xludf.DUMMYFUNCTION("IMPORTRANGE(""https://docs.google.com/spreadsheets/d/1MeEWN-I1oV_STSDYn1IFDPWt_1FKiwhDph83XaGc0o0/edit?usp=sharing"",""งบพรบ!CC48"")"),0)</f>
        <v>0</v>
      </c>
      <c r="P48" s="85">
        <f t="shared" ca="1" si="18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IFERROR(__xludf.DUMMYFUNCTION("IMPORTRANGE(""https://docs.google.com/spreadsheets/d/16UeMz0UgOB5BZcoxP75eYGcLFtGYRn9GoesD4OX9m5U/edit?usp=sharing"",""หนองบัวลำภู!I159"")"),0)</f>
        <v>0</v>
      </c>
      <c r="S48" s="86">
        <f ca="1">IFERROR(__xludf.DUMMYFUNCTION("IMPORTRANGE(""https://docs.google.com/spreadsheets/d/16UeMz0UgOB5BZcoxP75eYGcLFtGYRn9GoesD4OX9m5U/edit?usp=sharing"",""หนองบัวลำภู!J159"")"),0)</f>
        <v>0</v>
      </c>
      <c r="T48" s="87">
        <f t="shared" ca="1" si="16"/>
        <v>0</v>
      </c>
    </row>
    <row r="49" spans="1:20" ht="21" customHeight="1" x14ac:dyDescent="0.2">
      <c r="A49" s="78">
        <v>18</v>
      </c>
      <c r="B49" s="79" t="s">
        <v>71</v>
      </c>
      <c r="C49" s="80">
        <f t="shared" ca="1" si="0"/>
        <v>0</v>
      </c>
      <c r="D49" s="81">
        <f t="shared" ca="1" si="23"/>
        <v>0</v>
      </c>
      <c r="E49" s="82">
        <f ca="1">IFERROR(__xludf.DUMMYFUNCTION("IMPORTRANGE(""https://docs.google.com/spreadsheets/d/1MeEWN-I1oV_STSDYn1IFDPWt_1FKiwhDph83XaGc0o0/edit?usp=sharing"",""งบพรบ!BV49"")"),0)</f>
        <v>0</v>
      </c>
      <c r="F49" s="82">
        <f ca="1">IFERROR(__xludf.DUMMYFUNCTION("IMPORTRANGE(""https://docs.google.com/spreadsheets/d/1MeEWN-I1oV_STSDYn1IFDPWt_1FKiwhDph83XaGc0o0/edit?usp=sharing"",""งบพรบ!BW49"")"),0)</f>
        <v>0</v>
      </c>
      <c r="G49" s="82">
        <f ca="1">IFERROR(__xludf.DUMMYFUNCTION("IMPORTRANGE(""https://docs.google.com/spreadsheets/d/1MeEWN-I1oV_STSDYn1IFDPWt_1FKiwhDph83XaGc0o0/edit?usp=sharing"",""งบพรบ!BX49"")"),0)</f>
        <v>0</v>
      </c>
      <c r="H49" s="82">
        <f ca="1">IFERROR(__xludf.DUMMYFUNCTION("IMPORTRANGE(""https://docs.google.com/spreadsheets/d/1MeEWN-I1oV_STSDYn1IFDPWt_1FKiwhDph83XaGc0o0/edit?usp=sharing"",""งบพรบ!BZ49"")"),0)</f>
        <v>0</v>
      </c>
      <c r="I49" s="82">
        <f ca="1">IFERROR(__xludf.DUMMYFUNCTION("IMPORTRANGE(""https://docs.google.com/spreadsheets/d/1MeEWN-I1oV_STSDYn1IFDPWt_1FKiwhDph83XaGc0o0/edit?usp=sharing"",""งบพรบ!CA49"")"),0)</f>
        <v>0</v>
      </c>
      <c r="J49" s="82">
        <f t="shared" ca="1" si="3"/>
        <v>0</v>
      </c>
      <c r="K49" s="83">
        <f t="shared" ca="1" si="4"/>
        <v>0</v>
      </c>
      <c r="L49" s="82">
        <f ca="1">IFERROR(__xludf.DUMMYFUNCTION("IMPORTRANGE(""https://docs.google.com/spreadsheets/d/1MeEWN-I1oV_STSDYn1IFDPWt_1FKiwhDph83XaGc0o0/edit?usp=sharing"",""งบพรบ!CB49"")"),0)</f>
        <v>0</v>
      </c>
      <c r="M49" s="84">
        <f t="shared" ca="1" si="5"/>
        <v>0</v>
      </c>
      <c r="N49" s="84">
        <f t="shared" ca="1" si="6"/>
        <v>0</v>
      </c>
      <c r="O49" s="85">
        <f ca="1">IFERROR(__xludf.DUMMYFUNCTION("IMPORTRANGE(""https://docs.google.com/spreadsheets/d/1MeEWN-I1oV_STSDYn1IFDPWt_1FKiwhDph83XaGc0o0/edit?usp=sharing"",""งบพรบ!CC49"")"),0)</f>
        <v>0</v>
      </c>
      <c r="P49" s="85">
        <f t="shared" ca="1" si="18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IFERROR(__xludf.DUMMYFUNCTION("IMPORTRANGE(""https://docs.google.com/spreadsheets/d/1uUP8Zo1-qaJLuIkRU0qlwLSE3DHkbdrrj2JGJiWBQZE/edit?usp=sharing"",""อำนาจเจริญ!I159"")"),0)</f>
        <v>0</v>
      </c>
      <c r="S49" s="86">
        <f ca="1">IFERROR(__xludf.DUMMYFUNCTION("IMPORTRANGE(""https://docs.google.com/spreadsheets/d/1uUP8Zo1-qaJLuIkRU0qlwLSE3DHkbdrrj2JGJiWBQZE/edit?usp=sharing"",""อำนาจเจริญ!J159"")"),0)</f>
        <v>0</v>
      </c>
      <c r="T49" s="87">
        <f t="shared" ca="1" si="16"/>
        <v>0</v>
      </c>
    </row>
    <row r="50" spans="1:20" ht="21" customHeight="1" x14ac:dyDescent="0.2">
      <c r="A50" s="78">
        <v>19</v>
      </c>
      <c r="B50" s="79" t="s">
        <v>72</v>
      </c>
      <c r="C50" s="80">
        <f t="shared" ca="1" si="0"/>
        <v>10000</v>
      </c>
      <c r="D50" s="81">
        <f t="shared" ca="1" si="23"/>
        <v>10000</v>
      </c>
      <c r="E50" s="82">
        <f ca="1">IFERROR(__xludf.DUMMYFUNCTION("IMPORTRANGE(""https://docs.google.com/spreadsheets/d/1MeEWN-I1oV_STSDYn1IFDPWt_1FKiwhDph83XaGc0o0/edit?usp=sharing"",""งบพรบ!BV50"")"),0)</f>
        <v>0</v>
      </c>
      <c r="F50" s="82">
        <f ca="1">IFERROR(__xludf.DUMMYFUNCTION("IMPORTRANGE(""https://docs.google.com/spreadsheets/d/1MeEWN-I1oV_STSDYn1IFDPWt_1FKiwhDph83XaGc0o0/edit?usp=sharing"",""งบพรบ!BW50"")"),10000)</f>
        <v>10000</v>
      </c>
      <c r="G50" s="82">
        <f ca="1">IFERROR(__xludf.DUMMYFUNCTION("IMPORTRANGE(""https://docs.google.com/spreadsheets/d/1MeEWN-I1oV_STSDYn1IFDPWt_1FKiwhDph83XaGc0o0/edit?usp=sharing"",""งบพรบ!BX50"")"),0)</f>
        <v>0</v>
      </c>
      <c r="H50" s="82">
        <f ca="1">IFERROR(__xludf.DUMMYFUNCTION("IMPORTRANGE(""https://docs.google.com/spreadsheets/d/1MeEWN-I1oV_STSDYn1IFDPWt_1FKiwhDph83XaGc0o0/edit?usp=sharing"",""งบพรบ!BZ50"")"),23460)</f>
        <v>23460</v>
      </c>
      <c r="I50" s="82">
        <f ca="1">IFERROR(__xludf.DUMMYFUNCTION("IMPORTRANGE(""https://docs.google.com/spreadsheets/d/1MeEWN-I1oV_STSDYn1IFDPWt_1FKiwhDph83XaGc0o0/edit?usp=sharing"",""งบพรบ!CA50"")"),0)</f>
        <v>0</v>
      </c>
      <c r="J50" s="82">
        <f t="shared" ca="1" si="3"/>
        <v>17600</v>
      </c>
      <c r="K50" s="83">
        <f t="shared" ca="1" si="4"/>
        <v>176</v>
      </c>
      <c r="L50" s="82">
        <f ca="1">IFERROR(__xludf.DUMMYFUNCTION("IMPORTRANGE(""https://docs.google.com/spreadsheets/d/1MeEWN-I1oV_STSDYn1IFDPWt_1FKiwhDph83XaGc0o0/edit?usp=sharing"",""งบพรบ!CB50"")"),17600)</f>
        <v>17600</v>
      </c>
      <c r="M50" s="84">
        <f t="shared" ca="1" si="5"/>
        <v>176</v>
      </c>
      <c r="N50" s="84">
        <f t="shared" ca="1" si="6"/>
        <v>75.021312872975273</v>
      </c>
      <c r="O50" s="85">
        <f ca="1">IFERROR(__xludf.DUMMYFUNCTION("IMPORTRANGE(""https://docs.google.com/spreadsheets/d/1MeEWN-I1oV_STSDYn1IFDPWt_1FKiwhDph83XaGc0o0/edit?usp=sharing"",""งบพรบ!CC50"")"),0)</f>
        <v>0</v>
      </c>
      <c r="P50" s="85">
        <f t="shared" ca="1" si="18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IFERROR(__xludf.DUMMYFUNCTION("IMPORTRANGE(""https://docs.google.com/spreadsheets/d/1hb_taSOHanzRjqfzWPiFo8yiT83VV1L7vvUCLhOiHKc/edit?usp=sharing"",""อุดรธานี!I159"")"),20)</f>
        <v>20</v>
      </c>
      <c r="S50" s="86">
        <f ca="1">IFERROR(__xludf.DUMMYFUNCTION("IMPORTRANGE(""https://docs.google.com/spreadsheets/d/1hb_taSOHanzRjqfzWPiFo8yiT83VV1L7vvUCLhOiHKc/edit?usp=sharing"",""อุดรธานี!J159"")"),33)</f>
        <v>33</v>
      </c>
      <c r="T50" s="87">
        <f t="shared" ca="1" si="16"/>
        <v>165</v>
      </c>
    </row>
    <row r="51" spans="1:20" ht="21" customHeight="1" x14ac:dyDescent="0.2">
      <c r="A51" s="89">
        <v>20</v>
      </c>
      <c r="B51" s="90" t="s">
        <v>73</v>
      </c>
      <c r="C51" s="91">
        <f t="shared" ca="1" si="0"/>
        <v>0</v>
      </c>
      <c r="D51" s="92">
        <f t="shared" ca="1" si="23"/>
        <v>0</v>
      </c>
      <c r="E51" s="93">
        <f ca="1">IFERROR(__xludf.DUMMYFUNCTION("IMPORTRANGE(""https://docs.google.com/spreadsheets/d/1MeEWN-I1oV_STSDYn1IFDPWt_1FKiwhDph83XaGc0o0/edit?usp=sharing"",""งบพรบ!BV51"")"),0)</f>
        <v>0</v>
      </c>
      <c r="F51" s="93">
        <f ca="1">IFERROR(__xludf.DUMMYFUNCTION("IMPORTRANGE(""https://docs.google.com/spreadsheets/d/1MeEWN-I1oV_STSDYn1IFDPWt_1FKiwhDph83XaGc0o0/edit?usp=sharing"",""งบพรบ!BW51"")"),0)</f>
        <v>0</v>
      </c>
      <c r="G51" s="93">
        <f ca="1">IFERROR(__xludf.DUMMYFUNCTION("IMPORTRANGE(""https://docs.google.com/spreadsheets/d/1MeEWN-I1oV_STSDYn1IFDPWt_1FKiwhDph83XaGc0o0/edit?usp=sharing"",""งบพรบ!BX51"")"),0)</f>
        <v>0</v>
      </c>
      <c r="H51" s="93">
        <f ca="1">IFERROR(__xludf.DUMMYFUNCTION("IMPORTRANGE(""https://docs.google.com/spreadsheets/d/1MeEWN-I1oV_STSDYn1IFDPWt_1FKiwhDph83XaGc0o0/edit?usp=sharing"",""งบพรบ!BZ51"")"),0)</f>
        <v>0</v>
      </c>
      <c r="I51" s="93">
        <f ca="1">IFERROR(__xludf.DUMMYFUNCTION("IMPORTRANGE(""https://docs.google.com/spreadsheets/d/1MeEWN-I1oV_STSDYn1IFDPWt_1FKiwhDph83XaGc0o0/edit?usp=sharing"",""งบพรบ!CA51"")"),0)</f>
        <v>0</v>
      </c>
      <c r="J51" s="93">
        <f t="shared" ca="1" si="3"/>
        <v>0</v>
      </c>
      <c r="K51" s="94">
        <f t="shared" ca="1" si="4"/>
        <v>0</v>
      </c>
      <c r="L51" s="93">
        <f ca="1">IFERROR(__xludf.DUMMYFUNCTION("IMPORTRANGE(""https://docs.google.com/spreadsheets/d/1MeEWN-I1oV_STSDYn1IFDPWt_1FKiwhDph83XaGc0o0/edit?usp=sharing"",""งบพรบ!CB51"")"),0)</f>
        <v>0</v>
      </c>
      <c r="M51" s="95">
        <f t="shared" ca="1" si="5"/>
        <v>0</v>
      </c>
      <c r="N51" s="95">
        <f t="shared" ca="1" si="6"/>
        <v>0</v>
      </c>
      <c r="O51" s="96">
        <f ca="1">IFERROR(__xludf.DUMMYFUNCTION("IMPORTRANGE(""https://docs.google.com/spreadsheets/d/1MeEWN-I1oV_STSDYn1IFDPWt_1FKiwhDph83XaGc0o0/edit?usp=sharing"",""งบพรบ!CC51"")"),0)</f>
        <v>0</v>
      </c>
      <c r="P51" s="96">
        <f t="shared" ca="1" si="18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IFERROR(__xludf.DUMMYFUNCTION("IMPORTRANGE(""https://docs.google.com/spreadsheets/d/17IOkEwkUd63EGNfyNDnM5de9YlZ7rwzTiW6-dokVjKI/edit?usp=sharing"",""อุบลราชธานี!I159"")"),0)</f>
        <v>0</v>
      </c>
      <c r="S51" s="97">
        <f ca="1">IFERROR(__xludf.DUMMYFUNCTION("IMPORTRANGE(""https://docs.google.com/spreadsheets/d/17IOkEwkUd63EGNfyNDnM5de9YlZ7rwzTiW6-dokVjKI/edit?usp=sharing"",""อุบลราชธานี!J159"")"),0)</f>
        <v>0</v>
      </c>
      <c r="T51" s="98">
        <f t="shared" ca="1" si="16"/>
        <v>0</v>
      </c>
    </row>
    <row r="52" spans="1:20" ht="21" customHeight="1" x14ac:dyDescent="0.2">
      <c r="A52" s="380" t="s">
        <v>74</v>
      </c>
      <c r="B52" s="379"/>
      <c r="C52" s="99">
        <f t="shared" ca="1" si="0"/>
        <v>75000</v>
      </c>
      <c r="D52" s="62">
        <f t="shared" ref="D52:I52" ca="1" si="24">SUM(D53:D73)</f>
        <v>75000</v>
      </c>
      <c r="E52" s="62">
        <f t="shared" ca="1" si="24"/>
        <v>0</v>
      </c>
      <c r="F52" s="62">
        <f t="shared" ca="1" si="24"/>
        <v>75000</v>
      </c>
      <c r="G52" s="62">
        <f t="shared" ca="1" si="24"/>
        <v>0</v>
      </c>
      <c r="H52" s="62">
        <f t="shared" ca="1" si="24"/>
        <v>109450</v>
      </c>
      <c r="I52" s="62">
        <f t="shared" ca="1" si="24"/>
        <v>0</v>
      </c>
      <c r="J52" s="62">
        <f t="shared" ca="1" si="3"/>
        <v>44333.4</v>
      </c>
      <c r="K52" s="100">
        <f t="shared" ca="1" si="4"/>
        <v>59.111199999999997</v>
      </c>
      <c r="L52" s="62">
        <f ca="1">SUM(L53:L73)</f>
        <v>44333.4</v>
      </c>
      <c r="M52" s="101">
        <f t="shared" ca="1" si="5"/>
        <v>59.111199999999997</v>
      </c>
      <c r="N52" s="101">
        <f t="shared" ca="1" si="6"/>
        <v>40.505619004111466</v>
      </c>
      <c r="O52" s="102">
        <f ca="1">SUM(O53:O73)</f>
        <v>0</v>
      </c>
      <c r="P52" s="102">
        <f t="shared" ca="1" si="18"/>
        <v>0</v>
      </c>
      <c r="Q52" s="101">
        <f t="shared" ca="1" si="8"/>
        <v>0</v>
      </c>
      <c r="R52" s="62">
        <f t="shared" ref="R52:S52" ca="1" si="25">SUM(R53:R73)</f>
        <v>150</v>
      </c>
      <c r="S52" s="62">
        <f t="shared" ca="1" si="25"/>
        <v>45</v>
      </c>
      <c r="T52" s="101">
        <f t="shared" ca="1" si="16"/>
        <v>30</v>
      </c>
    </row>
    <row r="53" spans="1:20" ht="21" customHeight="1" x14ac:dyDescent="0.2">
      <c r="A53" s="68">
        <v>1</v>
      </c>
      <c r="B53" s="69" t="s">
        <v>75</v>
      </c>
      <c r="C53" s="103">
        <f t="shared" ca="1" si="0"/>
        <v>10000</v>
      </c>
      <c r="D53" s="71">
        <f t="shared" ref="D53:D73" ca="1" si="26">+E53+F53</f>
        <v>10000</v>
      </c>
      <c r="E53" s="72">
        <f ca="1">IFERROR(__xludf.DUMMYFUNCTION("IMPORTRANGE(""https://docs.google.com/spreadsheets/d/1MeEWN-I1oV_STSDYn1IFDPWt_1FKiwhDph83XaGc0o0/edit?usp=sharing"",""งบพรบ!BV53"")"),0)</f>
        <v>0</v>
      </c>
      <c r="F53" s="72">
        <f ca="1">IFERROR(__xludf.DUMMYFUNCTION("IMPORTRANGE(""https://docs.google.com/spreadsheets/d/1MeEWN-I1oV_STSDYn1IFDPWt_1FKiwhDph83XaGc0o0/edit?usp=sharing"",""งบพรบ!BW53"")"),10000)</f>
        <v>10000</v>
      </c>
      <c r="G53" s="73">
        <f ca="1">IFERROR(__xludf.DUMMYFUNCTION("IMPORTRANGE(""https://docs.google.com/spreadsheets/d/1MeEWN-I1oV_STSDYn1IFDPWt_1FKiwhDph83XaGc0o0/edit?usp=sharing"",""งบพรบ!BX53"")"),0)</f>
        <v>0</v>
      </c>
      <c r="H53" s="73">
        <f ca="1">IFERROR(__xludf.DUMMYFUNCTION("IMPORTRANGE(""https://docs.google.com/spreadsheets/d/1MeEWN-I1oV_STSDYn1IFDPWt_1FKiwhDph83XaGc0o0/edit?usp=sharing"",""งบพรบ!BZ53"")"),25180)</f>
        <v>25180</v>
      </c>
      <c r="I53" s="73">
        <f ca="1">IFERROR(__xludf.DUMMYFUNCTION("IMPORTRANGE(""https://docs.google.com/spreadsheets/d/1MeEWN-I1oV_STSDYn1IFDPWt_1FKiwhDph83XaGc0o0/edit?usp=sharing"",""งบพรบ!CA53"")"),0)</f>
        <v>0</v>
      </c>
      <c r="J53" s="73">
        <f t="shared" ca="1" si="3"/>
        <v>12378</v>
      </c>
      <c r="K53" s="74">
        <f t="shared" ca="1" si="4"/>
        <v>123.78</v>
      </c>
      <c r="L53" s="73">
        <f ca="1">IFERROR(__xludf.DUMMYFUNCTION("IMPORTRANGE(""https://docs.google.com/spreadsheets/d/1MeEWN-I1oV_STSDYn1IFDPWt_1FKiwhDph83XaGc0o0/edit?usp=sharing"",""งบพรบ!CB53"")"),12378)</f>
        <v>12378</v>
      </c>
      <c r="M53" s="75">
        <f t="shared" ca="1" si="5"/>
        <v>123.78</v>
      </c>
      <c r="N53" s="75">
        <f t="shared" ca="1" si="6"/>
        <v>49.158061953931693</v>
      </c>
      <c r="O53" s="76">
        <f ca="1">IFERROR(__xludf.DUMMYFUNCTION("IMPORTRANGE(""https://docs.google.com/spreadsheets/d/1MeEWN-I1oV_STSDYn1IFDPWt_1FKiwhDph83XaGc0o0/edit?usp=sharing"",""งบพรบ!CC53"")"),0)</f>
        <v>0</v>
      </c>
      <c r="P53" s="76">
        <f t="shared" ca="1" si="18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IFERROR(__xludf.DUMMYFUNCTION("IMPORTRANGE(""https://docs.google.com/spreadsheets/d/1hKO5uv94SSRZWOvrh72HRcpyoEQF9TsE_Cvxl77XNU4/edit?usp=sharing"",""กาญจนบุรี!I159"")"),20)</f>
        <v>20</v>
      </c>
      <c r="S53" s="73">
        <f ca="1">IFERROR(__xludf.DUMMYFUNCTION("IMPORTRANGE(""https://docs.google.com/spreadsheets/d/1hKO5uv94SSRZWOvrh72HRcpyoEQF9TsE_Cvxl77XNU4/edit?usp=sharing"",""กาญจนบุรี!J159"")"),20)</f>
        <v>20</v>
      </c>
      <c r="T53" s="77">
        <f t="shared" ca="1" si="16"/>
        <v>100</v>
      </c>
    </row>
    <row r="54" spans="1:20" ht="21" customHeight="1" x14ac:dyDescent="0.2">
      <c r="A54" s="78">
        <v>2</v>
      </c>
      <c r="B54" s="79" t="s">
        <v>76</v>
      </c>
      <c r="C54" s="80">
        <f t="shared" ca="1" si="0"/>
        <v>0</v>
      </c>
      <c r="D54" s="81">
        <f t="shared" ca="1" si="26"/>
        <v>0</v>
      </c>
      <c r="E54" s="82">
        <f ca="1">IFERROR(__xludf.DUMMYFUNCTION("IMPORTRANGE(""https://docs.google.com/spreadsheets/d/1MeEWN-I1oV_STSDYn1IFDPWt_1FKiwhDph83XaGc0o0/edit?usp=sharing"",""งบพรบ!BV54"")"),0)</f>
        <v>0</v>
      </c>
      <c r="F54" s="82">
        <f ca="1">IFERROR(__xludf.DUMMYFUNCTION("IMPORTRANGE(""https://docs.google.com/spreadsheets/d/1MeEWN-I1oV_STSDYn1IFDPWt_1FKiwhDph83XaGc0o0/edit?usp=sharing"",""งบพรบ!BW54"")"),0)</f>
        <v>0</v>
      </c>
      <c r="G54" s="82">
        <f ca="1">IFERROR(__xludf.DUMMYFUNCTION("IMPORTRANGE(""https://docs.google.com/spreadsheets/d/1MeEWN-I1oV_STSDYn1IFDPWt_1FKiwhDph83XaGc0o0/edit?usp=sharing"",""งบพรบ!BX54"")"),0)</f>
        <v>0</v>
      </c>
      <c r="H54" s="82">
        <f ca="1">IFERROR(__xludf.DUMMYFUNCTION("IMPORTRANGE(""https://docs.google.com/spreadsheets/d/1MeEWN-I1oV_STSDYn1IFDPWt_1FKiwhDph83XaGc0o0/edit?usp=sharing"",""งบพรบ!BZ54"")"),2240)</f>
        <v>2240</v>
      </c>
      <c r="I54" s="82">
        <f ca="1">IFERROR(__xludf.DUMMYFUNCTION("IMPORTRANGE(""https://docs.google.com/spreadsheets/d/1MeEWN-I1oV_STSDYn1IFDPWt_1FKiwhDph83XaGc0o0/edit?usp=sharing"",""งบพรบ!CA54"")"),0)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IFERROR(__xludf.DUMMYFUNCTION("IMPORTRANGE(""https://docs.google.com/spreadsheets/d/1MeEWN-I1oV_STSDYn1IFDPWt_1FKiwhDph83XaGc0o0/edit?usp=sharing"",""งบพรบ!CB54"")"),0)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IFERROR(__xludf.DUMMYFUNCTION("IMPORTRANGE(""https://docs.google.com/spreadsheets/d/1MeEWN-I1oV_STSDYn1IFDPWt_1FKiwhDph83XaGc0o0/edit?usp=sharing"",""งบพรบ!CC54"")"),0)</f>
        <v>0</v>
      </c>
      <c r="P54" s="85">
        <f t="shared" ca="1" si="18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IFERROR(__xludf.DUMMYFUNCTION("IMPORTRANGE(""https://docs.google.com/spreadsheets/d/1njBaP_xXd-Uotvo2D9zb01TTCFkLJLDK97Tk1l9Qux0/edit?usp=sharing"",""จันทบุรี!I159"")"),0)</f>
        <v>0</v>
      </c>
      <c r="S54" s="86">
        <f ca="1">IFERROR(__xludf.DUMMYFUNCTION("IMPORTRANGE(""https://docs.google.com/spreadsheets/d/1njBaP_xXd-Uotvo2D9zb01TTCFkLJLDK97Tk1l9Qux0/edit?usp=sharing"",""จันทบุรี!J159"")"),0)</f>
        <v>0</v>
      </c>
      <c r="T54" s="87">
        <f t="shared" ca="1" si="16"/>
        <v>0</v>
      </c>
    </row>
    <row r="55" spans="1:20" ht="21" customHeight="1" x14ac:dyDescent="0.2">
      <c r="A55" s="78">
        <v>3</v>
      </c>
      <c r="B55" s="79" t="s">
        <v>77</v>
      </c>
      <c r="C55" s="80">
        <f t="shared" ca="1" si="0"/>
        <v>10000</v>
      </c>
      <c r="D55" s="81">
        <f t="shared" ca="1" si="26"/>
        <v>10000</v>
      </c>
      <c r="E55" s="82">
        <f ca="1">IFERROR(__xludf.DUMMYFUNCTION("IMPORTRANGE(""https://docs.google.com/spreadsheets/d/1MeEWN-I1oV_STSDYn1IFDPWt_1FKiwhDph83XaGc0o0/edit?usp=sharing"",""งบพรบ!BV55"")"),0)</f>
        <v>0</v>
      </c>
      <c r="F55" s="82">
        <f ca="1">IFERROR(__xludf.DUMMYFUNCTION("IMPORTRANGE(""https://docs.google.com/spreadsheets/d/1MeEWN-I1oV_STSDYn1IFDPWt_1FKiwhDph83XaGc0o0/edit?usp=sharing"",""งบพรบ!BW55"")"),10000)</f>
        <v>10000</v>
      </c>
      <c r="G55" s="82">
        <f ca="1">IFERROR(__xludf.DUMMYFUNCTION("IMPORTRANGE(""https://docs.google.com/spreadsheets/d/1MeEWN-I1oV_STSDYn1IFDPWt_1FKiwhDph83XaGc0o0/edit?usp=sharing"",""งบพรบ!BX55"")"),0)</f>
        <v>0</v>
      </c>
      <c r="H55" s="82">
        <f ca="1">IFERROR(__xludf.DUMMYFUNCTION("IMPORTRANGE(""https://docs.google.com/spreadsheets/d/1MeEWN-I1oV_STSDYn1IFDPWt_1FKiwhDph83XaGc0o0/edit?usp=sharing"",""งบพรบ!BZ55"")"),11040)</f>
        <v>11040</v>
      </c>
      <c r="I55" s="82">
        <f ca="1">IFERROR(__xludf.DUMMYFUNCTION("IMPORTRANGE(""https://docs.google.com/spreadsheets/d/1MeEWN-I1oV_STSDYn1IFDPWt_1FKiwhDph83XaGc0o0/edit?usp=sharing"",""งบพรบ!CA55"")"),0)</f>
        <v>0</v>
      </c>
      <c r="J55" s="82">
        <f t="shared" ca="1" si="3"/>
        <v>4880</v>
      </c>
      <c r="K55" s="83">
        <f t="shared" ca="1" si="4"/>
        <v>48.8</v>
      </c>
      <c r="L55" s="82">
        <f ca="1">IFERROR(__xludf.DUMMYFUNCTION("IMPORTRANGE(""https://docs.google.com/spreadsheets/d/1MeEWN-I1oV_STSDYn1IFDPWt_1FKiwhDph83XaGc0o0/edit?usp=sharing"",""งบพรบ!CB55"")"),4880)</f>
        <v>4880</v>
      </c>
      <c r="M55" s="84">
        <f t="shared" ca="1" si="5"/>
        <v>48.8</v>
      </c>
      <c r="N55" s="84">
        <f t="shared" ca="1" si="6"/>
        <v>44.20289855072464</v>
      </c>
      <c r="O55" s="85">
        <f ca="1">IFERROR(__xludf.DUMMYFUNCTION("IMPORTRANGE(""https://docs.google.com/spreadsheets/d/1MeEWN-I1oV_STSDYn1IFDPWt_1FKiwhDph83XaGc0o0/edit?usp=sharing"",""งบพรบ!CC55"")"),0)</f>
        <v>0</v>
      </c>
      <c r="P55" s="85">
        <f t="shared" ca="1" si="18"/>
        <v>0</v>
      </c>
      <c r="Q55" s="84">
        <f t="shared" ca="1" si="8"/>
        <v>0</v>
      </c>
      <c r="R55" s="86">
        <f ca="1">IFERROR(__xludf.DUMMYFUNCTION("IMPORTRANGE(""https://docs.google.com/spreadsheets/d/14xp6qUzrGFnUk_qnc1eEmfiaNRd4_grkhpfQH_46fa8/edit?usp=sharing"",""ฉะเชิงเทรา!I159"")"),20)</f>
        <v>20</v>
      </c>
      <c r="S55" s="86">
        <f ca="1">IFERROR(__xludf.DUMMYFUNCTION("IMPORTRANGE(""https://docs.google.com/spreadsheets/d/14xp6qUzrGFnUk_qnc1eEmfiaNRd4_grkhpfQH_46fa8/edit?usp=sharing"",""ฉะเชิงเทรา!J159"")"),0)</f>
        <v>0</v>
      </c>
      <c r="T55" s="87">
        <f t="shared" ca="1" si="16"/>
        <v>0</v>
      </c>
    </row>
    <row r="56" spans="1:20" ht="21" customHeight="1" x14ac:dyDescent="0.2">
      <c r="A56" s="78">
        <v>4</v>
      </c>
      <c r="B56" s="79" t="s">
        <v>78</v>
      </c>
      <c r="C56" s="80">
        <f t="shared" ca="1" si="0"/>
        <v>0</v>
      </c>
      <c r="D56" s="81">
        <f t="shared" ca="1" si="26"/>
        <v>0</v>
      </c>
      <c r="E56" s="82">
        <f ca="1">IFERROR(__xludf.DUMMYFUNCTION("IMPORTRANGE(""https://docs.google.com/spreadsheets/d/1MeEWN-I1oV_STSDYn1IFDPWt_1FKiwhDph83XaGc0o0/edit?usp=sharing"",""งบพรบ!BV56"")"),0)</f>
        <v>0</v>
      </c>
      <c r="F56" s="82">
        <f ca="1">IFERROR(__xludf.DUMMYFUNCTION("IMPORTRANGE(""https://docs.google.com/spreadsheets/d/1MeEWN-I1oV_STSDYn1IFDPWt_1FKiwhDph83XaGc0o0/edit?usp=sharing"",""งบพรบ!BW56"")"),0)</f>
        <v>0</v>
      </c>
      <c r="G56" s="82">
        <f ca="1">IFERROR(__xludf.DUMMYFUNCTION("IMPORTRANGE(""https://docs.google.com/spreadsheets/d/1MeEWN-I1oV_STSDYn1IFDPWt_1FKiwhDph83XaGc0o0/edit?usp=sharing"",""งบพรบ!BX56"")"),0)</f>
        <v>0</v>
      </c>
      <c r="H56" s="82">
        <f ca="1">IFERROR(__xludf.DUMMYFUNCTION("IMPORTRANGE(""https://docs.google.com/spreadsheets/d/1MeEWN-I1oV_STSDYn1IFDPWt_1FKiwhDph83XaGc0o0/edit?usp=sharing"",""งบพรบ!BZ56"")"),0)</f>
        <v>0</v>
      </c>
      <c r="I56" s="82">
        <f ca="1">IFERROR(__xludf.DUMMYFUNCTION("IMPORTRANGE(""https://docs.google.com/spreadsheets/d/1MeEWN-I1oV_STSDYn1IFDPWt_1FKiwhDph83XaGc0o0/edit?usp=sharing"",""งบพรบ!CA56"")"),0)</f>
        <v>0</v>
      </c>
      <c r="J56" s="82">
        <f t="shared" ca="1" si="3"/>
        <v>0</v>
      </c>
      <c r="K56" s="83">
        <f t="shared" ca="1" si="4"/>
        <v>0</v>
      </c>
      <c r="L56" s="82">
        <f ca="1">IFERROR(__xludf.DUMMYFUNCTION("IMPORTRANGE(""https://docs.google.com/spreadsheets/d/1MeEWN-I1oV_STSDYn1IFDPWt_1FKiwhDph83XaGc0o0/edit?usp=sharing"",""งบพรบ!CB56"")"),0)</f>
        <v>0</v>
      </c>
      <c r="M56" s="84">
        <f t="shared" ca="1" si="5"/>
        <v>0</v>
      </c>
      <c r="N56" s="84">
        <f t="shared" ca="1" si="6"/>
        <v>0</v>
      </c>
      <c r="O56" s="85">
        <f ca="1">IFERROR(__xludf.DUMMYFUNCTION("IMPORTRANGE(""https://docs.google.com/spreadsheets/d/1MeEWN-I1oV_STSDYn1IFDPWt_1FKiwhDph83XaGc0o0/edit?usp=sharing"",""งบพรบ!CC56"")"),0)</f>
        <v>0</v>
      </c>
      <c r="P56" s="85">
        <f t="shared" ca="1" si="18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IFERROR(__xludf.DUMMYFUNCTION("IMPORTRANGE(""https://docs.google.com/spreadsheets/d/1_Zwps30dlVa-pZFsorjVf1Pil6WXwzCsJU0U2whO3NI/edit?usp=sharing"",""ชลบุรี!I159"")"),0)</f>
        <v>0</v>
      </c>
      <c r="S56" s="86">
        <f ca="1">IFERROR(__xludf.DUMMYFUNCTION("IMPORTRANGE(""https://docs.google.com/spreadsheets/d/1_Zwps30dlVa-pZFsorjVf1Pil6WXwzCsJU0U2whO3NI/edit?usp=sharing"",""ชลบุรี!J159"")"),0)</f>
        <v>0</v>
      </c>
      <c r="T56" s="87">
        <f t="shared" ca="1" si="16"/>
        <v>0</v>
      </c>
    </row>
    <row r="57" spans="1:20" ht="21" customHeight="1" x14ac:dyDescent="0.2">
      <c r="A57" s="78">
        <v>5</v>
      </c>
      <c r="B57" s="79" t="s">
        <v>79</v>
      </c>
      <c r="C57" s="80">
        <f t="shared" ca="1" si="0"/>
        <v>5000</v>
      </c>
      <c r="D57" s="81">
        <f t="shared" ca="1" si="26"/>
        <v>5000</v>
      </c>
      <c r="E57" s="82">
        <f ca="1">IFERROR(__xludf.DUMMYFUNCTION("IMPORTRANGE(""https://docs.google.com/spreadsheets/d/1MeEWN-I1oV_STSDYn1IFDPWt_1FKiwhDph83XaGc0o0/edit?usp=sharing"",""งบพรบ!BV57"")"),0)</f>
        <v>0</v>
      </c>
      <c r="F57" s="82">
        <f ca="1">IFERROR(__xludf.DUMMYFUNCTION("IMPORTRANGE(""https://docs.google.com/spreadsheets/d/1MeEWN-I1oV_STSDYn1IFDPWt_1FKiwhDph83XaGc0o0/edit?usp=sharing"",""งบพรบ!BW57"")"),5000)</f>
        <v>5000</v>
      </c>
      <c r="G57" s="82">
        <f ca="1">IFERROR(__xludf.DUMMYFUNCTION("IMPORTRANGE(""https://docs.google.com/spreadsheets/d/1MeEWN-I1oV_STSDYn1IFDPWt_1FKiwhDph83XaGc0o0/edit?usp=sharing"",""งบพรบ!BX57"")"),0)</f>
        <v>0</v>
      </c>
      <c r="H57" s="82">
        <f ca="1">IFERROR(__xludf.DUMMYFUNCTION("IMPORTRANGE(""https://docs.google.com/spreadsheets/d/1MeEWN-I1oV_STSDYn1IFDPWt_1FKiwhDph83XaGc0o0/edit?usp=sharing"",""งบพรบ!BZ57"")"),5000)</f>
        <v>5000</v>
      </c>
      <c r="I57" s="82">
        <f ca="1">IFERROR(__xludf.DUMMYFUNCTION("IMPORTRANGE(""https://docs.google.com/spreadsheets/d/1MeEWN-I1oV_STSDYn1IFDPWt_1FKiwhDph83XaGc0o0/edit?usp=sharing"",""งบพรบ!CA57"")"),0)</f>
        <v>0</v>
      </c>
      <c r="J57" s="82">
        <f t="shared" ca="1" si="3"/>
        <v>0</v>
      </c>
      <c r="K57" s="83">
        <f t="shared" ca="1" si="4"/>
        <v>0</v>
      </c>
      <c r="L57" s="82">
        <f ca="1">IFERROR(__xludf.DUMMYFUNCTION("IMPORTRANGE(""https://docs.google.com/spreadsheets/d/1MeEWN-I1oV_STSDYn1IFDPWt_1FKiwhDph83XaGc0o0/edit?usp=sharing"",""งบพรบ!CB57"")"),0)</f>
        <v>0</v>
      </c>
      <c r="M57" s="84">
        <f t="shared" ca="1" si="5"/>
        <v>0</v>
      </c>
      <c r="N57" s="84">
        <f t="shared" ca="1" si="6"/>
        <v>0</v>
      </c>
      <c r="O57" s="85">
        <f ca="1">IFERROR(__xludf.DUMMYFUNCTION("IMPORTRANGE(""https://docs.google.com/spreadsheets/d/1MeEWN-I1oV_STSDYn1IFDPWt_1FKiwhDph83XaGc0o0/edit?usp=sharing"",""งบพรบ!CC57"")"),0)</f>
        <v>0</v>
      </c>
      <c r="P57" s="85">
        <f t="shared" ca="1" si="18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IFERROR(__xludf.DUMMYFUNCTION("IMPORTRANGE(""https://docs.google.com/spreadsheets/d/1xAsT4sUbBlom7l0acStESh_15nvjZcXjZM7fK5uZSq8/edit?usp=sharing"",""ชัยนาท!I159"")"),10)</f>
        <v>10</v>
      </c>
      <c r="S57" s="86">
        <f ca="1">IFERROR(__xludf.DUMMYFUNCTION("IMPORTRANGE(""https://docs.google.com/spreadsheets/d/1xAsT4sUbBlom7l0acStESh_15nvjZcXjZM7fK5uZSq8/edit?usp=sharing"",""ชัยนาท!J159"")"),0)</f>
        <v>0</v>
      </c>
      <c r="T57" s="87">
        <f t="shared" ca="1" si="16"/>
        <v>0</v>
      </c>
    </row>
    <row r="58" spans="1:20" ht="21" customHeight="1" x14ac:dyDescent="0.2">
      <c r="A58" s="78">
        <v>6</v>
      </c>
      <c r="B58" s="79" t="s">
        <v>80</v>
      </c>
      <c r="C58" s="80">
        <f t="shared" ca="1" si="0"/>
        <v>0</v>
      </c>
      <c r="D58" s="81">
        <f t="shared" ca="1" si="26"/>
        <v>0</v>
      </c>
      <c r="E58" s="82">
        <f ca="1">IFERROR(__xludf.DUMMYFUNCTION("IMPORTRANGE(""https://docs.google.com/spreadsheets/d/1MeEWN-I1oV_STSDYn1IFDPWt_1FKiwhDph83XaGc0o0/edit?usp=sharing"",""งบพรบ!BV58"")"),0)</f>
        <v>0</v>
      </c>
      <c r="F58" s="82">
        <f ca="1">IFERROR(__xludf.DUMMYFUNCTION("IMPORTRANGE(""https://docs.google.com/spreadsheets/d/1MeEWN-I1oV_STSDYn1IFDPWt_1FKiwhDph83XaGc0o0/edit?usp=sharing"",""งบพรบ!BW58"")"),0)</f>
        <v>0</v>
      </c>
      <c r="G58" s="82">
        <f ca="1">IFERROR(__xludf.DUMMYFUNCTION("IMPORTRANGE(""https://docs.google.com/spreadsheets/d/1MeEWN-I1oV_STSDYn1IFDPWt_1FKiwhDph83XaGc0o0/edit?usp=sharing"",""งบพรบ!BX58"")"),0)</f>
        <v>0</v>
      </c>
      <c r="H58" s="82">
        <f ca="1">IFERROR(__xludf.DUMMYFUNCTION("IMPORTRANGE(""https://docs.google.com/spreadsheets/d/1MeEWN-I1oV_STSDYn1IFDPWt_1FKiwhDph83XaGc0o0/edit?usp=sharing"",""งบพรบ!BZ58"")"),0)</f>
        <v>0</v>
      </c>
      <c r="I58" s="82">
        <f ca="1">IFERROR(__xludf.DUMMYFUNCTION("IMPORTRANGE(""https://docs.google.com/spreadsheets/d/1MeEWN-I1oV_STSDYn1IFDPWt_1FKiwhDph83XaGc0o0/edit?usp=sharing"",""งบพรบ!CA58"")"),0)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IFERROR(__xludf.DUMMYFUNCTION("IMPORTRANGE(""https://docs.google.com/spreadsheets/d/1MeEWN-I1oV_STSDYn1IFDPWt_1FKiwhDph83XaGc0o0/edit?usp=sharing"",""งบพรบ!CB58"")"),0)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IFERROR(__xludf.DUMMYFUNCTION("IMPORTRANGE(""https://docs.google.com/spreadsheets/d/1MeEWN-I1oV_STSDYn1IFDPWt_1FKiwhDph83XaGc0o0/edit?usp=sharing"",""งบพรบ!CC58"")"),0)</f>
        <v>0</v>
      </c>
      <c r="P58" s="85">
        <f t="shared" ca="1" si="18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IFERROR(__xludf.DUMMYFUNCTION("IMPORTRANGE(""https://docs.google.com/spreadsheets/d/1vWPVBOAaZ6mHSI8yf95DNqHwTJ1cpeFsvqt6cxV34QA/edit?usp=sharing"",""ตราด!I159"")"),0)</f>
        <v>0</v>
      </c>
      <c r="S58" s="86">
        <f ca="1">IFERROR(__xludf.DUMMYFUNCTION("IMPORTRANGE(""https://docs.google.com/spreadsheets/d/1vWPVBOAaZ6mHSI8yf95DNqHwTJ1cpeFsvqt6cxV34QA/edit?usp=sharing"",""ตราด!J159"")"),0)</f>
        <v>0</v>
      </c>
      <c r="T58" s="87">
        <f t="shared" ca="1" si="16"/>
        <v>0</v>
      </c>
    </row>
    <row r="59" spans="1:20" ht="21" customHeight="1" x14ac:dyDescent="0.2">
      <c r="A59" s="78">
        <v>7</v>
      </c>
      <c r="B59" s="79" t="s">
        <v>81</v>
      </c>
      <c r="C59" s="80">
        <f t="shared" ca="1" si="0"/>
        <v>0</v>
      </c>
      <c r="D59" s="81">
        <f t="shared" ca="1" si="26"/>
        <v>0</v>
      </c>
      <c r="E59" s="82">
        <f ca="1">IFERROR(__xludf.DUMMYFUNCTION("IMPORTRANGE(""https://docs.google.com/spreadsheets/d/1MeEWN-I1oV_STSDYn1IFDPWt_1FKiwhDph83XaGc0o0/edit?usp=sharing"",""งบพรบ!BV59"")"),0)</f>
        <v>0</v>
      </c>
      <c r="F59" s="82">
        <f ca="1">IFERROR(__xludf.DUMMYFUNCTION("IMPORTRANGE(""https://docs.google.com/spreadsheets/d/1MeEWN-I1oV_STSDYn1IFDPWt_1FKiwhDph83XaGc0o0/edit?usp=sharing"",""งบพรบ!BW59"")"),0)</f>
        <v>0</v>
      </c>
      <c r="G59" s="82">
        <f ca="1">IFERROR(__xludf.DUMMYFUNCTION("IMPORTRANGE(""https://docs.google.com/spreadsheets/d/1MeEWN-I1oV_STSDYn1IFDPWt_1FKiwhDph83XaGc0o0/edit?usp=sharing"",""งบพรบ!BX59"")"),0)</f>
        <v>0</v>
      </c>
      <c r="H59" s="82">
        <f ca="1">IFERROR(__xludf.DUMMYFUNCTION("IMPORTRANGE(""https://docs.google.com/spreadsheets/d/1MeEWN-I1oV_STSDYn1IFDPWt_1FKiwhDph83XaGc0o0/edit?usp=sharing"",""งบพรบ!BZ59"")"),0)</f>
        <v>0</v>
      </c>
      <c r="I59" s="82">
        <f ca="1">IFERROR(__xludf.DUMMYFUNCTION("IMPORTRANGE(""https://docs.google.com/spreadsheets/d/1MeEWN-I1oV_STSDYn1IFDPWt_1FKiwhDph83XaGc0o0/edit?usp=sharing"",""งบพรบ!CA59"")"),0)</f>
        <v>0</v>
      </c>
      <c r="J59" s="82">
        <f t="shared" ca="1" si="3"/>
        <v>0</v>
      </c>
      <c r="K59" s="83">
        <f t="shared" ca="1" si="4"/>
        <v>0</v>
      </c>
      <c r="L59" s="82">
        <f ca="1">IFERROR(__xludf.DUMMYFUNCTION("IMPORTRANGE(""https://docs.google.com/spreadsheets/d/1MeEWN-I1oV_STSDYn1IFDPWt_1FKiwhDph83XaGc0o0/edit?usp=sharing"",""งบพรบ!CB59"")"),0)</f>
        <v>0</v>
      </c>
      <c r="M59" s="84">
        <f t="shared" ca="1" si="5"/>
        <v>0</v>
      </c>
      <c r="N59" s="84">
        <f t="shared" ca="1" si="6"/>
        <v>0</v>
      </c>
      <c r="O59" s="85">
        <f ca="1">IFERROR(__xludf.DUMMYFUNCTION("IMPORTRANGE(""https://docs.google.com/spreadsheets/d/1MeEWN-I1oV_STSDYn1IFDPWt_1FKiwhDph83XaGc0o0/edit?usp=sharing"",""งบพรบ!CC59"")"),0)</f>
        <v>0</v>
      </c>
      <c r="P59" s="85">
        <f t="shared" ca="1" si="18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IFERROR(__xludf.DUMMYFUNCTION("IMPORTRANGE(""https://docs.google.com/spreadsheets/d/1phaeSb9lTGgzDpbvVqI9hfmOQQzUom07-HEvpbARzEg/edit?usp=sharing"",""นครนายก!I159"")"),0)</f>
        <v>0</v>
      </c>
      <c r="S59" s="86">
        <f ca="1">IFERROR(__xludf.DUMMYFUNCTION("IMPORTRANGE(""https://docs.google.com/spreadsheets/d/1phaeSb9lTGgzDpbvVqI9hfmOQQzUom07-HEvpbARzEg/edit?usp=sharing"",""นครนายก!J159"")"),0)</f>
        <v>0</v>
      </c>
      <c r="T59" s="87">
        <f t="shared" ca="1" si="16"/>
        <v>0</v>
      </c>
    </row>
    <row r="60" spans="1:20" ht="21" customHeight="1" x14ac:dyDescent="0.2">
      <c r="A60" s="78">
        <v>8</v>
      </c>
      <c r="B60" s="79" t="s">
        <v>82</v>
      </c>
      <c r="C60" s="80">
        <f t="shared" ca="1" si="0"/>
        <v>0</v>
      </c>
      <c r="D60" s="81">
        <f t="shared" ca="1" si="26"/>
        <v>0</v>
      </c>
      <c r="E60" s="82">
        <f ca="1">IFERROR(__xludf.DUMMYFUNCTION("IMPORTRANGE(""https://docs.google.com/spreadsheets/d/1MeEWN-I1oV_STSDYn1IFDPWt_1FKiwhDph83XaGc0o0/edit?usp=sharing"",""งบพรบ!BV60"")"),0)</f>
        <v>0</v>
      </c>
      <c r="F60" s="82">
        <f ca="1">IFERROR(__xludf.DUMMYFUNCTION("IMPORTRANGE(""https://docs.google.com/spreadsheets/d/1MeEWN-I1oV_STSDYn1IFDPWt_1FKiwhDph83XaGc0o0/edit?usp=sharing"",""งบพรบ!BW60"")"),0)</f>
        <v>0</v>
      </c>
      <c r="G60" s="82">
        <f ca="1">IFERROR(__xludf.DUMMYFUNCTION("IMPORTRANGE(""https://docs.google.com/spreadsheets/d/1MeEWN-I1oV_STSDYn1IFDPWt_1FKiwhDph83XaGc0o0/edit?usp=sharing"",""งบพรบ!BX60"")"),0)</f>
        <v>0</v>
      </c>
      <c r="H60" s="82">
        <f ca="1">IFERROR(__xludf.DUMMYFUNCTION("IMPORTRANGE(""https://docs.google.com/spreadsheets/d/1MeEWN-I1oV_STSDYn1IFDPWt_1FKiwhDph83XaGc0o0/edit?usp=sharing"",""งบพรบ!BZ60"")"),0)</f>
        <v>0</v>
      </c>
      <c r="I60" s="82">
        <f ca="1">IFERROR(__xludf.DUMMYFUNCTION("IMPORTRANGE(""https://docs.google.com/spreadsheets/d/1MeEWN-I1oV_STSDYn1IFDPWt_1FKiwhDph83XaGc0o0/edit?usp=sharing"",""งบพรบ!CA60"")"),0)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IFERROR(__xludf.DUMMYFUNCTION("IMPORTRANGE(""https://docs.google.com/spreadsheets/d/1MeEWN-I1oV_STSDYn1IFDPWt_1FKiwhDph83XaGc0o0/edit?usp=sharing"",""งบพรบ!CB60"")"),0)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IFERROR(__xludf.DUMMYFUNCTION("IMPORTRANGE(""https://docs.google.com/spreadsheets/d/1MeEWN-I1oV_STSDYn1IFDPWt_1FKiwhDph83XaGc0o0/edit?usp=sharing"",""งบพรบ!CC60"")"),0)</f>
        <v>0</v>
      </c>
      <c r="P60" s="85">
        <f t="shared" ca="1" si="18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IFERROR(__xludf.DUMMYFUNCTION("IMPORTRANGE(""https://docs.google.com/spreadsheets/d/1tpwhWwkqkBeiSWCcfB5f2fbwPRbM9hHOEDSDHpl2MIc/edit?usp=sharing"",""นครปฐม!I159"")"),0)</f>
        <v>0</v>
      </c>
      <c r="S60" s="86">
        <f ca="1">IFERROR(__xludf.DUMMYFUNCTION("IMPORTRANGE(""https://docs.google.com/spreadsheets/d/1tpwhWwkqkBeiSWCcfB5f2fbwPRbM9hHOEDSDHpl2MIc/edit?usp=sharing"",""นครปฐม!J159"")"),0)</f>
        <v>0</v>
      </c>
      <c r="T60" s="87">
        <f t="shared" ca="1" si="16"/>
        <v>0</v>
      </c>
    </row>
    <row r="61" spans="1:20" ht="21" customHeight="1" x14ac:dyDescent="0.2">
      <c r="A61" s="78">
        <v>9</v>
      </c>
      <c r="B61" s="79" t="s">
        <v>83</v>
      </c>
      <c r="C61" s="80">
        <f t="shared" ca="1" si="0"/>
        <v>0</v>
      </c>
      <c r="D61" s="81">
        <f t="shared" ca="1" si="26"/>
        <v>0</v>
      </c>
      <c r="E61" s="82">
        <f ca="1">IFERROR(__xludf.DUMMYFUNCTION("IMPORTRANGE(""https://docs.google.com/spreadsheets/d/1MeEWN-I1oV_STSDYn1IFDPWt_1FKiwhDph83XaGc0o0/edit?usp=sharing"",""งบพรบ!BV61"")"),0)</f>
        <v>0</v>
      </c>
      <c r="F61" s="82">
        <f ca="1">IFERROR(__xludf.DUMMYFUNCTION("IMPORTRANGE(""https://docs.google.com/spreadsheets/d/1MeEWN-I1oV_STSDYn1IFDPWt_1FKiwhDph83XaGc0o0/edit?usp=sharing"",""งบพรบ!BW61"")"),0)</f>
        <v>0</v>
      </c>
      <c r="G61" s="82">
        <f ca="1">IFERROR(__xludf.DUMMYFUNCTION("IMPORTRANGE(""https://docs.google.com/spreadsheets/d/1MeEWN-I1oV_STSDYn1IFDPWt_1FKiwhDph83XaGc0o0/edit?usp=sharing"",""งบพรบ!BX61"")"),0)</f>
        <v>0</v>
      </c>
      <c r="H61" s="82">
        <f ca="1">IFERROR(__xludf.DUMMYFUNCTION("IMPORTRANGE(""https://docs.google.com/spreadsheets/d/1MeEWN-I1oV_STSDYn1IFDPWt_1FKiwhDph83XaGc0o0/edit?usp=sharing"",""งบพรบ!BZ61"")"),0)</f>
        <v>0</v>
      </c>
      <c r="I61" s="82">
        <f ca="1">IFERROR(__xludf.DUMMYFUNCTION("IMPORTRANGE(""https://docs.google.com/spreadsheets/d/1MeEWN-I1oV_STSDYn1IFDPWt_1FKiwhDph83XaGc0o0/edit?usp=sharing"",""งบพรบ!CA61"")"),0)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IFERROR(__xludf.DUMMYFUNCTION("IMPORTRANGE(""https://docs.google.com/spreadsheets/d/1MeEWN-I1oV_STSDYn1IFDPWt_1FKiwhDph83XaGc0o0/edit?usp=sharing"",""งบพรบ!CB61"")"),0)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IFERROR(__xludf.DUMMYFUNCTION("IMPORTRANGE(""https://docs.google.com/spreadsheets/d/1MeEWN-I1oV_STSDYn1IFDPWt_1FKiwhDph83XaGc0o0/edit?usp=sharing"",""งบพรบ!CC61"")"),0)</f>
        <v>0</v>
      </c>
      <c r="P61" s="85">
        <f t="shared" ca="1" si="18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IFERROR(__xludf.DUMMYFUNCTION("IMPORTRANGE(""https://docs.google.com/spreadsheets/d/1fJJCVBkBnhriyv0Cp5ZFMr0I_yrfdEITNpb4zILJgUQ/edit?usp=sharing"",""ปทุมธานี!I159"")"),0)</f>
        <v>0</v>
      </c>
      <c r="S61" s="86">
        <f ca="1">IFERROR(__xludf.DUMMYFUNCTION("IMPORTRANGE(""https://docs.google.com/spreadsheets/d/1fJJCVBkBnhriyv0Cp5ZFMr0I_yrfdEITNpb4zILJgUQ/edit?usp=sharing"",""ปทุมธานี!J159"")"),0)</f>
        <v>0</v>
      </c>
      <c r="T61" s="87">
        <f t="shared" ca="1" si="16"/>
        <v>0</v>
      </c>
    </row>
    <row r="62" spans="1:20" ht="21" customHeight="1" x14ac:dyDescent="0.2">
      <c r="A62" s="78">
        <v>10</v>
      </c>
      <c r="B62" s="79" t="s">
        <v>84</v>
      </c>
      <c r="C62" s="80">
        <f t="shared" ca="1" si="0"/>
        <v>10000</v>
      </c>
      <c r="D62" s="81">
        <f t="shared" ca="1" si="26"/>
        <v>10000</v>
      </c>
      <c r="E62" s="82">
        <f ca="1">IFERROR(__xludf.DUMMYFUNCTION("IMPORTRANGE(""https://docs.google.com/spreadsheets/d/1MeEWN-I1oV_STSDYn1IFDPWt_1FKiwhDph83XaGc0o0/edit?usp=sharing"",""งบพรบ!BV62"")"),0)</f>
        <v>0</v>
      </c>
      <c r="F62" s="82">
        <f ca="1">IFERROR(__xludf.DUMMYFUNCTION("IMPORTRANGE(""https://docs.google.com/spreadsheets/d/1MeEWN-I1oV_STSDYn1IFDPWt_1FKiwhDph83XaGc0o0/edit?usp=sharing"",""งบพรบ!BW62"")"),10000)</f>
        <v>10000</v>
      </c>
      <c r="G62" s="82">
        <f ca="1">IFERROR(__xludf.DUMMYFUNCTION("IMPORTRANGE(""https://docs.google.com/spreadsheets/d/1MeEWN-I1oV_STSDYn1IFDPWt_1FKiwhDph83XaGc0o0/edit?usp=sharing"",""งบพรบ!BX62"")"),0)</f>
        <v>0</v>
      </c>
      <c r="H62" s="82">
        <f ca="1">IFERROR(__xludf.DUMMYFUNCTION("IMPORTRANGE(""https://docs.google.com/spreadsheets/d/1MeEWN-I1oV_STSDYn1IFDPWt_1FKiwhDph83XaGc0o0/edit?usp=sharing"",""งบพรบ!BZ62"")"),10000)</f>
        <v>10000</v>
      </c>
      <c r="I62" s="82">
        <f ca="1">IFERROR(__xludf.DUMMYFUNCTION("IMPORTRANGE(""https://docs.google.com/spreadsheets/d/1MeEWN-I1oV_STSDYn1IFDPWt_1FKiwhDph83XaGc0o0/edit?usp=sharing"",""งบพรบ!CA62"")"),0)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IFERROR(__xludf.DUMMYFUNCTION("IMPORTRANGE(""https://docs.google.com/spreadsheets/d/1MeEWN-I1oV_STSDYn1IFDPWt_1FKiwhDph83XaGc0o0/edit?usp=sharing"",""งบพรบ!CB62"")"),0)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IFERROR(__xludf.DUMMYFUNCTION("IMPORTRANGE(""https://docs.google.com/spreadsheets/d/1MeEWN-I1oV_STSDYn1IFDPWt_1FKiwhDph83XaGc0o0/edit?usp=sharing"",""งบพรบ!CC62"")"),0)</f>
        <v>0</v>
      </c>
      <c r="P62" s="85">
        <f t="shared" ca="1" si="18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IFERROR(__xludf.DUMMYFUNCTION("IMPORTRANGE(""https://docs.google.com/spreadsheets/d/1W5Jj_S0gYw6wSO7QcMI02YgyOBDKYgmm0NSUk-AQEac/edit?usp=sharing"",""ประจวบคีรีขันธ์!I159"")"),20)</f>
        <v>20</v>
      </c>
      <c r="S62" s="86">
        <f ca="1">IFERROR(__xludf.DUMMYFUNCTION("IMPORTRANGE(""https://docs.google.com/spreadsheets/d/1W5Jj_S0gYw6wSO7QcMI02YgyOBDKYgmm0NSUk-AQEac/edit?usp=sharing"",""ประจวบคีรีขันธ์!J159"")"),0)</f>
        <v>0</v>
      </c>
      <c r="T62" s="87">
        <f t="shared" ca="1" si="16"/>
        <v>0</v>
      </c>
    </row>
    <row r="63" spans="1:20" ht="21" customHeight="1" x14ac:dyDescent="0.2">
      <c r="A63" s="78">
        <v>11</v>
      </c>
      <c r="B63" s="79" t="s">
        <v>85</v>
      </c>
      <c r="C63" s="80">
        <f t="shared" ca="1" si="0"/>
        <v>0</v>
      </c>
      <c r="D63" s="81">
        <f t="shared" ca="1" si="26"/>
        <v>0</v>
      </c>
      <c r="E63" s="82">
        <f ca="1">IFERROR(__xludf.DUMMYFUNCTION("IMPORTRANGE(""https://docs.google.com/spreadsheets/d/1MeEWN-I1oV_STSDYn1IFDPWt_1FKiwhDph83XaGc0o0/edit?usp=sharing"",""งบพรบ!BV63"")"),0)</f>
        <v>0</v>
      </c>
      <c r="F63" s="82">
        <f ca="1">IFERROR(__xludf.DUMMYFUNCTION("IMPORTRANGE(""https://docs.google.com/spreadsheets/d/1MeEWN-I1oV_STSDYn1IFDPWt_1FKiwhDph83XaGc0o0/edit?usp=sharing"",""งบพรบ!BW63"")"),0)</f>
        <v>0</v>
      </c>
      <c r="G63" s="82">
        <f ca="1">IFERROR(__xludf.DUMMYFUNCTION("IMPORTRANGE(""https://docs.google.com/spreadsheets/d/1MeEWN-I1oV_STSDYn1IFDPWt_1FKiwhDph83XaGc0o0/edit?usp=sharing"",""งบพรบ!BX63"")"),0)</f>
        <v>0</v>
      </c>
      <c r="H63" s="82">
        <f ca="1">IFERROR(__xludf.DUMMYFUNCTION("IMPORTRANGE(""https://docs.google.com/spreadsheets/d/1MeEWN-I1oV_STSDYn1IFDPWt_1FKiwhDph83XaGc0o0/edit?usp=sharing"",""งบพรบ!BZ63"")"),1680)</f>
        <v>1680</v>
      </c>
      <c r="I63" s="82">
        <f ca="1">IFERROR(__xludf.DUMMYFUNCTION("IMPORTRANGE(""https://docs.google.com/spreadsheets/d/1MeEWN-I1oV_STSDYn1IFDPWt_1FKiwhDph83XaGc0o0/edit?usp=sharing"",""งบพรบ!CA63"")"),0)</f>
        <v>0</v>
      </c>
      <c r="J63" s="82">
        <f t="shared" ca="1" si="3"/>
        <v>0</v>
      </c>
      <c r="K63" s="83">
        <f t="shared" ca="1" si="4"/>
        <v>0</v>
      </c>
      <c r="L63" s="82">
        <f ca="1">IFERROR(__xludf.DUMMYFUNCTION("IMPORTRANGE(""https://docs.google.com/spreadsheets/d/1MeEWN-I1oV_STSDYn1IFDPWt_1FKiwhDph83XaGc0o0/edit?usp=sharing"",""งบพรบ!CB63"")"),0)</f>
        <v>0</v>
      </c>
      <c r="M63" s="84">
        <f t="shared" ca="1" si="5"/>
        <v>0</v>
      </c>
      <c r="N63" s="84">
        <f t="shared" ca="1" si="6"/>
        <v>0</v>
      </c>
      <c r="O63" s="85">
        <f ca="1">IFERROR(__xludf.DUMMYFUNCTION("IMPORTRANGE(""https://docs.google.com/spreadsheets/d/1MeEWN-I1oV_STSDYn1IFDPWt_1FKiwhDph83XaGc0o0/edit?usp=sharing"",""งบพรบ!CC63"")"),0)</f>
        <v>0</v>
      </c>
      <c r="P63" s="85">
        <f t="shared" ca="1" si="18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IFERROR(__xludf.DUMMYFUNCTION("IMPORTRANGE(""https://docs.google.com/spreadsheets/d/1nYxRXgnCfTXtqUY1otYuTlnrzE0Tn-Y0YRsW5pkRVqo/edit?usp=sharing"",""ปราจีนบุรี!I159"")"),0)</f>
        <v>0</v>
      </c>
      <c r="S63" s="86">
        <f ca="1">IFERROR(__xludf.DUMMYFUNCTION("IMPORTRANGE(""https://docs.google.com/spreadsheets/d/1nYxRXgnCfTXtqUY1otYuTlnrzE0Tn-Y0YRsW5pkRVqo/edit?usp=sharing"",""ปราจีนบุรี!J159"")"),0)</f>
        <v>0</v>
      </c>
      <c r="T63" s="87">
        <f t="shared" ca="1" si="16"/>
        <v>0</v>
      </c>
    </row>
    <row r="64" spans="1:20" ht="21" customHeight="1" x14ac:dyDescent="0.2">
      <c r="A64" s="78">
        <v>12</v>
      </c>
      <c r="B64" s="79" t="s">
        <v>86</v>
      </c>
      <c r="C64" s="80">
        <f t="shared" ca="1" si="0"/>
        <v>5000</v>
      </c>
      <c r="D64" s="81">
        <f t="shared" ca="1" si="26"/>
        <v>5000</v>
      </c>
      <c r="E64" s="82">
        <f ca="1">IFERROR(__xludf.DUMMYFUNCTION("IMPORTRANGE(""https://docs.google.com/spreadsheets/d/1MeEWN-I1oV_STSDYn1IFDPWt_1FKiwhDph83XaGc0o0/edit?usp=sharing"",""งบพรบ!BV64"")"),0)</f>
        <v>0</v>
      </c>
      <c r="F64" s="82">
        <f ca="1">IFERROR(__xludf.DUMMYFUNCTION("IMPORTRANGE(""https://docs.google.com/spreadsheets/d/1MeEWN-I1oV_STSDYn1IFDPWt_1FKiwhDph83XaGc0o0/edit?usp=sharing"",""งบพรบ!BW64"")"),5000)</f>
        <v>5000</v>
      </c>
      <c r="G64" s="82">
        <f ca="1">IFERROR(__xludf.DUMMYFUNCTION("IMPORTRANGE(""https://docs.google.com/spreadsheets/d/1MeEWN-I1oV_STSDYn1IFDPWt_1FKiwhDph83XaGc0o0/edit?usp=sharing"",""งบพรบ!BX64"")"),0)</f>
        <v>0</v>
      </c>
      <c r="H64" s="82">
        <f ca="1">IFERROR(__xludf.DUMMYFUNCTION("IMPORTRANGE(""https://docs.google.com/spreadsheets/d/1MeEWN-I1oV_STSDYn1IFDPWt_1FKiwhDph83XaGc0o0/edit?usp=sharing"",""งบพรบ!BZ64"")"),14910)</f>
        <v>14910</v>
      </c>
      <c r="I64" s="82">
        <f ca="1">IFERROR(__xludf.DUMMYFUNCTION("IMPORTRANGE(""https://docs.google.com/spreadsheets/d/1MeEWN-I1oV_STSDYn1IFDPWt_1FKiwhDph83XaGc0o0/edit?usp=sharing"",""งบพรบ!CA64"")"),0)</f>
        <v>0</v>
      </c>
      <c r="J64" s="82">
        <f t="shared" ca="1" si="3"/>
        <v>14755.4</v>
      </c>
      <c r="K64" s="83">
        <f t="shared" ca="1" si="4"/>
        <v>295.108</v>
      </c>
      <c r="L64" s="82">
        <f ca="1">IFERROR(__xludf.DUMMYFUNCTION("IMPORTRANGE(""https://docs.google.com/spreadsheets/d/1MeEWN-I1oV_STSDYn1IFDPWt_1FKiwhDph83XaGc0o0/edit?usp=sharing"",""งบพรบ!CB64"")"),14755.4)</f>
        <v>14755.4</v>
      </c>
      <c r="M64" s="84">
        <f t="shared" ca="1" si="5"/>
        <v>295.108</v>
      </c>
      <c r="N64" s="84">
        <f t="shared" ca="1" si="6"/>
        <v>98.963112005365531</v>
      </c>
      <c r="O64" s="85">
        <f ca="1">IFERROR(__xludf.DUMMYFUNCTION("IMPORTRANGE(""https://docs.google.com/spreadsheets/d/1MeEWN-I1oV_STSDYn1IFDPWt_1FKiwhDph83XaGc0o0/edit?usp=sharing"",""งบพรบ!CC64"")"),0)</f>
        <v>0</v>
      </c>
      <c r="P64" s="85">
        <f t="shared" ca="1" si="18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IFERROR(__xludf.DUMMYFUNCTION("IMPORTRANGE(""https://docs.google.com/spreadsheets/d/1nNHCLO8ZAXOMfQvxux7cf_hrzPAh8FAvaHq_ClKbZNo/edit?usp=sharing"",""พระนครศรีอยุธยา!I159"")"),10)</f>
        <v>10</v>
      </c>
      <c r="S64" s="86">
        <f ca="1">IFERROR(__xludf.DUMMYFUNCTION("IMPORTRANGE(""https://docs.google.com/spreadsheets/d/1nNHCLO8ZAXOMfQvxux7cf_hrzPAh8FAvaHq_ClKbZNo/edit?usp=sharing"",""พระนครศรีอยุธยา!J159"")"),0)</f>
        <v>0</v>
      </c>
      <c r="T64" s="87">
        <f t="shared" ca="1" si="16"/>
        <v>0</v>
      </c>
    </row>
    <row r="65" spans="1:20" ht="21" customHeight="1" x14ac:dyDescent="0.2">
      <c r="A65" s="78">
        <v>13</v>
      </c>
      <c r="B65" s="79" t="s">
        <v>87</v>
      </c>
      <c r="C65" s="80">
        <f t="shared" ca="1" si="0"/>
        <v>7500</v>
      </c>
      <c r="D65" s="81">
        <f t="shared" ca="1" si="26"/>
        <v>7500</v>
      </c>
      <c r="E65" s="82">
        <f ca="1">IFERROR(__xludf.DUMMYFUNCTION("IMPORTRANGE(""https://docs.google.com/spreadsheets/d/1MeEWN-I1oV_STSDYn1IFDPWt_1FKiwhDph83XaGc0o0/edit?usp=sharing"",""งบพรบ!BV65"")"),0)</f>
        <v>0</v>
      </c>
      <c r="F65" s="82">
        <f ca="1">IFERROR(__xludf.DUMMYFUNCTION("IMPORTRANGE(""https://docs.google.com/spreadsheets/d/1MeEWN-I1oV_STSDYn1IFDPWt_1FKiwhDph83XaGc0o0/edit?usp=sharing"",""งบพรบ!BW65"")"),7500)</f>
        <v>7500</v>
      </c>
      <c r="G65" s="82">
        <f ca="1">IFERROR(__xludf.DUMMYFUNCTION("IMPORTRANGE(""https://docs.google.com/spreadsheets/d/1MeEWN-I1oV_STSDYn1IFDPWt_1FKiwhDph83XaGc0o0/edit?usp=sharing"",""งบพรบ!BX65"")"),0)</f>
        <v>0</v>
      </c>
      <c r="H65" s="82">
        <f ca="1">IFERROR(__xludf.DUMMYFUNCTION("IMPORTRANGE(""https://docs.google.com/spreadsheets/d/1MeEWN-I1oV_STSDYn1IFDPWt_1FKiwhDph83XaGc0o0/edit?usp=sharing"",""งบพรบ!BZ65"")"),7500)</f>
        <v>7500</v>
      </c>
      <c r="I65" s="82">
        <f ca="1">IFERROR(__xludf.DUMMYFUNCTION("IMPORTRANGE(""https://docs.google.com/spreadsheets/d/1MeEWN-I1oV_STSDYn1IFDPWt_1FKiwhDph83XaGc0o0/edit?usp=sharing"",""งบพรบ!CA65"")"),0)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IFERROR(__xludf.DUMMYFUNCTION("IMPORTRANGE(""https://docs.google.com/spreadsheets/d/1MeEWN-I1oV_STSDYn1IFDPWt_1FKiwhDph83XaGc0o0/edit?usp=sharing"",""งบพรบ!CB65"")"),0)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IFERROR(__xludf.DUMMYFUNCTION("IMPORTRANGE(""https://docs.google.com/spreadsheets/d/1MeEWN-I1oV_STSDYn1IFDPWt_1FKiwhDph83XaGc0o0/edit?usp=sharing"",""งบพรบ!CC65"")"),0)</f>
        <v>0</v>
      </c>
      <c r="P65" s="85">
        <f t="shared" ca="1" si="18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IFERROR(__xludf.DUMMYFUNCTION("IMPORTRANGE(""https://docs.google.com/spreadsheets/d/1CdNicvf3i6yt4tJlCePe3V1Va76wYqW0QzMzTsaGRrA/edit?usp=sharing"",""เพชรบุรี!I159"")"),15)</f>
        <v>15</v>
      </c>
      <c r="S65" s="86">
        <f ca="1">IFERROR(__xludf.DUMMYFUNCTION("IMPORTRANGE(""https://docs.google.com/spreadsheets/d/1CdNicvf3i6yt4tJlCePe3V1Va76wYqW0QzMzTsaGRrA/edit?usp=sharing"",""เพชรบุรี!J159"")"),0)</f>
        <v>0</v>
      </c>
      <c r="T65" s="87">
        <f t="shared" ca="1" si="16"/>
        <v>0</v>
      </c>
    </row>
    <row r="66" spans="1:20" ht="21" customHeight="1" x14ac:dyDescent="0.2">
      <c r="A66" s="78">
        <v>14</v>
      </c>
      <c r="B66" s="79" t="s">
        <v>88</v>
      </c>
      <c r="C66" s="80">
        <f t="shared" ca="1" si="0"/>
        <v>0</v>
      </c>
      <c r="D66" s="81">
        <f t="shared" ca="1" si="26"/>
        <v>0</v>
      </c>
      <c r="E66" s="82">
        <f ca="1">IFERROR(__xludf.DUMMYFUNCTION("IMPORTRANGE(""https://docs.google.com/spreadsheets/d/1MeEWN-I1oV_STSDYn1IFDPWt_1FKiwhDph83XaGc0o0/edit?usp=sharing"",""งบพรบ!BV66"")"),0)</f>
        <v>0</v>
      </c>
      <c r="F66" s="82">
        <f ca="1">IFERROR(__xludf.DUMMYFUNCTION("IMPORTRANGE(""https://docs.google.com/spreadsheets/d/1MeEWN-I1oV_STSDYn1IFDPWt_1FKiwhDph83XaGc0o0/edit?usp=sharing"",""งบพรบ!BW66"")"),0)</f>
        <v>0</v>
      </c>
      <c r="G66" s="82">
        <f ca="1">IFERROR(__xludf.DUMMYFUNCTION("IMPORTRANGE(""https://docs.google.com/spreadsheets/d/1MeEWN-I1oV_STSDYn1IFDPWt_1FKiwhDph83XaGc0o0/edit?usp=sharing"",""งบพรบ!BX66"")"),0)</f>
        <v>0</v>
      </c>
      <c r="H66" s="82">
        <f ca="1">IFERROR(__xludf.DUMMYFUNCTION("IMPORTRANGE(""https://docs.google.com/spreadsheets/d/1MeEWN-I1oV_STSDYn1IFDPWt_1FKiwhDph83XaGc0o0/edit?usp=sharing"",""งบพรบ!BZ66"")"),0)</f>
        <v>0</v>
      </c>
      <c r="I66" s="82">
        <f ca="1">IFERROR(__xludf.DUMMYFUNCTION("IMPORTRANGE(""https://docs.google.com/spreadsheets/d/1MeEWN-I1oV_STSDYn1IFDPWt_1FKiwhDph83XaGc0o0/edit?usp=sharing"",""งบพรบ!CA66"")"),0)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IFERROR(__xludf.DUMMYFUNCTION("IMPORTRANGE(""https://docs.google.com/spreadsheets/d/1MeEWN-I1oV_STSDYn1IFDPWt_1FKiwhDph83XaGc0o0/edit?usp=sharing"",""งบพรบ!CB66"")"),0)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IFERROR(__xludf.DUMMYFUNCTION("IMPORTRANGE(""https://docs.google.com/spreadsheets/d/1MeEWN-I1oV_STSDYn1IFDPWt_1FKiwhDph83XaGc0o0/edit?usp=sharing"",""งบพรบ!CC66"")"),0)</f>
        <v>0</v>
      </c>
      <c r="P66" s="85">
        <f t="shared" ca="1" si="18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IFERROR(__xludf.DUMMYFUNCTION("IMPORTRANGE(""https://docs.google.com/spreadsheets/d/1XiF77UIVHV0Kjc6xbXuOuJ10WgJYxd4p_22ngKVV5oM/edit?usp=sharing"",""ระยอง!I159"")"),0)</f>
        <v>0</v>
      </c>
      <c r="S66" s="86">
        <f ca="1">IFERROR(__xludf.DUMMYFUNCTION("IMPORTRANGE(""https://docs.google.com/spreadsheets/d/1XiF77UIVHV0Kjc6xbXuOuJ10WgJYxd4p_22ngKVV5oM/edit?usp=sharing"",""ระยอง!J159"")"),0)</f>
        <v>0</v>
      </c>
      <c r="T66" s="87">
        <f t="shared" ca="1" si="16"/>
        <v>0</v>
      </c>
    </row>
    <row r="67" spans="1:20" ht="21" customHeight="1" x14ac:dyDescent="0.2">
      <c r="A67" s="78">
        <v>15</v>
      </c>
      <c r="B67" s="79" t="s">
        <v>89</v>
      </c>
      <c r="C67" s="80">
        <f t="shared" ca="1" si="0"/>
        <v>7500</v>
      </c>
      <c r="D67" s="81">
        <f t="shared" ca="1" si="26"/>
        <v>7500</v>
      </c>
      <c r="E67" s="82">
        <f ca="1">IFERROR(__xludf.DUMMYFUNCTION("IMPORTRANGE(""https://docs.google.com/spreadsheets/d/1MeEWN-I1oV_STSDYn1IFDPWt_1FKiwhDph83XaGc0o0/edit?usp=sharing"",""งบพรบ!BV67"")"),0)</f>
        <v>0</v>
      </c>
      <c r="F67" s="82">
        <f ca="1">IFERROR(__xludf.DUMMYFUNCTION("IMPORTRANGE(""https://docs.google.com/spreadsheets/d/1MeEWN-I1oV_STSDYn1IFDPWt_1FKiwhDph83XaGc0o0/edit?usp=sharing"",""งบพรบ!BW67"")"),7500)</f>
        <v>7500</v>
      </c>
      <c r="G67" s="82">
        <f ca="1">IFERROR(__xludf.DUMMYFUNCTION("IMPORTRANGE(""https://docs.google.com/spreadsheets/d/1MeEWN-I1oV_STSDYn1IFDPWt_1FKiwhDph83XaGc0o0/edit?usp=sharing"",""งบพรบ!BX67"")"),0)</f>
        <v>0</v>
      </c>
      <c r="H67" s="82">
        <f ca="1">IFERROR(__xludf.DUMMYFUNCTION("IMPORTRANGE(""https://docs.google.com/spreadsheets/d/1MeEWN-I1oV_STSDYn1IFDPWt_1FKiwhDph83XaGc0o0/edit?usp=sharing"",""งบพรบ!BZ67"")"),7500)</f>
        <v>7500</v>
      </c>
      <c r="I67" s="82">
        <f ca="1">IFERROR(__xludf.DUMMYFUNCTION("IMPORTRANGE(""https://docs.google.com/spreadsheets/d/1MeEWN-I1oV_STSDYn1IFDPWt_1FKiwhDph83XaGc0o0/edit?usp=sharing"",""งบพรบ!CA67"")"),0)</f>
        <v>0</v>
      </c>
      <c r="J67" s="82">
        <f t="shared" ca="1" si="3"/>
        <v>0</v>
      </c>
      <c r="K67" s="83">
        <f t="shared" ca="1" si="4"/>
        <v>0</v>
      </c>
      <c r="L67" s="82">
        <f ca="1">IFERROR(__xludf.DUMMYFUNCTION("IMPORTRANGE(""https://docs.google.com/spreadsheets/d/1MeEWN-I1oV_STSDYn1IFDPWt_1FKiwhDph83XaGc0o0/edit?usp=sharing"",""งบพรบ!CB67"")"),0)</f>
        <v>0</v>
      </c>
      <c r="M67" s="84">
        <f t="shared" ca="1" si="5"/>
        <v>0</v>
      </c>
      <c r="N67" s="84">
        <f t="shared" ca="1" si="6"/>
        <v>0</v>
      </c>
      <c r="O67" s="85">
        <f ca="1">IFERROR(__xludf.DUMMYFUNCTION("IMPORTRANGE(""https://docs.google.com/spreadsheets/d/1MeEWN-I1oV_STSDYn1IFDPWt_1FKiwhDph83XaGc0o0/edit?usp=sharing"",""งบพรบ!CC67"")"),0)</f>
        <v>0</v>
      </c>
      <c r="P67" s="85">
        <f t="shared" ca="1" si="18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IFERROR(__xludf.DUMMYFUNCTION("IMPORTRANGE(""https://docs.google.com/spreadsheets/d/1qU-W_9MCQD1pgIVXGEOjCFo9QqlmJywuebyGgaN92r8/edit?usp=sharing"",""ราชบุรี!I159"")"),15)</f>
        <v>15</v>
      </c>
      <c r="S67" s="86">
        <f ca="1">IFERROR(__xludf.DUMMYFUNCTION("IMPORTRANGE(""https://docs.google.com/spreadsheets/d/1qU-W_9MCQD1pgIVXGEOjCFo9QqlmJywuebyGgaN92r8/edit?usp=sharing"",""ราชบุรี!J159"")"),0)</f>
        <v>0</v>
      </c>
      <c r="T67" s="87">
        <f t="shared" ca="1" si="16"/>
        <v>0</v>
      </c>
    </row>
    <row r="68" spans="1:20" ht="24" customHeight="1" x14ac:dyDescent="0.2">
      <c r="A68" s="78">
        <v>16</v>
      </c>
      <c r="B68" s="79" t="s">
        <v>90</v>
      </c>
      <c r="C68" s="80">
        <f t="shared" ca="1" si="0"/>
        <v>5000</v>
      </c>
      <c r="D68" s="81">
        <f t="shared" ca="1" si="26"/>
        <v>5000</v>
      </c>
      <c r="E68" s="82">
        <f ca="1">IFERROR(__xludf.DUMMYFUNCTION("IMPORTRANGE(""https://docs.google.com/spreadsheets/d/1MeEWN-I1oV_STSDYn1IFDPWt_1FKiwhDph83XaGc0o0/edit?usp=sharing"",""งบพรบ!BV68"")"),0)</f>
        <v>0</v>
      </c>
      <c r="F68" s="82">
        <f ca="1">IFERROR(__xludf.DUMMYFUNCTION("IMPORTRANGE(""https://docs.google.com/spreadsheets/d/1MeEWN-I1oV_STSDYn1IFDPWt_1FKiwhDph83XaGc0o0/edit?usp=sharing"",""งบพรบ!BW68"")"),5000)</f>
        <v>5000</v>
      </c>
      <c r="G68" s="82">
        <f ca="1">IFERROR(__xludf.DUMMYFUNCTION("IMPORTRANGE(""https://docs.google.com/spreadsheets/d/1MeEWN-I1oV_STSDYn1IFDPWt_1FKiwhDph83XaGc0o0/edit?usp=sharing"",""งบพรบ!BX68"")"),0)</f>
        <v>0</v>
      </c>
      <c r="H68" s="82">
        <f ca="1">IFERROR(__xludf.DUMMYFUNCTION("IMPORTRANGE(""https://docs.google.com/spreadsheets/d/1MeEWN-I1oV_STSDYn1IFDPWt_1FKiwhDph83XaGc0o0/edit?usp=sharing"",""งบพรบ!BZ68"")"),8200)</f>
        <v>8200</v>
      </c>
      <c r="I68" s="82">
        <f ca="1">IFERROR(__xludf.DUMMYFUNCTION("IMPORTRANGE(""https://docs.google.com/spreadsheets/d/1MeEWN-I1oV_STSDYn1IFDPWt_1FKiwhDph83XaGc0o0/edit?usp=sharing"",""งบพรบ!CA68"")"),0)</f>
        <v>0</v>
      </c>
      <c r="J68" s="82">
        <f t="shared" ca="1" si="3"/>
        <v>5000</v>
      </c>
      <c r="K68" s="83">
        <f t="shared" ca="1" si="4"/>
        <v>100</v>
      </c>
      <c r="L68" s="82">
        <f ca="1">IFERROR(__xludf.DUMMYFUNCTION("IMPORTRANGE(""https://docs.google.com/spreadsheets/d/1MeEWN-I1oV_STSDYn1IFDPWt_1FKiwhDph83XaGc0o0/edit?usp=sharing"",""งบพรบ!CB68"")"),5000)</f>
        <v>5000</v>
      </c>
      <c r="M68" s="84">
        <f t="shared" ca="1" si="5"/>
        <v>100</v>
      </c>
      <c r="N68" s="84">
        <f t="shared" ca="1" si="6"/>
        <v>60.975609756097562</v>
      </c>
      <c r="O68" s="85">
        <f ca="1">IFERROR(__xludf.DUMMYFUNCTION("IMPORTRANGE(""https://docs.google.com/spreadsheets/d/1MeEWN-I1oV_STSDYn1IFDPWt_1FKiwhDph83XaGc0o0/edit?usp=sharing"",""งบพรบ!CC68"")"),0)</f>
        <v>0</v>
      </c>
      <c r="P68" s="85">
        <f t="shared" ca="1" si="18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IFERROR(__xludf.DUMMYFUNCTION("IMPORTRANGE(""https://docs.google.com/spreadsheets/d/1xYFIxIM_CspAP5Q-5Zx_V0T_Ut3cjryrjd2hss28vGk/edit?usp=sharing"",""ลพบุรี!I159"")"),10)</f>
        <v>10</v>
      </c>
      <c r="S68" s="86">
        <f ca="1">IFERROR(__xludf.DUMMYFUNCTION("IMPORTRANGE(""https://docs.google.com/spreadsheets/d/1xYFIxIM_CspAP5Q-5Zx_V0T_Ut3cjryrjd2hss28vGk/edit?usp=sharing"",""ลพบุรี!J159"")"),10)</f>
        <v>10</v>
      </c>
      <c r="T68" s="87">
        <f t="shared" ca="1" si="16"/>
        <v>100</v>
      </c>
    </row>
    <row r="69" spans="1:20" ht="21" customHeight="1" x14ac:dyDescent="0.2">
      <c r="A69" s="78">
        <v>17</v>
      </c>
      <c r="B69" s="79" t="s">
        <v>91</v>
      </c>
      <c r="C69" s="80">
        <f t="shared" ca="1" si="0"/>
        <v>0</v>
      </c>
      <c r="D69" s="81">
        <f t="shared" ca="1" si="26"/>
        <v>0</v>
      </c>
      <c r="E69" s="82">
        <f ca="1">IFERROR(__xludf.DUMMYFUNCTION("IMPORTRANGE(""https://docs.google.com/spreadsheets/d/1MeEWN-I1oV_STSDYn1IFDPWt_1FKiwhDph83XaGc0o0/edit?usp=sharing"",""งบพรบ!BV69"")"),0)</f>
        <v>0</v>
      </c>
      <c r="F69" s="82">
        <f ca="1">IFERROR(__xludf.DUMMYFUNCTION("IMPORTRANGE(""https://docs.google.com/spreadsheets/d/1MeEWN-I1oV_STSDYn1IFDPWt_1FKiwhDph83XaGc0o0/edit?usp=sharing"",""งบพรบ!BW69"")"),0)</f>
        <v>0</v>
      </c>
      <c r="G69" s="82">
        <f ca="1">IFERROR(__xludf.DUMMYFUNCTION("IMPORTRANGE(""https://docs.google.com/spreadsheets/d/1MeEWN-I1oV_STSDYn1IFDPWt_1FKiwhDph83XaGc0o0/edit?usp=sharing"",""งบพรบ!BX69"")"),0)</f>
        <v>0</v>
      </c>
      <c r="H69" s="82">
        <f ca="1">IFERROR(__xludf.DUMMYFUNCTION("IMPORTRANGE(""https://docs.google.com/spreadsheets/d/1MeEWN-I1oV_STSDYn1IFDPWt_1FKiwhDph83XaGc0o0/edit?usp=sharing"",""งบพรบ!BZ69"")"),0)</f>
        <v>0</v>
      </c>
      <c r="I69" s="82">
        <f ca="1">IFERROR(__xludf.DUMMYFUNCTION("IMPORTRANGE(""https://docs.google.com/spreadsheets/d/1MeEWN-I1oV_STSDYn1IFDPWt_1FKiwhDph83XaGc0o0/edit?usp=sharing"",""งบพรบ!CA69"")"),0)</f>
        <v>0</v>
      </c>
      <c r="J69" s="82">
        <f t="shared" ca="1" si="3"/>
        <v>0</v>
      </c>
      <c r="K69" s="83">
        <f t="shared" ca="1" si="4"/>
        <v>0</v>
      </c>
      <c r="L69" s="82">
        <f ca="1">IFERROR(__xludf.DUMMYFUNCTION("IMPORTRANGE(""https://docs.google.com/spreadsheets/d/1MeEWN-I1oV_STSDYn1IFDPWt_1FKiwhDph83XaGc0o0/edit?usp=sharing"",""งบพรบ!CB69"")"),0)</f>
        <v>0</v>
      </c>
      <c r="M69" s="84">
        <f t="shared" ca="1" si="5"/>
        <v>0</v>
      </c>
      <c r="N69" s="84">
        <f t="shared" ca="1" si="6"/>
        <v>0</v>
      </c>
      <c r="O69" s="85">
        <f ca="1">IFERROR(__xludf.DUMMYFUNCTION("IMPORTRANGE(""https://docs.google.com/spreadsheets/d/1MeEWN-I1oV_STSDYn1IFDPWt_1FKiwhDph83XaGc0o0/edit?usp=sharing"",""งบพรบ!CC69"")"),0)</f>
        <v>0</v>
      </c>
      <c r="P69" s="85">
        <f t="shared" ca="1" si="18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IFERROR(__xludf.DUMMYFUNCTION("IMPORTRANGE(""https://docs.google.com/spreadsheets/d/11s9m3tKsCBdPWq6syhZm27eBGbKneDLZc75co106bio/edit?usp=sharing"",""สระแก้ว!I159"")"),0)</f>
        <v>0</v>
      </c>
      <c r="S69" s="86">
        <f ca="1">IFERROR(__xludf.DUMMYFUNCTION("IMPORTRANGE(""https://docs.google.com/spreadsheets/d/11s9m3tKsCBdPWq6syhZm27eBGbKneDLZc75co106bio/edit?usp=sharing"",""สระแก้ว!J159"")"),0)</f>
        <v>0</v>
      </c>
      <c r="T69" s="87">
        <f t="shared" ca="1" si="16"/>
        <v>0</v>
      </c>
    </row>
    <row r="70" spans="1:20" ht="21" customHeight="1" x14ac:dyDescent="0.2">
      <c r="A70" s="78">
        <v>18</v>
      </c>
      <c r="B70" s="79" t="s">
        <v>92</v>
      </c>
      <c r="C70" s="80">
        <f t="shared" ca="1" si="0"/>
        <v>7500</v>
      </c>
      <c r="D70" s="81">
        <f t="shared" ca="1" si="26"/>
        <v>7500</v>
      </c>
      <c r="E70" s="82">
        <f ca="1">IFERROR(__xludf.DUMMYFUNCTION("IMPORTRANGE(""https://docs.google.com/spreadsheets/d/1MeEWN-I1oV_STSDYn1IFDPWt_1FKiwhDph83XaGc0o0/edit?usp=sharing"",""งบพรบ!BV70"")"),0)</f>
        <v>0</v>
      </c>
      <c r="F70" s="82">
        <f ca="1">IFERROR(__xludf.DUMMYFUNCTION("IMPORTRANGE(""https://docs.google.com/spreadsheets/d/1MeEWN-I1oV_STSDYn1IFDPWt_1FKiwhDph83XaGc0o0/edit?usp=sharing"",""งบพรบ!BW70"")"),7500)</f>
        <v>7500</v>
      </c>
      <c r="G70" s="82">
        <f ca="1">IFERROR(__xludf.DUMMYFUNCTION("IMPORTRANGE(""https://docs.google.com/spreadsheets/d/1MeEWN-I1oV_STSDYn1IFDPWt_1FKiwhDph83XaGc0o0/edit?usp=sharing"",""งบพรบ!BX70"")"),0)</f>
        <v>0</v>
      </c>
      <c r="H70" s="82">
        <f ca="1">IFERROR(__xludf.DUMMYFUNCTION("IMPORTRANGE(""https://docs.google.com/spreadsheets/d/1MeEWN-I1oV_STSDYn1IFDPWt_1FKiwhDph83XaGc0o0/edit?usp=sharing"",""งบพรบ!BZ70"")"),8700)</f>
        <v>8700</v>
      </c>
      <c r="I70" s="82">
        <f ca="1">IFERROR(__xludf.DUMMYFUNCTION("IMPORTRANGE(""https://docs.google.com/spreadsheets/d/1MeEWN-I1oV_STSDYn1IFDPWt_1FKiwhDph83XaGc0o0/edit?usp=sharing"",""งบพรบ!CA70"")"),0)</f>
        <v>0</v>
      </c>
      <c r="J70" s="82">
        <f t="shared" ca="1" si="3"/>
        <v>5160</v>
      </c>
      <c r="K70" s="83">
        <f t="shared" ca="1" si="4"/>
        <v>68.8</v>
      </c>
      <c r="L70" s="82">
        <f ca="1">IFERROR(__xludf.DUMMYFUNCTION("IMPORTRANGE(""https://docs.google.com/spreadsheets/d/1MeEWN-I1oV_STSDYn1IFDPWt_1FKiwhDph83XaGc0o0/edit?usp=sharing"",""งบพรบ!CB70"")"),5160)</f>
        <v>5160</v>
      </c>
      <c r="M70" s="84">
        <f t="shared" ca="1" si="5"/>
        <v>68.8</v>
      </c>
      <c r="N70" s="84">
        <f t="shared" ca="1" si="6"/>
        <v>59.310344827586206</v>
      </c>
      <c r="O70" s="85">
        <f ca="1">IFERROR(__xludf.DUMMYFUNCTION("IMPORTRANGE(""https://docs.google.com/spreadsheets/d/1MeEWN-I1oV_STSDYn1IFDPWt_1FKiwhDph83XaGc0o0/edit?usp=sharing"",""งบพรบ!CC70"")"),0)</f>
        <v>0</v>
      </c>
      <c r="P70" s="85">
        <f t="shared" ca="1" si="18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IFERROR(__xludf.DUMMYFUNCTION("IMPORTRANGE(""https://docs.google.com/spreadsheets/d/1Nn1EvsFPtXldgpgVb3Rcng2K2cls68LFQsBh2FyW0Bg/edit?usp=sharing"",""สระบุรี!I159"")"),15)</f>
        <v>15</v>
      </c>
      <c r="S70" s="86">
        <f ca="1">IFERROR(__xludf.DUMMYFUNCTION("IMPORTRANGE(""https://docs.google.com/spreadsheets/d/1Nn1EvsFPtXldgpgVb3Rcng2K2cls68LFQsBh2FyW0Bg/edit?usp=sharing"",""สระบุรี!J159"")"),15)</f>
        <v>15</v>
      </c>
      <c r="T70" s="87">
        <f t="shared" ca="1" si="16"/>
        <v>100</v>
      </c>
    </row>
    <row r="71" spans="1:20" ht="21" customHeight="1" x14ac:dyDescent="0.2">
      <c r="A71" s="78">
        <v>19</v>
      </c>
      <c r="B71" s="79" t="s">
        <v>93</v>
      </c>
      <c r="C71" s="80">
        <f t="shared" ca="1" si="0"/>
        <v>0</v>
      </c>
      <c r="D71" s="81">
        <f t="shared" ca="1" si="26"/>
        <v>0</v>
      </c>
      <c r="E71" s="82">
        <f ca="1">IFERROR(__xludf.DUMMYFUNCTION("IMPORTRANGE(""https://docs.google.com/spreadsheets/d/1MeEWN-I1oV_STSDYn1IFDPWt_1FKiwhDph83XaGc0o0/edit?usp=sharing"",""งบพรบ!BV71"")"),0)</f>
        <v>0</v>
      </c>
      <c r="F71" s="82">
        <f ca="1">IFERROR(__xludf.DUMMYFUNCTION("IMPORTRANGE(""https://docs.google.com/spreadsheets/d/1MeEWN-I1oV_STSDYn1IFDPWt_1FKiwhDph83XaGc0o0/edit?usp=sharing"",""งบพรบ!BW71"")"),0)</f>
        <v>0</v>
      </c>
      <c r="G71" s="82">
        <f ca="1">IFERROR(__xludf.DUMMYFUNCTION("IMPORTRANGE(""https://docs.google.com/spreadsheets/d/1MeEWN-I1oV_STSDYn1IFDPWt_1FKiwhDph83XaGc0o0/edit?usp=sharing"",""งบพรบ!BX71"")"),0)</f>
        <v>0</v>
      </c>
      <c r="H71" s="82">
        <f ca="1">IFERROR(__xludf.DUMMYFUNCTION("IMPORTRANGE(""https://docs.google.com/spreadsheets/d/1MeEWN-I1oV_STSDYn1IFDPWt_1FKiwhDph83XaGc0o0/edit?usp=sharing"",""งบพรบ!BZ71"")"),0)</f>
        <v>0</v>
      </c>
      <c r="I71" s="82">
        <f ca="1">IFERROR(__xludf.DUMMYFUNCTION("IMPORTRANGE(""https://docs.google.com/spreadsheets/d/1MeEWN-I1oV_STSDYn1IFDPWt_1FKiwhDph83XaGc0o0/edit?usp=sharing"",""งบพรบ!CA71"")"),0)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IFERROR(__xludf.DUMMYFUNCTION("IMPORTRANGE(""https://docs.google.com/spreadsheets/d/1MeEWN-I1oV_STSDYn1IFDPWt_1FKiwhDph83XaGc0o0/edit?usp=sharing"",""งบพรบ!CB71"")"),0)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IFERROR(__xludf.DUMMYFUNCTION("IMPORTRANGE(""https://docs.google.com/spreadsheets/d/1MeEWN-I1oV_STSDYn1IFDPWt_1FKiwhDph83XaGc0o0/edit?usp=sharing"",""งบพรบ!CC71"")"),0)</f>
        <v>0</v>
      </c>
      <c r="P71" s="85">
        <f t="shared" ca="1" si="18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IFERROR(__xludf.DUMMYFUNCTION("IMPORTRANGE(""https://docs.google.com/spreadsheets/d/149xufxukrnEciK3WPbNpHwUK8BKEJxp3UcBG3Al6dA4/edit?usp=sharing"",""สิงห์บุรี!I159"")"),0)</f>
        <v>0</v>
      </c>
      <c r="S71" s="86">
        <f ca="1">IFERROR(__xludf.DUMMYFUNCTION("IMPORTRANGE(""https://docs.google.com/spreadsheets/d/149xufxukrnEciK3WPbNpHwUK8BKEJxp3UcBG3Al6dA4/edit?usp=sharing"",""สิงห์บุรี!J159"")"),0)</f>
        <v>0</v>
      </c>
      <c r="T71" s="87">
        <f t="shared" ca="1" si="16"/>
        <v>0</v>
      </c>
    </row>
    <row r="72" spans="1:20" ht="21" customHeight="1" x14ac:dyDescent="0.2">
      <c r="A72" s="78">
        <v>20</v>
      </c>
      <c r="B72" s="79" t="s">
        <v>94</v>
      </c>
      <c r="C72" s="80">
        <f t="shared" ca="1" si="0"/>
        <v>7500</v>
      </c>
      <c r="D72" s="81">
        <f t="shared" ca="1" si="26"/>
        <v>7500</v>
      </c>
      <c r="E72" s="82">
        <f ca="1">IFERROR(__xludf.DUMMYFUNCTION("IMPORTRANGE(""https://docs.google.com/spreadsheets/d/1MeEWN-I1oV_STSDYn1IFDPWt_1FKiwhDph83XaGc0o0/edit?usp=sharing"",""งบพรบ!BV72"")"),0)</f>
        <v>0</v>
      </c>
      <c r="F72" s="82">
        <f ca="1">IFERROR(__xludf.DUMMYFUNCTION("IMPORTRANGE(""https://docs.google.com/spreadsheets/d/1MeEWN-I1oV_STSDYn1IFDPWt_1FKiwhDph83XaGc0o0/edit?usp=sharing"",""งบพรบ!BW72"")"),7500)</f>
        <v>7500</v>
      </c>
      <c r="G72" s="82">
        <f ca="1">IFERROR(__xludf.DUMMYFUNCTION("IMPORTRANGE(""https://docs.google.com/spreadsheets/d/1MeEWN-I1oV_STSDYn1IFDPWt_1FKiwhDph83XaGc0o0/edit?usp=sharing"",""งบพรบ!BX72"")"),0)</f>
        <v>0</v>
      </c>
      <c r="H72" s="82">
        <f ca="1">IFERROR(__xludf.DUMMYFUNCTION("IMPORTRANGE(""https://docs.google.com/spreadsheets/d/1MeEWN-I1oV_STSDYn1IFDPWt_1FKiwhDph83XaGc0o0/edit?usp=sharing"",""งบพรบ!BZ72"")"),7500)</f>
        <v>7500</v>
      </c>
      <c r="I72" s="82">
        <f ca="1">IFERROR(__xludf.DUMMYFUNCTION("IMPORTRANGE(""https://docs.google.com/spreadsheets/d/1MeEWN-I1oV_STSDYn1IFDPWt_1FKiwhDph83XaGc0o0/edit?usp=sharing"",""งบพรบ!CA72"")"),0)</f>
        <v>0</v>
      </c>
      <c r="J72" s="82">
        <f t="shared" ca="1" si="3"/>
        <v>2160</v>
      </c>
      <c r="K72" s="83">
        <f t="shared" ca="1" si="4"/>
        <v>28.8</v>
      </c>
      <c r="L72" s="82">
        <f ca="1">IFERROR(__xludf.DUMMYFUNCTION("IMPORTRANGE(""https://docs.google.com/spreadsheets/d/1MeEWN-I1oV_STSDYn1IFDPWt_1FKiwhDph83XaGc0o0/edit?usp=sharing"",""งบพรบ!CB72"")"),2160)</f>
        <v>2160</v>
      </c>
      <c r="M72" s="84">
        <f t="shared" ca="1" si="5"/>
        <v>28.8</v>
      </c>
      <c r="N72" s="84">
        <f t="shared" ca="1" si="6"/>
        <v>28.8</v>
      </c>
      <c r="O72" s="85">
        <f ca="1">IFERROR(__xludf.DUMMYFUNCTION("IMPORTRANGE(""https://docs.google.com/spreadsheets/d/1MeEWN-I1oV_STSDYn1IFDPWt_1FKiwhDph83XaGc0o0/edit?usp=sharing"",""งบพรบ!CC72"")"),0)</f>
        <v>0</v>
      </c>
      <c r="P72" s="85">
        <f t="shared" ca="1" si="18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IFERROR(__xludf.DUMMYFUNCTION("IMPORTRANGE(""https://docs.google.com/spreadsheets/d/132g-zJpz2uMKimp17uOIx8A7o3w1Z25zwJyXnwsB56c/edit?usp=sharing"",""สุพรรณบุรี!I159"")"),15)</f>
        <v>15</v>
      </c>
      <c r="S72" s="86" t="str">
        <f ca="1">IFERROR(__xludf.DUMMYFUNCTION("IMPORTRANGE(""https://docs.google.com/spreadsheets/d/132g-zJpz2uMKimp17uOIx8A7o3w1Z25zwJyXnwsB56c/edit?usp=sharing"",""สุพรรณบุรี!J159"")"),"")</f>
        <v/>
      </c>
      <c r="T72" s="87" t="e">
        <f t="shared" ca="1" si="16"/>
        <v>#VALUE!</v>
      </c>
    </row>
    <row r="73" spans="1:20" ht="21" customHeight="1" x14ac:dyDescent="0.2">
      <c r="A73" s="89">
        <v>21</v>
      </c>
      <c r="B73" s="90" t="s">
        <v>95</v>
      </c>
      <c r="C73" s="91">
        <f t="shared" ca="1" si="0"/>
        <v>0</v>
      </c>
      <c r="D73" s="92">
        <f t="shared" ca="1" si="26"/>
        <v>0</v>
      </c>
      <c r="E73" s="93">
        <f ca="1">IFERROR(__xludf.DUMMYFUNCTION("IMPORTRANGE(""https://docs.google.com/spreadsheets/d/1MeEWN-I1oV_STSDYn1IFDPWt_1FKiwhDph83XaGc0o0/edit?usp=sharing"",""งบพรบ!BV73"")"),0)</f>
        <v>0</v>
      </c>
      <c r="F73" s="93">
        <f ca="1">IFERROR(__xludf.DUMMYFUNCTION("IMPORTRANGE(""https://docs.google.com/spreadsheets/d/1MeEWN-I1oV_STSDYn1IFDPWt_1FKiwhDph83XaGc0o0/edit?usp=sharing"",""งบพรบ!BW73"")"),0)</f>
        <v>0</v>
      </c>
      <c r="G73" s="93">
        <f ca="1">IFERROR(__xludf.DUMMYFUNCTION("IMPORTRANGE(""https://docs.google.com/spreadsheets/d/1MeEWN-I1oV_STSDYn1IFDPWt_1FKiwhDph83XaGc0o0/edit?usp=sharing"",""งบพรบ!BX73"")"),0)</f>
        <v>0</v>
      </c>
      <c r="H73" s="93">
        <f ca="1">IFERROR(__xludf.DUMMYFUNCTION("IMPORTRANGE(""https://docs.google.com/spreadsheets/d/1MeEWN-I1oV_STSDYn1IFDPWt_1FKiwhDph83XaGc0o0/edit?usp=sharing"",""งบพรบ!BZ73"")"),0)</f>
        <v>0</v>
      </c>
      <c r="I73" s="93">
        <f ca="1">IFERROR(__xludf.DUMMYFUNCTION("IMPORTRANGE(""https://docs.google.com/spreadsheets/d/1MeEWN-I1oV_STSDYn1IFDPWt_1FKiwhDph83XaGc0o0/edit?usp=sharing"",""งบพรบ!CA73"")"),0)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IFERROR(__xludf.DUMMYFUNCTION("IMPORTRANGE(""https://docs.google.com/spreadsheets/d/1MeEWN-I1oV_STSDYn1IFDPWt_1FKiwhDph83XaGc0o0/edit?usp=sharing"",""งบพรบ!CB73"")"),0)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IFERROR(__xludf.DUMMYFUNCTION("IMPORTRANGE(""https://docs.google.com/spreadsheets/d/1MeEWN-I1oV_STSDYn1IFDPWt_1FKiwhDph83XaGc0o0/edit?usp=sharing"",""งบพรบ!CC73"")"),0)</f>
        <v>0</v>
      </c>
      <c r="P73" s="96">
        <f t="shared" ca="1" si="18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IFERROR(__xludf.DUMMYFUNCTION("IMPORTRANGE(""https://docs.google.com/spreadsheets/d/12Q_U0nVnFdxDFwa0pej9xvx8ZvLC9Dpi_vRro_aiG5g/edit?usp=sharing"",""อ่างทอง!I159"")"),0)</f>
        <v>0</v>
      </c>
      <c r="S73" s="97">
        <f ca="1">IFERROR(__xludf.DUMMYFUNCTION("IMPORTRANGE(""https://docs.google.com/spreadsheets/d/12Q_U0nVnFdxDFwa0pej9xvx8ZvLC9Dpi_vRro_aiG5g/edit?usp=sharing"",""อ่างทอง!J159"")"),0)</f>
        <v>0</v>
      </c>
      <c r="T73" s="98">
        <f t="shared" ca="1" si="16"/>
        <v>0</v>
      </c>
    </row>
    <row r="74" spans="1:20" ht="21" customHeight="1" x14ac:dyDescent="0.2">
      <c r="A74" s="377" t="s">
        <v>96</v>
      </c>
      <c r="B74" s="357"/>
      <c r="C74" s="104">
        <f t="shared" ca="1" si="0"/>
        <v>20000</v>
      </c>
      <c r="D74" s="62">
        <f t="shared" ref="D74:I74" ca="1" si="27">SUM(D75:D88)</f>
        <v>20000</v>
      </c>
      <c r="E74" s="62">
        <f t="shared" ca="1" si="27"/>
        <v>0</v>
      </c>
      <c r="F74" s="62">
        <f t="shared" ca="1" si="27"/>
        <v>20000</v>
      </c>
      <c r="G74" s="62">
        <f t="shared" ca="1" si="27"/>
        <v>0</v>
      </c>
      <c r="H74" s="62">
        <f t="shared" ca="1" si="27"/>
        <v>64640</v>
      </c>
      <c r="I74" s="62">
        <f t="shared" ca="1" si="27"/>
        <v>0</v>
      </c>
      <c r="J74" s="62">
        <f t="shared" ca="1" si="3"/>
        <v>25870</v>
      </c>
      <c r="K74" s="100">
        <f t="shared" ca="1" si="4"/>
        <v>129.35</v>
      </c>
      <c r="L74" s="62">
        <f ca="1">SUM(L75:L88)</f>
        <v>25870</v>
      </c>
      <c r="M74" s="101">
        <f t="shared" ca="1" si="5"/>
        <v>129.35</v>
      </c>
      <c r="N74" s="101">
        <f t="shared" ca="1" si="6"/>
        <v>40.021658415841586</v>
      </c>
      <c r="O74" s="102">
        <f ca="1">SUM(O75:O88)</f>
        <v>0</v>
      </c>
      <c r="P74" s="102">
        <f t="shared" ca="1" si="18"/>
        <v>0</v>
      </c>
      <c r="Q74" s="101">
        <f t="shared" ca="1" si="8"/>
        <v>0</v>
      </c>
      <c r="R74" s="62">
        <f t="shared" ref="R74:S74" ca="1" si="28">SUM(R75:R88)</f>
        <v>40</v>
      </c>
      <c r="S74" s="62">
        <f t="shared" ca="1" si="28"/>
        <v>15</v>
      </c>
      <c r="T74" s="101">
        <f t="shared" ca="1" si="16"/>
        <v>37.5</v>
      </c>
    </row>
    <row r="75" spans="1:20" ht="21" customHeight="1" x14ac:dyDescent="0.2">
      <c r="A75" s="68">
        <v>1</v>
      </c>
      <c r="B75" s="69" t="s">
        <v>97</v>
      </c>
      <c r="C75" s="103">
        <f t="shared" ca="1" si="0"/>
        <v>0</v>
      </c>
      <c r="D75" s="71">
        <f t="shared" ref="D75:D88" ca="1" si="29">+E75+F75</f>
        <v>0</v>
      </c>
      <c r="E75" s="72">
        <f ca="1">IFERROR(__xludf.DUMMYFUNCTION("IMPORTRANGE(""https://docs.google.com/spreadsheets/d/1MeEWN-I1oV_STSDYn1IFDPWt_1FKiwhDph83XaGc0o0/edit?usp=sharing"",""งบพรบ!BV75"")"),0)</f>
        <v>0</v>
      </c>
      <c r="F75" s="72">
        <f ca="1">IFERROR(__xludf.DUMMYFUNCTION("IMPORTRANGE(""https://docs.google.com/spreadsheets/d/1MeEWN-I1oV_STSDYn1IFDPWt_1FKiwhDph83XaGc0o0/edit?usp=sharing"",""งบพรบ!BW75"")"),0)</f>
        <v>0</v>
      </c>
      <c r="G75" s="105">
        <f ca="1">IFERROR(__xludf.DUMMYFUNCTION("IMPORTRANGE(""https://docs.google.com/spreadsheets/d/1MeEWN-I1oV_STSDYn1IFDPWt_1FKiwhDph83XaGc0o0/edit?usp=sharing"",""งบพรบ!BX75"")"),0)</f>
        <v>0</v>
      </c>
      <c r="H75" s="105">
        <f ca="1">IFERROR(__xludf.DUMMYFUNCTION("IMPORTRANGE(""https://docs.google.com/spreadsheets/d/1MeEWN-I1oV_STSDYn1IFDPWt_1FKiwhDph83XaGc0o0/edit?usp=sharing"",""งบพรบ!BZ75"")"),16980)</f>
        <v>16980</v>
      </c>
      <c r="I75" s="105">
        <f ca="1">IFERROR(__xludf.DUMMYFUNCTION("IMPORTRANGE(""https://docs.google.com/spreadsheets/d/1MeEWN-I1oV_STSDYn1IFDPWt_1FKiwhDph83XaGc0o0/edit?usp=sharing"",""งบพรบ!CA75"")"),0)</f>
        <v>0</v>
      </c>
      <c r="J75" s="105">
        <f t="shared" ca="1" si="3"/>
        <v>12420</v>
      </c>
      <c r="K75" s="106">
        <f t="shared" ca="1" si="4"/>
        <v>0</v>
      </c>
      <c r="L75" s="82">
        <f ca="1">IFERROR(__xludf.DUMMYFUNCTION("IMPORTRANGE(""https://docs.google.com/spreadsheets/d/1MeEWN-I1oV_STSDYn1IFDPWt_1FKiwhDph83XaGc0o0/edit?usp=sharing"",""งบพรบ!CB75"")"),12420)</f>
        <v>12420</v>
      </c>
      <c r="M75" s="75">
        <f t="shared" ca="1" si="5"/>
        <v>0</v>
      </c>
      <c r="N75" s="75">
        <f t="shared" ca="1" si="6"/>
        <v>73.144876325088333</v>
      </c>
      <c r="O75" s="76">
        <f ca="1">IFERROR(__xludf.DUMMYFUNCTION("IMPORTRANGE(""https://docs.google.com/spreadsheets/d/1MeEWN-I1oV_STSDYn1IFDPWt_1FKiwhDph83XaGc0o0/edit?usp=sharing"",""งบพรบ!CC75"")"),0)</f>
        <v>0</v>
      </c>
      <c r="P75" s="76">
        <f t="shared" ca="1" si="18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IFERROR(__xludf.DUMMYFUNCTION("IMPORTRANGE(""https://docs.google.com/spreadsheets/d/1kC41EOXpGBFOW658Fs3oD8beYlym0-zO54WY-2Qnp9I/edit?usp=sharing"",""กระบี่!I159"")"),0)</f>
        <v>0</v>
      </c>
      <c r="S75" s="73">
        <f ca="1">IFERROR(__xludf.DUMMYFUNCTION("IMPORTRANGE(""https://docs.google.com/spreadsheets/d/1kC41EOXpGBFOW658Fs3oD8beYlym0-zO54WY-2Qnp9I/edit?usp=sharing"",""กระบี่!J159"")"),0)</f>
        <v>0</v>
      </c>
      <c r="T75" s="77">
        <f t="shared" ca="1" si="16"/>
        <v>0</v>
      </c>
    </row>
    <row r="76" spans="1:20" ht="21" customHeight="1" x14ac:dyDescent="0.2">
      <c r="A76" s="78">
        <v>2</v>
      </c>
      <c r="B76" s="79" t="s">
        <v>98</v>
      </c>
      <c r="C76" s="80">
        <f t="shared" ca="1" si="0"/>
        <v>10000</v>
      </c>
      <c r="D76" s="81">
        <f t="shared" ca="1" si="29"/>
        <v>10000</v>
      </c>
      <c r="E76" s="82">
        <f ca="1">IFERROR(__xludf.DUMMYFUNCTION("IMPORTRANGE(""https://docs.google.com/spreadsheets/d/1MeEWN-I1oV_STSDYn1IFDPWt_1FKiwhDph83XaGc0o0/edit?usp=sharing"",""งบพรบ!BV76"")"),0)</f>
        <v>0</v>
      </c>
      <c r="F76" s="82">
        <f ca="1">IFERROR(__xludf.DUMMYFUNCTION("IMPORTRANGE(""https://docs.google.com/spreadsheets/d/1MeEWN-I1oV_STSDYn1IFDPWt_1FKiwhDph83XaGc0o0/edit?usp=sharing"",""งบพรบ!BW76"")"),10000)</f>
        <v>10000</v>
      </c>
      <c r="G76" s="82">
        <f ca="1">IFERROR(__xludf.DUMMYFUNCTION("IMPORTRANGE(""https://docs.google.com/spreadsheets/d/1MeEWN-I1oV_STSDYn1IFDPWt_1FKiwhDph83XaGc0o0/edit?usp=sharing"",""งบพรบ!BX76"")"),0)</f>
        <v>0</v>
      </c>
      <c r="H76" s="82">
        <f ca="1">IFERROR(__xludf.DUMMYFUNCTION("IMPORTRANGE(""https://docs.google.com/spreadsheets/d/1MeEWN-I1oV_STSDYn1IFDPWt_1FKiwhDph83XaGc0o0/edit?usp=sharing"",""งบพรบ!BZ76"")"),17380)</f>
        <v>17380</v>
      </c>
      <c r="I76" s="82">
        <f ca="1">IFERROR(__xludf.DUMMYFUNCTION("IMPORTRANGE(""https://docs.google.com/spreadsheets/d/1MeEWN-I1oV_STSDYn1IFDPWt_1FKiwhDph83XaGc0o0/edit?usp=sharing"",""งบพรบ!CA76"")"),0)</f>
        <v>0</v>
      </c>
      <c r="J76" s="82">
        <f t="shared" ca="1" si="3"/>
        <v>3450</v>
      </c>
      <c r="K76" s="83">
        <f t="shared" ca="1" si="4"/>
        <v>34.5</v>
      </c>
      <c r="L76" s="82">
        <f ca="1">IFERROR(__xludf.DUMMYFUNCTION("IMPORTRANGE(""https://docs.google.com/spreadsheets/d/1MeEWN-I1oV_STSDYn1IFDPWt_1FKiwhDph83XaGc0o0/edit?usp=sharing"",""งบพรบ!CB76"")"),3450)</f>
        <v>3450</v>
      </c>
      <c r="M76" s="84">
        <f t="shared" ca="1" si="5"/>
        <v>34.5</v>
      </c>
      <c r="N76" s="84">
        <f t="shared" ca="1" si="6"/>
        <v>19.850402761795166</v>
      </c>
      <c r="O76" s="85">
        <f ca="1">IFERROR(__xludf.DUMMYFUNCTION("IMPORTRANGE(""https://docs.google.com/spreadsheets/d/1MeEWN-I1oV_STSDYn1IFDPWt_1FKiwhDph83XaGc0o0/edit?usp=sharing"",""งบพรบ!CC76"")"),0)</f>
        <v>0</v>
      </c>
      <c r="P76" s="85">
        <f t="shared" ca="1" si="18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IFERROR(__xludf.DUMMYFUNCTION("IMPORTRANGE(""https://docs.google.com/spreadsheets/d/1FbzMZY_f3MDiEuK7RpCQKrilJ_kpX0Wm7QBZ1L7EjIU/edit?usp=sharing"",""ชุมพร!I159"")"),20)</f>
        <v>20</v>
      </c>
      <c r="S76" s="86">
        <f ca="1">IFERROR(__xludf.DUMMYFUNCTION("IMPORTRANGE(""https://docs.google.com/spreadsheets/d/1FbzMZY_f3MDiEuK7RpCQKrilJ_kpX0Wm7QBZ1L7EjIU/edit?usp=sharing"",""ชุมพร!J159"")"),0)</f>
        <v>0</v>
      </c>
      <c r="T76" s="87">
        <f t="shared" ca="1" si="16"/>
        <v>0</v>
      </c>
    </row>
    <row r="77" spans="1:20" ht="21" customHeight="1" x14ac:dyDescent="0.2">
      <c r="A77" s="78">
        <v>3</v>
      </c>
      <c r="B77" s="79" t="s">
        <v>99</v>
      </c>
      <c r="C77" s="80">
        <f t="shared" ca="1" si="0"/>
        <v>0</v>
      </c>
      <c r="D77" s="81">
        <f t="shared" ca="1" si="29"/>
        <v>0</v>
      </c>
      <c r="E77" s="82">
        <f ca="1">IFERROR(__xludf.DUMMYFUNCTION("IMPORTRANGE(""https://docs.google.com/spreadsheets/d/1MeEWN-I1oV_STSDYn1IFDPWt_1FKiwhDph83XaGc0o0/edit?usp=sharing"",""งบพรบ!BV77"")"),0)</f>
        <v>0</v>
      </c>
      <c r="F77" s="82">
        <f ca="1">IFERROR(__xludf.DUMMYFUNCTION("IMPORTRANGE(""https://docs.google.com/spreadsheets/d/1MeEWN-I1oV_STSDYn1IFDPWt_1FKiwhDph83XaGc0o0/edit?usp=sharing"",""งบพรบ!BW77"")"),0)</f>
        <v>0</v>
      </c>
      <c r="G77" s="82">
        <f ca="1">IFERROR(__xludf.DUMMYFUNCTION("IMPORTRANGE(""https://docs.google.com/spreadsheets/d/1MeEWN-I1oV_STSDYn1IFDPWt_1FKiwhDph83XaGc0o0/edit?usp=sharing"",""งบพรบ!BX77"")"),0)</f>
        <v>0</v>
      </c>
      <c r="H77" s="82">
        <f ca="1">IFERROR(__xludf.DUMMYFUNCTION("IMPORTRANGE(""https://docs.google.com/spreadsheets/d/1MeEWN-I1oV_STSDYn1IFDPWt_1FKiwhDph83XaGc0o0/edit?usp=sharing"",""งบพรบ!BZ77"")"),0)</f>
        <v>0</v>
      </c>
      <c r="I77" s="82">
        <f ca="1">IFERROR(__xludf.DUMMYFUNCTION("IMPORTRANGE(""https://docs.google.com/spreadsheets/d/1MeEWN-I1oV_STSDYn1IFDPWt_1FKiwhDph83XaGc0o0/edit?usp=sharing"",""งบพรบ!CA77"")"),0)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IFERROR(__xludf.DUMMYFUNCTION("IMPORTRANGE(""https://docs.google.com/spreadsheets/d/1MeEWN-I1oV_STSDYn1IFDPWt_1FKiwhDph83XaGc0o0/edit?usp=sharing"",""งบพรบ!CB77"")"),0)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IFERROR(__xludf.DUMMYFUNCTION("IMPORTRANGE(""https://docs.google.com/spreadsheets/d/1MeEWN-I1oV_STSDYn1IFDPWt_1FKiwhDph83XaGc0o0/edit?usp=sharing"",""งบพรบ!CC77"")"),0)</f>
        <v>0</v>
      </c>
      <c r="P77" s="85">
        <f t="shared" ca="1" si="18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IFERROR(__xludf.DUMMYFUNCTION("IMPORTRANGE(""https://docs.google.com/spreadsheets/d/1v5sN-00LrXuhBxw4dkh2GrG_z4l5oAqOdJRBCsUyMaM/edit?usp=sharing"",""ตรัง!I159"")"),0)</f>
        <v>0</v>
      </c>
      <c r="S77" s="86">
        <f ca="1">IFERROR(__xludf.DUMMYFUNCTION("IMPORTRANGE(""https://docs.google.com/spreadsheets/d/1v5sN-00LrXuhBxw4dkh2GrG_z4l5oAqOdJRBCsUyMaM/edit?usp=sharing"",""ตรัง!J159"")"),0)</f>
        <v>0</v>
      </c>
      <c r="T77" s="87">
        <f t="shared" ca="1" si="16"/>
        <v>0</v>
      </c>
    </row>
    <row r="78" spans="1:20" ht="21" customHeight="1" x14ac:dyDescent="0.2">
      <c r="A78" s="78">
        <v>4</v>
      </c>
      <c r="B78" s="79" t="s">
        <v>100</v>
      </c>
      <c r="C78" s="80">
        <f t="shared" ca="1" si="0"/>
        <v>0</v>
      </c>
      <c r="D78" s="81">
        <f t="shared" ca="1" si="29"/>
        <v>0</v>
      </c>
      <c r="E78" s="82">
        <f ca="1">IFERROR(__xludf.DUMMYFUNCTION("IMPORTRANGE(""https://docs.google.com/spreadsheets/d/1MeEWN-I1oV_STSDYn1IFDPWt_1FKiwhDph83XaGc0o0/edit?usp=sharing"",""งบพรบ!BV78"")"),0)</f>
        <v>0</v>
      </c>
      <c r="F78" s="82">
        <f ca="1">IFERROR(__xludf.DUMMYFUNCTION("IMPORTRANGE(""https://docs.google.com/spreadsheets/d/1MeEWN-I1oV_STSDYn1IFDPWt_1FKiwhDph83XaGc0o0/edit?usp=sharing"",""งบพรบ!BW78"")"),0)</f>
        <v>0</v>
      </c>
      <c r="G78" s="82">
        <f ca="1">IFERROR(__xludf.DUMMYFUNCTION("IMPORTRANGE(""https://docs.google.com/spreadsheets/d/1MeEWN-I1oV_STSDYn1IFDPWt_1FKiwhDph83XaGc0o0/edit?usp=sharing"",""งบพรบ!BX78"")"),0)</f>
        <v>0</v>
      </c>
      <c r="H78" s="82">
        <f ca="1">IFERROR(__xludf.DUMMYFUNCTION("IMPORTRANGE(""https://docs.google.com/spreadsheets/d/1MeEWN-I1oV_STSDYn1IFDPWt_1FKiwhDph83XaGc0o0/edit?usp=sharing"",""งบพรบ!BZ78"")"),0)</f>
        <v>0</v>
      </c>
      <c r="I78" s="82">
        <f ca="1">IFERROR(__xludf.DUMMYFUNCTION("IMPORTRANGE(""https://docs.google.com/spreadsheets/d/1MeEWN-I1oV_STSDYn1IFDPWt_1FKiwhDph83XaGc0o0/edit?usp=sharing"",""งบพรบ!CA78"")"),0)</f>
        <v>0</v>
      </c>
      <c r="J78" s="82">
        <f t="shared" ca="1" si="3"/>
        <v>0</v>
      </c>
      <c r="K78" s="83">
        <f t="shared" ca="1" si="4"/>
        <v>0</v>
      </c>
      <c r="L78" s="82">
        <f ca="1">IFERROR(__xludf.DUMMYFUNCTION("IMPORTRANGE(""https://docs.google.com/spreadsheets/d/1MeEWN-I1oV_STSDYn1IFDPWt_1FKiwhDph83XaGc0o0/edit?usp=sharing"",""งบพรบ!CB78"")"),0)</f>
        <v>0</v>
      </c>
      <c r="M78" s="84">
        <f t="shared" ca="1" si="5"/>
        <v>0</v>
      </c>
      <c r="N78" s="84">
        <f t="shared" ca="1" si="6"/>
        <v>0</v>
      </c>
      <c r="O78" s="85">
        <f ca="1">IFERROR(__xludf.DUMMYFUNCTION("IMPORTRANGE(""https://docs.google.com/spreadsheets/d/1MeEWN-I1oV_STSDYn1IFDPWt_1FKiwhDph83XaGc0o0/edit?usp=sharing"",""งบพรบ!CC78"")"),0)</f>
        <v>0</v>
      </c>
      <c r="P78" s="85">
        <f t="shared" ca="1" si="18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IFERROR(__xludf.DUMMYFUNCTION("IMPORTRANGE(""https://docs.google.com/spreadsheets/d/1T5rRTzFc79aSIvqnzkZNvwPstq829QYz_xALlO1Z0s8/edit?usp=sharing"",""นครศรีธรรมราช!I159"")"),0)</f>
        <v>0</v>
      </c>
      <c r="S78" s="86">
        <f ca="1">IFERROR(__xludf.DUMMYFUNCTION("IMPORTRANGE(""https://docs.google.com/spreadsheets/d/1T5rRTzFc79aSIvqnzkZNvwPstq829QYz_xALlO1Z0s8/edit?usp=sharing"",""นครศรีธรรมราช!J159"")"),0)</f>
        <v>0</v>
      </c>
      <c r="T78" s="87">
        <f t="shared" ca="1" si="16"/>
        <v>0</v>
      </c>
    </row>
    <row r="79" spans="1:20" ht="21" customHeight="1" x14ac:dyDescent="0.2">
      <c r="A79" s="78">
        <v>5</v>
      </c>
      <c r="B79" s="79" t="s">
        <v>101</v>
      </c>
      <c r="C79" s="80">
        <f t="shared" ca="1" si="0"/>
        <v>0</v>
      </c>
      <c r="D79" s="81">
        <f t="shared" ca="1" si="29"/>
        <v>0</v>
      </c>
      <c r="E79" s="82">
        <f ca="1">IFERROR(__xludf.DUMMYFUNCTION("IMPORTRANGE(""https://docs.google.com/spreadsheets/d/1MeEWN-I1oV_STSDYn1IFDPWt_1FKiwhDph83XaGc0o0/edit?usp=sharing"",""งบพรบ!BV79"")"),0)</f>
        <v>0</v>
      </c>
      <c r="F79" s="82">
        <f ca="1">IFERROR(__xludf.DUMMYFUNCTION("IMPORTRANGE(""https://docs.google.com/spreadsheets/d/1MeEWN-I1oV_STSDYn1IFDPWt_1FKiwhDph83XaGc0o0/edit?usp=sharing"",""งบพรบ!BW79"")"),0)</f>
        <v>0</v>
      </c>
      <c r="G79" s="82">
        <f ca="1">IFERROR(__xludf.DUMMYFUNCTION("IMPORTRANGE(""https://docs.google.com/spreadsheets/d/1MeEWN-I1oV_STSDYn1IFDPWt_1FKiwhDph83XaGc0o0/edit?usp=sharing"",""งบพรบ!BX79"")"),0)</f>
        <v>0</v>
      </c>
      <c r="H79" s="82">
        <f ca="1">IFERROR(__xludf.DUMMYFUNCTION("IMPORTRANGE(""https://docs.google.com/spreadsheets/d/1MeEWN-I1oV_STSDYn1IFDPWt_1FKiwhDph83XaGc0o0/edit?usp=sharing"",""งบพรบ!BZ79"")"),0)</f>
        <v>0</v>
      </c>
      <c r="I79" s="82">
        <f ca="1">IFERROR(__xludf.DUMMYFUNCTION("IMPORTRANGE(""https://docs.google.com/spreadsheets/d/1MeEWN-I1oV_STSDYn1IFDPWt_1FKiwhDph83XaGc0o0/edit?usp=sharing"",""งบพรบ!CA79"")"),0)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IFERROR(__xludf.DUMMYFUNCTION("IMPORTRANGE(""https://docs.google.com/spreadsheets/d/1MeEWN-I1oV_STSDYn1IFDPWt_1FKiwhDph83XaGc0o0/edit?usp=sharing"",""งบพรบ!CB79"")"),0)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IFERROR(__xludf.DUMMYFUNCTION("IMPORTRANGE(""https://docs.google.com/spreadsheets/d/1MeEWN-I1oV_STSDYn1IFDPWt_1FKiwhDph83XaGc0o0/edit?usp=sharing"",""งบพรบ!CC79"")"),0)</f>
        <v>0</v>
      </c>
      <c r="P79" s="85">
        <f t="shared" ca="1" si="18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IFERROR(__xludf.DUMMYFUNCTION("IMPORTRANGE(""https://docs.google.com/spreadsheets/d/1BeghqumK0IvCmRd2QOy6_afsZq7ZtAGrSnVJy2u7WmY/edit?usp=sharing"",""นราธิวาส!I159"")"),0)</f>
        <v>0</v>
      </c>
      <c r="S79" s="86">
        <f ca="1">IFERROR(__xludf.DUMMYFUNCTION("IMPORTRANGE(""https://docs.google.com/spreadsheets/d/1BeghqumK0IvCmRd2QOy6_afsZq7ZtAGrSnVJy2u7WmY/edit?usp=sharing"",""นราธิวาส!J159"")"),0)</f>
        <v>0</v>
      </c>
      <c r="T79" s="87">
        <f t="shared" ca="1" si="16"/>
        <v>0</v>
      </c>
    </row>
    <row r="80" spans="1:20" ht="21" customHeight="1" x14ac:dyDescent="0.2">
      <c r="A80" s="78">
        <v>6</v>
      </c>
      <c r="B80" s="79" t="s">
        <v>102</v>
      </c>
      <c r="C80" s="80">
        <f t="shared" ca="1" si="0"/>
        <v>0</v>
      </c>
      <c r="D80" s="81">
        <f t="shared" ca="1" si="29"/>
        <v>0</v>
      </c>
      <c r="E80" s="82">
        <f ca="1">IFERROR(__xludf.DUMMYFUNCTION("IMPORTRANGE(""https://docs.google.com/spreadsheets/d/1MeEWN-I1oV_STSDYn1IFDPWt_1FKiwhDph83XaGc0o0/edit?usp=sharing"",""งบพรบ!BV80"")"),0)</f>
        <v>0</v>
      </c>
      <c r="F80" s="82">
        <f ca="1">IFERROR(__xludf.DUMMYFUNCTION("IMPORTRANGE(""https://docs.google.com/spreadsheets/d/1MeEWN-I1oV_STSDYn1IFDPWt_1FKiwhDph83XaGc0o0/edit?usp=sharing"",""งบพรบ!BW80"")"),0)</f>
        <v>0</v>
      </c>
      <c r="G80" s="82">
        <f ca="1">IFERROR(__xludf.DUMMYFUNCTION("IMPORTRANGE(""https://docs.google.com/spreadsheets/d/1MeEWN-I1oV_STSDYn1IFDPWt_1FKiwhDph83XaGc0o0/edit?usp=sharing"",""งบพรบ!BX80"")"),0)</f>
        <v>0</v>
      </c>
      <c r="H80" s="82">
        <f ca="1">IFERROR(__xludf.DUMMYFUNCTION("IMPORTRANGE(""https://docs.google.com/spreadsheets/d/1MeEWN-I1oV_STSDYn1IFDPWt_1FKiwhDph83XaGc0o0/edit?usp=sharing"",""งบพรบ!BZ80"")"),0)</f>
        <v>0</v>
      </c>
      <c r="I80" s="82">
        <f ca="1">IFERROR(__xludf.DUMMYFUNCTION("IMPORTRANGE(""https://docs.google.com/spreadsheets/d/1MeEWN-I1oV_STSDYn1IFDPWt_1FKiwhDph83XaGc0o0/edit?usp=sharing"",""งบพรบ!CA80"")"),0)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IFERROR(__xludf.DUMMYFUNCTION("IMPORTRANGE(""https://docs.google.com/spreadsheets/d/1MeEWN-I1oV_STSDYn1IFDPWt_1FKiwhDph83XaGc0o0/edit?usp=sharing"",""งบพรบ!CB80"")"),0)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IFERROR(__xludf.DUMMYFUNCTION("IMPORTRANGE(""https://docs.google.com/spreadsheets/d/1MeEWN-I1oV_STSDYn1IFDPWt_1FKiwhDph83XaGc0o0/edit?usp=sharing"",""งบพรบ!CC80"")"),0)</f>
        <v>0</v>
      </c>
      <c r="P80" s="85">
        <f t="shared" ca="1" si="18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IFERROR(__xludf.DUMMYFUNCTION("IMPORTRANGE(""https://docs.google.com/spreadsheets/d/1IwnW3-jjRf74MCLW-6PiFwMUffRQXZwZA7YM609NmRc/edit?usp=sharing"",""ปัตตานี!I159"")"),0)</f>
        <v>0</v>
      </c>
      <c r="S80" s="86">
        <f ca="1">IFERROR(__xludf.DUMMYFUNCTION("IMPORTRANGE(""https://docs.google.com/spreadsheets/d/1IwnW3-jjRf74MCLW-6PiFwMUffRQXZwZA7YM609NmRc/edit?usp=sharing"",""ปัตตานี!J159"")"),0)</f>
        <v>0</v>
      </c>
      <c r="T80" s="87">
        <f t="shared" ca="1" si="16"/>
        <v>0</v>
      </c>
    </row>
    <row r="81" spans="1:20" ht="21" customHeight="1" x14ac:dyDescent="0.2">
      <c r="A81" s="78">
        <v>7</v>
      </c>
      <c r="B81" s="79" t="s">
        <v>103</v>
      </c>
      <c r="C81" s="80">
        <f t="shared" ca="1" si="0"/>
        <v>0</v>
      </c>
      <c r="D81" s="81">
        <f t="shared" ca="1" si="29"/>
        <v>0</v>
      </c>
      <c r="E81" s="82">
        <f ca="1">IFERROR(__xludf.DUMMYFUNCTION("IMPORTRANGE(""https://docs.google.com/spreadsheets/d/1MeEWN-I1oV_STSDYn1IFDPWt_1FKiwhDph83XaGc0o0/edit?usp=sharing"",""งบพรบ!BV81"")"),0)</f>
        <v>0</v>
      </c>
      <c r="F81" s="82">
        <f ca="1">IFERROR(__xludf.DUMMYFUNCTION("IMPORTRANGE(""https://docs.google.com/spreadsheets/d/1MeEWN-I1oV_STSDYn1IFDPWt_1FKiwhDph83XaGc0o0/edit?usp=sharing"",""งบพรบ!BW81"")"),0)</f>
        <v>0</v>
      </c>
      <c r="G81" s="82">
        <f ca="1">IFERROR(__xludf.DUMMYFUNCTION("IMPORTRANGE(""https://docs.google.com/spreadsheets/d/1MeEWN-I1oV_STSDYn1IFDPWt_1FKiwhDph83XaGc0o0/edit?usp=sharing"",""งบพรบ!BX81"")"),0)</f>
        <v>0</v>
      </c>
      <c r="H81" s="82">
        <f ca="1">IFERROR(__xludf.DUMMYFUNCTION("IMPORTRANGE(""https://docs.google.com/spreadsheets/d/1MeEWN-I1oV_STSDYn1IFDPWt_1FKiwhDph83XaGc0o0/edit?usp=sharing"",""งบพรบ!BZ81"")"),0)</f>
        <v>0</v>
      </c>
      <c r="I81" s="82">
        <f ca="1">IFERROR(__xludf.DUMMYFUNCTION("IMPORTRANGE(""https://docs.google.com/spreadsheets/d/1MeEWN-I1oV_STSDYn1IFDPWt_1FKiwhDph83XaGc0o0/edit?usp=sharing"",""งบพรบ!CA81"")"),0)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IFERROR(__xludf.DUMMYFUNCTION("IMPORTRANGE(""https://docs.google.com/spreadsheets/d/1MeEWN-I1oV_STSDYn1IFDPWt_1FKiwhDph83XaGc0o0/edit?usp=sharing"",""งบพรบ!CB81"")"),0)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IFERROR(__xludf.DUMMYFUNCTION("IMPORTRANGE(""https://docs.google.com/spreadsheets/d/1MeEWN-I1oV_STSDYn1IFDPWt_1FKiwhDph83XaGc0o0/edit?usp=sharing"",""งบพรบ!CC81"")"),0)</f>
        <v>0</v>
      </c>
      <c r="P81" s="85">
        <f t="shared" ca="1" si="18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IFERROR(__xludf.DUMMYFUNCTION("IMPORTRANGE(""https://docs.google.com/spreadsheets/d/1vl4QWbWdFruual5o_wdo6ZSqXZ_it806oja4CctTLKs/edit?usp=sharing"",""พังงา!I159"")"),0)</f>
        <v>0</v>
      </c>
      <c r="S81" s="86">
        <f ca="1">IFERROR(__xludf.DUMMYFUNCTION("IMPORTRANGE(""https://docs.google.com/spreadsheets/d/1vl4QWbWdFruual5o_wdo6ZSqXZ_it806oja4CctTLKs/edit?usp=sharing"",""พังงา!J159"")"),0)</f>
        <v>0</v>
      </c>
      <c r="T81" s="87">
        <f t="shared" ca="1" si="16"/>
        <v>0</v>
      </c>
    </row>
    <row r="82" spans="1:20" ht="21" customHeight="1" x14ac:dyDescent="0.2">
      <c r="A82" s="78">
        <v>8</v>
      </c>
      <c r="B82" s="79" t="s">
        <v>104</v>
      </c>
      <c r="C82" s="80">
        <f t="shared" ca="1" si="0"/>
        <v>0</v>
      </c>
      <c r="D82" s="81">
        <f t="shared" ca="1" si="29"/>
        <v>0</v>
      </c>
      <c r="E82" s="82">
        <f ca="1">IFERROR(__xludf.DUMMYFUNCTION("IMPORTRANGE(""https://docs.google.com/spreadsheets/d/1MeEWN-I1oV_STSDYn1IFDPWt_1FKiwhDph83XaGc0o0/edit?usp=sharing"",""งบพรบ!BV82"")"),0)</f>
        <v>0</v>
      </c>
      <c r="F82" s="82">
        <f ca="1">IFERROR(__xludf.DUMMYFUNCTION("IMPORTRANGE(""https://docs.google.com/spreadsheets/d/1MeEWN-I1oV_STSDYn1IFDPWt_1FKiwhDph83XaGc0o0/edit?usp=sharing"",""งบพรบ!BW82"")"),0)</f>
        <v>0</v>
      </c>
      <c r="G82" s="82">
        <f ca="1">IFERROR(__xludf.DUMMYFUNCTION("IMPORTRANGE(""https://docs.google.com/spreadsheets/d/1MeEWN-I1oV_STSDYn1IFDPWt_1FKiwhDph83XaGc0o0/edit?usp=sharing"",""งบพรบ!BX82"")"),0)</f>
        <v>0</v>
      </c>
      <c r="H82" s="82">
        <f ca="1">IFERROR(__xludf.DUMMYFUNCTION("IMPORTRANGE(""https://docs.google.com/spreadsheets/d/1MeEWN-I1oV_STSDYn1IFDPWt_1FKiwhDph83XaGc0o0/edit?usp=sharing"",""งบพรบ!BZ82"")"),0)</f>
        <v>0</v>
      </c>
      <c r="I82" s="82">
        <f ca="1">IFERROR(__xludf.DUMMYFUNCTION("IMPORTRANGE(""https://docs.google.com/spreadsheets/d/1MeEWN-I1oV_STSDYn1IFDPWt_1FKiwhDph83XaGc0o0/edit?usp=sharing"",""งบพรบ!CA82"")"),0)</f>
        <v>0</v>
      </c>
      <c r="J82" s="82">
        <f t="shared" ca="1" si="3"/>
        <v>0</v>
      </c>
      <c r="K82" s="83">
        <f t="shared" ca="1" si="4"/>
        <v>0</v>
      </c>
      <c r="L82" s="82">
        <f ca="1">IFERROR(__xludf.DUMMYFUNCTION("IMPORTRANGE(""https://docs.google.com/spreadsheets/d/1MeEWN-I1oV_STSDYn1IFDPWt_1FKiwhDph83XaGc0o0/edit?usp=sharing"",""งบพรบ!CB82"")"),0)</f>
        <v>0</v>
      </c>
      <c r="M82" s="84">
        <f t="shared" ca="1" si="5"/>
        <v>0</v>
      </c>
      <c r="N82" s="84">
        <f t="shared" ca="1" si="6"/>
        <v>0</v>
      </c>
      <c r="O82" s="85">
        <f ca="1">IFERROR(__xludf.DUMMYFUNCTION("IMPORTRANGE(""https://docs.google.com/spreadsheets/d/1MeEWN-I1oV_STSDYn1IFDPWt_1FKiwhDph83XaGc0o0/edit?usp=sharing"",""งบพรบ!CC82"")"),0)</f>
        <v>0</v>
      </c>
      <c r="P82" s="85">
        <f t="shared" ca="1" si="18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IFERROR(__xludf.DUMMYFUNCTION("IMPORTRANGE(""https://docs.google.com/spreadsheets/d/1b6QssHQp2FoAPSMKHOy273KNzAomaIKhtdlvuZ_zDNE/edit?usp=sharing"",""พัทลุง!I159"")"),0)</f>
        <v>0</v>
      </c>
      <c r="S82" s="86">
        <f ca="1">IFERROR(__xludf.DUMMYFUNCTION("IMPORTRANGE(""https://docs.google.com/spreadsheets/d/1b6QssHQp2FoAPSMKHOy273KNzAomaIKhtdlvuZ_zDNE/edit?usp=sharing"",""พัทลุง!J159"")"),0)</f>
        <v>0</v>
      </c>
      <c r="T82" s="87">
        <f t="shared" ca="1" si="16"/>
        <v>0</v>
      </c>
    </row>
    <row r="83" spans="1:20" ht="21" customHeight="1" x14ac:dyDescent="0.2">
      <c r="A83" s="78">
        <v>9</v>
      </c>
      <c r="B83" s="79" t="s">
        <v>105</v>
      </c>
      <c r="C83" s="80">
        <f t="shared" ca="1" si="0"/>
        <v>0</v>
      </c>
      <c r="D83" s="81">
        <f t="shared" ca="1" si="29"/>
        <v>0</v>
      </c>
      <c r="E83" s="82">
        <f ca="1">IFERROR(__xludf.DUMMYFUNCTION("IMPORTRANGE(""https://docs.google.com/spreadsheets/d/1MeEWN-I1oV_STSDYn1IFDPWt_1FKiwhDph83XaGc0o0/edit?usp=sharing"",""งบพรบ!BV83"")"),0)</f>
        <v>0</v>
      </c>
      <c r="F83" s="82">
        <f ca="1">IFERROR(__xludf.DUMMYFUNCTION("IMPORTRANGE(""https://docs.google.com/spreadsheets/d/1MeEWN-I1oV_STSDYn1IFDPWt_1FKiwhDph83XaGc0o0/edit?usp=sharing"",""งบพรบ!BW83"")"),0)</f>
        <v>0</v>
      </c>
      <c r="G83" s="82">
        <f ca="1">IFERROR(__xludf.DUMMYFUNCTION("IMPORTRANGE(""https://docs.google.com/spreadsheets/d/1MeEWN-I1oV_STSDYn1IFDPWt_1FKiwhDph83XaGc0o0/edit?usp=sharing"",""งบพรบ!BX83"")"),0)</f>
        <v>0</v>
      </c>
      <c r="H83" s="82">
        <f ca="1">IFERROR(__xludf.DUMMYFUNCTION("IMPORTRANGE(""https://docs.google.com/spreadsheets/d/1MeEWN-I1oV_STSDYn1IFDPWt_1FKiwhDph83XaGc0o0/edit?usp=sharing"",""งบพรบ!BZ83"")"),0)</f>
        <v>0</v>
      </c>
      <c r="I83" s="82">
        <f ca="1">IFERROR(__xludf.DUMMYFUNCTION("IMPORTRANGE(""https://docs.google.com/spreadsheets/d/1MeEWN-I1oV_STSDYn1IFDPWt_1FKiwhDph83XaGc0o0/edit?usp=sharing"",""งบพรบ!CA83"")"),0)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IFERROR(__xludf.DUMMYFUNCTION("IMPORTRANGE(""https://docs.google.com/spreadsheets/d/1MeEWN-I1oV_STSDYn1IFDPWt_1FKiwhDph83XaGc0o0/edit?usp=sharing"",""งบพรบ!CB83"")"),0)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IFERROR(__xludf.DUMMYFUNCTION("IMPORTRANGE(""https://docs.google.com/spreadsheets/d/1MeEWN-I1oV_STSDYn1IFDPWt_1FKiwhDph83XaGc0o0/edit?usp=sharing"",""งบพรบ!CC83"")"),0)</f>
        <v>0</v>
      </c>
      <c r="P83" s="85">
        <f t="shared" ca="1" si="18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IFERROR(__xludf.DUMMYFUNCTION("IMPORTRANGE(""https://docs.google.com/spreadsheets/d/1o7UZe4_OqlqtLDHrj01Z2YFRSZDf1DMy1n3XViHaxRc/edit?usp=sharing"",""ภูเก็ต!I159"")"),0)</f>
        <v>0</v>
      </c>
      <c r="S83" s="86">
        <f ca="1">IFERROR(__xludf.DUMMYFUNCTION("IMPORTRANGE(""https://docs.google.com/spreadsheets/d/1o7UZe4_OqlqtLDHrj01Z2YFRSZDf1DMy1n3XViHaxRc/edit?usp=sharing"",""ภูเก็ต!J159"")"),0)</f>
        <v>0</v>
      </c>
      <c r="T83" s="87">
        <f t="shared" ca="1" si="16"/>
        <v>0</v>
      </c>
    </row>
    <row r="84" spans="1:20" ht="21" customHeight="1" x14ac:dyDescent="0.2">
      <c r="A84" s="78">
        <v>10</v>
      </c>
      <c r="B84" s="79" t="s">
        <v>106</v>
      </c>
      <c r="C84" s="80">
        <f t="shared" ca="1" si="0"/>
        <v>0</v>
      </c>
      <c r="D84" s="81">
        <f t="shared" ca="1" si="29"/>
        <v>0</v>
      </c>
      <c r="E84" s="82">
        <f ca="1">IFERROR(__xludf.DUMMYFUNCTION("IMPORTRANGE(""https://docs.google.com/spreadsheets/d/1MeEWN-I1oV_STSDYn1IFDPWt_1FKiwhDph83XaGc0o0/edit?usp=sharing"",""งบพรบ!BV84"")"),0)</f>
        <v>0</v>
      </c>
      <c r="F84" s="82">
        <f ca="1">IFERROR(__xludf.DUMMYFUNCTION("IMPORTRANGE(""https://docs.google.com/spreadsheets/d/1MeEWN-I1oV_STSDYn1IFDPWt_1FKiwhDph83XaGc0o0/edit?usp=sharing"",""งบพรบ!BW84"")"),0)</f>
        <v>0</v>
      </c>
      <c r="G84" s="82">
        <f ca="1">IFERROR(__xludf.DUMMYFUNCTION("IMPORTRANGE(""https://docs.google.com/spreadsheets/d/1MeEWN-I1oV_STSDYn1IFDPWt_1FKiwhDph83XaGc0o0/edit?usp=sharing"",""งบพรบ!BX84"")"),0)</f>
        <v>0</v>
      </c>
      <c r="H84" s="82">
        <f ca="1">IFERROR(__xludf.DUMMYFUNCTION("IMPORTRANGE(""https://docs.google.com/spreadsheets/d/1MeEWN-I1oV_STSDYn1IFDPWt_1FKiwhDph83XaGc0o0/edit?usp=sharing"",""งบพรบ!BZ84"")"),0)</f>
        <v>0</v>
      </c>
      <c r="I84" s="82">
        <f ca="1">IFERROR(__xludf.DUMMYFUNCTION("IMPORTRANGE(""https://docs.google.com/spreadsheets/d/1MeEWN-I1oV_STSDYn1IFDPWt_1FKiwhDph83XaGc0o0/edit?usp=sharing"",""งบพรบ!CA84"")"),0)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IFERROR(__xludf.DUMMYFUNCTION("IMPORTRANGE(""https://docs.google.com/spreadsheets/d/1MeEWN-I1oV_STSDYn1IFDPWt_1FKiwhDph83XaGc0o0/edit?usp=sharing"",""งบพรบ!CB84"")"),0)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IFERROR(__xludf.DUMMYFUNCTION("IMPORTRANGE(""https://docs.google.com/spreadsheets/d/1MeEWN-I1oV_STSDYn1IFDPWt_1FKiwhDph83XaGc0o0/edit?usp=sharing"",""งบพรบ!CC84"")"),0)</f>
        <v>0</v>
      </c>
      <c r="P84" s="85">
        <f t="shared" ca="1" si="18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IFERROR(__xludf.DUMMYFUNCTION("IMPORTRANGE(""https://docs.google.com/spreadsheets/d/1ctPm1vUzcUCPuOj9-eoHUD85PqINFqUB0TjdSWmR5-c/edit?usp=sharing"",""ยะลา!I159"")"),0)</f>
        <v>0</v>
      </c>
      <c r="S84" s="86">
        <f ca="1">IFERROR(__xludf.DUMMYFUNCTION("IMPORTRANGE(""https://docs.google.com/spreadsheets/d/1ctPm1vUzcUCPuOj9-eoHUD85PqINFqUB0TjdSWmR5-c/edit?usp=sharing"",""ยะลา!J159"")"),0)</f>
        <v>0</v>
      </c>
      <c r="T84" s="87">
        <f t="shared" ca="1" si="16"/>
        <v>0</v>
      </c>
    </row>
    <row r="85" spans="1:20" ht="21" customHeight="1" x14ac:dyDescent="0.2">
      <c r="A85" s="78">
        <v>11</v>
      </c>
      <c r="B85" s="79" t="s">
        <v>107</v>
      </c>
      <c r="C85" s="80">
        <f t="shared" ca="1" si="0"/>
        <v>0</v>
      </c>
      <c r="D85" s="81">
        <f t="shared" ca="1" si="29"/>
        <v>0</v>
      </c>
      <c r="E85" s="82">
        <f ca="1">IFERROR(__xludf.DUMMYFUNCTION("IMPORTRANGE(""https://docs.google.com/spreadsheets/d/1MeEWN-I1oV_STSDYn1IFDPWt_1FKiwhDph83XaGc0o0/edit?usp=sharing"",""งบพรบ!BV85"")"),0)</f>
        <v>0</v>
      </c>
      <c r="F85" s="82">
        <f ca="1">IFERROR(__xludf.DUMMYFUNCTION("IMPORTRANGE(""https://docs.google.com/spreadsheets/d/1MeEWN-I1oV_STSDYn1IFDPWt_1FKiwhDph83XaGc0o0/edit?usp=sharing"",""งบพรบ!BW85"")"),0)</f>
        <v>0</v>
      </c>
      <c r="G85" s="82">
        <f ca="1">IFERROR(__xludf.DUMMYFUNCTION("IMPORTRANGE(""https://docs.google.com/spreadsheets/d/1MeEWN-I1oV_STSDYn1IFDPWt_1FKiwhDph83XaGc0o0/edit?usp=sharing"",""งบพรบ!BX85"")"),0)</f>
        <v>0</v>
      </c>
      <c r="H85" s="82">
        <f ca="1">IFERROR(__xludf.DUMMYFUNCTION("IMPORTRANGE(""https://docs.google.com/spreadsheets/d/1MeEWN-I1oV_STSDYn1IFDPWt_1FKiwhDph83XaGc0o0/edit?usp=sharing"",""งบพรบ!BZ85"")"),0)</f>
        <v>0</v>
      </c>
      <c r="I85" s="82">
        <f ca="1">IFERROR(__xludf.DUMMYFUNCTION("IMPORTRANGE(""https://docs.google.com/spreadsheets/d/1MeEWN-I1oV_STSDYn1IFDPWt_1FKiwhDph83XaGc0o0/edit?usp=sharing"",""งบพรบ!CA85"")"),0)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IFERROR(__xludf.DUMMYFUNCTION("IMPORTRANGE(""https://docs.google.com/spreadsheets/d/1MeEWN-I1oV_STSDYn1IFDPWt_1FKiwhDph83XaGc0o0/edit?usp=sharing"",""งบพรบ!CB85"")"),0)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IFERROR(__xludf.DUMMYFUNCTION("IMPORTRANGE(""https://docs.google.com/spreadsheets/d/1MeEWN-I1oV_STSDYn1IFDPWt_1FKiwhDph83XaGc0o0/edit?usp=sharing"",""งบพรบ!CC85"")"),0)</f>
        <v>0</v>
      </c>
      <c r="P85" s="85">
        <f t="shared" ca="1" si="18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IFERROR(__xludf.DUMMYFUNCTION("IMPORTRANGE(""https://docs.google.com/spreadsheets/d/1YiDIE7Klmt8osgdapRqYWNr7iPGFSsiJqq46S7PYRE0/edit?usp=sharing"",""ระนอง!I159"")"),0)</f>
        <v>0</v>
      </c>
      <c r="S85" s="86">
        <f ca="1">IFERROR(__xludf.DUMMYFUNCTION("IMPORTRANGE(""https://docs.google.com/spreadsheets/d/1YiDIE7Klmt8osgdapRqYWNr7iPGFSsiJqq46S7PYRE0/edit?usp=sharing"",""ระนอง!J159"")"),0)</f>
        <v>0</v>
      </c>
      <c r="T85" s="87">
        <f t="shared" ca="1" si="16"/>
        <v>0</v>
      </c>
    </row>
    <row r="86" spans="1:20" ht="24" customHeight="1" x14ac:dyDescent="0.2">
      <c r="A86" s="78">
        <v>12</v>
      </c>
      <c r="B86" s="79" t="s">
        <v>108</v>
      </c>
      <c r="C86" s="80">
        <f t="shared" ca="1" si="0"/>
        <v>0</v>
      </c>
      <c r="D86" s="81">
        <f t="shared" ca="1" si="29"/>
        <v>0</v>
      </c>
      <c r="E86" s="82">
        <f ca="1">IFERROR(__xludf.DUMMYFUNCTION("IMPORTRANGE(""https://docs.google.com/spreadsheets/d/1MeEWN-I1oV_STSDYn1IFDPWt_1FKiwhDph83XaGc0o0/edit?usp=sharing"",""งบพรบ!BV86"")"),0)</f>
        <v>0</v>
      </c>
      <c r="F86" s="82">
        <f ca="1">IFERROR(__xludf.DUMMYFUNCTION("IMPORTRANGE(""https://docs.google.com/spreadsheets/d/1MeEWN-I1oV_STSDYn1IFDPWt_1FKiwhDph83XaGc0o0/edit?usp=sharing"",""งบพรบ!BW86"")"),0)</f>
        <v>0</v>
      </c>
      <c r="G86" s="82">
        <f ca="1">IFERROR(__xludf.DUMMYFUNCTION("IMPORTRANGE(""https://docs.google.com/spreadsheets/d/1MeEWN-I1oV_STSDYn1IFDPWt_1FKiwhDph83XaGc0o0/edit?usp=sharing"",""งบพรบ!BX86"")"),0)</f>
        <v>0</v>
      </c>
      <c r="H86" s="82">
        <f ca="1">IFERROR(__xludf.DUMMYFUNCTION("IMPORTRANGE(""https://docs.google.com/spreadsheets/d/1MeEWN-I1oV_STSDYn1IFDPWt_1FKiwhDph83XaGc0o0/edit?usp=sharing"",""งบพรบ!BZ86"")"),0)</f>
        <v>0</v>
      </c>
      <c r="I86" s="82">
        <f ca="1">IFERROR(__xludf.DUMMYFUNCTION("IMPORTRANGE(""https://docs.google.com/spreadsheets/d/1MeEWN-I1oV_STSDYn1IFDPWt_1FKiwhDph83XaGc0o0/edit?usp=sharing"",""งบพรบ!CA86"")"),0)</f>
        <v>0</v>
      </c>
      <c r="J86" s="82">
        <f t="shared" ca="1" si="3"/>
        <v>0</v>
      </c>
      <c r="K86" s="83">
        <f t="shared" ca="1" si="4"/>
        <v>0</v>
      </c>
      <c r="L86" s="82">
        <f ca="1">IFERROR(__xludf.DUMMYFUNCTION("IMPORTRANGE(""https://docs.google.com/spreadsheets/d/1MeEWN-I1oV_STSDYn1IFDPWt_1FKiwhDph83XaGc0o0/edit?usp=sharing"",""งบพรบ!CB86"")"),0)</f>
        <v>0</v>
      </c>
      <c r="M86" s="84">
        <f t="shared" ca="1" si="5"/>
        <v>0</v>
      </c>
      <c r="N86" s="84">
        <f t="shared" ca="1" si="6"/>
        <v>0</v>
      </c>
      <c r="O86" s="85">
        <f ca="1">IFERROR(__xludf.DUMMYFUNCTION("IMPORTRANGE(""https://docs.google.com/spreadsheets/d/1MeEWN-I1oV_STSDYn1IFDPWt_1FKiwhDph83XaGc0o0/edit?usp=sharing"",""งบพรบ!CC86"")"),0)</f>
        <v>0</v>
      </c>
      <c r="P86" s="85">
        <f t="shared" ca="1" si="18"/>
        <v>0</v>
      </c>
      <c r="Q86" s="84">
        <f t="shared" ca="1" si="8"/>
        <v>0</v>
      </c>
      <c r="R86" s="86">
        <f ca="1">IFERROR(__xludf.DUMMYFUNCTION("IMPORTRANGE(""https://docs.google.com/spreadsheets/d/16o_4B-V7AWw_6E93bSpXj_XxVv1oVQctk-B6z1dNEWU/edit?usp=sharing"",""สงขลา!I159"")"),0)</f>
        <v>0</v>
      </c>
      <c r="S86" s="86">
        <f ca="1">IFERROR(__xludf.DUMMYFUNCTION("IMPORTRANGE(""https://docs.google.com/spreadsheets/d/16o_4B-V7AWw_6E93bSpXj_XxVv1oVQctk-B6z1dNEWU/edit?usp=sharing"",""สงขลา!J159"")"),0)</f>
        <v>0</v>
      </c>
      <c r="T86" s="87">
        <f t="shared" ca="1" si="16"/>
        <v>0</v>
      </c>
    </row>
    <row r="87" spans="1:20" ht="24" customHeight="1" x14ac:dyDescent="0.2">
      <c r="A87" s="78">
        <v>13</v>
      </c>
      <c r="B87" s="79" t="s">
        <v>109</v>
      </c>
      <c r="C87" s="80">
        <f t="shared" ca="1" si="0"/>
        <v>0</v>
      </c>
      <c r="D87" s="81">
        <f t="shared" ca="1" si="29"/>
        <v>0</v>
      </c>
      <c r="E87" s="82">
        <f ca="1">IFERROR(__xludf.DUMMYFUNCTION("IMPORTRANGE(""https://docs.google.com/spreadsheets/d/1MeEWN-I1oV_STSDYn1IFDPWt_1FKiwhDph83XaGc0o0/edit?usp=sharing"",""งบพรบ!BV87"")"),0)</f>
        <v>0</v>
      </c>
      <c r="F87" s="82">
        <f ca="1">IFERROR(__xludf.DUMMYFUNCTION("IMPORTRANGE(""https://docs.google.com/spreadsheets/d/1MeEWN-I1oV_STSDYn1IFDPWt_1FKiwhDph83XaGc0o0/edit?usp=sharing"",""งบพรบ!BW87"")"),0)</f>
        <v>0</v>
      </c>
      <c r="G87" s="82">
        <f ca="1">IFERROR(__xludf.DUMMYFUNCTION("IMPORTRANGE(""https://docs.google.com/spreadsheets/d/1MeEWN-I1oV_STSDYn1IFDPWt_1FKiwhDph83XaGc0o0/edit?usp=sharing"",""งบพรบ!BX87"")"),0)</f>
        <v>0</v>
      </c>
      <c r="H87" s="82">
        <f ca="1">IFERROR(__xludf.DUMMYFUNCTION("IMPORTRANGE(""https://docs.google.com/spreadsheets/d/1MeEWN-I1oV_STSDYn1IFDPWt_1FKiwhDph83XaGc0o0/edit?usp=sharing"",""งบพรบ!BZ87"")"),11460)</f>
        <v>11460</v>
      </c>
      <c r="I87" s="82">
        <f ca="1">IFERROR(__xludf.DUMMYFUNCTION("IMPORTRANGE(""https://docs.google.com/spreadsheets/d/1MeEWN-I1oV_STSDYn1IFDPWt_1FKiwhDph83XaGc0o0/edit?usp=sharing"",""งบพรบ!CA87"")"),0)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IFERROR(__xludf.DUMMYFUNCTION("IMPORTRANGE(""https://docs.google.com/spreadsheets/d/1MeEWN-I1oV_STSDYn1IFDPWt_1FKiwhDph83XaGc0o0/edit?usp=sharing"",""งบพรบ!CB87"")"),0)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IFERROR(__xludf.DUMMYFUNCTION("IMPORTRANGE(""https://docs.google.com/spreadsheets/d/1MeEWN-I1oV_STSDYn1IFDPWt_1FKiwhDph83XaGc0o0/edit?usp=sharing"",""งบพรบ!CC87"")"),0)</f>
        <v>0</v>
      </c>
      <c r="P87" s="85">
        <f t="shared" ca="1" si="18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IFERROR(__xludf.DUMMYFUNCTION("IMPORTRANGE(""https://docs.google.com/spreadsheets/d/16cywr71Fj4fA5OGRHsZh30ZG2gwJhMAQv69oVBzYHv0/edit?usp=sharing"",""สตูล!I159"")"),0)</f>
        <v>0</v>
      </c>
      <c r="S87" s="86">
        <f ca="1">IFERROR(__xludf.DUMMYFUNCTION("IMPORTRANGE(""https://docs.google.com/spreadsheets/d/16cywr71Fj4fA5OGRHsZh30ZG2gwJhMAQv69oVBzYHv0/edit?usp=sharing"",""สตูล!J159"")"),0)</f>
        <v>0</v>
      </c>
      <c r="T87" s="87">
        <f t="shared" ca="1" si="16"/>
        <v>0</v>
      </c>
    </row>
    <row r="88" spans="1:20" ht="24" customHeight="1" x14ac:dyDescent="0.2">
      <c r="A88" s="89">
        <v>14</v>
      </c>
      <c r="B88" s="90" t="s">
        <v>110</v>
      </c>
      <c r="C88" s="91">
        <f t="shared" ca="1" si="0"/>
        <v>10000</v>
      </c>
      <c r="D88" s="92">
        <f t="shared" ca="1" si="29"/>
        <v>10000</v>
      </c>
      <c r="E88" s="93">
        <f ca="1">IFERROR(__xludf.DUMMYFUNCTION("IMPORTRANGE(""https://docs.google.com/spreadsheets/d/1MeEWN-I1oV_STSDYn1IFDPWt_1FKiwhDph83XaGc0o0/edit?usp=sharing"",""งบพรบ!BV88"")"),0)</f>
        <v>0</v>
      </c>
      <c r="F88" s="93">
        <f ca="1">IFERROR(__xludf.DUMMYFUNCTION("IMPORTRANGE(""https://docs.google.com/spreadsheets/d/1MeEWN-I1oV_STSDYn1IFDPWt_1FKiwhDph83XaGc0o0/edit?usp=sharing"",""งบพรบ!BW88"")"),10000)</f>
        <v>10000</v>
      </c>
      <c r="G88" s="93">
        <f ca="1">IFERROR(__xludf.DUMMYFUNCTION("IMPORTRANGE(""https://docs.google.com/spreadsheets/d/1MeEWN-I1oV_STSDYn1IFDPWt_1FKiwhDph83XaGc0o0/edit?usp=sharing"",""งบพรบ!BX88"")"),0)</f>
        <v>0</v>
      </c>
      <c r="H88" s="93">
        <f ca="1">IFERROR(__xludf.DUMMYFUNCTION("IMPORTRANGE(""https://docs.google.com/spreadsheets/d/1MeEWN-I1oV_STSDYn1IFDPWt_1FKiwhDph83XaGc0o0/edit?usp=sharing"",""งบพรบ!BZ88"")"),18820)</f>
        <v>18820</v>
      </c>
      <c r="I88" s="93">
        <f ca="1">IFERROR(__xludf.DUMMYFUNCTION("IMPORTRANGE(""https://docs.google.com/spreadsheets/d/1MeEWN-I1oV_STSDYn1IFDPWt_1FKiwhDph83XaGc0o0/edit?usp=sharing"",""งบพรบ!CA88"")"),0)</f>
        <v>0</v>
      </c>
      <c r="J88" s="93">
        <f t="shared" ca="1" si="3"/>
        <v>10000</v>
      </c>
      <c r="K88" s="94">
        <f t="shared" ca="1" si="4"/>
        <v>100</v>
      </c>
      <c r="L88" s="93">
        <f ca="1">IFERROR(__xludf.DUMMYFUNCTION("IMPORTRANGE(""https://docs.google.com/spreadsheets/d/1MeEWN-I1oV_STSDYn1IFDPWt_1FKiwhDph83XaGc0o0/edit?usp=sharing"",""งบพรบ!CB88"")"),10000)</f>
        <v>10000</v>
      </c>
      <c r="M88" s="95">
        <f t="shared" ca="1" si="5"/>
        <v>100</v>
      </c>
      <c r="N88" s="95">
        <f t="shared" ca="1" si="6"/>
        <v>53.134962805526037</v>
      </c>
      <c r="O88" s="96">
        <f ca="1">IFERROR(__xludf.DUMMYFUNCTION("IMPORTRANGE(""https://docs.google.com/spreadsheets/d/1MeEWN-I1oV_STSDYn1IFDPWt_1FKiwhDph83XaGc0o0/edit?usp=sharing"",""งบพรบ!CC88"")"),0)</f>
        <v>0</v>
      </c>
      <c r="P88" s="96">
        <f t="shared" ca="1" si="18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IFERROR(__xludf.DUMMYFUNCTION("IMPORTRANGE(""https://docs.google.com/spreadsheets/d/1vO9Sws6kMtrVtyvrAJptINXjK8TFBoX9xLYOVK_C8bQ/edit?usp=sharing"",""สุราษฎร์ธานี!I159"")"),20)</f>
        <v>20</v>
      </c>
      <c r="S88" s="97">
        <f ca="1">IFERROR(__xludf.DUMMYFUNCTION("IMPORTRANGE(""https://docs.google.com/spreadsheets/d/1vO9Sws6kMtrVtyvrAJptINXjK8TFBoX9xLYOVK_C8bQ/edit?usp=sharing"",""สุราษฎร์ธานี!J159"")"),15)</f>
        <v>15</v>
      </c>
      <c r="T88" s="98">
        <f t="shared" ca="1" si="16"/>
        <v>75</v>
      </c>
    </row>
    <row r="89" spans="1:20" ht="21" hidden="1" customHeight="1" x14ac:dyDescent="0.2">
      <c r="A89" s="381" t="s">
        <v>111</v>
      </c>
      <c r="B89" s="357"/>
      <c r="C89" s="107">
        <f t="shared" ca="1" si="0"/>
        <v>3058200</v>
      </c>
      <c r="D89" s="46">
        <f t="shared" ref="D89:I89" ca="1" si="30">+D90+D91+D92+D93+D94+D95+D96+D97+D98+D99+D100+D101+D102+D103</f>
        <v>3058200</v>
      </c>
      <c r="E89" s="46">
        <f t="shared" ca="1" si="30"/>
        <v>496100</v>
      </c>
      <c r="F89" s="46">
        <f t="shared" ca="1" si="30"/>
        <v>2562100</v>
      </c>
      <c r="G89" s="46">
        <f t="shared" ca="1" si="30"/>
        <v>0</v>
      </c>
      <c r="H89" s="46">
        <f t="shared" ca="1" si="30"/>
        <v>2185860</v>
      </c>
      <c r="I89" s="46">
        <f t="shared" ca="1" si="30"/>
        <v>0</v>
      </c>
      <c r="J89" s="46">
        <f t="shared" ca="1" si="3"/>
        <v>899385.27</v>
      </c>
      <c r="K89" s="48">
        <f t="shared" ca="1" si="4"/>
        <v>29.408974887188542</v>
      </c>
      <c r="L89" s="46">
        <f ca="1">+L90+L91+L92+L93+L94+L95+L96+L97+L98+L99+L100+L101+L102+L103</f>
        <v>899385.27</v>
      </c>
      <c r="M89" s="49">
        <f t="shared" ca="1" si="5"/>
        <v>29.408974887188542</v>
      </c>
      <c r="N89" s="49">
        <f t="shared" ca="1" si="6"/>
        <v>41.145602646098105</v>
      </c>
      <c r="O89" s="50">
        <f ca="1">+O90+O91+O92+O93+O94+O95+O96+O97+O98+O99+O100+O101+O102+O103</f>
        <v>0</v>
      </c>
      <c r="P89" s="50">
        <f t="shared" ca="1" si="18"/>
        <v>0</v>
      </c>
      <c r="Q89" s="49">
        <f t="shared" ca="1" si="8"/>
        <v>0</v>
      </c>
      <c r="R89" s="46"/>
      <c r="S89" s="46"/>
      <c r="T89" s="49"/>
    </row>
    <row r="90" spans="1:20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31">+E90+F90</f>
        <v>0</v>
      </c>
      <c r="E90" s="72">
        <f ca="1">IFERROR(__xludf.DUMMYFUNCTION("IMPORTRANGE(""https://docs.google.com/spreadsheets/d/1MeEWN-I1oV_STSDYn1IFDPWt_1FKiwhDph83XaGc0o0/edit?usp=sharing"",""งบพรบ!BV90"")"),0)</f>
        <v>0</v>
      </c>
      <c r="F90" s="72">
        <f ca="1">IFERROR(__xludf.DUMMYFUNCTION("IMPORTRANGE(""https://docs.google.com/spreadsheets/d/1MeEWN-I1oV_STSDYn1IFDPWt_1FKiwhDph83XaGc0o0/edit?usp=sharing"",""งบพรบ!BW90"")"),0)</f>
        <v>0</v>
      </c>
      <c r="G90" s="72">
        <f ca="1">IFERROR(__xludf.DUMMYFUNCTION("IMPORTRANGE(""https://docs.google.com/spreadsheets/d/1MeEWN-I1oV_STSDYn1IFDPWt_1FKiwhDph83XaGc0o0/edit?usp=sharing"",""งบพรบ!BX90"")"),0)</f>
        <v>0</v>
      </c>
      <c r="H90" s="72">
        <f ca="1">IFERROR(__xludf.DUMMYFUNCTION("IMPORTRANGE(""https://docs.google.com/spreadsheets/d/1MeEWN-I1oV_STSDYn1IFDPWt_1FKiwhDph83XaGc0o0/edit?usp=sharing"",""งบพรบ!BZ90"")"),0)</f>
        <v>0</v>
      </c>
      <c r="I90" s="72">
        <f ca="1">IFERROR(__xludf.DUMMYFUNCTION("IMPORTRANGE(""https://docs.google.com/spreadsheets/d/1MeEWN-I1oV_STSDYn1IFDPWt_1FKiwhDph83XaGc0o0/edit?usp=sharing"",""งบพรบ!CA90"")"),0)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IFERROR(__xludf.DUMMYFUNCTION("IMPORTRANGE(""https://docs.google.com/spreadsheets/d/1MeEWN-I1oV_STSDYn1IFDPWt_1FKiwhDph83XaGc0o0/edit?usp=sharing"",""งบพรบ!CB90"")"),0)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IFERROR(__xludf.DUMMYFUNCTION("IMPORTRANGE(""https://docs.google.com/spreadsheets/d/1MeEWN-I1oV_STSDYn1IFDPWt_1FKiwhDph83XaGc0o0/edit?usp=sharing"",""งบพรบ!CC90"")"),0)</f>
        <v>0</v>
      </c>
      <c r="P90" s="76">
        <f t="shared" ca="1" si="18"/>
        <v>0</v>
      </c>
      <c r="Q90" s="75">
        <f t="shared" ca="1" si="8"/>
        <v>0</v>
      </c>
      <c r="R90" s="72"/>
      <c r="S90" s="72"/>
      <c r="T90" s="75"/>
    </row>
    <row r="91" spans="1:20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31"/>
        <v>0</v>
      </c>
      <c r="E91" s="82">
        <f ca="1">IFERROR(__xludf.DUMMYFUNCTION("IMPORTRANGE(""https://docs.google.com/spreadsheets/d/1MeEWN-I1oV_STSDYn1IFDPWt_1FKiwhDph83XaGc0o0/edit?usp=sharing"",""งบพรบ!BV91"")"),0)</f>
        <v>0</v>
      </c>
      <c r="F91" s="82">
        <f ca="1">IFERROR(__xludf.DUMMYFUNCTION("IMPORTRANGE(""https://docs.google.com/spreadsheets/d/1MeEWN-I1oV_STSDYn1IFDPWt_1FKiwhDph83XaGc0o0/edit?usp=sharing"",""งบพรบ!BW91"")"),0)</f>
        <v>0</v>
      </c>
      <c r="G91" s="82">
        <f ca="1">IFERROR(__xludf.DUMMYFUNCTION("IMPORTRANGE(""https://docs.google.com/spreadsheets/d/1MeEWN-I1oV_STSDYn1IFDPWt_1FKiwhDph83XaGc0o0/edit?usp=sharing"",""งบพรบ!BX91"")"),0)</f>
        <v>0</v>
      </c>
      <c r="H91" s="82">
        <f ca="1">IFERROR(__xludf.DUMMYFUNCTION("IMPORTRANGE(""https://docs.google.com/spreadsheets/d/1MeEWN-I1oV_STSDYn1IFDPWt_1FKiwhDph83XaGc0o0/edit?usp=sharing"",""งบพรบ!BZ91"")"),0)</f>
        <v>0</v>
      </c>
      <c r="I91" s="82">
        <f ca="1">IFERROR(__xludf.DUMMYFUNCTION("IMPORTRANGE(""https://docs.google.com/spreadsheets/d/1MeEWN-I1oV_STSDYn1IFDPWt_1FKiwhDph83XaGc0o0/edit?usp=sharing"",""งบพรบ!CA91"")"),0)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IFERROR(__xludf.DUMMYFUNCTION("IMPORTRANGE(""https://docs.google.com/spreadsheets/d/1MeEWN-I1oV_STSDYn1IFDPWt_1FKiwhDph83XaGc0o0/edit?usp=sharing"",""งบพรบ!CB91"")"),0)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IFERROR(__xludf.DUMMYFUNCTION("IMPORTRANGE(""https://docs.google.com/spreadsheets/d/1MeEWN-I1oV_STSDYn1IFDPWt_1FKiwhDph83XaGc0o0/edit?usp=sharing"",""งบพรบ!CC91"")"),0)</f>
        <v>0</v>
      </c>
      <c r="P91" s="85">
        <f t="shared" ca="1" si="18"/>
        <v>0</v>
      </c>
      <c r="Q91" s="84">
        <f t="shared" ca="1" si="8"/>
        <v>0</v>
      </c>
      <c r="R91" s="82"/>
      <c r="S91" s="82"/>
      <c r="T91" s="84"/>
    </row>
    <row r="92" spans="1:20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31"/>
        <v>0</v>
      </c>
      <c r="E92" s="82">
        <f ca="1">IFERROR(__xludf.DUMMYFUNCTION("IMPORTRANGE(""https://docs.google.com/spreadsheets/d/1MeEWN-I1oV_STSDYn1IFDPWt_1FKiwhDph83XaGc0o0/edit?usp=sharing"",""งบพรบ!BV92"")"),0)</f>
        <v>0</v>
      </c>
      <c r="F92" s="82">
        <f ca="1">IFERROR(__xludf.DUMMYFUNCTION("IMPORTRANGE(""https://docs.google.com/spreadsheets/d/1MeEWN-I1oV_STSDYn1IFDPWt_1FKiwhDph83XaGc0o0/edit?usp=sharing"",""งบพรบ!BW92"")"),0)</f>
        <v>0</v>
      </c>
      <c r="G92" s="82">
        <f ca="1">IFERROR(__xludf.DUMMYFUNCTION("IMPORTRANGE(""https://docs.google.com/spreadsheets/d/1MeEWN-I1oV_STSDYn1IFDPWt_1FKiwhDph83XaGc0o0/edit?usp=sharing"",""งบพรบ!BX92"")"),0)</f>
        <v>0</v>
      </c>
      <c r="H92" s="82">
        <f ca="1">IFERROR(__xludf.DUMMYFUNCTION("IMPORTRANGE(""https://docs.google.com/spreadsheets/d/1MeEWN-I1oV_STSDYn1IFDPWt_1FKiwhDph83XaGc0o0/edit?usp=sharing"",""งบพรบ!BZ92"")"),342350)</f>
        <v>342350</v>
      </c>
      <c r="I92" s="82">
        <f ca="1">IFERROR(__xludf.DUMMYFUNCTION("IMPORTRANGE(""https://docs.google.com/spreadsheets/d/1MeEWN-I1oV_STSDYn1IFDPWt_1FKiwhDph83XaGc0o0/edit?usp=sharing"",""งบพรบ!CA92"")"),0)</f>
        <v>0</v>
      </c>
      <c r="J92" s="82">
        <f t="shared" ca="1" si="3"/>
        <v>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IFERROR(__xludf.DUMMYFUNCTION("IMPORTRANGE(""https://docs.google.com/spreadsheets/d/1MeEWN-I1oV_STSDYn1IFDPWt_1FKiwhDph83XaGc0o0/edit?usp=sharing"",""งบพรบ!CB92"")"),0)</f>
        <v>0</v>
      </c>
      <c r="M92" s="84">
        <f t="shared" ca="1" si="5"/>
        <v>0</v>
      </c>
      <c r="N92" s="84">
        <f t="shared" ca="1" si="6"/>
        <v>0</v>
      </c>
      <c r="O92" s="85">
        <f ca="1">IFERROR(__xludf.DUMMYFUNCTION("IMPORTRANGE(""https://docs.google.com/spreadsheets/d/1MeEWN-I1oV_STSDYn1IFDPWt_1FKiwhDph83XaGc0o0/edit?usp=sharing"",""งบพรบ!CC92"")"),0)</f>
        <v>0</v>
      </c>
      <c r="P92" s="85">
        <f t="shared" ca="1" si="18"/>
        <v>0</v>
      </c>
      <c r="Q92" s="84">
        <f t="shared" ca="1" si="8"/>
        <v>0</v>
      </c>
      <c r="R92" s="82"/>
      <c r="S92" s="82"/>
      <c r="T92" s="84"/>
    </row>
    <row r="93" spans="1:20" ht="24" hidden="1" customHeight="1" x14ac:dyDescent="0.2">
      <c r="A93" s="111">
        <f t="shared" ref="A93:A103" si="32">+A92+1</f>
        <v>4</v>
      </c>
      <c r="B93" s="112" t="s">
        <v>115</v>
      </c>
      <c r="C93" s="80">
        <f t="shared" ca="1" si="0"/>
        <v>0</v>
      </c>
      <c r="D93" s="81">
        <f t="shared" ca="1" si="31"/>
        <v>0</v>
      </c>
      <c r="E93" s="82">
        <f ca="1">IFERROR(__xludf.DUMMYFUNCTION("IMPORTRANGE(""https://docs.google.com/spreadsheets/d/1MeEWN-I1oV_STSDYn1IFDPWt_1FKiwhDph83XaGc0o0/edit?usp=sharing"",""งบพรบ!BV93"")"),0)</f>
        <v>0</v>
      </c>
      <c r="F93" s="82">
        <f ca="1">IFERROR(__xludf.DUMMYFUNCTION("IMPORTRANGE(""https://docs.google.com/spreadsheets/d/1MeEWN-I1oV_STSDYn1IFDPWt_1FKiwhDph83XaGc0o0/edit?usp=sharing"",""งบพรบ!BW93"")"),0)</f>
        <v>0</v>
      </c>
      <c r="G93" s="82">
        <f ca="1">IFERROR(__xludf.DUMMYFUNCTION("IMPORTRANGE(""https://docs.google.com/spreadsheets/d/1MeEWN-I1oV_STSDYn1IFDPWt_1FKiwhDph83XaGc0o0/edit?usp=sharing"",""งบพรบ!BX93"")"),0)</f>
        <v>0</v>
      </c>
      <c r="H93" s="82">
        <f ca="1">IFERROR(__xludf.DUMMYFUNCTION("IMPORTRANGE(""https://docs.google.com/spreadsheets/d/1MeEWN-I1oV_STSDYn1IFDPWt_1FKiwhDph83XaGc0o0/edit?usp=sharing"",""งบพรบ!BZ93"")"),0)</f>
        <v>0</v>
      </c>
      <c r="I93" s="82">
        <f ca="1">IFERROR(__xludf.DUMMYFUNCTION("IMPORTRANGE(""https://docs.google.com/spreadsheets/d/1MeEWN-I1oV_STSDYn1IFDPWt_1FKiwhDph83XaGc0o0/edit?usp=sharing"",""งบพรบ!CA93"")"),0)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IFERROR(__xludf.DUMMYFUNCTION("IMPORTRANGE(""https://docs.google.com/spreadsheets/d/1MeEWN-I1oV_STSDYn1IFDPWt_1FKiwhDph83XaGc0o0/edit?usp=sharing"",""งบพรบ!CB93"")"),0)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IFERROR(__xludf.DUMMYFUNCTION("IMPORTRANGE(""https://docs.google.com/spreadsheets/d/1MeEWN-I1oV_STSDYn1IFDPWt_1FKiwhDph83XaGc0o0/edit?usp=sharing"",""งบพรบ!CC93"")"),0)</f>
        <v>0</v>
      </c>
      <c r="P93" s="85">
        <f t="shared" ca="1" si="18"/>
        <v>0</v>
      </c>
      <c r="Q93" s="84">
        <f t="shared" ca="1" si="8"/>
        <v>0</v>
      </c>
      <c r="R93" s="82"/>
      <c r="S93" s="82"/>
      <c r="T93" s="84"/>
    </row>
    <row r="94" spans="1:20" ht="24" hidden="1" customHeight="1" x14ac:dyDescent="0.2">
      <c r="A94" s="111">
        <f t="shared" si="32"/>
        <v>5</v>
      </c>
      <c r="B94" s="112" t="s">
        <v>116</v>
      </c>
      <c r="C94" s="80">
        <f t="shared" ca="1" si="0"/>
        <v>0</v>
      </c>
      <c r="D94" s="81">
        <f t="shared" ca="1" si="31"/>
        <v>0</v>
      </c>
      <c r="E94" s="82">
        <f ca="1">IFERROR(__xludf.DUMMYFUNCTION("IMPORTRANGE(""https://docs.google.com/spreadsheets/d/1MeEWN-I1oV_STSDYn1IFDPWt_1FKiwhDph83XaGc0o0/edit?usp=sharing"",""งบพรบ!BV94"")"),0)</f>
        <v>0</v>
      </c>
      <c r="F94" s="82">
        <f ca="1">IFERROR(__xludf.DUMMYFUNCTION("IMPORTRANGE(""https://docs.google.com/spreadsheets/d/1MeEWN-I1oV_STSDYn1IFDPWt_1FKiwhDph83XaGc0o0/edit?usp=sharing"",""งบพรบ!BW94"")"),0)</f>
        <v>0</v>
      </c>
      <c r="G94" s="82">
        <f ca="1">IFERROR(__xludf.DUMMYFUNCTION("IMPORTRANGE(""https://docs.google.com/spreadsheets/d/1MeEWN-I1oV_STSDYn1IFDPWt_1FKiwhDph83XaGc0o0/edit?usp=sharing"",""งบพรบ!BX94"")"),0)</f>
        <v>0</v>
      </c>
      <c r="H94" s="82">
        <f ca="1">IFERROR(__xludf.DUMMYFUNCTION("IMPORTRANGE(""https://docs.google.com/spreadsheets/d/1MeEWN-I1oV_STSDYn1IFDPWt_1FKiwhDph83XaGc0o0/edit?usp=sharing"",""งบพรบ!BZ94"")"),0)</f>
        <v>0</v>
      </c>
      <c r="I94" s="82">
        <f ca="1">IFERROR(__xludf.DUMMYFUNCTION("IMPORTRANGE(""https://docs.google.com/spreadsheets/d/1MeEWN-I1oV_STSDYn1IFDPWt_1FKiwhDph83XaGc0o0/edit?usp=sharing"",""งบพรบ!CA94"")"),0)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IFERROR(__xludf.DUMMYFUNCTION("IMPORTRANGE(""https://docs.google.com/spreadsheets/d/1MeEWN-I1oV_STSDYn1IFDPWt_1FKiwhDph83XaGc0o0/edit?usp=sharing"",""งบพรบ!CB94"")"),0)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IFERROR(__xludf.DUMMYFUNCTION("IMPORTRANGE(""https://docs.google.com/spreadsheets/d/1MeEWN-I1oV_STSDYn1IFDPWt_1FKiwhDph83XaGc0o0/edit?usp=sharing"",""งบพรบ!CC94"")"),0)</f>
        <v>0</v>
      </c>
      <c r="P94" s="85">
        <f t="shared" ca="1" si="18"/>
        <v>0</v>
      </c>
      <c r="Q94" s="84">
        <f t="shared" ca="1" si="8"/>
        <v>0</v>
      </c>
      <c r="R94" s="82"/>
      <c r="S94" s="82"/>
      <c r="T94" s="84"/>
    </row>
    <row r="95" spans="1:20" ht="24" hidden="1" customHeight="1" x14ac:dyDescent="0.2">
      <c r="A95" s="111">
        <f t="shared" si="32"/>
        <v>6</v>
      </c>
      <c r="B95" s="112" t="s">
        <v>117</v>
      </c>
      <c r="C95" s="80">
        <f t="shared" ca="1" si="0"/>
        <v>0</v>
      </c>
      <c r="D95" s="81">
        <f t="shared" ca="1" si="31"/>
        <v>0</v>
      </c>
      <c r="E95" s="82">
        <f ca="1">IFERROR(__xludf.DUMMYFUNCTION("IMPORTRANGE(""https://docs.google.com/spreadsheets/d/1MeEWN-I1oV_STSDYn1IFDPWt_1FKiwhDph83XaGc0o0/edit?usp=sharing"",""งบพรบ!BV95"")"),0)</f>
        <v>0</v>
      </c>
      <c r="F95" s="82">
        <f ca="1">IFERROR(__xludf.DUMMYFUNCTION("IMPORTRANGE(""https://docs.google.com/spreadsheets/d/1MeEWN-I1oV_STSDYn1IFDPWt_1FKiwhDph83XaGc0o0/edit?usp=sharing"",""งบพรบ!BW95"")"),0)</f>
        <v>0</v>
      </c>
      <c r="G95" s="82">
        <f ca="1">IFERROR(__xludf.DUMMYFUNCTION("IMPORTRANGE(""https://docs.google.com/spreadsheets/d/1MeEWN-I1oV_STSDYn1IFDPWt_1FKiwhDph83XaGc0o0/edit?usp=sharing"",""งบพรบ!BX95"")"),0)</f>
        <v>0</v>
      </c>
      <c r="H95" s="82">
        <f ca="1">IFERROR(__xludf.DUMMYFUNCTION("IMPORTRANGE(""https://docs.google.com/spreadsheets/d/1MeEWN-I1oV_STSDYn1IFDPWt_1FKiwhDph83XaGc0o0/edit?usp=sharing"",""งบพรบ!BZ95"")"),0)</f>
        <v>0</v>
      </c>
      <c r="I95" s="82">
        <f ca="1">IFERROR(__xludf.DUMMYFUNCTION("IMPORTRANGE(""https://docs.google.com/spreadsheets/d/1MeEWN-I1oV_STSDYn1IFDPWt_1FKiwhDph83XaGc0o0/edit?usp=sharing"",""งบพรบ!CA95"")"),0)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IFERROR(__xludf.DUMMYFUNCTION("IMPORTRANGE(""https://docs.google.com/spreadsheets/d/1MeEWN-I1oV_STSDYn1IFDPWt_1FKiwhDph83XaGc0o0/edit?usp=sharing"",""งบพรบ!CB95"")"),0)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IFERROR(__xludf.DUMMYFUNCTION("IMPORTRANGE(""https://docs.google.com/spreadsheets/d/1MeEWN-I1oV_STSDYn1IFDPWt_1FKiwhDph83XaGc0o0/edit?usp=sharing"",""งบพรบ!CC95"")"),0)</f>
        <v>0</v>
      </c>
      <c r="P95" s="85">
        <f t="shared" ca="1" si="18"/>
        <v>0</v>
      </c>
      <c r="Q95" s="84">
        <f t="shared" ca="1" si="8"/>
        <v>0</v>
      </c>
      <c r="R95" s="82"/>
      <c r="S95" s="82"/>
      <c r="T95" s="84"/>
    </row>
    <row r="96" spans="1:20" ht="24" hidden="1" customHeight="1" x14ac:dyDescent="0.2">
      <c r="A96" s="111">
        <f t="shared" si="32"/>
        <v>7</v>
      </c>
      <c r="B96" s="112" t="s">
        <v>118</v>
      </c>
      <c r="C96" s="80">
        <f t="shared" ca="1" si="0"/>
        <v>3058200</v>
      </c>
      <c r="D96" s="81">
        <f t="shared" ca="1" si="31"/>
        <v>3058200</v>
      </c>
      <c r="E96" s="82">
        <f ca="1">IFERROR(__xludf.DUMMYFUNCTION("IMPORTRANGE(""https://docs.google.com/spreadsheets/d/1MeEWN-I1oV_STSDYn1IFDPWt_1FKiwhDph83XaGc0o0/edit?usp=sharing"",""งบพรบ!BV96"")"),496100)</f>
        <v>496100</v>
      </c>
      <c r="F96" s="82">
        <f ca="1">IFERROR(__xludf.DUMMYFUNCTION("IMPORTRANGE(""https://docs.google.com/spreadsheets/d/1MeEWN-I1oV_STSDYn1IFDPWt_1FKiwhDph83XaGc0o0/edit?usp=sharing"",""งบพรบ!BW96"")"),2562100)</f>
        <v>2562100</v>
      </c>
      <c r="G96" s="82">
        <f ca="1">IFERROR(__xludf.DUMMYFUNCTION("IMPORTRANGE(""https://docs.google.com/spreadsheets/d/1MeEWN-I1oV_STSDYn1IFDPWt_1FKiwhDph83XaGc0o0/edit?usp=sharing"",""งบพรบ!BX96"")"),0)</f>
        <v>0</v>
      </c>
      <c r="H96" s="82">
        <f ca="1">IFERROR(__xludf.DUMMYFUNCTION("IMPORTRANGE(""https://docs.google.com/spreadsheets/d/1MeEWN-I1oV_STSDYn1IFDPWt_1FKiwhDph83XaGc0o0/edit?usp=sharing"",""งบพรบ!BZ96"")"),1843510)</f>
        <v>1843510</v>
      </c>
      <c r="I96" s="82">
        <f ca="1">IFERROR(__xludf.DUMMYFUNCTION("IMPORTRANGE(""https://docs.google.com/spreadsheets/d/1MeEWN-I1oV_STSDYn1IFDPWt_1FKiwhDph83XaGc0o0/edit?usp=sharing"",""งบพรบ!CA96"")"),0)</f>
        <v>0</v>
      </c>
      <c r="J96" s="82">
        <f t="shared" ca="1" si="3"/>
        <v>899385.27</v>
      </c>
      <c r="K96" s="83">
        <f t="shared" ca="1" si="4"/>
        <v>29.408974887188542</v>
      </c>
      <c r="L96" s="82">
        <f ca="1">IFERROR(__xludf.DUMMYFUNCTION("IMPORTRANGE(""https://docs.google.com/spreadsheets/d/1MeEWN-I1oV_STSDYn1IFDPWt_1FKiwhDph83XaGc0o0/edit?usp=sharing"",""งบพรบ!CB96"")"),899385.27)</f>
        <v>899385.27</v>
      </c>
      <c r="M96" s="84">
        <f t="shared" ca="1" si="5"/>
        <v>29.408974887188542</v>
      </c>
      <c r="N96" s="84">
        <f t="shared" ca="1" si="6"/>
        <v>48.786568556720603</v>
      </c>
      <c r="O96" s="85">
        <f ca="1">IFERROR(__xludf.DUMMYFUNCTION("IMPORTRANGE(""https://docs.google.com/spreadsheets/d/1MeEWN-I1oV_STSDYn1IFDPWt_1FKiwhDph83XaGc0o0/edit?usp=sharing"",""งบพรบ!CC96"")"),0)</f>
        <v>0</v>
      </c>
      <c r="P96" s="85">
        <f t="shared" ca="1" si="18"/>
        <v>0</v>
      </c>
      <c r="Q96" s="84">
        <f t="shared" ca="1" si="8"/>
        <v>0</v>
      </c>
      <c r="R96" s="82"/>
      <c r="S96" s="82"/>
      <c r="T96" s="84"/>
    </row>
    <row r="97" spans="1:20" ht="24" hidden="1" customHeight="1" x14ac:dyDescent="0.2">
      <c r="A97" s="111">
        <f t="shared" si="32"/>
        <v>8</v>
      </c>
      <c r="B97" s="112" t="s">
        <v>119</v>
      </c>
      <c r="C97" s="80">
        <f t="shared" ca="1" si="0"/>
        <v>0</v>
      </c>
      <c r="D97" s="81">
        <f t="shared" ca="1" si="31"/>
        <v>0</v>
      </c>
      <c r="E97" s="82">
        <f ca="1">IFERROR(__xludf.DUMMYFUNCTION("IMPORTRANGE(""https://docs.google.com/spreadsheets/d/1MeEWN-I1oV_STSDYn1IFDPWt_1FKiwhDph83XaGc0o0/edit?usp=sharing"",""งบพรบ!BV97"")"),0)</f>
        <v>0</v>
      </c>
      <c r="F97" s="82">
        <f ca="1">IFERROR(__xludf.DUMMYFUNCTION("IMPORTRANGE(""https://docs.google.com/spreadsheets/d/1MeEWN-I1oV_STSDYn1IFDPWt_1FKiwhDph83XaGc0o0/edit?usp=sharing"",""งบพรบ!BW97"")"),0)</f>
        <v>0</v>
      </c>
      <c r="G97" s="82">
        <f ca="1">IFERROR(__xludf.DUMMYFUNCTION("IMPORTRANGE(""https://docs.google.com/spreadsheets/d/1MeEWN-I1oV_STSDYn1IFDPWt_1FKiwhDph83XaGc0o0/edit?usp=sharing"",""งบพรบ!BX97"")"),0)</f>
        <v>0</v>
      </c>
      <c r="H97" s="82">
        <f ca="1">IFERROR(__xludf.DUMMYFUNCTION("IMPORTRANGE(""https://docs.google.com/spreadsheets/d/1MeEWN-I1oV_STSDYn1IFDPWt_1FKiwhDph83XaGc0o0/edit?usp=sharing"",""งบพรบ!BZ97"")"),0)</f>
        <v>0</v>
      </c>
      <c r="I97" s="82">
        <f ca="1">IFERROR(__xludf.DUMMYFUNCTION("IMPORTRANGE(""https://docs.google.com/spreadsheets/d/1MeEWN-I1oV_STSDYn1IFDPWt_1FKiwhDph83XaGc0o0/edit?usp=sharing"",""งบพรบ!CA97"")"),0)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IFERROR(__xludf.DUMMYFUNCTION("IMPORTRANGE(""https://docs.google.com/spreadsheets/d/1MeEWN-I1oV_STSDYn1IFDPWt_1FKiwhDph83XaGc0o0/edit?usp=sharing"",""งบพรบ!CB97"")"),0)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IFERROR(__xludf.DUMMYFUNCTION("IMPORTRANGE(""https://docs.google.com/spreadsheets/d/1MeEWN-I1oV_STSDYn1IFDPWt_1FKiwhDph83XaGc0o0/edit?usp=sharing"",""งบพรบ!CC97"")"),0)</f>
        <v>0</v>
      </c>
      <c r="P97" s="85">
        <f t="shared" ca="1" si="18"/>
        <v>0</v>
      </c>
      <c r="Q97" s="84">
        <f t="shared" ca="1" si="8"/>
        <v>0</v>
      </c>
      <c r="R97" s="82"/>
      <c r="S97" s="82"/>
      <c r="T97" s="84"/>
    </row>
    <row r="98" spans="1:20" ht="24" hidden="1" customHeight="1" x14ac:dyDescent="0.2">
      <c r="A98" s="111">
        <f t="shared" si="32"/>
        <v>9</v>
      </c>
      <c r="B98" s="112" t="s">
        <v>120</v>
      </c>
      <c r="C98" s="80">
        <f t="shared" ca="1" si="0"/>
        <v>0</v>
      </c>
      <c r="D98" s="81">
        <f t="shared" ca="1" si="31"/>
        <v>0</v>
      </c>
      <c r="E98" s="82">
        <f ca="1">IFERROR(__xludf.DUMMYFUNCTION("IMPORTRANGE(""https://docs.google.com/spreadsheets/d/1MeEWN-I1oV_STSDYn1IFDPWt_1FKiwhDph83XaGc0o0/edit?usp=sharing"",""งบพรบ!BV98"")"),0)</f>
        <v>0</v>
      </c>
      <c r="F98" s="82">
        <f ca="1">IFERROR(__xludf.DUMMYFUNCTION("IMPORTRANGE(""https://docs.google.com/spreadsheets/d/1MeEWN-I1oV_STSDYn1IFDPWt_1FKiwhDph83XaGc0o0/edit?usp=sharing"",""งบพรบ!BW98"")"),0)</f>
        <v>0</v>
      </c>
      <c r="G98" s="82">
        <f ca="1">IFERROR(__xludf.DUMMYFUNCTION("IMPORTRANGE(""https://docs.google.com/spreadsheets/d/1MeEWN-I1oV_STSDYn1IFDPWt_1FKiwhDph83XaGc0o0/edit?usp=sharing"",""งบพรบ!BX98"")"),0)</f>
        <v>0</v>
      </c>
      <c r="H98" s="82">
        <f ca="1">IFERROR(__xludf.DUMMYFUNCTION("IMPORTRANGE(""https://docs.google.com/spreadsheets/d/1MeEWN-I1oV_STSDYn1IFDPWt_1FKiwhDph83XaGc0o0/edit?usp=sharing"",""งบพรบ!BZ98"")"),0)</f>
        <v>0</v>
      </c>
      <c r="I98" s="82">
        <f ca="1">IFERROR(__xludf.DUMMYFUNCTION("IMPORTRANGE(""https://docs.google.com/spreadsheets/d/1MeEWN-I1oV_STSDYn1IFDPWt_1FKiwhDph83XaGc0o0/edit?usp=sharing"",""งบพรบ!CA98"")"),0)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IFERROR(__xludf.DUMMYFUNCTION("IMPORTRANGE(""https://docs.google.com/spreadsheets/d/1MeEWN-I1oV_STSDYn1IFDPWt_1FKiwhDph83XaGc0o0/edit?usp=sharing"",""งบพรบ!CB98"")"),0)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IFERROR(__xludf.DUMMYFUNCTION("IMPORTRANGE(""https://docs.google.com/spreadsheets/d/1MeEWN-I1oV_STSDYn1IFDPWt_1FKiwhDph83XaGc0o0/edit?usp=sharing"",""งบพรบ!CC98"")"),0)</f>
        <v>0</v>
      </c>
      <c r="P98" s="85">
        <f t="shared" ca="1" si="18"/>
        <v>0</v>
      </c>
      <c r="Q98" s="84">
        <f t="shared" ca="1" si="8"/>
        <v>0</v>
      </c>
      <c r="R98" s="82"/>
      <c r="S98" s="82"/>
      <c r="T98" s="84"/>
    </row>
    <row r="99" spans="1:20" ht="24" hidden="1" customHeight="1" x14ac:dyDescent="0.2">
      <c r="A99" s="111">
        <f t="shared" si="32"/>
        <v>10</v>
      </c>
      <c r="B99" s="112" t="s">
        <v>121</v>
      </c>
      <c r="C99" s="80">
        <f t="shared" ca="1" si="0"/>
        <v>0</v>
      </c>
      <c r="D99" s="81">
        <f t="shared" ca="1" si="31"/>
        <v>0</v>
      </c>
      <c r="E99" s="82">
        <f ca="1">IFERROR(__xludf.DUMMYFUNCTION("IMPORTRANGE(""https://docs.google.com/spreadsheets/d/1MeEWN-I1oV_STSDYn1IFDPWt_1FKiwhDph83XaGc0o0/edit?usp=sharing"",""งบพรบ!BV99"")"),0)</f>
        <v>0</v>
      </c>
      <c r="F99" s="82">
        <f ca="1">IFERROR(__xludf.DUMMYFUNCTION("IMPORTRANGE(""https://docs.google.com/spreadsheets/d/1MeEWN-I1oV_STSDYn1IFDPWt_1FKiwhDph83XaGc0o0/edit?usp=sharing"",""งบพรบ!BW99"")"),0)</f>
        <v>0</v>
      </c>
      <c r="G99" s="82">
        <f ca="1">IFERROR(__xludf.DUMMYFUNCTION("IMPORTRANGE(""https://docs.google.com/spreadsheets/d/1MeEWN-I1oV_STSDYn1IFDPWt_1FKiwhDph83XaGc0o0/edit?usp=sharing"",""งบพรบ!BX99"")"),0)</f>
        <v>0</v>
      </c>
      <c r="H99" s="82">
        <f ca="1">IFERROR(__xludf.DUMMYFUNCTION("IMPORTRANGE(""https://docs.google.com/spreadsheets/d/1MeEWN-I1oV_STSDYn1IFDPWt_1FKiwhDph83XaGc0o0/edit?usp=sharing"",""งบพรบ!BZ99"")"),0)</f>
        <v>0</v>
      </c>
      <c r="I99" s="82">
        <f ca="1">IFERROR(__xludf.DUMMYFUNCTION("IMPORTRANGE(""https://docs.google.com/spreadsheets/d/1MeEWN-I1oV_STSDYn1IFDPWt_1FKiwhDph83XaGc0o0/edit?usp=sharing"",""งบพรบ!CA99"")"),0)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IFERROR(__xludf.DUMMYFUNCTION("IMPORTRANGE(""https://docs.google.com/spreadsheets/d/1MeEWN-I1oV_STSDYn1IFDPWt_1FKiwhDph83XaGc0o0/edit?usp=sharing"",""งบพรบ!CB99"")"),0)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IFERROR(__xludf.DUMMYFUNCTION("IMPORTRANGE(""https://docs.google.com/spreadsheets/d/1MeEWN-I1oV_STSDYn1IFDPWt_1FKiwhDph83XaGc0o0/edit?usp=sharing"",""งบพรบ!CC99"")"),0)</f>
        <v>0</v>
      </c>
      <c r="P99" s="85">
        <f t="shared" ca="1" si="18"/>
        <v>0</v>
      </c>
      <c r="Q99" s="84">
        <f t="shared" ca="1" si="8"/>
        <v>0</v>
      </c>
      <c r="R99" s="82"/>
      <c r="S99" s="82"/>
      <c r="T99" s="84"/>
    </row>
    <row r="100" spans="1:20" ht="24" hidden="1" customHeight="1" x14ac:dyDescent="0.2">
      <c r="A100" s="111">
        <f t="shared" si="32"/>
        <v>11</v>
      </c>
      <c r="B100" s="112" t="s">
        <v>122</v>
      </c>
      <c r="C100" s="80">
        <f t="shared" ca="1" si="0"/>
        <v>0</v>
      </c>
      <c r="D100" s="81">
        <f t="shared" ca="1" si="31"/>
        <v>0</v>
      </c>
      <c r="E100" s="82">
        <f ca="1">IFERROR(__xludf.DUMMYFUNCTION("IMPORTRANGE(""https://docs.google.com/spreadsheets/d/1MeEWN-I1oV_STSDYn1IFDPWt_1FKiwhDph83XaGc0o0/edit?usp=sharing"",""งบพรบ!BV100"")"),0)</f>
        <v>0</v>
      </c>
      <c r="F100" s="82">
        <f ca="1">IFERROR(__xludf.DUMMYFUNCTION("IMPORTRANGE(""https://docs.google.com/spreadsheets/d/1MeEWN-I1oV_STSDYn1IFDPWt_1FKiwhDph83XaGc0o0/edit?usp=sharing"",""งบพรบ!BW100"")"),0)</f>
        <v>0</v>
      </c>
      <c r="G100" s="82">
        <f ca="1">IFERROR(__xludf.DUMMYFUNCTION("IMPORTRANGE(""https://docs.google.com/spreadsheets/d/1MeEWN-I1oV_STSDYn1IFDPWt_1FKiwhDph83XaGc0o0/edit?usp=sharing"",""งบพรบ!BX100"")"),0)</f>
        <v>0</v>
      </c>
      <c r="H100" s="82">
        <f ca="1">IFERROR(__xludf.DUMMYFUNCTION("IMPORTRANGE(""https://docs.google.com/spreadsheets/d/1MeEWN-I1oV_STSDYn1IFDPWt_1FKiwhDph83XaGc0o0/edit?usp=sharing"",""งบพรบ!BZ100"")"),0)</f>
        <v>0</v>
      </c>
      <c r="I100" s="82">
        <f ca="1">IFERROR(__xludf.DUMMYFUNCTION("IMPORTRANGE(""https://docs.google.com/spreadsheets/d/1MeEWN-I1oV_STSDYn1IFDPWt_1FKiwhDph83XaGc0o0/edit?usp=sharing"",""งบพรบ!CA100"")"),0)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IFERROR(__xludf.DUMMYFUNCTION("IMPORTRANGE(""https://docs.google.com/spreadsheets/d/1MeEWN-I1oV_STSDYn1IFDPWt_1FKiwhDph83XaGc0o0/edit?usp=sharing"",""งบพรบ!CB100"")"),0)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IFERROR(__xludf.DUMMYFUNCTION("IMPORTRANGE(""https://docs.google.com/spreadsheets/d/1MeEWN-I1oV_STSDYn1IFDPWt_1FKiwhDph83XaGc0o0/edit?usp=sharing"",""งบพรบ!CC100"")"),0)</f>
        <v>0</v>
      </c>
      <c r="P100" s="85">
        <f t="shared" ca="1" si="18"/>
        <v>0</v>
      </c>
      <c r="Q100" s="84">
        <f t="shared" ca="1" si="8"/>
        <v>0</v>
      </c>
      <c r="R100" s="82"/>
      <c r="S100" s="82"/>
      <c r="T100" s="84"/>
    </row>
    <row r="101" spans="1:20" ht="24" hidden="1" customHeight="1" x14ac:dyDescent="0.2">
      <c r="A101" s="111">
        <f t="shared" si="32"/>
        <v>12</v>
      </c>
      <c r="B101" s="112" t="s">
        <v>123</v>
      </c>
      <c r="C101" s="80">
        <f t="shared" ca="1" si="0"/>
        <v>0</v>
      </c>
      <c r="D101" s="81">
        <f t="shared" ca="1" si="31"/>
        <v>0</v>
      </c>
      <c r="E101" s="82">
        <f ca="1">IFERROR(__xludf.DUMMYFUNCTION("IMPORTRANGE(""https://docs.google.com/spreadsheets/d/1MeEWN-I1oV_STSDYn1IFDPWt_1FKiwhDph83XaGc0o0/edit?usp=sharing"",""งบพรบ!BV101"")"),0)</f>
        <v>0</v>
      </c>
      <c r="F101" s="82">
        <f ca="1">IFERROR(__xludf.DUMMYFUNCTION("IMPORTRANGE(""https://docs.google.com/spreadsheets/d/1MeEWN-I1oV_STSDYn1IFDPWt_1FKiwhDph83XaGc0o0/edit?usp=sharing"",""งบพรบ!BW101"")"),0)</f>
        <v>0</v>
      </c>
      <c r="G101" s="82">
        <f ca="1">IFERROR(__xludf.DUMMYFUNCTION("IMPORTRANGE(""https://docs.google.com/spreadsheets/d/1MeEWN-I1oV_STSDYn1IFDPWt_1FKiwhDph83XaGc0o0/edit?usp=sharing"",""งบพรบ!BX101"")"),0)</f>
        <v>0</v>
      </c>
      <c r="H101" s="82">
        <f ca="1">IFERROR(__xludf.DUMMYFUNCTION("IMPORTRANGE(""https://docs.google.com/spreadsheets/d/1MeEWN-I1oV_STSDYn1IFDPWt_1FKiwhDph83XaGc0o0/edit?usp=sharing"",""งบพรบ!BZ101"")"),0)</f>
        <v>0</v>
      </c>
      <c r="I101" s="82">
        <f ca="1">IFERROR(__xludf.DUMMYFUNCTION("IMPORTRANGE(""https://docs.google.com/spreadsheets/d/1MeEWN-I1oV_STSDYn1IFDPWt_1FKiwhDph83XaGc0o0/edit?usp=sharing"",""งบพรบ!CA101"")"),0)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IFERROR(__xludf.DUMMYFUNCTION("IMPORTRANGE(""https://docs.google.com/spreadsheets/d/1MeEWN-I1oV_STSDYn1IFDPWt_1FKiwhDph83XaGc0o0/edit?usp=sharing"",""งบพรบ!CB101"")"),0)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IFERROR(__xludf.DUMMYFUNCTION("IMPORTRANGE(""https://docs.google.com/spreadsheets/d/1MeEWN-I1oV_STSDYn1IFDPWt_1FKiwhDph83XaGc0o0/edit?usp=sharing"",""งบพรบ!CC101"")"),0)</f>
        <v>0</v>
      </c>
      <c r="P101" s="85">
        <f t="shared" ca="1" si="18"/>
        <v>0</v>
      </c>
      <c r="Q101" s="84">
        <f t="shared" ca="1" si="8"/>
        <v>0</v>
      </c>
      <c r="R101" s="82"/>
      <c r="S101" s="82"/>
      <c r="T101" s="84"/>
    </row>
    <row r="102" spans="1:20" ht="24" hidden="1" customHeight="1" x14ac:dyDescent="0.2">
      <c r="A102" s="111">
        <f t="shared" si="32"/>
        <v>13</v>
      </c>
      <c r="B102" s="112" t="s">
        <v>124</v>
      </c>
      <c r="C102" s="80">
        <f t="shared" ca="1" si="0"/>
        <v>0</v>
      </c>
      <c r="D102" s="81">
        <f t="shared" ca="1" si="31"/>
        <v>0</v>
      </c>
      <c r="E102" s="82">
        <f ca="1">IFERROR(__xludf.DUMMYFUNCTION("IMPORTRANGE(""https://docs.google.com/spreadsheets/d/1MeEWN-I1oV_STSDYn1IFDPWt_1FKiwhDph83XaGc0o0/edit?usp=sharing"",""งบพรบ!BV102"")"),0)</f>
        <v>0</v>
      </c>
      <c r="F102" s="82">
        <f ca="1">IFERROR(__xludf.DUMMYFUNCTION("IMPORTRANGE(""https://docs.google.com/spreadsheets/d/1MeEWN-I1oV_STSDYn1IFDPWt_1FKiwhDph83XaGc0o0/edit?usp=sharing"",""งบพรบ!BW102"")"),0)</f>
        <v>0</v>
      </c>
      <c r="G102" s="82">
        <f ca="1">IFERROR(__xludf.DUMMYFUNCTION("IMPORTRANGE(""https://docs.google.com/spreadsheets/d/1MeEWN-I1oV_STSDYn1IFDPWt_1FKiwhDph83XaGc0o0/edit?usp=sharing"",""งบพรบ!BX102"")"),0)</f>
        <v>0</v>
      </c>
      <c r="H102" s="82">
        <f ca="1">IFERROR(__xludf.DUMMYFUNCTION("IMPORTRANGE(""https://docs.google.com/spreadsheets/d/1MeEWN-I1oV_STSDYn1IFDPWt_1FKiwhDph83XaGc0o0/edit?usp=sharing"",""งบพรบ!BZ102"")"),0)</f>
        <v>0</v>
      </c>
      <c r="I102" s="82">
        <f ca="1">IFERROR(__xludf.DUMMYFUNCTION("IMPORTRANGE(""https://docs.google.com/spreadsheets/d/1MeEWN-I1oV_STSDYn1IFDPWt_1FKiwhDph83XaGc0o0/edit?usp=sharing"",""งบพรบ!CA102"")"),0)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IFERROR(__xludf.DUMMYFUNCTION("IMPORTRANGE(""https://docs.google.com/spreadsheets/d/1MeEWN-I1oV_STSDYn1IFDPWt_1FKiwhDph83XaGc0o0/edit?usp=sharing"",""งบพรบ!CB102"")"),0)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IFERROR(__xludf.DUMMYFUNCTION("IMPORTRANGE(""https://docs.google.com/spreadsheets/d/1MeEWN-I1oV_STSDYn1IFDPWt_1FKiwhDph83XaGc0o0/edit?usp=sharing"",""งบพรบ!CC102"")"),0)</f>
        <v>0</v>
      </c>
      <c r="P102" s="85">
        <f t="shared" ca="1" si="18"/>
        <v>0</v>
      </c>
      <c r="Q102" s="84">
        <f t="shared" ca="1" si="8"/>
        <v>0</v>
      </c>
      <c r="R102" s="82"/>
      <c r="S102" s="82"/>
      <c r="T102" s="84"/>
    </row>
    <row r="103" spans="1:20" ht="24" hidden="1" customHeight="1" x14ac:dyDescent="0.2">
      <c r="A103" s="113">
        <f t="shared" si="32"/>
        <v>14</v>
      </c>
      <c r="B103" s="114" t="s">
        <v>125</v>
      </c>
      <c r="C103" s="91">
        <f t="shared" ca="1" si="0"/>
        <v>0</v>
      </c>
      <c r="D103" s="92">
        <f t="shared" ca="1" si="31"/>
        <v>0</v>
      </c>
      <c r="E103" s="93">
        <f ca="1">IFERROR(__xludf.DUMMYFUNCTION("IMPORTRANGE(""https://docs.google.com/spreadsheets/d/1MeEWN-I1oV_STSDYn1IFDPWt_1FKiwhDph83XaGc0o0/edit?usp=sharing"",""งบพรบ!BV103"")"),0)</f>
        <v>0</v>
      </c>
      <c r="F103" s="93">
        <f ca="1">IFERROR(__xludf.DUMMYFUNCTION("IMPORTRANGE(""https://docs.google.com/spreadsheets/d/1MeEWN-I1oV_STSDYn1IFDPWt_1FKiwhDph83XaGc0o0/edit?usp=sharing"",""งบพรบ!BW103"")"),0)</f>
        <v>0</v>
      </c>
      <c r="G103" s="93">
        <f ca="1">IFERROR(__xludf.DUMMYFUNCTION("IMPORTRANGE(""https://docs.google.com/spreadsheets/d/1MeEWN-I1oV_STSDYn1IFDPWt_1FKiwhDph83XaGc0o0/edit?usp=sharing"",""งบพรบ!BX103"")"),0)</f>
        <v>0</v>
      </c>
      <c r="H103" s="93">
        <f ca="1">IFERROR(__xludf.DUMMYFUNCTION("IMPORTRANGE(""https://docs.google.com/spreadsheets/d/1MeEWN-I1oV_STSDYn1IFDPWt_1FKiwhDph83XaGc0o0/edit?usp=sharing"",""งบพรบ!BZ103"")"),0)</f>
        <v>0</v>
      </c>
      <c r="I103" s="93">
        <f ca="1">IFERROR(__xludf.DUMMYFUNCTION("IMPORTRANGE(""https://docs.google.com/spreadsheets/d/1MeEWN-I1oV_STSDYn1IFDPWt_1FKiwhDph83XaGc0o0/edit?usp=sharing"",""งบพรบ!CA103"")"),0)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IFERROR(__xludf.DUMMYFUNCTION("IMPORTRANGE(""https://docs.google.com/spreadsheets/d/1MeEWN-I1oV_STSDYn1IFDPWt_1FKiwhDph83XaGc0o0/edit?usp=sharing"",""งบพรบ!CB103"")"),0)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IFERROR(__xludf.DUMMYFUNCTION("IMPORTRANGE(""https://docs.google.com/spreadsheets/d/1MeEWN-I1oV_STSDYn1IFDPWt_1FKiwhDph83XaGc0o0/edit?usp=sharing"",""งบพรบ!CC103"")"),0)</f>
        <v>0</v>
      </c>
      <c r="P103" s="96">
        <f t="shared" ca="1" si="18"/>
        <v>0</v>
      </c>
      <c r="Q103" s="95">
        <f t="shared" ca="1" si="8"/>
        <v>0</v>
      </c>
      <c r="R103" s="93"/>
      <c r="S103" s="93"/>
      <c r="T103" s="95"/>
    </row>
    <row r="104" spans="1:20" ht="21" hidden="1" customHeight="1" x14ac:dyDescent="0.2">
      <c r="A104" s="381" t="s">
        <v>126</v>
      </c>
      <c r="B104" s="357"/>
      <c r="C104" s="107">
        <f t="shared" ca="1" si="0"/>
        <v>1804800</v>
      </c>
      <c r="D104" s="46">
        <f ca="1">SUM(D105:D116)</f>
        <v>1804800</v>
      </c>
      <c r="E104" s="46">
        <f ca="1">IFERROR(__xludf.DUMMYFUNCTION("IMPORTRANGE(""https://docs.google.com/spreadsheets/d/1MeEWN-I1oV_STSDYn1IFDPWt_1FKiwhDph83XaGc0o0/edit?usp=sharing"",""งบพรบ!BV104"")"),1804800)</f>
        <v>1804800</v>
      </c>
      <c r="F104" s="46">
        <f ca="1">IFERROR(__xludf.DUMMYFUNCTION("IMPORTRANGE(""https://docs.google.com/spreadsheets/d/1MeEWN-I1oV_STSDYn1IFDPWt_1FKiwhDph83XaGc0o0/edit?usp=sharing"",""งบพรบ!BW104"")"),0)</f>
        <v>0</v>
      </c>
      <c r="G104" s="46">
        <f ca="1">IFERROR(__xludf.DUMMYFUNCTION("IMPORTRANGE(""https://docs.google.com/spreadsheets/d/1MeEWN-I1oV_STSDYn1IFDPWt_1FKiwhDph83XaGc0o0/edit?usp=sharing"",""งบพรบ!BX104"")"),0)</f>
        <v>0</v>
      </c>
      <c r="H104" s="46">
        <f ca="1">IFERROR(__xludf.DUMMYFUNCTION("IMPORTRANGE(""https://docs.google.com/spreadsheets/d/1MeEWN-I1oV_STSDYn1IFDPWt_1FKiwhDph83XaGc0o0/edit?usp=sharing"",""งบพรบ!BZ104"")"),1011200)</f>
        <v>1011200</v>
      </c>
      <c r="I104" s="46">
        <f ca="1">IFERROR(__xludf.DUMMYFUNCTION("IMPORTRANGE(""https://docs.google.com/spreadsheets/d/1MeEWN-I1oV_STSDYn1IFDPWt_1FKiwhDph83XaGc0o0/edit?usp=sharing"",""งบพรบ!CA104"")"),0)</f>
        <v>0</v>
      </c>
      <c r="J104" s="46">
        <f t="shared" ca="1" si="3"/>
        <v>560000</v>
      </c>
      <c r="K104" s="48">
        <f t="shared" ca="1" si="4"/>
        <v>31.028368794326241</v>
      </c>
      <c r="L104" s="46">
        <f ca="1">IFERROR(__xludf.DUMMYFUNCTION("IMPORTRANGE(""https://docs.google.com/spreadsheets/d/1MeEWN-I1oV_STSDYn1IFDPWt_1FKiwhDph83XaGc0o0/edit?usp=sharing"",""งบพรบ!CB104"")"),560000)</f>
        <v>560000</v>
      </c>
      <c r="M104" s="48">
        <f t="shared" ca="1" si="5"/>
        <v>31.028368794326241</v>
      </c>
      <c r="N104" s="48">
        <f t="shared" ca="1" si="6"/>
        <v>55.379746835443036</v>
      </c>
      <c r="O104" s="46">
        <f ca="1">IFERROR(__xludf.DUMMYFUNCTION("IMPORTRANGE(""https://docs.google.com/spreadsheets/d/1MeEWN-I1oV_STSDYn1IFDPWt_1FKiwhDph83XaGc0o0/edit?usp=sharing"",""งบพรบ!CC104"")"),0)</f>
        <v>0</v>
      </c>
      <c r="P104" s="46">
        <f t="shared" ca="1" si="18"/>
        <v>0</v>
      </c>
      <c r="Q104" s="46">
        <f t="shared" ca="1" si="8"/>
        <v>0</v>
      </c>
      <c r="R104" s="46"/>
      <c r="S104" s="46"/>
      <c r="T104" s="46"/>
    </row>
    <row r="105" spans="1:20" ht="24" hidden="1" customHeight="1" x14ac:dyDescent="0.2">
      <c r="A105" s="108">
        <v>1</v>
      </c>
      <c r="B105" s="115" t="s">
        <v>127</v>
      </c>
      <c r="C105" s="116">
        <f t="shared" ca="1" si="0"/>
        <v>460200</v>
      </c>
      <c r="D105" s="71">
        <f t="shared" ref="D105:D116" ca="1" si="33">+E105+F105</f>
        <v>460200</v>
      </c>
      <c r="E105" s="72">
        <f ca="1">IFERROR(__xludf.DUMMYFUNCTION("IMPORTRANGE(""https://docs.google.com/spreadsheets/d/1MeEWN-I1oV_STSDYn1IFDPWt_1FKiwhDph83XaGc0o0/edit?usp=sharing"",""งบพรบ!BV105"")"),460200)</f>
        <v>460200</v>
      </c>
      <c r="F105" s="72">
        <f ca="1">IFERROR(__xludf.DUMMYFUNCTION("IMPORTRANGE(""https://docs.google.com/spreadsheets/d/1MeEWN-I1oV_STSDYn1IFDPWt_1FKiwhDph83XaGc0o0/edit?usp=sharing"",""งบพรบ!BW105"")"),0)</f>
        <v>0</v>
      </c>
      <c r="G105" s="72">
        <f ca="1">IFERROR(__xludf.DUMMYFUNCTION("IMPORTRANGE(""https://docs.google.com/spreadsheets/d/1MeEWN-I1oV_STSDYn1IFDPWt_1FKiwhDph83XaGc0o0/edit?usp=sharing"",""งบพรบ!BX105"")"),0)</f>
        <v>0</v>
      </c>
      <c r="H105" s="72">
        <f ca="1">IFERROR(__xludf.DUMMYFUNCTION("IMPORTRANGE(""https://docs.google.com/spreadsheets/d/1MeEWN-I1oV_STSDYn1IFDPWt_1FKiwhDph83XaGc0o0/edit?usp=sharing"",""งบพรบ!BZ105"")"),290200)</f>
        <v>290200</v>
      </c>
      <c r="I105" s="72">
        <f ca="1">IFERROR(__xludf.DUMMYFUNCTION("IMPORTRANGE(""https://docs.google.com/spreadsheets/d/1MeEWN-I1oV_STSDYn1IFDPWt_1FKiwhDph83XaGc0o0/edit?usp=sharing"",""งบพรบ!CA105"")"),0)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IFERROR(__xludf.DUMMYFUNCTION("IMPORTRANGE(""https://docs.google.com/spreadsheets/d/1MeEWN-I1oV_STSDYn1IFDPWt_1FKiwhDph83XaGc0o0/edit?usp=sharing"",""งบพรบ!CB105"")"),0)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IFERROR(__xludf.DUMMYFUNCTION("IMPORTRANGE(""https://docs.google.com/spreadsheets/d/1MeEWN-I1oV_STSDYn1IFDPWt_1FKiwhDph83XaGc0o0/edit?usp=sharing"",""งบพรบ!CC105"")"),0)</f>
        <v>0</v>
      </c>
      <c r="P105" s="76">
        <f t="shared" ca="1" si="18"/>
        <v>0</v>
      </c>
      <c r="Q105" s="75">
        <f t="shared" ca="1" si="8"/>
        <v>0</v>
      </c>
      <c r="R105" s="72"/>
      <c r="S105" s="72"/>
      <c r="T105" s="72"/>
    </row>
    <row r="106" spans="1:20" ht="24" hidden="1" customHeight="1" x14ac:dyDescent="0.2">
      <c r="A106" s="111">
        <v>2</v>
      </c>
      <c r="B106" s="117" t="s">
        <v>128</v>
      </c>
      <c r="C106" s="118">
        <f t="shared" ca="1" si="0"/>
        <v>1344600</v>
      </c>
      <c r="D106" s="81">
        <f t="shared" ca="1" si="33"/>
        <v>1344600</v>
      </c>
      <c r="E106" s="82">
        <f ca="1">IFERROR(__xludf.DUMMYFUNCTION("IMPORTRANGE(""https://docs.google.com/spreadsheets/d/1MeEWN-I1oV_STSDYn1IFDPWt_1FKiwhDph83XaGc0o0/edit?usp=sharing"",""งบพรบ!BV106"")"),1344600)</f>
        <v>1344600</v>
      </c>
      <c r="F106" s="82">
        <f ca="1">IFERROR(__xludf.DUMMYFUNCTION("IMPORTRANGE(""https://docs.google.com/spreadsheets/d/1MeEWN-I1oV_STSDYn1IFDPWt_1FKiwhDph83XaGc0o0/edit?usp=sharing"",""งบพรบ!BW106"")"),0)</f>
        <v>0</v>
      </c>
      <c r="G106" s="82">
        <f ca="1">IFERROR(__xludf.DUMMYFUNCTION("IMPORTRANGE(""https://docs.google.com/spreadsheets/d/1MeEWN-I1oV_STSDYn1IFDPWt_1FKiwhDph83XaGc0o0/edit?usp=sharing"",""งบพรบ!BX106"")"),0)</f>
        <v>0</v>
      </c>
      <c r="H106" s="82">
        <f ca="1">IFERROR(__xludf.DUMMYFUNCTION("IMPORTRANGE(""https://docs.google.com/spreadsheets/d/1MeEWN-I1oV_STSDYn1IFDPWt_1FKiwhDph83XaGc0o0/edit?usp=sharing"",""งบพรบ!BZ106"")"),721000)</f>
        <v>721000</v>
      </c>
      <c r="I106" s="82">
        <f ca="1">IFERROR(__xludf.DUMMYFUNCTION("IMPORTRANGE(""https://docs.google.com/spreadsheets/d/1MeEWN-I1oV_STSDYn1IFDPWt_1FKiwhDph83XaGc0o0/edit?usp=sharing"",""งบพรบ!CA106"")"),0)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IFERROR(__xludf.DUMMYFUNCTION("IMPORTRANGE(""https://docs.google.com/spreadsheets/d/1MeEWN-I1oV_STSDYn1IFDPWt_1FKiwhDph83XaGc0o0/edit?usp=sharing"",""งบพรบ!CB106"")"),0)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IFERROR(__xludf.DUMMYFUNCTION("IMPORTRANGE(""https://docs.google.com/spreadsheets/d/1MeEWN-I1oV_STSDYn1IFDPWt_1FKiwhDph83XaGc0o0/edit?usp=sharing"",""งบพรบ!CC106"")"),0)</f>
        <v>0</v>
      </c>
      <c r="P106" s="85">
        <f t="shared" ca="1" si="18"/>
        <v>0</v>
      </c>
      <c r="Q106" s="84">
        <f t="shared" ca="1" si="8"/>
        <v>0</v>
      </c>
      <c r="R106" s="82"/>
      <c r="S106" s="82"/>
      <c r="T106" s="82"/>
    </row>
    <row r="107" spans="1:20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33"/>
        <v>0</v>
      </c>
      <c r="E107" s="82">
        <f ca="1">IFERROR(__xludf.DUMMYFUNCTION("IMPORTRANGE(""https://docs.google.com/spreadsheets/d/1MeEWN-I1oV_STSDYn1IFDPWt_1FKiwhDph83XaGc0o0/edit?usp=sharing"",""งบพรบ!BV107"")"),0)</f>
        <v>0</v>
      </c>
      <c r="F107" s="82">
        <f ca="1">IFERROR(__xludf.DUMMYFUNCTION("IMPORTRANGE(""https://docs.google.com/spreadsheets/d/1MeEWN-I1oV_STSDYn1IFDPWt_1FKiwhDph83XaGc0o0/edit?usp=sharing"",""งบพรบ!BW107"")"),0)</f>
        <v>0</v>
      </c>
      <c r="G107" s="82">
        <f ca="1">IFERROR(__xludf.DUMMYFUNCTION("IMPORTRANGE(""https://docs.google.com/spreadsheets/d/1MeEWN-I1oV_STSDYn1IFDPWt_1FKiwhDph83XaGc0o0/edit?usp=sharing"",""งบพรบ!BX107"")"),0)</f>
        <v>0</v>
      </c>
      <c r="H107" s="82">
        <f ca="1">IFERROR(__xludf.DUMMYFUNCTION("IMPORTRANGE(""https://docs.google.com/spreadsheets/d/1MeEWN-I1oV_STSDYn1IFDPWt_1FKiwhDph83XaGc0o0/edit?usp=sharing"",""งบพรบ!BZ107"")"),0)</f>
        <v>0</v>
      </c>
      <c r="I107" s="82">
        <f ca="1">IFERROR(__xludf.DUMMYFUNCTION("IMPORTRANGE(""https://docs.google.com/spreadsheets/d/1MeEWN-I1oV_STSDYn1IFDPWt_1FKiwhDph83XaGc0o0/edit?usp=sharing"",""งบพรบ!CA107"")"),0)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IFERROR(__xludf.DUMMYFUNCTION("IMPORTRANGE(""https://docs.google.com/spreadsheets/d/1MeEWN-I1oV_STSDYn1IFDPWt_1FKiwhDph83XaGc0o0/edit?usp=sharing"",""งบพรบ!CB107"")"),0)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IFERROR(__xludf.DUMMYFUNCTION("IMPORTRANGE(""https://docs.google.com/spreadsheets/d/1MeEWN-I1oV_STSDYn1IFDPWt_1FKiwhDph83XaGc0o0/edit?usp=sharing"",""งบพรบ!CC107"")"),0)</f>
        <v>0</v>
      </c>
      <c r="P107" s="85">
        <f t="shared" ca="1" si="18"/>
        <v>0</v>
      </c>
      <c r="Q107" s="84">
        <f t="shared" ca="1" si="8"/>
        <v>0</v>
      </c>
      <c r="R107" s="82"/>
      <c r="S107" s="82"/>
      <c r="T107" s="82"/>
    </row>
    <row r="108" spans="1:20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33"/>
        <v>0</v>
      </c>
      <c r="E108" s="82">
        <f ca="1">IFERROR(__xludf.DUMMYFUNCTION("IMPORTRANGE(""https://docs.google.com/spreadsheets/d/1MeEWN-I1oV_STSDYn1IFDPWt_1FKiwhDph83XaGc0o0/edit?usp=sharing"",""งบพรบ!BV108"")"),0)</f>
        <v>0</v>
      </c>
      <c r="F108" s="82">
        <f ca="1">IFERROR(__xludf.DUMMYFUNCTION("IMPORTRANGE(""https://docs.google.com/spreadsheets/d/1MeEWN-I1oV_STSDYn1IFDPWt_1FKiwhDph83XaGc0o0/edit?usp=sharing"",""งบพรบ!BW108"")"),0)</f>
        <v>0</v>
      </c>
      <c r="G108" s="82">
        <f ca="1">IFERROR(__xludf.DUMMYFUNCTION("IMPORTRANGE(""https://docs.google.com/spreadsheets/d/1MeEWN-I1oV_STSDYn1IFDPWt_1FKiwhDph83XaGc0o0/edit?usp=sharing"",""งบพรบ!BX108"")"),0)</f>
        <v>0</v>
      </c>
      <c r="H108" s="82">
        <f ca="1">IFERROR(__xludf.DUMMYFUNCTION("IMPORTRANGE(""https://docs.google.com/spreadsheets/d/1MeEWN-I1oV_STSDYn1IFDPWt_1FKiwhDph83XaGc0o0/edit?usp=sharing"",""งบพรบ!BZ108"")"),0)</f>
        <v>0</v>
      </c>
      <c r="I108" s="82">
        <f ca="1">IFERROR(__xludf.DUMMYFUNCTION("IMPORTRANGE(""https://docs.google.com/spreadsheets/d/1MeEWN-I1oV_STSDYn1IFDPWt_1FKiwhDph83XaGc0o0/edit?usp=sharing"",""งบพรบ!CA108"")"),0)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IFERROR(__xludf.DUMMYFUNCTION("IMPORTRANGE(""https://docs.google.com/spreadsheets/d/1MeEWN-I1oV_STSDYn1IFDPWt_1FKiwhDph83XaGc0o0/edit?usp=sharing"",""งบพรบ!CB108"")"),0)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IFERROR(__xludf.DUMMYFUNCTION("IMPORTRANGE(""https://docs.google.com/spreadsheets/d/1MeEWN-I1oV_STSDYn1IFDPWt_1FKiwhDph83XaGc0o0/edit?usp=sharing"",""งบพรบ!CC108"")"),0)</f>
        <v>0</v>
      </c>
      <c r="P108" s="85">
        <f t="shared" ca="1" si="18"/>
        <v>0</v>
      </c>
      <c r="Q108" s="84">
        <f t="shared" ca="1" si="8"/>
        <v>0</v>
      </c>
      <c r="R108" s="82"/>
      <c r="S108" s="82"/>
      <c r="T108" s="82"/>
    </row>
    <row r="109" spans="1:20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33"/>
        <v>0</v>
      </c>
      <c r="E109" s="82">
        <f ca="1">IFERROR(__xludf.DUMMYFUNCTION("IMPORTRANGE(""https://docs.google.com/spreadsheets/d/1MeEWN-I1oV_STSDYn1IFDPWt_1FKiwhDph83XaGc0o0/edit?usp=sharing"",""งบพรบ!BV109"")"),0)</f>
        <v>0</v>
      </c>
      <c r="F109" s="82">
        <f ca="1">IFERROR(__xludf.DUMMYFUNCTION("IMPORTRANGE(""https://docs.google.com/spreadsheets/d/1MeEWN-I1oV_STSDYn1IFDPWt_1FKiwhDph83XaGc0o0/edit?usp=sharing"",""งบพรบ!BW109"")"),0)</f>
        <v>0</v>
      </c>
      <c r="G109" s="82">
        <f ca="1">IFERROR(__xludf.DUMMYFUNCTION("IMPORTRANGE(""https://docs.google.com/spreadsheets/d/1MeEWN-I1oV_STSDYn1IFDPWt_1FKiwhDph83XaGc0o0/edit?usp=sharing"",""งบพรบ!BX109"")"),0)</f>
        <v>0</v>
      </c>
      <c r="H109" s="82">
        <f ca="1">IFERROR(__xludf.DUMMYFUNCTION("IMPORTRANGE(""https://docs.google.com/spreadsheets/d/1MeEWN-I1oV_STSDYn1IFDPWt_1FKiwhDph83XaGc0o0/edit?usp=sharing"",""งบพรบ!BZ109"")"),0)</f>
        <v>0</v>
      </c>
      <c r="I109" s="82">
        <f ca="1">IFERROR(__xludf.DUMMYFUNCTION("IMPORTRANGE(""https://docs.google.com/spreadsheets/d/1MeEWN-I1oV_STSDYn1IFDPWt_1FKiwhDph83XaGc0o0/edit?usp=sharing"",""งบพรบ!CA109"")"),0)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IFERROR(__xludf.DUMMYFUNCTION("IMPORTRANGE(""https://docs.google.com/spreadsheets/d/1MeEWN-I1oV_STSDYn1IFDPWt_1FKiwhDph83XaGc0o0/edit?usp=sharing"",""งบพรบ!CB109"")"),0)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IFERROR(__xludf.DUMMYFUNCTION("IMPORTRANGE(""https://docs.google.com/spreadsheets/d/1MeEWN-I1oV_STSDYn1IFDPWt_1FKiwhDph83XaGc0o0/edit?usp=sharing"",""งบพรบ!CC109"")"),0)</f>
        <v>0</v>
      </c>
      <c r="P109" s="85">
        <f t="shared" ca="1" si="18"/>
        <v>0</v>
      </c>
      <c r="Q109" s="84">
        <f t="shared" ca="1" si="8"/>
        <v>0</v>
      </c>
      <c r="R109" s="82"/>
      <c r="S109" s="82"/>
      <c r="T109" s="82"/>
    </row>
    <row r="110" spans="1:20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33"/>
        <v>0</v>
      </c>
      <c r="E110" s="82">
        <f ca="1">IFERROR(__xludf.DUMMYFUNCTION("IMPORTRANGE(""https://docs.google.com/spreadsheets/d/1MeEWN-I1oV_STSDYn1IFDPWt_1FKiwhDph83XaGc0o0/edit?usp=sharing"",""งบพรบ!BV110"")"),0)</f>
        <v>0</v>
      </c>
      <c r="F110" s="82">
        <f ca="1">IFERROR(__xludf.DUMMYFUNCTION("IMPORTRANGE(""https://docs.google.com/spreadsheets/d/1MeEWN-I1oV_STSDYn1IFDPWt_1FKiwhDph83XaGc0o0/edit?usp=sharing"",""งบพรบ!BW110"")"),0)</f>
        <v>0</v>
      </c>
      <c r="G110" s="82">
        <f ca="1">IFERROR(__xludf.DUMMYFUNCTION("IMPORTRANGE(""https://docs.google.com/spreadsheets/d/1MeEWN-I1oV_STSDYn1IFDPWt_1FKiwhDph83XaGc0o0/edit?usp=sharing"",""งบพรบ!BX110"")"),0)</f>
        <v>0</v>
      </c>
      <c r="H110" s="82">
        <f ca="1">IFERROR(__xludf.DUMMYFUNCTION("IMPORTRANGE(""https://docs.google.com/spreadsheets/d/1MeEWN-I1oV_STSDYn1IFDPWt_1FKiwhDph83XaGc0o0/edit?usp=sharing"",""งบพรบ!BZ110"")"),0)</f>
        <v>0</v>
      </c>
      <c r="I110" s="82">
        <f ca="1">IFERROR(__xludf.DUMMYFUNCTION("IMPORTRANGE(""https://docs.google.com/spreadsheets/d/1MeEWN-I1oV_STSDYn1IFDPWt_1FKiwhDph83XaGc0o0/edit?usp=sharing"",""งบพรบ!CA110"")"),0)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IFERROR(__xludf.DUMMYFUNCTION("IMPORTRANGE(""https://docs.google.com/spreadsheets/d/1MeEWN-I1oV_STSDYn1IFDPWt_1FKiwhDph83XaGc0o0/edit?usp=sharing"",""งบพรบ!CB110"")"),0)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IFERROR(__xludf.DUMMYFUNCTION("IMPORTRANGE(""https://docs.google.com/spreadsheets/d/1MeEWN-I1oV_STSDYn1IFDPWt_1FKiwhDph83XaGc0o0/edit?usp=sharing"",""งบพรบ!CC110"")"),0)</f>
        <v>0</v>
      </c>
      <c r="P110" s="85">
        <f t="shared" ca="1" si="18"/>
        <v>0</v>
      </c>
      <c r="Q110" s="84">
        <f t="shared" ca="1" si="8"/>
        <v>0</v>
      </c>
      <c r="R110" s="82"/>
      <c r="S110" s="82"/>
      <c r="T110" s="82"/>
    </row>
    <row r="111" spans="1:20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33"/>
        <v>0</v>
      </c>
      <c r="E111" s="82">
        <f ca="1">IFERROR(__xludf.DUMMYFUNCTION("IMPORTRANGE(""https://docs.google.com/spreadsheets/d/1MeEWN-I1oV_STSDYn1IFDPWt_1FKiwhDph83XaGc0o0/edit?usp=sharing"",""งบพรบ!BV111"")"),0)</f>
        <v>0</v>
      </c>
      <c r="F111" s="82">
        <f ca="1">IFERROR(__xludf.DUMMYFUNCTION("IMPORTRANGE(""https://docs.google.com/spreadsheets/d/1MeEWN-I1oV_STSDYn1IFDPWt_1FKiwhDph83XaGc0o0/edit?usp=sharing"",""งบพรบ!BW111"")"),0)</f>
        <v>0</v>
      </c>
      <c r="G111" s="82">
        <f ca="1">IFERROR(__xludf.DUMMYFUNCTION("IMPORTRANGE(""https://docs.google.com/spreadsheets/d/1MeEWN-I1oV_STSDYn1IFDPWt_1FKiwhDph83XaGc0o0/edit?usp=sharing"",""งบพรบ!BX111"")"),0)</f>
        <v>0</v>
      </c>
      <c r="H111" s="82">
        <f ca="1">IFERROR(__xludf.DUMMYFUNCTION("IMPORTRANGE(""https://docs.google.com/spreadsheets/d/1MeEWN-I1oV_STSDYn1IFDPWt_1FKiwhDph83XaGc0o0/edit?usp=sharing"",""งบพรบ!BZ111"")"),0)</f>
        <v>0</v>
      </c>
      <c r="I111" s="82">
        <f ca="1">IFERROR(__xludf.DUMMYFUNCTION("IMPORTRANGE(""https://docs.google.com/spreadsheets/d/1MeEWN-I1oV_STSDYn1IFDPWt_1FKiwhDph83XaGc0o0/edit?usp=sharing"",""งบพรบ!CA111"")"),0)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IFERROR(__xludf.DUMMYFUNCTION("IMPORTRANGE(""https://docs.google.com/spreadsheets/d/1MeEWN-I1oV_STSDYn1IFDPWt_1FKiwhDph83XaGc0o0/edit?usp=sharing"",""งบพรบ!CB111"")"),0)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IFERROR(__xludf.DUMMYFUNCTION("IMPORTRANGE(""https://docs.google.com/spreadsheets/d/1MeEWN-I1oV_STSDYn1IFDPWt_1FKiwhDph83XaGc0o0/edit?usp=sharing"",""งบพรบ!CC111"")"),0)</f>
        <v>0</v>
      </c>
      <c r="P111" s="85">
        <f t="shared" ca="1" si="18"/>
        <v>0</v>
      </c>
      <c r="Q111" s="84">
        <f t="shared" ca="1" si="8"/>
        <v>0</v>
      </c>
      <c r="R111" s="82"/>
      <c r="S111" s="82"/>
      <c r="T111" s="82"/>
    </row>
    <row r="112" spans="1:20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33"/>
        <v>0</v>
      </c>
      <c r="E112" s="82">
        <f ca="1">IFERROR(__xludf.DUMMYFUNCTION("IMPORTRANGE(""https://docs.google.com/spreadsheets/d/1MeEWN-I1oV_STSDYn1IFDPWt_1FKiwhDph83XaGc0o0/edit?usp=sharing"",""งบพรบ!BV112"")"),0)</f>
        <v>0</v>
      </c>
      <c r="F112" s="82">
        <f ca="1">IFERROR(__xludf.DUMMYFUNCTION("IMPORTRANGE(""https://docs.google.com/spreadsheets/d/1MeEWN-I1oV_STSDYn1IFDPWt_1FKiwhDph83XaGc0o0/edit?usp=sharing"",""งบพรบ!BW112"")"),0)</f>
        <v>0</v>
      </c>
      <c r="G112" s="82">
        <f ca="1">IFERROR(__xludf.DUMMYFUNCTION("IMPORTRANGE(""https://docs.google.com/spreadsheets/d/1MeEWN-I1oV_STSDYn1IFDPWt_1FKiwhDph83XaGc0o0/edit?usp=sharing"",""งบพรบ!BX112"")"),0)</f>
        <v>0</v>
      </c>
      <c r="H112" s="82">
        <f ca="1">IFERROR(__xludf.DUMMYFUNCTION("IMPORTRANGE(""https://docs.google.com/spreadsheets/d/1MeEWN-I1oV_STSDYn1IFDPWt_1FKiwhDph83XaGc0o0/edit?usp=sharing"",""งบพรบ!BZ112"")"),0)</f>
        <v>0</v>
      </c>
      <c r="I112" s="82">
        <f ca="1">IFERROR(__xludf.DUMMYFUNCTION("IMPORTRANGE(""https://docs.google.com/spreadsheets/d/1MeEWN-I1oV_STSDYn1IFDPWt_1FKiwhDph83XaGc0o0/edit?usp=sharing"",""งบพรบ!CA112"")"),0)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IFERROR(__xludf.DUMMYFUNCTION("IMPORTRANGE(""https://docs.google.com/spreadsheets/d/1MeEWN-I1oV_STSDYn1IFDPWt_1FKiwhDph83XaGc0o0/edit?usp=sharing"",""งบพรบ!CB112"")"),0)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IFERROR(__xludf.DUMMYFUNCTION("IMPORTRANGE(""https://docs.google.com/spreadsheets/d/1MeEWN-I1oV_STSDYn1IFDPWt_1FKiwhDph83XaGc0o0/edit?usp=sharing"",""งบพรบ!CC112"")"),0)</f>
        <v>0</v>
      </c>
      <c r="P112" s="85">
        <f t="shared" ca="1" si="18"/>
        <v>0</v>
      </c>
      <c r="Q112" s="84">
        <f t="shared" ca="1" si="8"/>
        <v>0</v>
      </c>
      <c r="R112" s="82"/>
      <c r="S112" s="82"/>
      <c r="T112" s="82"/>
    </row>
    <row r="113" spans="1:20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33"/>
        <v>0</v>
      </c>
      <c r="E113" s="82">
        <f ca="1">IFERROR(__xludf.DUMMYFUNCTION("IMPORTRANGE(""https://docs.google.com/spreadsheets/d/1MeEWN-I1oV_STSDYn1IFDPWt_1FKiwhDph83XaGc0o0/edit?usp=sharing"",""งบพรบ!BV113"")"),0)</f>
        <v>0</v>
      </c>
      <c r="F113" s="82">
        <f ca="1">IFERROR(__xludf.DUMMYFUNCTION("IMPORTRANGE(""https://docs.google.com/spreadsheets/d/1MeEWN-I1oV_STSDYn1IFDPWt_1FKiwhDph83XaGc0o0/edit?usp=sharing"",""งบพรบ!BW113"")"),0)</f>
        <v>0</v>
      </c>
      <c r="G113" s="82">
        <f ca="1">IFERROR(__xludf.DUMMYFUNCTION("IMPORTRANGE(""https://docs.google.com/spreadsheets/d/1MeEWN-I1oV_STSDYn1IFDPWt_1FKiwhDph83XaGc0o0/edit?usp=sharing"",""งบพรบ!BX113"")"),0)</f>
        <v>0</v>
      </c>
      <c r="H113" s="82">
        <f ca="1">IFERROR(__xludf.DUMMYFUNCTION("IMPORTRANGE(""https://docs.google.com/spreadsheets/d/1MeEWN-I1oV_STSDYn1IFDPWt_1FKiwhDph83XaGc0o0/edit?usp=sharing"",""งบพรบ!BZ113"")"),0)</f>
        <v>0</v>
      </c>
      <c r="I113" s="82">
        <f ca="1">IFERROR(__xludf.DUMMYFUNCTION("IMPORTRANGE(""https://docs.google.com/spreadsheets/d/1MeEWN-I1oV_STSDYn1IFDPWt_1FKiwhDph83XaGc0o0/edit?usp=sharing"",""งบพรบ!CA113"")"),0)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IFERROR(__xludf.DUMMYFUNCTION("IMPORTRANGE(""https://docs.google.com/spreadsheets/d/1MeEWN-I1oV_STSDYn1IFDPWt_1FKiwhDph83XaGc0o0/edit?usp=sharing"",""งบพรบ!CB113"")"),0)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IFERROR(__xludf.DUMMYFUNCTION("IMPORTRANGE(""https://docs.google.com/spreadsheets/d/1MeEWN-I1oV_STSDYn1IFDPWt_1FKiwhDph83XaGc0o0/edit?usp=sharing"",""งบพรบ!CC113"")"),0)</f>
        <v>0</v>
      </c>
      <c r="P113" s="85">
        <f t="shared" ca="1" si="18"/>
        <v>0</v>
      </c>
      <c r="Q113" s="84">
        <f t="shared" ca="1" si="8"/>
        <v>0</v>
      </c>
      <c r="R113" s="82"/>
      <c r="S113" s="82"/>
      <c r="T113" s="82"/>
    </row>
    <row r="114" spans="1:20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33"/>
        <v>0</v>
      </c>
      <c r="E114" s="82">
        <f ca="1">IFERROR(__xludf.DUMMYFUNCTION("IMPORTRANGE(""https://docs.google.com/spreadsheets/d/1MeEWN-I1oV_STSDYn1IFDPWt_1FKiwhDph83XaGc0o0/edit?usp=sharing"",""งบพรบ!BV114"")"),0)</f>
        <v>0</v>
      </c>
      <c r="F114" s="82">
        <f ca="1">IFERROR(__xludf.DUMMYFUNCTION("IMPORTRANGE(""https://docs.google.com/spreadsheets/d/1MeEWN-I1oV_STSDYn1IFDPWt_1FKiwhDph83XaGc0o0/edit?usp=sharing"",""งบพรบ!BW114"")"),0)</f>
        <v>0</v>
      </c>
      <c r="G114" s="82">
        <f ca="1">IFERROR(__xludf.DUMMYFUNCTION("IMPORTRANGE(""https://docs.google.com/spreadsheets/d/1MeEWN-I1oV_STSDYn1IFDPWt_1FKiwhDph83XaGc0o0/edit?usp=sharing"",""งบพรบ!BX114"")"),0)</f>
        <v>0</v>
      </c>
      <c r="H114" s="82">
        <f ca="1">IFERROR(__xludf.DUMMYFUNCTION("IMPORTRANGE(""https://docs.google.com/spreadsheets/d/1MeEWN-I1oV_STSDYn1IFDPWt_1FKiwhDph83XaGc0o0/edit?usp=sharing"",""งบพรบ!BZ114"")"),0)</f>
        <v>0</v>
      </c>
      <c r="I114" s="82">
        <f ca="1">IFERROR(__xludf.DUMMYFUNCTION("IMPORTRANGE(""https://docs.google.com/spreadsheets/d/1MeEWN-I1oV_STSDYn1IFDPWt_1FKiwhDph83XaGc0o0/edit?usp=sharing"",""งบพรบ!CA114"")"),0)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IFERROR(__xludf.DUMMYFUNCTION("IMPORTRANGE(""https://docs.google.com/spreadsheets/d/1MeEWN-I1oV_STSDYn1IFDPWt_1FKiwhDph83XaGc0o0/edit?usp=sharing"",""งบพรบ!CB114"")"),0)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IFERROR(__xludf.DUMMYFUNCTION("IMPORTRANGE(""https://docs.google.com/spreadsheets/d/1MeEWN-I1oV_STSDYn1IFDPWt_1FKiwhDph83XaGc0o0/edit?usp=sharing"",""งบพรบ!CC114"")"),0)</f>
        <v>0</v>
      </c>
      <c r="P114" s="85">
        <f t="shared" ca="1" si="18"/>
        <v>0</v>
      </c>
      <c r="Q114" s="84">
        <f t="shared" ca="1" si="8"/>
        <v>0</v>
      </c>
      <c r="R114" s="82"/>
      <c r="S114" s="82"/>
      <c r="T114" s="82"/>
    </row>
    <row r="115" spans="1:20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33"/>
        <v>0</v>
      </c>
      <c r="E115" s="82">
        <f ca="1">IFERROR(__xludf.DUMMYFUNCTION("IMPORTRANGE(""https://docs.google.com/spreadsheets/d/1MeEWN-I1oV_STSDYn1IFDPWt_1FKiwhDph83XaGc0o0/edit?usp=sharing"",""งบพรบ!BV115"")"),0)</f>
        <v>0</v>
      </c>
      <c r="F115" s="82">
        <f ca="1">IFERROR(__xludf.DUMMYFUNCTION("IMPORTRANGE(""https://docs.google.com/spreadsheets/d/1MeEWN-I1oV_STSDYn1IFDPWt_1FKiwhDph83XaGc0o0/edit?usp=sharing"",""งบพรบ!BW115"")"),0)</f>
        <v>0</v>
      </c>
      <c r="G115" s="82">
        <f ca="1">IFERROR(__xludf.DUMMYFUNCTION("IMPORTRANGE(""https://docs.google.com/spreadsheets/d/1MeEWN-I1oV_STSDYn1IFDPWt_1FKiwhDph83XaGc0o0/edit?usp=sharing"",""งบพรบ!BX115"")"),0)</f>
        <v>0</v>
      </c>
      <c r="H115" s="82">
        <f ca="1">IFERROR(__xludf.DUMMYFUNCTION("IMPORTRANGE(""https://docs.google.com/spreadsheets/d/1MeEWN-I1oV_STSDYn1IFDPWt_1FKiwhDph83XaGc0o0/edit?usp=sharing"",""งบพรบ!BZ115"")"),0)</f>
        <v>0</v>
      </c>
      <c r="I115" s="82">
        <f ca="1">IFERROR(__xludf.DUMMYFUNCTION("IMPORTRANGE(""https://docs.google.com/spreadsheets/d/1MeEWN-I1oV_STSDYn1IFDPWt_1FKiwhDph83XaGc0o0/edit?usp=sharing"",""งบพรบ!CA115"")"),0)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IFERROR(__xludf.DUMMYFUNCTION("IMPORTRANGE(""https://docs.google.com/spreadsheets/d/1MeEWN-I1oV_STSDYn1IFDPWt_1FKiwhDph83XaGc0o0/edit?usp=sharing"",""งบพรบ!CB115"")"),0)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IFERROR(__xludf.DUMMYFUNCTION("IMPORTRANGE(""https://docs.google.com/spreadsheets/d/1MeEWN-I1oV_STSDYn1IFDPWt_1FKiwhDph83XaGc0o0/edit?usp=sharing"",""งบพรบ!CC115"")"),0)</f>
        <v>0</v>
      </c>
      <c r="P115" s="85">
        <f t="shared" ca="1" si="18"/>
        <v>0</v>
      </c>
      <c r="Q115" s="84">
        <f t="shared" ca="1" si="8"/>
        <v>0</v>
      </c>
      <c r="R115" s="82"/>
      <c r="S115" s="82"/>
      <c r="T115" s="82"/>
    </row>
    <row r="116" spans="1:20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33"/>
        <v>0</v>
      </c>
      <c r="E116" s="82">
        <f ca="1">IFERROR(__xludf.DUMMYFUNCTION("IMPORTRANGE(""https://docs.google.com/spreadsheets/d/1MeEWN-I1oV_STSDYn1IFDPWt_1FKiwhDph83XaGc0o0/edit?usp=sharing"",""งบพรบ!BV116"")"),0)</f>
        <v>0</v>
      </c>
      <c r="F116" s="82">
        <f ca="1">IFERROR(__xludf.DUMMYFUNCTION("IMPORTRANGE(""https://docs.google.com/spreadsheets/d/1MeEWN-I1oV_STSDYn1IFDPWt_1FKiwhDph83XaGc0o0/edit?usp=sharing"",""งบพรบ!BW116"")"),0)</f>
        <v>0</v>
      </c>
      <c r="G116" s="82">
        <f ca="1">IFERROR(__xludf.DUMMYFUNCTION("IMPORTRANGE(""https://docs.google.com/spreadsheets/d/1MeEWN-I1oV_STSDYn1IFDPWt_1FKiwhDph83XaGc0o0/edit?usp=sharing"",""งบพรบ!BX116"")"),0)</f>
        <v>0</v>
      </c>
      <c r="H116" s="82">
        <f ca="1">IFERROR(__xludf.DUMMYFUNCTION("IMPORTRANGE(""https://docs.google.com/spreadsheets/d/1MeEWN-I1oV_STSDYn1IFDPWt_1FKiwhDph83XaGc0o0/edit?usp=sharing"",""งบพรบ!BZ116"")"),0)</f>
        <v>0</v>
      </c>
      <c r="I116" s="82">
        <f ca="1">IFERROR(__xludf.DUMMYFUNCTION("IMPORTRANGE(""https://docs.google.com/spreadsheets/d/1MeEWN-I1oV_STSDYn1IFDPWt_1FKiwhDph83XaGc0o0/edit?usp=sharing"",""งบพรบ!CA116"")"),0)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IFERROR(__xludf.DUMMYFUNCTION("IMPORTRANGE(""https://docs.google.com/spreadsheets/d/1MeEWN-I1oV_STSDYn1IFDPWt_1FKiwhDph83XaGc0o0/edit?usp=sharing"",""งบพรบ!CB116"")"),0)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IFERROR(__xludf.DUMMYFUNCTION("IMPORTRANGE(""https://docs.google.com/spreadsheets/d/1MeEWN-I1oV_STSDYn1IFDPWt_1FKiwhDph83XaGc0o0/edit?usp=sharing"",""งบพรบ!CC116"")"),0)</f>
        <v>0</v>
      </c>
      <c r="P116" s="85">
        <f t="shared" ca="1" si="18"/>
        <v>0</v>
      </c>
      <c r="Q116" s="84">
        <f t="shared" ca="1" si="8"/>
        <v>0</v>
      </c>
      <c r="R116" s="82"/>
      <c r="S116" s="82"/>
      <c r="T116" s="82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1"/>
    </row>
    <row r="315" spans="1:20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1"/>
    </row>
    <row r="316" spans="1:20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1"/>
    </row>
    <row r="317" spans="1:20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1"/>
    </row>
    <row r="318" spans="1:20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1"/>
    </row>
    <row r="319" spans="1:20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1"/>
    </row>
    <row r="320" spans="1:20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1"/>
    </row>
    <row r="321" spans="1:20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1"/>
    </row>
    <row r="322" spans="1:20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1"/>
    </row>
    <row r="323" spans="1:20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1"/>
    </row>
    <row r="324" spans="1:20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1"/>
    </row>
    <row r="325" spans="1:20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1"/>
    </row>
    <row r="326" spans="1:20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1"/>
    </row>
    <row r="327" spans="1:20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1"/>
    </row>
    <row r="328" spans="1:20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1"/>
    </row>
    <row r="329" spans="1:20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1"/>
    </row>
    <row r="330" spans="1:20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1"/>
    </row>
    <row r="331" spans="1:20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1"/>
    </row>
    <row r="332" spans="1:20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1"/>
    </row>
    <row r="333" spans="1:20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1"/>
    </row>
    <row r="334" spans="1:20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1"/>
    </row>
    <row r="335" spans="1:20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1"/>
    </row>
    <row r="336" spans="1:20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1"/>
    </row>
    <row r="337" spans="1:20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1"/>
    </row>
    <row r="338" spans="1:20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1"/>
    </row>
    <row r="339" spans="1:20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1"/>
    </row>
    <row r="340" spans="1:20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1"/>
    </row>
    <row r="341" spans="1:20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1"/>
    </row>
    <row r="342" spans="1:20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1"/>
    </row>
    <row r="343" spans="1:20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1"/>
    </row>
    <row r="344" spans="1:20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1"/>
    </row>
    <row r="345" spans="1:20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1"/>
    </row>
    <row r="346" spans="1:20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1"/>
    </row>
    <row r="347" spans="1:20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1"/>
    </row>
    <row r="348" spans="1:20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1"/>
    </row>
    <row r="349" spans="1:20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1"/>
    </row>
    <row r="350" spans="1:20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1"/>
    </row>
    <row r="351" spans="1:20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1"/>
    </row>
    <row r="352" spans="1:20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1"/>
    </row>
    <row r="353" spans="1:20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1"/>
    </row>
    <row r="354" spans="1:20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1"/>
    </row>
    <row r="355" spans="1:20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1"/>
    </row>
    <row r="356" spans="1:20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1"/>
    </row>
    <row r="357" spans="1:20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1"/>
    </row>
    <row r="358" spans="1:20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1"/>
    </row>
    <row r="359" spans="1:20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1"/>
    </row>
    <row r="360" spans="1:20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1"/>
    </row>
    <row r="361" spans="1:20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1"/>
    </row>
    <row r="362" spans="1:20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1"/>
    </row>
    <row r="363" spans="1:20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1"/>
    </row>
    <row r="364" spans="1:20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1"/>
    </row>
    <row r="365" spans="1:20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1"/>
    </row>
    <row r="366" spans="1:20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1"/>
    </row>
    <row r="367" spans="1:20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1"/>
    </row>
    <row r="368" spans="1:20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1"/>
    </row>
    <row r="369" spans="1:20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1"/>
    </row>
    <row r="370" spans="1:20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1"/>
    </row>
    <row r="371" spans="1:20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1"/>
    </row>
    <row r="372" spans="1:20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1"/>
    </row>
    <row r="373" spans="1:20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1"/>
    </row>
    <row r="374" spans="1:20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1"/>
    </row>
    <row r="375" spans="1:20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1"/>
    </row>
    <row r="376" spans="1:20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1"/>
    </row>
    <row r="377" spans="1:20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1"/>
    </row>
    <row r="378" spans="1:20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1"/>
    </row>
    <row r="379" spans="1:20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1"/>
    </row>
    <row r="380" spans="1:20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1"/>
    </row>
    <row r="381" spans="1:20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1"/>
    </row>
    <row r="382" spans="1:20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1"/>
    </row>
    <row r="383" spans="1:20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1"/>
    </row>
    <row r="384" spans="1:20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1"/>
    </row>
    <row r="385" spans="1:20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1"/>
    </row>
    <row r="386" spans="1:20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1"/>
    </row>
    <row r="387" spans="1:20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1"/>
    </row>
    <row r="388" spans="1:20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1"/>
    </row>
    <row r="389" spans="1:20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1"/>
    </row>
    <row r="390" spans="1:20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1"/>
    </row>
    <row r="391" spans="1:20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1"/>
    </row>
    <row r="392" spans="1:20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1"/>
    </row>
    <row r="393" spans="1:20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1"/>
    </row>
    <row r="394" spans="1:20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1"/>
    </row>
    <row r="395" spans="1:20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1"/>
    </row>
    <row r="396" spans="1:20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1"/>
    </row>
    <row r="397" spans="1:20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1"/>
    </row>
    <row r="398" spans="1:20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1"/>
    </row>
    <row r="399" spans="1:20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1"/>
    </row>
    <row r="400" spans="1:20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1"/>
    </row>
    <row r="401" spans="1:20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1"/>
    </row>
    <row r="402" spans="1:20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1"/>
    </row>
    <row r="403" spans="1:20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1"/>
    </row>
    <row r="404" spans="1:20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1"/>
    </row>
    <row r="405" spans="1:20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1"/>
    </row>
    <row r="406" spans="1:20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1"/>
    </row>
    <row r="407" spans="1:20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1"/>
    </row>
    <row r="408" spans="1:20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1"/>
    </row>
    <row r="409" spans="1:20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1"/>
    </row>
    <row r="410" spans="1:20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1"/>
    </row>
    <row r="411" spans="1:20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1"/>
    </row>
    <row r="412" spans="1:20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1"/>
    </row>
    <row r="413" spans="1:20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1"/>
    </row>
    <row r="414" spans="1:20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1"/>
    </row>
    <row r="415" spans="1:20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1"/>
    </row>
    <row r="416" spans="1:20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1"/>
    </row>
    <row r="417" spans="1:20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1"/>
    </row>
    <row r="418" spans="1:20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1"/>
    </row>
    <row r="419" spans="1:20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1"/>
    </row>
    <row r="420" spans="1:20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1"/>
    </row>
    <row r="421" spans="1:20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1"/>
    </row>
    <row r="422" spans="1:20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1"/>
    </row>
    <row r="423" spans="1:20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1"/>
    </row>
    <row r="424" spans="1:20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1"/>
    </row>
    <row r="425" spans="1:20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1"/>
    </row>
    <row r="426" spans="1:20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1"/>
    </row>
    <row r="427" spans="1:20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1"/>
    </row>
    <row r="428" spans="1:20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1"/>
    </row>
    <row r="429" spans="1:20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1"/>
    </row>
    <row r="430" spans="1:20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1"/>
    </row>
    <row r="431" spans="1:20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1"/>
    </row>
    <row r="432" spans="1:20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1"/>
    </row>
    <row r="433" spans="1:20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1"/>
    </row>
    <row r="434" spans="1:20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1"/>
    </row>
    <row r="435" spans="1:20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1"/>
    </row>
    <row r="436" spans="1:20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1"/>
    </row>
    <row r="437" spans="1:20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1"/>
    </row>
    <row r="438" spans="1:20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1"/>
    </row>
    <row r="439" spans="1:20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1"/>
    </row>
    <row r="440" spans="1:20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1"/>
    </row>
    <row r="441" spans="1:20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1"/>
    </row>
    <row r="442" spans="1:20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1"/>
    </row>
    <row r="443" spans="1:20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1"/>
    </row>
    <row r="444" spans="1:20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1"/>
    </row>
    <row r="445" spans="1:20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1"/>
    </row>
    <row r="446" spans="1:20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1"/>
    </row>
    <row r="447" spans="1:20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1"/>
    </row>
    <row r="448" spans="1:20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1"/>
    </row>
    <row r="449" spans="1:20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1"/>
    </row>
    <row r="450" spans="1:20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1"/>
    </row>
    <row r="451" spans="1:20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1"/>
    </row>
    <row r="452" spans="1:20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1"/>
    </row>
    <row r="453" spans="1:20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1"/>
    </row>
    <row r="454" spans="1:20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1"/>
    </row>
    <row r="455" spans="1:20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1"/>
    </row>
    <row r="456" spans="1:20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1"/>
    </row>
    <row r="457" spans="1:20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1"/>
    </row>
    <row r="458" spans="1:20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1"/>
    </row>
    <row r="459" spans="1:20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1"/>
    </row>
    <row r="460" spans="1:20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1"/>
    </row>
    <row r="461" spans="1:20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1"/>
    </row>
    <row r="462" spans="1:20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1"/>
    </row>
    <row r="463" spans="1:20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1"/>
    </row>
    <row r="464" spans="1:20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1"/>
    </row>
    <row r="465" spans="1:20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1"/>
    </row>
    <row r="466" spans="1:20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1"/>
    </row>
    <row r="467" spans="1:20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1"/>
    </row>
    <row r="468" spans="1:20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1"/>
    </row>
    <row r="469" spans="1:20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1"/>
    </row>
    <row r="470" spans="1:20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1"/>
    </row>
    <row r="471" spans="1:20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1"/>
    </row>
    <row r="472" spans="1:20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1"/>
    </row>
    <row r="473" spans="1:20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1"/>
    </row>
    <row r="474" spans="1:20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1"/>
    </row>
    <row r="475" spans="1:20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1"/>
    </row>
    <row r="476" spans="1:20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1"/>
    </row>
    <row r="477" spans="1:20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1"/>
    </row>
    <row r="478" spans="1:20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1"/>
    </row>
    <row r="479" spans="1:20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1"/>
    </row>
    <row r="480" spans="1:20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1"/>
    </row>
    <row r="481" spans="1:20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1"/>
    </row>
    <row r="482" spans="1:20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1"/>
    </row>
    <row r="483" spans="1:20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1"/>
    </row>
    <row r="484" spans="1:20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1"/>
    </row>
    <row r="485" spans="1:20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1"/>
    </row>
    <row r="486" spans="1:20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1"/>
    </row>
    <row r="487" spans="1:20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1"/>
    </row>
    <row r="488" spans="1:20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1"/>
    </row>
    <row r="489" spans="1:20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1"/>
    </row>
    <row r="490" spans="1:20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1"/>
    </row>
    <row r="491" spans="1:20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1"/>
    </row>
    <row r="492" spans="1:20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1"/>
    </row>
    <row r="493" spans="1:20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1"/>
    </row>
    <row r="494" spans="1:20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1"/>
    </row>
    <row r="495" spans="1:20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1"/>
    </row>
    <row r="496" spans="1:20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1"/>
    </row>
    <row r="497" spans="1:20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1"/>
    </row>
    <row r="498" spans="1:20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1"/>
    </row>
    <row r="499" spans="1:20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1"/>
    </row>
    <row r="500" spans="1:20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1"/>
    </row>
    <row r="501" spans="1:20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1"/>
    </row>
    <row r="502" spans="1:20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1"/>
    </row>
    <row r="503" spans="1:20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1"/>
    </row>
    <row r="504" spans="1:20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1"/>
    </row>
    <row r="505" spans="1:20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1"/>
    </row>
    <row r="506" spans="1:20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1"/>
    </row>
    <row r="507" spans="1:20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1"/>
    </row>
    <row r="508" spans="1:20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1"/>
    </row>
    <row r="509" spans="1:20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1"/>
    </row>
    <row r="510" spans="1:20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1"/>
    </row>
    <row r="511" spans="1:20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1"/>
    </row>
    <row r="512" spans="1:20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1"/>
    </row>
    <row r="513" spans="1:20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1"/>
    </row>
    <row r="514" spans="1:20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1"/>
    </row>
    <row r="515" spans="1:20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1"/>
    </row>
    <row r="516" spans="1:20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1"/>
    </row>
    <row r="517" spans="1:20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1"/>
    </row>
    <row r="518" spans="1:20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1"/>
    </row>
    <row r="519" spans="1:20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1"/>
    </row>
    <row r="520" spans="1:20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1"/>
    </row>
    <row r="521" spans="1:20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1"/>
    </row>
    <row r="522" spans="1:20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1"/>
    </row>
    <row r="523" spans="1:20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1"/>
    </row>
    <row r="524" spans="1:20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1"/>
    </row>
    <row r="525" spans="1:20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1"/>
    </row>
    <row r="526" spans="1:20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1"/>
    </row>
    <row r="527" spans="1:20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1"/>
    </row>
    <row r="528" spans="1:20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1"/>
    </row>
    <row r="529" spans="1:20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1"/>
    </row>
    <row r="530" spans="1:20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1"/>
    </row>
    <row r="531" spans="1:20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1"/>
    </row>
    <row r="532" spans="1:20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1"/>
    </row>
    <row r="533" spans="1:20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1"/>
    </row>
    <row r="534" spans="1:20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1"/>
    </row>
    <row r="535" spans="1:20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1"/>
    </row>
    <row r="536" spans="1:20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1"/>
    </row>
    <row r="537" spans="1:20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1"/>
    </row>
    <row r="538" spans="1:20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1"/>
    </row>
    <row r="539" spans="1:20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1"/>
    </row>
    <row r="540" spans="1:20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1"/>
    </row>
    <row r="541" spans="1:20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1"/>
    </row>
    <row r="542" spans="1:20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1"/>
    </row>
    <row r="543" spans="1:20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1"/>
    </row>
    <row r="544" spans="1:20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1"/>
    </row>
    <row r="545" spans="1:20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1"/>
    </row>
    <row r="546" spans="1:20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1"/>
    </row>
    <row r="547" spans="1:20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1"/>
    </row>
    <row r="548" spans="1:20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1"/>
    </row>
    <row r="549" spans="1:20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1"/>
    </row>
    <row r="550" spans="1:20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1"/>
    </row>
    <row r="551" spans="1:20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1"/>
    </row>
    <row r="552" spans="1:20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1"/>
    </row>
    <row r="553" spans="1:20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1"/>
    </row>
    <row r="554" spans="1:20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1"/>
    </row>
    <row r="555" spans="1:20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1"/>
    </row>
    <row r="556" spans="1:20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1"/>
    </row>
    <row r="557" spans="1:20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1"/>
    </row>
    <row r="558" spans="1:20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1"/>
    </row>
    <row r="559" spans="1:20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1"/>
    </row>
    <row r="560" spans="1:20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1"/>
    </row>
    <row r="561" spans="1:20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1"/>
    </row>
    <row r="562" spans="1:20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1"/>
    </row>
    <row r="563" spans="1:20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1"/>
    </row>
    <row r="564" spans="1:20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1"/>
    </row>
    <row r="565" spans="1:20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1"/>
    </row>
    <row r="566" spans="1:20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1"/>
    </row>
    <row r="567" spans="1:20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1"/>
    </row>
    <row r="568" spans="1:20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1"/>
    </row>
    <row r="569" spans="1:20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1"/>
    </row>
    <row r="570" spans="1:20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1"/>
    </row>
    <row r="571" spans="1:20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1"/>
    </row>
    <row r="572" spans="1:20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1"/>
    </row>
    <row r="573" spans="1:20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1"/>
    </row>
    <row r="574" spans="1:20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1"/>
    </row>
    <row r="575" spans="1:20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1"/>
    </row>
    <row r="576" spans="1:20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1"/>
    </row>
    <row r="577" spans="1:20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1"/>
    </row>
    <row r="578" spans="1:20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1"/>
    </row>
    <row r="579" spans="1:20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1"/>
    </row>
    <row r="580" spans="1:20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1"/>
    </row>
    <row r="581" spans="1:20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1"/>
    </row>
    <row r="582" spans="1:20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1"/>
    </row>
    <row r="583" spans="1:20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1"/>
    </row>
    <row r="584" spans="1:20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1"/>
    </row>
    <row r="585" spans="1:20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1"/>
    </row>
    <row r="586" spans="1:20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1"/>
    </row>
    <row r="587" spans="1:20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1"/>
    </row>
    <row r="588" spans="1:20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1"/>
    </row>
    <row r="589" spans="1:20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1"/>
    </row>
    <row r="590" spans="1:20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1"/>
    </row>
    <row r="591" spans="1:20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1"/>
    </row>
    <row r="592" spans="1:20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1"/>
    </row>
    <row r="593" spans="1:20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1"/>
    </row>
    <row r="594" spans="1:20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1"/>
    </row>
    <row r="595" spans="1:20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1"/>
    </row>
    <row r="596" spans="1:20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1"/>
    </row>
    <row r="597" spans="1:20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1"/>
    </row>
    <row r="598" spans="1:20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1"/>
    </row>
    <row r="599" spans="1:20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1"/>
    </row>
    <row r="600" spans="1:20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1"/>
    </row>
    <row r="601" spans="1:20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1"/>
    </row>
    <row r="602" spans="1:20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1"/>
    </row>
    <row r="603" spans="1:20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1"/>
    </row>
    <row r="604" spans="1:20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1"/>
    </row>
    <row r="605" spans="1:20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1"/>
    </row>
    <row r="606" spans="1:20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1"/>
    </row>
    <row r="607" spans="1:20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1"/>
    </row>
    <row r="608" spans="1:20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1"/>
    </row>
    <row r="609" spans="1:20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1"/>
    </row>
    <row r="610" spans="1:20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1"/>
    </row>
    <row r="611" spans="1:20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1"/>
    </row>
    <row r="612" spans="1:20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1"/>
    </row>
    <row r="613" spans="1:20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1"/>
    </row>
    <row r="614" spans="1:20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1"/>
    </row>
    <row r="615" spans="1:20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1"/>
    </row>
    <row r="616" spans="1:20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1"/>
    </row>
    <row r="617" spans="1:20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1"/>
    </row>
    <row r="618" spans="1:20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1"/>
    </row>
    <row r="619" spans="1:20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1"/>
    </row>
    <row r="620" spans="1:20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1"/>
    </row>
    <row r="621" spans="1:20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1"/>
    </row>
    <row r="622" spans="1:20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1"/>
    </row>
    <row r="623" spans="1:20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1"/>
    </row>
    <row r="624" spans="1:20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1"/>
    </row>
    <row r="625" spans="1:20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1"/>
    </row>
    <row r="626" spans="1:20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1"/>
    </row>
    <row r="627" spans="1:20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1"/>
    </row>
    <row r="628" spans="1:20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1"/>
    </row>
    <row r="629" spans="1:20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1"/>
    </row>
    <row r="630" spans="1:20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1"/>
    </row>
    <row r="631" spans="1:20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1"/>
    </row>
    <row r="632" spans="1:20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1"/>
    </row>
    <row r="633" spans="1:20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1"/>
    </row>
    <row r="634" spans="1:20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1"/>
    </row>
    <row r="635" spans="1:20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1"/>
    </row>
    <row r="636" spans="1:20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1"/>
    </row>
    <row r="637" spans="1:20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1"/>
    </row>
    <row r="638" spans="1:20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1"/>
    </row>
    <row r="639" spans="1:20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1"/>
    </row>
    <row r="640" spans="1:20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1"/>
    </row>
    <row r="641" spans="1:20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1"/>
    </row>
    <row r="642" spans="1:20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1"/>
    </row>
    <row r="643" spans="1:20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1"/>
    </row>
    <row r="644" spans="1:20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1"/>
    </row>
    <row r="645" spans="1:20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1"/>
    </row>
    <row r="646" spans="1:20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1"/>
    </row>
    <row r="647" spans="1:20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1"/>
    </row>
    <row r="648" spans="1:20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1"/>
    </row>
    <row r="649" spans="1:20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1"/>
    </row>
    <row r="650" spans="1:20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1"/>
    </row>
    <row r="651" spans="1:20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1"/>
    </row>
    <row r="652" spans="1:20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1"/>
    </row>
    <row r="653" spans="1:20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1"/>
    </row>
    <row r="654" spans="1:20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1"/>
    </row>
    <row r="655" spans="1:20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1"/>
    </row>
    <row r="656" spans="1:20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1"/>
    </row>
    <row r="657" spans="1:20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1"/>
    </row>
    <row r="658" spans="1:20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1"/>
    </row>
    <row r="659" spans="1:20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1"/>
    </row>
    <row r="660" spans="1:20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1"/>
    </row>
    <row r="661" spans="1:20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1"/>
    </row>
    <row r="662" spans="1:20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1"/>
    </row>
    <row r="663" spans="1:20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1"/>
    </row>
    <row r="664" spans="1:20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1"/>
    </row>
    <row r="665" spans="1:20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1"/>
    </row>
    <row r="666" spans="1:20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1"/>
    </row>
    <row r="667" spans="1:20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1"/>
    </row>
    <row r="668" spans="1:20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1"/>
    </row>
    <row r="669" spans="1:20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1"/>
    </row>
    <row r="670" spans="1:20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1"/>
    </row>
    <row r="671" spans="1:20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1"/>
    </row>
    <row r="672" spans="1:20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1"/>
    </row>
    <row r="673" spans="1:20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1"/>
    </row>
    <row r="674" spans="1:20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1"/>
    </row>
    <row r="675" spans="1:20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1"/>
    </row>
    <row r="676" spans="1:20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1"/>
    </row>
    <row r="677" spans="1:20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1"/>
    </row>
    <row r="678" spans="1:20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1"/>
    </row>
    <row r="679" spans="1:20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1"/>
    </row>
    <row r="680" spans="1:20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1"/>
    </row>
    <row r="681" spans="1:20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1"/>
    </row>
    <row r="682" spans="1:20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1"/>
    </row>
    <row r="683" spans="1:20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1"/>
    </row>
    <row r="684" spans="1:20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1"/>
    </row>
    <row r="685" spans="1:20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1"/>
    </row>
    <row r="686" spans="1:20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1"/>
    </row>
    <row r="687" spans="1:20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1"/>
    </row>
    <row r="688" spans="1:20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1"/>
    </row>
    <row r="689" spans="1:20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1"/>
    </row>
    <row r="690" spans="1:20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1"/>
    </row>
    <row r="691" spans="1:20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1"/>
    </row>
    <row r="692" spans="1:20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1"/>
    </row>
    <row r="693" spans="1:20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1"/>
    </row>
    <row r="694" spans="1:20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1"/>
    </row>
    <row r="695" spans="1:20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1"/>
    </row>
    <row r="696" spans="1:20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1"/>
    </row>
    <row r="697" spans="1:20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1"/>
    </row>
    <row r="698" spans="1:20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1"/>
    </row>
    <row r="699" spans="1:20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1"/>
    </row>
    <row r="700" spans="1:20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1"/>
    </row>
    <row r="701" spans="1:20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1"/>
    </row>
    <row r="702" spans="1:20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1"/>
    </row>
    <row r="703" spans="1:20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1"/>
    </row>
    <row r="704" spans="1:20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1"/>
    </row>
    <row r="705" spans="1:20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1"/>
    </row>
    <row r="706" spans="1:20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1"/>
    </row>
    <row r="707" spans="1:20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1"/>
    </row>
    <row r="708" spans="1:20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1"/>
    </row>
    <row r="709" spans="1:20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1"/>
    </row>
    <row r="710" spans="1:20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1"/>
    </row>
    <row r="711" spans="1:20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1"/>
    </row>
    <row r="712" spans="1:20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1"/>
    </row>
    <row r="713" spans="1:20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1"/>
    </row>
    <row r="714" spans="1:20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1"/>
    </row>
    <row r="715" spans="1:20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1"/>
    </row>
    <row r="716" spans="1:20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1"/>
    </row>
    <row r="717" spans="1:20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1"/>
    </row>
    <row r="718" spans="1:20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1"/>
    </row>
    <row r="719" spans="1:20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1"/>
    </row>
    <row r="720" spans="1:20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1"/>
    </row>
    <row r="721" spans="1:20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1"/>
    </row>
    <row r="722" spans="1:20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1"/>
    </row>
    <row r="723" spans="1:20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1"/>
    </row>
    <row r="724" spans="1:20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1"/>
    </row>
    <row r="725" spans="1:20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1"/>
    </row>
    <row r="726" spans="1:20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1"/>
    </row>
    <row r="727" spans="1:20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1"/>
    </row>
    <row r="728" spans="1:20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1"/>
    </row>
    <row r="729" spans="1:20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1"/>
    </row>
    <row r="730" spans="1:20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1"/>
    </row>
    <row r="731" spans="1:20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1"/>
    </row>
    <row r="732" spans="1:20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1"/>
    </row>
    <row r="733" spans="1:20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1"/>
    </row>
    <row r="734" spans="1:20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1"/>
    </row>
    <row r="735" spans="1:20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1"/>
    </row>
    <row r="736" spans="1:20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1"/>
    </row>
    <row r="737" spans="1:20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1"/>
    </row>
    <row r="738" spans="1:20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1"/>
    </row>
    <row r="739" spans="1:20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1"/>
    </row>
    <row r="740" spans="1:20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1"/>
    </row>
    <row r="741" spans="1:20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1"/>
    </row>
    <row r="742" spans="1:20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1"/>
    </row>
    <row r="743" spans="1:20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1"/>
    </row>
    <row r="744" spans="1:20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1"/>
    </row>
    <row r="745" spans="1:20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1"/>
    </row>
    <row r="746" spans="1:20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1"/>
    </row>
    <row r="747" spans="1:20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1"/>
    </row>
    <row r="748" spans="1:20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1"/>
    </row>
    <row r="749" spans="1:20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1"/>
    </row>
    <row r="750" spans="1:20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1"/>
    </row>
    <row r="751" spans="1:20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1"/>
    </row>
    <row r="752" spans="1:20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1"/>
    </row>
    <row r="753" spans="1:20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1"/>
    </row>
    <row r="754" spans="1:20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1"/>
    </row>
    <row r="755" spans="1:20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1"/>
    </row>
    <row r="756" spans="1:20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1"/>
    </row>
    <row r="757" spans="1:20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1"/>
    </row>
    <row r="758" spans="1:20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1"/>
    </row>
    <row r="759" spans="1:20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1"/>
    </row>
    <row r="760" spans="1:20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1"/>
    </row>
    <row r="761" spans="1:20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1"/>
    </row>
    <row r="762" spans="1:20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1"/>
    </row>
    <row r="763" spans="1:20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1"/>
    </row>
    <row r="764" spans="1:20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1"/>
    </row>
    <row r="765" spans="1:20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1"/>
    </row>
    <row r="766" spans="1:20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1"/>
    </row>
    <row r="767" spans="1:20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1"/>
    </row>
    <row r="768" spans="1:20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1"/>
    </row>
    <row r="769" spans="1:20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1"/>
    </row>
    <row r="770" spans="1:20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1"/>
    </row>
    <row r="771" spans="1:20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1"/>
    </row>
    <row r="772" spans="1:20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1"/>
    </row>
    <row r="773" spans="1:20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1"/>
    </row>
    <row r="774" spans="1:20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1"/>
    </row>
    <row r="775" spans="1:20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1"/>
    </row>
    <row r="776" spans="1:20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1"/>
    </row>
    <row r="777" spans="1:20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1"/>
    </row>
    <row r="778" spans="1:20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1"/>
    </row>
    <row r="779" spans="1:20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1"/>
    </row>
    <row r="780" spans="1:20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1"/>
    </row>
    <row r="781" spans="1:20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1"/>
    </row>
    <row r="782" spans="1:20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1"/>
    </row>
    <row r="783" spans="1:20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1"/>
    </row>
    <row r="784" spans="1:20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1"/>
    </row>
    <row r="785" spans="1:20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1"/>
    </row>
    <row r="786" spans="1:20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1"/>
    </row>
    <row r="787" spans="1:20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1"/>
    </row>
    <row r="788" spans="1:20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1"/>
    </row>
    <row r="789" spans="1:20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1"/>
    </row>
    <row r="790" spans="1:20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1"/>
    </row>
    <row r="791" spans="1:20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1"/>
    </row>
    <row r="792" spans="1:20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1"/>
    </row>
    <row r="793" spans="1:20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1"/>
    </row>
    <row r="794" spans="1:20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1"/>
    </row>
    <row r="795" spans="1:20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1"/>
    </row>
    <row r="796" spans="1:20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1"/>
    </row>
    <row r="797" spans="1:20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1"/>
    </row>
    <row r="798" spans="1:20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1"/>
    </row>
    <row r="799" spans="1:20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1"/>
    </row>
    <row r="800" spans="1:20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1"/>
    </row>
    <row r="801" spans="1:20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1"/>
    </row>
    <row r="802" spans="1:20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1"/>
    </row>
    <row r="803" spans="1:20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1"/>
    </row>
    <row r="804" spans="1:20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1"/>
    </row>
    <row r="805" spans="1:20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1"/>
    </row>
    <row r="806" spans="1:20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1"/>
    </row>
    <row r="807" spans="1:20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1"/>
    </row>
    <row r="808" spans="1:20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1"/>
    </row>
    <row r="809" spans="1:20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1"/>
    </row>
    <row r="810" spans="1:20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1"/>
    </row>
    <row r="811" spans="1:20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1"/>
    </row>
    <row r="812" spans="1:20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1"/>
    </row>
    <row r="813" spans="1:20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1"/>
    </row>
    <row r="814" spans="1:20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1"/>
    </row>
    <row r="815" spans="1:20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1"/>
    </row>
    <row r="816" spans="1:20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1"/>
    </row>
    <row r="817" spans="1:20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1"/>
    </row>
    <row r="818" spans="1:20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1"/>
    </row>
    <row r="819" spans="1:20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1"/>
    </row>
    <row r="820" spans="1:20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1"/>
    </row>
    <row r="821" spans="1:20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1"/>
    </row>
    <row r="822" spans="1:20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1"/>
    </row>
    <row r="823" spans="1:20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1"/>
    </row>
    <row r="824" spans="1:20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1"/>
    </row>
    <row r="825" spans="1:20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1"/>
    </row>
    <row r="826" spans="1:20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1"/>
    </row>
    <row r="827" spans="1:20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1"/>
    </row>
    <row r="828" spans="1:20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1"/>
    </row>
    <row r="829" spans="1:20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1"/>
    </row>
    <row r="830" spans="1:20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1"/>
    </row>
    <row r="831" spans="1:20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1"/>
    </row>
    <row r="832" spans="1:20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1"/>
    </row>
    <row r="833" spans="1:20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1"/>
    </row>
    <row r="834" spans="1:20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1"/>
    </row>
    <row r="835" spans="1:20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1"/>
    </row>
    <row r="836" spans="1:20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1"/>
    </row>
    <row r="837" spans="1:20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1"/>
    </row>
    <row r="838" spans="1:20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1"/>
    </row>
    <row r="839" spans="1:20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1"/>
    </row>
    <row r="840" spans="1:20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1"/>
    </row>
    <row r="841" spans="1:20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1"/>
    </row>
    <row r="842" spans="1:20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1"/>
    </row>
    <row r="843" spans="1:20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1"/>
    </row>
    <row r="844" spans="1:20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1"/>
    </row>
    <row r="845" spans="1:20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1"/>
    </row>
    <row r="846" spans="1:20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1"/>
    </row>
    <row r="847" spans="1:20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1"/>
    </row>
    <row r="848" spans="1:20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1"/>
    </row>
    <row r="849" spans="1:20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1"/>
    </row>
    <row r="850" spans="1:20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1"/>
    </row>
    <row r="851" spans="1:20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1"/>
    </row>
    <row r="852" spans="1:20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1"/>
    </row>
    <row r="853" spans="1:20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1"/>
    </row>
    <row r="854" spans="1:20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1"/>
    </row>
    <row r="855" spans="1:20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1"/>
    </row>
    <row r="856" spans="1:20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1"/>
    </row>
    <row r="857" spans="1:20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1"/>
    </row>
    <row r="858" spans="1:20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1"/>
    </row>
    <row r="859" spans="1:20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1"/>
    </row>
    <row r="860" spans="1:20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1"/>
    </row>
    <row r="861" spans="1:20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1"/>
    </row>
    <row r="862" spans="1:20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1"/>
    </row>
    <row r="863" spans="1:20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1"/>
    </row>
    <row r="864" spans="1:20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1"/>
    </row>
    <row r="865" spans="1:20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1"/>
    </row>
    <row r="866" spans="1:20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1"/>
    </row>
    <row r="867" spans="1:20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1"/>
    </row>
    <row r="868" spans="1:20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1"/>
    </row>
    <row r="869" spans="1:20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1"/>
    </row>
    <row r="870" spans="1:20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1"/>
    </row>
    <row r="871" spans="1:20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1"/>
    </row>
    <row r="872" spans="1:20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1"/>
    </row>
    <row r="873" spans="1:20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1"/>
    </row>
    <row r="874" spans="1:20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1"/>
    </row>
    <row r="875" spans="1:20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1"/>
    </row>
    <row r="876" spans="1:20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1"/>
    </row>
    <row r="877" spans="1:20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1"/>
    </row>
    <row r="878" spans="1:20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1"/>
    </row>
    <row r="879" spans="1:20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1"/>
    </row>
    <row r="880" spans="1:20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1"/>
    </row>
    <row r="881" spans="1:20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1"/>
    </row>
    <row r="882" spans="1:20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1"/>
    </row>
    <row r="883" spans="1:20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1"/>
    </row>
    <row r="884" spans="1:20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1"/>
    </row>
    <row r="885" spans="1:20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1"/>
    </row>
    <row r="886" spans="1:20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1"/>
    </row>
    <row r="887" spans="1:20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1"/>
    </row>
    <row r="888" spans="1:20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1"/>
    </row>
    <row r="889" spans="1:20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1"/>
    </row>
    <row r="890" spans="1:20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1"/>
    </row>
    <row r="891" spans="1:20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1"/>
    </row>
    <row r="892" spans="1:20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1"/>
    </row>
    <row r="893" spans="1:20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1"/>
    </row>
    <row r="894" spans="1:20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1"/>
    </row>
    <row r="895" spans="1:20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1"/>
    </row>
    <row r="896" spans="1:20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1"/>
    </row>
    <row r="897" spans="1:20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1"/>
    </row>
    <row r="898" spans="1:20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1"/>
    </row>
    <row r="899" spans="1:20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1"/>
    </row>
    <row r="900" spans="1:20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1"/>
    </row>
    <row r="901" spans="1:20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1"/>
    </row>
    <row r="902" spans="1:20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1"/>
    </row>
    <row r="903" spans="1:20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1"/>
    </row>
    <row r="904" spans="1:20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1"/>
    </row>
    <row r="905" spans="1:20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1"/>
    </row>
    <row r="906" spans="1:20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1"/>
    </row>
    <row r="907" spans="1:20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1"/>
    </row>
    <row r="908" spans="1:20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1"/>
    </row>
    <row r="909" spans="1:20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1"/>
    </row>
    <row r="910" spans="1:20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1"/>
    </row>
    <row r="911" spans="1:20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1"/>
    </row>
    <row r="912" spans="1:20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1"/>
    </row>
    <row r="913" spans="1:20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1"/>
    </row>
    <row r="914" spans="1:20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1"/>
    </row>
    <row r="915" spans="1:20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1"/>
    </row>
    <row r="916" spans="1:20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1"/>
    </row>
    <row r="917" spans="1:20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1"/>
    </row>
    <row r="918" spans="1:20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1"/>
    </row>
    <row r="919" spans="1:20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1"/>
    </row>
    <row r="920" spans="1:20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1"/>
    </row>
    <row r="921" spans="1:20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1"/>
    </row>
    <row r="922" spans="1:20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1"/>
    </row>
    <row r="923" spans="1:20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1"/>
    </row>
    <row r="924" spans="1:20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1"/>
    </row>
    <row r="925" spans="1:20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1"/>
    </row>
    <row r="926" spans="1:20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1"/>
    </row>
    <row r="927" spans="1:20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1"/>
    </row>
    <row r="928" spans="1:20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1"/>
    </row>
    <row r="929" spans="1:20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1"/>
    </row>
    <row r="930" spans="1:20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1"/>
    </row>
    <row r="931" spans="1:20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1"/>
    </row>
    <row r="932" spans="1:20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1"/>
    </row>
    <row r="933" spans="1:20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1"/>
    </row>
    <row r="934" spans="1:20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1"/>
    </row>
    <row r="935" spans="1:20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1"/>
    </row>
    <row r="936" spans="1:20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1"/>
    </row>
    <row r="937" spans="1:20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1"/>
    </row>
    <row r="938" spans="1:20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1"/>
    </row>
    <row r="939" spans="1:20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1"/>
    </row>
    <row r="940" spans="1:20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1"/>
    </row>
    <row r="941" spans="1:20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1"/>
    </row>
    <row r="942" spans="1:20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1"/>
    </row>
    <row r="943" spans="1:20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1"/>
    </row>
    <row r="944" spans="1:20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1"/>
    </row>
    <row r="945" spans="1:20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1"/>
    </row>
    <row r="946" spans="1:20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1"/>
    </row>
    <row r="947" spans="1:20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1"/>
    </row>
    <row r="948" spans="1:20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1"/>
    </row>
    <row r="949" spans="1:20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1"/>
    </row>
    <row r="950" spans="1:20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1"/>
    </row>
    <row r="951" spans="1:20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1"/>
    </row>
    <row r="952" spans="1:20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1"/>
    </row>
    <row r="953" spans="1:20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1"/>
    </row>
    <row r="954" spans="1:20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1"/>
    </row>
    <row r="955" spans="1:20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1"/>
    </row>
    <row r="956" spans="1:20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1"/>
    </row>
    <row r="957" spans="1:20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1"/>
    </row>
    <row r="958" spans="1:20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1"/>
    </row>
    <row r="959" spans="1:20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1"/>
    </row>
    <row r="960" spans="1:20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1"/>
    </row>
    <row r="961" spans="1:20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1"/>
    </row>
    <row r="962" spans="1:20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1"/>
    </row>
    <row r="963" spans="1:20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1"/>
    </row>
    <row r="964" spans="1:20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1"/>
    </row>
    <row r="965" spans="1:20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1"/>
    </row>
    <row r="966" spans="1:20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1"/>
    </row>
    <row r="967" spans="1:20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1"/>
    </row>
    <row r="968" spans="1:20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1"/>
    </row>
    <row r="969" spans="1:20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1"/>
    </row>
    <row r="970" spans="1:20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1"/>
    </row>
    <row r="971" spans="1:20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1"/>
    </row>
    <row r="972" spans="1:20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1"/>
    </row>
    <row r="973" spans="1:20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1"/>
    </row>
    <row r="974" spans="1:20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1"/>
    </row>
    <row r="975" spans="1:20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1"/>
    </row>
    <row r="976" spans="1:20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1"/>
    </row>
    <row r="977" spans="1:20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1"/>
    </row>
    <row r="978" spans="1:20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1"/>
    </row>
    <row r="979" spans="1:20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1"/>
    </row>
    <row r="980" spans="1:20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1"/>
    </row>
    <row r="981" spans="1:20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1"/>
    </row>
    <row r="982" spans="1:20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1"/>
    </row>
    <row r="983" spans="1:20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1"/>
    </row>
    <row r="984" spans="1:20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1"/>
    </row>
    <row r="985" spans="1:20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1"/>
    </row>
    <row r="986" spans="1:20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1"/>
    </row>
    <row r="987" spans="1:20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1"/>
    </row>
    <row r="988" spans="1:20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1"/>
    </row>
    <row r="989" spans="1:20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1"/>
    </row>
    <row r="990" spans="1:20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1"/>
    </row>
    <row r="991" spans="1:20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1"/>
    </row>
    <row r="992" spans="1:20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1"/>
    </row>
    <row r="993" spans="1:20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1"/>
    </row>
    <row r="994" spans="1:20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1"/>
    </row>
    <row r="995" spans="1:20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1"/>
    </row>
    <row r="996" spans="1:20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1"/>
    </row>
    <row r="997" spans="1:20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1"/>
    </row>
    <row r="998" spans="1:20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1"/>
    </row>
    <row r="999" spans="1:20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1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23622047244094491" right="0.23622047244094491" top="0.74803149606299213" bottom="0.74803149606299213" header="0" footer="0"/>
  <pageSetup paperSize="9" scale="52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view="pageBreakPreview" zoomScale="60" zoomScaleNormal="100" workbookViewId="0">
      <pane xSplit="2" ySplit="7" topLeftCell="C8" activePane="bottomRight" state="frozen"/>
      <selection activeCell="J17" sqref="J17"/>
      <selection pane="topRight" activeCell="J17" sqref="J17"/>
      <selection pane="bottomLeft" activeCell="J17" sqref="J17"/>
      <selection pane="bottomRight" activeCell="W80" sqref="W80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8.7109375" bestFit="1" customWidth="1"/>
    <col min="6" max="6" width="16.85546875" bestFit="1" customWidth="1"/>
    <col min="7" max="7" width="13.85546875" customWidth="1"/>
    <col min="8" max="8" width="19.85546875" bestFit="1" customWidth="1"/>
    <col min="9" max="9" width="13.85546875" customWidth="1"/>
    <col min="10" max="10" width="16.85546875" bestFit="1" customWidth="1"/>
    <col min="11" max="11" width="12.5703125" customWidth="1"/>
    <col min="12" max="12" width="16.85546875" bestFit="1" customWidth="1"/>
    <col min="13" max="13" width="13.85546875" customWidth="1"/>
    <col min="14" max="17" width="15.140625" customWidth="1"/>
    <col min="18" max="18" width="11.42578125" customWidth="1"/>
    <col min="19" max="19" width="8.42578125" bestFit="1" customWidth="1"/>
    <col min="20" max="20" width="12.5703125" bestFit="1" customWidth="1"/>
    <col min="21" max="21" width="11.42578125" customWidth="1"/>
    <col min="22" max="22" width="7.5703125" customWidth="1"/>
    <col min="23" max="23" width="13.28515625" bestFit="1" customWidth="1"/>
  </cols>
  <sheetData>
    <row r="1" spans="1:26" ht="24" customHeight="1" x14ac:dyDescent="0.3">
      <c r="A1" s="123" t="s">
        <v>0</v>
      </c>
      <c r="B1" s="124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218"/>
      <c r="N1" s="218"/>
      <c r="O1" s="219"/>
      <c r="P1" s="219"/>
      <c r="Q1" s="219"/>
      <c r="R1" s="124"/>
      <c r="S1" s="124"/>
      <c r="T1" s="218"/>
      <c r="U1" s="124"/>
      <c r="V1" s="124"/>
      <c r="W1" s="218"/>
      <c r="X1" s="209"/>
      <c r="Y1" s="209"/>
      <c r="Z1" s="209"/>
    </row>
    <row r="2" spans="1:26" ht="24" customHeight="1" x14ac:dyDescent="0.2">
      <c r="A2" s="400" t="s">
        <v>1</v>
      </c>
      <c r="B2" s="385"/>
      <c r="C2" s="401" t="s">
        <v>164</v>
      </c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5"/>
      <c r="X2" s="209"/>
      <c r="Y2" s="209"/>
      <c r="Z2" s="209"/>
    </row>
    <row r="3" spans="1:26" ht="30" customHeight="1" x14ac:dyDescent="0.2">
      <c r="A3" s="384"/>
      <c r="B3" s="385"/>
      <c r="C3" s="402" t="s">
        <v>3</v>
      </c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403" t="s">
        <v>165</v>
      </c>
      <c r="S3" s="404"/>
      <c r="T3" s="373"/>
      <c r="U3" s="403" t="s">
        <v>166</v>
      </c>
      <c r="V3" s="404"/>
      <c r="W3" s="373"/>
      <c r="X3" s="209"/>
      <c r="Y3" s="209"/>
      <c r="Z3" s="209"/>
    </row>
    <row r="4" spans="1:26" ht="60" customHeight="1" x14ac:dyDescent="0.3">
      <c r="A4" s="384"/>
      <c r="B4" s="385"/>
      <c r="C4" s="405" t="s">
        <v>6</v>
      </c>
      <c r="D4" s="364"/>
      <c r="E4" s="364"/>
      <c r="F4" s="364"/>
      <c r="G4" s="365"/>
      <c r="H4" s="391" t="s">
        <v>7</v>
      </c>
      <c r="I4" s="365"/>
      <c r="J4" s="392" t="s">
        <v>8</v>
      </c>
      <c r="K4" s="364"/>
      <c r="L4" s="364"/>
      <c r="M4" s="364"/>
      <c r="N4" s="364"/>
      <c r="O4" s="364"/>
      <c r="P4" s="364"/>
      <c r="Q4" s="365"/>
      <c r="R4" s="364"/>
      <c r="S4" s="364"/>
      <c r="T4" s="365"/>
      <c r="U4" s="364"/>
      <c r="V4" s="364"/>
      <c r="W4" s="365"/>
      <c r="X4" s="209"/>
      <c r="Y4" s="209"/>
      <c r="Z4" s="209"/>
    </row>
    <row r="5" spans="1:26" ht="24" customHeight="1" x14ac:dyDescent="0.3">
      <c r="A5" s="384"/>
      <c r="B5" s="385"/>
      <c r="C5" s="444" t="s">
        <v>13</v>
      </c>
      <c r="D5" s="445" t="s">
        <v>14</v>
      </c>
      <c r="E5" s="446" t="s">
        <v>15</v>
      </c>
      <c r="F5" s="447" t="s">
        <v>16</v>
      </c>
      <c r="G5" s="448" t="s">
        <v>17</v>
      </c>
      <c r="H5" s="220" t="s">
        <v>18</v>
      </c>
      <c r="I5" s="220" t="s">
        <v>19</v>
      </c>
      <c r="J5" s="395" t="s">
        <v>20</v>
      </c>
      <c r="K5" s="365"/>
      <c r="L5" s="395" t="s">
        <v>18</v>
      </c>
      <c r="M5" s="364"/>
      <c r="N5" s="365"/>
      <c r="O5" s="408" t="s">
        <v>19</v>
      </c>
      <c r="P5" s="364"/>
      <c r="Q5" s="365"/>
      <c r="R5" s="221" t="s">
        <v>21</v>
      </c>
      <c r="S5" s="411" t="s">
        <v>22</v>
      </c>
      <c r="T5" s="365"/>
      <c r="U5" s="221" t="s">
        <v>21</v>
      </c>
      <c r="V5" s="411" t="s">
        <v>22</v>
      </c>
      <c r="W5" s="365"/>
      <c r="X5" s="209"/>
      <c r="Y5" s="209"/>
      <c r="Z5" s="209"/>
    </row>
    <row r="6" spans="1:26" ht="36" customHeight="1" x14ac:dyDescent="0.3">
      <c r="A6" s="386"/>
      <c r="B6" s="387"/>
      <c r="C6" s="449"/>
      <c r="D6" s="449"/>
      <c r="E6" s="449"/>
      <c r="F6" s="449"/>
      <c r="G6" s="449"/>
      <c r="H6" s="222"/>
      <c r="I6" s="222"/>
      <c r="J6" s="223" t="s">
        <v>23</v>
      </c>
      <c r="K6" s="224" t="s">
        <v>24</v>
      </c>
      <c r="L6" s="223" t="s">
        <v>23</v>
      </c>
      <c r="M6" s="460" t="s">
        <v>25</v>
      </c>
      <c r="N6" s="460" t="s">
        <v>26</v>
      </c>
      <c r="O6" s="461" t="s">
        <v>23</v>
      </c>
      <c r="P6" s="460" t="s">
        <v>25</v>
      </c>
      <c r="Q6" s="460" t="s">
        <v>26</v>
      </c>
      <c r="R6" s="225" t="s">
        <v>28</v>
      </c>
      <c r="S6" s="226" t="s">
        <v>28</v>
      </c>
      <c r="T6" s="227" t="s">
        <v>24</v>
      </c>
      <c r="U6" s="225" t="s">
        <v>28</v>
      </c>
      <c r="V6" s="226" t="s">
        <v>28</v>
      </c>
      <c r="W6" s="227" t="s">
        <v>24</v>
      </c>
      <c r="X6" s="209"/>
      <c r="Y6" s="209"/>
      <c r="Z6" s="209"/>
    </row>
    <row r="7" spans="1:26" ht="24" customHeight="1" x14ac:dyDescent="0.3">
      <c r="A7" s="406" t="s">
        <v>233</v>
      </c>
      <c r="B7" s="407"/>
      <c r="C7" s="228">
        <f t="shared" ref="C7:C116" ca="1" si="0">D7+G7</f>
        <v>22523100</v>
      </c>
      <c r="D7" s="229">
        <f t="shared" ref="D7:E7" ca="1" si="1">D8+D9+D12</f>
        <v>22523100</v>
      </c>
      <c r="E7" s="230">
        <f t="shared" ca="1" si="1"/>
        <v>21063450</v>
      </c>
      <c r="F7" s="231">
        <f ca="1">F8+F9</f>
        <v>1459650</v>
      </c>
      <c r="G7" s="232">
        <f t="shared" ref="G7:I7" ca="1" si="2">G8+G9+G12</f>
        <v>0</v>
      </c>
      <c r="H7" s="233">
        <f t="shared" ca="1" si="2"/>
        <v>16830200</v>
      </c>
      <c r="I7" s="233">
        <f t="shared" ca="1" si="2"/>
        <v>0</v>
      </c>
      <c r="J7" s="234">
        <f t="shared" ref="J7:J116" ca="1" si="3">L7+O7</f>
        <v>6913642.3199999994</v>
      </c>
      <c r="K7" s="235">
        <f t="shared" ref="K7:K116" ca="1" si="4">IF(C7&gt;0,J7*100/C7,0)</f>
        <v>30.695784860876163</v>
      </c>
      <c r="L7" s="234">
        <f ca="1">L8+L9+L12</f>
        <v>6913642.3199999994</v>
      </c>
      <c r="M7" s="236">
        <f t="shared" ref="M7:M116" ca="1" si="5">IF(D7&gt;0,L7*100/D7,0)</f>
        <v>30.695784860876163</v>
      </c>
      <c r="N7" s="236">
        <f t="shared" ref="N7:N116" ca="1" si="6">IF(H7&gt;0,L7*100/H7,0)</f>
        <v>41.078788843863997</v>
      </c>
      <c r="O7" s="237">
        <f ca="1">O8+O9+O12</f>
        <v>0</v>
      </c>
      <c r="P7" s="237">
        <f t="shared" ref="P7:P11" ca="1" si="7">IF(G7&gt;0,O7*100/G7,0)</f>
        <v>0</v>
      </c>
      <c r="Q7" s="236">
        <f t="shared" ref="Q7:Q116" ca="1" si="8">IF(I7&gt;0,O7*100/I7,0)</f>
        <v>0</v>
      </c>
      <c r="R7" s="238">
        <f t="shared" ref="R7:S7" ca="1" si="9">R8</f>
        <v>730</v>
      </c>
      <c r="S7" s="239">
        <f t="shared" ca="1" si="9"/>
        <v>619</v>
      </c>
      <c r="T7" s="240">
        <f t="shared" ref="T7:T8" ca="1" si="10">IF(R7&gt;0,S7*100/R7,0)</f>
        <v>84.794520547945211</v>
      </c>
      <c r="U7" s="238">
        <f t="shared" ref="U7:V7" ca="1" si="11">U8+U9</f>
        <v>70</v>
      </c>
      <c r="V7" s="239">
        <f t="shared" ca="1" si="11"/>
        <v>40</v>
      </c>
      <c r="W7" s="240">
        <f t="shared" ref="W7:W9" ca="1" si="12">IF(U7&gt;0,V7*100/U7,0)</f>
        <v>57.142857142857146</v>
      </c>
      <c r="X7" s="209"/>
      <c r="Y7" s="209"/>
      <c r="Z7" s="209"/>
    </row>
    <row r="8" spans="1:26" ht="28.5" customHeight="1" x14ac:dyDescent="0.3">
      <c r="A8" s="241" t="s">
        <v>31</v>
      </c>
      <c r="B8" s="242"/>
      <c r="C8" s="243">
        <f t="shared" ca="1" si="0"/>
        <v>1459650</v>
      </c>
      <c r="D8" s="243">
        <f t="shared" ref="D8:I8" ca="1" si="13">+D13+D31+D52+D74</f>
        <v>1459650</v>
      </c>
      <c r="E8" s="243">
        <f t="shared" ca="1" si="13"/>
        <v>0</v>
      </c>
      <c r="F8" s="243">
        <f t="shared" ca="1" si="13"/>
        <v>1459650</v>
      </c>
      <c r="G8" s="243">
        <f t="shared" ca="1" si="13"/>
        <v>0</v>
      </c>
      <c r="H8" s="243">
        <f t="shared" ca="1" si="13"/>
        <v>1459650</v>
      </c>
      <c r="I8" s="243">
        <f t="shared" ca="1" si="13"/>
        <v>0</v>
      </c>
      <c r="J8" s="243">
        <f t="shared" ca="1" si="3"/>
        <v>1282153.68</v>
      </c>
      <c r="K8" s="244">
        <f t="shared" ca="1" si="4"/>
        <v>87.839802692426261</v>
      </c>
      <c r="L8" s="243">
        <f ca="1">+L13+L31+L52+L74</f>
        <v>1282153.68</v>
      </c>
      <c r="M8" s="245">
        <f t="shared" ca="1" si="5"/>
        <v>87.839802692426261</v>
      </c>
      <c r="N8" s="245">
        <f t="shared" ca="1" si="6"/>
        <v>87.839802692426261</v>
      </c>
      <c r="O8" s="246">
        <f ca="1">+O13+O31+O52+O74</f>
        <v>0</v>
      </c>
      <c r="P8" s="246">
        <f t="shared" ca="1" si="7"/>
        <v>0</v>
      </c>
      <c r="Q8" s="245">
        <f t="shared" ca="1" si="8"/>
        <v>0</v>
      </c>
      <c r="R8" s="243">
        <f t="shared" ref="R8:S8" ca="1" si="14">+R13+R31+R52+R74</f>
        <v>730</v>
      </c>
      <c r="S8" s="243">
        <f t="shared" ca="1" si="14"/>
        <v>619</v>
      </c>
      <c r="T8" s="245">
        <f t="shared" ca="1" si="10"/>
        <v>84.794520547945211</v>
      </c>
      <c r="U8" s="243">
        <f t="shared" ref="U8:V8" ca="1" si="15">+U13+U31+U52+U74</f>
        <v>0</v>
      </c>
      <c r="V8" s="243">
        <f t="shared" ca="1" si="15"/>
        <v>0</v>
      </c>
      <c r="W8" s="245">
        <f t="shared" ca="1" si="12"/>
        <v>0</v>
      </c>
      <c r="X8" s="209"/>
      <c r="Y8" s="209"/>
      <c r="Z8" s="209"/>
    </row>
    <row r="9" spans="1:26" ht="28.5" customHeight="1" x14ac:dyDescent="0.3">
      <c r="A9" s="247" t="s">
        <v>234</v>
      </c>
      <c r="B9" s="248"/>
      <c r="C9" s="249">
        <f t="shared" ca="1" si="0"/>
        <v>21063450</v>
      </c>
      <c r="D9" s="249">
        <f t="shared" ref="D9:I9" ca="1" si="16">+D10+D11</f>
        <v>21063450</v>
      </c>
      <c r="E9" s="249">
        <f t="shared" ca="1" si="16"/>
        <v>21063450</v>
      </c>
      <c r="F9" s="249">
        <f t="shared" ca="1" si="16"/>
        <v>0</v>
      </c>
      <c r="G9" s="249">
        <f t="shared" ca="1" si="16"/>
        <v>0</v>
      </c>
      <c r="H9" s="249">
        <f t="shared" ca="1" si="16"/>
        <v>15370550</v>
      </c>
      <c r="I9" s="249">
        <f t="shared" ca="1" si="16"/>
        <v>0</v>
      </c>
      <c r="J9" s="249">
        <f t="shared" ca="1" si="3"/>
        <v>5631488.6399999997</v>
      </c>
      <c r="K9" s="250">
        <f t="shared" ca="1" si="4"/>
        <v>26.735832164246599</v>
      </c>
      <c r="L9" s="249">
        <f ca="1">+L10+L11</f>
        <v>5631488.6399999997</v>
      </c>
      <c r="M9" s="251">
        <f t="shared" ca="1" si="5"/>
        <v>26.735832164246599</v>
      </c>
      <c r="N9" s="251">
        <f t="shared" ca="1" si="6"/>
        <v>36.638172609308057</v>
      </c>
      <c r="O9" s="252">
        <f ca="1">+O10+O11</f>
        <v>0</v>
      </c>
      <c r="P9" s="252">
        <f t="shared" ca="1" si="7"/>
        <v>0</v>
      </c>
      <c r="Q9" s="251">
        <f t="shared" ca="1" si="8"/>
        <v>0</v>
      </c>
      <c r="R9" s="253"/>
      <c r="S9" s="253"/>
      <c r="T9" s="251"/>
      <c r="U9" s="249">
        <v>70</v>
      </c>
      <c r="V9" s="249">
        <f ca="1">IFERROR(__xludf.DUMMYFUNCTION("IMPORTRANGE(""https://docs.google.com/spreadsheets/d/1vlyYR5_sXdhqA0JyobsBDu7xVmIqJT30I2qHLqWgZQ4/edit?usp=sharing"",""ทั้งประเทศ!J177"")"),40)</f>
        <v>40</v>
      </c>
      <c r="W9" s="251">
        <f t="shared" ca="1" si="12"/>
        <v>57.142857142857146</v>
      </c>
      <c r="X9" s="209"/>
      <c r="Y9" s="209"/>
      <c r="Z9" s="209"/>
    </row>
    <row r="10" spans="1:26" ht="28.5" hidden="1" customHeight="1" x14ac:dyDescent="0.3">
      <c r="A10" s="247" t="s">
        <v>32</v>
      </c>
      <c r="B10" s="248"/>
      <c r="C10" s="249">
        <f t="shared" ca="1" si="0"/>
        <v>14928050</v>
      </c>
      <c r="D10" s="249">
        <f t="shared" ref="D10:I10" ca="1" si="17">+D89</f>
        <v>14928050</v>
      </c>
      <c r="E10" s="249">
        <f t="shared" ca="1" si="17"/>
        <v>14928050</v>
      </c>
      <c r="F10" s="249">
        <f t="shared" ca="1" si="17"/>
        <v>0</v>
      </c>
      <c r="G10" s="249">
        <f t="shared" ca="1" si="17"/>
        <v>0</v>
      </c>
      <c r="H10" s="249">
        <f t="shared" ca="1" si="17"/>
        <v>11593300</v>
      </c>
      <c r="I10" s="249">
        <f t="shared" ca="1" si="17"/>
        <v>0</v>
      </c>
      <c r="J10" s="249">
        <f t="shared" ca="1" si="3"/>
        <v>5354569.6399999997</v>
      </c>
      <c r="K10" s="250">
        <f t="shared" ca="1" si="4"/>
        <v>35.869183449948245</v>
      </c>
      <c r="L10" s="249">
        <f ca="1">+L89</f>
        <v>5354569.6399999997</v>
      </c>
      <c r="M10" s="251">
        <f t="shared" ca="1" si="5"/>
        <v>35.869183449948245</v>
      </c>
      <c r="N10" s="251">
        <f t="shared" ca="1" si="6"/>
        <v>46.186759938930237</v>
      </c>
      <c r="O10" s="252">
        <f ca="1">+O89</f>
        <v>0</v>
      </c>
      <c r="P10" s="252">
        <f t="shared" ca="1" si="7"/>
        <v>0</v>
      </c>
      <c r="Q10" s="251">
        <f t="shared" ca="1" si="8"/>
        <v>0</v>
      </c>
      <c r="R10" s="253"/>
      <c r="S10" s="253"/>
      <c r="T10" s="251"/>
      <c r="U10" s="253"/>
      <c r="V10" s="253"/>
      <c r="W10" s="251"/>
      <c r="X10" s="209"/>
      <c r="Y10" s="209"/>
      <c r="Z10" s="209"/>
    </row>
    <row r="11" spans="1:26" ht="28.5" hidden="1" customHeight="1" x14ac:dyDescent="0.3">
      <c r="A11" s="254" t="s">
        <v>33</v>
      </c>
      <c r="B11" s="248"/>
      <c r="C11" s="249">
        <f t="shared" ca="1" si="0"/>
        <v>6135400</v>
      </c>
      <c r="D11" s="249">
        <f t="shared" ref="D11:I11" ca="1" si="18">+D104</f>
        <v>6135400</v>
      </c>
      <c r="E11" s="249">
        <f t="shared" ca="1" si="18"/>
        <v>6135400</v>
      </c>
      <c r="F11" s="249">
        <f t="shared" ca="1" si="18"/>
        <v>0</v>
      </c>
      <c r="G11" s="249">
        <f t="shared" ca="1" si="18"/>
        <v>0</v>
      </c>
      <c r="H11" s="249">
        <f t="shared" ca="1" si="18"/>
        <v>3777250</v>
      </c>
      <c r="I11" s="249">
        <f t="shared" ca="1" si="18"/>
        <v>0</v>
      </c>
      <c r="J11" s="249">
        <f t="shared" ca="1" si="3"/>
        <v>276919</v>
      </c>
      <c r="K11" s="250">
        <f t="shared" ca="1" si="4"/>
        <v>4.5134628549075853</v>
      </c>
      <c r="L11" s="249">
        <f ca="1">+L104</f>
        <v>276919</v>
      </c>
      <c r="M11" s="251">
        <f t="shared" ca="1" si="5"/>
        <v>4.5134628549075853</v>
      </c>
      <c r="N11" s="251">
        <f t="shared" ca="1" si="6"/>
        <v>7.3312330399099874</v>
      </c>
      <c r="O11" s="252">
        <f ca="1">+O104</f>
        <v>0</v>
      </c>
      <c r="P11" s="252">
        <f t="shared" ca="1" si="7"/>
        <v>0</v>
      </c>
      <c r="Q11" s="251">
        <f t="shared" ca="1" si="8"/>
        <v>0</v>
      </c>
      <c r="R11" s="253"/>
      <c r="S11" s="253"/>
      <c r="T11" s="251"/>
      <c r="U11" s="253"/>
      <c r="V11" s="253"/>
      <c r="W11" s="251"/>
      <c r="X11" s="209"/>
      <c r="Y11" s="209"/>
      <c r="Z11" s="209"/>
    </row>
    <row r="12" spans="1:26" ht="28.5" hidden="1" customHeight="1" x14ac:dyDescent="0.3">
      <c r="A12" s="255" t="s">
        <v>34</v>
      </c>
      <c r="B12" s="256"/>
      <c r="C12" s="257">
        <f t="shared" si="0"/>
        <v>0</v>
      </c>
      <c r="D12" s="257">
        <v>0</v>
      </c>
      <c r="E12" s="257">
        <v>0</v>
      </c>
      <c r="F12" s="257">
        <v>0</v>
      </c>
      <c r="G12" s="257">
        <v>0</v>
      </c>
      <c r="H12" s="257">
        <v>0</v>
      </c>
      <c r="I12" s="257">
        <v>0</v>
      </c>
      <c r="J12" s="257">
        <f t="shared" si="3"/>
        <v>0</v>
      </c>
      <c r="K12" s="258">
        <f t="shared" si="4"/>
        <v>0</v>
      </c>
      <c r="L12" s="257">
        <v>0</v>
      </c>
      <c r="M12" s="259">
        <f t="shared" si="5"/>
        <v>0</v>
      </c>
      <c r="N12" s="259">
        <f t="shared" si="6"/>
        <v>0</v>
      </c>
      <c r="O12" s="260">
        <v>0</v>
      </c>
      <c r="P12" s="260"/>
      <c r="Q12" s="259">
        <f t="shared" si="8"/>
        <v>0</v>
      </c>
      <c r="R12" s="257">
        <v>0</v>
      </c>
      <c r="S12" s="257">
        <v>0</v>
      </c>
      <c r="T12" s="259">
        <f t="shared" ref="T12:T88" si="19">IF(R12&gt;0,S12*100/R12,0)</f>
        <v>0</v>
      </c>
      <c r="U12" s="257">
        <v>0</v>
      </c>
      <c r="V12" s="257">
        <v>0</v>
      </c>
      <c r="W12" s="259">
        <f t="shared" ref="W12:W88" si="20">IF(U12&gt;0,V12*100/U12,0)</f>
        <v>0</v>
      </c>
      <c r="X12" s="209"/>
      <c r="Y12" s="209"/>
      <c r="Z12" s="209"/>
    </row>
    <row r="13" spans="1:26" ht="28.5" customHeight="1" x14ac:dyDescent="0.3">
      <c r="A13" s="416" t="s">
        <v>35</v>
      </c>
      <c r="B13" s="397"/>
      <c r="C13" s="243">
        <f t="shared" ca="1" si="0"/>
        <v>372925</v>
      </c>
      <c r="D13" s="243">
        <f t="shared" ref="D13:I13" ca="1" si="21">SUM(D14:D30)</f>
        <v>372925</v>
      </c>
      <c r="E13" s="243">
        <f t="shared" ca="1" si="21"/>
        <v>0</v>
      </c>
      <c r="F13" s="243">
        <f t="shared" ca="1" si="21"/>
        <v>372925</v>
      </c>
      <c r="G13" s="243">
        <f t="shared" ca="1" si="21"/>
        <v>0</v>
      </c>
      <c r="H13" s="243">
        <f t="shared" ca="1" si="21"/>
        <v>372925</v>
      </c>
      <c r="I13" s="243">
        <f t="shared" ca="1" si="21"/>
        <v>0</v>
      </c>
      <c r="J13" s="243">
        <f t="shared" ca="1" si="3"/>
        <v>326935</v>
      </c>
      <c r="K13" s="244">
        <f t="shared" ca="1" si="4"/>
        <v>87.667761614265601</v>
      </c>
      <c r="L13" s="243">
        <f ca="1">SUM(L14:L30)</f>
        <v>326935</v>
      </c>
      <c r="M13" s="245">
        <f t="shared" ca="1" si="5"/>
        <v>87.667761614265601</v>
      </c>
      <c r="N13" s="245">
        <f t="shared" ca="1" si="6"/>
        <v>87.667761614265601</v>
      </c>
      <c r="O13" s="246">
        <f ca="1">SUM(O14:O30)</f>
        <v>0</v>
      </c>
      <c r="P13" s="246">
        <f t="shared" ref="P13:P116" ca="1" si="22">IF(G13&gt;0,O13*100/G13,0)</f>
        <v>0</v>
      </c>
      <c r="Q13" s="245">
        <f t="shared" ca="1" si="8"/>
        <v>0</v>
      </c>
      <c r="R13" s="243">
        <f t="shared" ref="R13:S13" ca="1" si="23">SUM(R14:R30)</f>
        <v>185</v>
      </c>
      <c r="S13" s="243">
        <f t="shared" ca="1" si="23"/>
        <v>153</v>
      </c>
      <c r="T13" s="245">
        <f t="shared" ca="1" si="19"/>
        <v>82.702702702702709</v>
      </c>
      <c r="U13" s="243">
        <f t="shared" ref="U13:V13" ca="1" si="24">SUM(U14:U30)</f>
        <v>0</v>
      </c>
      <c r="V13" s="243">
        <f t="shared" ca="1" si="24"/>
        <v>0</v>
      </c>
      <c r="W13" s="245">
        <f t="shared" ca="1" si="20"/>
        <v>0</v>
      </c>
      <c r="X13" s="209"/>
      <c r="Y13" s="209"/>
      <c r="Z13" s="209"/>
    </row>
    <row r="14" spans="1:26" ht="24" customHeight="1" x14ac:dyDescent="0.3">
      <c r="A14" s="261">
        <v>1</v>
      </c>
      <c r="B14" s="262" t="s">
        <v>36</v>
      </c>
      <c r="C14" s="263">
        <f t="shared" ca="1" si="0"/>
        <v>23060</v>
      </c>
      <c r="D14" s="264">
        <f t="shared" ref="D14:D30" ca="1" si="25">+E14+F14</f>
        <v>23060</v>
      </c>
      <c r="E14" s="265">
        <f ca="1">IFERROR(__xludf.DUMMYFUNCTION("IMPORTRANGE(""https://docs.google.com/spreadsheets/d/1MeEWN-I1oV_STSDYn1IFDPWt_1FKiwhDph83XaGc0o0/edit?usp=sharing"",""งบพรบ!CF14"")"),0)</f>
        <v>0</v>
      </c>
      <c r="F14" s="265">
        <f ca="1">IFERROR(__xludf.DUMMYFUNCTION("IMPORTRANGE(""https://docs.google.com/spreadsheets/d/1MeEWN-I1oV_STSDYn1IFDPWt_1FKiwhDph83XaGc0o0/edit?usp=sharing"",""งบพรบ!CG14"")"),23060)</f>
        <v>23060</v>
      </c>
      <c r="G14" s="266">
        <f ca="1">IFERROR(__xludf.DUMMYFUNCTION("IMPORTRANGE(""https://docs.google.com/spreadsheets/d/1MeEWN-I1oV_STSDYn1IFDPWt_1FKiwhDph83XaGc0o0/edit?usp=sharing"",""งบพรบ!CH14"")"),0)</f>
        <v>0</v>
      </c>
      <c r="H14" s="266">
        <f ca="1">IFERROR(__xludf.DUMMYFUNCTION("IMPORTRANGE(""https://docs.google.com/spreadsheets/d/1MeEWN-I1oV_STSDYn1IFDPWt_1FKiwhDph83XaGc0o0/edit?usp=sharing"",""งบพรบ!CJ14"")"),23060)</f>
        <v>23060</v>
      </c>
      <c r="I14" s="266">
        <f ca="1">IFERROR(__xludf.DUMMYFUNCTION("IMPORTRANGE(""https://docs.google.com/spreadsheets/d/1MeEWN-I1oV_STSDYn1IFDPWt_1FKiwhDph83XaGc0o0/edit?usp=sharing"",""งบพรบ!CK14"")"),0)</f>
        <v>0</v>
      </c>
      <c r="J14" s="266">
        <f t="shared" ca="1" si="3"/>
        <v>23060</v>
      </c>
      <c r="K14" s="267">
        <f t="shared" ca="1" si="4"/>
        <v>100</v>
      </c>
      <c r="L14" s="266">
        <f ca="1">IFERROR(__xludf.DUMMYFUNCTION("IMPORTRANGE(""https://docs.google.com/spreadsheets/d/1MeEWN-I1oV_STSDYn1IFDPWt_1FKiwhDph83XaGc0o0/edit?usp=sharing"",""งบพรบ!CL14"")"),23060)</f>
        <v>23060</v>
      </c>
      <c r="M14" s="268">
        <f t="shared" ca="1" si="5"/>
        <v>100</v>
      </c>
      <c r="N14" s="268">
        <f t="shared" ca="1" si="6"/>
        <v>100</v>
      </c>
      <c r="O14" s="269">
        <f ca="1">IFERROR(__xludf.DUMMYFUNCTION("IMPORTRANGE(""https://docs.google.com/spreadsheets/d/1MeEWN-I1oV_STSDYn1IFDPWt_1FKiwhDph83XaGc0o0/edit?usp=sharing"",""งบพรบ!CC14"")"),0)</f>
        <v>0</v>
      </c>
      <c r="P14" s="269">
        <f t="shared" ca="1" si="22"/>
        <v>0</v>
      </c>
      <c r="Q14" s="268">
        <f t="shared" ca="1" si="8"/>
        <v>0</v>
      </c>
      <c r="R14" s="266">
        <f ca="1">IFERROR(__xludf.DUMMYFUNCTION("IMPORTRANGE(""https://docs.google.com/spreadsheets/d/1KxicF4apzSqm0-jIpmueT4kyZtE-Cwn5zskl7GD4loQ/edit?usp=sharing"",""กำแพงเพชร!I176"")"),12)</f>
        <v>12</v>
      </c>
      <c r="S14" s="266">
        <f ca="1">IFERROR(__xludf.DUMMYFUNCTION("IMPORTRANGE(""https://docs.google.com/spreadsheets/d/1KxicF4apzSqm0-jIpmueT4kyZtE-Cwn5zskl7GD4loQ/edit?usp=sharing"",""กำแพงเพชร!J176"")"),12)</f>
        <v>12</v>
      </c>
      <c r="T14" s="270">
        <f t="shared" ca="1" si="19"/>
        <v>100</v>
      </c>
      <c r="U14" s="458">
        <f ca="1">IFERROR(__xludf.DUMMYFUNCTION("IMPORTRANGE(""https://docs.google.com/spreadsheets/d/1KxicF4apzSqm0-jIpmueT4kyZtE-Cwn5zskl7GD4loQ/edit?usp=sharing"",""กำแพงเพชร!I179"")"),0)</f>
        <v>0</v>
      </c>
      <c r="V14" s="271" t="str">
        <f ca="1">IFERROR(__xludf.DUMMYFUNCTION("IMPORTRANGE(""https://docs.google.com/spreadsheets/d/1KxicF4apzSqm0-jIpmueT4kyZtE-Cwn5zskl7GD4loQ/edit?usp=sharing"",""กำแพงเพชร!J179"")"),"")</f>
        <v/>
      </c>
      <c r="W14" s="270">
        <f t="shared" ca="1" si="20"/>
        <v>0</v>
      </c>
      <c r="X14" s="209"/>
      <c r="Y14" s="209"/>
      <c r="Z14" s="209"/>
    </row>
    <row r="15" spans="1:26" ht="24" customHeight="1" x14ac:dyDescent="0.3">
      <c r="A15" s="261">
        <v>2</v>
      </c>
      <c r="B15" s="262" t="s">
        <v>37</v>
      </c>
      <c r="C15" s="263">
        <f t="shared" ca="1" si="0"/>
        <v>21050</v>
      </c>
      <c r="D15" s="264">
        <f t="shared" ca="1" si="25"/>
        <v>21050</v>
      </c>
      <c r="E15" s="265">
        <f ca="1">IFERROR(__xludf.DUMMYFUNCTION("IMPORTRANGE(""https://docs.google.com/spreadsheets/d/1MeEWN-I1oV_STSDYn1IFDPWt_1FKiwhDph83XaGc0o0/edit?usp=sharing"",""งบพรบ!CF15"")"),0)</f>
        <v>0</v>
      </c>
      <c r="F15" s="265">
        <f ca="1">IFERROR(__xludf.DUMMYFUNCTION("IMPORTRANGE(""https://docs.google.com/spreadsheets/d/1MeEWN-I1oV_STSDYn1IFDPWt_1FKiwhDph83XaGc0o0/edit?usp=sharing"",""งบพรบ!CG15"")"),21050)</f>
        <v>21050</v>
      </c>
      <c r="G15" s="265">
        <f ca="1">IFERROR(__xludf.DUMMYFUNCTION("IMPORTRANGE(""https://docs.google.com/spreadsheets/d/1MeEWN-I1oV_STSDYn1IFDPWt_1FKiwhDph83XaGc0o0/edit?usp=sharing"",""งบพรบ!CH15"")"),0)</f>
        <v>0</v>
      </c>
      <c r="H15" s="265">
        <f ca="1">IFERROR(__xludf.DUMMYFUNCTION("IMPORTRANGE(""https://docs.google.com/spreadsheets/d/1MeEWN-I1oV_STSDYn1IFDPWt_1FKiwhDph83XaGc0o0/edit?usp=sharing"",""งบพรบ!CJ15"")"),21050)</f>
        <v>21050</v>
      </c>
      <c r="I15" s="265">
        <f ca="1">IFERROR(__xludf.DUMMYFUNCTION("IMPORTRANGE(""https://docs.google.com/spreadsheets/d/1MeEWN-I1oV_STSDYn1IFDPWt_1FKiwhDph83XaGc0o0/edit?usp=sharing"",""งบพรบ!CK15"")"),0)</f>
        <v>0</v>
      </c>
      <c r="J15" s="265">
        <f t="shared" ca="1" si="3"/>
        <v>20560</v>
      </c>
      <c r="K15" s="272">
        <f t="shared" ca="1" si="4"/>
        <v>97.672209026128272</v>
      </c>
      <c r="L15" s="265">
        <f ca="1">IFERROR(__xludf.DUMMYFUNCTION("IMPORTRANGE(""https://docs.google.com/spreadsheets/d/1MeEWN-I1oV_STSDYn1IFDPWt_1FKiwhDph83XaGc0o0/edit?usp=sharing"",""งบพรบ!CL15"")"),20560)</f>
        <v>20560</v>
      </c>
      <c r="M15" s="268">
        <f t="shared" ca="1" si="5"/>
        <v>97.672209026128272</v>
      </c>
      <c r="N15" s="268">
        <f t="shared" ca="1" si="6"/>
        <v>97.672209026128272</v>
      </c>
      <c r="O15" s="269">
        <f ca="1">IFERROR(__xludf.DUMMYFUNCTION("IMPORTRANGE(""https://docs.google.com/spreadsheets/d/1MeEWN-I1oV_STSDYn1IFDPWt_1FKiwhDph83XaGc0o0/edit?usp=sharing"",""งบพรบ!CC15"")"),0)</f>
        <v>0</v>
      </c>
      <c r="P15" s="269">
        <f t="shared" ca="1" si="22"/>
        <v>0</v>
      </c>
      <c r="Q15" s="268">
        <f t="shared" ca="1" si="8"/>
        <v>0</v>
      </c>
      <c r="R15" s="266">
        <f ca="1">IFERROR(__xludf.DUMMYFUNCTION("IMPORTRANGE(""https://docs.google.com/spreadsheets/d/1ZNYWeiFoFA1K1U4xKWqRX29MBvEyRHXORjo734Gnq_c/edit?usp=sharing"",""เชียงราย!I176"")"),10)</f>
        <v>10</v>
      </c>
      <c r="S15" s="266">
        <f ca="1">IFERROR(__xludf.DUMMYFUNCTION("IMPORTRANGE(""https://docs.google.com/spreadsheets/d/1ZNYWeiFoFA1K1U4xKWqRX29MBvEyRHXORjo734Gnq_c/edit?usp=sharing"",""เชียงราย!J176"")"),10)</f>
        <v>10</v>
      </c>
      <c r="T15" s="270">
        <f t="shared" ca="1" si="19"/>
        <v>100</v>
      </c>
      <c r="U15" s="458">
        <f ca="1">IFERROR(__xludf.DUMMYFUNCTION("IMPORTRANGE(""https://docs.google.com/spreadsheets/d/1ZNYWeiFoFA1K1U4xKWqRX29MBvEyRHXORjo734Gnq_c/edit?usp=sharing"",""เชียงราย!I179"")"),0)</f>
        <v>0</v>
      </c>
      <c r="V15" s="271" t="str">
        <f ca="1">IFERROR(__xludf.DUMMYFUNCTION("IMPORTRANGE(""https://docs.google.com/spreadsheets/d/1ZNYWeiFoFA1K1U4xKWqRX29MBvEyRHXORjo734Gnq_c/edit?usp=sharing"",""เชียงราย!J179"")"),"")</f>
        <v/>
      </c>
      <c r="W15" s="270">
        <f t="shared" ca="1" si="20"/>
        <v>0</v>
      </c>
      <c r="X15" s="209"/>
      <c r="Y15" s="209"/>
      <c r="Z15" s="209"/>
    </row>
    <row r="16" spans="1:26" ht="24" customHeight="1" x14ac:dyDescent="0.3">
      <c r="A16" s="261">
        <v>3</v>
      </c>
      <c r="B16" s="262" t="s">
        <v>38</v>
      </c>
      <c r="C16" s="263">
        <f t="shared" ca="1" si="0"/>
        <v>22055</v>
      </c>
      <c r="D16" s="264">
        <f t="shared" ca="1" si="25"/>
        <v>22055</v>
      </c>
      <c r="E16" s="265">
        <f ca="1">IFERROR(__xludf.DUMMYFUNCTION("IMPORTRANGE(""https://docs.google.com/spreadsheets/d/1MeEWN-I1oV_STSDYn1IFDPWt_1FKiwhDph83XaGc0o0/edit?usp=sharing"",""งบพรบ!CF16"")"),0)</f>
        <v>0</v>
      </c>
      <c r="F16" s="265">
        <f ca="1">IFERROR(__xludf.DUMMYFUNCTION("IMPORTRANGE(""https://docs.google.com/spreadsheets/d/1MeEWN-I1oV_STSDYn1IFDPWt_1FKiwhDph83XaGc0o0/edit?usp=sharing"",""งบพรบ!CG16"")"),22055)</f>
        <v>22055</v>
      </c>
      <c r="G16" s="265">
        <f ca="1">IFERROR(__xludf.DUMMYFUNCTION("IMPORTRANGE(""https://docs.google.com/spreadsheets/d/1MeEWN-I1oV_STSDYn1IFDPWt_1FKiwhDph83XaGc0o0/edit?usp=sharing"",""งบพรบ!CH16"")"),0)</f>
        <v>0</v>
      </c>
      <c r="H16" s="265">
        <f ca="1">IFERROR(__xludf.DUMMYFUNCTION("IMPORTRANGE(""https://docs.google.com/spreadsheets/d/1MeEWN-I1oV_STSDYn1IFDPWt_1FKiwhDph83XaGc0o0/edit?usp=sharing"",""งบพรบ!CJ16"")"),22055)</f>
        <v>22055</v>
      </c>
      <c r="I16" s="265">
        <f ca="1">IFERROR(__xludf.DUMMYFUNCTION("IMPORTRANGE(""https://docs.google.com/spreadsheets/d/1MeEWN-I1oV_STSDYn1IFDPWt_1FKiwhDph83XaGc0o0/edit?usp=sharing"",""งบพรบ!CK16"")"),0)</f>
        <v>0</v>
      </c>
      <c r="J16" s="265">
        <f t="shared" ca="1" si="3"/>
        <v>22055</v>
      </c>
      <c r="K16" s="272">
        <f t="shared" ca="1" si="4"/>
        <v>100</v>
      </c>
      <c r="L16" s="265">
        <f ca="1">IFERROR(__xludf.DUMMYFUNCTION("IMPORTRANGE(""https://docs.google.com/spreadsheets/d/1MeEWN-I1oV_STSDYn1IFDPWt_1FKiwhDph83XaGc0o0/edit?usp=sharing"",""งบพรบ!CL16"")"),22055)</f>
        <v>22055</v>
      </c>
      <c r="M16" s="268">
        <f t="shared" ca="1" si="5"/>
        <v>100</v>
      </c>
      <c r="N16" s="268">
        <f t="shared" ca="1" si="6"/>
        <v>100</v>
      </c>
      <c r="O16" s="269">
        <f ca="1">IFERROR(__xludf.DUMMYFUNCTION("IMPORTRANGE(""https://docs.google.com/spreadsheets/d/1MeEWN-I1oV_STSDYn1IFDPWt_1FKiwhDph83XaGc0o0/edit?usp=sharing"",""งบพรบ!CC16"")"),0)</f>
        <v>0</v>
      </c>
      <c r="P16" s="269">
        <f t="shared" ca="1" si="22"/>
        <v>0</v>
      </c>
      <c r="Q16" s="268">
        <f t="shared" ca="1" si="8"/>
        <v>0</v>
      </c>
      <c r="R16" s="266">
        <f ca="1">IFERROR(__xludf.DUMMYFUNCTION("IMPORTRANGE(""https://docs.google.com/spreadsheets/d/1Jgv0Y7YlHDtsiDawwp-uvifEJ8HVaSn0k2aGHG8-hwM/edit?usp=sharing"",""เชียงใหม่!I176"")"),11)</f>
        <v>11</v>
      </c>
      <c r="S16" s="266">
        <f ca="1">IFERROR(__xludf.DUMMYFUNCTION("IMPORTRANGE(""https://docs.google.com/spreadsheets/d/1Jgv0Y7YlHDtsiDawwp-uvifEJ8HVaSn0k2aGHG8-hwM/edit?usp=sharing"",""เชียงใหม่!J176"")"),11)</f>
        <v>11</v>
      </c>
      <c r="T16" s="270">
        <f t="shared" ca="1" si="19"/>
        <v>100</v>
      </c>
      <c r="U16" s="458">
        <f ca="1">IFERROR(__xludf.DUMMYFUNCTION("IMPORTRANGE(""https://docs.google.com/spreadsheets/d/1Jgv0Y7YlHDtsiDawwp-uvifEJ8HVaSn0k2aGHG8-hwM/edit?usp=sharing"",""เชียงใหม่!I179"")"),0)</f>
        <v>0</v>
      </c>
      <c r="V16" s="271" t="str">
        <f ca="1">IFERROR(__xludf.DUMMYFUNCTION("IMPORTRANGE(""https://docs.google.com/spreadsheets/d/1Jgv0Y7YlHDtsiDawwp-uvifEJ8HVaSn0k2aGHG8-hwM/edit?usp=sharing"",""เชียงใหม่!J179"")"),"")</f>
        <v/>
      </c>
      <c r="W16" s="270">
        <f t="shared" ca="1" si="20"/>
        <v>0</v>
      </c>
      <c r="X16" s="209"/>
      <c r="Y16" s="209"/>
      <c r="Z16" s="209"/>
    </row>
    <row r="17" spans="1:26" ht="24" customHeight="1" x14ac:dyDescent="0.3">
      <c r="A17" s="261">
        <v>4</v>
      </c>
      <c r="B17" s="262" t="s">
        <v>39</v>
      </c>
      <c r="C17" s="263">
        <f t="shared" ca="1" si="0"/>
        <v>22055</v>
      </c>
      <c r="D17" s="264">
        <f t="shared" ca="1" si="25"/>
        <v>22055</v>
      </c>
      <c r="E17" s="265">
        <f ca="1">IFERROR(__xludf.DUMMYFUNCTION("IMPORTRANGE(""https://docs.google.com/spreadsheets/d/1MeEWN-I1oV_STSDYn1IFDPWt_1FKiwhDph83XaGc0o0/edit?usp=sharing"",""งบพรบ!CF17"")"),0)</f>
        <v>0</v>
      </c>
      <c r="F17" s="265">
        <f ca="1">IFERROR(__xludf.DUMMYFUNCTION("IMPORTRANGE(""https://docs.google.com/spreadsheets/d/1MeEWN-I1oV_STSDYn1IFDPWt_1FKiwhDph83XaGc0o0/edit?usp=sharing"",""งบพรบ!CG17"")"),22055)</f>
        <v>22055</v>
      </c>
      <c r="G17" s="265">
        <f ca="1">IFERROR(__xludf.DUMMYFUNCTION("IMPORTRANGE(""https://docs.google.com/spreadsheets/d/1MeEWN-I1oV_STSDYn1IFDPWt_1FKiwhDph83XaGc0o0/edit?usp=sharing"",""งบพรบ!CH17"")"),0)</f>
        <v>0</v>
      </c>
      <c r="H17" s="265">
        <f ca="1">IFERROR(__xludf.DUMMYFUNCTION("IMPORTRANGE(""https://docs.google.com/spreadsheets/d/1MeEWN-I1oV_STSDYn1IFDPWt_1FKiwhDph83XaGc0o0/edit?usp=sharing"",""งบพรบ!CJ17"")"),22055)</f>
        <v>22055</v>
      </c>
      <c r="I17" s="265">
        <f ca="1">IFERROR(__xludf.DUMMYFUNCTION("IMPORTRANGE(""https://docs.google.com/spreadsheets/d/1MeEWN-I1oV_STSDYn1IFDPWt_1FKiwhDph83XaGc0o0/edit?usp=sharing"",""งบพรบ!CK17"")"),0)</f>
        <v>0</v>
      </c>
      <c r="J17" s="265">
        <f t="shared" ca="1" si="3"/>
        <v>22055</v>
      </c>
      <c r="K17" s="272">
        <f t="shared" ca="1" si="4"/>
        <v>100</v>
      </c>
      <c r="L17" s="265">
        <f ca="1">IFERROR(__xludf.DUMMYFUNCTION("IMPORTRANGE(""https://docs.google.com/spreadsheets/d/1MeEWN-I1oV_STSDYn1IFDPWt_1FKiwhDph83XaGc0o0/edit?usp=sharing"",""งบพรบ!CL17"")"),22055)</f>
        <v>22055</v>
      </c>
      <c r="M17" s="268">
        <f t="shared" ca="1" si="5"/>
        <v>100</v>
      </c>
      <c r="N17" s="268">
        <f t="shared" ca="1" si="6"/>
        <v>100</v>
      </c>
      <c r="O17" s="269">
        <f ca="1">IFERROR(__xludf.DUMMYFUNCTION("IMPORTRANGE(""https://docs.google.com/spreadsheets/d/1MeEWN-I1oV_STSDYn1IFDPWt_1FKiwhDph83XaGc0o0/edit?usp=sharing"",""งบพรบ!CC17"")"),0)</f>
        <v>0</v>
      </c>
      <c r="P17" s="269">
        <f t="shared" ca="1" si="22"/>
        <v>0</v>
      </c>
      <c r="Q17" s="268">
        <f t="shared" ca="1" si="8"/>
        <v>0</v>
      </c>
      <c r="R17" s="266">
        <f ca="1">IFERROR(__xludf.DUMMYFUNCTION("IMPORTRANGE(""https://docs.google.com/spreadsheets/d/1JWG2rZePOz9pe-f-ObA-yDr0VoOX2kSb0qIix2mTUo8/edit?usp=sharing"",""ตาก!I176"")"),11)</f>
        <v>11</v>
      </c>
      <c r="S17" s="266">
        <f ca="1">IFERROR(__xludf.DUMMYFUNCTION("IMPORTRANGE(""https://docs.google.com/spreadsheets/d/1JWG2rZePOz9pe-f-ObA-yDr0VoOX2kSb0qIix2mTUo8/edit?usp=sharing"",""ตาก!J176"")"),11)</f>
        <v>11</v>
      </c>
      <c r="T17" s="270">
        <f t="shared" ca="1" si="19"/>
        <v>100</v>
      </c>
      <c r="U17" s="458">
        <f ca="1">IFERROR(__xludf.DUMMYFUNCTION("IMPORTRANGE(""https://docs.google.com/spreadsheets/d/1JWG2rZePOz9pe-f-ObA-yDr0VoOX2kSb0qIix2mTUo8/edit?usp=sharing"",""ตาก!I179"")"),0)</f>
        <v>0</v>
      </c>
      <c r="V17" s="271" t="str">
        <f ca="1">IFERROR(__xludf.DUMMYFUNCTION("IMPORTRANGE(""https://docs.google.com/spreadsheets/d/1JWG2rZePOz9pe-f-ObA-yDr0VoOX2kSb0qIix2mTUo8/edit?usp=sharing"",""ตาก!J179"")"),"")</f>
        <v/>
      </c>
      <c r="W17" s="270">
        <f t="shared" ca="1" si="20"/>
        <v>0</v>
      </c>
      <c r="X17" s="209"/>
      <c r="Y17" s="209"/>
      <c r="Z17" s="209"/>
    </row>
    <row r="18" spans="1:26" ht="24" customHeight="1" x14ac:dyDescent="0.3">
      <c r="A18" s="261">
        <v>5</v>
      </c>
      <c r="B18" s="262" t="s">
        <v>40</v>
      </c>
      <c r="C18" s="263">
        <f t="shared" ca="1" si="0"/>
        <v>22055</v>
      </c>
      <c r="D18" s="264">
        <f t="shared" ca="1" si="25"/>
        <v>22055</v>
      </c>
      <c r="E18" s="265">
        <f ca="1">IFERROR(__xludf.DUMMYFUNCTION("IMPORTRANGE(""https://docs.google.com/spreadsheets/d/1MeEWN-I1oV_STSDYn1IFDPWt_1FKiwhDph83XaGc0o0/edit?usp=sharing"",""งบพรบ!CF18"")"),0)</f>
        <v>0</v>
      </c>
      <c r="F18" s="265">
        <f ca="1">IFERROR(__xludf.DUMMYFUNCTION("IMPORTRANGE(""https://docs.google.com/spreadsheets/d/1MeEWN-I1oV_STSDYn1IFDPWt_1FKiwhDph83XaGc0o0/edit?usp=sharing"",""งบพรบ!CG18"")"),22055)</f>
        <v>22055</v>
      </c>
      <c r="G18" s="265">
        <f ca="1">IFERROR(__xludf.DUMMYFUNCTION("IMPORTRANGE(""https://docs.google.com/spreadsheets/d/1MeEWN-I1oV_STSDYn1IFDPWt_1FKiwhDph83XaGc0o0/edit?usp=sharing"",""งบพรบ!CH18"")"),0)</f>
        <v>0</v>
      </c>
      <c r="H18" s="265">
        <f ca="1">IFERROR(__xludf.DUMMYFUNCTION("IMPORTRANGE(""https://docs.google.com/spreadsheets/d/1MeEWN-I1oV_STSDYn1IFDPWt_1FKiwhDph83XaGc0o0/edit?usp=sharing"",""งบพรบ!CJ18"")"),22055)</f>
        <v>22055</v>
      </c>
      <c r="I18" s="265">
        <f ca="1">IFERROR(__xludf.DUMMYFUNCTION("IMPORTRANGE(""https://docs.google.com/spreadsheets/d/1MeEWN-I1oV_STSDYn1IFDPWt_1FKiwhDph83XaGc0o0/edit?usp=sharing"",""งบพรบ!CK18"")"),0)</f>
        <v>0</v>
      </c>
      <c r="J18" s="265">
        <f t="shared" ca="1" si="3"/>
        <v>22055</v>
      </c>
      <c r="K18" s="272">
        <f t="shared" ca="1" si="4"/>
        <v>100</v>
      </c>
      <c r="L18" s="265">
        <f ca="1">IFERROR(__xludf.DUMMYFUNCTION("IMPORTRANGE(""https://docs.google.com/spreadsheets/d/1MeEWN-I1oV_STSDYn1IFDPWt_1FKiwhDph83XaGc0o0/edit?usp=sharing"",""งบพรบ!CL18"")"),22055)</f>
        <v>22055</v>
      </c>
      <c r="M18" s="268">
        <f t="shared" ca="1" si="5"/>
        <v>100</v>
      </c>
      <c r="N18" s="268">
        <f t="shared" ca="1" si="6"/>
        <v>100</v>
      </c>
      <c r="O18" s="269">
        <f ca="1">IFERROR(__xludf.DUMMYFUNCTION("IMPORTRANGE(""https://docs.google.com/spreadsheets/d/1MeEWN-I1oV_STSDYn1IFDPWt_1FKiwhDph83XaGc0o0/edit?usp=sharing"",""งบพรบ!CC18"")"),0)</f>
        <v>0</v>
      </c>
      <c r="P18" s="269">
        <f t="shared" ca="1" si="22"/>
        <v>0</v>
      </c>
      <c r="Q18" s="268">
        <f t="shared" ca="1" si="8"/>
        <v>0</v>
      </c>
      <c r="R18" s="266">
        <f ca="1">IFERROR(__xludf.DUMMYFUNCTION("IMPORTRANGE(""https://docs.google.com/spreadsheets/d/10nSRjK08hx8Y6HgSOQKNw81lyY46Zc7U_Cj72hBMp9U/edit?usp=sharing"",""นครสวรรค์!I176"")"),11)</f>
        <v>11</v>
      </c>
      <c r="S18" s="266">
        <f ca="1">IFERROR(__xludf.DUMMYFUNCTION("IMPORTRANGE(""https://docs.google.com/spreadsheets/d/10nSRjK08hx8Y6HgSOQKNw81lyY46Zc7U_Cj72hBMp9U/edit?usp=sharing"",""นครสวรรค์!J176"")"),11)</f>
        <v>11</v>
      </c>
      <c r="T18" s="270">
        <f t="shared" ca="1" si="19"/>
        <v>100</v>
      </c>
      <c r="U18" s="458">
        <f ca="1">IFERROR(__xludf.DUMMYFUNCTION("IMPORTRANGE(""https://docs.google.com/spreadsheets/d/10nSRjK08hx8Y6HgSOQKNw81lyY46Zc7U_Cj72hBMp9U/edit?usp=sharing"",""นครสวรรค์!I179"")"),0)</f>
        <v>0</v>
      </c>
      <c r="V18" s="271" t="str">
        <f ca="1">IFERROR(__xludf.DUMMYFUNCTION("IMPORTRANGE(""https://docs.google.com/spreadsheets/d/10nSRjK08hx8Y6HgSOQKNw81lyY46Zc7U_Cj72hBMp9U/edit?usp=sharing"",""นครสวรรค์!J179"")"),"")</f>
        <v/>
      </c>
      <c r="W18" s="270">
        <f t="shared" ca="1" si="20"/>
        <v>0</v>
      </c>
      <c r="X18" s="209"/>
      <c r="Y18" s="209"/>
      <c r="Z18" s="209"/>
    </row>
    <row r="19" spans="1:26" ht="24" customHeight="1" x14ac:dyDescent="0.3">
      <c r="A19" s="261">
        <v>6</v>
      </c>
      <c r="B19" s="262" t="s">
        <v>41</v>
      </c>
      <c r="C19" s="263">
        <f t="shared" ca="1" si="0"/>
        <v>21050</v>
      </c>
      <c r="D19" s="264">
        <f t="shared" ca="1" si="25"/>
        <v>21050</v>
      </c>
      <c r="E19" s="265">
        <f ca="1">IFERROR(__xludf.DUMMYFUNCTION("IMPORTRANGE(""https://docs.google.com/spreadsheets/d/1MeEWN-I1oV_STSDYn1IFDPWt_1FKiwhDph83XaGc0o0/edit?usp=sharing"",""งบพรบ!CF19"")"),0)</f>
        <v>0</v>
      </c>
      <c r="F19" s="265">
        <f ca="1">IFERROR(__xludf.DUMMYFUNCTION("IMPORTRANGE(""https://docs.google.com/spreadsheets/d/1MeEWN-I1oV_STSDYn1IFDPWt_1FKiwhDph83XaGc0o0/edit?usp=sharing"",""งบพรบ!CG19"")"),21050)</f>
        <v>21050</v>
      </c>
      <c r="G19" s="265">
        <f ca="1">IFERROR(__xludf.DUMMYFUNCTION("IMPORTRANGE(""https://docs.google.com/spreadsheets/d/1MeEWN-I1oV_STSDYn1IFDPWt_1FKiwhDph83XaGc0o0/edit?usp=sharing"",""งบพรบ!CH19"")"),0)</f>
        <v>0</v>
      </c>
      <c r="H19" s="265">
        <f ca="1">IFERROR(__xludf.DUMMYFUNCTION("IMPORTRANGE(""https://docs.google.com/spreadsheets/d/1MeEWN-I1oV_STSDYn1IFDPWt_1FKiwhDph83XaGc0o0/edit?usp=sharing"",""งบพรบ!CJ19"")"),21050)</f>
        <v>21050</v>
      </c>
      <c r="I19" s="265">
        <f ca="1">IFERROR(__xludf.DUMMYFUNCTION("IMPORTRANGE(""https://docs.google.com/spreadsheets/d/1MeEWN-I1oV_STSDYn1IFDPWt_1FKiwhDph83XaGc0o0/edit?usp=sharing"",""งบพรบ!CK19"")"),0)</f>
        <v>0</v>
      </c>
      <c r="J19" s="265">
        <f t="shared" ca="1" si="3"/>
        <v>21050</v>
      </c>
      <c r="K19" s="272">
        <f t="shared" ca="1" si="4"/>
        <v>100</v>
      </c>
      <c r="L19" s="265">
        <f ca="1">IFERROR(__xludf.DUMMYFUNCTION("IMPORTRANGE(""https://docs.google.com/spreadsheets/d/1MeEWN-I1oV_STSDYn1IFDPWt_1FKiwhDph83XaGc0o0/edit?usp=sharing"",""งบพรบ!CL19"")"),21050)</f>
        <v>21050</v>
      </c>
      <c r="M19" s="268">
        <f t="shared" ca="1" si="5"/>
        <v>100</v>
      </c>
      <c r="N19" s="268">
        <f t="shared" ca="1" si="6"/>
        <v>100</v>
      </c>
      <c r="O19" s="269">
        <f ca="1">IFERROR(__xludf.DUMMYFUNCTION("IMPORTRANGE(""https://docs.google.com/spreadsheets/d/1MeEWN-I1oV_STSDYn1IFDPWt_1FKiwhDph83XaGc0o0/edit?usp=sharing"",""งบพรบ!CC19"")"),0)</f>
        <v>0</v>
      </c>
      <c r="P19" s="269">
        <f t="shared" ca="1" si="22"/>
        <v>0</v>
      </c>
      <c r="Q19" s="268">
        <f t="shared" ca="1" si="8"/>
        <v>0</v>
      </c>
      <c r="R19" s="266">
        <f ca="1">IFERROR(__xludf.DUMMYFUNCTION("IMPORTRANGE(""https://docs.google.com/spreadsheets/d/1gFVb7qd7amutrIxAAoM7lcy35hllxznovot8lyOfvDo/edit?usp=sharing"",""น่าน!I176"")"),10)</f>
        <v>10</v>
      </c>
      <c r="S19" s="266">
        <f ca="1">IFERROR(__xludf.DUMMYFUNCTION("IMPORTRANGE(""https://docs.google.com/spreadsheets/d/1gFVb7qd7amutrIxAAoM7lcy35hllxznovot8lyOfvDo/edit?usp=sharing"",""น่าน!J176"")"),10)</f>
        <v>10</v>
      </c>
      <c r="T19" s="270">
        <f t="shared" ca="1" si="19"/>
        <v>100</v>
      </c>
      <c r="U19" s="458">
        <f ca="1">IFERROR(__xludf.DUMMYFUNCTION("IMPORTRANGE(""https://docs.google.com/spreadsheets/d/1gFVb7qd7amutrIxAAoM7lcy35hllxznovot8lyOfvDo/edit?usp=sharing"",""น่าน!I179"")"),0)</f>
        <v>0</v>
      </c>
      <c r="V19" s="271" t="str">
        <f ca="1">IFERROR(__xludf.DUMMYFUNCTION("IMPORTRANGE(""https://docs.google.com/spreadsheets/d/1gFVb7qd7amutrIxAAoM7lcy35hllxznovot8lyOfvDo/edit?usp=sharing"",""น่าน!J179"")"),"")</f>
        <v/>
      </c>
      <c r="W19" s="270">
        <f t="shared" ca="1" si="20"/>
        <v>0</v>
      </c>
      <c r="X19" s="209"/>
      <c r="Y19" s="209"/>
      <c r="Z19" s="209"/>
    </row>
    <row r="20" spans="1:26" ht="24" customHeight="1" x14ac:dyDescent="0.3">
      <c r="A20" s="261">
        <v>7</v>
      </c>
      <c r="B20" s="262" t="s">
        <v>42</v>
      </c>
      <c r="C20" s="263">
        <f t="shared" ca="1" si="0"/>
        <v>23060</v>
      </c>
      <c r="D20" s="264">
        <f t="shared" ca="1" si="25"/>
        <v>23060</v>
      </c>
      <c r="E20" s="265">
        <f ca="1">IFERROR(__xludf.DUMMYFUNCTION("IMPORTRANGE(""https://docs.google.com/spreadsheets/d/1MeEWN-I1oV_STSDYn1IFDPWt_1FKiwhDph83XaGc0o0/edit?usp=sharing"",""งบพรบ!CF20"")"),0)</f>
        <v>0</v>
      </c>
      <c r="F20" s="265">
        <f ca="1">IFERROR(__xludf.DUMMYFUNCTION("IMPORTRANGE(""https://docs.google.com/spreadsheets/d/1MeEWN-I1oV_STSDYn1IFDPWt_1FKiwhDph83XaGc0o0/edit?usp=sharing"",""งบพรบ!CG20"")"),23060)</f>
        <v>23060</v>
      </c>
      <c r="G20" s="265">
        <f ca="1">IFERROR(__xludf.DUMMYFUNCTION("IMPORTRANGE(""https://docs.google.com/spreadsheets/d/1MeEWN-I1oV_STSDYn1IFDPWt_1FKiwhDph83XaGc0o0/edit?usp=sharing"",""งบพรบ!CH20"")"),0)</f>
        <v>0</v>
      </c>
      <c r="H20" s="265">
        <f ca="1">IFERROR(__xludf.DUMMYFUNCTION("IMPORTRANGE(""https://docs.google.com/spreadsheets/d/1MeEWN-I1oV_STSDYn1IFDPWt_1FKiwhDph83XaGc0o0/edit?usp=sharing"",""งบพรบ!CJ20"")"),23060)</f>
        <v>23060</v>
      </c>
      <c r="I20" s="265">
        <f ca="1">IFERROR(__xludf.DUMMYFUNCTION("IMPORTRANGE(""https://docs.google.com/spreadsheets/d/1MeEWN-I1oV_STSDYn1IFDPWt_1FKiwhDph83XaGc0o0/edit?usp=sharing"",""งบพรบ!CK20"")"),0)</f>
        <v>0</v>
      </c>
      <c r="J20" s="265">
        <f t="shared" ca="1" si="3"/>
        <v>23560</v>
      </c>
      <c r="K20" s="272">
        <f t="shared" ca="1" si="4"/>
        <v>102.16825672159584</v>
      </c>
      <c r="L20" s="265">
        <f ca="1">IFERROR(__xludf.DUMMYFUNCTION("IMPORTRANGE(""https://docs.google.com/spreadsheets/d/1MeEWN-I1oV_STSDYn1IFDPWt_1FKiwhDph83XaGc0o0/edit?usp=sharing"",""งบพรบ!CL20"")"),23560)</f>
        <v>23560</v>
      </c>
      <c r="M20" s="268">
        <f t="shared" ca="1" si="5"/>
        <v>102.16825672159584</v>
      </c>
      <c r="N20" s="268">
        <f t="shared" ca="1" si="6"/>
        <v>102.16825672159584</v>
      </c>
      <c r="O20" s="269">
        <f ca="1">IFERROR(__xludf.DUMMYFUNCTION("IMPORTRANGE(""https://docs.google.com/spreadsheets/d/1MeEWN-I1oV_STSDYn1IFDPWt_1FKiwhDph83XaGc0o0/edit?usp=sharing"",""งบพรบ!CC20"")"),0)</f>
        <v>0</v>
      </c>
      <c r="P20" s="269">
        <f t="shared" ca="1" si="22"/>
        <v>0</v>
      </c>
      <c r="Q20" s="268">
        <f t="shared" ca="1" si="8"/>
        <v>0</v>
      </c>
      <c r="R20" s="266">
        <f ca="1">IFERROR(__xludf.DUMMYFUNCTION("IMPORTRANGE(""https://docs.google.com/spreadsheets/d/1K0Aa9s-6EuHE5M0FG1F9aHLXRCOV917xvycTdLdct0w/edit?usp=sharing"",""พะเยา!I176"")"),12)</f>
        <v>12</v>
      </c>
      <c r="S20" s="266">
        <f ca="1">IFERROR(__xludf.DUMMYFUNCTION("IMPORTRANGE(""https://docs.google.com/spreadsheets/d/1K0Aa9s-6EuHE5M0FG1F9aHLXRCOV917xvycTdLdct0w/edit?usp=sharing"",""พะเยา!J176"")"),12)</f>
        <v>12</v>
      </c>
      <c r="T20" s="270">
        <f t="shared" ca="1" si="19"/>
        <v>100</v>
      </c>
      <c r="U20" s="458">
        <f ca="1">IFERROR(__xludf.DUMMYFUNCTION("IMPORTRANGE(""https://docs.google.com/spreadsheets/d/1K0Aa9s-6EuHE5M0FG1F9aHLXRCOV917xvycTdLdct0w/edit?usp=sharing"",""พะเยา!I179"")"),0)</f>
        <v>0</v>
      </c>
      <c r="V20" s="271" t="str">
        <f ca="1">IFERROR(__xludf.DUMMYFUNCTION("IMPORTRANGE(""https://docs.google.com/spreadsheets/d/1K0Aa9s-6EuHE5M0FG1F9aHLXRCOV917xvycTdLdct0w/edit?usp=sharing"",""พะเยา!J179"")"),"")</f>
        <v/>
      </c>
      <c r="W20" s="270">
        <f t="shared" ca="1" si="20"/>
        <v>0</v>
      </c>
      <c r="X20" s="209"/>
      <c r="Y20" s="209"/>
      <c r="Z20" s="209"/>
    </row>
    <row r="21" spans="1:26" ht="24" customHeight="1" x14ac:dyDescent="0.3">
      <c r="A21" s="261">
        <v>8</v>
      </c>
      <c r="B21" s="262" t="s">
        <v>43</v>
      </c>
      <c r="C21" s="263">
        <f t="shared" ca="1" si="0"/>
        <v>22055</v>
      </c>
      <c r="D21" s="264">
        <f t="shared" ca="1" si="25"/>
        <v>22055</v>
      </c>
      <c r="E21" s="265">
        <f ca="1">IFERROR(__xludf.DUMMYFUNCTION("IMPORTRANGE(""https://docs.google.com/spreadsheets/d/1MeEWN-I1oV_STSDYn1IFDPWt_1FKiwhDph83XaGc0o0/edit?usp=sharing"",""งบพรบ!CF21"")"),0)</f>
        <v>0</v>
      </c>
      <c r="F21" s="265">
        <f ca="1">IFERROR(__xludf.DUMMYFUNCTION("IMPORTRANGE(""https://docs.google.com/spreadsheets/d/1MeEWN-I1oV_STSDYn1IFDPWt_1FKiwhDph83XaGc0o0/edit?usp=sharing"",""งบพรบ!CG21"")"),22055)</f>
        <v>22055</v>
      </c>
      <c r="G21" s="265">
        <f ca="1">IFERROR(__xludf.DUMMYFUNCTION("IMPORTRANGE(""https://docs.google.com/spreadsheets/d/1MeEWN-I1oV_STSDYn1IFDPWt_1FKiwhDph83XaGc0o0/edit?usp=sharing"",""งบพรบ!CH21"")"),0)</f>
        <v>0</v>
      </c>
      <c r="H21" s="265">
        <f ca="1">IFERROR(__xludf.DUMMYFUNCTION("IMPORTRANGE(""https://docs.google.com/spreadsheets/d/1MeEWN-I1oV_STSDYn1IFDPWt_1FKiwhDph83XaGc0o0/edit?usp=sharing"",""งบพรบ!CJ21"")"),22055)</f>
        <v>22055</v>
      </c>
      <c r="I21" s="265">
        <f ca="1">IFERROR(__xludf.DUMMYFUNCTION("IMPORTRANGE(""https://docs.google.com/spreadsheets/d/1MeEWN-I1oV_STSDYn1IFDPWt_1FKiwhDph83XaGc0o0/edit?usp=sharing"",""งบพรบ!CK21"")"),0)</f>
        <v>0</v>
      </c>
      <c r="J21" s="265">
        <f t="shared" ca="1" si="3"/>
        <v>21605</v>
      </c>
      <c r="K21" s="272">
        <f t="shared" ca="1" si="4"/>
        <v>97.959646338698704</v>
      </c>
      <c r="L21" s="265">
        <f ca="1">IFERROR(__xludf.DUMMYFUNCTION("IMPORTRANGE(""https://docs.google.com/spreadsheets/d/1MeEWN-I1oV_STSDYn1IFDPWt_1FKiwhDph83XaGc0o0/edit?usp=sharing"",""งบพรบ!CL21"")"),21605)</f>
        <v>21605</v>
      </c>
      <c r="M21" s="268">
        <f t="shared" ca="1" si="5"/>
        <v>97.959646338698704</v>
      </c>
      <c r="N21" s="268">
        <f t="shared" ca="1" si="6"/>
        <v>97.959646338698704</v>
      </c>
      <c r="O21" s="269">
        <f ca="1">IFERROR(__xludf.DUMMYFUNCTION("IMPORTRANGE(""https://docs.google.com/spreadsheets/d/1MeEWN-I1oV_STSDYn1IFDPWt_1FKiwhDph83XaGc0o0/edit?usp=sharing"",""งบพรบ!CC21"")"),0)</f>
        <v>0</v>
      </c>
      <c r="P21" s="269">
        <f t="shared" ca="1" si="22"/>
        <v>0</v>
      </c>
      <c r="Q21" s="268">
        <f t="shared" ca="1" si="8"/>
        <v>0</v>
      </c>
      <c r="R21" s="266">
        <f ca="1">IFERROR(__xludf.DUMMYFUNCTION("IMPORTRANGE(""https://docs.google.com/spreadsheets/d/1Y9LPKx95PyL5OKy09d-KbKJSuuEZCFdkhYjwC0XQjBA/edit?usp=sharing"",""พิจิตร!I176"")"),11)</f>
        <v>11</v>
      </c>
      <c r="S21" s="266">
        <f ca="1">IFERROR(__xludf.DUMMYFUNCTION("IMPORTRANGE(""https://docs.google.com/spreadsheets/d/1Y9LPKx95PyL5OKy09d-KbKJSuuEZCFdkhYjwC0XQjBA/edit?usp=sharing"",""พิจิตร!J176"")"),11)</f>
        <v>11</v>
      </c>
      <c r="T21" s="270">
        <f t="shared" ca="1" si="19"/>
        <v>100</v>
      </c>
      <c r="U21" s="458">
        <f ca="1">IFERROR(__xludf.DUMMYFUNCTION("IMPORTRANGE(""https://docs.google.com/spreadsheets/d/1Y9LPKx95PyL5OKy09d-KbKJSuuEZCFdkhYjwC0XQjBA/edit?usp=sharing"",""พิจิตร!I179"")"),0)</f>
        <v>0</v>
      </c>
      <c r="V21" s="271" t="str">
        <f ca="1">IFERROR(__xludf.DUMMYFUNCTION("IMPORTRANGE(""https://docs.google.com/spreadsheets/d/1Y9LPKx95PyL5OKy09d-KbKJSuuEZCFdkhYjwC0XQjBA/edit?usp=sharing"",""พิจิตร!J179"")"),"")</f>
        <v/>
      </c>
      <c r="W21" s="270">
        <f t="shared" ca="1" si="20"/>
        <v>0</v>
      </c>
      <c r="X21" s="209"/>
      <c r="Y21" s="209"/>
      <c r="Z21" s="209"/>
    </row>
    <row r="22" spans="1:26" ht="24" customHeight="1" x14ac:dyDescent="0.3">
      <c r="A22" s="261">
        <v>9</v>
      </c>
      <c r="B22" s="262" t="s">
        <v>44</v>
      </c>
      <c r="C22" s="263">
        <f t="shared" ca="1" si="0"/>
        <v>22055</v>
      </c>
      <c r="D22" s="264">
        <f t="shared" ca="1" si="25"/>
        <v>22055</v>
      </c>
      <c r="E22" s="265">
        <f ca="1">IFERROR(__xludf.DUMMYFUNCTION("IMPORTRANGE(""https://docs.google.com/spreadsheets/d/1MeEWN-I1oV_STSDYn1IFDPWt_1FKiwhDph83XaGc0o0/edit?usp=sharing"",""งบพรบ!CF22"")"),0)</f>
        <v>0</v>
      </c>
      <c r="F22" s="265">
        <f ca="1">IFERROR(__xludf.DUMMYFUNCTION("IMPORTRANGE(""https://docs.google.com/spreadsheets/d/1MeEWN-I1oV_STSDYn1IFDPWt_1FKiwhDph83XaGc0o0/edit?usp=sharing"",""งบพรบ!CG22"")"),22055)</f>
        <v>22055</v>
      </c>
      <c r="G22" s="265">
        <f ca="1">IFERROR(__xludf.DUMMYFUNCTION("IMPORTRANGE(""https://docs.google.com/spreadsheets/d/1MeEWN-I1oV_STSDYn1IFDPWt_1FKiwhDph83XaGc0o0/edit?usp=sharing"",""งบพรบ!CH22"")"),0)</f>
        <v>0</v>
      </c>
      <c r="H22" s="265">
        <f ca="1">IFERROR(__xludf.DUMMYFUNCTION("IMPORTRANGE(""https://docs.google.com/spreadsheets/d/1MeEWN-I1oV_STSDYn1IFDPWt_1FKiwhDph83XaGc0o0/edit?usp=sharing"",""งบพรบ!CJ22"")"),22055)</f>
        <v>22055</v>
      </c>
      <c r="I22" s="265">
        <f ca="1">IFERROR(__xludf.DUMMYFUNCTION("IMPORTRANGE(""https://docs.google.com/spreadsheets/d/1MeEWN-I1oV_STSDYn1IFDPWt_1FKiwhDph83XaGc0o0/edit?usp=sharing"",""งบพรบ!CK22"")"),0)</f>
        <v>0</v>
      </c>
      <c r="J22" s="265">
        <f t="shared" ca="1" si="3"/>
        <v>0</v>
      </c>
      <c r="K22" s="272">
        <f t="shared" ca="1" si="4"/>
        <v>0</v>
      </c>
      <c r="L22" s="265">
        <f ca="1">IFERROR(__xludf.DUMMYFUNCTION("IMPORTRANGE(""https://docs.google.com/spreadsheets/d/1MeEWN-I1oV_STSDYn1IFDPWt_1FKiwhDph83XaGc0o0/edit?usp=sharing"",""งบพรบ!CL22"")"),0)</f>
        <v>0</v>
      </c>
      <c r="M22" s="268">
        <f t="shared" ca="1" si="5"/>
        <v>0</v>
      </c>
      <c r="N22" s="268">
        <f t="shared" ca="1" si="6"/>
        <v>0</v>
      </c>
      <c r="O22" s="269">
        <f ca="1">IFERROR(__xludf.DUMMYFUNCTION("IMPORTRANGE(""https://docs.google.com/spreadsheets/d/1MeEWN-I1oV_STSDYn1IFDPWt_1FKiwhDph83XaGc0o0/edit?usp=sharing"",""งบพรบ!CC22"")"),0)</f>
        <v>0</v>
      </c>
      <c r="P22" s="269">
        <f t="shared" ca="1" si="22"/>
        <v>0</v>
      </c>
      <c r="Q22" s="268">
        <f t="shared" ca="1" si="8"/>
        <v>0</v>
      </c>
      <c r="R22" s="266">
        <f ca="1">IFERROR(__xludf.DUMMYFUNCTION("IMPORTRANGE(""https://docs.google.com/spreadsheets/d/16OMuOwy2eVqZcYWOouQtTpa8X1L23h4660uVHc0C8os/edit?usp=sharing"",""พิษณุโลก!I176"")"),11)</f>
        <v>11</v>
      </c>
      <c r="S22" s="266">
        <f ca="1">IFERROR(__xludf.DUMMYFUNCTION("IMPORTRANGE(""https://docs.google.com/spreadsheets/d/16OMuOwy2eVqZcYWOouQtTpa8X1L23h4660uVHc0C8os/edit?usp=sharing"",""พิษณุโลก!J176"")"),0)</f>
        <v>0</v>
      </c>
      <c r="T22" s="270">
        <f t="shared" ca="1" si="19"/>
        <v>0</v>
      </c>
      <c r="U22" s="458">
        <f ca="1">IFERROR(__xludf.DUMMYFUNCTION("IMPORTRANGE(""https://docs.google.com/spreadsheets/d/16OMuOwy2eVqZcYWOouQtTpa8X1L23h4660uVHc0C8os/edit?usp=sharing"",""พิษณุโลก!I179"")"),0)</f>
        <v>0</v>
      </c>
      <c r="V22" s="271" t="str">
        <f ca="1">IFERROR(__xludf.DUMMYFUNCTION("IMPORTRANGE(""https://docs.google.com/spreadsheets/d/16OMuOwy2eVqZcYWOouQtTpa8X1L23h4660uVHc0C8os/edit?usp=sharing"",""พิษณุโลก!J179"")"),"")</f>
        <v/>
      </c>
      <c r="W22" s="270">
        <f t="shared" ca="1" si="20"/>
        <v>0</v>
      </c>
      <c r="X22" s="209"/>
      <c r="Y22" s="209"/>
      <c r="Z22" s="209"/>
    </row>
    <row r="23" spans="1:26" ht="24" customHeight="1" x14ac:dyDescent="0.3">
      <c r="A23" s="261">
        <v>10</v>
      </c>
      <c r="B23" s="262" t="s">
        <v>45</v>
      </c>
      <c r="C23" s="263">
        <f t="shared" ca="1" si="0"/>
        <v>22055</v>
      </c>
      <c r="D23" s="264">
        <f t="shared" ca="1" si="25"/>
        <v>22055</v>
      </c>
      <c r="E23" s="265">
        <f ca="1">IFERROR(__xludf.DUMMYFUNCTION("IMPORTRANGE(""https://docs.google.com/spreadsheets/d/1MeEWN-I1oV_STSDYn1IFDPWt_1FKiwhDph83XaGc0o0/edit?usp=sharing"",""งบพรบ!CF23"")"),0)</f>
        <v>0</v>
      </c>
      <c r="F23" s="265">
        <f ca="1">IFERROR(__xludf.DUMMYFUNCTION("IMPORTRANGE(""https://docs.google.com/spreadsheets/d/1MeEWN-I1oV_STSDYn1IFDPWt_1FKiwhDph83XaGc0o0/edit?usp=sharing"",""งบพรบ!CG23"")"),22055)</f>
        <v>22055</v>
      </c>
      <c r="G23" s="265">
        <f ca="1">IFERROR(__xludf.DUMMYFUNCTION("IMPORTRANGE(""https://docs.google.com/spreadsheets/d/1MeEWN-I1oV_STSDYn1IFDPWt_1FKiwhDph83XaGc0o0/edit?usp=sharing"",""งบพรบ!CH23"")"),0)</f>
        <v>0</v>
      </c>
      <c r="H23" s="265">
        <f ca="1">IFERROR(__xludf.DUMMYFUNCTION("IMPORTRANGE(""https://docs.google.com/spreadsheets/d/1MeEWN-I1oV_STSDYn1IFDPWt_1FKiwhDph83XaGc0o0/edit?usp=sharing"",""งบพรบ!CJ23"")"),22055)</f>
        <v>22055</v>
      </c>
      <c r="I23" s="265">
        <f ca="1">IFERROR(__xludf.DUMMYFUNCTION("IMPORTRANGE(""https://docs.google.com/spreadsheets/d/1MeEWN-I1oV_STSDYn1IFDPWt_1FKiwhDph83XaGc0o0/edit?usp=sharing"",""งบพรบ!CK23"")"),0)</f>
        <v>0</v>
      </c>
      <c r="J23" s="265">
        <f t="shared" ca="1" si="3"/>
        <v>0</v>
      </c>
      <c r="K23" s="272">
        <f t="shared" ca="1" si="4"/>
        <v>0</v>
      </c>
      <c r="L23" s="265">
        <f ca="1">IFERROR(__xludf.DUMMYFUNCTION("IMPORTRANGE(""https://docs.google.com/spreadsheets/d/1MeEWN-I1oV_STSDYn1IFDPWt_1FKiwhDph83XaGc0o0/edit?usp=sharing"",""งบพรบ!CL23"")"),0)</f>
        <v>0</v>
      </c>
      <c r="M23" s="268">
        <f t="shared" ca="1" si="5"/>
        <v>0</v>
      </c>
      <c r="N23" s="268">
        <f t="shared" ca="1" si="6"/>
        <v>0</v>
      </c>
      <c r="O23" s="269">
        <f ca="1">IFERROR(__xludf.DUMMYFUNCTION("IMPORTRANGE(""https://docs.google.com/spreadsheets/d/1MeEWN-I1oV_STSDYn1IFDPWt_1FKiwhDph83XaGc0o0/edit?usp=sharing"",""งบพรบ!CC23"")"),0)</f>
        <v>0</v>
      </c>
      <c r="P23" s="269">
        <f t="shared" ca="1" si="22"/>
        <v>0</v>
      </c>
      <c r="Q23" s="268">
        <f t="shared" ca="1" si="8"/>
        <v>0</v>
      </c>
      <c r="R23" s="266">
        <f ca="1">IFERROR(__xludf.DUMMYFUNCTION("IMPORTRANGE(""https://docs.google.com/spreadsheets/d/1GfgTldLG6k77HXaMQzaafODklYuucJZQNs_GAPEfZyY/edit?usp=sharing"",""เพชรบูรณ์!I176"")"),11)</f>
        <v>11</v>
      </c>
      <c r="S23" s="266">
        <f ca="1">IFERROR(__xludf.DUMMYFUNCTION("IMPORTRANGE(""https://docs.google.com/spreadsheets/d/1GfgTldLG6k77HXaMQzaafODklYuucJZQNs_GAPEfZyY/edit?usp=sharing"",""เพชรบูรณ์!J176"")"),0)</f>
        <v>0</v>
      </c>
      <c r="T23" s="270">
        <f t="shared" ca="1" si="19"/>
        <v>0</v>
      </c>
      <c r="U23" s="458">
        <f ca="1">IFERROR(__xludf.DUMMYFUNCTION("IMPORTRANGE(""https://docs.google.com/spreadsheets/d/1GfgTldLG6k77HXaMQzaafODklYuucJZQNs_GAPEfZyY/edit?usp=sharing"",""เพชรบูรณ์!I179"")"),0)</f>
        <v>0</v>
      </c>
      <c r="V23" s="271" t="str">
        <f ca="1">IFERROR(__xludf.DUMMYFUNCTION("IMPORTRANGE(""https://docs.google.com/spreadsheets/d/1GfgTldLG6k77HXaMQzaafODklYuucJZQNs_GAPEfZyY/edit?usp=sharing"",""เพชรบูรณ์!J179"")"),"")</f>
        <v/>
      </c>
      <c r="W23" s="270">
        <f t="shared" ca="1" si="20"/>
        <v>0</v>
      </c>
      <c r="X23" s="209"/>
      <c r="Y23" s="209"/>
      <c r="Z23" s="209"/>
    </row>
    <row r="24" spans="1:26" ht="24" customHeight="1" x14ac:dyDescent="0.3">
      <c r="A24" s="261">
        <v>11</v>
      </c>
      <c r="B24" s="262" t="s">
        <v>46</v>
      </c>
      <c r="C24" s="263">
        <f t="shared" ca="1" si="0"/>
        <v>21050</v>
      </c>
      <c r="D24" s="264">
        <f t="shared" ca="1" si="25"/>
        <v>21050</v>
      </c>
      <c r="E24" s="265">
        <f ca="1">IFERROR(__xludf.DUMMYFUNCTION("IMPORTRANGE(""https://docs.google.com/spreadsheets/d/1MeEWN-I1oV_STSDYn1IFDPWt_1FKiwhDph83XaGc0o0/edit?usp=sharing"",""งบพรบ!CF24"")"),0)</f>
        <v>0</v>
      </c>
      <c r="F24" s="265">
        <f ca="1">IFERROR(__xludf.DUMMYFUNCTION("IMPORTRANGE(""https://docs.google.com/spreadsheets/d/1MeEWN-I1oV_STSDYn1IFDPWt_1FKiwhDph83XaGc0o0/edit?usp=sharing"",""งบพรบ!CG24"")"),21050)</f>
        <v>21050</v>
      </c>
      <c r="G24" s="265">
        <f ca="1">IFERROR(__xludf.DUMMYFUNCTION("IMPORTRANGE(""https://docs.google.com/spreadsheets/d/1MeEWN-I1oV_STSDYn1IFDPWt_1FKiwhDph83XaGc0o0/edit?usp=sharing"",""งบพรบ!CH24"")"),0)</f>
        <v>0</v>
      </c>
      <c r="H24" s="265">
        <f ca="1">IFERROR(__xludf.DUMMYFUNCTION("IMPORTRANGE(""https://docs.google.com/spreadsheets/d/1MeEWN-I1oV_STSDYn1IFDPWt_1FKiwhDph83XaGc0o0/edit?usp=sharing"",""งบพรบ!CJ24"")"),21050)</f>
        <v>21050</v>
      </c>
      <c r="I24" s="265">
        <f ca="1">IFERROR(__xludf.DUMMYFUNCTION("IMPORTRANGE(""https://docs.google.com/spreadsheets/d/1MeEWN-I1oV_STSDYn1IFDPWt_1FKiwhDph83XaGc0o0/edit?usp=sharing"",""งบพรบ!CK24"")"),0)</f>
        <v>0</v>
      </c>
      <c r="J24" s="265">
        <f t="shared" ca="1" si="3"/>
        <v>21050</v>
      </c>
      <c r="K24" s="272">
        <f t="shared" ca="1" si="4"/>
        <v>100</v>
      </c>
      <c r="L24" s="265">
        <f ca="1">IFERROR(__xludf.DUMMYFUNCTION("IMPORTRANGE(""https://docs.google.com/spreadsheets/d/1MeEWN-I1oV_STSDYn1IFDPWt_1FKiwhDph83XaGc0o0/edit?usp=sharing"",""งบพรบ!CL24"")"),21050)</f>
        <v>21050</v>
      </c>
      <c r="M24" s="268">
        <f t="shared" ca="1" si="5"/>
        <v>100</v>
      </c>
      <c r="N24" s="268">
        <f t="shared" ca="1" si="6"/>
        <v>100</v>
      </c>
      <c r="O24" s="269">
        <f ca="1">IFERROR(__xludf.DUMMYFUNCTION("IMPORTRANGE(""https://docs.google.com/spreadsheets/d/1MeEWN-I1oV_STSDYn1IFDPWt_1FKiwhDph83XaGc0o0/edit?usp=sharing"",""งบพรบ!CC24"")"),0)</f>
        <v>0</v>
      </c>
      <c r="P24" s="269">
        <f t="shared" ca="1" si="22"/>
        <v>0</v>
      </c>
      <c r="Q24" s="268">
        <f t="shared" ca="1" si="8"/>
        <v>0</v>
      </c>
      <c r="R24" s="266">
        <f ca="1">IFERROR(__xludf.DUMMYFUNCTION("IMPORTRANGE(""https://docs.google.com/spreadsheets/d/1gvTMYAnm7v1yG1BKWFtr0DnaTsq59oW9dwWvFgq6hs0/edit?usp=sharing"",""แพร่!I176"")"),10)</f>
        <v>10</v>
      </c>
      <c r="S24" s="266">
        <f ca="1">IFERROR(__xludf.DUMMYFUNCTION("IMPORTRANGE(""https://docs.google.com/spreadsheets/d/1gvTMYAnm7v1yG1BKWFtr0DnaTsq59oW9dwWvFgq6hs0/edit?usp=sharing"",""แพร่!J176"")"),10)</f>
        <v>10</v>
      </c>
      <c r="T24" s="270">
        <f t="shared" ca="1" si="19"/>
        <v>100</v>
      </c>
      <c r="U24" s="458">
        <f ca="1">IFERROR(__xludf.DUMMYFUNCTION("IMPORTRANGE(""https://docs.google.com/spreadsheets/d/1gvTMYAnm7v1yG1BKWFtr0DnaTsq59oW9dwWvFgq6hs0/edit?usp=sharing"",""แพร่!I179"")"),0)</f>
        <v>0</v>
      </c>
      <c r="V24" s="271" t="str">
        <f ca="1">IFERROR(__xludf.DUMMYFUNCTION("IMPORTRANGE(""https://docs.google.com/spreadsheets/d/1gvTMYAnm7v1yG1BKWFtr0DnaTsq59oW9dwWvFgq6hs0/edit?usp=sharing"",""แพร่!J179"")"),"")</f>
        <v/>
      </c>
      <c r="W24" s="270">
        <f t="shared" ca="1" si="20"/>
        <v>0</v>
      </c>
      <c r="X24" s="209"/>
      <c r="Y24" s="209"/>
      <c r="Z24" s="209"/>
    </row>
    <row r="25" spans="1:26" ht="24" customHeight="1" x14ac:dyDescent="0.3">
      <c r="A25" s="261">
        <v>12</v>
      </c>
      <c r="B25" s="262" t="s">
        <v>47</v>
      </c>
      <c r="C25" s="263">
        <f t="shared" ca="1" si="0"/>
        <v>23060</v>
      </c>
      <c r="D25" s="264">
        <f t="shared" ca="1" si="25"/>
        <v>23060</v>
      </c>
      <c r="E25" s="265">
        <f ca="1">IFERROR(__xludf.DUMMYFUNCTION("IMPORTRANGE(""https://docs.google.com/spreadsheets/d/1MeEWN-I1oV_STSDYn1IFDPWt_1FKiwhDph83XaGc0o0/edit?usp=sharing"",""งบพรบ!CF25"")"),0)</f>
        <v>0</v>
      </c>
      <c r="F25" s="265">
        <f ca="1">IFERROR(__xludf.DUMMYFUNCTION("IMPORTRANGE(""https://docs.google.com/spreadsheets/d/1MeEWN-I1oV_STSDYn1IFDPWt_1FKiwhDph83XaGc0o0/edit?usp=sharing"",""งบพรบ!CG25"")"),23060)</f>
        <v>23060</v>
      </c>
      <c r="G25" s="265">
        <f ca="1">IFERROR(__xludf.DUMMYFUNCTION("IMPORTRANGE(""https://docs.google.com/spreadsheets/d/1MeEWN-I1oV_STSDYn1IFDPWt_1FKiwhDph83XaGc0o0/edit?usp=sharing"",""งบพรบ!CH25"")"),0)</f>
        <v>0</v>
      </c>
      <c r="H25" s="265">
        <f ca="1">IFERROR(__xludf.DUMMYFUNCTION("IMPORTRANGE(""https://docs.google.com/spreadsheets/d/1MeEWN-I1oV_STSDYn1IFDPWt_1FKiwhDph83XaGc0o0/edit?usp=sharing"",""งบพรบ!CJ25"")"),23060)</f>
        <v>23060</v>
      </c>
      <c r="I25" s="265">
        <f ca="1">IFERROR(__xludf.DUMMYFUNCTION("IMPORTRANGE(""https://docs.google.com/spreadsheets/d/1MeEWN-I1oV_STSDYn1IFDPWt_1FKiwhDph83XaGc0o0/edit?usp=sharing"",""งบพรบ!CK25"")"),0)</f>
        <v>0</v>
      </c>
      <c r="J25" s="265">
        <f t="shared" ca="1" si="3"/>
        <v>23060</v>
      </c>
      <c r="K25" s="272">
        <f t="shared" ca="1" si="4"/>
        <v>100</v>
      </c>
      <c r="L25" s="265">
        <f ca="1">IFERROR(__xludf.DUMMYFUNCTION("IMPORTRANGE(""https://docs.google.com/spreadsheets/d/1MeEWN-I1oV_STSDYn1IFDPWt_1FKiwhDph83XaGc0o0/edit?usp=sharing"",""งบพรบ!CL25"")"),23060)</f>
        <v>23060</v>
      </c>
      <c r="M25" s="268">
        <f t="shared" ca="1" si="5"/>
        <v>100</v>
      </c>
      <c r="N25" s="268">
        <f t="shared" ca="1" si="6"/>
        <v>100</v>
      </c>
      <c r="O25" s="269">
        <f ca="1">IFERROR(__xludf.DUMMYFUNCTION("IMPORTRANGE(""https://docs.google.com/spreadsheets/d/1MeEWN-I1oV_STSDYn1IFDPWt_1FKiwhDph83XaGc0o0/edit?usp=sharing"",""งบพรบ!CC25"")"),0)</f>
        <v>0</v>
      </c>
      <c r="P25" s="269">
        <f t="shared" ca="1" si="22"/>
        <v>0</v>
      </c>
      <c r="Q25" s="268">
        <f t="shared" ca="1" si="8"/>
        <v>0</v>
      </c>
      <c r="R25" s="266">
        <f ca="1">IFERROR(__xludf.DUMMYFUNCTION("IMPORTRANGE(""https://docs.google.com/spreadsheets/d/1Wbcosgy-Xa1xXUArJSOenub6EfZHUSzc_bpJFWwQUf0/edit?usp=sharing"",""แม่ฮ่องสอน!I176"")"),12)</f>
        <v>12</v>
      </c>
      <c r="S25" s="266">
        <f ca="1">IFERROR(__xludf.DUMMYFUNCTION("IMPORTRANGE(""https://docs.google.com/spreadsheets/d/1Wbcosgy-Xa1xXUArJSOenub6EfZHUSzc_bpJFWwQUf0/edit?usp=sharing"",""แม่ฮ่องสอน!J176"")"),12)</f>
        <v>12</v>
      </c>
      <c r="T25" s="270">
        <f t="shared" ca="1" si="19"/>
        <v>100</v>
      </c>
      <c r="U25" s="458">
        <f ca="1">IFERROR(__xludf.DUMMYFUNCTION("IMPORTRANGE(""https://docs.google.com/spreadsheets/d/1Wbcosgy-Xa1xXUArJSOenub6EfZHUSzc_bpJFWwQUf0/edit?usp=sharing"",""แม่ฮ่องสอน!I179"")"),0)</f>
        <v>0</v>
      </c>
      <c r="V25" s="271" t="str">
        <f ca="1">IFERROR(__xludf.DUMMYFUNCTION("IMPORTRANGE(""https://docs.google.com/spreadsheets/d/1Wbcosgy-Xa1xXUArJSOenub6EfZHUSzc_bpJFWwQUf0/edit?usp=sharing"",""แม่ฮ่องสอน!J179"")"),"")</f>
        <v/>
      </c>
      <c r="W25" s="270">
        <f t="shared" ca="1" si="20"/>
        <v>0</v>
      </c>
      <c r="X25" s="209"/>
      <c r="Y25" s="209"/>
      <c r="Z25" s="209"/>
    </row>
    <row r="26" spans="1:26" ht="24" customHeight="1" x14ac:dyDescent="0.3">
      <c r="A26" s="261">
        <v>13</v>
      </c>
      <c r="B26" s="262" t="s">
        <v>48</v>
      </c>
      <c r="C26" s="263">
        <f t="shared" ca="1" si="0"/>
        <v>22055</v>
      </c>
      <c r="D26" s="264">
        <f t="shared" ca="1" si="25"/>
        <v>22055</v>
      </c>
      <c r="E26" s="265">
        <f ca="1">IFERROR(__xludf.DUMMYFUNCTION("IMPORTRANGE(""https://docs.google.com/spreadsheets/d/1MeEWN-I1oV_STSDYn1IFDPWt_1FKiwhDph83XaGc0o0/edit?usp=sharing"",""งบพรบ!CF26"")"),0)</f>
        <v>0</v>
      </c>
      <c r="F26" s="265">
        <f ca="1">IFERROR(__xludf.DUMMYFUNCTION("IMPORTRANGE(""https://docs.google.com/spreadsheets/d/1MeEWN-I1oV_STSDYn1IFDPWt_1FKiwhDph83XaGc0o0/edit?usp=sharing"",""งบพรบ!CG26"")"),22055)</f>
        <v>22055</v>
      </c>
      <c r="G26" s="265">
        <f ca="1">IFERROR(__xludf.DUMMYFUNCTION("IMPORTRANGE(""https://docs.google.com/spreadsheets/d/1MeEWN-I1oV_STSDYn1IFDPWt_1FKiwhDph83XaGc0o0/edit?usp=sharing"",""งบพรบ!CH26"")"),0)</f>
        <v>0</v>
      </c>
      <c r="H26" s="265">
        <f ca="1">IFERROR(__xludf.DUMMYFUNCTION("IMPORTRANGE(""https://docs.google.com/spreadsheets/d/1MeEWN-I1oV_STSDYn1IFDPWt_1FKiwhDph83XaGc0o0/edit?usp=sharing"",""งบพรบ!CJ26"")"),22055)</f>
        <v>22055</v>
      </c>
      <c r="I26" s="265">
        <f ca="1">IFERROR(__xludf.DUMMYFUNCTION("IMPORTRANGE(""https://docs.google.com/spreadsheets/d/1MeEWN-I1oV_STSDYn1IFDPWt_1FKiwhDph83XaGc0o0/edit?usp=sharing"",""งบพรบ!CK26"")"),0)</f>
        <v>0</v>
      </c>
      <c r="J26" s="265">
        <f t="shared" ca="1" si="3"/>
        <v>22055</v>
      </c>
      <c r="K26" s="272">
        <f t="shared" ca="1" si="4"/>
        <v>100</v>
      </c>
      <c r="L26" s="265">
        <f ca="1">IFERROR(__xludf.DUMMYFUNCTION("IMPORTRANGE(""https://docs.google.com/spreadsheets/d/1MeEWN-I1oV_STSDYn1IFDPWt_1FKiwhDph83XaGc0o0/edit?usp=sharing"",""งบพรบ!CL26"")"),22055)</f>
        <v>22055</v>
      </c>
      <c r="M26" s="268">
        <f t="shared" ca="1" si="5"/>
        <v>100</v>
      </c>
      <c r="N26" s="268">
        <f t="shared" ca="1" si="6"/>
        <v>100</v>
      </c>
      <c r="O26" s="269">
        <f ca="1">IFERROR(__xludf.DUMMYFUNCTION("IMPORTRANGE(""https://docs.google.com/spreadsheets/d/1MeEWN-I1oV_STSDYn1IFDPWt_1FKiwhDph83XaGc0o0/edit?usp=sharing"",""งบพรบ!CC26"")"),0)</f>
        <v>0</v>
      </c>
      <c r="P26" s="269">
        <f t="shared" ca="1" si="22"/>
        <v>0</v>
      </c>
      <c r="Q26" s="268">
        <f t="shared" ca="1" si="8"/>
        <v>0</v>
      </c>
      <c r="R26" s="266">
        <f ca="1">IFERROR(__xludf.DUMMYFUNCTION("IMPORTRANGE(""https://docs.google.com/spreadsheets/d/1p7ERhsr0qZeSn-KSOdeHS9r0heI-lHtkcn2OH7hP0jQ/edit?usp=sharing"",""ลำปาง!I176"")"),11)</f>
        <v>11</v>
      </c>
      <c r="S26" s="266">
        <f ca="1">IFERROR(__xludf.DUMMYFUNCTION("IMPORTRANGE(""https://docs.google.com/spreadsheets/d/1p7ERhsr0qZeSn-KSOdeHS9r0heI-lHtkcn2OH7hP0jQ/edit?usp=sharing"",""ลำปาง!J176"")"),11)</f>
        <v>11</v>
      </c>
      <c r="T26" s="270">
        <f t="shared" ca="1" si="19"/>
        <v>100</v>
      </c>
      <c r="U26" s="458">
        <f ca="1">IFERROR(__xludf.DUMMYFUNCTION("IMPORTRANGE(""https://docs.google.com/spreadsheets/d/1p7ERhsr0qZeSn-KSOdeHS9r0heI-lHtkcn2OH7hP0jQ/edit?usp=sharing"",""ลำปาง!I179"")"),0)</f>
        <v>0</v>
      </c>
      <c r="V26" s="271" t="str">
        <f ca="1">IFERROR(__xludf.DUMMYFUNCTION("IMPORTRANGE(""https://docs.google.com/spreadsheets/d/1p7ERhsr0qZeSn-KSOdeHS9r0heI-lHtkcn2OH7hP0jQ/edit?usp=sharing"",""ลำปาง!J179"")"),"")</f>
        <v/>
      </c>
      <c r="W26" s="270">
        <f t="shared" ca="1" si="20"/>
        <v>0</v>
      </c>
      <c r="X26" s="209"/>
      <c r="Y26" s="209"/>
      <c r="Z26" s="209"/>
    </row>
    <row r="27" spans="1:26" ht="24" customHeight="1" x14ac:dyDescent="0.3">
      <c r="A27" s="261">
        <v>14</v>
      </c>
      <c r="B27" s="262" t="s">
        <v>49</v>
      </c>
      <c r="C27" s="263">
        <f t="shared" ca="1" si="0"/>
        <v>21050</v>
      </c>
      <c r="D27" s="264">
        <f t="shared" ca="1" si="25"/>
        <v>21050</v>
      </c>
      <c r="E27" s="265">
        <f ca="1">IFERROR(__xludf.DUMMYFUNCTION("IMPORTRANGE(""https://docs.google.com/spreadsheets/d/1MeEWN-I1oV_STSDYn1IFDPWt_1FKiwhDph83XaGc0o0/edit?usp=sharing"",""งบพรบ!CF27"")"),0)</f>
        <v>0</v>
      </c>
      <c r="F27" s="265">
        <f ca="1">IFERROR(__xludf.DUMMYFUNCTION("IMPORTRANGE(""https://docs.google.com/spreadsheets/d/1MeEWN-I1oV_STSDYn1IFDPWt_1FKiwhDph83XaGc0o0/edit?usp=sharing"",""งบพรบ!CG27"")"),21050)</f>
        <v>21050</v>
      </c>
      <c r="G27" s="265">
        <f ca="1">IFERROR(__xludf.DUMMYFUNCTION("IMPORTRANGE(""https://docs.google.com/spreadsheets/d/1MeEWN-I1oV_STSDYn1IFDPWt_1FKiwhDph83XaGc0o0/edit?usp=sharing"",""งบพรบ!CH27"")"),0)</f>
        <v>0</v>
      </c>
      <c r="H27" s="265">
        <f ca="1">IFERROR(__xludf.DUMMYFUNCTION("IMPORTRANGE(""https://docs.google.com/spreadsheets/d/1MeEWN-I1oV_STSDYn1IFDPWt_1FKiwhDph83XaGc0o0/edit?usp=sharing"",""งบพรบ!CJ27"")"),21050)</f>
        <v>21050</v>
      </c>
      <c r="I27" s="265">
        <f ca="1">IFERROR(__xludf.DUMMYFUNCTION("IMPORTRANGE(""https://docs.google.com/spreadsheets/d/1MeEWN-I1oV_STSDYn1IFDPWt_1FKiwhDph83XaGc0o0/edit?usp=sharing"",""งบพรบ!CK27"")"),0)</f>
        <v>0</v>
      </c>
      <c r="J27" s="265">
        <f t="shared" ca="1" si="3"/>
        <v>21050</v>
      </c>
      <c r="K27" s="272">
        <f t="shared" ca="1" si="4"/>
        <v>100</v>
      </c>
      <c r="L27" s="265">
        <f ca="1">IFERROR(__xludf.DUMMYFUNCTION("IMPORTRANGE(""https://docs.google.com/spreadsheets/d/1MeEWN-I1oV_STSDYn1IFDPWt_1FKiwhDph83XaGc0o0/edit?usp=sharing"",""งบพรบ!CL27"")"),21050)</f>
        <v>21050</v>
      </c>
      <c r="M27" s="268">
        <f t="shared" ca="1" si="5"/>
        <v>100</v>
      </c>
      <c r="N27" s="268">
        <f t="shared" ca="1" si="6"/>
        <v>100</v>
      </c>
      <c r="O27" s="269">
        <f ca="1">IFERROR(__xludf.DUMMYFUNCTION("IMPORTRANGE(""https://docs.google.com/spreadsheets/d/1MeEWN-I1oV_STSDYn1IFDPWt_1FKiwhDph83XaGc0o0/edit?usp=sharing"",""งบพรบ!CC27"")"),0)</f>
        <v>0</v>
      </c>
      <c r="P27" s="269">
        <f t="shared" ca="1" si="22"/>
        <v>0</v>
      </c>
      <c r="Q27" s="268">
        <f t="shared" ca="1" si="8"/>
        <v>0</v>
      </c>
      <c r="R27" s="266">
        <f ca="1">IFERROR(__xludf.DUMMYFUNCTION("IMPORTRANGE(""https://docs.google.com/spreadsheets/d/1-uUXvimVhiU2U0bMN-xi2te0tS4X7DI2GLPnMjzl8cA/edit?usp=sharing"",""ลำพูน!I176"")"),10)</f>
        <v>10</v>
      </c>
      <c r="S27" s="266">
        <f ca="1">IFERROR(__xludf.DUMMYFUNCTION("IMPORTRANGE(""https://docs.google.com/spreadsheets/d/1-uUXvimVhiU2U0bMN-xi2te0tS4X7DI2GLPnMjzl8cA/edit?usp=sharing"",""ลำพูน!J176"")"),0)</f>
        <v>0</v>
      </c>
      <c r="T27" s="270">
        <f t="shared" ca="1" si="19"/>
        <v>0</v>
      </c>
      <c r="U27" s="458">
        <f ca="1">IFERROR(__xludf.DUMMYFUNCTION("IMPORTRANGE(""https://docs.google.com/spreadsheets/d/1-uUXvimVhiU2U0bMN-xi2te0tS4X7DI2GLPnMjzl8cA/edit?usp=sharing"",""ลำพูน!I179"")"),0)</f>
        <v>0</v>
      </c>
      <c r="V27" s="271" t="str">
        <f ca="1">IFERROR(__xludf.DUMMYFUNCTION("IMPORTRANGE(""https://docs.google.com/spreadsheets/d/1-uUXvimVhiU2U0bMN-xi2te0tS4X7DI2GLPnMjzl8cA/edit?usp=sharing"",""ลำพูน!J179"")"),"")</f>
        <v/>
      </c>
      <c r="W27" s="270">
        <f t="shared" ca="1" si="20"/>
        <v>0</v>
      </c>
      <c r="X27" s="209"/>
      <c r="Y27" s="209"/>
      <c r="Z27" s="209"/>
    </row>
    <row r="28" spans="1:26" ht="24" customHeight="1" x14ac:dyDescent="0.3">
      <c r="A28" s="261">
        <v>15</v>
      </c>
      <c r="B28" s="262" t="s">
        <v>50</v>
      </c>
      <c r="C28" s="263">
        <f t="shared" ca="1" si="0"/>
        <v>22055</v>
      </c>
      <c r="D28" s="264">
        <f t="shared" ca="1" si="25"/>
        <v>22055</v>
      </c>
      <c r="E28" s="265">
        <f ca="1">IFERROR(__xludf.DUMMYFUNCTION("IMPORTRANGE(""https://docs.google.com/spreadsheets/d/1MeEWN-I1oV_STSDYn1IFDPWt_1FKiwhDph83XaGc0o0/edit?usp=sharing"",""งบพรบ!CF28"")"),0)</f>
        <v>0</v>
      </c>
      <c r="F28" s="265">
        <f ca="1">IFERROR(__xludf.DUMMYFUNCTION("IMPORTRANGE(""https://docs.google.com/spreadsheets/d/1MeEWN-I1oV_STSDYn1IFDPWt_1FKiwhDph83XaGc0o0/edit?usp=sharing"",""งบพรบ!CG28"")"),22055)</f>
        <v>22055</v>
      </c>
      <c r="G28" s="265">
        <f ca="1">IFERROR(__xludf.DUMMYFUNCTION("IMPORTRANGE(""https://docs.google.com/spreadsheets/d/1MeEWN-I1oV_STSDYn1IFDPWt_1FKiwhDph83XaGc0o0/edit?usp=sharing"",""งบพรบ!CH28"")"),0)</f>
        <v>0</v>
      </c>
      <c r="H28" s="265">
        <f ca="1">IFERROR(__xludf.DUMMYFUNCTION("IMPORTRANGE(""https://docs.google.com/spreadsheets/d/1MeEWN-I1oV_STSDYn1IFDPWt_1FKiwhDph83XaGc0o0/edit?usp=sharing"",""งบพรบ!CJ28"")"),22055)</f>
        <v>22055</v>
      </c>
      <c r="I28" s="265">
        <f ca="1">IFERROR(__xludf.DUMMYFUNCTION("IMPORTRANGE(""https://docs.google.com/spreadsheets/d/1MeEWN-I1oV_STSDYn1IFDPWt_1FKiwhDph83XaGc0o0/edit?usp=sharing"",""งบพรบ!CK28"")"),0)</f>
        <v>0</v>
      </c>
      <c r="J28" s="265">
        <f t="shared" ca="1" si="3"/>
        <v>22055</v>
      </c>
      <c r="K28" s="272">
        <f t="shared" ca="1" si="4"/>
        <v>100</v>
      </c>
      <c r="L28" s="265">
        <f ca="1">IFERROR(__xludf.DUMMYFUNCTION("IMPORTRANGE(""https://docs.google.com/spreadsheets/d/1MeEWN-I1oV_STSDYn1IFDPWt_1FKiwhDph83XaGc0o0/edit?usp=sharing"",""งบพรบ!CL28"")"),22055)</f>
        <v>22055</v>
      </c>
      <c r="M28" s="268">
        <f t="shared" ca="1" si="5"/>
        <v>100</v>
      </c>
      <c r="N28" s="268">
        <f t="shared" ca="1" si="6"/>
        <v>100</v>
      </c>
      <c r="O28" s="269">
        <f ca="1">IFERROR(__xludf.DUMMYFUNCTION("IMPORTRANGE(""https://docs.google.com/spreadsheets/d/1MeEWN-I1oV_STSDYn1IFDPWt_1FKiwhDph83XaGc0o0/edit?usp=sharing"",""งบพรบ!CC28"")"),0)</f>
        <v>0</v>
      </c>
      <c r="P28" s="269">
        <f t="shared" ca="1" si="22"/>
        <v>0</v>
      </c>
      <c r="Q28" s="268">
        <f t="shared" ca="1" si="8"/>
        <v>0</v>
      </c>
      <c r="R28" s="266">
        <f ca="1">IFERROR(__xludf.DUMMYFUNCTION("IMPORTRANGE(""https://docs.google.com/spreadsheets/d/17HrOaa5pBUI1onckFfumXB8xlg35qb2uBAFfF1D-Myo/edit?usp=sharing"",""สุโขทัย!I176"")"),11)</f>
        <v>11</v>
      </c>
      <c r="S28" s="266">
        <f ca="1">IFERROR(__xludf.DUMMYFUNCTION("IMPORTRANGE(""https://docs.google.com/spreadsheets/d/17HrOaa5pBUI1onckFfumXB8xlg35qb2uBAFfF1D-Myo/edit?usp=sharing"",""สุโขทัย!J176"")"),11)</f>
        <v>11</v>
      </c>
      <c r="T28" s="270">
        <f t="shared" ca="1" si="19"/>
        <v>100</v>
      </c>
      <c r="U28" s="458">
        <f ca="1">IFERROR(__xludf.DUMMYFUNCTION("IMPORTRANGE(""https://docs.google.com/spreadsheets/d/17HrOaa5pBUI1onckFfumXB8xlg35qb2uBAFfF1D-Myo/edit?usp=sharing"",""สุโขทัย!I179"")"),0)</f>
        <v>0</v>
      </c>
      <c r="V28" s="271" t="str">
        <f ca="1">IFERROR(__xludf.DUMMYFUNCTION("IMPORTRANGE(""https://docs.google.com/spreadsheets/d/17HrOaa5pBUI1onckFfumXB8xlg35qb2uBAFfF1D-Myo/edit?usp=sharing"",""สุโขทัย!J179"")"),"")</f>
        <v/>
      </c>
      <c r="W28" s="270">
        <f t="shared" ca="1" si="20"/>
        <v>0</v>
      </c>
      <c r="X28" s="209"/>
      <c r="Y28" s="209"/>
      <c r="Z28" s="209"/>
    </row>
    <row r="29" spans="1:26" ht="24" customHeight="1" x14ac:dyDescent="0.3">
      <c r="A29" s="261">
        <v>16</v>
      </c>
      <c r="B29" s="262" t="s">
        <v>51</v>
      </c>
      <c r="C29" s="263">
        <f t="shared" ca="1" si="0"/>
        <v>22055</v>
      </c>
      <c r="D29" s="264">
        <f t="shared" ca="1" si="25"/>
        <v>22055</v>
      </c>
      <c r="E29" s="265">
        <f ca="1">IFERROR(__xludf.DUMMYFUNCTION("IMPORTRANGE(""https://docs.google.com/spreadsheets/d/1MeEWN-I1oV_STSDYn1IFDPWt_1FKiwhDph83XaGc0o0/edit?usp=sharing"",""งบพรบ!CF29"")"),0)</f>
        <v>0</v>
      </c>
      <c r="F29" s="265">
        <f ca="1">IFERROR(__xludf.DUMMYFUNCTION("IMPORTRANGE(""https://docs.google.com/spreadsheets/d/1MeEWN-I1oV_STSDYn1IFDPWt_1FKiwhDph83XaGc0o0/edit?usp=sharing"",""งบพรบ!CG29"")"),22055)</f>
        <v>22055</v>
      </c>
      <c r="G29" s="265">
        <f ca="1">IFERROR(__xludf.DUMMYFUNCTION("IMPORTRANGE(""https://docs.google.com/spreadsheets/d/1MeEWN-I1oV_STSDYn1IFDPWt_1FKiwhDph83XaGc0o0/edit?usp=sharing"",""งบพรบ!CH29"")"),0)</f>
        <v>0</v>
      </c>
      <c r="H29" s="265">
        <f ca="1">IFERROR(__xludf.DUMMYFUNCTION("IMPORTRANGE(""https://docs.google.com/spreadsheets/d/1MeEWN-I1oV_STSDYn1IFDPWt_1FKiwhDph83XaGc0o0/edit?usp=sharing"",""งบพรบ!CJ29"")"),22055)</f>
        <v>22055</v>
      </c>
      <c r="I29" s="265">
        <f ca="1">IFERROR(__xludf.DUMMYFUNCTION("IMPORTRANGE(""https://docs.google.com/spreadsheets/d/1MeEWN-I1oV_STSDYn1IFDPWt_1FKiwhDph83XaGc0o0/edit?usp=sharing"",""งบพรบ!CK29"")"),0)</f>
        <v>0</v>
      </c>
      <c r="J29" s="265">
        <f t="shared" ca="1" si="3"/>
        <v>22055</v>
      </c>
      <c r="K29" s="272">
        <f t="shared" ca="1" si="4"/>
        <v>100</v>
      </c>
      <c r="L29" s="265">
        <f ca="1">IFERROR(__xludf.DUMMYFUNCTION("IMPORTRANGE(""https://docs.google.com/spreadsheets/d/1MeEWN-I1oV_STSDYn1IFDPWt_1FKiwhDph83XaGc0o0/edit?usp=sharing"",""งบพรบ!CL29"")"),22055)</f>
        <v>22055</v>
      </c>
      <c r="M29" s="268">
        <f t="shared" ca="1" si="5"/>
        <v>100</v>
      </c>
      <c r="N29" s="268">
        <f t="shared" ca="1" si="6"/>
        <v>100</v>
      </c>
      <c r="O29" s="269">
        <f ca="1">IFERROR(__xludf.DUMMYFUNCTION("IMPORTRANGE(""https://docs.google.com/spreadsheets/d/1MeEWN-I1oV_STSDYn1IFDPWt_1FKiwhDph83XaGc0o0/edit?usp=sharing"",""งบพรบ!CC29"")"),0)</f>
        <v>0</v>
      </c>
      <c r="P29" s="269">
        <f t="shared" ca="1" si="22"/>
        <v>0</v>
      </c>
      <c r="Q29" s="268">
        <f t="shared" ca="1" si="8"/>
        <v>0</v>
      </c>
      <c r="R29" s="266">
        <f ca="1">IFERROR(__xludf.DUMMYFUNCTION("IMPORTRANGE(""https://docs.google.com/spreadsheets/d/1ubs5cl16eYL9gHbdHTJtmtYb9MGzHBs7CAphn8kNCgM/edit?usp=sharing"",""อุตรดิตถ์!I176"")"),11)</f>
        <v>11</v>
      </c>
      <c r="S29" s="266">
        <f ca="1">IFERROR(__xludf.DUMMYFUNCTION("IMPORTRANGE(""https://docs.google.com/spreadsheets/d/1ubs5cl16eYL9gHbdHTJtmtYb9MGzHBs7CAphn8kNCgM/edit?usp=sharing"",""อุตรดิตถ์!J176"")"),11)</f>
        <v>11</v>
      </c>
      <c r="T29" s="270">
        <f t="shared" ca="1" si="19"/>
        <v>100</v>
      </c>
      <c r="U29" s="458">
        <f ca="1">IFERROR(__xludf.DUMMYFUNCTION("IMPORTRANGE(""https://docs.google.com/spreadsheets/d/1ubs5cl16eYL9gHbdHTJtmtYb9MGzHBs7CAphn8kNCgM/edit?usp=sharing"",""อุตรดิตถ์!I179"")"),0)</f>
        <v>0</v>
      </c>
      <c r="V29" s="271" t="str">
        <f ca="1">IFERROR(__xludf.DUMMYFUNCTION("IMPORTRANGE(""https://docs.google.com/spreadsheets/d/1ubs5cl16eYL9gHbdHTJtmtYb9MGzHBs7CAphn8kNCgM/edit?usp=sharing"",""อุตรดิตถ์!J179"")"),"")</f>
        <v/>
      </c>
      <c r="W29" s="270">
        <f t="shared" ca="1" si="20"/>
        <v>0</v>
      </c>
      <c r="X29" s="209"/>
      <c r="Y29" s="209"/>
      <c r="Z29" s="209"/>
    </row>
    <row r="30" spans="1:26" ht="24" customHeight="1" x14ac:dyDescent="0.3">
      <c r="A30" s="273">
        <v>17</v>
      </c>
      <c r="B30" s="274" t="s">
        <v>52</v>
      </c>
      <c r="C30" s="275">
        <f t="shared" ca="1" si="0"/>
        <v>21050</v>
      </c>
      <c r="D30" s="276">
        <f t="shared" ca="1" si="25"/>
        <v>21050</v>
      </c>
      <c r="E30" s="277">
        <f ca="1">IFERROR(__xludf.DUMMYFUNCTION("IMPORTRANGE(""https://docs.google.com/spreadsheets/d/1MeEWN-I1oV_STSDYn1IFDPWt_1FKiwhDph83XaGc0o0/edit?usp=sharing"",""งบพรบ!CF30"")"),0)</f>
        <v>0</v>
      </c>
      <c r="F30" s="277">
        <f ca="1">IFERROR(__xludf.DUMMYFUNCTION("IMPORTRANGE(""https://docs.google.com/spreadsheets/d/1MeEWN-I1oV_STSDYn1IFDPWt_1FKiwhDph83XaGc0o0/edit?usp=sharing"",""งบพรบ!CG30"")"),21050)</f>
        <v>21050</v>
      </c>
      <c r="G30" s="277">
        <f ca="1">IFERROR(__xludf.DUMMYFUNCTION("IMPORTRANGE(""https://docs.google.com/spreadsheets/d/1MeEWN-I1oV_STSDYn1IFDPWt_1FKiwhDph83XaGc0o0/edit?usp=sharing"",""งบพรบ!CH30"")"),0)</f>
        <v>0</v>
      </c>
      <c r="H30" s="277">
        <f ca="1">IFERROR(__xludf.DUMMYFUNCTION("IMPORTRANGE(""https://docs.google.com/spreadsheets/d/1MeEWN-I1oV_STSDYn1IFDPWt_1FKiwhDph83XaGc0o0/edit?usp=sharing"",""งบพรบ!CJ30"")"),21050)</f>
        <v>21050</v>
      </c>
      <c r="I30" s="277">
        <f ca="1">IFERROR(__xludf.DUMMYFUNCTION("IMPORTRANGE(""https://docs.google.com/spreadsheets/d/1MeEWN-I1oV_STSDYn1IFDPWt_1FKiwhDph83XaGc0o0/edit?usp=sharing"",""งบพรบ!CK30"")"),0)</f>
        <v>0</v>
      </c>
      <c r="J30" s="277">
        <f t="shared" ca="1" si="3"/>
        <v>19610</v>
      </c>
      <c r="K30" s="278">
        <f t="shared" ca="1" si="4"/>
        <v>93.159144893111645</v>
      </c>
      <c r="L30" s="277">
        <f ca="1">IFERROR(__xludf.DUMMYFUNCTION("IMPORTRANGE(""https://docs.google.com/spreadsheets/d/1MeEWN-I1oV_STSDYn1IFDPWt_1FKiwhDph83XaGc0o0/edit?usp=sharing"",""งบพรบ!CL30"")"),19610)</f>
        <v>19610</v>
      </c>
      <c r="M30" s="279">
        <f t="shared" ca="1" si="5"/>
        <v>93.159144893111645</v>
      </c>
      <c r="N30" s="279">
        <f t="shared" ca="1" si="6"/>
        <v>93.159144893111645</v>
      </c>
      <c r="O30" s="280">
        <f ca="1">IFERROR(__xludf.DUMMYFUNCTION("IMPORTRANGE(""https://docs.google.com/spreadsheets/d/1MeEWN-I1oV_STSDYn1IFDPWt_1FKiwhDph83XaGc0o0/edit?usp=sharing"",""งบพรบ!CC30"")"),0)</f>
        <v>0</v>
      </c>
      <c r="P30" s="280">
        <f t="shared" ca="1" si="22"/>
        <v>0</v>
      </c>
      <c r="Q30" s="279">
        <f t="shared" ca="1" si="8"/>
        <v>0</v>
      </c>
      <c r="R30" s="281">
        <f ca="1">IFERROR(__xludf.DUMMYFUNCTION("IMPORTRANGE(""https://docs.google.com/spreadsheets/d/1kII0BjS6CtVrBvI8IrytgPdxDrlyQDyigzMsohRtDMs/edit?usp=sharing"",""อุทัยธานี!I176"")"),10)</f>
        <v>10</v>
      </c>
      <c r="S30" s="281">
        <f ca="1">IFERROR(__xludf.DUMMYFUNCTION("IMPORTRANGE(""https://docs.google.com/spreadsheets/d/1kII0BjS6CtVrBvI8IrytgPdxDrlyQDyigzMsohRtDMs/edit?usp=sharing"",""อุทัยธานี!J176"")"),10)</f>
        <v>10</v>
      </c>
      <c r="T30" s="282">
        <f t="shared" ca="1" si="19"/>
        <v>100</v>
      </c>
      <c r="U30" s="459">
        <f ca="1">IFERROR(__xludf.DUMMYFUNCTION("IMPORTRANGE(""https://docs.google.com/spreadsheets/d/1kII0BjS6CtVrBvI8IrytgPdxDrlyQDyigzMsohRtDMs/edit?usp=sharing"",""อุทัยธานี!I179"")"),0)</f>
        <v>0</v>
      </c>
      <c r="V30" s="283" t="str">
        <f ca="1">IFERROR(__xludf.DUMMYFUNCTION("IMPORTRANGE(""https://docs.google.com/spreadsheets/d/1kII0BjS6CtVrBvI8IrytgPdxDrlyQDyigzMsohRtDMs/edit?usp=sharing"",""อุทัยธานี!J179"")"),"")</f>
        <v/>
      </c>
      <c r="W30" s="282">
        <f t="shared" ca="1" si="20"/>
        <v>0</v>
      </c>
      <c r="X30" s="209"/>
      <c r="Y30" s="209"/>
      <c r="Z30" s="209"/>
    </row>
    <row r="31" spans="1:26" ht="21" customHeight="1" x14ac:dyDescent="0.3">
      <c r="A31" s="416" t="s">
        <v>53</v>
      </c>
      <c r="B31" s="397"/>
      <c r="C31" s="243">
        <f t="shared" ca="1" si="0"/>
        <v>422060</v>
      </c>
      <c r="D31" s="243">
        <f t="shared" ref="D31:I31" ca="1" si="26">SUM(D32:D51)</f>
        <v>422060</v>
      </c>
      <c r="E31" s="243">
        <f t="shared" ca="1" si="26"/>
        <v>0</v>
      </c>
      <c r="F31" s="243">
        <f t="shared" ca="1" si="26"/>
        <v>422060</v>
      </c>
      <c r="G31" s="243">
        <f t="shared" ca="1" si="26"/>
        <v>0</v>
      </c>
      <c r="H31" s="243">
        <f t="shared" ca="1" si="26"/>
        <v>422060</v>
      </c>
      <c r="I31" s="243">
        <f t="shared" ca="1" si="26"/>
        <v>0</v>
      </c>
      <c r="J31" s="243">
        <f t="shared" ca="1" si="3"/>
        <v>392876</v>
      </c>
      <c r="K31" s="244">
        <f t="shared" ca="1" si="4"/>
        <v>93.085343316116195</v>
      </c>
      <c r="L31" s="243">
        <f ca="1">SUM(L32:L51)</f>
        <v>392876</v>
      </c>
      <c r="M31" s="245">
        <f t="shared" ca="1" si="5"/>
        <v>93.085343316116195</v>
      </c>
      <c r="N31" s="245">
        <f t="shared" ca="1" si="6"/>
        <v>93.085343316116195</v>
      </c>
      <c r="O31" s="246">
        <f ca="1">SUM(O32:O51)</f>
        <v>0</v>
      </c>
      <c r="P31" s="246">
        <f t="shared" ca="1" si="22"/>
        <v>0</v>
      </c>
      <c r="Q31" s="245">
        <f t="shared" ca="1" si="8"/>
        <v>0</v>
      </c>
      <c r="R31" s="243">
        <f t="shared" ref="R31:S31" ca="1" si="27">SUM(R32:R51)</f>
        <v>212</v>
      </c>
      <c r="S31" s="243">
        <f t="shared" ca="1" si="27"/>
        <v>188</v>
      </c>
      <c r="T31" s="245">
        <f t="shared" ca="1" si="19"/>
        <v>88.679245283018872</v>
      </c>
      <c r="U31" s="243">
        <f t="shared" ref="U31:V31" ca="1" si="28">SUM(U32:U51)</f>
        <v>0</v>
      </c>
      <c r="V31" s="243">
        <f t="shared" ca="1" si="28"/>
        <v>0</v>
      </c>
      <c r="W31" s="245">
        <f t="shared" ca="1" si="20"/>
        <v>0</v>
      </c>
      <c r="X31" s="209"/>
      <c r="Y31" s="209"/>
      <c r="Z31" s="209"/>
    </row>
    <row r="32" spans="1:26" ht="21" customHeight="1" x14ac:dyDescent="0.3">
      <c r="A32" s="261">
        <v>1</v>
      </c>
      <c r="B32" s="262" t="s">
        <v>54</v>
      </c>
      <c r="C32" s="263">
        <f t="shared" ca="1" si="0"/>
        <v>23060</v>
      </c>
      <c r="D32" s="264">
        <f t="shared" ref="D32:D51" ca="1" si="29">+E32+F32</f>
        <v>23060</v>
      </c>
      <c r="E32" s="265">
        <f ca="1">IFERROR(__xludf.DUMMYFUNCTION("IMPORTRANGE(""https://docs.google.com/spreadsheets/d/1MeEWN-I1oV_STSDYn1IFDPWt_1FKiwhDph83XaGc0o0/edit?usp=sharing"",""งบพรบ!CF32"")"),0)</f>
        <v>0</v>
      </c>
      <c r="F32" s="265">
        <f ca="1">IFERROR(__xludf.DUMMYFUNCTION("IMPORTRANGE(""https://docs.google.com/spreadsheets/d/1MeEWN-I1oV_STSDYn1IFDPWt_1FKiwhDph83XaGc0o0/edit?usp=sharing"",""งบพรบ!CG32"")"),23060)</f>
        <v>23060</v>
      </c>
      <c r="G32" s="266">
        <f ca="1">IFERROR(__xludf.DUMMYFUNCTION("IMPORTRANGE(""https://docs.google.com/spreadsheets/d/1MeEWN-I1oV_STSDYn1IFDPWt_1FKiwhDph83XaGc0o0/edit?usp=sharing"",""งบพรบ!CH32"")"),0)</f>
        <v>0</v>
      </c>
      <c r="H32" s="266">
        <f ca="1">IFERROR(__xludf.DUMMYFUNCTION("IMPORTRANGE(""https://docs.google.com/spreadsheets/d/1MeEWN-I1oV_STSDYn1IFDPWt_1FKiwhDph83XaGc0o0/edit?usp=sharing"",""งบพรบ!CJ32"")"),23060)</f>
        <v>23060</v>
      </c>
      <c r="I32" s="266">
        <f ca="1">IFERROR(__xludf.DUMMYFUNCTION("IMPORTRANGE(""https://docs.google.com/spreadsheets/d/1MeEWN-I1oV_STSDYn1IFDPWt_1FKiwhDph83XaGc0o0/edit?usp=sharing"",""งบพรบ!CK32"")"),0)</f>
        <v>0</v>
      </c>
      <c r="J32" s="266">
        <f t="shared" ca="1" si="3"/>
        <v>23060</v>
      </c>
      <c r="K32" s="267">
        <f t="shared" ca="1" si="4"/>
        <v>100</v>
      </c>
      <c r="L32" s="266">
        <f ca="1">IFERROR(__xludf.DUMMYFUNCTION("IMPORTRANGE(""https://docs.google.com/spreadsheets/d/1MeEWN-I1oV_STSDYn1IFDPWt_1FKiwhDph83XaGc0o0/edit?usp=sharing"",""งบพรบ!CL32"")"),23060)</f>
        <v>23060</v>
      </c>
      <c r="M32" s="268">
        <f t="shared" ca="1" si="5"/>
        <v>100</v>
      </c>
      <c r="N32" s="268">
        <f t="shared" ca="1" si="6"/>
        <v>100</v>
      </c>
      <c r="O32" s="269">
        <f ca="1">IFERROR(__xludf.DUMMYFUNCTION("IMPORTRANGE(""https://docs.google.com/spreadsheets/d/1MeEWN-I1oV_STSDYn1IFDPWt_1FKiwhDph83XaGc0o0/edit?usp=sharing"",""งบพรบ!CC32"")"),0)</f>
        <v>0</v>
      </c>
      <c r="P32" s="269">
        <f t="shared" ca="1" si="22"/>
        <v>0</v>
      </c>
      <c r="Q32" s="268">
        <f t="shared" ca="1" si="8"/>
        <v>0</v>
      </c>
      <c r="R32" s="266">
        <f ca="1">IFERROR(__xludf.DUMMYFUNCTION("IMPORTRANGE(""https://docs.google.com/spreadsheets/d/1fb2B9NLcpJgjIieIJvenUTNPn0TimZDUi0OtYeiSQ_s/edit?usp=sharing"",""กาฬสินธุ์!I176"")"),12)</f>
        <v>12</v>
      </c>
      <c r="S32" s="266">
        <f ca="1">IFERROR(__xludf.DUMMYFUNCTION("IMPORTRANGE(""https://docs.google.com/spreadsheets/d/1fb2B9NLcpJgjIieIJvenUTNPn0TimZDUi0OtYeiSQ_s/edit?usp=sharing"",""กาฬสินธุ์!J176"")"),12)</f>
        <v>12</v>
      </c>
      <c r="T32" s="270">
        <f t="shared" ca="1" si="19"/>
        <v>100</v>
      </c>
      <c r="U32" s="458">
        <f ca="1">IFERROR(__xludf.DUMMYFUNCTION("IMPORTRANGE(""https://docs.google.com/spreadsheets/d/1fb2B9NLcpJgjIieIJvenUTNPn0TimZDUi0OtYeiSQ_s/edit?usp=sharing"",""กาฬสินธุ์!I179"")"),0)</f>
        <v>0</v>
      </c>
      <c r="V32" s="271" t="str">
        <f ca="1">IFERROR(__xludf.DUMMYFUNCTION("IMPORTRANGE(""https://docs.google.com/spreadsheets/d/1fb2B9NLcpJgjIieIJvenUTNPn0TimZDUi0OtYeiSQ_s/edit?usp=sharing"",""กาฬสินธุ์!J179"")"),"")</f>
        <v/>
      </c>
      <c r="W32" s="270">
        <f t="shared" ca="1" si="20"/>
        <v>0</v>
      </c>
      <c r="X32" s="209"/>
      <c r="Y32" s="209"/>
      <c r="Z32" s="209"/>
    </row>
    <row r="33" spans="1:26" ht="21" customHeight="1" x14ac:dyDescent="0.3">
      <c r="A33" s="261">
        <v>2</v>
      </c>
      <c r="B33" s="262" t="s">
        <v>55</v>
      </c>
      <c r="C33" s="263">
        <f t="shared" ca="1" si="0"/>
        <v>21050</v>
      </c>
      <c r="D33" s="264">
        <f t="shared" ca="1" si="29"/>
        <v>21050</v>
      </c>
      <c r="E33" s="265">
        <f ca="1">IFERROR(__xludf.DUMMYFUNCTION("IMPORTRANGE(""https://docs.google.com/spreadsheets/d/1MeEWN-I1oV_STSDYn1IFDPWt_1FKiwhDph83XaGc0o0/edit?usp=sharing"",""งบพรบ!CF33"")"),0)</f>
        <v>0</v>
      </c>
      <c r="F33" s="265">
        <f ca="1">IFERROR(__xludf.DUMMYFUNCTION("IMPORTRANGE(""https://docs.google.com/spreadsheets/d/1MeEWN-I1oV_STSDYn1IFDPWt_1FKiwhDph83XaGc0o0/edit?usp=sharing"",""งบพรบ!CG33"")"),21050)</f>
        <v>21050</v>
      </c>
      <c r="G33" s="265">
        <f ca="1">IFERROR(__xludf.DUMMYFUNCTION("IMPORTRANGE(""https://docs.google.com/spreadsheets/d/1MeEWN-I1oV_STSDYn1IFDPWt_1FKiwhDph83XaGc0o0/edit?usp=sharing"",""งบพรบ!CH33"")"),0)</f>
        <v>0</v>
      </c>
      <c r="H33" s="265">
        <f ca="1">IFERROR(__xludf.DUMMYFUNCTION("IMPORTRANGE(""https://docs.google.com/spreadsheets/d/1MeEWN-I1oV_STSDYn1IFDPWt_1FKiwhDph83XaGc0o0/edit?usp=sharing"",""งบพรบ!CJ33"")"),21050)</f>
        <v>21050</v>
      </c>
      <c r="I33" s="265">
        <f ca="1">IFERROR(__xludf.DUMMYFUNCTION("IMPORTRANGE(""https://docs.google.com/spreadsheets/d/1MeEWN-I1oV_STSDYn1IFDPWt_1FKiwhDph83XaGc0o0/edit?usp=sharing"",""งบพรบ!CK33"")"),0)</f>
        <v>0</v>
      </c>
      <c r="J33" s="265">
        <f t="shared" ca="1" si="3"/>
        <v>21010</v>
      </c>
      <c r="K33" s="272">
        <f t="shared" ca="1" si="4"/>
        <v>99.809976247030875</v>
      </c>
      <c r="L33" s="265">
        <f ca="1">IFERROR(__xludf.DUMMYFUNCTION("IMPORTRANGE(""https://docs.google.com/spreadsheets/d/1MeEWN-I1oV_STSDYn1IFDPWt_1FKiwhDph83XaGc0o0/edit?usp=sharing"",""งบพรบ!CL33"")"),21010)</f>
        <v>21010</v>
      </c>
      <c r="M33" s="268">
        <f t="shared" ca="1" si="5"/>
        <v>99.809976247030875</v>
      </c>
      <c r="N33" s="268">
        <f t="shared" ca="1" si="6"/>
        <v>99.809976247030875</v>
      </c>
      <c r="O33" s="269">
        <f ca="1">IFERROR(__xludf.DUMMYFUNCTION("IMPORTRANGE(""https://docs.google.com/spreadsheets/d/1MeEWN-I1oV_STSDYn1IFDPWt_1FKiwhDph83XaGc0o0/edit?usp=sharing"",""งบพรบ!CC33"")"),0)</f>
        <v>0</v>
      </c>
      <c r="P33" s="269">
        <f t="shared" ca="1" si="22"/>
        <v>0</v>
      </c>
      <c r="Q33" s="268">
        <f t="shared" ca="1" si="8"/>
        <v>0</v>
      </c>
      <c r="R33" s="266">
        <f ca="1">IFERROR(__xludf.DUMMYFUNCTION("IMPORTRANGE(""https://docs.google.com/spreadsheets/d/1SaMnqrwRGmFYNR0MhpWmHuL5niYUd5E7vDq8X7whAlI/edit?usp=sharing"",""ขอนแก่น!I176"")"),10)</f>
        <v>10</v>
      </c>
      <c r="S33" s="266">
        <f ca="1">IFERROR(__xludf.DUMMYFUNCTION("IMPORTRANGE(""https://docs.google.com/spreadsheets/d/1SaMnqrwRGmFYNR0MhpWmHuL5niYUd5E7vDq8X7whAlI/edit?usp=sharing"",""ขอนแก่น!J176"")"),10)</f>
        <v>10</v>
      </c>
      <c r="T33" s="270">
        <f t="shared" ca="1" si="19"/>
        <v>100</v>
      </c>
      <c r="U33" s="458">
        <f ca="1">IFERROR(__xludf.DUMMYFUNCTION("IMPORTRANGE(""https://docs.google.com/spreadsheets/d/1SaMnqrwRGmFYNR0MhpWmHuL5niYUd5E7vDq8X7whAlI/edit?usp=sharing"",""ขอนแก่น!I179"")"),0)</f>
        <v>0</v>
      </c>
      <c r="V33" s="271" t="str">
        <f ca="1">IFERROR(__xludf.DUMMYFUNCTION("IMPORTRANGE(""https://docs.google.com/spreadsheets/d/1SaMnqrwRGmFYNR0MhpWmHuL5niYUd5E7vDq8X7whAlI/edit?usp=sharing"",""ขอนแก่น!J179"")"),"")</f>
        <v/>
      </c>
      <c r="W33" s="270">
        <f t="shared" ca="1" si="20"/>
        <v>0</v>
      </c>
      <c r="X33" s="209"/>
      <c r="Y33" s="209"/>
      <c r="Z33" s="209"/>
    </row>
    <row r="34" spans="1:26" ht="21" customHeight="1" x14ac:dyDescent="0.3">
      <c r="A34" s="261">
        <v>3</v>
      </c>
      <c r="B34" s="262" t="s">
        <v>56</v>
      </c>
      <c r="C34" s="263">
        <f t="shared" ca="1" si="0"/>
        <v>21050</v>
      </c>
      <c r="D34" s="264">
        <f t="shared" ca="1" si="29"/>
        <v>21050</v>
      </c>
      <c r="E34" s="265">
        <f ca="1">IFERROR(__xludf.DUMMYFUNCTION("IMPORTRANGE(""https://docs.google.com/spreadsheets/d/1MeEWN-I1oV_STSDYn1IFDPWt_1FKiwhDph83XaGc0o0/edit?usp=sharing"",""งบพรบ!CF34"")"),0)</f>
        <v>0</v>
      </c>
      <c r="F34" s="265">
        <f ca="1">IFERROR(__xludf.DUMMYFUNCTION("IMPORTRANGE(""https://docs.google.com/spreadsheets/d/1MeEWN-I1oV_STSDYn1IFDPWt_1FKiwhDph83XaGc0o0/edit?usp=sharing"",""งบพรบ!CG34"")"),21050)</f>
        <v>21050</v>
      </c>
      <c r="G34" s="265">
        <f ca="1">IFERROR(__xludf.DUMMYFUNCTION("IMPORTRANGE(""https://docs.google.com/spreadsheets/d/1MeEWN-I1oV_STSDYn1IFDPWt_1FKiwhDph83XaGc0o0/edit?usp=sharing"",""งบพรบ!CH34"")"),0)</f>
        <v>0</v>
      </c>
      <c r="H34" s="265">
        <f ca="1">IFERROR(__xludf.DUMMYFUNCTION("IMPORTRANGE(""https://docs.google.com/spreadsheets/d/1MeEWN-I1oV_STSDYn1IFDPWt_1FKiwhDph83XaGc0o0/edit?usp=sharing"",""งบพรบ!CJ34"")"),21050)</f>
        <v>21050</v>
      </c>
      <c r="I34" s="265">
        <f ca="1">IFERROR(__xludf.DUMMYFUNCTION("IMPORTRANGE(""https://docs.google.com/spreadsheets/d/1MeEWN-I1oV_STSDYn1IFDPWt_1FKiwhDph83XaGc0o0/edit?usp=sharing"",""งบพรบ!CK34"")"),0)</f>
        <v>0</v>
      </c>
      <c r="J34" s="265">
        <f t="shared" ca="1" si="3"/>
        <v>20150</v>
      </c>
      <c r="K34" s="272">
        <f t="shared" ca="1" si="4"/>
        <v>95.72446555819478</v>
      </c>
      <c r="L34" s="265">
        <f ca="1">IFERROR(__xludf.DUMMYFUNCTION("IMPORTRANGE(""https://docs.google.com/spreadsheets/d/1MeEWN-I1oV_STSDYn1IFDPWt_1FKiwhDph83XaGc0o0/edit?usp=sharing"",""งบพรบ!CL34"")"),20150)</f>
        <v>20150</v>
      </c>
      <c r="M34" s="268">
        <f t="shared" ca="1" si="5"/>
        <v>95.72446555819478</v>
      </c>
      <c r="N34" s="268">
        <f t="shared" ca="1" si="6"/>
        <v>95.72446555819478</v>
      </c>
      <c r="O34" s="269">
        <f ca="1">IFERROR(__xludf.DUMMYFUNCTION("IMPORTRANGE(""https://docs.google.com/spreadsheets/d/1MeEWN-I1oV_STSDYn1IFDPWt_1FKiwhDph83XaGc0o0/edit?usp=sharing"",""งบพรบ!CC34"")"),0)</f>
        <v>0</v>
      </c>
      <c r="P34" s="269">
        <f t="shared" ca="1" si="22"/>
        <v>0</v>
      </c>
      <c r="Q34" s="268">
        <f t="shared" ca="1" si="8"/>
        <v>0</v>
      </c>
      <c r="R34" s="266">
        <f ca="1">IFERROR(__xludf.DUMMYFUNCTION("IMPORTRANGE(""https://docs.google.com/spreadsheets/d/1xQzEtGHhTTgxHh6YUkKY1P4dRyjVhS74dGswLfAASA4/edit?usp=sharing"",""ชัยภูมิ!I176"")"),10)</f>
        <v>10</v>
      </c>
      <c r="S34" s="266">
        <f ca="1">IFERROR(__xludf.DUMMYFUNCTION("IMPORTRANGE(""https://docs.google.com/spreadsheets/d/1xQzEtGHhTTgxHh6YUkKY1P4dRyjVhS74dGswLfAASA4/edit?usp=sharing"",""ชัยภูมิ!J176"")"),10)</f>
        <v>10</v>
      </c>
      <c r="T34" s="270">
        <f t="shared" ca="1" si="19"/>
        <v>100</v>
      </c>
      <c r="U34" s="458">
        <f ca="1">IFERROR(__xludf.DUMMYFUNCTION("IMPORTRANGE(""https://docs.google.com/spreadsheets/d/1xQzEtGHhTTgxHh6YUkKY1P4dRyjVhS74dGswLfAASA4/edit?usp=sharing"",""ชัยภูมิ!I179"")"),0)</f>
        <v>0</v>
      </c>
      <c r="V34" s="271" t="str">
        <f ca="1">IFERROR(__xludf.DUMMYFUNCTION("IMPORTRANGE(""https://docs.google.com/spreadsheets/d/1xQzEtGHhTTgxHh6YUkKY1P4dRyjVhS74dGswLfAASA4/edit?usp=sharing"",""ชัยภูมิ!J179"")"),"")</f>
        <v/>
      </c>
      <c r="W34" s="270">
        <f t="shared" ca="1" si="20"/>
        <v>0</v>
      </c>
      <c r="X34" s="209"/>
      <c r="Y34" s="209"/>
      <c r="Z34" s="209"/>
    </row>
    <row r="35" spans="1:26" ht="21" customHeight="1" x14ac:dyDescent="0.3">
      <c r="A35" s="261">
        <v>4</v>
      </c>
      <c r="B35" s="262" t="s">
        <v>57</v>
      </c>
      <c r="C35" s="263">
        <f t="shared" ca="1" si="0"/>
        <v>22055</v>
      </c>
      <c r="D35" s="264">
        <f t="shared" ca="1" si="29"/>
        <v>22055</v>
      </c>
      <c r="E35" s="265">
        <f ca="1">IFERROR(__xludf.DUMMYFUNCTION("IMPORTRANGE(""https://docs.google.com/spreadsheets/d/1MeEWN-I1oV_STSDYn1IFDPWt_1FKiwhDph83XaGc0o0/edit?usp=sharing"",""งบพรบ!CF35"")"),0)</f>
        <v>0</v>
      </c>
      <c r="F35" s="265">
        <f ca="1">IFERROR(__xludf.DUMMYFUNCTION("IMPORTRANGE(""https://docs.google.com/spreadsheets/d/1MeEWN-I1oV_STSDYn1IFDPWt_1FKiwhDph83XaGc0o0/edit?usp=sharing"",""งบพรบ!CG35"")"),22055)</f>
        <v>22055</v>
      </c>
      <c r="G35" s="265">
        <f ca="1">IFERROR(__xludf.DUMMYFUNCTION("IMPORTRANGE(""https://docs.google.com/spreadsheets/d/1MeEWN-I1oV_STSDYn1IFDPWt_1FKiwhDph83XaGc0o0/edit?usp=sharing"",""งบพรบ!CH35"")"),0)</f>
        <v>0</v>
      </c>
      <c r="H35" s="265">
        <f ca="1">IFERROR(__xludf.DUMMYFUNCTION("IMPORTRANGE(""https://docs.google.com/spreadsheets/d/1MeEWN-I1oV_STSDYn1IFDPWt_1FKiwhDph83XaGc0o0/edit?usp=sharing"",""งบพรบ!CJ35"")"),22055)</f>
        <v>22055</v>
      </c>
      <c r="I35" s="265">
        <f ca="1">IFERROR(__xludf.DUMMYFUNCTION("IMPORTRANGE(""https://docs.google.com/spreadsheets/d/1MeEWN-I1oV_STSDYn1IFDPWt_1FKiwhDph83XaGc0o0/edit?usp=sharing"",""งบพรบ!CK35"")"),0)</f>
        <v>0</v>
      </c>
      <c r="J35" s="265">
        <f t="shared" ca="1" si="3"/>
        <v>22055</v>
      </c>
      <c r="K35" s="272">
        <f t="shared" ca="1" si="4"/>
        <v>100</v>
      </c>
      <c r="L35" s="265">
        <f ca="1">IFERROR(__xludf.DUMMYFUNCTION("IMPORTRANGE(""https://docs.google.com/spreadsheets/d/1MeEWN-I1oV_STSDYn1IFDPWt_1FKiwhDph83XaGc0o0/edit?usp=sharing"",""งบพรบ!CL35"")"),22055)</f>
        <v>22055</v>
      </c>
      <c r="M35" s="268">
        <f t="shared" ca="1" si="5"/>
        <v>100</v>
      </c>
      <c r="N35" s="268">
        <f t="shared" ca="1" si="6"/>
        <v>100</v>
      </c>
      <c r="O35" s="269">
        <f ca="1">IFERROR(__xludf.DUMMYFUNCTION("IMPORTRANGE(""https://docs.google.com/spreadsheets/d/1MeEWN-I1oV_STSDYn1IFDPWt_1FKiwhDph83XaGc0o0/edit?usp=sharing"",""งบพรบ!CC35"")"),0)</f>
        <v>0</v>
      </c>
      <c r="P35" s="269">
        <f t="shared" ca="1" si="22"/>
        <v>0</v>
      </c>
      <c r="Q35" s="268">
        <f t="shared" ca="1" si="8"/>
        <v>0</v>
      </c>
      <c r="R35" s="266">
        <f ca="1">IFERROR(__xludf.DUMMYFUNCTION("IMPORTRANGE(""https://docs.google.com/spreadsheets/d/1EXMBoBxU3OFbjT2TRpneM33qFjqDzrKmn9ydcflfI0o/edit?usp=sharing"",""นครพนม!I176"")"),11)</f>
        <v>11</v>
      </c>
      <c r="S35" s="266">
        <f ca="1">IFERROR(__xludf.DUMMYFUNCTION("IMPORTRANGE(""https://docs.google.com/spreadsheets/d/1EXMBoBxU3OFbjT2TRpneM33qFjqDzrKmn9ydcflfI0o/edit?usp=sharing"",""นครพนม!J176"")"),11)</f>
        <v>11</v>
      </c>
      <c r="T35" s="270">
        <f t="shared" ca="1" si="19"/>
        <v>100</v>
      </c>
      <c r="U35" s="458">
        <f ca="1">IFERROR(__xludf.DUMMYFUNCTION("IMPORTRANGE(""https://docs.google.com/spreadsheets/d/1EXMBoBxU3OFbjT2TRpneM33qFjqDzrKmn9ydcflfI0o/edit?usp=sharing"",""นครพนม!I179"")"),0)</f>
        <v>0</v>
      </c>
      <c r="V35" s="271" t="str">
        <f ca="1">IFERROR(__xludf.DUMMYFUNCTION("IMPORTRANGE(""https://docs.google.com/spreadsheets/d/1EXMBoBxU3OFbjT2TRpneM33qFjqDzrKmn9ydcflfI0o/edit?usp=sharing"",""นครพนม!J179"")"),"")</f>
        <v/>
      </c>
      <c r="W35" s="270">
        <f t="shared" ca="1" si="20"/>
        <v>0</v>
      </c>
      <c r="X35" s="209"/>
      <c r="Y35" s="209"/>
      <c r="Z35" s="209"/>
    </row>
    <row r="36" spans="1:26" ht="21" customHeight="1" x14ac:dyDescent="0.3">
      <c r="A36" s="261">
        <v>5</v>
      </c>
      <c r="B36" s="262" t="s">
        <v>58</v>
      </c>
      <c r="C36" s="263">
        <f t="shared" ca="1" si="0"/>
        <v>21050</v>
      </c>
      <c r="D36" s="264">
        <f t="shared" ca="1" si="29"/>
        <v>21050</v>
      </c>
      <c r="E36" s="265">
        <f ca="1">IFERROR(__xludf.DUMMYFUNCTION("IMPORTRANGE(""https://docs.google.com/spreadsheets/d/1MeEWN-I1oV_STSDYn1IFDPWt_1FKiwhDph83XaGc0o0/edit?usp=sharing"",""งบพรบ!CF36"")"),0)</f>
        <v>0</v>
      </c>
      <c r="F36" s="265">
        <f ca="1">IFERROR(__xludf.DUMMYFUNCTION("IMPORTRANGE(""https://docs.google.com/spreadsheets/d/1MeEWN-I1oV_STSDYn1IFDPWt_1FKiwhDph83XaGc0o0/edit?usp=sharing"",""งบพรบ!CG36"")"),21050)</f>
        <v>21050</v>
      </c>
      <c r="G36" s="265">
        <f ca="1">IFERROR(__xludf.DUMMYFUNCTION("IMPORTRANGE(""https://docs.google.com/spreadsheets/d/1MeEWN-I1oV_STSDYn1IFDPWt_1FKiwhDph83XaGc0o0/edit?usp=sharing"",""งบพรบ!CH36"")"),0)</f>
        <v>0</v>
      </c>
      <c r="H36" s="265">
        <f ca="1">IFERROR(__xludf.DUMMYFUNCTION("IMPORTRANGE(""https://docs.google.com/spreadsheets/d/1MeEWN-I1oV_STSDYn1IFDPWt_1FKiwhDph83XaGc0o0/edit?usp=sharing"",""งบพรบ!CJ36"")"),21050)</f>
        <v>21050</v>
      </c>
      <c r="I36" s="265">
        <f ca="1">IFERROR(__xludf.DUMMYFUNCTION("IMPORTRANGE(""https://docs.google.com/spreadsheets/d/1MeEWN-I1oV_STSDYn1IFDPWt_1FKiwhDph83XaGc0o0/edit?usp=sharing"",""งบพรบ!CK36"")"),0)</f>
        <v>0</v>
      </c>
      <c r="J36" s="265">
        <f t="shared" ca="1" si="3"/>
        <v>21050</v>
      </c>
      <c r="K36" s="272">
        <f t="shared" ca="1" si="4"/>
        <v>100</v>
      </c>
      <c r="L36" s="265">
        <f ca="1">IFERROR(__xludf.DUMMYFUNCTION("IMPORTRANGE(""https://docs.google.com/spreadsheets/d/1MeEWN-I1oV_STSDYn1IFDPWt_1FKiwhDph83XaGc0o0/edit?usp=sharing"",""งบพรบ!CL36"")"),21050)</f>
        <v>21050</v>
      </c>
      <c r="M36" s="268">
        <f t="shared" ca="1" si="5"/>
        <v>100</v>
      </c>
      <c r="N36" s="268">
        <f t="shared" ca="1" si="6"/>
        <v>100</v>
      </c>
      <c r="O36" s="269">
        <f ca="1">IFERROR(__xludf.DUMMYFUNCTION("IMPORTRANGE(""https://docs.google.com/spreadsheets/d/1MeEWN-I1oV_STSDYn1IFDPWt_1FKiwhDph83XaGc0o0/edit?usp=sharing"",""งบพรบ!CC36"")"),0)</f>
        <v>0</v>
      </c>
      <c r="P36" s="269">
        <f t="shared" ca="1" si="22"/>
        <v>0</v>
      </c>
      <c r="Q36" s="268">
        <f t="shared" ca="1" si="8"/>
        <v>0</v>
      </c>
      <c r="R36" s="266">
        <f ca="1">IFERROR(__xludf.DUMMYFUNCTION("IMPORTRANGE(""https://docs.google.com/spreadsheets/d/1bDQrolntRWtHumK8W-x-HXKntwxB9S3sF5aDeRS66Ko/edit?usp=sharing"",""นครราชสีมา!I176"")"),10)</f>
        <v>10</v>
      </c>
      <c r="S36" s="266">
        <f ca="1">IFERROR(__xludf.DUMMYFUNCTION("IMPORTRANGE(""https://docs.google.com/spreadsheets/d/1bDQrolntRWtHumK8W-x-HXKntwxB9S3sF5aDeRS66Ko/edit?usp=sharing"",""นครราชสีมา!J176"")"),10)</f>
        <v>10</v>
      </c>
      <c r="T36" s="270">
        <f t="shared" ca="1" si="19"/>
        <v>100</v>
      </c>
      <c r="U36" s="458">
        <f ca="1">IFERROR(__xludf.DUMMYFUNCTION("IMPORTRANGE(""https://docs.google.com/spreadsheets/d/1bDQrolntRWtHumK8W-x-HXKntwxB9S3sF5aDeRS66Ko/edit?usp=sharing"",""นครราชสีมา!I179"")"),0)</f>
        <v>0</v>
      </c>
      <c r="V36" s="271" t="str">
        <f ca="1">IFERROR(__xludf.DUMMYFUNCTION("IMPORTRANGE(""https://docs.google.com/spreadsheets/d/1bDQrolntRWtHumK8W-x-HXKntwxB9S3sF5aDeRS66Ko/edit?usp=sharing"",""นครราชสีมา!J179"")"),"")</f>
        <v/>
      </c>
      <c r="W36" s="270">
        <f t="shared" ca="1" si="20"/>
        <v>0</v>
      </c>
      <c r="X36" s="209"/>
      <c r="Y36" s="209"/>
      <c r="Z36" s="209"/>
    </row>
    <row r="37" spans="1:26" ht="21" customHeight="1" x14ac:dyDescent="0.3">
      <c r="A37" s="261">
        <v>6</v>
      </c>
      <c r="B37" s="262" t="s">
        <v>59</v>
      </c>
      <c r="C37" s="263">
        <f t="shared" ca="1" si="0"/>
        <v>23060</v>
      </c>
      <c r="D37" s="264">
        <f t="shared" ca="1" si="29"/>
        <v>23060</v>
      </c>
      <c r="E37" s="265">
        <f ca="1">IFERROR(__xludf.DUMMYFUNCTION("IMPORTRANGE(""https://docs.google.com/spreadsheets/d/1MeEWN-I1oV_STSDYn1IFDPWt_1FKiwhDph83XaGc0o0/edit?usp=sharing"",""งบพรบ!CF37"")"),0)</f>
        <v>0</v>
      </c>
      <c r="F37" s="265">
        <f ca="1">IFERROR(__xludf.DUMMYFUNCTION("IMPORTRANGE(""https://docs.google.com/spreadsheets/d/1MeEWN-I1oV_STSDYn1IFDPWt_1FKiwhDph83XaGc0o0/edit?usp=sharing"",""งบพรบ!CG37"")"),23060)</f>
        <v>23060</v>
      </c>
      <c r="G37" s="265">
        <f ca="1">IFERROR(__xludf.DUMMYFUNCTION("IMPORTRANGE(""https://docs.google.com/spreadsheets/d/1MeEWN-I1oV_STSDYn1IFDPWt_1FKiwhDph83XaGc0o0/edit?usp=sharing"",""งบพรบ!CH37"")"),0)</f>
        <v>0</v>
      </c>
      <c r="H37" s="265">
        <f ca="1">IFERROR(__xludf.DUMMYFUNCTION("IMPORTRANGE(""https://docs.google.com/spreadsheets/d/1MeEWN-I1oV_STSDYn1IFDPWt_1FKiwhDph83XaGc0o0/edit?usp=sharing"",""งบพรบ!CJ37"")"),23060)</f>
        <v>23060</v>
      </c>
      <c r="I37" s="265">
        <f ca="1">IFERROR(__xludf.DUMMYFUNCTION("IMPORTRANGE(""https://docs.google.com/spreadsheets/d/1MeEWN-I1oV_STSDYn1IFDPWt_1FKiwhDph83XaGc0o0/edit?usp=sharing"",""งบพรบ!CK37"")"),0)</f>
        <v>0</v>
      </c>
      <c r="J37" s="265">
        <f t="shared" ca="1" si="3"/>
        <v>18064</v>
      </c>
      <c r="K37" s="272">
        <f t="shared" ca="1" si="4"/>
        <v>78.334778837814397</v>
      </c>
      <c r="L37" s="265">
        <f ca="1">IFERROR(__xludf.DUMMYFUNCTION("IMPORTRANGE(""https://docs.google.com/spreadsheets/d/1MeEWN-I1oV_STSDYn1IFDPWt_1FKiwhDph83XaGc0o0/edit?usp=sharing"",""งบพรบ!CL37"")"),18064)</f>
        <v>18064</v>
      </c>
      <c r="M37" s="268">
        <f t="shared" ca="1" si="5"/>
        <v>78.334778837814397</v>
      </c>
      <c r="N37" s="268">
        <f t="shared" ca="1" si="6"/>
        <v>78.334778837814397</v>
      </c>
      <c r="O37" s="269">
        <f ca="1">IFERROR(__xludf.DUMMYFUNCTION("IMPORTRANGE(""https://docs.google.com/spreadsheets/d/1MeEWN-I1oV_STSDYn1IFDPWt_1FKiwhDph83XaGc0o0/edit?usp=sharing"",""งบพรบ!CC37"")"),0)</f>
        <v>0</v>
      </c>
      <c r="P37" s="269">
        <f t="shared" ca="1" si="22"/>
        <v>0</v>
      </c>
      <c r="Q37" s="268">
        <f t="shared" ca="1" si="8"/>
        <v>0</v>
      </c>
      <c r="R37" s="266">
        <f ca="1">IFERROR(__xludf.DUMMYFUNCTION("IMPORTRANGE(""https://docs.google.com/spreadsheets/d/1_MzZ-2gVPiCW-d2VcafoCmFJQTSrZ6SQyFcMqRRQQ2w/edit?usp=sharing"",""บึงกาฬ!I176"")"),12)</f>
        <v>12</v>
      </c>
      <c r="S37" s="266">
        <f ca="1">IFERROR(__xludf.DUMMYFUNCTION("IMPORTRANGE(""https://docs.google.com/spreadsheets/d/1_MzZ-2gVPiCW-d2VcafoCmFJQTSrZ6SQyFcMqRRQQ2w/edit?usp=sharing"",""บึงกาฬ!J176"")"),0)</f>
        <v>0</v>
      </c>
      <c r="T37" s="270">
        <f t="shared" ca="1" si="19"/>
        <v>0</v>
      </c>
      <c r="U37" s="458">
        <f ca="1">IFERROR(__xludf.DUMMYFUNCTION("IMPORTRANGE(""https://docs.google.com/spreadsheets/d/1_MzZ-2gVPiCW-d2VcafoCmFJQTSrZ6SQyFcMqRRQQ2w/edit?usp=sharing"",""บึงกาฬ!I179"")"),0)</f>
        <v>0</v>
      </c>
      <c r="V37" s="271" t="str">
        <f ca="1">IFERROR(__xludf.DUMMYFUNCTION("IMPORTRANGE(""https://docs.google.com/spreadsheets/d/1_MzZ-2gVPiCW-d2VcafoCmFJQTSrZ6SQyFcMqRRQQ2w/edit?usp=sharing"",""บึงกาฬ!J179"")"),"")</f>
        <v/>
      </c>
      <c r="W37" s="270">
        <f t="shared" ca="1" si="20"/>
        <v>0</v>
      </c>
      <c r="X37" s="209"/>
      <c r="Y37" s="209"/>
      <c r="Z37" s="209"/>
    </row>
    <row r="38" spans="1:26" ht="21" customHeight="1" x14ac:dyDescent="0.3">
      <c r="A38" s="261">
        <v>7</v>
      </c>
      <c r="B38" s="262" t="s">
        <v>60</v>
      </c>
      <c r="C38" s="263">
        <f t="shared" ca="1" si="0"/>
        <v>21050</v>
      </c>
      <c r="D38" s="264">
        <f t="shared" ca="1" si="29"/>
        <v>21050</v>
      </c>
      <c r="E38" s="265">
        <f ca="1">IFERROR(__xludf.DUMMYFUNCTION("IMPORTRANGE(""https://docs.google.com/spreadsheets/d/1MeEWN-I1oV_STSDYn1IFDPWt_1FKiwhDph83XaGc0o0/edit?usp=sharing"",""งบพรบ!CF38"")"),0)</f>
        <v>0</v>
      </c>
      <c r="F38" s="265">
        <f ca="1">IFERROR(__xludf.DUMMYFUNCTION("IMPORTRANGE(""https://docs.google.com/spreadsheets/d/1MeEWN-I1oV_STSDYn1IFDPWt_1FKiwhDph83XaGc0o0/edit?usp=sharing"",""งบพรบ!CG38"")"),21050)</f>
        <v>21050</v>
      </c>
      <c r="G38" s="265">
        <f ca="1">IFERROR(__xludf.DUMMYFUNCTION("IMPORTRANGE(""https://docs.google.com/spreadsheets/d/1MeEWN-I1oV_STSDYn1IFDPWt_1FKiwhDph83XaGc0o0/edit?usp=sharing"",""งบพรบ!CH38"")"),0)</f>
        <v>0</v>
      </c>
      <c r="H38" s="265">
        <f ca="1">IFERROR(__xludf.DUMMYFUNCTION("IMPORTRANGE(""https://docs.google.com/spreadsheets/d/1MeEWN-I1oV_STSDYn1IFDPWt_1FKiwhDph83XaGc0o0/edit?usp=sharing"",""งบพรบ!CJ38"")"),21050)</f>
        <v>21050</v>
      </c>
      <c r="I38" s="265">
        <f ca="1">IFERROR(__xludf.DUMMYFUNCTION("IMPORTRANGE(""https://docs.google.com/spreadsheets/d/1MeEWN-I1oV_STSDYn1IFDPWt_1FKiwhDph83XaGc0o0/edit?usp=sharing"",""งบพรบ!CK38"")"),0)</f>
        <v>0</v>
      </c>
      <c r="J38" s="265">
        <f t="shared" ca="1" si="3"/>
        <v>19857</v>
      </c>
      <c r="K38" s="272">
        <f t="shared" ca="1" si="4"/>
        <v>94.332541567695955</v>
      </c>
      <c r="L38" s="265">
        <f ca="1">IFERROR(__xludf.DUMMYFUNCTION("IMPORTRANGE(""https://docs.google.com/spreadsheets/d/1MeEWN-I1oV_STSDYn1IFDPWt_1FKiwhDph83XaGc0o0/edit?usp=sharing"",""งบพรบ!CL38"")"),19857)</f>
        <v>19857</v>
      </c>
      <c r="M38" s="268">
        <f t="shared" ca="1" si="5"/>
        <v>94.332541567695955</v>
      </c>
      <c r="N38" s="268">
        <f t="shared" ca="1" si="6"/>
        <v>94.332541567695955</v>
      </c>
      <c r="O38" s="269">
        <f ca="1">IFERROR(__xludf.DUMMYFUNCTION("IMPORTRANGE(""https://docs.google.com/spreadsheets/d/1MeEWN-I1oV_STSDYn1IFDPWt_1FKiwhDph83XaGc0o0/edit?usp=sharing"",""งบพรบ!CC38"")"),0)</f>
        <v>0</v>
      </c>
      <c r="P38" s="269">
        <f t="shared" ca="1" si="22"/>
        <v>0</v>
      </c>
      <c r="Q38" s="268">
        <f t="shared" ca="1" si="8"/>
        <v>0</v>
      </c>
      <c r="R38" s="266">
        <f ca="1">IFERROR(__xludf.DUMMYFUNCTION("IMPORTRANGE(""https://docs.google.com/spreadsheets/d/1B3lPpzOuaNwVItLwLEZYl_qEblfcx7dRnbRkAw0l-pE/edit?usp=sharing"",""บุรีรัมย์!I176"")"),10)</f>
        <v>10</v>
      </c>
      <c r="S38" s="266">
        <f ca="1">IFERROR(__xludf.DUMMYFUNCTION("IMPORTRANGE(""https://docs.google.com/spreadsheets/d/1B3lPpzOuaNwVItLwLEZYl_qEblfcx7dRnbRkAw0l-pE/edit?usp=sharing"",""บุรีรัมย์!J176"")"),10)</f>
        <v>10</v>
      </c>
      <c r="T38" s="270">
        <f t="shared" ca="1" si="19"/>
        <v>100</v>
      </c>
      <c r="U38" s="458">
        <f ca="1">IFERROR(__xludf.DUMMYFUNCTION("IMPORTRANGE(""https://docs.google.com/spreadsheets/d/1B3lPpzOuaNwVItLwLEZYl_qEblfcx7dRnbRkAw0l-pE/edit?usp=sharing"",""บุรีรัมย์!I179"")"),0)</f>
        <v>0</v>
      </c>
      <c r="V38" s="271" t="str">
        <f ca="1">IFERROR(__xludf.DUMMYFUNCTION("IMPORTRANGE(""https://docs.google.com/spreadsheets/d/1B3lPpzOuaNwVItLwLEZYl_qEblfcx7dRnbRkAw0l-pE/edit?usp=sharing"",""บุรีรัมย์!J179"")"),"")</f>
        <v/>
      </c>
      <c r="W38" s="270">
        <f t="shared" ca="1" si="20"/>
        <v>0</v>
      </c>
      <c r="X38" s="209"/>
      <c r="Y38" s="209"/>
      <c r="Z38" s="209"/>
    </row>
    <row r="39" spans="1:26" ht="21" customHeight="1" x14ac:dyDescent="0.3">
      <c r="A39" s="261">
        <v>8</v>
      </c>
      <c r="B39" s="262" t="s">
        <v>61</v>
      </c>
      <c r="C39" s="263">
        <f t="shared" ca="1" si="0"/>
        <v>23060</v>
      </c>
      <c r="D39" s="264">
        <f t="shared" ca="1" si="29"/>
        <v>23060</v>
      </c>
      <c r="E39" s="265">
        <f ca="1">IFERROR(__xludf.DUMMYFUNCTION("IMPORTRANGE(""https://docs.google.com/spreadsheets/d/1MeEWN-I1oV_STSDYn1IFDPWt_1FKiwhDph83XaGc0o0/edit?usp=sharing"",""งบพรบ!CF39"")"),0)</f>
        <v>0</v>
      </c>
      <c r="F39" s="265">
        <f ca="1">IFERROR(__xludf.DUMMYFUNCTION("IMPORTRANGE(""https://docs.google.com/spreadsheets/d/1MeEWN-I1oV_STSDYn1IFDPWt_1FKiwhDph83XaGc0o0/edit?usp=sharing"",""งบพรบ!CG39"")"),23060)</f>
        <v>23060</v>
      </c>
      <c r="G39" s="265">
        <f ca="1">IFERROR(__xludf.DUMMYFUNCTION("IMPORTRANGE(""https://docs.google.com/spreadsheets/d/1MeEWN-I1oV_STSDYn1IFDPWt_1FKiwhDph83XaGc0o0/edit?usp=sharing"",""งบพรบ!CH39"")"),0)</f>
        <v>0</v>
      </c>
      <c r="H39" s="265">
        <f ca="1">IFERROR(__xludf.DUMMYFUNCTION("IMPORTRANGE(""https://docs.google.com/spreadsheets/d/1MeEWN-I1oV_STSDYn1IFDPWt_1FKiwhDph83XaGc0o0/edit?usp=sharing"",""งบพรบ!CJ39"")"),23060)</f>
        <v>23060</v>
      </c>
      <c r="I39" s="265">
        <f ca="1">IFERROR(__xludf.DUMMYFUNCTION("IMPORTRANGE(""https://docs.google.com/spreadsheets/d/1MeEWN-I1oV_STSDYn1IFDPWt_1FKiwhDph83XaGc0o0/edit?usp=sharing"",""งบพรบ!CK39"")"),0)</f>
        <v>0</v>
      </c>
      <c r="J39" s="265">
        <f t="shared" ca="1" si="3"/>
        <v>23060</v>
      </c>
      <c r="K39" s="272">
        <f t="shared" ca="1" si="4"/>
        <v>100</v>
      </c>
      <c r="L39" s="265">
        <f ca="1">IFERROR(__xludf.DUMMYFUNCTION("IMPORTRANGE(""https://docs.google.com/spreadsheets/d/1MeEWN-I1oV_STSDYn1IFDPWt_1FKiwhDph83XaGc0o0/edit?usp=sharing"",""งบพรบ!CL39"")"),23060)</f>
        <v>23060</v>
      </c>
      <c r="M39" s="268">
        <f t="shared" ca="1" si="5"/>
        <v>100</v>
      </c>
      <c r="N39" s="268">
        <f t="shared" ca="1" si="6"/>
        <v>100</v>
      </c>
      <c r="O39" s="269">
        <f ca="1">IFERROR(__xludf.DUMMYFUNCTION("IMPORTRANGE(""https://docs.google.com/spreadsheets/d/1MeEWN-I1oV_STSDYn1IFDPWt_1FKiwhDph83XaGc0o0/edit?usp=sharing"",""งบพรบ!CC39"")"),0)</f>
        <v>0</v>
      </c>
      <c r="P39" s="269">
        <f t="shared" ca="1" si="22"/>
        <v>0</v>
      </c>
      <c r="Q39" s="268">
        <f t="shared" ca="1" si="8"/>
        <v>0</v>
      </c>
      <c r="R39" s="266">
        <f ca="1">IFERROR(__xludf.DUMMYFUNCTION("IMPORTRANGE(""https://docs.google.com/spreadsheets/d/19GOkiOqnzYbevLYWrMk4qFOXe3rX14BkSA8X-mq-a40/edit?usp=sharing"",""มหาสารคาม!I176"")"),12)</f>
        <v>12</v>
      </c>
      <c r="S39" s="266">
        <f ca="1">IFERROR(__xludf.DUMMYFUNCTION("IMPORTRANGE(""https://docs.google.com/spreadsheets/d/19GOkiOqnzYbevLYWrMk4qFOXe3rX14BkSA8X-mq-a40/edit?usp=sharing"",""มหาสารคาม!J176"")"),0)</f>
        <v>0</v>
      </c>
      <c r="T39" s="270">
        <f t="shared" ca="1" si="19"/>
        <v>0</v>
      </c>
      <c r="U39" s="458">
        <f ca="1">IFERROR(__xludf.DUMMYFUNCTION("IMPORTRANGE(""https://docs.google.com/spreadsheets/d/19GOkiOqnzYbevLYWrMk4qFOXe3rX14BkSA8X-mq-a40/edit?usp=sharing"",""มหาสารคาม!I179"")"),0)</f>
        <v>0</v>
      </c>
      <c r="V39" s="271" t="str">
        <f ca="1">IFERROR(__xludf.DUMMYFUNCTION("IMPORTRANGE(""https://docs.google.com/spreadsheets/d/19GOkiOqnzYbevLYWrMk4qFOXe3rX14BkSA8X-mq-a40/edit?usp=sharing"",""มหาสารคาม!J179"")"),"")</f>
        <v/>
      </c>
      <c r="W39" s="270">
        <f t="shared" ca="1" si="20"/>
        <v>0</v>
      </c>
      <c r="X39" s="209"/>
      <c r="Y39" s="209"/>
      <c r="Z39" s="209"/>
    </row>
    <row r="40" spans="1:26" ht="21" customHeight="1" x14ac:dyDescent="0.3">
      <c r="A40" s="261">
        <v>9</v>
      </c>
      <c r="B40" s="262" t="s">
        <v>62</v>
      </c>
      <c r="C40" s="263">
        <f t="shared" ca="1" si="0"/>
        <v>22055</v>
      </c>
      <c r="D40" s="264">
        <f t="shared" ca="1" si="29"/>
        <v>22055</v>
      </c>
      <c r="E40" s="265">
        <f ca="1">IFERROR(__xludf.DUMMYFUNCTION("IMPORTRANGE(""https://docs.google.com/spreadsheets/d/1MeEWN-I1oV_STSDYn1IFDPWt_1FKiwhDph83XaGc0o0/edit?usp=sharing"",""งบพรบ!CF40"")"),0)</f>
        <v>0</v>
      </c>
      <c r="F40" s="265">
        <f ca="1">IFERROR(__xludf.DUMMYFUNCTION("IMPORTRANGE(""https://docs.google.com/spreadsheets/d/1MeEWN-I1oV_STSDYn1IFDPWt_1FKiwhDph83XaGc0o0/edit?usp=sharing"",""งบพรบ!CG40"")"),22055)</f>
        <v>22055</v>
      </c>
      <c r="G40" s="265">
        <f ca="1">IFERROR(__xludf.DUMMYFUNCTION("IMPORTRANGE(""https://docs.google.com/spreadsheets/d/1MeEWN-I1oV_STSDYn1IFDPWt_1FKiwhDph83XaGc0o0/edit?usp=sharing"",""งบพรบ!CH40"")"),0)</f>
        <v>0</v>
      </c>
      <c r="H40" s="265">
        <f ca="1">IFERROR(__xludf.DUMMYFUNCTION("IMPORTRANGE(""https://docs.google.com/spreadsheets/d/1MeEWN-I1oV_STSDYn1IFDPWt_1FKiwhDph83XaGc0o0/edit?usp=sharing"",""งบพรบ!CJ40"")"),22055)</f>
        <v>22055</v>
      </c>
      <c r="I40" s="265">
        <f ca="1">IFERROR(__xludf.DUMMYFUNCTION("IMPORTRANGE(""https://docs.google.com/spreadsheets/d/1MeEWN-I1oV_STSDYn1IFDPWt_1FKiwhDph83XaGc0o0/edit?usp=sharing"",""งบพรบ!CK40"")"),0)</f>
        <v>0</v>
      </c>
      <c r="J40" s="265">
        <f t="shared" ca="1" si="3"/>
        <v>22055</v>
      </c>
      <c r="K40" s="272">
        <f t="shared" ca="1" si="4"/>
        <v>100</v>
      </c>
      <c r="L40" s="265">
        <f ca="1">IFERROR(__xludf.DUMMYFUNCTION("IMPORTRANGE(""https://docs.google.com/spreadsheets/d/1MeEWN-I1oV_STSDYn1IFDPWt_1FKiwhDph83XaGc0o0/edit?usp=sharing"",""งบพรบ!CL40"")"),22055)</f>
        <v>22055</v>
      </c>
      <c r="M40" s="268">
        <f t="shared" ca="1" si="5"/>
        <v>100</v>
      </c>
      <c r="N40" s="268">
        <f t="shared" ca="1" si="6"/>
        <v>100</v>
      </c>
      <c r="O40" s="269">
        <f ca="1">IFERROR(__xludf.DUMMYFUNCTION("IMPORTRANGE(""https://docs.google.com/spreadsheets/d/1MeEWN-I1oV_STSDYn1IFDPWt_1FKiwhDph83XaGc0o0/edit?usp=sharing"",""งบพรบ!CC40"")"),0)</f>
        <v>0</v>
      </c>
      <c r="P40" s="269">
        <f t="shared" ca="1" si="22"/>
        <v>0</v>
      </c>
      <c r="Q40" s="268">
        <f t="shared" ca="1" si="8"/>
        <v>0</v>
      </c>
      <c r="R40" s="266">
        <f ca="1">IFERROR(__xludf.DUMMYFUNCTION("IMPORTRANGE(""https://docs.google.com/spreadsheets/d/1uMKqWwuNQ-TCKboGA3Bb1qXb5uj2-faACNUINCz8PN4/edit?usp=sharing"",""มุกดาหาร!I176"")"),11)</f>
        <v>11</v>
      </c>
      <c r="S40" s="266">
        <f ca="1">IFERROR(__xludf.DUMMYFUNCTION("IMPORTRANGE(""https://docs.google.com/spreadsheets/d/1uMKqWwuNQ-TCKboGA3Bb1qXb5uj2-faACNUINCz8PN4/edit?usp=sharing"",""มุกดาหาร!J176"")"),11)</f>
        <v>11</v>
      </c>
      <c r="T40" s="270">
        <f t="shared" ca="1" si="19"/>
        <v>100</v>
      </c>
      <c r="U40" s="458">
        <f ca="1">IFERROR(__xludf.DUMMYFUNCTION("IMPORTRANGE(""https://docs.google.com/spreadsheets/d/1uMKqWwuNQ-TCKboGA3Bb1qXb5uj2-faACNUINCz8PN4/edit?usp=sharing"",""มุกดาหาร!I179"")"),0)</f>
        <v>0</v>
      </c>
      <c r="V40" s="271" t="str">
        <f ca="1">IFERROR(__xludf.DUMMYFUNCTION("IMPORTRANGE(""https://docs.google.com/spreadsheets/d/1uMKqWwuNQ-TCKboGA3Bb1qXb5uj2-faACNUINCz8PN4/edit?usp=sharing"",""มุกดาหาร!J179"")"),"")</f>
        <v/>
      </c>
      <c r="W40" s="270">
        <f t="shared" ca="1" si="20"/>
        <v>0</v>
      </c>
      <c r="X40" s="209"/>
      <c r="Y40" s="209"/>
      <c r="Z40" s="209"/>
    </row>
    <row r="41" spans="1:26" ht="21" customHeight="1" x14ac:dyDescent="0.3">
      <c r="A41" s="261">
        <v>10</v>
      </c>
      <c r="B41" s="262" t="s">
        <v>63</v>
      </c>
      <c r="C41" s="263">
        <f t="shared" ca="1" si="0"/>
        <v>22055</v>
      </c>
      <c r="D41" s="264">
        <f t="shared" ca="1" si="29"/>
        <v>22055</v>
      </c>
      <c r="E41" s="265">
        <f ca="1">IFERROR(__xludf.DUMMYFUNCTION("IMPORTRANGE(""https://docs.google.com/spreadsheets/d/1MeEWN-I1oV_STSDYn1IFDPWt_1FKiwhDph83XaGc0o0/edit?usp=sharing"",""งบพรบ!CF41"")"),0)</f>
        <v>0</v>
      </c>
      <c r="F41" s="265">
        <f ca="1">IFERROR(__xludf.DUMMYFUNCTION("IMPORTRANGE(""https://docs.google.com/spreadsheets/d/1MeEWN-I1oV_STSDYn1IFDPWt_1FKiwhDph83XaGc0o0/edit?usp=sharing"",""งบพรบ!CG41"")"),22055)</f>
        <v>22055</v>
      </c>
      <c r="G41" s="265">
        <f ca="1">IFERROR(__xludf.DUMMYFUNCTION("IMPORTRANGE(""https://docs.google.com/spreadsheets/d/1MeEWN-I1oV_STSDYn1IFDPWt_1FKiwhDph83XaGc0o0/edit?usp=sharing"",""งบพรบ!CH41"")"),0)</f>
        <v>0</v>
      </c>
      <c r="H41" s="265">
        <f ca="1">IFERROR(__xludf.DUMMYFUNCTION("IMPORTRANGE(""https://docs.google.com/spreadsheets/d/1MeEWN-I1oV_STSDYn1IFDPWt_1FKiwhDph83XaGc0o0/edit?usp=sharing"",""งบพรบ!CJ41"")"),22055)</f>
        <v>22055</v>
      </c>
      <c r="I41" s="265">
        <f ca="1">IFERROR(__xludf.DUMMYFUNCTION("IMPORTRANGE(""https://docs.google.com/spreadsheets/d/1MeEWN-I1oV_STSDYn1IFDPWt_1FKiwhDph83XaGc0o0/edit?usp=sharing"",""งบพรบ!CK41"")"),0)</f>
        <v>0</v>
      </c>
      <c r="J41" s="265">
        <f t="shared" ca="1" si="3"/>
        <v>22055</v>
      </c>
      <c r="K41" s="272">
        <f t="shared" ca="1" si="4"/>
        <v>100</v>
      </c>
      <c r="L41" s="265">
        <f ca="1">IFERROR(__xludf.DUMMYFUNCTION("IMPORTRANGE(""https://docs.google.com/spreadsheets/d/1MeEWN-I1oV_STSDYn1IFDPWt_1FKiwhDph83XaGc0o0/edit?usp=sharing"",""งบพรบ!CL41"")"),22055)</f>
        <v>22055</v>
      </c>
      <c r="M41" s="268">
        <f t="shared" ca="1" si="5"/>
        <v>100</v>
      </c>
      <c r="N41" s="268">
        <f t="shared" ca="1" si="6"/>
        <v>100</v>
      </c>
      <c r="O41" s="269">
        <f ca="1">IFERROR(__xludf.DUMMYFUNCTION("IMPORTRANGE(""https://docs.google.com/spreadsheets/d/1MeEWN-I1oV_STSDYn1IFDPWt_1FKiwhDph83XaGc0o0/edit?usp=sharing"",""งบพรบ!CC41"")"),0)</f>
        <v>0</v>
      </c>
      <c r="P41" s="269">
        <f t="shared" ca="1" si="22"/>
        <v>0</v>
      </c>
      <c r="Q41" s="268">
        <f t="shared" ca="1" si="8"/>
        <v>0</v>
      </c>
      <c r="R41" s="266">
        <f ca="1">IFERROR(__xludf.DUMMYFUNCTION("IMPORTRANGE(""https://docs.google.com/spreadsheets/d/1oKaccgDdQABndOzGr688Dbfxb_V3YcF67VqEPBtdzsc/edit?usp=sharing"",""ยโสธร!I176"")"),11)</f>
        <v>11</v>
      </c>
      <c r="S41" s="266">
        <f ca="1">IFERROR(__xludf.DUMMYFUNCTION("IMPORTRANGE(""https://docs.google.com/spreadsheets/d/1oKaccgDdQABndOzGr688Dbfxb_V3YcF67VqEPBtdzsc/edit?usp=sharing"",""ยโสธร!J176"")"),11)</f>
        <v>11</v>
      </c>
      <c r="T41" s="270">
        <f t="shared" ca="1" si="19"/>
        <v>100</v>
      </c>
      <c r="U41" s="458">
        <f ca="1">IFERROR(__xludf.DUMMYFUNCTION("IMPORTRANGE(""https://docs.google.com/spreadsheets/d/1oKaccgDdQABndOzGr688Dbfxb_V3YcF67VqEPBtdzsc/edit?usp=sharing"",""ยโสธร!I179"")"),0)</f>
        <v>0</v>
      </c>
      <c r="V41" s="271" t="str">
        <f ca="1">IFERROR(__xludf.DUMMYFUNCTION("IMPORTRANGE(""https://docs.google.com/spreadsheets/d/1oKaccgDdQABndOzGr688Dbfxb_V3YcF67VqEPBtdzsc/edit?usp=sharing"",""ยโสธร!J179"")"),"")</f>
        <v/>
      </c>
      <c r="W41" s="270">
        <f t="shared" ca="1" si="20"/>
        <v>0</v>
      </c>
      <c r="X41" s="209"/>
      <c r="Y41" s="209"/>
      <c r="Z41" s="209"/>
    </row>
    <row r="42" spans="1:26" ht="21" customHeight="1" x14ac:dyDescent="0.3">
      <c r="A42" s="261">
        <v>11</v>
      </c>
      <c r="B42" s="262" t="s">
        <v>64</v>
      </c>
      <c r="C42" s="263">
        <f t="shared" ca="1" si="0"/>
        <v>23060</v>
      </c>
      <c r="D42" s="264">
        <f t="shared" ca="1" si="29"/>
        <v>23060</v>
      </c>
      <c r="E42" s="265">
        <f ca="1">IFERROR(__xludf.DUMMYFUNCTION("IMPORTRANGE(""https://docs.google.com/spreadsheets/d/1MeEWN-I1oV_STSDYn1IFDPWt_1FKiwhDph83XaGc0o0/edit?usp=sharing"",""งบพรบ!CF42"")"),0)</f>
        <v>0</v>
      </c>
      <c r="F42" s="265">
        <f ca="1">IFERROR(__xludf.DUMMYFUNCTION("IMPORTRANGE(""https://docs.google.com/spreadsheets/d/1MeEWN-I1oV_STSDYn1IFDPWt_1FKiwhDph83XaGc0o0/edit?usp=sharing"",""งบพรบ!CG42"")"),23060)</f>
        <v>23060</v>
      </c>
      <c r="G42" s="265">
        <f ca="1">IFERROR(__xludf.DUMMYFUNCTION("IMPORTRANGE(""https://docs.google.com/spreadsheets/d/1MeEWN-I1oV_STSDYn1IFDPWt_1FKiwhDph83XaGc0o0/edit?usp=sharing"",""งบพรบ!CH42"")"),0)</f>
        <v>0</v>
      </c>
      <c r="H42" s="265">
        <f ca="1">IFERROR(__xludf.DUMMYFUNCTION("IMPORTRANGE(""https://docs.google.com/spreadsheets/d/1MeEWN-I1oV_STSDYn1IFDPWt_1FKiwhDph83XaGc0o0/edit?usp=sharing"",""งบพรบ!CJ42"")"),23060)</f>
        <v>23060</v>
      </c>
      <c r="I42" s="265">
        <f ca="1">IFERROR(__xludf.DUMMYFUNCTION("IMPORTRANGE(""https://docs.google.com/spreadsheets/d/1MeEWN-I1oV_STSDYn1IFDPWt_1FKiwhDph83XaGc0o0/edit?usp=sharing"",""งบพรบ!CK42"")"),0)</f>
        <v>0</v>
      </c>
      <c r="J42" s="265">
        <f t="shared" ca="1" si="3"/>
        <v>23060</v>
      </c>
      <c r="K42" s="272">
        <f t="shared" ca="1" si="4"/>
        <v>100</v>
      </c>
      <c r="L42" s="265">
        <f ca="1">IFERROR(__xludf.DUMMYFUNCTION("IMPORTRANGE(""https://docs.google.com/spreadsheets/d/1MeEWN-I1oV_STSDYn1IFDPWt_1FKiwhDph83XaGc0o0/edit?usp=sharing"",""งบพรบ!CL42"")"),23060)</f>
        <v>23060</v>
      </c>
      <c r="M42" s="268">
        <f t="shared" ca="1" si="5"/>
        <v>100</v>
      </c>
      <c r="N42" s="268">
        <f t="shared" ca="1" si="6"/>
        <v>100</v>
      </c>
      <c r="O42" s="269">
        <f ca="1">IFERROR(__xludf.DUMMYFUNCTION("IMPORTRANGE(""https://docs.google.com/spreadsheets/d/1MeEWN-I1oV_STSDYn1IFDPWt_1FKiwhDph83XaGc0o0/edit?usp=sharing"",""งบพรบ!CC42"")"),0)</f>
        <v>0</v>
      </c>
      <c r="P42" s="269">
        <f t="shared" ca="1" si="22"/>
        <v>0</v>
      </c>
      <c r="Q42" s="268">
        <f t="shared" ca="1" si="8"/>
        <v>0</v>
      </c>
      <c r="R42" s="266">
        <f ca="1">IFERROR(__xludf.DUMMYFUNCTION("IMPORTRANGE(""https://docs.google.com/spreadsheets/d/1BRgc8xKpxZ0PX-gauieMVkV_IOxKSotf0yW8MabGprQ/edit?usp=sharing"",""ร้อยเอ็ด!I176"")"),12)</f>
        <v>12</v>
      </c>
      <c r="S42" s="266">
        <f ca="1">IFERROR(__xludf.DUMMYFUNCTION("IMPORTRANGE(""https://docs.google.com/spreadsheets/d/1BRgc8xKpxZ0PX-gauieMVkV_IOxKSotf0yW8MabGprQ/edit?usp=sharing"",""ร้อยเอ็ด!J176"")"),12)</f>
        <v>12</v>
      </c>
      <c r="T42" s="270">
        <f t="shared" ca="1" si="19"/>
        <v>100</v>
      </c>
      <c r="U42" s="458">
        <f ca="1">IFERROR(__xludf.DUMMYFUNCTION("IMPORTRANGE(""https://docs.google.com/spreadsheets/d/1BRgc8xKpxZ0PX-gauieMVkV_IOxKSotf0yW8MabGprQ/edit?usp=sharing"",""ร้อยเอ็ด!I179"")"),0)</f>
        <v>0</v>
      </c>
      <c r="V42" s="271" t="str">
        <f ca="1">IFERROR(__xludf.DUMMYFUNCTION("IMPORTRANGE(""https://docs.google.com/spreadsheets/d/1BRgc8xKpxZ0PX-gauieMVkV_IOxKSotf0yW8MabGprQ/edit?usp=sharing"",""ร้อยเอ็ด!J179"")"),"")</f>
        <v/>
      </c>
      <c r="W42" s="270">
        <f t="shared" ca="1" si="20"/>
        <v>0</v>
      </c>
      <c r="X42" s="209"/>
      <c r="Y42" s="209"/>
      <c r="Z42" s="209"/>
    </row>
    <row r="43" spans="1:26" ht="21" customHeight="1" x14ac:dyDescent="0.3">
      <c r="A43" s="261">
        <v>12</v>
      </c>
      <c r="B43" s="262" t="s">
        <v>65</v>
      </c>
      <c r="C43" s="263">
        <f t="shared" ca="1" si="0"/>
        <v>22055</v>
      </c>
      <c r="D43" s="264">
        <f t="shared" ca="1" si="29"/>
        <v>22055</v>
      </c>
      <c r="E43" s="265">
        <f ca="1">IFERROR(__xludf.DUMMYFUNCTION("IMPORTRANGE(""https://docs.google.com/spreadsheets/d/1MeEWN-I1oV_STSDYn1IFDPWt_1FKiwhDph83XaGc0o0/edit?usp=sharing"",""งบพรบ!CF43"")"),0)</f>
        <v>0</v>
      </c>
      <c r="F43" s="265">
        <f ca="1">IFERROR(__xludf.DUMMYFUNCTION("IMPORTRANGE(""https://docs.google.com/spreadsheets/d/1MeEWN-I1oV_STSDYn1IFDPWt_1FKiwhDph83XaGc0o0/edit?usp=sharing"",""งบพรบ!CG43"")"),22055)</f>
        <v>22055</v>
      </c>
      <c r="G43" s="265">
        <f ca="1">IFERROR(__xludf.DUMMYFUNCTION("IMPORTRANGE(""https://docs.google.com/spreadsheets/d/1MeEWN-I1oV_STSDYn1IFDPWt_1FKiwhDph83XaGc0o0/edit?usp=sharing"",""งบพรบ!CH43"")"),0)</f>
        <v>0</v>
      </c>
      <c r="H43" s="265">
        <f ca="1">IFERROR(__xludf.DUMMYFUNCTION("IMPORTRANGE(""https://docs.google.com/spreadsheets/d/1MeEWN-I1oV_STSDYn1IFDPWt_1FKiwhDph83XaGc0o0/edit?usp=sharing"",""งบพรบ!CJ43"")"),22055)</f>
        <v>22055</v>
      </c>
      <c r="I43" s="265">
        <f ca="1">IFERROR(__xludf.DUMMYFUNCTION("IMPORTRANGE(""https://docs.google.com/spreadsheets/d/1MeEWN-I1oV_STSDYn1IFDPWt_1FKiwhDph83XaGc0o0/edit?usp=sharing"",""งบพรบ!CK43"")"),0)</f>
        <v>0</v>
      </c>
      <c r="J43" s="265">
        <f t="shared" ca="1" si="3"/>
        <v>0</v>
      </c>
      <c r="K43" s="272">
        <f t="shared" ca="1" si="4"/>
        <v>0</v>
      </c>
      <c r="L43" s="265">
        <f ca="1">IFERROR(__xludf.DUMMYFUNCTION("IMPORTRANGE(""https://docs.google.com/spreadsheets/d/1MeEWN-I1oV_STSDYn1IFDPWt_1FKiwhDph83XaGc0o0/edit?usp=sharing"",""งบพรบ!CL43"")"),0)</f>
        <v>0</v>
      </c>
      <c r="M43" s="268">
        <f t="shared" ca="1" si="5"/>
        <v>0</v>
      </c>
      <c r="N43" s="268">
        <f t="shared" ca="1" si="6"/>
        <v>0</v>
      </c>
      <c r="O43" s="269">
        <f ca="1">IFERROR(__xludf.DUMMYFUNCTION("IMPORTRANGE(""https://docs.google.com/spreadsheets/d/1MeEWN-I1oV_STSDYn1IFDPWt_1FKiwhDph83XaGc0o0/edit?usp=sharing"",""งบพรบ!CC43"")"),0)</f>
        <v>0</v>
      </c>
      <c r="P43" s="269">
        <f t="shared" ca="1" si="22"/>
        <v>0</v>
      </c>
      <c r="Q43" s="268">
        <f t="shared" ca="1" si="8"/>
        <v>0</v>
      </c>
      <c r="R43" s="266">
        <f ca="1">IFERROR(__xludf.DUMMYFUNCTION("IMPORTRANGE(""https://docs.google.com/spreadsheets/d/1IdolZc-dfdgMwAm_KZxYJl1sUOcIgnbGQzbWOlddedo/edit?usp=sharing"",""เลย!I176"")"),11)</f>
        <v>11</v>
      </c>
      <c r="S43" s="266">
        <f ca="1">IFERROR(__xludf.DUMMYFUNCTION("IMPORTRANGE(""https://docs.google.com/spreadsheets/d/1IdolZc-dfdgMwAm_KZxYJl1sUOcIgnbGQzbWOlddedo/edit?usp=sharing"",""เลย!J176"")"),11)</f>
        <v>11</v>
      </c>
      <c r="T43" s="270">
        <f t="shared" ca="1" si="19"/>
        <v>100</v>
      </c>
      <c r="U43" s="458">
        <f ca="1">IFERROR(__xludf.DUMMYFUNCTION("IMPORTRANGE(""https://docs.google.com/spreadsheets/d/1IdolZc-dfdgMwAm_KZxYJl1sUOcIgnbGQzbWOlddedo/edit?usp=sharing"",""เลย!I179"")"),0)</f>
        <v>0</v>
      </c>
      <c r="V43" s="271" t="str">
        <f ca="1">IFERROR(__xludf.DUMMYFUNCTION("IMPORTRANGE(""https://docs.google.com/spreadsheets/d/1IdolZc-dfdgMwAm_KZxYJl1sUOcIgnbGQzbWOlddedo/edit?usp=sharing"",""เลย!J179"")"),"")</f>
        <v/>
      </c>
      <c r="W43" s="270">
        <f t="shared" ca="1" si="20"/>
        <v>0</v>
      </c>
      <c r="X43" s="209"/>
      <c r="Y43" s="209"/>
      <c r="Z43" s="209"/>
    </row>
    <row r="44" spans="1:26" ht="21" customHeight="1" x14ac:dyDescent="0.3">
      <c r="A44" s="261">
        <v>13</v>
      </c>
      <c r="B44" s="262" t="s">
        <v>66</v>
      </c>
      <c r="C44" s="263">
        <f t="shared" ca="1" si="0"/>
        <v>22055</v>
      </c>
      <c r="D44" s="264">
        <f t="shared" ca="1" si="29"/>
        <v>22055</v>
      </c>
      <c r="E44" s="265">
        <f ca="1">IFERROR(__xludf.DUMMYFUNCTION("IMPORTRANGE(""https://docs.google.com/spreadsheets/d/1MeEWN-I1oV_STSDYn1IFDPWt_1FKiwhDph83XaGc0o0/edit?usp=sharing"",""งบพรบ!CF44"")"),0)</f>
        <v>0</v>
      </c>
      <c r="F44" s="265">
        <f ca="1">IFERROR(__xludf.DUMMYFUNCTION("IMPORTRANGE(""https://docs.google.com/spreadsheets/d/1MeEWN-I1oV_STSDYn1IFDPWt_1FKiwhDph83XaGc0o0/edit?usp=sharing"",""งบพรบ!CG44"")"),22055)</f>
        <v>22055</v>
      </c>
      <c r="G44" s="265">
        <f ca="1">IFERROR(__xludf.DUMMYFUNCTION("IMPORTRANGE(""https://docs.google.com/spreadsheets/d/1MeEWN-I1oV_STSDYn1IFDPWt_1FKiwhDph83XaGc0o0/edit?usp=sharing"",""งบพรบ!CH44"")"),0)</f>
        <v>0</v>
      </c>
      <c r="H44" s="265">
        <f ca="1">IFERROR(__xludf.DUMMYFUNCTION("IMPORTRANGE(""https://docs.google.com/spreadsheets/d/1MeEWN-I1oV_STSDYn1IFDPWt_1FKiwhDph83XaGc0o0/edit?usp=sharing"",""งบพรบ!CJ44"")"),22055)</f>
        <v>22055</v>
      </c>
      <c r="I44" s="265">
        <f ca="1">IFERROR(__xludf.DUMMYFUNCTION("IMPORTRANGE(""https://docs.google.com/spreadsheets/d/1MeEWN-I1oV_STSDYn1IFDPWt_1FKiwhDph83XaGc0o0/edit?usp=sharing"",""งบพรบ!CK44"")"),0)</f>
        <v>0</v>
      </c>
      <c r="J44" s="265">
        <f t="shared" ca="1" si="3"/>
        <v>22055</v>
      </c>
      <c r="K44" s="272">
        <f t="shared" ca="1" si="4"/>
        <v>100</v>
      </c>
      <c r="L44" s="265">
        <f ca="1">IFERROR(__xludf.DUMMYFUNCTION("IMPORTRANGE(""https://docs.google.com/spreadsheets/d/1MeEWN-I1oV_STSDYn1IFDPWt_1FKiwhDph83XaGc0o0/edit?usp=sharing"",""งบพรบ!CL44"")"),22055)</f>
        <v>22055</v>
      </c>
      <c r="M44" s="268">
        <f t="shared" ca="1" si="5"/>
        <v>100</v>
      </c>
      <c r="N44" s="268">
        <f t="shared" ca="1" si="6"/>
        <v>100</v>
      </c>
      <c r="O44" s="269">
        <f ca="1">IFERROR(__xludf.DUMMYFUNCTION("IMPORTRANGE(""https://docs.google.com/spreadsheets/d/1MeEWN-I1oV_STSDYn1IFDPWt_1FKiwhDph83XaGc0o0/edit?usp=sharing"",""งบพรบ!CC44"")"),0)</f>
        <v>0</v>
      </c>
      <c r="P44" s="269">
        <f t="shared" ca="1" si="22"/>
        <v>0</v>
      </c>
      <c r="Q44" s="268">
        <f t="shared" ca="1" si="8"/>
        <v>0</v>
      </c>
      <c r="R44" s="266">
        <f ca="1">IFERROR(__xludf.DUMMYFUNCTION("IMPORTRANGE(""https://docs.google.com/spreadsheets/d/1tZ0nmtGuIRCaGAMXHlQU8EpR9LOAJvyKfc4f7EFmE34/edit?usp=sharing"",""ศรีสะเกษ!I176"")"),11)</f>
        <v>11</v>
      </c>
      <c r="S44" s="266">
        <f ca="1">IFERROR(__xludf.DUMMYFUNCTION("IMPORTRANGE(""https://docs.google.com/spreadsheets/d/1tZ0nmtGuIRCaGAMXHlQU8EpR9LOAJvyKfc4f7EFmE34/edit?usp=sharing"",""ศรีสะเกษ!J176"")"),11)</f>
        <v>11</v>
      </c>
      <c r="T44" s="270">
        <f t="shared" ca="1" si="19"/>
        <v>100</v>
      </c>
      <c r="U44" s="458">
        <f ca="1">IFERROR(__xludf.DUMMYFUNCTION("IMPORTRANGE(""https://docs.google.com/spreadsheets/d/1tZ0nmtGuIRCaGAMXHlQU8EpR9LOAJvyKfc4f7EFmE34/edit?usp=sharing"",""ศรีสะเกษ!I179"")"),0)</f>
        <v>0</v>
      </c>
      <c r="V44" s="271" t="str">
        <f ca="1">IFERROR(__xludf.DUMMYFUNCTION("IMPORTRANGE(""https://docs.google.com/spreadsheets/d/1tZ0nmtGuIRCaGAMXHlQU8EpR9LOAJvyKfc4f7EFmE34/edit?usp=sharing"",""ศรีสะเกษ!J179"")"),"")</f>
        <v/>
      </c>
      <c r="W44" s="270">
        <f t="shared" ca="1" si="20"/>
        <v>0</v>
      </c>
      <c r="X44" s="209"/>
      <c r="Y44" s="209"/>
      <c r="Z44" s="209"/>
    </row>
    <row r="45" spans="1:26" ht="21" customHeight="1" x14ac:dyDescent="0.3">
      <c r="A45" s="261">
        <v>14</v>
      </c>
      <c r="B45" s="262" t="s">
        <v>67</v>
      </c>
      <c r="C45" s="263">
        <f t="shared" ca="1" si="0"/>
        <v>23060</v>
      </c>
      <c r="D45" s="264">
        <f t="shared" ca="1" si="29"/>
        <v>23060</v>
      </c>
      <c r="E45" s="265">
        <f ca="1">IFERROR(__xludf.DUMMYFUNCTION("IMPORTRANGE(""https://docs.google.com/spreadsheets/d/1MeEWN-I1oV_STSDYn1IFDPWt_1FKiwhDph83XaGc0o0/edit?usp=sharing"",""งบพรบ!CF45"")"),0)</f>
        <v>0</v>
      </c>
      <c r="F45" s="265">
        <f ca="1">IFERROR(__xludf.DUMMYFUNCTION("IMPORTRANGE(""https://docs.google.com/spreadsheets/d/1MeEWN-I1oV_STSDYn1IFDPWt_1FKiwhDph83XaGc0o0/edit?usp=sharing"",""งบพรบ!CG45"")"),23060)</f>
        <v>23060</v>
      </c>
      <c r="G45" s="265">
        <f ca="1">IFERROR(__xludf.DUMMYFUNCTION("IMPORTRANGE(""https://docs.google.com/spreadsheets/d/1MeEWN-I1oV_STSDYn1IFDPWt_1FKiwhDph83XaGc0o0/edit?usp=sharing"",""งบพรบ!CH45"")"),0)</f>
        <v>0</v>
      </c>
      <c r="H45" s="265">
        <f ca="1">IFERROR(__xludf.DUMMYFUNCTION("IMPORTRANGE(""https://docs.google.com/spreadsheets/d/1MeEWN-I1oV_STSDYn1IFDPWt_1FKiwhDph83XaGc0o0/edit?usp=sharing"",""งบพรบ!CJ45"")"),23060)</f>
        <v>23060</v>
      </c>
      <c r="I45" s="265">
        <f ca="1">IFERROR(__xludf.DUMMYFUNCTION("IMPORTRANGE(""https://docs.google.com/spreadsheets/d/1MeEWN-I1oV_STSDYn1IFDPWt_1FKiwhDph83XaGc0o0/edit?usp=sharing"",""งบพรบ!CK45"")"),0)</f>
        <v>0</v>
      </c>
      <c r="J45" s="265">
        <f t="shared" ca="1" si="3"/>
        <v>23060</v>
      </c>
      <c r="K45" s="272">
        <f t="shared" ca="1" si="4"/>
        <v>100</v>
      </c>
      <c r="L45" s="265">
        <f ca="1">IFERROR(__xludf.DUMMYFUNCTION("IMPORTRANGE(""https://docs.google.com/spreadsheets/d/1MeEWN-I1oV_STSDYn1IFDPWt_1FKiwhDph83XaGc0o0/edit?usp=sharing"",""งบพรบ!CL45"")"),23060)</f>
        <v>23060</v>
      </c>
      <c r="M45" s="268">
        <f t="shared" ca="1" si="5"/>
        <v>100</v>
      </c>
      <c r="N45" s="268">
        <f t="shared" ca="1" si="6"/>
        <v>100</v>
      </c>
      <c r="O45" s="269">
        <f ca="1">IFERROR(__xludf.DUMMYFUNCTION("IMPORTRANGE(""https://docs.google.com/spreadsheets/d/1MeEWN-I1oV_STSDYn1IFDPWt_1FKiwhDph83XaGc0o0/edit?usp=sharing"",""งบพรบ!CC45"")"),0)</f>
        <v>0</v>
      </c>
      <c r="P45" s="269">
        <f t="shared" ca="1" si="22"/>
        <v>0</v>
      </c>
      <c r="Q45" s="268">
        <f t="shared" ca="1" si="8"/>
        <v>0</v>
      </c>
      <c r="R45" s="266">
        <f ca="1">IFERROR(__xludf.DUMMYFUNCTION("IMPORTRANGE(""https://docs.google.com/spreadsheets/d/1QC8psz9w0f9IVE9Xuc2FT_btkaOzZbbUSgYObpBuetM/edit?usp=sharing"",""สกลนคร!I176"")"),12)</f>
        <v>12</v>
      </c>
      <c r="S45" s="266">
        <f ca="1">IFERROR(__xludf.DUMMYFUNCTION("IMPORTRANGE(""https://docs.google.com/spreadsheets/d/1QC8psz9w0f9IVE9Xuc2FT_btkaOzZbbUSgYObpBuetM/edit?usp=sharing"",""สกลนคร!J176"")"),12)</f>
        <v>12</v>
      </c>
      <c r="T45" s="270">
        <f t="shared" ca="1" si="19"/>
        <v>100</v>
      </c>
      <c r="U45" s="458">
        <f ca="1">IFERROR(__xludf.DUMMYFUNCTION("IMPORTRANGE(""https://docs.google.com/spreadsheets/d/1QC8psz9w0f9IVE9Xuc2FT_btkaOzZbbUSgYObpBuetM/edit?usp=sharing"",""สกลนคร!I179"")"),0)</f>
        <v>0</v>
      </c>
      <c r="V45" s="271" t="str">
        <f ca="1">IFERROR(__xludf.DUMMYFUNCTION("IMPORTRANGE(""https://docs.google.com/spreadsheets/d/1QC8psz9w0f9IVE9Xuc2FT_btkaOzZbbUSgYObpBuetM/edit?usp=sharing"",""สกลนคร!J179"")"),"")</f>
        <v/>
      </c>
      <c r="W45" s="270">
        <f t="shared" ca="1" si="20"/>
        <v>0</v>
      </c>
      <c r="X45" s="209"/>
      <c r="Y45" s="209"/>
      <c r="Z45" s="209"/>
    </row>
    <row r="46" spans="1:26" ht="21" customHeight="1" x14ac:dyDescent="0.3">
      <c r="A46" s="261">
        <v>15</v>
      </c>
      <c r="B46" s="262" t="s">
        <v>68</v>
      </c>
      <c r="C46" s="263">
        <f t="shared" ca="1" si="0"/>
        <v>22055</v>
      </c>
      <c r="D46" s="264">
        <f t="shared" ca="1" si="29"/>
        <v>22055</v>
      </c>
      <c r="E46" s="265">
        <f ca="1">IFERROR(__xludf.DUMMYFUNCTION("IMPORTRANGE(""https://docs.google.com/spreadsheets/d/1MeEWN-I1oV_STSDYn1IFDPWt_1FKiwhDph83XaGc0o0/edit?usp=sharing"",""งบพรบ!CF46"")"),0)</f>
        <v>0</v>
      </c>
      <c r="F46" s="265">
        <f ca="1">IFERROR(__xludf.DUMMYFUNCTION("IMPORTRANGE(""https://docs.google.com/spreadsheets/d/1MeEWN-I1oV_STSDYn1IFDPWt_1FKiwhDph83XaGc0o0/edit?usp=sharing"",""งบพรบ!CG46"")"),22055)</f>
        <v>22055</v>
      </c>
      <c r="G46" s="265">
        <f ca="1">IFERROR(__xludf.DUMMYFUNCTION("IMPORTRANGE(""https://docs.google.com/spreadsheets/d/1MeEWN-I1oV_STSDYn1IFDPWt_1FKiwhDph83XaGc0o0/edit?usp=sharing"",""งบพรบ!CH46"")"),0)</f>
        <v>0</v>
      </c>
      <c r="H46" s="265">
        <f ca="1">IFERROR(__xludf.DUMMYFUNCTION("IMPORTRANGE(""https://docs.google.com/spreadsheets/d/1MeEWN-I1oV_STSDYn1IFDPWt_1FKiwhDph83XaGc0o0/edit?usp=sharing"",""งบพรบ!CJ46"")"),22055)</f>
        <v>22055</v>
      </c>
      <c r="I46" s="265">
        <f ca="1">IFERROR(__xludf.DUMMYFUNCTION("IMPORTRANGE(""https://docs.google.com/spreadsheets/d/1MeEWN-I1oV_STSDYn1IFDPWt_1FKiwhDph83XaGc0o0/edit?usp=sharing"",""งบพรบ!CK46"")"),0)</f>
        <v>0</v>
      </c>
      <c r="J46" s="265">
        <f t="shared" ca="1" si="3"/>
        <v>22055</v>
      </c>
      <c r="K46" s="272">
        <f t="shared" ca="1" si="4"/>
        <v>100</v>
      </c>
      <c r="L46" s="265">
        <f ca="1">IFERROR(__xludf.DUMMYFUNCTION("IMPORTRANGE(""https://docs.google.com/spreadsheets/d/1MeEWN-I1oV_STSDYn1IFDPWt_1FKiwhDph83XaGc0o0/edit?usp=sharing"",""งบพรบ!CL46"")"),22055)</f>
        <v>22055</v>
      </c>
      <c r="M46" s="268">
        <f t="shared" ca="1" si="5"/>
        <v>100</v>
      </c>
      <c r="N46" s="268">
        <f t="shared" ca="1" si="6"/>
        <v>100</v>
      </c>
      <c r="O46" s="269">
        <f ca="1">IFERROR(__xludf.DUMMYFUNCTION("IMPORTRANGE(""https://docs.google.com/spreadsheets/d/1MeEWN-I1oV_STSDYn1IFDPWt_1FKiwhDph83XaGc0o0/edit?usp=sharing"",""งบพรบ!CC46"")"),0)</f>
        <v>0</v>
      </c>
      <c r="P46" s="269">
        <f t="shared" ca="1" si="22"/>
        <v>0</v>
      </c>
      <c r="Q46" s="268">
        <f t="shared" ca="1" si="8"/>
        <v>0</v>
      </c>
      <c r="R46" s="266">
        <f ca="1">IFERROR(__xludf.DUMMYFUNCTION("IMPORTRANGE(""https://docs.google.com/spreadsheets/d/1wPdvRbu02d33MYVlbsCnyTiZpefEBs9NNktAnT1HZvw/edit?usp=sharing"",""สุรินทร์!I176"")"),11)</f>
        <v>11</v>
      </c>
      <c r="S46" s="266">
        <f ca="1">IFERROR(__xludf.DUMMYFUNCTION("IMPORTRANGE(""https://docs.google.com/spreadsheets/d/1wPdvRbu02d33MYVlbsCnyTiZpefEBs9NNktAnT1HZvw/edit?usp=sharing"",""สุรินทร์!J176"")"),11)</f>
        <v>11</v>
      </c>
      <c r="T46" s="270">
        <f t="shared" ca="1" si="19"/>
        <v>100</v>
      </c>
      <c r="U46" s="458">
        <f ca="1">IFERROR(__xludf.DUMMYFUNCTION("IMPORTRANGE(""https://docs.google.com/spreadsheets/d/1wPdvRbu02d33MYVlbsCnyTiZpefEBs9NNktAnT1HZvw/edit?usp=sharing"",""สุรินทร์!I179"")"),0)</f>
        <v>0</v>
      </c>
      <c r="V46" s="271" t="str">
        <f ca="1">IFERROR(__xludf.DUMMYFUNCTION("IMPORTRANGE(""https://docs.google.com/spreadsheets/d/1wPdvRbu02d33MYVlbsCnyTiZpefEBs9NNktAnT1HZvw/edit?usp=sharing"",""สุรินทร์!J179"")"),"")</f>
        <v/>
      </c>
      <c r="W46" s="270">
        <f t="shared" ca="1" si="20"/>
        <v>0</v>
      </c>
      <c r="X46" s="209"/>
      <c r="Y46" s="209"/>
      <c r="Z46" s="209"/>
    </row>
    <row r="47" spans="1:26" ht="21" customHeight="1" x14ac:dyDescent="0.3">
      <c r="A47" s="261">
        <v>16</v>
      </c>
      <c r="B47" s="262" t="s">
        <v>69</v>
      </c>
      <c r="C47" s="263">
        <f t="shared" ca="1" si="0"/>
        <v>0</v>
      </c>
      <c r="D47" s="264">
        <f t="shared" ca="1" si="29"/>
        <v>0</v>
      </c>
      <c r="E47" s="265">
        <f ca="1">IFERROR(__xludf.DUMMYFUNCTION("IMPORTRANGE(""https://docs.google.com/spreadsheets/d/1MeEWN-I1oV_STSDYn1IFDPWt_1FKiwhDph83XaGc0o0/edit?usp=sharing"",""งบพรบ!CF47"")"),0)</f>
        <v>0</v>
      </c>
      <c r="F47" s="265">
        <f ca="1">IFERROR(__xludf.DUMMYFUNCTION("IMPORTRANGE(""https://docs.google.com/spreadsheets/d/1MeEWN-I1oV_STSDYn1IFDPWt_1FKiwhDph83XaGc0o0/edit?usp=sharing"",""งบพรบ!CG47"")"),0)</f>
        <v>0</v>
      </c>
      <c r="G47" s="265">
        <f ca="1">IFERROR(__xludf.DUMMYFUNCTION("IMPORTRANGE(""https://docs.google.com/spreadsheets/d/1MeEWN-I1oV_STSDYn1IFDPWt_1FKiwhDph83XaGc0o0/edit?usp=sharing"",""งบพรบ!CH47"")"),0)</f>
        <v>0</v>
      </c>
      <c r="H47" s="265">
        <f ca="1">IFERROR(__xludf.DUMMYFUNCTION("IMPORTRANGE(""https://docs.google.com/spreadsheets/d/1MeEWN-I1oV_STSDYn1IFDPWt_1FKiwhDph83XaGc0o0/edit?usp=sharing"",""งบพรบ!CJ47"")"),0)</f>
        <v>0</v>
      </c>
      <c r="I47" s="265">
        <f ca="1">IFERROR(__xludf.DUMMYFUNCTION("IMPORTRANGE(""https://docs.google.com/spreadsheets/d/1MeEWN-I1oV_STSDYn1IFDPWt_1FKiwhDph83XaGc0o0/edit?usp=sharing"",""งบพรบ!CK47"")"),0)</f>
        <v>0</v>
      </c>
      <c r="J47" s="265">
        <f t="shared" ca="1" si="3"/>
        <v>0</v>
      </c>
      <c r="K47" s="272">
        <f t="shared" ca="1" si="4"/>
        <v>0</v>
      </c>
      <c r="L47" s="265">
        <f ca="1">IFERROR(__xludf.DUMMYFUNCTION("IMPORTRANGE(""https://docs.google.com/spreadsheets/d/1MeEWN-I1oV_STSDYn1IFDPWt_1FKiwhDph83XaGc0o0/edit?usp=sharing"",""งบพรบ!CL47"")"),0)</f>
        <v>0</v>
      </c>
      <c r="M47" s="268">
        <f t="shared" ca="1" si="5"/>
        <v>0</v>
      </c>
      <c r="N47" s="268">
        <f t="shared" ca="1" si="6"/>
        <v>0</v>
      </c>
      <c r="O47" s="269">
        <f ca="1">IFERROR(__xludf.DUMMYFUNCTION("IMPORTRANGE(""https://docs.google.com/spreadsheets/d/1MeEWN-I1oV_STSDYn1IFDPWt_1FKiwhDph83XaGc0o0/edit?usp=sharing"",""งบพรบ!CC47"")"),0)</f>
        <v>0</v>
      </c>
      <c r="P47" s="269">
        <f t="shared" ca="1" si="22"/>
        <v>0</v>
      </c>
      <c r="Q47" s="268">
        <f t="shared" ca="1" si="8"/>
        <v>0</v>
      </c>
      <c r="R47" s="266">
        <f ca="1">IFERROR(__xludf.DUMMYFUNCTION("IMPORTRANGE(""https://docs.google.com/spreadsheets/d/1GVExpf-Exi_2gmuqTYH28fseTB9MoKPXWcXCbSt_YrM/edit?usp=sharing"",""หนองคาย!I176"")"),0)</f>
        <v>0</v>
      </c>
      <c r="S47" s="266">
        <f ca="1">IFERROR(__xludf.DUMMYFUNCTION("IMPORTRANGE(""https://docs.google.com/spreadsheets/d/1GVExpf-Exi_2gmuqTYH28fseTB9MoKPXWcXCbSt_YrM/edit?usp=sharing"",""หนองคาย!J176"")"),0)</f>
        <v>0</v>
      </c>
      <c r="T47" s="270">
        <f t="shared" ca="1" si="19"/>
        <v>0</v>
      </c>
      <c r="U47" s="458">
        <f ca="1">IFERROR(__xludf.DUMMYFUNCTION("IMPORTRANGE(""https://docs.google.com/spreadsheets/d/1GVExpf-Exi_2gmuqTYH28fseTB9MoKPXWcXCbSt_YrM/edit?usp=sharing"",""หนองคาย!I179"")"),0)</f>
        <v>0</v>
      </c>
      <c r="V47" s="271" t="str">
        <f ca="1">IFERROR(__xludf.DUMMYFUNCTION("IMPORTRANGE(""https://docs.google.com/spreadsheets/d/1GVExpf-Exi_2gmuqTYH28fseTB9MoKPXWcXCbSt_YrM/edit?usp=sharing"",""หนองคาย!J179"")"),"")</f>
        <v/>
      </c>
      <c r="W47" s="270">
        <f t="shared" ca="1" si="20"/>
        <v>0</v>
      </c>
      <c r="X47" s="209"/>
      <c r="Y47" s="209"/>
      <c r="Z47" s="209"/>
    </row>
    <row r="48" spans="1:26" ht="21" customHeight="1" x14ac:dyDescent="0.3">
      <c r="A48" s="261">
        <v>17</v>
      </c>
      <c r="B48" s="262" t="s">
        <v>70</v>
      </c>
      <c r="C48" s="263">
        <f t="shared" ca="1" si="0"/>
        <v>23060</v>
      </c>
      <c r="D48" s="264">
        <f t="shared" ca="1" si="29"/>
        <v>23060</v>
      </c>
      <c r="E48" s="265">
        <f ca="1">IFERROR(__xludf.DUMMYFUNCTION("IMPORTRANGE(""https://docs.google.com/spreadsheets/d/1MeEWN-I1oV_STSDYn1IFDPWt_1FKiwhDph83XaGc0o0/edit?usp=sharing"",""งบพรบ!CF48"")"),0)</f>
        <v>0</v>
      </c>
      <c r="F48" s="265">
        <f ca="1">IFERROR(__xludf.DUMMYFUNCTION("IMPORTRANGE(""https://docs.google.com/spreadsheets/d/1MeEWN-I1oV_STSDYn1IFDPWt_1FKiwhDph83XaGc0o0/edit?usp=sharing"",""งบพรบ!CG48"")"),23060)</f>
        <v>23060</v>
      </c>
      <c r="G48" s="265">
        <f ca="1">IFERROR(__xludf.DUMMYFUNCTION("IMPORTRANGE(""https://docs.google.com/spreadsheets/d/1MeEWN-I1oV_STSDYn1IFDPWt_1FKiwhDph83XaGc0o0/edit?usp=sharing"",""งบพรบ!CH48"")"),0)</f>
        <v>0</v>
      </c>
      <c r="H48" s="265">
        <f ca="1">IFERROR(__xludf.DUMMYFUNCTION("IMPORTRANGE(""https://docs.google.com/spreadsheets/d/1MeEWN-I1oV_STSDYn1IFDPWt_1FKiwhDph83XaGc0o0/edit?usp=sharing"",""งบพรบ!CJ48"")"),23060)</f>
        <v>23060</v>
      </c>
      <c r="I48" s="265">
        <f ca="1">IFERROR(__xludf.DUMMYFUNCTION("IMPORTRANGE(""https://docs.google.com/spreadsheets/d/1MeEWN-I1oV_STSDYn1IFDPWt_1FKiwhDph83XaGc0o0/edit?usp=sharing"",""งบพรบ!CK48"")"),0)</f>
        <v>0</v>
      </c>
      <c r="J48" s="265">
        <f t="shared" ca="1" si="3"/>
        <v>23060</v>
      </c>
      <c r="K48" s="272">
        <f t="shared" ca="1" si="4"/>
        <v>100</v>
      </c>
      <c r="L48" s="265">
        <f ca="1">IFERROR(__xludf.DUMMYFUNCTION("IMPORTRANGE(""https://docs.google.com/spreadsheets/d/1MeEWN-I1oV_STSDYn1IFDPWt_1FKiwhDph83XaGc0o0/edit?usp=sharing"",""งบพรบ!CL48"")"),23060)</f>
        <v>23060</v>
      </c>
      <c r="M48" s="268">
        <f t="shared" ca="1" si="5"/>
        <v>100</v>
      </c>
      <c r="N48" s="268">
        <f t="shared" ca="1" si="6"/>
        <v>100</v>
      </c>
      <c r="O48" s="269">
        <f ca="1">IFERROR(__xludf.DUMMYFUNCTION("IMPORTRANGE(""https://docs.google.com/spreadsheets/d/1MeEWN-I1oV_STSDYn1IFDPWt_1FKiwhDph83XaGc0o0/edit?usp=sharing"",""งบพรบ!CC48"")"),0)</f>
        <v>0</v>
      </c>
      <c r="P48" s="269">
        <f t="shared" ca="1" si="22"/>
        <v>0</v>
      </c>
      <c r="Q48" s="268">
        <f t="shared" ca="1" si="8"/>
        <v>0</v>
      </c>
      <c r="R48" s="266">
        <f ca="1">IFERROR(__xludf.DUMMYFUNCTION("IMPORTRANGE(""https://docs.google.com/spreadsheets/d/16UeMz0UgOB5BZcoxP75eYGcLFtGYRn9GoesD4OX9m5U/edit?usp=sharing"",""หนองบัวลำภู!I176"")"),12)</f>
        <v>12</v>
      </c>
      <c r="S48" s="266">
        <f ca="1">IFERROR(__xludf.DUMMYFUNCTION("IMPORTRANGE(""https://docs.google.com/spreadsheets/d/16UeMz0UgOB5BZcoxP75eYGcLFtGYRn9GoesD4OX9m5U/edit?usp=sharing"",""หนองบัวลำภู!J176"")"),12)</f>
        <v>12</v>
      </c>
      <c r="T48" s="270">
        <f t="shared" ca="1" si="19"/>
        <v>100</v>
      </c>
      <c r="U48" s="458">
        <f ca="1">IFERROR(__xludf.DUMMYFUNCTION("IMPORTRANGE(""https://docs.google.com/spreadsheets/d/16UeMz0UgOB5BZcoxP75eYGcLFtGYRn9GoesD4OX9m5U/edit?usp=sharing"",""หนองบัวลำภู!I179"")"),0)</f>
        <v>0</v>
      </c>
      <c r="V48" s="271" t="str">
        <f ca="1">IFERROR(__xludf.DUMMYFUNCTION("IMPORTRANGE(""https://docs.google.com/spreadsheets/d/16UeMz0UgOB5BZcoxP75eYGcLFtGYRn9GoesD4OX9m5U/edit?usp=sharing"",""หนองบัวลำภู!J179"")"),"")</f>
        <v/>
      </c>
      <c r="W48" s="270">
        <f t="shared" ca="1" si="20"/>
        <v>0</v>
      </c>
      <c r="X48" s="209"/>
      <c r="Y48" s="209"/>
      <c r="Z48" s="209"/>
    </row>
    <row r="49" spans="1:26" ht="21" customHeight="1" x14ac:dyDescent="0.3">
      <c r="A49" s="261">
        <v>18</v>
      </c>
      <c r="B49" s="262" t="s">
        <v>71</v>
      </c>
      <c r="C49" s="263">
        <f t="shared" ca="1" si="0"/>
        <v>22055</v>
      </c>
      <c r="D49" s="264">
        <f t="shared" ca="1" si="29"/>
        <v>22055</v>
      </c>
      <c r="E49" s="265">
        <f ca="1">IFERROR(__xludf.DUMMYFUNCTION("IMPORTRANGE(""https://docs.google.com/spreadsheets/d/1MeEWN-I1oV_STSDYn1IFDPWt_1FKiwhDph83XaGc0o0/edit?usp=sharing"",""งบพรบ!CF49"")"),0)</f>
        <v>0</v>
      </c>
      <c r="F49" s="265">
        <f ca="1">IFERROR(__xludf.DUMMYFUNCTION("IMPORTRANGE(""https://docs.google.com/spreadsheets/d/1MeEWN-I1oV_STSDYn1IFDPWt_1FKiwhDph83XaGc0o0/edit?usp=sharing"",""งบพรบ!CG49"")"),22055)</f>
        <v>22055</v>
      </c>
      <c r="G49" s="265">
        <f ca="1">IFERROR(__xludf.DUMMYFUNCTION("IMPORTRANGE(""https://docs.google.com/spreadsheets/d/1MeEWN-I1oV_STSDYn1IFDPWt_1FKiwhDph83XaGc0o0/edit?usp=sharing"",""งบพรบ!CH49"")"),0)</f>
        <v>0</v>
      </c>
      <c r="H49" s="265">
        <f ca="1">IFERROR(__xludf.DUMMYFUNCTION("IMPORTRANGE(""https://docs.google.com/spreadsheets/d/1MeEWN-I1oV_STSDYn1IFDPWt_1FKiwhDph83XaGc0o0/edit?usp=sharing"",""งบพรบ!CJ49"")"),22055)</f>
        <v>22055</v>
      </c>
      <c r="I49" s="265">
        <f ca="1">IFERROR(__xludf.DUMMYFUNCTION("IMPORTRANGE(""https://docs.google.com/spreadsheets/d/1MeEWN-I1oV_STSDYn1IFDPWt_1FKiwhDph83XaGc0o0/edit?usp=sharing"",""งบพรบ!CK49"")"),0)</f>
        <v>0</v>
      </c>
      <c r="J49" s="265">
        <f t="shared" ca="1" si="3"/>
        <v>22055</v>
      </c>
      <c r="K49" s="272">
        <f t="shared" ca="1" si="4"/>
        <v>100</v>
      </c>
      <c r="L49" s="265">
        <f ca="1">IFERROR(__xludf.DUMMYFUNCTION("IMPORTRANGE(""https://docs.google.com/spreadsheets/d/1MeEWN-I1oV_STSDYn1IFDPWt_1FKiwhDph83XaGc0o0/edit?usp=sharing"",""งบพรบ!CL49"")"),22055)</f>
        <v>22055</v>
      </c>
      <c r="M49" s="268">
        <f t="shared" ca="1" si="5"/>
        <v>100</v>
      </c>
      <c r="N49" s="268">
        <f t="shared" ca="1" si="6"/>
        <v>100</v>
      </c>
      <c r="O49" s="269">
        <f ca="1">IFERROR(__xludf.DUMMYFUNCTION("IMPORTRANGE(""https://docs.google.com/spreadsheets/d/1MeEWN-I1oV_STSDYn1IFDPWt_1FKiwhDph83XaGc0o0/edit?usp=sharing"",""งบพรบ!CC49"")"),0)</f>
        <v>0</v>
      </c>
      <c r="P49" s="269">
        <f t="shared" ca="1" si="22"/>
        <v>0</v>
      </c>
      <c r="Q49" s="268">
        <f t="shared" ca="1" si="8"/>
        <v>0</v>
      </c>
      <c r="R49" s="266">
        <f ca="1">IFERROR(__xludf.DUMMYFUNCTION("IMPORTRANGE(""https://docs.google.com/spreadsheets/d/1uUP8Zo1-qaJLuIkRU0qlwLSE3DHkbdrrj2JGJiWBQZE/edit?usp=sharing"",""อำนาจเจริญ!I176"")"),11)</f>
        <v>11</v>
      </c>
      <c r="S49" s="266">
        <f ca="1">IFERROR(__xludf.DUMMYFUNCTION("IMPORTRANGE(""https://docs.google.com/spreadsheets/d/1uUP8Zo1-qaJLuIkRU0qlwLSE3DHkbdrrj2JGJiWBQZE/edit?usp=sharing"",""อำนาจเจริญ!J176"")"),11)</f>
        <v>11</v>
      </c>
      <c r="T49" s="270">
        <f t="shared" ca="1" si="19"/>
        <v>100</v>
      </c>
      <c r="U49" s="458">
        <f ca="1">IFERROR(__xludf.DUMMYFUNCTION("IMPORTRANGE(""https://docs.google.com/spreadsheets/d/1uUP8Zo1-qaJLuIkRU0qlwLSE3DHkbdrrj2JGJiWBQZE/edit?usp=sharing"",""อำนาจเจริญ!I179"")"),0)</f>
        <v>0</v>
      </c>
      <c r="V49" s="271" t="str">
        <f ca="1">IFERROR(__xludf.DUMMYFUNCTION("IMPORTRANGE(""https://docs.google.com/spreadsheets/d/1uUP8Zo1-qaJLuIkRU0qlwLSE3DHkbdrrj2JGJiWBQZE/edit?usp=sharing"",""อำนาจเจริญ!J179"")"),"")</f>
        <v/>
      </c>
      <c r="W49" s="270">
        <f t="shared" ca="1" si="20"/>
        <v>0</v>
      </c>
      <c r="X49" s="209"/>
      <c r="Y49" s="209"/>
      <c r="Z49" s="209"/>
    </row>
    <row r="50" spans="1:26" ht="21" customHeight="1" x14ac:dyDescent="0.3">
      <c r="A50" s="261">
        <v>19</v>
      </c>
      <c r="B50" s="262" t="s">
        <v>72</v>
      </c>
      <c r="C50" s="263">
        <f t="shared" ca="1" si="0"/>
        <v>22055</v>
      </c>
      <c r="D50" s="264">
        <f t="shared" ca="1" si="29"/>
        <v>22055</v>
      </c>
      <c r="E50" s="265">
        <f ca="1">IFERROR(__xludf.DUMMYFUNCTION("IMPORTRANGE(""https://docs.google.com/spreadsheets/d/1MeEWN-I1oV_STSDYn1IFDPWt_1FKiwhDph83XaGc0o0/edit?usp=sharing"",""งบพรบ!CF50"")"),0)</f>
        <v>0</v>
      </c>
      <c r="F50" s="265">
        <f ca="1">IFERROR(__xludf.DUMMYFUNCTION("IMPORTRANGE(""https://docs.google.com/spreadsheets/d/1MeEWN-I1oV_STSDYn1IFDPWt_1FKiwhDph83XaGc0o0/edit?usp=sharing"",""งบพรบ!CG50"")"),22055)</f>
        <v>22055</v>
      </c>
      <c r="G50" s="265">
        <f ca="1">IFERROR(__xludf.DUMMYFUNCTION("IMPORTRANGE(""https://docs.google.com/spreadsheets/d/1MeEWN-I1oV_STSDYn1IFDPWt_1FKiwhDph83XaGc0o0/edit?usp=sharing"",""งบพรบ!CH50"")"),0)</f>
        <v>0</v>
      </c>
      <c r="H50" s="265">
        <f ca="1">IFERROR(__xludf.DUMMYFUNCTION("IMPORTRANGE(""https://docs.google.com/spreadsheets/d/1MeEWN-I1oV_STSDYn1IFDPWt_1FKiwhDph83XaGc0o0/edit?usp=sharing"",""งบพรบ!CJ50"")"),22055)</f>
        <v>22055</v>
      </c>
      <c r="I50" s="265">
        <f ca="1">IFERROR(__xludf.DUMMYFUNCTION("IMPORTRANGE(""https://docs.google.com/spreadsheets/d/1MeEWN-I1oV_STSDYn1IFDPWt_1FKiwhDph83XaGc0o0/edit?usp=sharing"",""งบพรบ!CK50"")"),0)</f>
        <v>0</v>
      </c>
      <c r="J50" s="265">
        <f t="shared" ca="1" si="3"/>
        <v>22055</v>
      </c>
      <c r="K50" s="272">
        <f t="shared" ca="1" si="4"/>
        <v>100</v>
      </c>
      <c r="L50" s="265">
        <f ca="1">IFERROR(__xludf.DUMMYFUNCTION("IMPORTRANGE(""https://docs.google.com/spreadsheets/d/1MeEWN-I1oV_STSDYn1IFDPWt_1FKiwhDph83XaGc0o0/edit?usp=sharing"",""งบพรบ!CL50"")"),22055)</f>
        <v>22055</v>
      </c>
      <c r="M50" s="268">
        <f t="shared" ca="1" si="5"/>
        <v>100</v>
      </c>
      <c r="N50" s="268">
        <f t="shared" ca="1" si="6"/>
        <v>100</v>
      </c>
      <c r="O50" s="269">
        <f ca="1">IFERROR(__xludf.DUMMYFUNCTION("IMPORTRANGE(""https://docs.google.com/spreadsheets/d/1MeEWN-I1oV_STSDYn1IFDPWt_1FKiwhDph83XaGc0o0/edit?usp=sharing"",""งบพรบ!CC50"")"),0)</f>
        <v>0</v>
      </c>
      <c r="P50" s="269">
        <f t="shared" ca="1" si="22"/>
        <v>0</v>
      </c>
      <c r="Q50" s="268">
        <f t="shared" ca="1" si="8"/>
        <v>0</v>
      </c>
      <c r="R50" s="266">
        <f ca="1">IFERROR(__xludf.DUMMYFUNCTION("IMPORTRANGE(""https://docs.google.com/spreadsheets/d/1hb_taSOHanzRjqfzWPiFo8yiT83VV1L7vvUCLhOiHKc/edit?usp=sharing"",""อุดรธานี!I176"")"),11)</f>
        <v>11</v>
      </c>
      <c r="S50" s="266">
        <f ca="1">IFERROR(__xludf.DUMMYFUNCTION("IMPORTRANGE(""https://docs.google.com/spreadsheets/d/1hb_taSOHanzRjqfzWPiFo8yiT83VV1L7vvUCLhOiHKc/edit?usp=sharing"",""อุดรธานี!J176"")"),11)</f>
        <v>11</v>
      </c>
      <c r="T50" s="270">
        <f t="shared" ca="1" si="19"/>
        <v>100</v>
      </c>
      <c r="U50" s="458">
        <f ca="1">IFERROR(__xludf.DUMMYFUNCTION("IMPORTRANGE(""https://docs.google.com/spreadsheets/d/1hb_taSOHanzRjqfzWPiFo8yiT83VV1L7vvUCLhOiHKc/edit?usp=sharing"",""อุดรธานี!I179"")"),0)</f>
        <v>0</v>
      </c>
      <c r="V50" s="271" t="str">
        <f ca="1">IFERROR(__xludf.DUMMYFUNCTION("IMPORTRANGE(""https://docs.google.com/spreadsheets/d/1hb_taSOHanzRjqfzWPiFo8yiT83VV1L7vvUCLhOiHKc/edit?usp=sharing"",""อุดรธานี!J179"")"),"")</f>
        <v/>
      </c>
      <c r="W50" s="270">
        <f t="shared" ca="1" si="20"/>
        <v>0</v>
      </c>
      <c r="X50" s="209"/>
      <c r="Y50" s="209"/>
      <c r="Z50" s="209"/>
    </row>
    <row r="51" spans="1:26" ht="21" customHeight="1" x14ac:dyDescent="0.3">
      <c r="A51" s="273">
        <v>20</v>
      </c>
      <c r="B51" s="274" t="s">
        <v>73</v>
      </c>
      <c r="C51" s="275">
        <f t="shared" ca="1" si="0"/>
        <v>23060</v>
      </c>
      <c r="D51" s="276">
        <f t="shared" ca="1" si="29"/>
        <v>23060</v>
      </c>
      <c r="E51" s="277">
        <f ca="1">IFERROR(__xludf.DUMMYFUNCTION("IMPORTRANGE(""https://docs.google.com/spreadsheets/d/1MeEWN-I1oV_STSDYn1IFDPWt_1FKiwhDph83XaGc0o0/edit?usp=sharing"",""งบพรบ!CF51"")"),0)</f>
        <v>0</v>
      </c>
      <c r="F51" s="277">
        <f ca="1">IFERROR(__xludf.DUMMYFUNCTION("IMPORTRANGE(""https://docs.google.com/spreadsheets/d/1MeEWN-I1oV_STSDYn1IFDPWt_1FKiwhDph83XaGc0o0/edit?usp=sharing"",""งบพรบ!CG51"")"),23060)</f>
        <v>23060</v>
      </c>
      <c r="G51" s="277">
        <f ca="1">IFERROR(__xludf.DUMMYFUNCTION("IMPORTRANGE(""https://docs.google.com/spreadsheets/d/1MeEWN-I1oV_STSDYn1IFDPWt_1FKiwhDph83XaGc0o0/edit?usp=sharing"",""งบพรบ!CH51"")"),0)</f>
        <v>0</v>
      </c>
      <c r="H51" s="277">
        <f ca="1">IFERROR(__xludf.DUMMYFUNCTION("IMPORTRANGE(""https://docs.google.com/spreadsheets/d/1MeEWN-I1oV_STSDYn1IFDPWt_1FKiwhDph83XaGc0o0/edit?usp=sharing"",""งบพรบ!CJ51"")"),23060)</f>
        <v>23060</v>
      </c>
      <c r="I51" s="277">
        <f ca="1">IFERROR(__xludf.DUMMYFUNCTION("IMPORTRANGE(""https://docs.google.com/spreadsheets/d/1MeEWN-I1oV_STSDYn1IFDPWt_1FKiwhDph83XaGc0o0/edit?usp=sharing"",""งบพรบ!CK51"")"),0)</f>
        <v>0</v>
      </c>
      <c r="J51" s="277">
        <f t="shared" ca="1" si="3"/>
        <v>23060</v>
      </c>
      <c r="K51" s="278">
        <f t="shared" ca="1" si="4"/>
        <v>100</v>
      </c>
      <c r="L51" s="277">
        <f ca="1">IFERROR(__xludf.DUMMYFUNCTION("IMPORTRANGE(""https://docs.google.com/spreadsheets/d/1MeEWN-I1oV_STSDYn1IFDPWt_1FKiwhDph83XaGc0o0/edit?usp=sharing"",""งบพรบ!CL51"")"),23060)</f>
        <v>23060</v>
      </c>
      <c r="M51" s="279">
        <f t="shared" ca="1" si="5"/>
        <v>100</v>
      </c>
      <c r="N51" s="279">
        <f t="shared" ca="1" si="6"/>
        <v>100</v>
      </c>
      <c r="O51" s="280">
        <f ca="1">IFERROR(__xludf.DUMMYFUNCTION("IMPORTRANGE(""https://docs.google.com/spreadsheets/d/1MeEWN-I1oV_STSDYn1IFDPWt_1FKiwhDph83XaGc0o0/edit?usp=sharing"",""งบพรบ!CC51"")"),0)</f>
        <v>0</v>
      </c>
      <c r="P51" s="280">
        <f t="shared" ca="1" si="22"/>
        <v>0</v>
      </c>
      <c r="Q51" s="279">
        <f t="shared" ca="1" si="8"/>
        <v>0</v>
      </c>
      <c r="R51" s="281">
        <f ca="1">IFERROR(__xludf.DUMMYFUNCTION("IMPORTRANGE(""https://docs.google.com/spreadsheets/d/17IOkEwkUd63EGNfyNDnM5de9YlZ7rwzTiW6-dokVjKI/edit?usp=sharing"",""อุบลราชธานี!I176"")"),12)</f>
        <v>12</v>
      </c>
      <c r="S51" s="281">
        <f ca="1">IFERROR(__xludf.DUMMYFUNCTION("IMPORTRANGE(""https://docs.google.com/spreadsheets/d/17IOkEwkUd63EGNfyNDnM5de9YlZ7rwzTiW6-dokVjKI/edit?usp=sharing"",""อุบลราชธานี!J176"")"),12)</f>
        <v>12</v>
      </c>
      <c r="T51" s="282">
        <f t="shared" ca="1" si="19"/>
        <v>100</v>
      </c>
      <c r="U51" s="459">
        <f ca="1">IFERROR(__xludf.DUMMYFUNCTION("IMPORTRANGE(""https://docs.google.com/spreadsheets/d/17IOkEwkUd63EGNfyNDnM5de9YlZ7rwzTiW6-dokVjKI/edit?usp=sharing"",""อุบลราชธานี!I179"")"),0)</f>
        <v>0</v>
      </c>
      <c r="V51" s="283" t="str">
        <f ca="1">IFERROR(__xludf.DUMMYFUNCTION("IMPORTRANGE(""https://docs.google.com/spreadsheets/d/17IOkEwkUd63EGNfyNDnM5de9YlZ7rwzTiW6-dokVjKI/edit?usp=sharing"",""อุบลราชธานี!J179"")"),"")</f>
        <v/>
      </c>
      <c r="W51" s="282">
        <f t="shared" ca="1" si="20"/>
        <v>0</v>
      </c>
      <c r="X51" s="209"/>
      <c r="Y51" s="209"/>
      <c r="Z51" s="209"/>
    </row>
    <row r="52" spans="1:26" ht="21" customHeight="1" x14ac:dyDescent="0.3">
      <c r="A52" s="417" t="s">
        <v>74</v>
      </c>
      <c r="B52" s="397"/>
      <c r="C52" s="243">
        <f t="shared" ca="1" si="0"/>
        <v>392970</v>
      </c>
      <c r="D52" s="243">
        <f t="shared" ref="D52:I52" ca="1" si="30">SUM(D53:D73)</f>
        <v>392970</v>
      </c>
      <c r="E52" s="243">
        <f t="shared" ca="1" si="30"/>
        <v>0</v>
      </c>
      <c r="F52" s="243">
        <f t="shared" ca="1" si="30"/>
        <v>392970</v>
      </c>
      <c r="G52" s="243">
        <f t="shared" ca="1" si="30"/>
        <v>0</v>
      </c>
      <c r="H52" s="243">
        <f t="shared" ca="1" si="30"/>
        <v>392970</v>
      </c>
      <c r="I52" s="243">
        <f t="shared" ca="1" si="30"/>
        <v>0</v>
      </c>
      <c r="J52" s="243">
        <f t="shared" ca="1" si="3"/>
        <v>341818.68</v>
      </c>
      <c r="K52" s="244">
        <f t="shared" ca="1" si="4"/>
        <v>86.983403313230014</v>
      </c>
      <c r="L52" s="243">
        <f ca="1">SUM(L53:L73)</f>
        <v>341818.68</v>
      </c>
      <c r="M52" s="245">
        <f t="shared" ca="1" si="5"/>
        <v>86.983403313230014</v>
      </c>
      <c r="N52" s="245">
        <f t="shared" ca="1" si="6"/>
        <v>86.983403313230014</v>
      </c>
      <c r="O52" s="246">
        <f ca="1">SUM(O53:O73)</f>
        <v>0</v>
      </c>
      <c r="P52" s="246">
        <f t="shared" ca="1" si="22"/>
        <v>0</v>
      </c>
      <c r="Q52" s="245">
        <f t="shared" ca="1" si="8"/>
        <v>0</v>
      </c>
      <c r="R52" s="243">
        <f t="shared" ref="R52:S52" ca="1" si="31">SUM(R53:R73)</f>
        <v>194</v>
      </c>
      <c r="S52" s="243">
        <f t="shared" ca="1" si="31"/>
        <v>162</v>
      </c>
      <c r="T52" s="245">
        <f t="shared" ca="1" si="19"/>
        <v>83.505154639175259</v>
      </c>
      <c r="U52" s="243">
        <f t="shared" ref="U52:V52" ca="1" si="32">SUM(U53:U73)</f>
        <v>0</v>
      </c>
      <c r="V52" s="243">
        <f t="shared" ca="1" si="32"/>
        <v>0</v>
      </c>
      <c r="W52" s="245">
        <f t="shared" ca="1" si="20"/>
        <v>0</v>
      </c>
      <c r="X52" s="209"/>
      <c r="Y52" s="209"/>
      <c r="Z52" s="209"/>
    </row>
    <row r="53" spans="1:26" ht="21" customHeight="1" x14ac:dyDescent="0.3">
      <c r="A53" s="261">
        <v>1</v>
      </c>
      <c r="B53" s="262" t="s">
        <v>75</v>
      </c>
      <c r="C53" s="263">
        <f t="shared" ca="1" si="0"/>
        <v>23060</v>
      </c>
      <c r="D53" s="264">
        <f t="shared" ref="D53:D73" ca="1" si="33">+E53+F53</f>
        <v>23060</v>
      </c>
      <c r="E53" s="265">
        <f ca="1">IFERROR(__xludf.DUMMYFUNCTION("IMPORTRANGE(""https://docs.google.com/spreadsheets/d/1MeEWN-I1oV_STSDYn1IFDPWt_1FKiwhDph83XaGc0o0/edit?usp=sharing"",""งบพรบ!CF53"")"),0)</f>
        <v>0</v>
      </c>
      <c r="F53" s="265">
        <f ca="1">IFERROR(__xludf.DUMMYFUNCTION("IMPORTRANGE(""https://docs.google.com/spreadsheets/d/1MeEWN-I1oV_STSDYn1IFDPWt_1FKiwhDph83XaGc0o0/edit?usp=sharing"",""งบพรบ!CG53"")"),23060)</f>
        <v>23060</v>
      </c>
      <c r="G53" s="266">
        <f ca="1">IFERROR(__xludf.DUMMYFUNCTION("IMPORTRANGE(""https://docs.google.com/spreadsheets/d/1MeEWN-I1oV_STSDYn1IFDPWt_1FKiwhDph83XaGc0o0/edit?usp=sharing"",""งบพรบ!CH53"")"),0)</f>
        <v>0</v>
      </c>
      <c r="H53" s="266">
        <f ca="1">IFERROR(__xludf.DUMMYFUNCTION("IMPORTRANGE(""https://docs.google.com/spreadsheets/d/1MeEWN-I1oV_STSDYn1IFDPWt_1FKiwhDph83XaGc0o0/edit?usp=sharing"",""งบพรบ!CJ53"")"),23060)</f>
        <v>23060</v>
      </c>
      <c r="I53" s="266">
        <f ca="1">IFERROR(__xludf.DUMMYFUNCTION("IMPORTRANGE(""https://docs.google.com/spreadsheets/d/1MeEWN-I1oV_STSDYn1IFDPWt_1FKiwhDph83XaGc0o0/edit?usp=sharing"",""งบพรบ!CK53"")"),0)</f>
        <v>0</v>
      </c>
      <c r="J53" s="266">
        <f t="shared" ca="1" si="3"/>
        <v>0</v>
      </c>
      <c r="K53" s="267">
        <f t="shared" ca="1" si="4"/>
        <v>0</v>
      </c>
      <c r="L53" s="266">
        <f ca="1">IFERROR(__xludf.DUMMYFUNCTION("IMPORTRANGE(""https://docs.google.com/spreadsheets/d/1MeEWN-I1oV_STSDYn1IFDPWt_1FKiwhDph83XaGc0o0/edit?usp=sharing"",""งบพรบ!CL53"")"),0)</f>
        <v>0</v>
      </c>
      <c r="M53" s="268">
        <f t="shared" ca="1" si="5"/>
        <v>0</v>
      </c>
      <c r="N53" s="268">
        <f t="shared" ca="1" si="6"/>
        <v>0</v>
      </c>
      <c r="O53" s="269">
        <f ca="1">IFERROR(__xludf.DUMMYFUNCTION("IMPORTRANGE(""https://docs.google.com/spreadsheets/d/1MeEWN-I1oV_STSDYn1IFDPWt_1FKiwhDph83XaGc0o0/edit?usp=sharing"",""งบพรบ!CC53"")"),0)</f>
        <v>0</v>
      </c>
      <c r="P53" s="269">
        <f t="shared" ca="1" si="22"/>
        <v>0</v>
      </c>
      <c r="Q53" s="268">
        <f t="shared" ca="1" si="8"/>
        <v>0</v>
      </c>
      <c r="R53" s="266">
        <f ca="1">IFERROR(__xludf.DUMMYFUNCTION("IMPORTRANGE(""https://docs.google.com/spreadsheets/d/1hKO5uv94SSRZWOvrh72HRcpyoEQF9TsE_Cvxl77XNU4/edit?usp=sharing"",""กาญจนบุรี!I176"")"),12)</f>
        <v>12</v>
      </c>
      <c r="S53" s="266">
        <f ca="1">IFERROR(__xludf.DUMMYFUNCTION("IMPORTRANGE(""https://docs.google.com/spreadsheets/d/1hKO5uv94SSRZWOvrh72HRcpyoEQF9TsE_Cvxl77XNU4/edit?usp=sharing"",""กาญจนบุรี!J176"")"),0)</f>
        <v>0</v>
      </c>
      <c r="T53" s="270">
        <f t="shared" ca="1" si="19"/>
        <v>0</v>
      </c>
      <c r="U53" s="458">
        <f ca="1">IFERROR(__xludf.DUMMYFUNCTION("IMPORTRANGE(""https://docs.google.com/spreadsheets/d/1hKO5uv94SSRZWOvrh72HRcpyoEQF9TsE_Cvxl77XNU4/edit?usp=sharing"",""กาญจนบุรี!I179"")"),0)</f>
        <v>0</v>
      </c>
      <c r="V53" s="271" t="str">
        <f ca="1">IFERROR(__xludf.DUMMYFUNCTION("IMPORTRANGE(""https://docs.google.com/spreadsheets/d/1hKO5uv94SSRZWOvrh72HRcpyoEQF9TsE_Cvxl77XNU4/edit?usp=sharing"",""กาญจนบุรี!J179"")"),"")</f>
        <v/>
      </c>
      <c r="W53" s="270">
        <f t="shared" ca="1" si="20"/>
        <v>0</v>
      </c>
      <c r="X53" s="209"/>
      <c r="Y53" s="209"/>
      <c r="Z53" s="209"/>
    </row>
    <row r="54" spans="1:26" ht="21" customHeight="1" x14ac:dyDescent="0.3">
      <c r="A54" s="261">
        <v>2</v>
      </c>
      <c r="B54" s="262" t="s">
        <v>76</v>
      </c>
      <c r="C54" s="263">
        <f t="shared" ca="1" si="0"/>
        <v>21050</v>
      </c>
      <c r="D54" s="264">
        <f t="shared" ca="1" si="33"/>
        <v>21050</v>
      </c>
      <c r="E54" s="265">
        <f ca="1">IFERROR(__xludf.DUMMYFUNCTION("IMPORTRANGE(""https://docs.google.com/spreadsheets/d/1MeEWN-I1oV_STSDYn1IFDPWt_1FKiwhDph83XaGc0o0/edit?usp=sharing"",""งบพรบ!CF54"")"),0)</f>
        <v>0</v>
      </c>
      <c r="F54" s="265">
        <f ca="1">IFERROR(__xludf.DUMMYFUNCTION("IMPORTRANGE(""https://docs.google.com/spreadsheets/d/1MeEWN-I1oV_STSDYn1IFDPWt_1FKiwhDph83XaGc0o0/edit?usp=sharing"",""งบพรบ!CG54"")"),21050)</f>
        <v>21050</v>
      </c>
      <c r="G54" s="265">
        <f ca="1">IFERROR(__xludf.DUMMYFUNCTION("IMPORTRANGE(""https://docs.google.com/spreadsheets/d/1MeEWN-I1oV_STSDYn1IFDPWt_1FKiwhDph83XaGc0o0/edit?usp=sharing"",""งบพรบ!CH54"")"),0)</f>
        <v>0</v>
      </c>
      <c r="H54" s="265">
        <f ca="1">IFERROR(__xludf.DUMMYFUNCTION("IMPORTRANGE(""https://docs.google.com/spreadsheets/d/1MeEWN-I1oV_STSDYn1IFDPWt_1FKiwhDph83XaGc0o0/edit?usp=sharing"",""งบพรบ!CJ54"")"),21050)</f>
        <v>21050</v>
      </c>
      <c r="I54" s="265">
        <f ca="1">IFERROR(__xludf.DUMMYFUNCTION("IMPORTRANGE(""https://docs.google.com/spreadsheets/d/1MeEWN-I1oV_STSDYn1IFDPWt_1FKiwhDph83XaGc0o0/edit?usp=sharing"",""งบพรบ!CK54"")"),0)</f>
        <v>0</v>
      </c>
      <c r="J54" s="265">
        <f t="shared" ca="1" si="3"/>
        <v>20310</v>
      </c>
      <c r="K54" s="272">
        <f t="shared" ca="1" si="4"/>
        <v>96.484560570071253</v>
      </c>
      <c r="L54" s="265">
        <f ca="1">IFERROR(__xludf.DUMMYFUNCTION("IMPORTRANGE(""https://docs.google.com/spreadsheets/d/1MeEWN-I1oV_STSDYn1IFDPWt_1FKiwhDph83XaGc0o0/edit?usp=sharing"",""งบพรบ!CL54"")"),20310)</f>
        <v>20310</v>
      </c>
      <c r="M54" s="268">
        <f t="shared" ca="1" si="5"/>
        <v>96.484560570071253</v>
      </c>
      <c r="N54" s="268">
        <f t="shared" ca="1" si="6"/>
        <v>96.484560570071253</v>
      </c>
      <c r="O54" s="269">
        <f ca="1">IFERROR(__xludf.DUMMYFUNCTION("IMPORTRANGE(""https://docs.google.com/spreadsheets/d/1MeEWN-I1oV_STSDYn1IFDPWt_1FKiwhDph83XaGc0o0/edit?usp=sharing"",""งบพรบ!CC54"")"),0)</f>
        <v>0</v>
      </c>
      <c r="P54" s="269">
        <f t="shared" ca="1" si="22"/>
        <v>0</v>
      </c>
      <c r="Q54" s="268">
        <f t="shared" ca="1" si="8"/>
        <v>0</v>
      </c>
      <c r="R54" s="266">
        <f ca="1">IFERROR(__xludf.DUMMYFUNCTION("IMPORTRANGE(""https://docs.google.com/spreadsheets/d/1njBaP_xXd-Uotvo2D9zb01TTCFkLJLDK97Tk1l9Qux0/edit?usp=sharing"",""จันทบุรี!I176"")"),10)</f>
        <v>10</v>
      </c>
      <c r="S54" s="266">
        <f ca="1">IFERROR(__xludf.DUMMYFUNCTION("IMPORTRANGE(""https://docs.google.com/spreadsheets/d/1njBaP_xXd-Uotvo2D9zb01TTCFkLJLDK97Tk1l9Qux0/edit?usp=sharing"",""จันทบุรี!J176"")"),10)</f>
        <v>10</v>
      </c>
      <c r="T54" s="270">
        <f t="shared" ca="1" si="19"/>
        <v>100</v>
      </c>
      <c r="U54" s="458">
        <f ca="1">IFERROR(__xludf.DUMMYFUNCTION("IMPORTRANGE(""https://docs.google.com/spreadsheets/d/1njBaP_xXd-Uotvo2D9zb01TTCFkLJLDK97Tk1l9Qux0/edit?usp=sharing"",""จันทบุรี!I179"")"),0)</f>
        <v>0</v>
      </c>
      <c r="V54" s="271" t="str">
        <f ca="1">IFERROR(__xludf.DUMMYFUNCTION("IMPORTRANGE(""https://docs.google.com/spreadsheets/d/1njBaP_xXd-Uotvo2D9zb01TTCFkLJLDK97Tk1l9Qux0/edit?usp=sharing"",""จันทบุรี!J179"")"),"")</f>
        <v/>
      </c>
      <c r="W54" s="270">
        <f t="shared" ca="1" si="20"/>
        <v>0</v>
      </c>
      <c r="X54" s="209"/>
      <c r="Y54" s="209"/>
      <c r="Z54" s="209"/>
    </row>
    <row r="55" spans="1:26" ht="21" customHeight="1" x14ac:dyDescent="0.3">
      <c r="A55" s="261">
        <v>3</v>
      </c>
      <c r="B55" s="262" t="s">
        <v>77</v>
      </c>
      <c r="C55" s="263">
        <f t="shared" ca="1" si="0"/>
        <v>23060</v>
      </c>
      <c r="D55" s="264">
        <f t="shared" ca="1" si="33"/>
        <v>23060</v>
      </c>
      <c r="E55" s="265">
        <f ca="1">IFERROR(__xludf.DUMMYFUNCTION("IMPORTRANGE(""https://docs.google.com/spreadsheets/d/1MeEWN-I1oV_STSDYn1IFDPWt_1FKiwhDph83XaGc0o0/edit?usp=sharing"",""งบพรบ!CF55"")"),0)</f>
        <v>0</v>
      </c>
      <c r="F55" s="265">
        <f ca="1">IFERROR(__xludf.DUMMYFUNCTION("IMPORTRANGE(""https://docs.google.com/spreadsheets/d/1MeEWN-I1oV_STSDYn1IFDPWt_1FKiwhDph83XaGc0o0/edit?usp=sharing"",""งบพรบ!CG55"")"),23060)</f>
        <v>23060</v>
      </c>
      <c r="G55" s="265">
        <f ca="1">IFERROR(__xludf.DUMMYFUNCTION("IMPORTRANGE(""https://docs.google.com/spreadsheets/d/1MeEWN-I1oV_STSDYn1IFDPWt_1FKiwhDph83XaGc0o0/edit?usp=sharing"",""งบพรบ!CH55"")"),0)</f>
        <v>0</v>
      </c>
      <c r="H55" s="265">
        <f ca="1">IFERROR(__xludf.DUMMYFUNCTION("IMPORTRANGE(""https://docs.google.com/spreadsheets/d/1MeEWN-I1oV_STSDYn1IFDPWt_1FKiwhDph83XaGc0o0/edit?usp=sharing"",""งบพรบ!CJ55"")"),23060)</f>
        <v>23060</v>
      </c>
      <c r="I55" s="265">
        <f ca="1">IFERROR(__xludf.DUMMYFUNCTION("IMPORTRANGE(""https://docs.google.com/spreadsheets/d/1MeEWN-I1oV_STSDYn1IFDPWt_1FKiwhDph83XaGc0o0/edit?usp=sharing"",""งบพรบ!CK55"")"),0)</f>
        <v>0</v>
      </c>
      <c r="J55" s="265">
        <f t="shared" ca="1" si="3"/>
        <v>23060</v>
      </c>
      <c r="K55" s="272">
        <f t="shared" ca="1" si="4"/>
        <v>100</v>
      </c>
      <c r="L55" s="265">
        <f ca="1">IFERROR(__xludf.DUMMYFUNCTION("IMPORTRANGE(""https://docs.google.com/spreadsheets/d/1MeEWN-I1oV_STSDYn1IFDPWt_1FKiwhDph83XaGc0o0/edit?usp=sharing"",""งบพรบ!CL55"")"),23060)</f>
        <v>23060</v>
      </c>
      <c r="M55" s="268">
        <f t="shared" ca="1" si="5"/>
        <v>100</v>
      </c>
      <c r="N55" s="268">
        <f t="shared" ca="1" si="6"/>
        <v>100</v>
      </c>
      <c r="O55" s="269">
        <f ca="1">IFERROR(__xludf.DUMMYFUNCTION("IMPORTRANGE(""https://docs.google.com/spreadsheets/d/1MeEWN-I1oV_STSDYn1IFDPWt_1FKiwhDph83XaGc0o0/edit?usp=sharing"",""งบพรบ!CC55"")"),0)</f>
        <v>0</v>
      </c>
      <c r="P55" s="269">
        <f t="shared" ca="1" si="22"/>
        <v>0</v>
      </c>
      <c r="Q55" s="268">
        <f t="shared" ca="1" si="8"/>
        <v>0</v>
      </c>
      <c r="R55" s="266">
        <f ca="1">IFERROR(__xludf.DUMMYFUNCTION("IMPORTRANGE(""https://docs.google.com/spreadsheets/d/14xp6qUzrGFnUk_qnc1eEmfiaNRd4_grkhpfQH_46fa8/edit?usp=sharing"",""ฉะเชิงเทรา!I176"")"),12)</f>
        <v>12</v>
      </c>
      <c r="S55" s="266">
        <f ca="1">IFERROR(__xludf.DUMMYFUNCTION("IMPORTRANGE(""https://docs.google.com/spreadsheets/d/14xp6qUzrGFnUk_qnc1eEmfiaNRd4_grkhpfQH_46fa8/edit?usp=sharing"",""ฉะเชิงเทรา!J176"")"),12)</f>
        <v>12</v>
      </c>
      <c r="T55" s="270">
        <f t="shared" ca="1" si="19"/>
        <v>100</v>
      </c>
      <c r="U55" s="458">
        <f ca="1">IFERROR(__xludf.DUMMYFUNCTION("IMPORTRANGE(""https://docs.google.com/spreadsheets/d/14xp6qUzrGFnUk_qnc1eEmfiaNRd4_grkhpfQH_46fa8/edit?usp=sharing"",""ฉะเชิงเทรา!I179"")"),0)</f>
        <v>0</v>
      </c>
      <c r="V55" s="271" t="str">
        <f ca="1">IFERROR(__xludf.DUMMYFUNCTION("IMPORTRANGE(""https://docs.google.com/spreadsheets/d/14xp6qUzrGFnUk_qnc1eEmfiaNRd4_grkhpfQH_46fa8/edit?usp=sharing"",""ฉะเชิงเทรา!J179"")"),"")</f>
        <v/>
      </c>
      <c r="W55" s="270">
        <f t="shared" ca="1" si="20"/>
        <v>0</v>
      </c>
      <c r="X55" s="209"/>
      <c r="Y55" s="209"/>
      <c r="Z55" s="209"/>
    </row>
    <row r="56" spans="1:26" ht="21" customHeight="1" x14ac:dyDescent="0.3">
      <c r="A56" s="261">
        <v>4</v>
      </c>
      <c r="B56" s="262" t="s">
        <v>78</v>
      </c>
      <c r="C56" s="263">
        <f t="shared" ca="1" si="0"/>
        <v>0</v>
      </c>
      <c r="D56" s="264">
        <f t="shared" ca="1" si="33"/>
        <v>0</v>
      </c>
      <c r="E56" s="265">
        <f ca="1">IFERROR(__xludf.DUMMYFUNCTION("IMPORTRANGE(""https://docs.google.com/spreadsheets/d/1MeEWN-I1oV_STSDYn1IFDPWt_1FKiwhDph83XaGc0o0/edit?usp=sharing"",""งบพรบ!CF56"")"),0)</f>
        <v>0</v>
      </c>
      <c r="F56" s="265">
        <f ca="1">IFERROR(__xludf.DUMMYFUNCTION("IMPORTRANGE(""https://docs.google.com/spreadsheets/d/1MeEWN-I1oV_STSDYn1IFDPWt_1FKiwhDph83XaGc0o0/edit?usp=sharing"",""งบพรบ!CG56"")"),0)</f>
        <v>0</v>
      </c>
      <c r="G56" s="265">
        <f ca="1">IFERROR(__xludf.DUMMYFUNCTION("IMPORTRANGE(""https://docs.google.com/spreadsheets/d/1MeEWN-I1oV_STSDYn1IFDPWt_1FKiwhDph83XaGc0o0/edit?usp=sharing"",""งบพรบ!CH56"")"),0)</f>
        <v>0</v>
      </c>
      <c r="H56" s="265">
        <f ca="1">IFERROR(__xludf.DUMMYFUNCTION("IMPORTRANGE(""https://docs.google.com/spreadsheets/d/1MeEWN-I1oV_STSDYn1IFDPWt_1FKiwhDph83XaGc0o0/edit?usp=sharing"",""งบพรบ!CJ56"")"),0)</f>
        <v>0</v>
      </c>
      <c r="I56" s="265">
        <f ca="1">IFERROR(__xludf.DUMMYFUNCTION("IMPORTRANGE(""https://docs.google.com/spreadsheets/d/1MeEWN-I1oV_STSDYn1IFDPWt_1FKiwhDph83XaGc0o0/edit?usp=sharing"",""งบพรบ!CK56"")"),0)</f>
        <v>0</v>
      </c>
      <c r="J56" s="265">
        <f t="shared" ca="1" si="3"/>
        <v>0</v>
      </c>
      <c r="K56" s="272">
        <f t="shared" ca="1" si="4"/>
        <v>0</v>
      </c>
      <c r="L56" s="265">
        <f ca="1">IFERROR(__xludf.DUMMYFUNCTION("IMPORTRANGE(""https://docs.google.com/spreadsheets/d/1MeEWN-I1oV_STSDYn1IFDPWt_1FKiwhDph83XaGc0o0/edit?usp=sharing"",""งบพรบ!CL56"")"),0)</f>
        <v>0</v>
      </c>
      <c r="M56" s="268">
        <f t="shared" ca="1" si="5"/>
        <v>0</v>
      </c>
      <c r="N56" s="268">
        <f t="shared" ca="1" si="6"/>
        <v>0</v>
      </c>
      <c r="O56" s="269">
        <f ca="1">IFERROR(__xludf.DUMMYFUNCTION("IMPORTRANGE(""https://docs.google.com/spreadsheets/d/1MeEWN-I1oV_STSDYn1IFDPWt_1FKiwhDph83XaGc0o0/edit?usp=sharing"",""งบพรบ!CC56"")"),0)</f>
        <v>0</v>
      </c>
      <c r="P56" s="269">
        <f t="shared" ca="1" si="22"/>
        <v>0</v>
      </c>
      <c r="Q56" s="268">
        <f t="shared" ca="1" si="8"/>
        <v>0</v>
      </c>
      <c r="R56" s="266">
        <f ca="1">IFERROR(__xludf.DUMMYFUNCTION("IMPORTRANGE(""https://docs.google.com/spreadsheets/d/1_Zwps30dlVa-pZFsorjVf1Pil6WXwzCsJU0U2whO3NI/edit?usp=sharing"",""ชลบุรี!I176"")"),0)</f>
        <v>0</v>
      </c>
      <c r="S56" s="266">
        <f ca="1">IFERROR(__xludf.DUMMYFUNCTION("IMPORTRANGE(""https://docs.google.com/spreadsheets/d/1_Zwps30dlVa-pZFsorjVf1Pil6WXwzCsJU0U2whO3NI/edit?usp=sharing"",""ชลบุรี!J176"")"),0)</f>
        <v>0</v>
      </c>
      <c r="T56" s="270">
        <f t="shared" ca="1" si="19"/>
        <v>0</v>
      </c>
      <c r="U56" s="458">
        <f ca="1">IFERROR(__xludf.DUMMYFUNCTION("IMPORTRANGE(""https://docs.google.com/spreadsheets/d/1_Zwps30dlVa-pZFsorjVf1Pil6WXwzCsJU0U2whO3NI/edit?usp=sharing"",""ชลบุรี!I179"")"),0)</f>
        <v>0</v>
      </c>
      <c r="V56" s="271" t="str">
        <f ca="1">IFERROR(__xludf.DUMMYFUNCTION("IMPORTRANGE(""https://docs.google.com/spreadsheets/d/1_Zwps30dlVa-pZFsorjVf1Pil6WXwzCsJU0U2whO3NI/edit?usp=sharing"",""ชลบุรี!J179"")"),"")</f>
        <v/>
      </c>
      <c r="W56" s="270">
        <f t="shared" ca="1" si="20"/>
        <v>0</v>
      </c>
      <c r="X56" s="209"/>
      <c r="Y56" s="209"/>
      <c r="Z56" s="209"/>
    </row>
    <row r="57" spans="1:26" ht="21" customHeight="1" x14ac:dyDescent="0.3">
      <c r="A57" s="261">
        <v>5</v>
      </c>
      <c r="B57" s="262" t="s">
        <v>79</v>
      </c>
      <c r="C57" s="263">
        <f t="shared" ca="1" si="0"/>
        <v>21050</v>
      </c>
      <c r="D57" s="264">
        <f t="shared" ca="1" si="33"/>
        <v>21050</v>
      </c>
      <c r="E57" s="265">
        <f ca="1">IFERROR(__xludf.DUMMYFUNCTION("IMPORTRANGE(""https://docs.google.com/spreadsheets/d/1MeEWN-I1oV_STSDYn1IFDPWt_1FKiwhDph83XaGc0o0/edit?usp=sharing"",""งบพรบ!CF57"")"),0)</f>
        <v>0</v>
      </c>
      <c r="F57" s="265">
        <f ca="1">IFERROR(__xludf.DUMMYFUNCTION("IMPORTRANGE(""https://docs.google.com/spreadsheets/d/1MeEWN-I1oV_STSDYn1IFDPWt_1FKiwhDph83XaGc0o0/edit?usp=sharing"",""งบพรบ!CG57"")"),21050)</f>
        <v>21050</v>
      </c>
      <c r="G57" s="265">
        <f ca="1">IFERROR(__xludf.DUMMYFUNCTION("IMPORTRANGE(""https://docs.google.com/spreadsheets/d/1MeEWN-I1oV_STSDYn1IFDPWt_1FKiwhDph83XaGc0o0/edit?usp=sharing"",""งบพรบ!CH57"")"),0)</f>
        <v>0</v>
      </c>
      <c r="H57" s="265">
        <f ca="1">IFERROR(__xludf.DUMMYFUNCTION("IMPORTRANGE(""https://docs.google.com/spreadsheets/d/1MeEWN-I1oV_STSDYn1IFDPWt_1FKiwhDph83XaGc0o0/edit?usp=sharing"",""งบพรบ!CJ57"")"),21050)</f>
        <v>21050</v>
      </c>
      <c r="I57" s="265">
        <f ca="1">IFERROR(__xludf.DUMMYFUNCTION("IMPORTRANGE(""https://docs.google.com/spreadsheets/d/1MeEWN-I1oV_STSDYn1IFDPWt_1FKiwhDph83XaGc0o0/edit?usp=sharing"",""งบพรบ!CK57"")"),0)</f>
        <v>0</v>
      </c>
      <c r="J57" s="265">
        <f t="shared" ca="1" si="3"/>
        <v>21050</v>
      </c>
      <c r="K57" s="272">
        <f t="shared" ca="1" si="4"/>
        <v>100</v>
      </c>
      <c r="L57" s="265">
        <f ca="1">IFERROR(__xludf.DUMMYFUNCTION("IMPORTRANGE(""https://docs.google.com/spreadsheets/d/1MeEWN-I1oV_STSDYn1IFDPWt_1FKiwhDph83XaGc0o0/edit?usp=sharing"",""งบพรบ!CL57"")"),21050)</f>
        <v>21050</v>
      </c>
      <c r="M57" s="268">
        <f t="shared" ca="1" si="5"/>
        <v>100</v>
      </c>
      <c r="N57" s="268">
        <f t="shared" ca="1" si="6"/>
        <v>100</v>
      </c>
      <c r="O57" s="269">
        <f ca="1">IFERROR(__xludf.DUMMYFUNCTION("IMPORTRANGE(""https://docs.google.com/spreadsheets/d/1MeEWN-I1oV_STSDYn1IFDPWt_1FKiwhDph83XaGc0o0/edit?usp=sharing"",""งบพรบ!CC57"")"),0)</f>
        <v>0</v>
      </c>
      <c r="P57" s="269">
        <f t="shared" ca="1" si="22"/>
        <v>0</v>
      </c>
      <c r="Q57" s="268">
        <f t="shared" ca="1" si="8"/>
        <v>0</v>
      </c>
      <c r="R57" s="266">
        <f ca="1">IFERROR(__xludf.DUMMYFUNCTION("IMPORTRANGE(""https://docs.google.com/spreadsheets/d/1xAsT4sUbBlom7l0acStESh_15nvjZcXjZM7fK5uZSq8/edit?usp=sharing"",""ชัยนาท!I176"")"),10)</f>
        <v>10</v>
      </c>
      <c r="S57" s="266">
        <f ca="1">IFERROR(__xludf.DUMMYFUNCTION("IMPORTRANGE(""https://docs.google.com/spreadsheets/d/1xAsT4sUbBlom7l0acStESh_15nvjZcXjZM7fK5uZSq8/edit?usp=sharing"",""ชัยนาท!J176"")"),10)</f>
        <v>10</v>
      </c>
      <c r="T57" s="270">
        <f t="shared" ca="1" si="19"/>
        <v>100</v>
      </c>
      <c r="U57" s="458">
        <f ca="1">IFERROR(__xludf.DUMMYFUNCTION("IMPORTRANGE(""https://docs.google.com/spreadsheets/d/1xAsT4sUbBlom7l0acStESh_15nvjZcXjZM7fK5uZSq8/edit?usp=sharing"",""ชัยนาท!I179"")"),0)</f>
        <v>0</v>
      </c>
      <c r="V57" s="271" t="str">
        <f ca="1">IFERROR(__xludf.DUMMYFUNCTION("IMPORTRANGE(""https://docs.google.com/spreadsheets/d/1xAsT4sUbBlom7l0acStESh_15nvjZcXjZM7fK5uZSq8/edit?usp=sharing"",""ชัยนาท!J179"")"),"")</f>
        <v/>
      </c>
      <c r="W57" s="270">
        <f t="shared" ca="1" si="20"/>
        <v>0</v>
      </c>
      <c r="X57" s="209"/>
      <c r="Y57" s="209"/>
      <c r="Z57" s="209"/>
    </row>
    <row r="58" spans="1:26" ht="21" customHeight="1" x14ac:dyDescent="0.3">
      <c r="A58" s="261">
        <v>6</v>
      </c>
      <c r="B58" s="262" t="s">
        <v>80</v>
      </c>
      <c r="C58" s="263">
        <f t="shared" ca="1" si="0"/>
        <v>21050</v>
      </c>
      <c r="D58" s="264">
        <f t="shared" ca="1" si="33"/>
        <v>21050</v>
      </c>
      <c r="E58" s="265">
        <f ca="1">IFERROR(__xludf.DUMMYFUNCTION("IMPORTRANGE(""https://docs.google.com/spreadsheets/d/1MeEWN-I1oV_STSDYn1IFDPWt_1FKiwhDph83XaGc0o0/edit?usp=sharing"",""งบพรบ!CF58"")"),0)</f>
        <v>0</v>
      </c>
      <c r="F58" s="265">
        <f ca="1">IFERROR(__xludf.DUMMYFUNCTION("IMPORTRANGE(""https://docs.google.com/spreadsheets/d/1MeEWN-I1oV_STSDYn1IFDPWt_1FKiwhDph83XaGc0o0/edit?usp=sharing"",""งบพรบ!CG58"")"),21050)</f>
        <v>21050</v>
      </c>
      <c r="G58" s="265">
        <f ca="1">IFERROR(__xludf.DUMMYFUNCTION("IMPORTRANGE(""https://docs.google.com/spreadsheets/d/1MeEWN-I1oV_STSDYn1IFDPWt_1FKiwhDph83XaGc0o0/edit?usp=sharing"",""งบพรบ!CH58"")"),0)</f>
        <v>0</v>
      </c>
      <c r="H58" s="265">
        <f ca="1">IFERROR(__xludf.DUMMYFUNCTION("IMPORTRANGE(""https://docs.google.com/spreadsheets/d/1MeEWN-I1oV_STSDYn1IFDPWt_1FKiwhDph83XaGc0o0/edit?usp=sharing"",""งบพรบ!CJ58"")"),21050)</f>
        <v>21050</v>
      </c>
      <c r="I58" s="265">
        <f ca="1">IFERROR(__xludf.DUMMYFUNCTION("IMPORTRANGE(""https://docs.google.com/spreadsheets/d/1MeEWN-I1oV_STSDYn1IFDPWt_1FKiwhDph83XaGc0o0/edit?usp=sharing"",""งบพรบ!CK58"")"),0)</f>
        <v>0</v>
      </c>
      <c r="J58" s="265">
        <f t="shared" ca="1" si="3"/>
        <v>20230</v>
      </c>
      <c r="K58" s="272">
        <f t="shared" ca="1" si="4"/>
        <v>96.104513064133016</v>
      </c>
      <c r="L58" s="265">
        <f ca="1">IFERROR(__xludf.DUMMYFUNCTION("IMPORTRANGE(""https://docs.google.com/spreadsheets/d/1MeEWN-I1oV_STSDYn1IFDPWt_1FKiwhDph83XaGc0o0/edit?usp=sharing"",""งบพรบ!CL58"")"),20230)</f>
        <v>20230</v>
      </c>
      <c r="M58" s="268">
        <f t="shared" ca="1" si="5"/>
        <v>96.104513064133016</v>
      </c>
      <c r="N58" s="268">
        <f t="shared" ca="1" si="6"/>
        <v>96.104513064133016</v>
      </c>
      <c r="O58" s="269">
        <f ca="1">IFERROR(__xludf.DUMMYFUNCTION("IMPORTRANGE(""https://docs.google.com/spreadsheets/d/1MeEWN-I1oV_STSDYn1IFDPWt_1FKiwhDph83XaGc0o0/edit?usp=sharing"",""งบพรบ!CC58"")"),0)</f>
        <v>0</v>
      </c>
      <c r="P58" s="269">
        <f t="shared" ca="1" si="22"/>
        <v>0</v>
      </c>
      <c r="Q58" s="268">
        <f t="shared" ca="1" si="8"/>
        <v>0</v>
      </c>
      <c r="R58" s="266">
        <f ca="1">IFERROR(__xludf.DUMMYFUNCTION("IMPORTRANGE(""https://docs.google.com/spreadsheets/d/1vWPVBOAaZ6mHSI8yf95DNqHwTJ1cpeFsvqt6cxV34QA/edit?usp=sharing"",""ตราด!I176"")"),10)</f>
        <v>10</v>
      </c>
      <c r="S58" s="266">
        <f ca="1">IFERROR(__xludf.DUMMYFUNCTION("IMPORTRANGE(""https://docs.google.com/spreadsheets/d/1vWPVBOAaZ6mHSI8yf95DNqHwTJ1cpeFsvqt6cxV34QA/edit?usp=sharing"",""ตราด!J176"")"),10)</f>
        <v>10</v>
      </c>
      <c r="T58" s="270">
        <f t="shared" ca="1" si="19"/>
        <v>100</v>
      </c>
      <c r="U58" s="458">
        <f ca="1">IFERROR(__xludf.DUMMYFUNCTION("IMPORTRANGE(""https://docs.google.com/spreadsheets/d/1vWPVBOAaZ6mHSI8yf95DNqHwTJ1cpeFsvqt6cxV34QA/edit?usp=sharing"",""ตราด!I179"")"),0)</f>
        <v>0</v>
      </c>
      <c r="V58" s="271" t="str">
        <f ca="1">IFERROR(__xludf.DUMMYFUNCTION("IMPORTRANGE(""https://docs.google.com/spreadsheets/d/1vWPVBOAaZ6mHSI8yf95DNqHwTJ1cpeFsvqt6cxV34QA/edit?usp=sharing"",""ตราด!J179"")"),"")</f>
        <v/>
      </c>
      <c r="W58" s="270">
        <f t="shared" ca="1" si="20"/>
        <v>0</v>
      </c>
      <c r="X58" s="209"/>
      <c r="Y58" s="209"/>
      <c r="Z58" s="209"/>
    </row>
    <row r="59" spans="1:26" ht="21" customHeight="1" x14ac:dyDescent="0.3">
      <c r="A59" s="261">
        <v>7</v>
      </c>
      <c r="B59" s="262" t="s">
        <v>81</v>
      </c>
      <c r="C59" s="263">
        <f t="shared" ca="1" si="0"/>
        <v>0</v>
      </c>
      <c r="D59" s="264">
        <f t="shared" ca="1" si="33"/>
        <v>0</v>
      </c>
      <c r="E59" s="265">
        <f ca="1">IFERROR(__xludf.DUMMYFUNCTION("IMPORTRANGE(""https://docs.google.com/spreadsheets/d/1MeEWN-I1oV_STSDYn1IFDPWt_1FKiwhDph83XaGc0o0/edit?usp=sharing"",""งบพรบ!CF59"")"),0)</f>
        <v>0</v>
      </c>
      <c r="F59" s="265">
        <f ca="1">IFERROR(__xludf.DUMMYFUNCTION("IMPORTRANGE(""https://docs.google.com/spreadsheets/d/1MeEWN-I1oV_STSDYn1IFDPWt_1FKiwhDph83XaGc0o0/edit?usp=sharing"",""งบพรบ!CG59"")"),0)</f>
        <v>0</v>
      </c>
      <c r="G59" s="265">
        <f ca="1">IFERROR(__xludf.DUMMYFUNCTION("IMPORTRANGE(""https://docs.google.com/spreadsheets/d/1MeEWN-I1oV_STSDYn1IFDPWt_1FKiwhDph83XaGc0o0/edit?usp=sharing"",""งบพรบ!CH59"")"),0)</f>
        <v>0</v>
      </c>
      <c r="H59" s="265">
        <f ca="1">IFERROR(__xludf.DUMMYFUNCTION("IMPORTRANGE(""https://docs.google.com/spreadsheets/d/1MeEWN-I1oV_STSDYn1IFDPWt_1FKiwhDph83XaGc0o0/edit?usp=sharing"",""งบพรบ!CJ59"")"),0)</f>
        <v>0</v>
      </c>
      <c r="I59" s="265">
        <f ca="1">IFERROR(__xludf.DUMMYFUNCTION("IMPORTRANGE(""https://docs.google.com/spreadsheets/d/1MeEWN-I1oV_STSDYn1IFDPWt_1FKiwhDph83XaGc0o0/edit?usp=sharing"",""งบพรบ!CK59"")"),0)</f>
        <v>0</v>
      </c>
      <c r="J59" s="265">
        <f t="shared" ca="1" si="3"/>
        <v>0</v>
      </c>
      <c r="K59" s="272">
        <f t="shared" ca="1" si="4"/>
        <v>0</v>
      </c>
      <c r="L59" s="265">
        <f ca="1">IFERROR(__xludf.DUMMYFUNCTION("IMPORTRANGE(""https://docs.google.com/spreadsheets/d/1MeEWN-I1oV_STSDYn1IFDPWt_1FKiwhDph83XaGc0o0/edit?usp=sharing"",""งบพรบ!CL59"")"),0)</f>
        <v>0</v>
      </c>
      <c r="M59" s="268">
        <f t="shared" ca="1" si="5"/>
        <v>0</v>
      </c>
      <c r="N59" s="268">
        <f t="shared" ca="1" si="6"/>
        <v>0</v>
      </c>
      <c r="O59" s="269">
        <f ca="1">IFERROR(__xludf.DUMMYFUNCTION("IMPORTRANGE(""https://docs.google.com/spreadsheets/d/1MeEWN-I1oV_STSDYn1IFDPWt_1FKiwhDph83XaGc0o0/edit?usp=sharing"",""งบพรบ!CC59"")"),0)</f>
        <v>0</v>
      </c>
      <c r="P59" s="269">
        <f t="shared" ca="1" si="22"/>
        <v>0</v>
      </c>
      <c r="Q59" s="268">
        <f t="shared" ca="1" si="8"/>
        <v>0</v>
      </c>
      <c r="R59" s="266">
        <f ca="1">IFERROR(__xludf.DUMMYFUNCTION("IMPORTRANGE(""https://docs.google.com/spreadsheets/d/1phaeSb9lTGgzDpbvVqI9hfmOQQzUom07-HEvpbARzEg/edit?usp=sharing"",""นครนายก!I176"")"),0)</f>
        <v>0</v>
      </c>
      <c r="S59" s="266">
        <f ca="1">IFERROR(__xludf.DUMMYFUNCTION("IMPORTRANGE(""https://docs.google.com/spreadsheets/d/1phaeSb9lTGgzDpbvVqI9hfmOQQzUom07-HEvpbARzEg/edit?usp=sharing"",""นครนายก!J176"")"),0)</f>
        <v>0</v>
      </c>
      <c r="T59" s="270">
        <f t="shared" ca="1" si="19"/>
        <v>0</v>
      </c>
      <c r="U59" s="458">
        <f ca="1">IFERROR(__xludf.DUMMYFUNCTION("IMPORTRANGE(""https://docs.google.com/spreadsheets/d/1phaeSb9lTGgzDpbvVqI9hfmOQQzUom07-HEvpbARzEg/edit?usp=sharing"",""นครนายก!I179"")"),0)</f>
        <v>0</v>
      </c>
      <c r="V59" s="271" t="str">
        <f ca="1">IFERROR(__xludf.DUMMYFUNCTION("IMPORTRANGE(""https://docs.google.com/spreadsheets/d/1phaeSb9lTGgzDpbvVqI9hfmOQQzUom07-HEvpbARzEg/edit?usp=sharing"",""นครนายก!J179"")"),"")</f>
        <v/>
      </c>
      <c r="W59" s="270">
        <f t="shared" ca="1" si="20"/>
        <v>0</v>
      </c>
      <c r="X59" s="209"/>
      <c r="Y59" s="209"/>
      <c r="Z59" s="209"/>
    </row>
    <row r="60" spans="1:26" ht="21" customHeight="1" x14ac:dyDescent="0.3">
      <c r="A60" s="261">
        <v>8</v>
      </c>
      <c r="B60" s="262" t="s">
        <v>82</v>
      </c>
      <c r="C60" s="263">
        <f t="shared" ca="1" si="0"/>
        <v>22055</v>
      </c>
      <c r="D60" s="264">
        <f t="shared" ca="1" si="33"/>
        <v>22055</v>
      </c>
      <c r="E60" s="265">
        <f ca="1">IFERROR(__xludf.DUMMYFUNCTION("IMPORTRANGE(""https://docs.google.com/spreadsheets/d/1MeEWN-I1oV_STSDYn1IFDPWt_1FKiwhDph83XaGc0o0/edit?usp=sharing"",""งบพรบ!CF60"")"),0)</f>
        <v>0</v>
      </c>
      <c r="F60" s="265">
        <f ca="1">IFERROR(__xludf.DUMMYFUNCTION("IMPORTRANGE(""https://docs.google.com/spreadsheets/d/1MeEWN-I1oV_STSDYn1IFDPWt_1FKiwhDph83XaGc0o0/edit?usp=sharing"",""งบพรบ!CG60"")"),22055)</f>
        <v>22055</v>
      </c>
      <c r="G60" s="265">
        <f ca="1">IFERROR(__xludf.DUMMYFUNCTION("IMPORTRANGE(""https://docs.google.com/spreadsheets/d/1MeEWN-I1oV_STSDYn1IFDPWt_1FKiwhDph83XaGc0o0/edit?usp=sharing"",""งบพรบ!CH60"")"),0)</f>
        <v>0</v>
      </c>
      <c r="H60" s="265">
        <f ca="1">IFERROR(__xludf.DUMMYFUNCTION("IMPORTRANGE(""https://docs.google.com/spreadsheets/d/1MeEWN-I1oV_STSDYn1IFDPWt_1FKiwhDph83XaGc0o0/edit?usp=sharing"",""งบพรบ!CJ60"")"),22055)</f>
        <v>22055</v>
      </c>
      <c r="I60" s="265">
        <f ca="1">IFERROR(__xludf.DUMMYFUNCTION("IMPORTRANGE(""https://docs.google.com/spreadsheets/d/1MeEWN-I1oV_STSDYn1IFDPWt_1FKiwhDph83XaGc0o0/edit?usp=sharing"",""งบพรบ!CK60"")"),0)</f>
        <v>0</v>
      </c>
      <c r="J60" s="265">
        <f t="shared" ca="1" si="3"/>
        <v>22055</v>
      </c>
      <c r="K60" s="272">
        <f t="shared" ca="1" si="4"/>
        <v>100</v>
      </c>
      <c r="L60" s="265">
        <f ca="1">IFERROR(__xludf.DUMMYFUNCTION("IMPORTRANGE(""https://docs.google.com/spreadsheets/d/1MeEWN-I1oV_STSDYn1IFDPWt_1FKiwhDph83XaGc0o0/edit?usp=sharing"",""งบพรบ!CL60"")"),22055)</f>
        <v>22055</v>
      </c>
      <c r="M60" s="268">
        <f t="shared" ca="1" si="5"/>
        <v>100</v>
      </c>
      <c r="N60" s="268">
        <f t="shared" ca="1" si="6"/>
        <v>100</v>
      </c>
      <c r="O60" s="269">
        <f ca="1">IFERROR(__xludf.DUMMYFUNCTION("IMPORTRANGE(""https://docs.google.com/spreadsheets/d/1MeEWN-I1oV_STSDYn1IFDPWt_1FKiwhDph83XaGc0o0/edit?usp=sharing"",""งบพรบ!CC60"")"),0)</f>
        <v>0</v>
      </c>
      <c r="P60" s="269">
        <f t="shared" ca="1" si="22"/>
        <v>0</v>
      </c>
      <c r="Q60" s="268">
        <f t="shared" ca="1" si="8"/>
        <v>0</v>
      </c>
      <c r="R60" s="266">
        <f ca="1">IFERROR(__xludf.DUMMYFUNCTION("IMPORTRANGE(""https://docs.google.com/spreadsheets/d/1tpwhWwkqkBeiSWCcfB5f2fbwPRbM9hHOEDSDHpl2MIc/edit?usp=sharing"",""นครปฐม!I176"")"),11)</f>
        <v>11</v>
      </c>
      <c r="S60" s="266">
        <f ca="1">IFERROR(__xludf.DUMMYFUNCTION("IMPORTRANGE(""https://docs.google.com/spreadsheets/d/1tpwhWwkqkBeiSWCcfB5f2fbwPRbM9hHOEDSDHpl2MIc/edit?usp=sharing"",""นครปฐม!J176"")"),11)</f>
        <v>11</v>
      </c>
      <c r="T60" s="270">
        <f t="shared" ca="1" si="19"/>
        <v>100</v>
      </c>
      <c r="U60" s="458">
        <f ca="1">IFERROR(__xludf.DUMMYFUNCTION("IMPORTRANGE(""https://docs.google.com/spreadsheets/d/1tpwhWwkqkBeiSWCcfB5f2fbwPRbM9hHOEDSDHpl2MIc/edit?usp=sharing"",""นครปฐม!I179"")"),0)</f>
        <v>0</v>
      </c>
      <c r="V60" s="271" t="str">
        <f ca="1">IFERROR(__xludf.DUMMYFUNCTION("IMPORTRANGE(""https://docs.google.com/spreadsheets/d/1tpwhWwkqkBeiSWCcfB5f2fbwPRbM9hHOEDSDHpl2MIc/edit?usp=sharing"",""นครปฐม!J179"")"),"")</f>
        <v/>
      </c>
      <c r="W60" s="270">
        <f t="shared" ca="1" si="20"/>
        <v>0</v>
      </c>
      <c r="X60" s="209"/>
      <c r="Y60" s="209"/>
      <c r="Z60" s="209"/>
    </row>
    <row r="61" spans="1:26" ht="21" customHeight="1" x14ac:dyDescent="0.3">
      <c r="A61" s="261">
        <v>9</v>
      </c>
      <c r="B61" s="262" t="s">
        <v>83</v>
      </c>
      <c r="C61" s="263">
        <f t="shared" ca="1" si="0"/>
        <v>21050</v>
      </c>
      <c r="D61" s="264">
        <f t="shared" ca="1" si="33"/>
        <v>21050</v>
      </c>
      <c r="E61" s="265">
        <f ca="1">IFERROR(__xludf.DUMMYFUNCTION("IMPORTRANGE(""https://docs.google.com/spreadsheets/d/1MeEWN-I1oV_STSDYn1IFDPWt_1FKiwhDph83XaGc0o0/edit?usp=sharing"",""งบพรบ!CF61"")"),0)</f>
        <v>0</v>
      </c>
      <c r="F61" s="265">
        <f ca="1">IFERROR(__xludf.DUMMYFUNCTION("IMPORTRANGE(""https://docs.google.com/spreadsheets/d/1MeEWN-I1oV_STSDYn1IFDPWt_1FKiwhDph83XaGc0o0/edit?usp=sharing"",""งบพรบ!CG61"")"),21050)</f>
        <v>21050</v>
      </c>
      <c r="G61" s="265">
        <f ca="1">IFERROR(__xludf.DUMMYFUNCTION("IMPORTRANGE(""https://docs.google.com/spreadsheets/d/1MeEWN-I1oV_STSDYn1IFDPWt_1FKiwhDph83XaGc0o0/edit?usp=sharing"",""งบพรบ!CH61"")"),0)</f>
        <v>0</v>
      </c>
      <c r="H61" s="265">
        <f ca="1">IFERROR(__xludf.DUMMYFUNCTION("IMPORTRANGE(""https://docs.google.com/spreadsheets/d/1MeEWN-I1oV_STSDYn1IFDPWt_1FKiwhDph83XaGc0o0/edit?usp=sharing"",""งบพรบ!CJ61"")"),21050)</f>
        <v>21050</v>
      </c>
      <c r="I61" s="265">
        <f ca="1">IFERROR(__xludf.DUMMYFUNCTION("IMPORTRANGE(""https://docs.google.com/spreadsheets/d/1MeEWN-I1oV_STSDYn1IFDPWt_1FKiwhDph83XaGc0o0/edit?usp=sharing"",""งบพรบ!CK61"")"),0)</f>
        <v>0</v>
      </c>
      <c r="J61" s="265">
        <f t="shared" ca="1" si="3"/>
        <v>21050</v>
      </c>
      <c r="K61" s="272">
        <f t="shared" ca="1" si="4"/>
        <v>100</v>
      </c>
      <c r="L61" s="265">
        <f ca="1">IFERROR(__xludf.DUMMYFUNCTION("IMPORTRANGE(""https://docs.google.com/spreadsheets/d/1MeEWN-I1oV_STSDYn1IFDPWt_1FKiwhDph83XaGc0o0/edit?usp=sharing"",""งบพรบ!CL61"")"),21050)</f>
        <v>21050</v>
      </c>
      <c r="M61" s="268">
        <f t="shared" ca="1" si="5"/>
        <v>100</v>
      </c>
      <c r="N61" s="268">
        <f t="shared" ca="1" si="6"/>
        <v>100</v>
      </c>
      <c r="O61" s="269">
        <f ca="1">IFERROR(__xludf.DUMMYFUNCTION("IMPORTRANGE(""https://docs.google.com/spreadsheets/d/1MeEWN-I1oV_STSDYn1IFDPWt_1FKiwhDph83XaGc0o0/edit?usp=sharing"",""งบพรบ!CC61"")"),0)</f>
        <v>0</v>
      </c>
      <c r="P61" s="269">
        <f t="shared" ca="1" si="22"/>
        <v>0</v>
      </c>
      <c r="Q61" s="268">
        <f t="shared" ca="1" si="8"/>
        <v>0</v>
      </c>
      <c r="R61" s="266">
        <f ca="1">IFERROR(__xludf.DUMMYFUNCTION("IMPORTRANGE(""https://docs.google.com/spreadsheets/d/1fJJCVBkBnhriyv0Cp5ZFMr0I_yrfdEITNpb4zILJgUQ/edit?usp=sharing"",""ปทุมธานี!I176"")"),10)</f>
        <v>10</v>
      </c>
      <c r="S61" s="266">
        <f ca="1">IFERROR(__xludf.DUMMYFUNCTION("IMPORTRANGE(""https://docs.google.com/spreadsheets/d/1fJJCVBkBnhriyv0Cp5ZFMr0I_yrfdEITNpb4zILJgUQ/edit?usp=sharing"",""ปทุมธานี!J176"")"),10)</f>
        <v>10</v>
      </c>
      <c r="T61" s="270">
        <f t="shared" ca="1" si="19"/>
        <v>100</v>
      </c>
      <c r="U61" s="458">
        <f ca="1">IFERROR(__xludf.DUMMYFUNCTION("IMPORTRANGE(""https://docs.google.com/spreadsheets/d/1fJJCVBkBnhriyv0Cp5ZFMr0I_yrfdEITNpb4zILJgUQ/edit?usp=sharing"",""ปทุมธานี!I179"")"),0)</f>
        <v>0</v>
      </c>
      <c r="V61" s="271" t="str">
        <f ca="1">IFERROR(__xludf.DUMMYFUNCTION("IMPORTRANGE(""https://docs.google.com/spreadsheets/d/1fJJCVBkBnhriyv0Cp5ZFMr0I_yrfdEITNpb4zILJgUQ/edit?usp=sharing"",""ปทุมธานี!J179"")"),"")</f>
        <v/>
      </c>
      <c r="W61" s="270">
        <f t="shared" ca="1" si="20"/>
        <v>0</v>
      </c>
      <c r="X61" s="209"/>
      <c r="Y61" s="209"/>
      <c r="Z61" s="209"/>
    </row>
    <row r="62" spans="1:26" ht="21" customHeight="1" x14ac:dyDescent="0.3">
      <c r="A62" s="261">
        <v>10</v>
      </c>
      <c r="B62" s="262" t="s">
        <v>84</v>
      </c>
      <c r="C62" s="263">
        <f t="shared" ca="1" si="0"/>
        <v>21050</v>
      </c>
      <c r="D62" s="264">
        <f t="shared" ca="1" si="33"/>
        <v>21050</v>
      </c>
      <c r="E62" s="265">
        <f ca="1">IFERROR(__xludf.DUMMYFUNCTION("IMPORTRANGE(""https://docs.google.com/spreadsheets/d/1MeEWN-I1oV_STSDYn1IFDPWt_1FKiwhDph83XaGc0o0/edit?usp=sharing"",""งบพรบ!CF62"")"),0)</f>
        <v>0</v>
      </c>
      <c r="F62" s="265">
        <f ca="1">IFERROR(__xludf.DUMMYFUNCTION("IMPORTRANGE(""https://docs.google.com/spreadsheets/d/1MeEWN-I1oV_STSDYn1IFDPWt_1FKiwhDph83XaGc0o0/edit?usp=sharing"",""งบพรบ!CG62"")"),21050)</f>
        <v>21050</v>
      </c>
      <c r="G62" s="265">
        <f ca="1">IFERROR(__xludf.DUMMYFUNCTION("IMPORTRANGE(""https://docs.google.com/spreadsheets/d/1MeEWN-I1oV_STSDYn1IFDPWt_1FKiwhDph83XaGc0o0/edit?usp=sharing"",""งบพรบ!CH62"")"),0)</f>
        <v>0</v>
      </c>
      <c r="H62" s="265">
        <f ca="1">IFERROR(__xludf.DUMMYFUNCTION("IMPORTRANGE(""https://docs.google.com/spreadsheets/d/1MeEWN-I1oV_STSDYn1IFDPWt_1FKiwhDph83XaGc0o0/edit?usp=sharing"",""งบพรบ!CJ62"")"),21050)</f>
        <v>21050</v>
      </c>
      <c r="I62" s="265">
        <f ca="1">IFERROR(__xludf.DUMMYFUNCTION("IMPORTRANGE(""https://docs.google.com/spreadsheets/d/1MeEWN-I1oV_STSDYn1IFDPWt_1FKiwhDph83XaGc0o0/edit?usp=sharing"",""งบพรบ!CK62"")"),0)</f>
        <v>0</v>
      </c>
      <c r="J62" s="265">
        <f t="shared" ca="1" si="3"/>
        <v>21050</v>
      </c>
      <c r="K62" s="272">
        <f t="shared" ca="1" si="4"/>
        <v>100</v>
      </c>
      <c r="L62" s="265">
        <f ca="1">IFERROR(__xludf.DUMMYFUNCTION("IMPORTRANGE(""https://docs.google.com/spreadsheets/d/1MeEWN-I1oV_STSDYn1IFDPWt_1FKiwhDph83XaGc0o0/edit?usp=sharing"",""งบพรบ!CL62"")"),21050)</f>
        <v>21050</v>
      </c>
      <c r="M62" s="268">
        <f t="shared" ca="1" si="5"/>
        <v>100</v>
      </c>
      <c r="N62" s="268">
        <f t="shared" ca="1" si="6"/>
        <v>100</v>
      </c>
      <c r="O62" s="269">
        <f ca="1">IFERROR(__xludf.DUMMYFUNCTION("IMPORTRANGE(""https://docs.google.com/spreadsheets/d/1MeEWN-I1oV_STSDYn1IFDPWt_1FKiwhDph83XaGc0o0/edit?usp=sharing"",""งบพรบ!CC62"")"),0)</f>
        <v>0</v>
      </c>
      <c r="P62" s="269">
        <f t="shared" ca="1" si="22"/>
        <v>0</v>
      </c>
      <c r="Q62" s="268">
        <f t="shared" ca="1" si="8"/>
        <v>0</v>
      </c>
      <c r="R62" s="266">
        <f ca="1">IFERROR(__xludf.DUMMYFUNCTION("IMPORTRANGE(""https://docs.google.com/spreadsheets/d/1W5Jj_S0gYw6wSO7QcMI02YgyOBDKYgmm0NSUk-AQEac/edit?usp=sharing"",""ประจวบคีรีขันธ์!I176"")"),10)</f>
        <v>10</v>
      </c>
      <c r="S62" s="266">
        <f ca="1">IFERROR(__xludf.DUMMYFUNCTION("IMPORTRANGE(""https://docs.google.com/spreadsheets/d/1W5Jj_S0gYw6wSO7QcMI02YgyOBDKYgmm0NSUk-AQEac/edit?usp=sharing"",""ประจวบคีรีขันธ์!J176"")"),10)</f>
        <v>10</v>
      </c>
      <c r="T62" s="270">
        <f t="shared" ca="1" si="19"/>
        <v>100</v>
      </c>
      <c r="U62" s="458">
        <f ca="1">IFERROR(__xludf.DUMMYFUNCTION("IMPORTRANGE(""https://docs.google.com/spreadsheets/d/1W5Jj_S0gYw6wSO7QcMI02YgyOBDKYgmm0NSUk-AQEac/edit?usp=sharing"",""ประจวบคีรีขันธ์!I179"")"),0)</f>
        <v>0</v>
      </c>
      <c r="V62" s="271" t="str">
        <f ca="1">IFERROR(__xludf.DUMMYFUNCTION("IMPORTRANGE(""https://docs.google.com/spreadsheets/d/1W5Jj_S0gYw6wSO7QcMI02YgyOBDKYgmm0NSUk-AQEac/edit?usp=sharing"",""ประจวบคีรีขันธ์!J179"")"),"")</f>
        <v/>
      </c>
      <c r="W62" s="270">
        <f t="shared" ca="1" si="20"/>
        <v>0</v>
      </c>
      <c r="X62" s="209"/>
      <c r="Y62" s="209"/>
      <c r="Z62" s="209"/>
    </row>
    <row r="63" spans="1:26" ht="21" customHeight="1" x14ac:dyDescent="0.3">
      <c r="A63" s="261">
        <v>11</v>
      </c>
      <c r="B63" s="262" t="s">
        <v>85</v>
      </c>
      <c r="C63" s="263">
        <f t="shared" ca="1" si="0"/>
        <v>21050</v>
      </c>
      <c r="D63" s="264">
        <f t="shared" ca="1" si="33"/>
        <v>21050</v>
      </c>
      <c r="E63" s="265">
        <f ca="1">IFERROR(__xludf.DUMMYFUNCTION("IMPORTRANGE(""https://docs.google.com/spreadsheets/d/1MeEWN-I1oV_STSDYn1IFDPWt_1FKiwhDph83XaGc0o0/edit?usp=sharing"",""งบพรบ!CF63"")"),0)</f>
        <v>0</v>
      </c>
      <c r="F63" s="265">
        <f ca="1">IFERROR(__xludf.DUMMYFUNCTION("IMPORTRANGE(""https://docs.google.com/spreadsheets/d/1MeEWN-I1oV_STSDYn1IFDPWt_1FKiwhDph83XaGc0o0/edit?usp=sharing"",""งบพรบ!CG63"")"),21050)</f>
        <v>21050</v>
      </c>
      <c r="G63" s="265">
        <f ca="1">IFERROR(__xludf.DUMMYFUNCTION("IMPORTRANGE(""https://docs.google.com/spreadsheets/d/1MeEWN-I1oV_STSDYn1IFDPWt_1FKiwhDph83XaGc0o0/edit?usp=sharing"",""งบพรบ!CH63"")"),0)</f>
        <v>0</v>
      </c>
      <c r="H63" s="265">
        <f ca="1">IFERROR(__xludf.DUMMYFUNCTION("IMPORTRANGE(""https://docs.google.com/spreadsheets/d/1MeEWN-I1oV_STSDYn1IFDPWt_1FKiwhDph83XaGc0o0/edit?usp=sharing"",""งบพรบ!CJ63"")"),21050)</f>
        <v>21050</v>
      </c>
      <c r="I63" s="265">
        <f ca="1">IFERROR(__xludf.DUMMYFUNCTION("IMPORTRANGE(""https://docs.google.com/spreadsheets/d/1MeEWN-I1oV_STSDYn1IFDPWt_1FKiwhDph83XaGc0o0/edit?usp=sharing"",""งบพรบ!CK63"")"),0)</f>
        <v>0</v>
      </c>
      <c r="J63" s="265">
        <f t="shared" ca="1" si="3"/>
        <v>21050</v>
      </c>
      <c r="K63" s="272">
        <f t="shared" ca="1" si="4"/>
        <v>100</v>
      </c>
      <c r="L63" s="265">
        <f ca="1">IFERROR(__xludf.DUMMYFUNCTION("IMPORTRANGE(""https://docs.google.com/spreadsheets/d/1MeEWN-I1oV_STSDYn1IFDPWt_1FKiwhDph83XaGc0o0/edit?usp=sharing"",""งบพรบ!CL63"")"),21050)</f>
        <v>21050</v>
      </c>
      <c r="M63" s="268">
        <f t="shared" ca="1" si="5"/>
        <v>100</v>
      </c>
      <c r="N63" s="268">
        <f t="shared" ca="1" si="6"/>
        <v>100</v>
      </c>
      <c r="O63" s="269">
        <f ca="1">IFERROR(__xludf.DUMMYFUNCTION("IMPORTRANGE(""https://docs.google.com/spreadsheets/d/1MeEWN-I1oV_STSDYn1IFDPWt_1FKiwhDph83XaGc0o0/edit?usp=sharing"",""งบพรบ!CC63"")"),0)</f>
        <v>0</v>
      </c>
      <c r="P63" s="269">
        <f t="shared" ca="1" si="22"/>
        <v>0</v>
      </c>
      <c r="Q63" s="268">
        <f t="shared" ca="1" si="8"/>
        <v>0</v>
      </c>
      <c r="R63" s="266">
        <f ca="1">IFERROR(__xludf.DUMMYFUNCTION("IMPORTRANGE(""https://docs.google.com/spreadsheets/d/1nYxRXgnCfTXtqUY1otYuTlnrzE0Tn-Y0YRsW5pkRVqo/edit?usp=sharing"",""ปราจีนบุรี!I176"")"),10)</f>
        <v>10</v>
      </c>
      <c r="S63" s="266">
        <f ca="1">IFERROR(__xludf.DUMMYFUNCTION("IMPORTRANGE(""https://docs.google.com/spreadsheets/d/1nYxRXgnCfTXtqUY1otYuTlnrzE0Tn-Y0YRsW5pkRVqo/edit?usp=sharing"",""ปราจีนบุรี!J176"")"),10)</f>
        <v>10</v>
      </c>
      <c r="T63" s="270">
        <f t="shared" ca="1" si="19"/>
        <v>100</v>
      </c>
      <c r="U63" s="458">
        <f ca="1">IFERROR(__xludf.DUMMYFUNCTION("IMPORTRANGE(""https://docs.google.com/spreadsheets/d/1nYxRXgnCfTXtqUY1otYuTlnrzE0Tn-Y0YRsW5pkRVqo/edit?usp=sharing"",""ปราจีนบุรี!I179"")"),0)</f>
        <v>0</v>
      </c>
      <c r="V63" s="271" t="str">
        <f ca="1">IFERROR(__xludf.DUMMYFUNCTION("IMPORTRANGE(""https://docs.google.com/spreadsheets/d/1nYxRXgnCfTXtqUY1otYuTlnrzE0Tn-Y0YRsW5pkRVqo/edit?usp=sharing"",""ปราจีนบุรี!J179"")"),"")</f>
        <v/>
      </c>
      <c r="W63" s="270">
        <f t="shared" ca="1" si="20"/>
        <v>0</v>
      </c>
      <c r="X63" s="209"/>
      <c r="Y63" s="209"/>
      <c r="Z63" s="209"/>
    </row>
    <row r="64" spans="1:26" ht="21" customHeight="1" x14ac:dyDescent="0.3">
      <c r="A64" s="261">
        <v>12</v>
      </c>
      <c r="B64" s="262" t="s">
        <v>86</v>
      </c>
      <c r="C64" s="263">
        <f t="shared" ca="1" si="0"/>
        <v>23060</v>
      </c>
      <c r="D64" s="264">
        <f t="shared" ca="1" si="33"/>
        <v>23060</v>
      </c>
      <c r="E64" s="265">
        <f ca="1">IFERROR(__xludf.DUMMYFUNCTION("IMPORTRANGE(""https://docs.google.com/spreadsheets/d/1MeEWN-I1oV_STSDYn1IFDPWt_1FKiwhDph83XaGc0o0/edit?usp=sharing"",""งบพรบ!CF64"")"),0)</f>
        <v>0</v>
      </c>
      <c r="F64" s="265">
        <f ca="1">IFERROR(__xludf.DUMMYFUNCTION("IMPORTRANGE(""https://docs.google.com/spreadsheets/d/1MeEWN-I1oV_STSDYn1IFDPWt_1FKiwhDph83XaGc0o0/edit?usp=sharing"",""งบพรบ!CG64"")"),23060)</f>
        <v>23060</v>
      </c>
      <c r="G64" s="265">
        <f ca="1">IFERROR(__xludf.DUMMYFUNCTION("IMPORTRANGE(""https://docs.google.com/spreadsheets/d/1MeEWN-I1oV_STSDYn1IFDPWt_1FKiwhDph83XaGc0o0/edit?usp=sharing"",""งบพรบ!CH64"")"),0)</f>
        <v>0</v>
      </c>
      <c r="H64" s="265">
        <f ca="1">IFERROR(__xludf.DUMMYFUNCTION("IMPORTRANGE(""https://docs.google.com/spreadsheets/d/1MeEWN-I1oV_STSDYn1IFDPWt_1FKiwhDph83XaGc0o0/edit?usp=sharing"",""งบพรบ!CJ64"")"),23060)</f>
        <v>23060</v>
      </c>
      <c r="I64" s="265">
        <f ca="1">IFERROR(__xludf.DUMMYFUNCTION("IMPORTRANGE(""https://docs.google.com/spreadsheets/d/1MeEWN-I1oV_STSDYn1IFDPWt_1FKiwhDph83XaGc0o0/edit?usp=sharing"",""งบพรบ!CK64"")"),0)</f>
        <v>0</v>
      </c>
      <c r="J64" s="265">
        <f t="shared" ca="1" si="3"/>
        <v>20991.119999999999</v>
      </c>
      <c r="K64" s="272">
        <f t="shared" ca="1" si="4"/>
        <v>91.028274067649605</v>
      </c>
      <c r="L64" s="265">
        <f ca="1">IFERROR(__xludf.DUMMYFUNCTION("IMPORTRANGE(""https://docs.google.com/spreadsheets/d/1MeEWN-I1oV_STSDYn1IFDPWt_1FKiwhDph83XaGc0o0/edit?usp=sharing"",""งบพรบ!CL64"")"),20991.12)</f>
        <v>20991.119999999999</v>
      </c>
      <c r="M64" s="268">
        <f t="shared" ca="1" si="5"/>
        <v>91.028274067649605</v>
      </c>
      <c r="N64" s="268">
        <f t="shared" ca="1" si="6"/>
        <v>91.028274067649605</v>
      </c>
      <c r="O64" s="269">
        <f ca="1">IFERROR(__xludf.DUMMYFUNCTION("IMPORTRANGE(""https://docs.google.com/spreadsheets/d/1MeEWN-I1oV_STSDYn1IFDPWt_1FKiwhDph83XaGc0o0/edit?usp=sharing"",""งบพรบ!CC64"")"),0)</f>
        <v>0</v>
      </c>
      <c r="P64" s="269">
        <f t="shared" ca="1" si="22"/>
        <v>0</v>
      </c>
      <c r="Q64" s="268">
        <f t="shared" ca="1" si="8"/>
        <v>0</v>
      </c>
      <c r="R64" s="266">
        <f ca="1">IFERROR(__xludf.DUMMYFUNCTION("IMPORTRANGE(""https://docs.google.com/spreadsheets/d/1nNHCLO8ZAXOMfQvxux7cf_hrzPAh8FAvaHq_ClKbZNo/edit?usp=sharing"",""พระนครศรีอยุธยา!I176"")"),12)</f>
        <v>12</v>
      </c>
      <c r="S64" s="266">
        <f ca="1">IFERROR(__xludf.DUMMYFUNCTION("IMPORTRANGE(""https://docs.google.com/spreadsheets/d/1nNHCLO8ZAXOMfQvxux7cf_hrzPAh8FAvaHq_ClKbZNo/edit?usp=sharing"",""พระนครศรีอยุธยา!J176"")"),12)</f>
        <v>12</v>
      </c>
      <c r="T64" s="270">
        <f t="shared" ca="1" si="19"/>
        <v>100</v>
      </c>
      <c r="U64" s="458">
        <f ca="1">IFERROR(__xludf.DUMMYFUNCTION("IMPORTRANGE(""https://docs.google.com/spreadsheets/d/1nNHCLO8ZAXOMfQvxux7cf_hrzPAh8FAvaHq_ClKbZNo/edit?usp=sharing"",""พระนครศรีอยุธยา!I179"")"),0)</f>
        <v>0</v>
      </c>
      <c r="V64" s="271" t="str">
        <f ca="1">IFERROR(__xludf.DUMMYFUNCTION("IMPORTRANGE(""https://docs.google.com/spreadsheets/d/1nNHCLO8ZAXOMfQvxux7cf_hrzPAh8FAvaHq_ClKbZNo/edit?usp=sharing"",""พระนครศรีอยุธยา!J179"")"),"")</f>
        <v/>
      </c>
      <c r="W64" s="270">
        <f t="shared" ca="1" si="20"/>
        <v>0</v>
      </c>
      <c r="X64" s="209"/>
      <c r="Y64" s="209"/>
      <c r="Z64" s="209"/>
    </row>
    <row r="65" spans="1:26" ht="21" customHeight="1" x14ac:dyDescent="0.3">
      <c r="A65" s="261">
        <v>13</v>
      </c>
      <c r="B65" s="262" t="s">
        <v>87</v>
      </c>
      <c r="C65" s="263">
        <f t="shared" ca="1" si="0"/>
        <v>21050</v>
      </c>
      <c r="D65" s="264">
        <f t="shared" ca="1" si="33"/>
        <v>21050</v>
      </c>
      <c r="E65" s="265">
        <f ca="1">IFERROR(__xludf.DUMMYFUNCTION("IMPORTRANGE(""https://docs.google.com/spreadsheets/d/1MeEWN-I1oV_STSDYn1IFDPWt_1FKiwhDph83XaGc0o0/edit?usp=sharing"",""งบพรบ!CF65"")"),0)</f>
        <v>0</v>
      </c>
      <c r="F65" s="265">
        <f ca="1">IFERROR(__xludf.DUMMYFUNCTION("IMPORTRANGE(""https://docs.google.com/spreadsheets/d/1MeEWN-I1oV_STSDYn1IFDPWt_1FKiwhDph83XaGc0o0/edit?usp=sharing"",""งบพรบ!CG65"")"),21050)</f>
        <v>21050</v>
      </c>
      <c r="G65" s="265">
        <f ca="1">IFERROR(__xludf.DUMMYFUNCTION("IMPORTRANGE(""https://docs.google.com/spreadsheets/d/1MeEWN-I1oV_STSDYn1IFDPWt_1FKiwhDph83XaGc0o0/edit?usp=sharing"",""งบพรบ!CH65"")"),0)</f>
        <v>0</v>
      </c>
      <c r="H65" s="265">
        <f ca="1">IFERROR(__xludf.DUMMYFUNCTION("IMPORTRANGE(""https://docs.google.com/spreadsheets/d/1MeEWN-I1oV_STSDYn1IFDPWt_1FKiwhDph83XaGc0o0/edit?usp=sharing"",""งบพรบ!CJ65"")"),21050)</f>
        <v>21050</v>
      </c>
      <c r="I65" s="265">
        <f ca="1">IFERROR(__xludf.DUMMYFUNCTION("IMPORTRANGE(""https://docs.google.com/spreadsheets/d/1MeEWN-I1oV_STSDYn1IFDPWt_1FKiwhDph83XaGc0o0/edit?usp=sharing"",""งบพรบ!CK65"")"),0)</f>
        <v>0</v>
      </c>
      <c r="J65" s="265">
        <f t="shared" ca="1" si="3"/>
        <v>20430</v>
      </c>
      <c r="K65" s="272">
        <f t="shared" ca="1" si="4"/>
        <v>97.054631828978629</v>
      </c>
      <c r="L65" s="265">
        <f ca="1">IFERROR(__xludf.DUMMYFUNCTION("IMPORTRANGE(""https://docs.google.com/spreadsheets/d/1MeEWN-I1oV_STSDYn1IFDPWt_1FKiwhDph83XaGc0o0/edit?usp=sharing"",""งบพรบ!CL65"")"),20430)</f>
        <v>20430</v>
      </c>
      <c r="M65" s="268">
        <f t="shared" ca="1" si="5"/>
        <v>97.054631828978629</v>
      </c>
      <c r="N65" s="268">
        <f t="shared" ca="1" si="6"/>
        <v>97.054631828978629</v>
      </c>
      <c r="O65" s="269">
        <f ca="1">IFERROR(__xludf.DUMMYFUNCTION("IMPORTRANGE(""https://docs.google.com/spreadsheets/d/1MeEWN-I1oV_STSDYn1IFDPWt_1FKiwhDph83XaGc0o0/edit?usp=sharing"",""งบพรบ!CC65"")"),0)</f>
        <v>0</v>
      </c>
      <c r="P65" s="269">
        <f t="shared" ca="1" si="22"/>
        <v>0</v>
      </c>
      <c r="Q65" s="268">
        <f t="shared" ca="1" si="8"/>
        <v>0</v>
      </c>
      <c r="R65" s="266">
        <f ca="1">IFERROR(__xludf.DUMMYFUNCTION("IMPORTRANGE(""https://docs.google.com/spreadsheets/d/1CdNicvf3i6yt4tJlCePe3V1Va76wYqW0QzMzTsaGRrA/edit?usp=sharing"",""เพชรบุรี!I176"")"),10)</f>
        <v>10</v>
      </c>
      <c r="S65" s="266">
        <f ca="1">IFERROR(__xludf.DUMMYFUNCTION("IMPORTRANGE(""https://docs.google.com/spreadsheets/d/1CdNicvf3i6yt4tJlCePe3V1Va76wYqW0QzMzTsaGRrA/edit?usp=sharing"",""เพชรบุรี!J176"")"),0)</f>
        <v>0</v>
      </c>
      <c r="T65" s="270">
        <f t="shared" ca="1" si="19"/>
        <v>0</v>
      </c>
      <c r="U65" s="458">
        <f ca="1">IFERROR(__xludf.DUMMYFUNCTION("IMPORTRANGE(""https://docs.google.com/spreadsheets/d/1CdNicvf3i6yt4tJlCePe3V1Va76wYqW0QzMzTsaGRrA/edit?usp=sharing"",""เพชรบุรี!I179"")"),0)</f>
        <v>0</v>
      </c>
      <c r="V65" s="271" t="str">
        <f ca="1">IFERROR(__xludf.DUMMYFUNCTION("IMPORTRANGE(""https://docs.google.com/spreadsheets/d/1CdNicvf3i6yt4tJlCePe3V1Va76wYqW0QzMzTsaGRrA/edit?usp=sharing"",""เพชรบุรี!J179"")"),"")</f>
        <v/>
      </c>
      <c r="W65" s="270">
        <f t="shared" ca="1" si="20"/>
        <v>0</v>
      </c>
      <c r="X65" s="209"/>
      <c r="Y65" s="209"/>
      <c r="Z65" s="209"/>
    </row>
    <row r="66" spans="1:26" ht="21" customHeight="1" x14ac:dyDescent="0.3">
      <c r="A66" s="261">
        <v>14</v>
      </c>
      <c r="B66" s="262" t="s">
        <v>88</v>
      </c>
      <c r="C66" s="263">
        <f t="shared" ca="1" si="0"/>
        <v>21050</v>
      </c>
      <c r="D66" s="264">
        <f t="shared" ca="1" si="33"/>
        <v>21050</v>
      </c>
      <c r="E66" s="265">
        <f ca="1">IFERROR(__xludf.DUMMYFUNCTION("IMPORTRANGE(""https://docs.google.com/spreadsheets/d/1MeEWN-I1oV_STSDYn1IFDPWt_1FKiwhDph83XaGc0o0/edit?usp=sharing"",""งบพรบ!CF66"")"),0)</f>
        <v>0</v>
      </c>
      <c r="F66" s="265">
        <f ca="1">IFERROR(__xludf.DUMMYFUNCTION("IMPORTRANGE(""https://docs.google.com/spreadsheets/d/1MeEWN-I1oV_STSDYn1IFDPWt_1FKiwhDph83XaGc0o0/edit?usp=sharing"",""งบพรบ!CG66"")"),21050)</f>
        <v>21050</v>
      </c>
      <c r="G66" s="265">
        <f ca="1">IFERROR(__xludf.DUMMYFUNCTION("IMPORTRANGE(""https://docs.google.com/spreadsheets/d/1MeEWN-I1oV_STSDYn1IFDPWt_1FKiwhDph83XaGc0o0/edit?usp=sharing"",""งบพรบ!CH66"")"),0)</f>
        <v>0</v>
      </c>
      <c r="H66" s="265">
        <f ca="1">IFERROR(__xludf.DUMMYFUNCTION("IMPORTRANGE(""https://docs.google.com/spreadsheets/d/1MeEWN-I1oV_STSDYn1IFDPWt_1FKiwhDph83XaGc0o0/edit?usp=sharing"",""งบพรบ!CJ66"")"),21050)</f>
        <v>21050</v>
      </c>
      <c r="I66" s="265">
        <f ca="1">IFERROR(__xludf.DUMMYFUNCTION("IMPORTRANGE(""https://docs.google.com/spreadsheets/d/1MeEWN-I1oV_STSDYn1IFDPWt_1FKiwhDph83XaGc0o0/edit?usp=sharing"",""งบพรบ!CK66"")"),0)</f>
        <v>0</v>
      </c>
      <c r="J66" s="265">
        <f t="shared" ca="1" si="3"/>
        <v>21050</v>
      </c>
      <c r="K66" s="272">
        <f t="shared" ca="1" si="4"/>
        <v>100</v>
      </c>
      <c r="L66" s="265">
        <f ca="1">IFERROR(__xludf.DUMMYFUNCTION("IMPORTRANGE(""https://docs.google.com/spreadsheets/d/1MeEWN-I1oV_STSDYn1IFDPWt_1FKiwhDph83XaGc0o0/edit?usp=sharing"",""งบพรบ!CL66"")"),21050)</f>
        <v>21050</v>
      </c>
      <c r="M66" s="268">
        <f t="shared" ca="1" si="5"/>
        <v>100</v>
      </c>
      <c r="N66" s="268">
        <f t="shared" ca="1" si="6"/>
        <v>100</v>
      </c>
      <c r="O66" s="269">
        <f ca="1">IFERROR(__xludf.DUMMYFUNCTION("IMPORTRANGE(""https://docs.google.com/spreadsheets/d/1MeEWN-I1oV_STSDYn1IFDPWt_1FKiwhDph83XaGc0o0/edit?usp=sharing"",""งบพรบ!CC66"")"),0)</f>
        <v>0</v>
      </c>
      <c r="P66" s="269">
        <f t="shared" ca="1" si="22"/>
        <v>0</v>
      </c>
      <c r="Q66" s="268">
        <f t="shared" ca="1" si="8"/>
        <v>0</v>
      </c>
      <c r="R66" s="266">
        <f ca="1">IFERROR(__xludf.DUMMYFUNCTION("IMPORTRANGE(""https://docs.google.com/spreadsheets/d/1XiF77UIVHV0Kjc6xbXuOuJ10WgJYxd4p_22ngKVV5oM/edit?usp=sharing"",""ระยอง!I176"")"),10)</f>
        <v>10</v>
      </c>
      <c r="S66" s="266">
        <f ca="1">IFERROR(__xludf.DUMMYFUNCTION("IMPORTRANGE(""https://docs.google.com/spreadsheets/d/1XiF77UIVHV0Kjc6xbXuOuJ10WgJYxd4p_22ngKVV5oM/edit?usp=sharing"",""ระยอง!J176"")"),10)</f>
        <v>10</v>
      </c>
      <c r="T66" s="270">
        <f t="shared" ca="1" si="19"/>
        <v>100</v>
      </c>
      <c r="U66" s="458">
        <f ca="1">IFERROR(__xludf.DUMMYFUNCTION("IMPORTRANGE(""https://docs.google.com/spreadsheets/d/1XiF77UIVHV0Kjc6xbXuOuJ10WgJYxd4p_22ngKVV5oM/edit?usp=sharing"",""ระยอง!I179"")"),0)</f>
        <v>0</v>
      </c>
      <c r="V66" s="271" t="str">
        <f ca="1">IFERROR(__xludf.DUMMYFUNCTION("IMPORTRANGE(""https://docs.google.com/spreadsheets/d/1XiF77UIVHV0Kjc6xbXuOuJ10WgJYxd4p_22ngKVV5oM/edit?usp=sharing"",""ระยอง!J179"")"),"")</f>
        <v/>
      </c>
      <c r="W66" s="270">
        <f t="shared" ca="1" si="20"/>
        <v>0</v>
      </c>
      <c r="X66" s="209"/>
      <c r="Y66" s="209"/>
      <c r="Z66" s="209"/>
    </row>
    <row r="67" spans="1:26" ht="21" customHeight="1" x14ac:dyDescent="0.3">
      <c r="A67" s="261">
        <v>15</v>
      </c>
      <c r="B67" s="262" t="s">
        <v>89</v>
      </c>
      <c r="C67" s="263">
        <f t="shared" ca="1" si="0"/>
        <v>21050</v>
      </c>
      <c r="D67" s="264">
        <f t="shared" ca="1" si="33"/>
        <v>21050</v>
      </c>
      <c r="E67" s="265">
        <f ca="1">IFERROR(__xludf.DUMMYFUNCTION("IMPORTRANGE(""https://docs.google.com/spreadsheets/d/1MeEWN-I1oV_STSDYn1IFDPWt_1FKiwhDph83XaGc0o0/edit?usp=sharing"",""งบพรบ!CF67"")"),0)</f>
        <v>0</v>
      </c>
      <c r="F67" s="265">
        <f ca="1">IFERROR(__xludf.DUMMYFUNCTION("IMPORTRANGE(""https://docs.google.com/spreadsheets/d/1MeEWN-I1oV_STSDYn1IFDPWt_1FKiwhDph83XaGc0o0/edit?usp=sharing"",""งบพรบ!CG67"")"),21050)</f>
        <v>21050</v>
      </c>
      <c r="G67" s="265">
        <f ca="1">IFERROR(__xludf.DUMMYFUNCTION("IMPORTRANGE(""https://docs.google.com/spreadsheets/d/1MeEWN-I1oV_STSDYn1IFDPWt_1FKiwhDph83XaGc0o0/edit?usp=sharing"",""งบพรบ!CH67"")"),0)</f>
        <v>0</v>
      </c>
      <c r="H67" s="265">
        <f ca="1">IFERROR(__xludf.DUMMYFUNCTION("IMPORTRANGE(""https://docs.google.com/spreadsheets/d/1MeEWN-I1oV_STSDYn1IFDPWt_1FKiwhDph83XaGc0o0/edit?usp=sharing"",""งบพรบ!CJ67"")"),21050)</f>
        <v>21050</v>
      </c>
      <c r="I67" s="265">
        <f ca="1">IFERROR(__xludf.DUMMYFUNCTION("IMPORTRANGE(""https://docs.google.com/spreadsheets/d/1MeEWN-I1oV_STSDYn1IFDPWt_1FKiwhDph83XaGc0o0/edit?usp=sharing"",""งบพรบ!CK67"")"),0)</f>
        <v>0</v>
      </c>
      <c r="J67" s="265">
        <f t="shared" ca="1" si="3"/>
        <v>0</v>
      </c>
      <c r="K67" s="272">
        <f t="shared" ca="1" si="4"/>
        <v>0</v>
      </c>
      <c r="L67" s="265">
        <f ca="1">IFERROR(__xludf.DUMMYFUNCTION("IMPORTRANGE(""https://docs.google.com/spreadsheets/d/1MeEWN-I1oV_STSDYn1IFDPWt_1FKiwhDph83XaGc0o0/edit?usp=sharing"",""งบพรบ!CL67"")"),0)</f>
        <v>0</v>
      </c>
      <c r="M67" s="268">
        <f t="shared" ca="1" si="5"/>
        <v>0</v>
      </c>
      <c r="N67" s="268">
        <f t="shared" ca="1" si="6"/>
        <v>0</v>
      </c>
      <c r="O67" s="269">
        <f ca="1">IFERROR(__xludf.DUMMYFUNCTION("IMPORTRANGE(""https://docs.google.com/spreadsheets/d/1MeEWN-I1oV_STSDYn1IFDPWt_1FKiwhDph83XaGc0o0/edit?usp=sharing"",""งบพรบ!CC67"")"),0)</f>
        <v>0</v>
      </c>
      <c r="P67" s="269">
        <f t="shared" ca="1" si="22"/>
        <v>0</v>
      </c>
      <c r="Q67" s="268">
        <f t="shared" ca="1" si="8"/>
        <v>0</v>
      </c>
      <c r="R67" s="266">
        <f ca="1">IFERROR(__xludf.DUMMYFUNCTION("IMPORTRANGE(""https://docs.google.com/spreadsheets/d/1qU-W_9MCQD1pgIVXGEOjCFo9QqlmJywuebyGgaN92r8/edit?usp=sharing"",""ราชบุรี!I176"")"),10)</f>
        <v>10</v>
      </c>
      <c r="S67" s="266">
        <f ca="1">IFERROR(__xludf.DUMMYFUNCTION("IMPORTRANGE(""https://docs.google.com/spreadsheets/d/1qU-W_9MCQD1pgIVXGEOjCFo9QqlmJywuebyGgaN92r8/edit?usp=sharing"",""ราชบุรี!J176"")"),0)</f>
        <v>0</v>
      </c>
      <c r="T67" s="270">
        <f t="shared" ca="1" si="19"/>
        <v>0</v>
      </c>
      <c r="U67" s="458">
        <f ca="1">IFERROR(__xludf.DUMMYFUNCTION("IMPORTRANGE(""https://docs.google.com/spreadsheets/d/1qU-W_9MCQD1pgIVXGEOjCFo9QqlmJywuebyGgaN92r8/edit?usp=sharing"",""ราชบุรี!I179"")"),0)</f>
        <v>0</v>
      </c>
      <c r="V67" s="271" t="str">
        <f ca="1">IFERROR(__xludf.DUMMYFUNCTION("IMPORTRANGE(""https://docs.google.com/spreadsheets/d/1qU-W_9MCQD1pgIVXGEOjCFo9QqlmJywuebyGgaN92r8/edit?usp=sharing"",""ราชบุรี!J179"")"),"")</f>
        <v/>
      </c>
      <c r="W67" s="270">
        <f t="shared" ca="1" si="20"/>
        <v>0</v>
      </c>
      <c r="X67" s="209"/>
      <c r="Y67" s="209"/>
      <c r="Z67" s="209"/>
    </row>
    <row r="68" spans="1:26" ht="24" customHeight="1" x14ac:dyDescent="0.3">
      <c r="A68" s="261">
        <v>16</v>
      </c>
      <c r="B68" s="262" t="s">
        <v>90</v>
      </c>
      <c r="C68" s="263">
        <f t="shared" ca="1" si="0"/>
        <v>23060</v>
      </c>
      <c r="D68" s="264">
        <f t="shared" ca="1" si="33"/>
        <v>23060</v>
      </c>
      <c r="E68" s="265">
        <f ca="1">IFERROR(__xludf.DUMMYFUNCTION("IMPORTRANGE(""https://docs.google.com/spreadsheets/d/1MeEWN-I1oV_STSDYn1IFDPWt_1FKiwhDph83XaGc0o0/edit?usp=sharing"",""งบพรบ!CF68"")"),0)</f>
        <v>0</v>
      </c>
      <c r="F68" s="265">
        <f ca="1">IFERROR(__xludf.DUMMYFUNCTION("IMPORTRANGE(""https://docs.google.com/spreadsheets/d/1MeEWN-I1oV_STSDYn1IFDPWt_1FKiwhDph83XaGc0o0/edit?usp=sharing"",""งบพรบ!CG68"")"),23060)</f>
        <v>23060</v>
      </c>
      <c r="G68" s="265">
        <f ca="1">IFERROR(__xludf.DUMMYFUNCTION("IMPORTRANGE(""https://docs.google.com/spreadsheets/d/1MeEWN-I1oV_STSDYn1IFDPWt_1FKiwhDph83XaGc0o0/edit?usp=sharing"",""งบพรบ!CH68"")"),0)</f>
        <v>0</v>
      </c>
      <c r="H68" s="265">
        <f ca="1">IFERROR(__xludf.DUMMYFUNCTION("IMPORTRANGE(""https://docs.google.com/spreadsheets/d/1MeEWN-I1oV_STSDYn1IFDPWt_1FKiwhDph83XaGc0o0/edit?usp=sharing"",""งบพรบ!CJ68"")"),23060)</f>
        <v>23060</v>
      </c>
      <c r="I68" s="265">
        <f ca="1">IFERROR(__xludf.DUMMYFUNCTION("IMPORTRANGE(""https://docs.google.com/spreadsheets/d/1MeEWN-I1oV_STSDYn1IFDPWt_1FKiwhDph83XaGc0o0/edit?usp=sharing"",""งบพรบ!CK68"")"),0)</f>
        <v>0</v>
      </c>
      <c r="J68" s="265">
        <f t="shared" ca="1" si="3"/>
        <v>23060</v>
      </c>
      <c r="K68" s="272">
        <f t="shared" ca="1" si="4"/>
        <v>100</v>
      </c>
      <c r="L68" s="265">
        <f ca="1">IFERROR(__xludf.DUMMYFUNCTION("IMPORTRANGE(""https://docs.google.com/spreadsheets/d/1MeEWN-I1oV_STSDYn1IFDPWt_1FKiwhDph83XaGc0o0/edit?usp=sharing"",""งบพรบ!CL68"")"),23060)</f>
        <v>23060</v>
      </c>
      <c r="M68" s="268">
        <f t="shared" ca="1" si="5"/>
        <v>100</v>
      </c>
      <c r="N68" s="268">
        <f t="shared" ca="1" si="6"/>
        <v>100</v>
      </c>
      <c r="O68" s="269">
        <f ca="1">IFERROR(__xludf.DUMMYFUNCTION("IMPORTRANGE(""https://docs.google.com/spreadsheets/d/1MeEWN-I1oV_STSDYn1IFDPWt_1FKiwhDph83XaGc0o0/edit?usp=sharing"",""งบพรบ!CC68"")"),0)</f>
        <v>0</v>
      </c>
      <c r="P68" s="269">
        <f t="shared" ca="1" si="22"/>
        <v>0</v>
      </c>
      <c r="Q68" s="268">
        <f t="shared" ca="1" si="8"/>
        <v>0</v>
      </c>
      <c r="R68" s="266">
        <f ca="1">IFERROR(__xludf.DUMMYFUNCTION("IMPORTRANGE(""https://docs.google.com/spreadsheets/d/1xYFIxIM_CspAP5Q-5Zx_V0T_Ut3cjryrjd2hss28vGk/edit?usp=sharing"",""ลพบุรี!I176"")"),12)</f>
        <v>12</v>
      </c>
      <c r="S68" s="266">
        <f ca="1">IFERROR(__xludf.DUMMYFUNCTION("IMPORTRANGE(""https://docs.google.com/spreadsheets/d/1xYFIxIM_CspAP5Q-5Zx_V0T_Ut3cjryrjd2hss28vGk/edit?usp=sharing"",""ลพบุรี!J176"")"),12)</f>
        <v>12</v>
      </c>
      <c r="T68" s="270">
        <f t="shared" ca="1" si="19"/>
        <v>100</v>
      </c>
      <c r="U68" s="458">
        <f ca="1">IFERROR(__xludf.DUMMYFUNCTION("IMPORTRANGE(""https://docs.google.com/spreadsheets/d/1xYFIxIM_CspAP5Q-5Zx_V0T_Ut3cjryrjd2hss28vGk/edit?usp=sharing"",""ลพบุรี!I179"")"),0)</f>
        <v>0</v>
      </c>
      <c r="V68" s="271" t="str">
        <f ca="1">IFERROR(__xludf.DUMMYFUNCTION("IMPORTRANGE(""https://docs.google.com/spreadsheets/d/1xYFIxIM_CspAP5Q-5Zx_V0T_Ut3cjryrjd2hss28vGk/edit?usp=sharing"",""ลพบุรี!J179"")"),"")</f>
        <v/>
      </c>
      <c r="W68" s="270">
        <f t="shared" ca="1" si="20"/>
        <v>0</v>
      </c>
      <c r="X68" s="209"/>
      <c r="Y68" s="209"/>
      <c r="Z68" s="209"/>
    </row>
    <row r="69" spans="1:26" ht="21" customHeight="1" x14ac:dyDescent="0.3">
      <c r="A69" s="261">
        <v>17</v>
      </c>
      <c r="B69" s="262" t="s">
        <v>91</v>
      </c>
      <c r="C69" s="263">
        <f t="shared" ca="1" si="0"/>
        <v>21050</v>
      </c>
      <c r="D69" s="264">
        <f t="shared" ca="1" si="33"/>
        <v>21050</v>
      </c>
      <c r="E69" s="265">
        <f ca="1">IFERROR(__xludf.DUMMYFUNCTION("IMPORTRANGE(""https://docs.google.com/spreadsheets/d/1MeEWN-I1oV_STSDYn1IFDPWt_1FKiwhDph83XaGc0o0/edit?usp=sharing"",""งบพรบ!CF69"")"),0)</f>
        <v>0</v>
      </c>
      <c r="F69" s="265">
        <f ca="1">IFERROR(__xludf.DUMMYFUNCTION("IMPORTRANGE(""https://docs.google.com/spreadsheets/d/1MeEWN-I1oV_STSDYn1IFDPWt_1FKiwhDph83XaGc0o0/edit?usp=sharing"",""งบพรบ!CG69"")"),21050)</f>
        <v>21050</v>
      </c>
      <c r="G69" s="265">
        <f ca="1">IFERROR(__xludf.DUMMYFUNCTION("IMPORTRANGE(""https://docs.google.com/spreadsheets/d/1MeEWN-I1oV_STSDYn1IFDPWt_1FKiwhDph83XaGc0o0/edit?usp=sharing"",""งบพรบ!CH69"")"),0)</f>
        <v>0</v>
      </c>
      <c r="H69" s="265">
        <f ca="1">IFERROR(__xludf.DUMMYFUNCTION("IMPORTRANGE(""https://docs.google.com/spreadsheets/d/1MeEWN-I1oV_STSDYn1IFDPWt_1FKiwhDph83XaGc0o0/edit?usp=sharing"",""งบพรบ!CJ69"")"),21050)</f>
        <v>21050</v>
      </c>
      <c r="I69" s="265">
        <f ca="1">IFERROR(__xludf.DUMMYFUNCTION("IMPORTRANGE(""https://docs.google.com/spreadsheets/d/1MeEWN-I1oV_STSDYn1IFDPWt_1FKiwhDph83XaGc0o0/edit?usp=sharing"",""งบพรบ!CK69"")"),0)</f>
        <v>0</v>
      </c>
      <c r="J69" s="265">
        <f t="shared" ca="1" si="3"/>
        <v>21050</v>
      </c>
      <c r="K69" s="272">
        <f t="shared" ca="1" si="4"/>
        <v>100</v>
      </c>
      <c r="L69" s="265">
        <f ca="1">IFERROR(__xludf.DUMMYFUNCTION("IMPORTRANGE(""https://docs.google.com/spreadsheets/d/1MeEWN-I1oV_STSDYn1IFDPWt_1FKiwhDph83XaGc0o0/edit?usp=sharing"",""งบพรบ!CL69"")"),21050)</f>
        <v>21050</v>
      </c>
      <c r="M69" s="268">
        <f t="shared" ca="1" si="5"/>
        <v>100</v>
      </c>
      <c r="N69" s="268">
        <f t="shared" ca="1" si="6"/>
        <v>100</v>
      </c>
      <c r="O69" s="269">
        <f ca="1">IFERROR(__xludf.DUMMYFUNCTION("IMPORTRANGE(""https://docs.google.com/spreadsheets/d/1MeEWN-I1oV_STSDYn1IFDPWt_1FKiwhDph83XaGc0o0/edit?usp=sharing"",""งบพรบ!CC69"")"),0)</f>
        <v>0</v>
      </c>
      <c r="P69" s="269">
        <f t="shared" ca="1" si="22"/>
        <v>0</v>
      </c>
      <c r="Q69" s="268">
        <f t="shared" ca="1" si="8"/>
        <v>0</v>
      </c>
      <c r="R69" s="266">
        <f ca="1">IFERROR(__xludf.DUMMYFUNCTION("IMPORTRANGE(""https://docs.google.com/spreadsheets/d/11s9m3tKsCBdPWq6syhZm27eBGbKneDLZc75co106bio/edit?usp=sharing"",""สระแก้ว!I176"")"),10)</f>
        <v>10</v>
      </c>
      <c r="S69" s="266">
        <f ca="1">IFERROR(__xludf.DUMMYFUNCTION("IMPORTRANGE(""https://docs.google.com/spreadsheets/d/11s9m3tKsCBdPWq6syhZm27eBGbKneDLZc75co106bio/edit?usp=sharing"",""สระแก้ว!J176"")"),10)</f>
        <v>10</v>
      </c>
      <c r="T69" s="270">
        <f t="shared" ca="1" si="19"/>
        <v>100</v>
      </c>
      <c r="U69" s="458">
        <f ca="1">IFERROR(__xludf.DUMMYFUNCTION("IMPORTRANGE(""https://docs.google.com/spreadsheets/d/11s9m3tKsCBdPWq6syhZm27eBGbKneDLZc75co106bio/edit?usp=sharing"",""สระแก้ว!I179"")"),0)</f>
        <v>0</v>
      </c>
      <c r="V69" s="271" t="str">
        <f ca="1">IFERROR(__xludf.DUMMYFUNCTION("IMPORTRANGE(""https://docs.google.com/spreadsheets/d/11s9m3tKsCBdPWq6syhZm27eBGbKneDLZc75co106bio/edit?usp=sharing"",""สระแก้ว!J179"")"),"")</f>
        <v/>
      </c>
      <c r="W69" s="270">
        <f t="shared" ca="1" si="20"/>
        <v>0</v>
      </c>
      <c r="X69" s="209"/>
      <c r="Y69" s="209"/>
      <c r="Z69" s="209"/>
    </row>
    <row r="70" spans="1:26" ht="21" customHeight="1" x14ac:dyDescent="0.3">
      <c r="A70" s="261">
        <v>18</v>
      </c>
      <c r="B70" s="262" t="s">
        <v>92</v>
      </c>
      <c r="C70" s="263">
        <f t="shared" ca="1" si="0"/>
        <v>23060</v>
      </c>
      <c r="D70" s="264">
        <f t="shared" ca="1" si="33"/>
        <v>23060</v>
      </c>
      <c r="E70" s="265">
        <f ca="1">IFERROR(__xludf.DUMMYFUNCTION("IMPORTRANGE(""https://docs.google.com/spreadsheets/d/1MeEWN-I1oV_STSDYn1IFDPWt_1FKiwhDph83XaGc0o0/edit?usp=sharing"",""งบพรบ!CF70"")"),0)</f>
        <v>0</v>
      </c>
      <c r="F70" s="265">
        <f ca="1">IFERROR(__xludf.DUMMYFUNCTION("IMPORTRANGE(""https://docs.google.com/spreadsheets/d/1MeEWN-I1oV_STSDYn1IFDPWt_1FKiwhDph83XaGc0o0/edit?usp=sharing"",""งบพรบ!CG70"")"),23060)</f>
        <v>23060</v>
      </c>
      <c r="G70" s="265">
        <f ca="1">IFERROR(__xludf.DUMMYFUNCTION("IMPORTRANGE(""https://docs.google.com/spreadsheets/d/1MeEWN-I1oV_STSDYn1IFDPWt_1FKiwhDph83XaGc0o0/edit?usp=sharing"",""งบพรบ!CH70"")"),0)</f>
        <v>0</v>
      </c>
      <c r="H70" s="265">
        <f ca="1">IFERROR(__xludf.DUMMYFUNCTION("IMPORTRANGE(""https://docs.google.com/spreadsheets/d/1MeEWN-I1oV_STSDYn1IFDPWt_1FKiwhDph83XaGc0o0/edit?usp=sharing"",""งบพรบ!CJ70"")"),23060)</f>
        <v>23060</v>
      </c>
      <c r="I70" s="265">
        <f ca="1">IFERROR(__xludf.DUMMYFUNCTION("IMPORTRANGE(""https://docs.google.com/spreadsheets/d/1MeEWN-I1oV_STSDYn1IFDPWt_1FKiwhDph83XaGc0o0/edit?usp=sharing"",""งบพรบ!CK70"")"),0)</f>
        <v>0</v>
      </c>
      <c r="J70" s="265">
        <f t="shared" ca="1" si="3"/>
        <v>20267.560000000001</v>
      </c>
      <c r="K70" s="272">
        <f t="shared" ca="1" si="4"/>
        <v>87.89054640069385</v>
      </c>
      <c r="L70" s="265">
        <f ca="1">IFERROR(__xludf.DUMMYFUNCTION("IMPORTRANGE(""https://docs.google.com/spreadsheets/d/1MeEWN-I1oV_STSDYn1IFDPWt_1FKiwhDph83XaGc0o0/edit?usp=sharing"",""งบพรบ!CL70"")"),20267.56)</f>
        <v>20267.560000000001</v>
      </c>
      <c r="M70" s="268">
        <f t="shared" ca="1" si="5"/>
        <v>87.89054640069385</v>
      </c>
      <c r="N70" s="268">
        <f t="shared" ca="1" si="6"/>
        <v>87.89054640069385</v>
      </c>
      <c r="O70" s="269">
        <f ca="1">IFERROR(__xludf.DUMMYFUNCTION("IMPORTRANGE(""https://docs.google.com/spreadsheets/d/1MeEWN-I1oV_STSDYn1IFDPWt_1FKiwhDph83XaGc0o0/edit?usp=sharing"",""งบพรบ!CC70"")"),0)</f>
        <v>0</v>
      </c>
      <c r="P70" s="269">
        <f t="shared" ca="1" si="22"/>
        <v>0</v>
      </c>
      <c r="Q70" s="268">
        <f t="shared" ca="1" si="8"/>
        <v>0</v>
      </c>
      <c r="R70" s="266">
        <f ca="1">IFERROR(__xludf.DUMMYFUNCTION("IMPORTRANGE(""https://docs.google.com/spreadsheets/d/1Nn1EvsFPtXldgpgVb3Rcng2K2cls68LFQsBh2FyW0Bg/edit?usp=sharing"",""สระบุรี!I176"")"),12)</f>
        <v>12</v>
      </c>
      <c r="S70" s="266">
        <f ca="1">IFERROR(__xludf.DUMMYFUNCTION("IMPORTRANGE(""https://docs.google.com/spreadsheets/d/1Nn1EvsFPtXldgpgVb3Rcng2K2cls68LFQsBh2FyW0Bg/edit?usp=sharing"",""สระบุรี!J176"")"),12)</f>
        <v>12</v>
      </c>
      <c r="T70" s="270">
        <f t="shared" ca="1" si="19"/>
        <v>100</v>
      </c>
      <c r="U70" s="458">
        <f ca="1">IFERROR(__xludf.DUMMYFUNCTION("IMPORTRANGE(""https://docs.google.com/spreadsheets/d/1Nn1EvsFPtXldgpgVb3Rcng2K2cls68LFQsBh2FyW0Bg/edit?usp=sharing"",""สระบุรี!I179"")"),0)</f>
        <v>0</v>
      </c>
      <c r="V70" s="271" t="str">
        <f ca="1">IFERROR(__xludf.DUMMYFUNCTION("IMPORTRANGE(""https://docs.google.com/spreadsheets/d/1Nn1EvsFPtXldgpgVb3Rcng2K2cls68LFQsBh2FyW0Bg/edit?usp=sharing"",""สระบุรี!J179"")"),"")</f>
        <v/>
      </c>
      <c r="W70" s="270">
        <f t="shared" ca="1" si="20"/>
        <v>0</v>
      </c>
      <c r="X70" s="209"/>
      <c r="Y70" s="209"/>
      <c r="Z70" s="209"/>
    </row>
    <row r="71" spans="1:26" ht="21" customHeight="1" x14ac:dyDescent="0.3">
      <c r="A71" s="261">
        <v>19</v>
      </c>
      <c r="B71" s="262" t="s">
        <v>93</v>
      </c>
      <c r="C71" s="263">
        <f t="shared" ca="1" si="0"/>
        <v>22055</v>
      </c>
      <c r="D71" s="264">
        <f t="shared" ca="1" si="33"/>
        <v>22055</v>
      </c>
      <c r="E71" s="265">
        <f ca="1">IFERROR(__xludf.DUMMYFUNCTION("IMPORTRANGE(""https://docs.google.com/spreadsheets/d/1MeEWN-I1oV_STSDYn1IFDPWt_1FKiwhDph83XaGc0o0/edit?usp=sharing"",""งบพรบ!CF71"")"),0)</f>
        <v>0</v>
      </c>
      <c r="F71" s="265">
        <f ca="1">IFERROR(__xludf.DUMMYFUNCTION("IMPORTRANGE(""https://docs.google.com/spreadsheets/d/1MeEWN-I1oV_STSDYn1IFDPWt_1FKiwhDph83XaGc0o0/edit?usp=sharing"",""งบพรบ!CG71"")"),22055)</f>
        <v>22055</v>
      </c>
      <c r="G71" s="265">
        <f ca="1">IFERROR(__xludf.DUMMYFUNCTION("IMPORTRANGE(""https://docs.google.com/spreadsheets/d/1MeEWN-I1oV_STSDYn1IFDPWt_1FKiwhDph83XaGc0o0/edit?usp=sharing"",""งบพรบ!CH71"")"),0)</f>
        <v>0</v>
      </c>
      <c r="H71" s="265">
        <f ca="1">IFERROR(__xludf.DUMMYFUNCTION("IMPORTRANGE(""https://docs.google.com/spreadsheets/d/1MeEWN-I1oV_STSDYn1IFDPWt_1FKiwhDph83XaGc0o0/edit?usp=sharing"",""งบพรบ!CJ71"")"),22055)</f>
        <v>22055</v>
      </c>
      <c r="I71" s="265">
        <f ca="1">IFERROR(__xludf.DUMMYFUNCTION("IMPORTRANGE(""https://docs.google.com/spreadsheets/d/1MeEWN-I1oV_STSDYn1IFDPWt_1FKiwhDph83XaGc0o0/edit?usp=sharing"",""งบพรบ!CK71"")"),0)</f>
        <v>0</v>
      </c>
      <c r="J71" s="265">
        <f t="shared" ca="1" si="3"/>
        <v>22055</v>
      </c>
      <c r="K71" s="272">
        <f t="shared" ca="1" si="4"/>
        <v>100</v>
      </c>
      <c r="L71" s="265">
        <f ca="1">IFERROR(__xludf.DUMMYFUNCTION("IMPORTRANGE(""https://docs.google.com/spreadsheets/d/1MeEWN-I1oV_STSDYn1IFDPWt_1FKiwhDph83XaGc0o0/edit?usp=sharing"",""งบพรบ!CL71"")"),22055)</f>
        <v>22055</v>
      </c>
      <c r="M71" s="268">
        <f t="shared" ca="1" si="5"/>
        <v>100</v>
      </c>
      <c r="N71" s="268">
        <f t="shared" ca="1" si="6"/>
        <v>100</v>
      </c>
      <c r="O71" s="269">
        <f ca="1">IFERROR(__xludf.DUMMYFUNCTION("IMPORTRANGE(""https://docs.google.com/spreadsheets/d/1MeEWN-I1oV_STSDYn1IFDPWt_1FKiwhDph83XaGc0o0/edit?usp=sharing"",""งบพรบ!CC71"")"),0)</f>
        <v>0</v>
      </c>
      <c r="P71" s="269">
        <f t="shared" ca="1" si="22"/>
        <v>0</v>
      </c>
      <c r="Q71" s="268">
        <f t="shared" ca="1" si="8"/>
        <v>0</v>
      </c>
      <c r="R71" s="266">
        <f ca="1">IFERROR(__xludf.DUMMYFUNCTION("IMPORTRANGE(""https://docs.google.com/spreadsheets/d/149xufxukrnEciK3WPbNpHwUK8BKEJxp3UcBG3Al6dA4/edit?usp=sharing"",""สิงห์บุรี!I176"")"),11)</f>
        <v>11</v>
      </c>
      <c r="S71" s="266">
        <f ca="1">IFERROR(__xludf.DUMMYFUNCTION("IMPORTRANGE(""https://docs.google.com/spreadsheets/d/149xufxukrnEciK3WPbNpHwUK8BKEJxp3UcBG3Al6dA4/edit?usp=sharing"",""สิงห์บุรี!J176"")"),11)</f>
        <v>11</v>
      </c>
      <c r="T71" s="270">
        <f t="shared" ca="1" si="19"/>
        <v>100</v>
      </c>
      <c r="U71" s="458">
        <f ca="1">IFERROR(__xludf.DUMMYFUNCTION("IMPORTRANGE(""https://docs.google.com/spreadsheets/d/149xufxukrnEciK3WPbNpHwUK8BKEJxp3UcBG3Al6dA4/edit?usp=sharing"",""สิงห์บุรี!I179"")"),0)</f>
        <v>0</v>
      </c>
      <c r="V71" s="271" t="str">
        <f ca="1">IFERROR(__xludf.DUMMYFUNCTION("IMPORTRANGE(""https://docs.google.com/spreadsheets/d/149xufxukrnEciK3WPbNpHwUK8BKEJxp3UcBG3Al6dA4/edit?usp=sharing"",""สิงห์บุรี!J179"")"),"")</f>
        <v/>
      </c>
      <c r="W71" s="270">
        <f t="shared" ca="1" si="20"/>
        <v>0</v>
      </c>
      <c r="X71" s="209"/>
      <c r="Y71" s="209"/>
      <c r="Z71" s="209"/>
    </row>
    <row r="72" spans="1:26" ht="21" customHeight="1" x14ac:dyDescent="0.3">
      <c r="A72" s="261">
        <v>20</v>
      </c>
      <c r="B72" s="262" t="s">
        <v>94</v>
      </c>
      <c r="C72" s="263">
        <f t="shared" ca="1" si="0"/>
        <v>23060</v>
      </c>
      <c r="D72" s="264">
        <f t="shared" ca="1" si="33"/>
        <v>23060</v>
      </c>
      <c r="E72" s="265">
        <f ca="1">IFERROR(__xludf.DUMMYFUNCTION("IMPORTRANGE(""https://docs.google.com/spreadsheets/d/1MeEWN-I1oV_STSDYn1IFDPWt_1FKiwhDph83XaGc0o0/edit?usp=sharing"",""งบพรบ!CF72"")"),0)</f>
        <v>0</v>
      </c>
      <c r="F72" s="265">
        <f ca="1">IFERROR(__xludf.DUMMYFUNCTION("IMPORTRANGE(""https://docs.google.com/spreadsheets/d/1MeEWN-I1oV_STSDYn1IFDPWt_1FKiwhDph83XaGc0o0/edit?usp=sharing"",""งบพรบ!CG72"")"),23060)</f>
        <v>23060</v>
      </c>
      <c r="G72" s="265">
        <f ca="1">IFERROR(__xludf.DUMMYFUNCTION("IMPORTRANGE(""https://docs.google.com/spreadsheets/d/1MeEWN-I1oV_STSDYn1IFDPWt_1FKiwhDph83XaGc0o0/edit?usp=sharing"",""งบพรบ!CH72"")"),0)</f>
        <v>0</v>
      </c>
      <c r="H72" s="265">
        <f ca="1">IFERROR(__xludf.DUMMYFUNCTION("IMPORTRANGE(""https://docs.google.com/spreadsheets/d/1MeEWN-I1oV_STSDYn1IFDPWt_1FKiwhDph83XaGc0o0/edit?usp=sharing"",""งบพรบ!CJ72"")"),23060)</f>
        <v>23060</v>
      </c>
      <c r="I72" s="265">
        <f ca="1">IFERROR(__xludf.DUMMYFUNCTION("IMPORTRANGE(""https://docs.google.com/spreadsheets/d/1MeEWN-I1oV_STSDYn1IFDPWt_1FKiwhDph83XaGc0o0/edit?usp=sharing"",""งบพรบ!CK72"")"),0)</f>
        <v>0</v>
      </c>
      <c r="J72" s="265">
        <f t="shared" ca="1" si="3"/>
        <v>23060</v>
      </c>
      <c r="K72" s="272">
        <f t="shared" ca="1" si="4"/>
        <v>100</v>
      </c>
      <c r="L72" s="265">
        <f ca="1">IFERROR(__xludf.DUMMYFUNCTION("IMPORTRANGE(""https://docs.google.com/spreadsheets/d/1MeEWN-I1oV_STSDYn1IFDPWt_1FKiwhDph83XaGc0o0/edit?usp=sharing"",""งบพรบ!CL72"")"),23060)</f>
        <v>23060</v>
      </c>
      <c r="M72" s="268">
        <f t="shared" ca="1" si="5"/>
        <v>100</v>
      </c>
      <c r="N72" s="268">
        <f t="shared" ca="1" si="6"/>
        <v>100</v>
      </c>
      <c r="O72" s="269">
        <f ca="1">IFERROR(__xludf.DUMMYFUNCTION("IMPORTRANGE(""https://docs.google.com/spreadsheets/d/1MeEWN-I1oV_STSDYn1IFDPWt_1FKiwhDph83XaGc0o0/edit?usp=sharing"",""งบพรบ!CC72"")"),0)</f>
        <v>0</v>
      </c>
      <c r="P72" s="269">
        <f t="shared" ca="1" si="22"/>
        <v>0</v>
      </c>
      <c r="Q72" s="268">
        <f t="shared" ca="1" si="8"/>
        <v>0</v>
      </c>
      <c r="R72" s="266">
        <f ca="1">IFERROR(__xludf.DUMMYFUNCTION("IMPORTRANGE(""https://docs.google.com/spreadsheets/d/132g-zJpz2uMKimp17uOIx8A7o3w1Z25zwJyXnwsB56c/edit?usp=sharing"",""สุพรรณบุรี!I176"")"),12)</f>
        <v>12</v>
      </c>
      <c r="S72" s="266">
        <f ca="1">IFERROR(__xludf.DUMMYFUNCTION("IMPORTRANGE(""https://docs.google.com/spreadsheets/d/132g-zJpz2uMKimp17uOIx8A7o3w1Z25zwJyXnwsB56c/edit?usp=sharing"",""สุพรรณบุรี!J176"")"),12)</f>
        <v>12</v>
      </c>
      <c r="T72" s="270">
        <f t="shared" ca="1" si="19"/>
        <v>100</v>
      </c>
      <c r="U72" s="458">
        <f ca="1">IFERROR(__xludf.DUMMYFUNCTION("IMPORTRANGE(""https://docs.google.com/spreadsheets/d/132g-zJpz2uMKimp17uOIx8A7o3w1Z25zwJyXnwsB56c/edit?usp=sharing"",""สุพรรณบุรี!I179"")"),0)</f>
        <v>0</v>
      </c>
      <c r="V72" s="271" t="str">
        <f ca="1">IFERROR(__xludf.DUMMYFUNCTION("IMPORTRANGE(""https://docs.google.com/spreadsheets/d/132g-zJpz2uMKimp17uOIx8A7o3w1Z25zwJyXnwsB56c/edit?usp=sharing"",""สุพรรณบุรี!J179"")"),"")</f>
        <v/>
      </c>
      <c r="W72" s="270">
        <f t="shared" ca="1" si="20"/>
        <v>0</v>
      </c>
      <c r="X72" s="209"/>
      <c r="Y72" s="209"/>
      <c r="Z72" s="209"/>
    </row>
    <row r="73" spans="1:26" ht="21" customHeight="1" x14ac:dyDescent="0.3">
      <c r="A73" s="273">
        <v>21</v>
      </c>
      <c r="B73" s="274" t="s">
        <v>95</v>
      </c>
      <c r="C73" s="275">
        <f t="shared" ca="1" si="0"/>
        <v>0</v>
      </c>
      <c r="D73" s="276">
        <f t="shared" ca="1" si="33"/>
        <v>0</v>
      </c>
      <c r="E73" s="277">
        <f ca="1">IFERROR(__xludf.DUMMYFUNCTION("IMPORTRANGE(""https://docs.google.com/spreadsheets/d/1MeEWN-I1oV_STSDYn1IFDPWt_1FKiwhDph83XaGc0o0/edit?usp=sharing"",""งบพรบ!CF73"")"),0)</f>
        <v>0</v>
      </c>
      <c r="F73" s="277">
        <f ca="1">IFERROR(__xludf.DUMMYFUNCTION("IMPORTRANGE(""https://docs.google.com/spreadsheets/d/1MeEWN-I1oV_STSDYn1IFDPWt_1FKiwhDph83XaGc0o0/edit?usp=sharing"",""งบพรบ!CG73"")"),0)</f>
        <v>0</v>
      </c>
      <c r="G73" s="277">
        <f ca="1">IFERROR(__xludf.DUMMYFUNCTION("IMPORTRANGE(""https://docs.google.com/spreadsheets/d/1MeEWN-I1oV_STSDYn1IFDPWt_1FKiwhDph83XaGc0o0/edit?usp=sharing"",""งบพรบ!CH73"")"),0)</f>
        <v>0</v>
      </c>
      <c r="H73" s="277">
        <f ca="1">IFERROR(__xludf.DUMMYFUNCTION("IMPORTRANGE(""https://docs.google.com/spreadsheets/d/1MeEWN-I1oV_STSDYn1IFDPWt_1FKiwhDph83XaGc0o0/edit?usp=sharing"",""งบพรบ!CJ73"")"),0)</f>
        <v>0</v>
      </c>
      <c r="I73" s="277">
        <f ca="1">IFERROR(__xludf.DUMMYFUNCTION("IMPORTRANGE(""https://docs.google.com/spreadsheets/d/1MeEWN-I1oV_STSDYn1IFDPWt_1FKiwhDph83XaGc0o0/edit?usp=sharing"",""งบพรบ!CK73"")"),0)</f>
        <v>0</v>
      </c>
      <c r="J73" s="277">
        <f t="shared" ca="1" si="3"/>
        <v>0</v>
      </c>
      <c r="K73" s="278">
        <f t="shared" ca="1" si="4"/>
        <v>0</v>
      </c>
      <c r="L73" s="277">
        <f ca="1">IFERROR(__xludf.DUMMYFUNCTION("IMPORTRANGE(""https://docs.google.com/spreadsheets/d/1MeEWN-I1oV_STSDYn1IFDPWt_1FKiwhDph83XaGc0o0/edit?usp=sharing"",""งบพรบ!CL73"")"),0)</f>
        <v>0</v>
      </c>
      <c r="M73" s="279">
        <f t="shared" ca="1" si="5"/>
        <v>0</v>
      </c>
      <c r="N73" s="279">
        <f t="shared" ca="1" si="6"/>
        <v>0</v>
      </c>
      <c r="O73" s="280">
        <f ca="1">IFERROR(__xludf.DUMMYFUNCTION("IMPORTRANGE(""https://docs.google.com/spreadsheets/d/1MeEWN-I1oV_STSDYn1IFDPWt_1FKiwhDph83XaGc0o0/edit?usp=sharing"",""งบพรบ!CC73"")"),0)</f>
        <v>0</v>
      </c>
      <c r="P73" s="280">
        <f t="shared" ca="1" si="22"/>
        <v>0</v>
      </c>
      <c r="Q73" s="279">
        <f t="shared" ca="1" si="8"/>
        <v>0</v>
      </c>
      <c r="R73" s="281">
        <f ca="1">IFERROR(__xludf.DUMMYFUNCTION("IMPORTRANGE(""https://docs.google.com/spreadsheets/d/12Q_U0nVnFdxDFwa0pej9xvx8ZvLC9Dpi_vRro_aiG5g/edit?usp=sharing"",""อ่างทอง!I176"")"),0)</f>
        <v>0</v>
      </c>
      <c r="S73" s="281">
        <f ca="1">IFERROR(__xludf.DUMMYFUNCTION("IMPORTRANGE(""https://docs.google.com/spreadsheets/d/12Q_U0nVnFdxDFwa0pej9xvx8ZvLC9Dpi_vRro_aiG5g/edit?usp=sharing"",""อ่างทอง!J176"")"),0)</f>
        <v>0</v>
      </c>
      <c r="T73" s="282">
        <f t="shared" ca="1" si="19"/>
        <v>0</v>
      </c>
      <c r="U73" s="459">
        <f ca="1">IFERROR(__xludf.DUMMYFUNCTION("IMPORTRANGE(""https://docs.google.com/spreadsheets/d/12Q_U0nVnFdxDFwa0pej9xvx8ZvLC9Dpi_vRro_aiG5g/edit?usp=sharing"",""อ่างทอง!I179"")"),0)</f>
        <v>0</v>
      </c>
      <c r="V73" s="283" t="str">
        <f ca="1">IFERROR(__xludf.DUMMYFUNCTION("IMPORTRANGE(""https://docs.google.com/spreadsheets/d/12Q_U0nVnFdxDFwa0pej9xvx8ZvLC9Dpi_vRro_aiG5g/edit?usp=sharing"",""อ่างทอง!J179"")"),"")</f>
        <v/>
      </c>
      <c r="W73" s="282">
        <f t="shared" ca="1" si="20"/>
        <v>0</v>
      </c>
      <c r="X73" s="209"/>
      <c r="Y73" s="209"/>
      <c r="Z73" s="209"/>
    </row>
    <row r="74" spans="1:26" ht="21" customHeight="1" x14ac:dyDescent="0.3">
      <c r="A74" s="416" t="s">
        <v>96</v>
      </c>
      <c r="B74" s="397"/>
      <c r="C74" s="243">
        <f t="shared" ca="1" si="0"/>
        <v>271695</v>
      </c>
      <c r="D74" s="243">
        <f t="shared" ref="D74:I74" ca="1" si="34">SUM(D75:D88)</f>
        <v>271695</v>
      </c>
      <c r="E74" s="243">
        <f t="shared" ca="1" si="34"/>
        <v>0</v>
      </c>
      <c r="F74" s="243">
        <f t="shared" ca="1" si="34"/>
        <v>271695</v>
      </c>
      <c r="G74" s="243">
        <f t="shared" ca="1" si="34"/>
        <v>0</v>
      </c>
      <c r="H74" s="243">
        <f t="shared" ca="1" si="34"/>
        <v>271695</v>
      </c>
      <c r="I74" s="243">
        <f t="shared" ca="1" si="34"/>
        <v>0</v>
      </c>
      <c r="J74" s="243">
        <f t="shared" ca="1" si="3"/>
        <v>220524</v>
      </c>
      <c r="K74" s="244">
        <f t="shared" ca="1" si="4"/>
        <v>81.16601336056975</v>
      </c>
      <c r="L74" s="243">
        <f ca="1">SUM(L75:L88)</f>
        <v>220524</v>
      </c>
      <c r="M74" s="245">
        <f t="shared" ca="1" si="5"/>
        <v>81.16601336056975</v>
      </c>
      <c r="N74" s="245">
        <f t="shared" ca="1" si="6"/>
        <v>81.16601336056975</v>
      </c>
      <c r="O74" s="246">
        <f ca="1">SUM(O75:O88)</f>
        <v>0</v>
      </c>
      <c r="P74" s="246">
        <f t="shared" ca="1" si="22"/>
        <v>0</v>
      </c>
      <c r="Q74" s="245">
        <f t="shared" ca="1" si="8"/>
        <v>0</v>
      </c>
      <c r="R74" s="243">
        <f t="shared" ref="R74:S74" ca="1" si="35">SUM(R75:R88)</f>
        <v>139</v>
      </c>
      <c r="S74" s="243">
        <f t="shared" ca="1" si="35"/>
        <v>116</v>
      </c>
      <c r="T74" s="245">
        <f t="shared" ca="1" si="19"/>
        <v>83.453237410071949</v>
      </c>
      <c r="U74" s="243">
        <f t="shared" ref="U74:V74" ca="1" si="36">SUM(U75:U88)</f>
        <v>0</v>
      </c>
      <c r="V74" s="243">
        <f t="shared" ca="1" si="36"/>
        <v>0</v>
      </c>
      <c r="W74" s="245">
        <f t="shared" ca="1" si="20"/>
        <v>0</v>
      </c>
      <c r="X74" s="209"/>
      <c r="Y74" s="209"/>
      <c r="Z74" s="209"/>
    </row>
    <row r="75" spans="1:26" ht="21" customHeight="1" x14ac:dyDescent="0.3">
      <c r="A75" s="261">
        <v>1</v>
      </c>
      <c r="B75" s="262" t="s">
        <v>97</v>
      </c>
      <c r="C75" s="263">
        <f t="shared" ca="1" si="0"/>
        <v>0</v>
      </c>
      <c r="D75" s="264">
        <f t="shared" ref="D75:D88" ca="1" si="37">+E75+F75</f>
        <v>0</v>
      </c>
      <c r="E75" s="265">
        <f ca="1">IFERROR(__xludf.DUMMYFUNCTION("IMPORTRANGE(""https://docs.google.com/spreadsheets/d/1MeEWN-I1oV_STSDYn1IFDPWt_1FKiwhDph83XaGc0o0/edit?usp=sharing"",""งบพรบ!CF75"")"),0)</f>
        <v>0</v>
      </c>
      <c r="F75" s="265">
        <f ca="1">IFERROR(__xludf.DUMMYFUNCTION("IMPORTRANGE(""https://docs.google.com/spreadsheets/d/1MeEWN-I1oV_STSDYn1IFDPWt_1FKiwhDph83XaGc0o0/edit?usp=sharing"",""งบพรบ!CG75"")"),0)</f>
        <v>0</v>
      </c>
      <c r="G75" s="265">
        <f ca="1">IFERROR(__xludf.DUMMYFUNCTION("IMPORTRANGE(""https://docs.google.com/spreadsheets/d/1MeEWN-I1oV_STSDYn1IFDPWt_1FKiwhDph83XaGc0o0/edit?usp=sharing"",""งบพรบ!CH75"")"),0)</f>
        <v>0</v>
      </c>
      <c r="H75" s="265">
        <f ca="1">IFERROR(__xludf.DUMMYFUNCTION("IMPORTRANGE(""https://docs.google.com/spreadsheets/d/1MeEWN-I1oV_STSDYn1IFDPWt_1FKiwhDph83XaGc0o0/edit?usp=sharing"",""งบพรบ!CJ75"")"),0)</f>
        <v>0</v>
      </c>
      <c r="I75" s="265">
        <f ca="1">IFERROR(__xludf.DUMMYFUNCTION("IMPORTRANGE(""https://docs.google.com/spreadsheets/d/1MeEWN-I1oV_STSDYn1IFDPWt_1FKiwhDph83XaGc0o0/edit?usp=sharing"",""งบพรบ!CK75"")"),0)</f>
        <v>0</v>
      </c>
      <c r="J75" s="265">
        <f t="shared" ca="1" si="3"/>
        <v>0</v>
      </c>
      <c r="K75" s="272">
        <f t="shared" ca="1" si="4"/>
        <v>0</v>
      </c>
      <c r="L75" s="265">
        <f ca="1">IFERROR(__xludf.DUMMYFUNCTION("IMPORTRANGE(""https://docs.google.com/spreadsheets/d/1MeEWN-I1oV_STSDYn1IFDPWt_1FKiwhDph83XaGc0o0/edit?usp=sharing"",""งบพรบ!CL75"")"),0)</f>
        <v>0</v>
      </c>
      <c r="M75" s="268">
        <f t="shared" ca="1" si="5"/>
        <v>0</v>
      </c>
      <c r="N75" s="268">
        <f t="shared" ca="1" si="6"/>
        <v>0</v>
      </c>
      <c r="O75" s="269">
        <f ca="1">IFERROR(__xludf.DUMMYFUNCTION("IMPORTRANGE(""https://docs.google.com/spreadsheets/d/1MeEWN-I1oV_STSDYn1IFDPWt_1FKiwhDph83XaGc0o0/edit?usp=sharing"",""งบพรบ!CC75"")"),0)</f>
        <v>0</v>
      </c>
      <c r="P75" s="269">
        <f t="shared" ca="1" si="22"/>
        <v>0</v>
      </c>
      <c r="Q75" s="268">
        <f t="shared" ca="1" si="8"/>
        <v>0</v>
      </c>
      <c r="R75" s="266">
        <f ca="1">IFERROR(__xludf.DUMMYFUNCTION("IMPORTRANGE(""https://docs.google.com/spreadsheets/d/1kC41EOXpGBFOW658Fs3oD8beYlym0-zO54WY-2Qnp9I/edit?usp=sharing"",""กระบี่!I176"")"),0)</f>
        <v>0</v>
      </c>
      <c r="S75" s="266">
        <f ca="1">IFERROR(__xludf.DUMMYFUNCTION("IMPORTRANGE(""https://docs.google.com/spreadsheets/d/1kC41EOXpGBFOW658Fs3oD8beYlym0-zO54WY-2Qnp9I/edit?usp=sharing"",""กระบี่!J176"")"),0)</f>
        <v>0</v>
      </c>
      <c r="T75" s="270">
        <f t="shared" ca="1" si="19"/>
        <v>0</v>
      </c>
      <c r="U75" s="458">
        <f ca="1">IFERROR(__xludf.DUMMYFUNCTION("IMPORTRANGE(""https://docs.google.com/spreadsheets/d/1kC41EOXpGBFOW658Fs3oD8beYlym0-zO54WY-2Qnp9I/edit?usp=sharing"",""กระบี่!I179"")"),0)</f>
        <v>0</v>
      </c>
      <c r="V75" s="271" t="str">
        <f ca="1">IFERROR(__xludf.DUMMYFUNCTION("IMPORTRANGE(""https://docs.google.com/spreadsheets/d/1kC41EOXpGBFOW658Fs3oD8beYlym0-zO54WY-2Qnp9I/edit?usp=sharing"",""กระบี่!J179"")"),"")</f>
        <v/>
      </c>
      <c r="W75" s="270">
        <f t="shared" ca="1" si="20"/>
        <v>0</v>
      </c>
      <c r="X75" s="209"/>
      <c r="Y75" s="209"/>
      <c r="Z75" s="209"/>
    </row>
    <row r="76" spans="1:26" ht="21" customHeight="1" x14ac:dyDescent="0.3">
      <c r="A76" s="261">
        <v>2</v>
      </c>
      <c r="B76" s="262" t="s">
        <v>98</v>
      </c>
      <c r="C76" s="263">
        <f t="shared" ca="1" si="0"/>
        <v>0</v>
      </c>
      <c r="D76" s="264">
        <f t="shared" ca="1" si="37"/>
        <v>0</v>
      </c>
      <c r="E76" s="265">
        <f ca="1">IFERROR(__xludf.DUMMYFUNCTION("IMPORTRANGE(""https://docs.google.com/spreadsheets/d/1MeEWN-I1oV_STSDYn1IFDPWt_1FKiwhDph83XaGc0o0/edit?usp=sharing"",""งบพรบ!CF76"")"),0)</f>
        <v>0</v>
      </c>
      <c r="F76" s="265">
        <f ca="1">IFERROR(__xludf.DUMMYFUNCTION("IMPORTRANGE(""https://docs.google.com/spreadsheets/d/1MeEWN-I1oV_STSDYn1IFDPWt_1FKiwhDph83XaGc0o0/edit?usp=sharing"",""งบพรบ!CG76"")"),0)</f>
        <v>0</v>
      </c>
      <c r="G76" s="265">
        <f ca="1">IFERROR(__xludf.DUMMYFUNCTION("IMPORTRANGE(""https://docs.google.com/spreadsheets/d/1MeEWN-I1oV_STSDYn1IFDPWt_1FKiwhDph83XaGc0o0/edit?usp=sharing"",""งบพรบ!CH76"")"),0)</f>
        <v>0</v>
      </c>
      <c r="H76" s="265">
        <f ca="1">IFERROR(__xludf.DUMMYFUNCTION("IMPORTRANGE(""https://docs.google.com/spreadsheets/d/1MeEWN-I1oV_STSDYn1IFDPWt_1FKiwhDph83XaGc0o0/edit?usp=sharing"",""งบพรบ!CJ76"")"),0)</f>
        <v>0</v>
      </c>
      <c r="I76" s="265">
        <f ca="1">IFERROR(__xludf.DUMMYFUNCTION("IMPORTRANGE(""https://docs.google.com/spreadsheets/d/1MeEWN-I1oV_STSDYn1IFDPWt_1FKiwhDph83XaGc0o0/edit?usp=sharing"",""งบพรบ!CK76"")"),0)</f>
        <v>0</v>
      </c>
      <c r="J76" s="265">
        <f t="shared" ca="1" si="3"/>
        <v>0</v>
      </c>
      <c r="K76" s="272">
        <f t="shared" ca="1" si="4"/>
        <v>0</v>
      </c>
      <c r="L76" s="265">
        <f ca="1">IFERROR(__xludf.DUMMYFUNCTION("IMPORTRANGE(""https://docs.google.com/spreadsheets/d/1MeEWN-I1oV_STSDYn1IFDPWt_1FKiwhDph83XaGc0o0/edit?usp=sharing"",""งบพรบ!CL76"")"),0)</f>
        <v>0</v>
      </c>
      <c r="M76" s="268">
        <f t="shared" ca="1" si="5"/>
        <v>0</v>
      </c>
      <c r="N76" s="268">
        <f t="shared" ca="1" si="6"/>
        <v>0</v>
      </c>
      <c r="O76" s="269">
        <f ca="1">IFERROR(__xludf.DUMMYFUNCTION("IMPORTRANGE(""https://docs.google.com/spreadsheets/d/1MeEWN-I1oV_STSDYn1IFDPWt_1FKiwhDph83XaGc0o0/edit?usp=sharing"",""งบพรบ!CC76"")"),0)</f>
        <v>0</v>
      </c>
      <c r="P76" s="269">
        <f t="shared" ca="1" si="22"/>
        <v>0</v>
      </c>
      <c r="Q76" s="268">
        <f t="shared" ca="1" si="8"/>
        <v>0</v>
      </c>
      <c r="R76" s="266">
        <f ca="1">IFERROR(__xludf.DUMMYFUNCTION("IMPORTRANGE(""https://docs.google.com/spreadsheets/d/1FbzMZY_f3MDiEuK7RpCQKrilJ_kpX0Wm7QBZ1L7EjIU/edit?usp=sharing"",""ชุมพร!I176"")"),0)</f>
        <v>0</v>
      </c>
      <c r="S76" s="266">
        <f ca="1">IFERROR(__xludf.DUMMYFUNCTION("IMPORTRANGE(""https://docs.google.com/spreadsheets/d/1FbzMZY_f3MDiEuK7RpCQKrilJ_kpX0Wm7QBZ1L7EjIU/edit?usp=sharing"",""ชุมพร!J176"")"),0)</f>
        <v>0</v>
      </c>
      <c r="T76" s="270">
        <f t="shared" ca="1" si="19"/>
        <v>0</v>
      </c>
      <c r="U76" s="458">
        <f ca="1">IFERROR(__xludf.DUMMYFUNCTION("IMPORTRANGE(""https://docs.google.com/spreadsheets/d/1FbzMZY_f3MDiEuK7RpCQKrilJ_kpX0Wm7QBZ1L7EjIU/edit?usp=sharing"",""ชุมพร!I179"")"),0)</f>
        <v>0</v>
      </c>
      <c r="V76" s="271" t="str">
        <f ca="1">IFERROR(__xludf.DUMMYFUNCTION("IMPORTRANGE(""https://docs.google.com/spreadsheets/d/1FbzMZY_f3MDiEuK7RpCQKrilJ_kpX0Wm7QBZ1L7EjIU/edit?usp=sharing"",""ชุมพร!J179"")"),"")</f>
        <v/>
      </c>
      <c r="W76" s="270">
        <f t="shared" ca="1" si="20"/>
        <v>0</v>
      </c>
      <c r="X76" s="209"/>
      <c r="Y76" s="209"/>
      <c r="Z76" s="209"/>
    </row>
    <row r="77" spans="1:26" ht="21" customHeight="1" x14ac:dyDescent="0.3">
      <c r="A77" s="261">
        <v>3</v>
      </c>
      <c r="B77" s="262" t="s">
        <v>99</v>
      </c>
      <c r="C77" s="263">
        <f t="shared" ca="1" si="0"/>
        <v>24065</v>
      </c>
      <c r="D77" s="264">
        <f t="shared" ca="1" si="37"/>
        <v>24065</v>
      </c>
      <c r="E77" s="265">
        <f ca="1">IFERROR(__xludf.DUMMYFUNCTION("IMPORTRANGE(""https://docs.google.com/spreadsheets/d/1MeEWN-I1oV_STSDYn1IFDPWt_1FKiwhDph83XaGc0o0/edit?usp=sharing"",""งบพรบ!CF77"")"),0)</f>
        <v>0</v>
      </c>
      <c r="F77" s="265">
        <f ca="1">IFERROR(__xludf.DUMMYFUNCTION("IMPORTRANGE(""https://docs.google.com/spreadsheets/d/1MeEWN-I1oV_STSDYn1IFDPWt_1FKiwhDph83XaGc0o0/edit?usp=sharing"",""งบพรบ!CG77"")"),24065)</f>
        <v>24065</v>
      </c>
      <c r="G77" s="265">
        <f ca="1">IFERROR(__xludf.DUMMYFUNCTION("IMPORTRANGE(""https://docs.google.com/spreadsheets/d/1MeEWN-I1oV_STSDYn1IFDPWt_1FKiwhDph83XaGc0o0/edit?usp=sharing"",""งบพรบ!CH77"")"),0)</f>
        <v>0</v>
      </c>
      <c r="H77" s="265">
        <f ca="1">IFERROR(__xludf.DUMMYFUNCTION("IMPORTRANGE(""https://docs.google.com/spreadsheets/d/1MeEWN-I1oV_STSDYn1IFDPWt_1FKiwhDph83XaGc0o0/edit?usp=sharing"",""งบพรบ!CJ77"")"),24065)</f>
        <v>24065</v>
      </c>
      <c r="I77" s="265">
        <f ca="1">IFERROR(__xludf.DUMMYFUNCTION("IMPORTRANGE(""https://docs.google.com/spreadsheets/d/1MeEWN-I1oV_STSDYn1IFDPWt_1FKiwhDph83XaGc0o0/edit?usp=sharing"",""งบพรบ!CK77"")"),0)</f>
        <v>0</v>
      </c>
      <c r="J77" s="265">
        <f t="shared" ca="1" si="3"/>
        <v>24065</v>
      </c>
      <c r="K77" s="272">
        <f t="shared" ca="1" si="4"/>
        <v>100</v>
      </c>
      <c r="L77" s="265">
        <f ca="1">IFERROR(__xludf.DUMMYFUNCTION("IMPORTRANGE(""https://docs.google.com/spreadsheets/d/1MeEWN-I1oV_STSDYn1IFDPWt_1FKiwhDph83XaGc0o0/edit?usp=sharing"",""งบพรบ!CL77"")"),24065)</f>
        <v>24065</v>
      </c>
      <c r="M77" s="268">
        <f t="shared" ca="1" si="5"/>
        <v>100</v>
      </c>
      <c r="N77" s="268">
        <f t="shared" ca="1" si="6"/>
        <v>100</v>
      </c>
      <c r="O77" s="269">
        <f ca="1">IFERROR(__xludf.DUMMYFUNCTION("IMPORTRANGE(""https://docs.google.com/spreadsheets/d/1MeEWN-I1oV_STSDYn1IFDPWt_1FKiwhDph83XaGc0o0/edit?usp=sharing"",""งบพรบ!CC77"")"),0)</f>
        <v>0</v>
      </c>
      <c r="P77" s="269">
        <f t="shared" ca="1" si="22"/>
        <v>0</v>
      </c>
      <c r="Q77" s="268">
        <f t="shared" ca="1" si="8"/>
        <v>0</v>
      </c>
      <c r="R77" s="266">
        <f ca="1">IFERROR(__xludf.DUMMYFUNCTION("IMPORTRANGE(""https://docs.google.com/spreadsheets/d/1v5sN-00LrXuhBxw4dkh2GrG_z4l5oAqOdJRBCsUyMaM/edit?usp=sharing"",""ตรัง!I176"")"),13)</f>
        <v>13</v>
      </c>
      <c r="S77" s="266">
        <f ca="1">IFERROR(__xludf.DUMMYFUNCTION("IMPORTRANGE(""https://docs.google.com/spreadsheets/d/1v5sN-00LrXuhBxw4dkh2GrG_z4l5oAqOdJRBCsUyMaM/edit?usp=sharing"",""ตรัง!J176"")"),13)</f>
        <v>13</v>
      </c>
      <c r="T77" s="270">
        <f t="shared" ca="1" si="19"/>
        <v>100</v>
      </c>
      <c r="U77" s="458">
        <f ca="1">IFERROR(__xludf.DUMMYFUNCTION("IMPORTRANGE(""https://docs.google.com/spreadsheets/d/1v5sN-00LrXuhBxw4dkh2GrG_z4l5oAqOdJRBCsUyMaM/edit?usp=sharing"",""ตรัง!I179"")"),0)</f>
        <v>0</v>
      </c>
      <c r="V77" s="271" t="str">
        <f ca="1">IFERROR(__xludf.DUMMYFUNCTION("IMPORTRANGE(""https://docs.google.com/spreadsheets/d/1v5sN-00LrXuhBxw4dkh2GrG_z4l5oAqOdJRBCsUyMaM/edit?usp=sharing"",""ตรัง!J179"")"),"")</f>
        <v/>
      </c>
      <c r="W77" s="270">
        <f t="shared" ca="1" si="20"/>
        <v>0</v>
      </c>
      <c r="X77" s="209"/>
      <c r="Y77" s="209"/>
      <c r="Z77" s="209"/>
    </row>
    <row r="78" spans="1:26" ht="21" customHeight="1" x14ac:dyDescent="0.3">
      <c r="A78" s="261">
        <v>4</v>
      </c>
      <c r="B78" s="262" t="s">
        <v>100</v>
      </c>
      <c r="C78" s="263">
        <f t="shared" ca="1" si="0"/>
        <v>24065</v>
      </c>
      <c r="D78" s="264">
        <f t="shared" ca="1" si="37"/>
        <v>24065</v>
      </c>
      <c r="E78" s="265">
        <f ca="1">IFERROR(__xludf.DUMMYFUNCTION("IMPORTRANGE(""https://docs.google.com/spreadsheets/d/1MeEWN-I1oV_STSDYn1IFDPWt_1FKiwhDph83XaGc0o0/edit?usp=sharing"",""งบพรบ!CF78"")"),0)</f>
        <v>0</v>
      </c>
      <c r="F78" s="265">
        <f ca="1">IFERROR(__xludf.DUMMYFUNCTION("IMPORTRANGE(""https://docs.google.com/spreadsheets/d/1MeEWN-I1oV_STSDYn1IFDPWt_1FKiwhDph83XaGc0o0/edit?usp=sharing"",""งบพรบ!CG78"")"),24065)</f>
        <v>24065</v>
      </c>
      <c r="G78" s="265">
        <f ca="1">IFERROR(__xludf.DUMMYFUNCTION("IMPORTRANGE(""https://docs.google.com/spreadsheets/d/1MeEWN-I1oV_STSDYn1IFDPWt_1FKiwhDph83XaGc0o0/edit?usp=sharing"",""งบพรบ!CH78"")"),0)</f>
        <v>0</v>
      </c>
      <c r="H78" s="265">
        <f ca="1">IFERROR(__xludf.DUMMYFUNCTION("IMPORTRANGE(""https://docs.google.com/spreadsheets/d/1MeEWN-I1oV_STSDYn1IFDPWt_1FKiwhDph83XaGc0o0/edit?usp=sharing"",""งบพรบ!CJ78"")"),24065)</f>
        <v>24065</v>
      </c>
      <c r="I78" s="265">
        <f ca="1">IFERROR(__xludf.DUMMYFUNCTION("IMPORTRANGE(""https://docs.google.com/spreadsheets/d/1MeEWN-I1oV_STSDYn1IFDPWt_1FKiwhDph83XaGc0o0/edit?usp=sharing"",""งบพรบ!CK78"")"),0)</f>
        <v>0</v>
      </c>
      <c r="J78" s="265">
        <f t="shared" ca="1" si="3"/>
        <v>24065</v>
      </c>
      <c r="K78" s="272">
        <f t="shared" ca="1" si="4"/>
        <v>100</v>
      </c>
      <c r="L78" s="265">
        <f ca="1">IFERROR(__xludf.DUMMYFUNCTION("IMPORTRANGE(""https://docs.google.com/spreadsheets/d/1MeEWN-I1oV_STSDYn1IFDPWt_1FKiwhDph83XaGc0o0/edit?usp=sharing"",""งบพรบ!CL78"")"),24065)</f>
        <v>24065</v>
      </c>
      <c r="M78" s="268">
        <f t="shared" ca="1" si="5"/>
        <v>100</v>
      </c>
      <c r="N78" s="268">
        <f t="shared" ca="1" si="6"/>
        <v>100</v>
      </c>
      <c r="O78" s="269">
        <f ca="1">IFERROR(__xludf.DUMMYFUNCTION("IMPORTRANGE(""https://docs.google.com/spreadsheets/d/1MeEWN-I1oV_STSDYn1IFDPWt_1FKiwhDph83XaGc0o0/edit?usp=sharing"",""งบพรบ!CC78"")"),0)</f>
        <v>0</v>
      </c>
      <c r="P78" s="269">
        <f t="shared" ca="1" si="22"/>
        <v>0</v>
      </c>
      <c r="Q78" s="268">
        <f t="shared" ca="1" si="8"/>
        <v>0</v>
      </c>
      <c r="R78" s="266">
        <f ca="1">IFERROR(__xludf.DUMMYFUNCTION("IMPORTRANGE(""https://docs.google.com/spreadsheets/d/1T5rRTzFc79aSIvqnzkZNvwPstq829QYz_xALlO1Z0s8/edit?usp=sharing"",""นครศรีธรรมราช!I176"")"),13)</f>
        <v>13</v>
      </c>
      <c r="S78" s="266">
        <f ca="1">IFERROR(__xludf.DUMMYFUNCTION("IMPORTRANGE(""https://docs.google.com/spreadsheets/d/1T5rRTzFc79aSIvqnzkZNvwPstq829QYz_xALlO1Z0s8/edit?usp=sharing"",""นครศรีธรรมราช!J176"")"),13)</f>
        <v>13</v>
      </c>
      <c r="T78" s="270">
        <f t="shared" ca="1" si="19"/>
        <v>100</v>
      </c>
      <c r="U78" s="458">
        <f ca="1">IFERROR(__xludf.DUMMYFUNCTION("IMPORTRANGE(""https://docs.google.com/spreadsheets/d/1T5rRTzFc79aSIvqnzkZNvwPstq829QYz_xALlO1Z0s8/edit?usp=sharing"",""นครศรีธรรมราช!I179"")"),0)</f>
        <v>0</v>
      </c>
      <c r="V78" s="271" t="str">
        <f ca="1">IFERROR(__xludf.DUMMYFUNCTION("IMPORTRANGE(""https://docs.google.com/spreadsheets/d/1T5rRTzFc79aSIvqnzkZNvwPstq829QYz_xALlO1Z0s8/edit?usp=sharing"",""นครศรีธรรมราช!J179"")"),"")</f>
        <v/>
      </c>
      <c r="W78" s="270">
        <f t="shared" ca="1" si="20"/>
        <v>0</v>
      </c>
      <c r="X78" s="209"/>
      <c r="Y78" s="209"/>
      <c r="Z78" s="209"/>
    </row>
    <row r="79" spans="1:26" ht="21" customHeight="1" x14ac:dyDescent="0.3">
      <c r="A79" s="261">
        <v>5</v>
      </c>
      <c r="B79" s="262" t="s">
        <v>101</v>
      </c>
      <c r="C79" s="263">
        <f t="shared" ca="1" si="0"/>
        <v>21050</v>
      </c>
      <c r="D79" s="264">
        <f t="shared" ca="1" si="37"/>
        <v>21050</v>
      </c>
      <c r="E79" s="265">
        <f ca="1">IFERROR(__xludf.DUMMYFUNCTION("IMPORTRANGE(""https://docs.google.com/spreadsheets/d/1MeEWN-I1oV_STSDYn1IFDPWt_1FKiwhDph83XaGc0o0/edit?usp=sharing"",""งบพรบ!CF79"")"),0)</f>
        <v>0</v>
      </c>
      <c r="F79" s="265">
        <f ca="1">IFERROR(__xludf.DUMMYFUNCTION("IMPORTRANGE(""https://docs.google.com/spreadsheets/d/1MeEWN-I1oV_STSDYn1IFDPWt_1FKiwhDph83XaGc0o0/edit?usp=sharing"",""งบพรบ!CG79"")"),21050)</f>
        <v>21050</v>
      </c>
      <c r="G79" s="265">
        <f ca="1">IFERROR(__xludf.DUMMYFUNCTION("IMPORTRANGE(""https://docs.google.com/spreadsheets/d/1MeEWN-I1oV_STSDYn1IFDPWt_1FKiwhDph83XaGc0o0/edit?usp=sharing"",""งบพรบ!CH79"")"),0)</f>
        <v>0</v>
      </c>
      <c r="H79" s="265">
        <f ca="1">IFERROR(__xludf.DUMMYFUNCTION("IMPORTRANGE(""https://docs.google.com/spreadsheets/d/1MeEWN-I1oV_STSDYn1IFDPWt_1FKiwhDph83XaGc0o0/edit?usp=sharing"",""งบพรบ!CJ79"")"),21050)</f>
        <v>21050</v>
      </c>
      <c r="I79" s="265">
        <f ca="1">IFERROR(__xludf.DUMMYFUNCTION("IMPORTRANGE(""https://docs.google.com/spreadsheets/d/1MeEWN-I1oV_STSDYn1IFDPWt_1FKiwhDph83XaGc0o0/edit?usp=sharing"",""งบพรบ!CK79"")"),0)</f>
        <v>0</v>
      </c>
      <c r="J79" s="265">
        <f t="shared" ca="1" si="3"/>
        <v>21050</v>
      </c>
      <c r="K79" s="272">
        <f t="shared" ca="1" si="4"/>
        <v>100</v>
      </c>
      <c r="L79" s="265">
        <f ca="1">IFERROR(__xludf.DUMMYFUNCTION("IMPORTRANGE(""https://docs.google.com/spreadsheets/d/1MeEWN-I1oV_STSDYn1IFDPWt_1FKiwhDph83XaGc0o0/edit?usp=sharing"",""งบพรบ!CL79"")"),21050)</f>
        <v>21050</v>
      </c>
      <c r="M79" s="268">
        <f t="shared" ca="1" si="5"/>
        <v>100</v>
      </c>
      <c r="N79" s="268">
        <f t="shared" ca="1" si="6"/>
        <v>100</v>
      </c>
      <c r="O79" s="269">
        <f ca="1">IFERROR(__xludf.DUMMYFUNCTION("IMPORTRANGE(""https://docs.google.com/spreadsheets/d/1MeEWN-I1oV_STSDYn1IFDPWt_1FKiwhDph83XaGc0o0/edit?usp=sharing"",""งบพรบ!CC79"")"),0)</f>
        <v>0</v>
      </c>
      <c r="P79" s="269">
        <f t="shared" ca="1" si="22"/>
        <v>0</v>
      </c>
      <c r="Q79" s="268">
        <f t="shared" ca="1" si="8"/>
        <v>0</v>
      </c>
      <c r="R79" s="266">
        <f ca="1">IFERROR(__xludf.DUMMYFUNCTION("IMPORTRANGE(""https://docs.google.com/spreadsheets/d/1BeghqumK0IvCmRd2QOy6_afsZq7ZtAGrSnVJy2u7WmY/edit?usp=sharing"",""นราธิวาส!I176"")"),10)</f>
        <v>10</v>
      </c>
      <c r="S79" s="266">
        <f ca="1">IFERROR(__xludf.DUMMYFUNCTION("IMPORTRANGE(""https://docs.google.com/spreadsheets/d/1BeghqumK0IvCmRd2QOy6_afsZq7ZtAGrSnVJy2u7WmY/edit?usp=sharing"",""นราธิวาส!J176"")"),10)</f>
        <v>10</v>
      </c>
      <c r="T79" s="270">
        <f t="shared" ca="1" si="19"/>
        <v>100</v>
      </c>
      <c r="U79" s="458">
        <f ca="1">IFERROR(__xludf.DUMMYFUNCTION("IMPORTRANGE(""https://docs.google.com/spreadsheets/d/1BeghqumK0IvCmRd2QOy6_afsZq7ZtAGrSnVJy2u7WmY/edit?usp=sharing"",""นราธิวาส!I179"")"),0)</f>
        <v>0</v>
      </c>
      <c r="V79" s="271" t="str">
        <f ca="1">IFERROR(__xludf.DUMMYFUNCTION("IMPORTRANGE(""https://docs.google.com/spreadsheets/d/1BeghqumK0IvCmRd2QOy6_afsZq7ZtAGrSnVJy2u7WmY/edit?usp=sharing"",""นราธิวาส!J179"")"),"")</f>
        <v/>
      </c>
      <c r="W79" s="270">
        <f t="shared" ca="1" si="20"/>
        <v>0</v>
      </c>
      <c r="X79" s="209"/>
      <c r="Y79" s="209"/>
      <c r="Z79" s="209"/>
    </row>
    <row r="80" spans="1:26" ht="21" customHeight="1" x14ac:dyDescent="0.3">
      <c r="A80" s="261">
        <v>6</v>
      </c>
      <c r="B80" s="262" t="s">
        <v>102</v>
      </c>
      <c r="C80" s="263">
        <f t="shared" ca="1" si="0"/>
        <v>21050</v>
      </c>
      <c r="D80" s="264">
        <f t="shared" ca="1" si="37"/>
        <v>21050</v>
      </c>
      <c r="E80" s="265">
        <f ca="1">IFERROR(__xludf.DUMMYFUNCTION("IMPORTRANGE(""https://docs.google.com/spreadsheets/d/1MeEWN-I1oV_STSDYn1IFDPWt_1FKiwhDph83XaGc0o0/edit?usp=sharing"",""งบพรบ!CF80"")"),0)</f>
        <v>0</v>
      </c>
      <c r="F80" s="265">
        <f ca="1">IFERROR(__xludf.DUMMYFUNCTION("IMPORTRANGE(""https://docs.google.com/spreadsheets/d/1MeEWN-I1oV_STSDYn1IFDPWt_1FKiwhDph83XaGc0o0/edit?usp=sharing"",""งบพรบ!CG80"")"),21050)</f>
        <v>21050</v>
      </c>
      <c r="G80" s="265">
        <f ca="1">IFERROR(__xludf.DUMMYFUNCTION("IMPORTRANGE(""https://docs.google.com/spreadsheets/d/1MeEWN-I1oV_STSDYn1IFDPWt_1FKiwhDph83XaGc0o0/edit?usp=sharing"",""งบพรบ!CH80"")"),0)</f>
        <v>0</v>
      </c>
      <c r="H80" s="265">
        <f ca="1">IFERROR(__xludf.DUMMYFUNCTION("IMPORTRANGE(""https://docs.google.com/spreadsheets/d/1MeEWN-I1oV_STSDYn1IFDPWt_1FKiwhDph83XaGc0o0/edit?usp=sharing"",""งบพรบ!CJ80"")"),21050)</f>
        <v>21050</v>
      </c>
      <c r="I80" s="265">
        <f ca="1">IFERROR(__xludf.DUMMYFUNCTION("IMPORTRANGE(""https://docs.google.com/spreadsheets/d/1MeEWN-I1oV_STSDYn1IFDPWt_1FKiwhDph83XaGc0o0/edit?usp=sharing"",""งบพรบ!CK80"")"),0)</f>
        <v>0</v>
      </c>
      <c r="J80" s="265">
        <f t="shared" ca="1" si="3"/>
        <v>21050</v>
      </c>
      <c r="K80" s="272">
        <f t="shared" ca="1" si="4"/>
        <v>100</v>
      </c>
      <c r="L80" s="265">
        <f ca="1">IFERROR(__xludf.DUMMYFUNCTION("IMPORTRANGE(""https://docs.google.com/spreadsheets/d/1MeEWN-I1oV_STSDYn1IFDPWt_1FKiwhDph83XaGc0o0/edit?usp=sharing"",""งบพรบ!CL80"")"),21050)</f>
        <v>21050</v>
      </c>
      <c r="M80" s="268">
        <f t="shared" ca="1" si="5"/>
        <v>100</v>
      </c>
      <c r="N80" s="268">
        <f t="shared" ca="1" si="6"/>
        <v>100</v>
      </c>
      <c r="O80" s="269">
        <f ca="1">IFERROR(__xludf.DUMMYFUNCTION("IMPORTRANGE(""https://docs.google.com/spreadsheets/d/1MeEWN-I1oV_STSDYn1IFDPWt_1FKiwhDph83XaGc0o0/edit?usp=sharing"",""งบพรบ!CC80"")"),0)</f>
        <v>0</v>
      </c>
      <c r="P80" s="269">
        <f t="shared" ca="1" si="22"/>
        <v>0</v>
      </c>
      <c r="Q80" s="268">
        <f t="shared" ca="1" si="8"/>
        <v>0</v>
      </c>
      <c r="R80" s="266">
        <f ca="1">IFERROR(__xludf.DUMMYFUNCTION("IMPORTRANGE(""https://docs.google.com/spreadsheets/d/1IwnW3-jjRf74MCLW-6PiFwMUffRQXZwZA7YM609NmRc/edit?usp=sharing"",""ปัตตานี!I176"")"),10)</f>
        <v>10</v>
      </c>
      <c r="S80" s="266">
        <f ca="1">IFERROR(__xludf.DUMMYFUNCTION("IMPORTRANGE(""https://docs.google.com/spreadsheets/d/1IwnW3-jjRf74MCLW-6PiFwMUffRQXZwZA7YM609NmRc/edit?usp=sharing"",""ปัตตานี!J176"")"),0)</f>
        <v>0</v>
      </c>
      <c r="T80" s="270">
        <f t="shared" ca="1" si="19"/>
        <v>0</v>
      </c>
      <c r="U80" s="458">
        <f ca="1">IFERROR(__xludf.DUMMYFUNCTION("IMPORTRANGE(""https://docs.google.com/spreadsheets/d/1IwnW3-jjRf74MCLW-6PiFwMUffRQXZwZA7YM609NmRc/edit?usp=sharing"",""ปัตตานี!I179"")"),0)</f>
        <v>0</v>
      </c>
      <c r="V80" s="271" t="str">
        <f ca="1">IFERROR(__xludf.DUMMYFUNCTION("IMPORTRANGE(""https://docs.google.com/spreadsheets/d/1IwnW3-jjRf74MCLW-6PiFwMUffRQXZwZA7YM609NmRc/edit?usp=sharing"",""ปัตตานี!J179"")"),"")</f>
        <v/>
      </c>
      <c r="W80" s="270">
        <f t="shared" ca="1" si="20"/>
        <v>0</v>
      </c>
      <c r="X80" s="209"/>
      <c r="Y80" s="209"/>
      <c r="Z80" s="209"/>
    </row>
    <row r="81" spans="1:26" ht="21" customHeight="1" x14ac:dyDescent="0.3">
      <c r="A81" s="261">
        <v>7</v>
      </c>
      <c r="B81" s="262" t="s">
        <v>103</v>
      </c>
      <c r="C81" s="263">
        <f t="shared" ca="1" si="0"/>
        <v>24065</v>
      </c>
      <c r="D81" s="264">
        <f t="shared" ca="1" si="37"/>
        <v>24065</v>
      </c>
      <c r="E81" s="265">
        <f ca="1">IFERROR(__xludf.DUMMYFUNCTION("IMPORTRANGE(""https://docs.google.com/spreadsheets/d/1MeEWN-I1oV_STSDYn1IFDPWt_1FKiwhDph83XaGc0o0/edit?usp=sharing"",""งบพรบ!CF81"")"),0)</f>
        <v>0</v>
      </c>
      <c r="F81" s="265">
        <f ca="1">IFERROR(__xludf.DUMMYFUNCTION("IMPORTRANGE(""https://docs.google.com/spreadsheets/d/1MeEWN-I1oV_STSDYn1IFDPWt_1FKiwhDph83XaGc0o0/edit?usp=sharing"",""งบพรบ!CG81"")"),24065)</f>
        <v>24065</v>
      </c>
      <c r="G81" s="265">
        <f ca="1">IFERROR(__xludf.DUMMYFUNCTION("IMPORTRANGE(""https://docs.google.com/spreadsheets/d/1MeEWN-I1oV_STSDYn1IFDPWt_1FKiwhDph83XaGc0o0/edit?usp=sharing"",""งบพรบ!CH81"")"),0)</f>
        <v>0</v>
      </c>
      <c r="H81" s="265">
        <f ca="1">IFERROR(__xludf.DUMMYFUNCTION("IMPORTRANGE(""https://docs.google.com/spreadsheets/d/1MeEWN-I1oV_STSDYn1IFDPWt_1FKiwhDph83XaGc0o0/edit?usp=sharing"",""งบพรบ!CJ81"")"),24065)</f>
        <v>24065</v>
      </c>
      <c r="I81" s="265">
        <f ca="1">IFERROR(__xludf.DUMMYFUNCTION("IMPORTRANGE(""https://docs.google.com/spreadsheets/d/1MeEWN-I1oV_STSDYn1IFDPWt_1FKiwhDph83XaGc0o0/edit?usp=sharing"",""งบพรบ!CK81"")"),0)</f>
        <v>0</v>
      </c>
      <c r="J81" s="265">
        <f t="shared" ca="1" si="3"/>
        <v>0</v>
      </c>
      <c r="K81" s="272">
        <f t="shared" ca="1" si="4"/>
        <v>0</v>
      </c>
      <c r="L81" s="265">
        <f ca="1">IFERROR(__xludf.DUMMYFUNCTION("IMPORTRANGE(""https://docs.google.com/spreadsheets/d/1MeEWN-I1oV_STSDYn1IFDPWt_1FKiwhDph83XaGc0o0/edit?usp=sharing"",""งบพรบ!CL81"")"),0)</f>
        <v>0</v>
      </c>
      <c r="M81" s="268">
        <f t="shared" ca="1" si="5"/>
        <v>0</v>
      </c>
      <c r="N81" s="268">
        <f t="shared" ca="1" si="6"/>
        <v>0</v>
      </c>
      <c r="O81" s="269">
        <f ca="1">IFERROR(__xludf.DUMMYFUNCTION("IMPORTRANGE(""https://docs.google.com/spreadsheets/d/1MeEWN-I1oV_STSDYn1IFDPWt_1FKiwhDph83XaGc0o0/edit?usp=sharing"",""งบพรบ!CC81"")"),0)</f>
        <v>0</v>
      </c>
      <c r="P81" s="269">
        <f t="shared" ca="1" si="22"/>
        <v>0</v>
      </c>
      <c r="Q81" s="268">
        <f t="shared" ca="1" si="8"/>
        <v>0</v>
      </c>
      <c r="R81" s="266">
        <f ca="1">IFERROR(__xludf.DUMMYFUNCTION("IMPORTRANGE(""https://docs.google.com/spreadsheets/d/1vl4QWbWdFruual5o_wdo6ZSqXZ_it806oja4CctTLKs/edit?usp=sharing"",""พังงา!I176"")"),13)</f>
        <v>13</v>
      </c>
      <c r="S81" s="266">
        <f ca="1">IFERROR(__xludf.DUMMYFUNCTION("IMPORTRANGE(""https://docs.google.com/spreadsheets/d/1vl4QWbWdFruual5o_wdo6ZSqXZ_it806oja4CctTLKs/edit?usp=sharing"",""พังงา!J176"")"),13)</f>
        <v>13</v>
      </c>
      <c r="T81" s="270">
        <f t="shared" ca="1" si="19"/>
        <v>100</v>
      </c>
      <c r="U81" s="458">
        <f ca="1">IFERROR(__xludf.DUMMYFUNCTION("IMPORTRANGE(""https://docs.google.com/spreadsheets/d/1vl4QWbWdFruual5o_wdo6ZSqXZ_it806oja4CctTLKs/edit?usp=sharing"",""พังงา!I179"")"),0)</f>
        <v>0</v>
      </c>
      <c r="V81" s="271" t="str">
        <f ca="1">IFERROR(__xludf.DUMMYFUNCTION("IMPORTRANGE(""https://docs.google.com/spreadsheets/d/1vl4QWbWdFruual5o_wdo6ZSqXZ_it806oja4CctTLKs/edit?usp=sharing"",""พังงา!J179"")"),"")</f>
        <v/>
      </c>
      <c r="W81" s="270">
        <f t="shared" ca="1" si="20"/>
        <v>0</v>
      </c>
      <c r="X81" s="209"/>
      <c r="Y81" s="209"/>
      <c r="Z81" s="209"/>
    </row>
    <row r="82" spans="1:26" ht="21" customHeight="1" x14ac:dyDescent="0.3">
      <c r="A82" s="261">
        <v>8</v>
      </c>
      <c r="B82" s="262" t="s">
        <v>104</v>
      </c>
      <c r="C82" s="263">
        <f t="shared" ca="1" si="0"/>
        <v>22055</v>
      </c>
      <c r="D82" s="264">
        <f t="shared" ca="1" si="37"/>
        <v>22055</v>
      </c>
      <c r="E82" s="265">
        <f ca="1">IFERROR(__xludf.DUMMYFUNCTION("IMPORTRANGE(""https://docs.google.com/spreadsheets/d/1MeEWN-I1oV_STSDYn1IFDPWt_1FKiwhDph83XaGc0o0/edit?usp=sharing"",""งบพรบ!CF82"")"),0)</f>
        <v>0</v>
      </c>
      <c r="F82" s="265">
        <f ca="1">IFERROR(__xludf.DUMMYFUNCTION("IMPORTRANGE(""https://docs.google.com/spreadsheets/d/1MeEWN-I1oV_STSDYn1IFDPWt_1FKiwhDph83XaGc0o0/edit?usp=sharing"",""งบพรบ!CG82"")"),22055)</f>
        <v>22055</v>
      </c>
      <c r="G82" s="265">
        <f ca="1">IFERROR(__xludf.DUMMYFUNCTION("IMPORTRANGE(""https://docs.google.com/spreadsheets/d/1MeEWN-I1oV_STSDYn1IFDPWt_1FKiwhDph83XaGc0o0/edit?usp=sharing"",""งบพรบ!CH82"")"),0)</f>
        <v>0</v>
      </c>
      <c r="H82" s="265">
        <f ca="1">IFERROR(__xludf.DUMMYFUNCTION("IMPORTRANGE(""https://docs.google.com/spreadsheets/d/1MeEWN-I1oV_STSDYn1IFDPWt_1FKiwhDph83XaGc0o0/edit?usp=sharing"",""งบพรบ!CJ82"")"),22055)</f>
        <v>22055</v>
      </c>
      <c r="I82" s="265">
        <f ca="1">IFERROR(__xludf.DUMMYFUNCTION("IMPORTRANGE(""https://docs.google.com/spreadsheets/d/1MeEWN-I1oV_STSDYn1IFDPWt_1FKiwhDph83XaGc0o0/edit?usp=sharing"",""งบพรบ!CK82"")"),0)</f>
        <v>0</v>
      </c>
      <c r="J82" s="265">
        <f t="shared" ca="1" si="3"/>
        <v>22055</v>
      </c>
      <c r="K82" s="272">
        <f t="shared" ca="1" si="4"/>
        <v>100</v>
      </c>
      <c r="L82" s="265">
        <f ca="1">IFERROR(__xludf.DUMMYFUNCTION("IMPORTRANGE(""https://docs.google.com/spreadsheets/d/1MeEWN-I1oV_STSDYn1IFDPWt_1FKiwhDph83XaGc0o0/edit?usp=sharing"",""งบพรบ!CL82"")"),22055)</f>
        <v>22055</v>
      </c>
      <c r="M82" s="268">
        <f t="shared" ca="1" si="5"/>
        <v>100</v>
      </c>
      <c r="N82" s="268">
        <f t="shared" ca="1" si="6"/>
        <v>100</v>
      </c>
      <c r="O82" s="269">
        <f ca="1">IFERROR(__xludf.DUMMYFUNCTION("IMPORTRANGE(""https://docs.google.com/spreadsheets/d/1MeEWN-I1oV_STSDYn1IFDPWt_1FKiwhDph83XaGc0o0/edit?usp=sharing"",""งบพรบ!CC82"")"),0)</f>
        <v>0</v>
      </c>
      <c r="P82" s="269">
        <f t="shared" ca="1" si="22"/>
        <v>0</v>
      </c>
      <c r="Q82" s="268">
        <f t="shared" ca="1" si="8"/>
        <v>0</v>
      </c>
      <c r="R82" s="266">
        <f ca="1">IFERROR(__xludf.DUMMYFUNCTION("IMPORTRANGE(""https://docs.google.com/spreadsheets/d/1b6QssHQp2FoAPSMKHOy273KNzAomaIKhtdlvuZ_zDNE/edit?usp=sharing"",""พัทลุง!I176"")"),11)</f>
        <v>11</v>
      </c>
      <c r="S82" s="266">
        <f ca="1">IFERROR(__xludf.DUMMYFUNCTION("IMPORTRANGE(""https://docs.google.com/spreadsheets/d/1b6QssHQp2FoAPSMKHOy273KNzAomaIKhtdlvuZ_zDNE/edit?usp=sharing"",""พัทลุง!J176"")"),11)</f>
        <v>11</v>
      </c>
      <c r="T82" s="270">
        <f t="shared" ca="1" si="19"/>
        <v>100</v>
      </c>
      <c r="U82" s="458">
        <f ca="1">IFERROR(__xludf.DUMMYFUNCTION("IMPORTRANGE(""https://docs.google.com/spreadsheets/d/1b6QssHQp2FoAPSMKHOy273KNzAomaIKhtdlvuZ_zDNE/edit?usp=sharing"",""พัทลุง!I179"")"),0)</f>
        <v>0</v>
      </c>
      <c r="V82" s="271" t="str">
        <f ca="1">IFERROR(__xludf.DUMMYFUNCTION("IMPORTRANGE(""https://docs.google.com/spreadsheets/d/1b6QssHQp2FoAPSMKHOy273KNzAomaIKhtdlvuZ_zDNE/edit?usp=sharing"",""พัทลุง!J179"")"),"")</f>
        <v/>
      </c>
      <c r="W82" s="270">
        <f t="shared" ca="1" si="20"/>
        <v>0</v>
      </c>
      <c r="X82" s="209"/>
      <c r="Y82" s="209"/>
      <c r="Z82" s="209"/>
    </row>
    <row r="83" spans="1:26" ht="21" customHeight="1" x14ac:dyDescent="0.3">
      <c r="A83" s="261">
        <v>9</v>
      </c>
      <c r="B83" s="262" t="s">
        <v>105</v>
      </c>
      <c r="C83" s="263">
        <f t="shared" ca="1" si="0"/>
        <v>24065</v>
      </c>
      <c r="D83" s="264">
        <f t="shared" ca="1" si="37"/>
        <v>24065</v>
      </c>
      <c r="E83" s="265">
        <f ca="1">IFERROR(__xludf.DUMMYFUNCTION("IMPORTRANGE(""https://docs.google.com/spreadsheets/d/1MeEWN-I1oV_STSDYn1IFDPWt_1FKiwhDph83XaGc0o0/edit?usp=sharing"",""งบพรบ!CF83"")"),0)</f>
        <v>0</v>
      </c>
      <c r="F83" s="265">
        <f ca="1">IFERROR(__xludf.DUMMYFUNCTION("IMPORTRANGE(""https://docs.google.com/spreadsheets/d/1MeEWN-I1oV_STSDYn1IFDPWt_1FKiwhDph83XaGc0o0/edit?usp=sharing"",""งบพรบ!CG83"")"),24065)</f>
        <v>24065</v>
      </c>
      <c r="G83" s="265">
        <f ca="1">IFERROR(__xludf.DUMMYFUNCTION("IMPORTRANGE(""https://docs.google.com/spreadsheets/d/1MeEWN-I1oV_STSDYn1IFDPWt_1FKiwhDph83XaGc0o0/edit?usp=sharing"",""งบพรบ!CH83"")"),0)</f>
        <v>0</v>
      </c>
      <c r="H83" s="265">
        <f ca="1">IFERROR(__xludf.DUMMYFUNCTION("IMPORTRANGE(""https://docs.google.com/spreadsheets/d/1MeEWN-I1oV_STSDYn1IFDPWt_1FKiwhDph83XaGc0o0/edit?usp=sharing"",""งบพรบ!CJ83"")"),24065)</f>
        <v>24065</v>
      </c>
      <c r="I83" s="265">
        <f ca="1">IFERROR(__xludf.DUMMYFUNCTION("IMPORTRANGE(""https://docs.google.com/spreadsheets/d/1MeEWN-I1oV_STSDYn1IFDPWt_1FKiwhDph83XaGc0o0/edit?usp=sharing"",""งบพรบ!CK83"")"),0)</f>
        <v>0</v>
      </c>
      <c r="J83" s="265">
        <f t="shared" ca="1" si="3"/>
        <v>0</v>
      </c>
      <c r="K83" s="272">
        <f t="shared" ca="1" si="4"/>
        <v>0</v>
      </c>
      <c r="L83" s="265">
        <f ca="1">IFERROR(__xludf.DUMMYFUNCTION("IMPORTRANGE(""https://docs.google.com/spreadsheets/d/1MeEWN-I1oV_STSDYn1IFDPWt_1FKiwhDph83XaGc0o0/edit?usp=sharing"",""งบพรบ!CL83"")"),0)</f>
        <v>0</v>
      </c>
      <c r="M83" s="268">
        <f t="shared" ca="1" si="5"/>
        <v>0</v>
      </c>
      <c r="N83" s="268">
        <f t="shared" ca="1" si="6"/>
        <v>0</v>
      </c>
      <c r="O83" s="269">
        <f ca="1">IFERROR(__xludf.DUMMYFUNCTION("IMPORTRANGE(""https://docs.google.com/spreadsheets/d/1MeEWN-I1oV_STSDYn1IFDPWt_1FKiwhDph83XaGc0o0/edit?usp=sharing"",""งบพรบ!CC83"")"),0)</f>
        <v>0</v>
      </c>
      <c r="P83" s="269">
        <f t="shared" ca="1" si="22"/>
        <v>0</v>
      </c>
      <c r="Q83" s="268">
        <f t="shared" ca="1" si="8"/>
        <v>0</v>
      </c>
      <c r="R83" s="266">
        <f ca="1">IFERROR(__xludf.DUMMYFUNCTION("IMPORTRANGE(""https://docs.google.com/spreadsheets/d/1o7UZe4_OqlqtLDHrj01Z2YFRSZDf1DMy1n3XViHaxRc/edit?usp=sharing"",""ภูเก็ต!I176"")"),13)</f>
        <v>13</v>
      </c>
      <c r="S83" s="266">
        <f ca="1">IFERROR(__xludf.DUMMYFUNCTION("IMPORTRANGE(""https://docs.google.com/spreadsheets/d/1o7UZe4_OqlqtLDHrj01Z2YFRSZDf1DMy1n3XViHaxRc/edit?usp=sharing"",""ภูเก็ต!J176"")"),0)</f>
        <v>0</v>
      </c>
      <c r="T83" s="270">
        <f t="shared" ca="1" si="19"/>
        <v>0</v>
      </c>
      <c r="U83" s="458">
        <f ca="1">IFERROR(__xludf.DUMMYFUNCTION("IMPORTRANGE(""https://docs.google.com/spreadsheets/d/1o7UZe4_OqlqtLDHrj01Z2YFRSZDf1DMy1n3XViHaxRc/edit?usp=sharing"",""ภูเก็ต!I179"")"),0)</f>
        <v>0</v>
      </c>
      <c r="V83" s="271" t="str">
        <f ca="1">IFERROR(__xludf.DUMMYFUNCTION("IMPORTRANGE(""https://docs.google.com/spreadsheets/d/1o7UZe4_OqlqtLDHrj01Z2YFRSZDf1DMy1n3XViHaxRc/edit?usp=sharing"",""ภูเก็ต!J179"")"),"")</f>
        <v/>
      </c>
      <c r="W83" s="270">
        <f t="shared" ca="1" si="20"/>
        <v>0</v>
      </c>
      <c r="X83" s="209"/>
      <c r="Y83" s="209"/>
      <c r="Z83" s="209"/>
    </row>
    <row r="84" spans="1:26" ht="21" customHeight="1" x14ac:dyDescent="0.3">
      <c r="A84" s="261">
        <v>10</v>
      </c>
      <c r="B84" s="262" t="s">
        <v>106</v>
      </c>
      <c r="C84" s="263">
        <f t="shared" ca="1" si="0"/>
        <v>21050</v>
      </c>
      <c r="D84" s="264">
        <f t="shared" ca="1" si="37"/>
        <v>21050</v>
      </c>
      <c r="E84" s="265">
        <f ca="1">IFERROR(__xludf.DUMMYFUNCTION("IMPORTRANGE(""https://docs.google.com/spreadsheets/d/1MeEWN-I1oV_STSDYn1IFDPWt_1FKiwhDph83XaGc0o0/edit?usp=sharing"",""งบพรบ!CF84"")"),0)</f>
        <v>0</v>
      </c>
      <c r="F84" s="265">
        <f ca="1">IFERROR(__xludf.DUMMYFUNCTION("IMPORTRANGE(""https://docs.google.com/spreadsheets/d/1MeEWN-I1oV_STSDYn1IFDPWt_1FKiwhDph83XaGc0o0/edit?usp=sharing"",""งบพรบ!CG84"")"),21050)</f>
        <v>21050</v>
      </c>
      <c r="G84" s="265">
        <f ca="1">IFERROR(__xludf.DUMMYFUNCTION("IMPORTRANGE(""https://docs.google.com/spreadsheets/d/1MeEWN-I1oV_STSDYn1IFDPWt_1FKiwhDph83XaGc0o0/edit?usp=sharing"",""งบพรบ!CH84"")"),0)</f>
        <v>0</v>
      </c>
      <c r="H84" s="265">
        <f ca="1">IFERROR(__xludf.DUMMYFUNCTION("IMPORTRANGE(""https://docs.google.com/spreadsheets/d/1MeEWN-I1oV_STSDYn1IFDPWt_1FKiwhDph83XaGc0o0/edit?usp=sharing"",""งบพรบ!CJ84"")"),21050)</f>
        <v>21050</v>
      </c>
      <c r="I84" s="265">
        <f ca="1">IFERROR(__xludf.DUMMYFUNCTION("IMPORTRANGE(""https://docs.google.com/spreadsheets/d/1MeEWN-I1oV_STSDYn1IFDPWt_1FKiwhDph83XaGc0o0/edit?usp=sharing"",""งบพรบ!CK84"")"),0)</f>
        <v>0</v>
      </c>
      <c r="J84" s="265">
        <f t="shared" ca="1" si="3"/>
        <v>21050</v>
      </c>
      <c r="K84" s="272">
        <f t="shared" ca="1" si="4"/>
        <v>100</v>
      </c>
      <c r="L84" s="265">
        <f ca="1">IFERROR(__xludf.DUMMYFUNCTION("IMPORTRANGE(""https://docs.google.com/spreadsheets/d/1MeEWN-I1oV_STSDYn1IFDPWt_1FKiwhDph83XaGc0o0/edit?usp=sharing"",""งบพรบ!CL84"")"),21050)</f>
        <v>21050</v>
      </c>
      <c r="M84" s="268">
        <f t="shared" ca="1" si="5"/>
        <v>100</v>
      </c>
      <c r="N84" s="268">
        <f t="shared" ca="1" si="6"/>
        <v>100</v>
      </c>
      <c r="O84" s="269">
        <f ca="1">IFERROR(__xludf.DUMMYFUNCTION("IMPORTRANGE(""https://docs.google.com/spreadsheets/d/1MeEWN-I1oV_STSDYn1IFDPWt_1FKiwhDph83XaGc0o0/edit?usp=sharing"",""งบพรบ!CC84"")"),0)</f>
        <v>0</v>
      </c>
      <c r="P84" s="269">
        <f t="shared" ca="1" si="22"/>
        <v>0</v>
      </c>
      <c r="Q84" s="268">
        <f t="shared" ca="1" si="8"/>
        <v>0</v>
      </c>
      <c r="R84" s="266">
        <f ca="1">IFERROR(__xludf.DUMMYFUNCTION("IMPORTRANGE(""https://docs.google.com/spreadsheets/d/1ctPm1vUzcUCPuOj9-eoHUD85PqINFqUB0TjdSWmR5-c/edit?usp=sharing"",""ยะลา!I176"")"),10)</f>
        <v>10</v>
      </c>
      <c r="S84" s="266">
        <f ca="1">IFERROR(__xludf.DUMMYFUNCTION("IMPORTRANGE(""https://docs.google.com/spreadsheets/d/1ctPm1vUzcUCPuOj9-eoHUD85PqINFqUB0TjdSWmR5-c/edit?usp=sharing"",""ยะลา!J176"")"),10)</f>
        <v>10</v>
      </c>
      <c r="T84" s="270">
        <f t="shared" ca="1" si="19"/>
        <v>100</v>
      </c>
      <c r="U84" s="458">
        <f ca="1">IFERROR(__xludf.DUMMYFUNCTION("IMPORTRANGE(""https://docs.google.com/spreadsheets/d/1ctPm1vUzcUCPuOj9-eoHUD85PqINFqUB0TjdSWmR5-c/edit?usp=sharing"",""ยะลา!I179"")"),0)</f>
        <v>0</v>
      </c>
      <c r="V84" s="271" t="str">
        <f ca="1">IFERROR(__xludf.DUMMYFUNCTION("IMPORTRANGE(""https://docs.google.com/spreadsheets/d/1ctPm1vUzcUCPuOj9-eoHUD85PqINFqUB0TjdSWmR5-c/edit?usp=sharing"",""ยะลา!J179"")"),"")</f>
        <v/>
      </c>
      <c r="W84" s="270">
        <f t="shared" ca="1" si="20"/>
        <v>0</v>
      </c>
      <c r="X84" s="209"/>
      <c r="Y84" s="209"/>
      <c r="Z84" s="209"/>
    </row>
    <row r="85" spans="1:26" ht="21" customHeight="1" x14ac:dyDescent="0.3">
      <c r="A85" s="261">
        <v>11</v>
      </c>
      <c r="B85" s="262" t="s">
        <v>107</v>
      </c>
      <c r="C85" s="263">
        <f t="shared" ca="1" si="0"/>
        <v>21050</v>
      </c>
      <c r="D85" s="264">
        <f t="shared" ca="1" si="37"/>
        <v>21050</v>
      </c>
      <c r="E85" s="265">
        <f ca="1">IFERROR(__xludf.DUMMYFUNCTION("IMPORTRANGE(""https://docs.google.com/spreadsheets/d/1MeEWN-I1oV_STSDYn1IFDPWt_1FKiwhDph83XaGc0o0/edit?usp=sharing"",""งบพรบ!CF85"")"),0)</f>
        <v>0</v>
      </c>
      <c r="F85" s="265">
        <f ca="1">IFERROR(__xludf.DUMMYFUNCTION("IMPORTRANGE(""https://docs.google.com/spreadsheets/d/1MeEWN-I1oV_STSDYn1IFDPWt_1FKiwhDph83XaGc0o0/edit?usp=sharing"",""งบพรบ!CG85"")"),21050)</f>
        <v>21050</v>
      </c>
      <c r="G85" s="265">
        <f ca="1">IFERROR(__xludf.DUMMYFUNCTION("IMPORTRANGE(""https://docs.google.com/spreadsheets/d/1MeEWN-I1oV_STSDYn1IFDPWt_1FKiwhDph83XaGc0o0/edit?usp=sharing"",""งบพรบ!CH85"")"),0)</f>
        <v>0</v>
      </c>
      <c r="H85" s="265">
        <f ca="1">IFERROR(__xludf.DUMMYFUNCTION("IMPORTRANGE(""https://docs.google.com/spreadsheets/d/1MeEWN-I1oV_STSDYn1IFDPWt_1FKiwhDph83XaGc0o0/edit?usp=sharing"",""งบพรบ!CJ85"")"),21050)</f>
        <v>21050</v>
      </c>
      <c r="I85" s="265">
        <f ca="1">IFERROR(__xludf.DUMMYFUNCTION("IMPORTRANGE(""https://docs.google.com/spreadsheets/d/1MeEWN-I1oV_STSDYn1IFDPWt_1FKiwhDph83XaGc0o0/edit?usp=sharing"",""งบพรบ!CK85"")"),0)</f>
        <v>0</v>
      </c>
      <c r="J85" s="265">
        <f t="shared" ca="1" si="3"/>
        <v>18009</v>
      </c>
      <c r="K85" s="272">
        <f t="shared" ca="1" si="4"/>
        <v>85.553444180522561</v>
      </c>
      <c r="L85" s="265">
        <f ca="1">IFERROR(__xludf.DUMMYFUNCTION("IMPORTRANGE(""https://docs.google.com/spreadsheets/d/1MeEWN-I1oV_STSDYn1IFDPWt_1FKiwhDph83XaGc0o0/edit?usp=sharing"",""งบพรบ!CL85"")"),18009)</f>
        <v>18009</v>
      </c>
      <c r="M85" s="268">
        <f t="shared" ca="1" si="5"/>
        <v>85.553444180522561</v>
      </c>
      <c r="N85" s="268">
        <f t="shared" ca="1" si="6"/>
        <v>85.553444180522561</v>
      </c>
      <c r="O85" s="269">
        <f ca="1">IFERROR(__xludf.DUMMYFUNCTION("IMPORTRANGE(""https://docs.google.com/spreadsheets/d/1MeEWN-I1oV_STSDYn1IFDPWt_1FKiwhDph83XaGc0o0/edit?usp=sharing"",""งบพรบ!CC85"")"),0)</f>
        <v>0</v>
      </c>
      <c r="P85" s="269">
        <f t="shared" ca="1" si="22"/>
        <v>0</v>
      </c>
      <c r="Q85" s="268">
        <f t="shared" ca="1" si="8"/>
        <v>0</v>
      </c>
      <c r="R85" s="266">
        <f ca="1">IFERROR(__xludf.DUMMYFUNCTION("IMPORTRANGE(""https://docs.google.com/spreadsheets/d/1YiDIE7Klmt8osgdapRqYWNr7iPGFSsiJqq46S7PYRE0/edit?usp=sharing"",""ระนอง!I176"")"),10)</f>
        <v>10</v>
      </c>
      <c r="S85" s="266">
        <f ca="1">IFERROR(__xludf.DUMMYFUNCTION("IMPORTRANGE(""https://docs.google.com/spreadsheets/d/1YiDIE7Klmt8osgdapRqYWNr7iPGFSsiJqq46S7PYRE0/edit?usp=sharing"",""ระนอง!J176"")"),10)</f>
        <v>10</v>
      </c>
      <c r="T85" s="270">
        <f t="shared" ca="1" si="19"/>
        <v>100</v>
      </c>
      <c r="U85" s="458">
        <f ca="1">IFERROR(__xludf.DUMMYFUNCTION("IMPORTRANGE(""https://docs.google.com/spreadsheets/d/1YiDIE7Klmt8osgdapRqYWNr7iPGFSsiJqq46S7PYRE0/edit?usp=sharing"",""ระนอง!I179"")"),0)</f>
        <v>0</v>
      </c>
      <c r="V85" s="271" t="str">
        <f ca="1">IFERROR(__xludf.DUMMYFUNCTION("IMPORTRANGE(""https://docs.google.com/spreadsheets/d/1YiDIE7Klmt8osgdapRqYWNr7iPGFSsiJqq46S7PYRE0/edit?usp=sharing"",""ระนอง!J179"")"),"")</f>
        <v/>
      </c>
      <c r="W85" s="270">
        <f t="shared" ca="1" si="20"/>
        <v>0</v>
      </c>
      <c r="X85" s="209"/>
      <c r="Y85" s="209"/>
      <c r="Z85" s="209"/>
    </row>
    <row r="86" spans="1:26" ht="24" customHeight="1" x14ac:dyDescent="0.3">
      <c r="A86" s="261">
        <v>12</v>
      </c>
      <c r="B86" s="262" t="s">
        <v>108</v>
      </c>
      <c r="C86" s="263">
        <f t="shared" ca="1" si="0"/>
        <v>24065</v>
      </c>
      <c r="D86" s="264">
        <f t="shared" ca="1" si="37"/>
        <v>24065</v>
      </c>
      <c r="E86" s="265">
        <f ca="1">IFERROR(__xludf.DUMMYFUNCTION("IMPORTRANGE(""https://docs.google.com/spreadsheets/d/1MeEWN-I1oV_STSDYn1IFDPWt_1FKiwhDph83XaGc0o0/edit?usp=sharing"",""งบพรบ!CF86"")"),0)</f>
        <v>0</v>
      </c>
      <c r="F86" s="265">
        <f ca="1">IFERROR(__xludf.DUMMYFUNCTION("IMPORTRANGE(""https://docs.google.com/spreadsheets/d/1MeEWN-I1oV_STSDYn1IFDPWt_1FKiwhDph83XaGc0o0/edit?usp=sharing"",""งบพรบ!CG86"")"),24065)</f>
        <v>24065</v>
      </c>
      <c r="G86" s="265">
        <f ca="1">IFERROR(__xludf.DUMMYFUNCTION("IMPORTRANGE(""https://docs.google.com/spreadsheets/d/1MeEWN-I1oV_STSDYn1IFDPWt_1FKiwhDph83XaGc0o0/edit?usp=sharing"",""งบพรบ!CH86"")"),0)</f>
        <v>0</v>
      </c>
      <c r="H86" s="265">
        <f ca="1">IFERROR(__xludf.DUMMYFUNCTION("IMPORTRANGE(""https://docs.google.com/spreadsheets/d/1MeEWN-I1oV_STSDYn1IFDPWt_1FKiwhDph83XaGc0o0/edit?usp=sharing"",""งบพรบ!CJ86"")"),24065)</f>
        <v>24065</v>
      </c>
      <c r="I86" s="265">
        <f ca="1">IFERROR(__xludf.DUMMYFUNCTION("IMPORTRANGE(""https://docs.google.com/spreadsheets/d/1MeEWN-I1oV_STSDYn1IFDPWt_1FKiwhDph83XaGc0o0/edit?usp=sharing"",""งบพรบ!CK86"")"),0)</f>
        <v>0</v>
      </c>
      <c r="J86" s="265">
        <f t="shared" ca="1" si="3"/>
        <v>24065</v>
      </c>
      <c r="K86" s="272">
        <f t="shared" ca="1" si="4"/>
        <v>100</v>
      </c>
      <c r="L86" s="265">
        <f ca="1">IFERROR(__xludf.DUMMYFUNCTION("IMPORTRANGE(""https://docs.google.com/spreadsheets/d/1MeEWN-I1oV_STSDYn1IFDPWt_1FKiwhDph83XaGc0o0/edit?usp=sharing"",""งบพรบ!CL86"")"),24065)</f>
        <v>24065</v>
      </c>
      <c r="M86" s="268">
        <f t="shared" ca="1" si="5"/>
        <v>100</v>
      </c>
      <c r="N86" s="268">
        <f t="shared" ca="1" si="6"/>
        <v>100</v>
      </c>
      <c r="O86" s="269">
        <f ca="1">IFERROR(__xludf.DUMMYFUNCTION("IMPORTRANGE(""https://docs.google.com/spreadsheets/d/1MeEWN-I1oV_STSDYn1IFDPWt_1FKiwhDph83XaGc0o0/edit?usp=sharing"",""งบพรบ!CC86"")"),0)</f>
        <v>0</v>
      </c>
      <c r="P86" s="269">
        <f t="shared" ca="1" si="22"/>
        <v>0</v>
      </c>
      <c r="Q86" s="268">
        <f t="shared" ca="1" si="8"/>
        <v>0</v>
      </c>
      <c r="R86" s="266">
        <f ca="1">IFERROR(__xludf.DUMMYFUNCTION("IMPORTRANGE(""https://docs.google.com/spreadsheets/d/16o_4B-V7AWw_6E93bSpXj_XxVv1oVQctk-B6z1dNEWU/edit?usp=sharing"",""สงขลา!I176"")"),13)</f>
        <v>13</v>
      </c>
      <c r="S86" s="266">
        <f ca="1">IFERROR(__xludf.DUMMYFUNCTION("IMPORTRANGE(""https://docs.google.com/spreadsheets/d/16o_4B-V7AWw_6E93bSpXj_XxVv1oVQctk-B6z1dNEWU/edit?usp=sharing"",""สงขลา!J176"")"),13)</f>
        <v>13</v>
      </c>
      <c r="T86" s="270">
        <f t="shared" ca="1" si="19"/>
        <v>100</v>
      </c>
      <c r="U86" s="458">
        <f ca="1">IFERROR(__xludf.DUMMYFUNCTION("IMPORTRANGE(""https://docs.google.com/spreadsheets/d/16o_4B-V7AWw_6E93bSpXj_XxVv1oVQctk-B6z1dNEWU/edit?usp=sharing"",""สงขลา!I179"")"),0)</f>
        <v>0</v>
      </c>
      <c r="V86" s="271" t="str">
        <f ca="1">IFERROR(__xludf.DUMMYFUNCTION("IMPORTRANGE(""https://docs.google.com/spreadsheets/d/16o_4B-V7AWw_6E93bSpXj_XxVv1oVQctk-B6z1dNEWU/edit?usp=sharing"",""สงขลา!J179"")"),"")</f>
        <v/>
      </c>
      <c r="W86" s="270">
        <f t="shared" ca="1" si="20"/>
        <v>0</v>
      </c>
      <c r="X86" s="209"/>
      <c r="Y86" s="209"/>
      <c r="Z86" s="209"/>
    </row>
    <row r="87" spans="1:26" ht="24" customHeight="1" x14ac:dyDescent="0.3">
      <c r="A87" s="261">
        <v>13</v>
      </c>
      <c r="B87" s="262" t="s">
        <v>109</v>
      </c>
      <c r="C87" s="263">
        <f t="shared" ca="1" si="0"/>
        <v>23060</v>
      </c>
      <c r="D87" s="264">
        <f t="shared" ca="1" si="37"/>
        <v>23060</v>
      </c>
      <c r="E87" s="265">
        <f ca="1">IFERROR(__xludf.DUMMYFUNCTION("IMPORTRANGE(""https://docs.google.com/spreadsheets/d/1MeEWN-I1oV_STSDYn1IFDPWt_1FKiwhDph83XaGc0o0/edit?usp=sharing"",""งบพรบ!CF87"")"),0)</f>
        <v>0</v>
      </c>
      <c r="F87" s="265">
        <f ca="1">IFERROR(__xludf.DUMMYFUNCTION("IMPORTRANGE(""https://docs.google.com/spreadsheets/d/1MeEWN-I1oV_STSDYn1IFDPWt_1FKiwhDph83XaGc0o0/edit?usp=sharing"",""งบพรบ!CG87"")"),23060)</f>
        <v>23060</v>
      </c>
      <c r="G87" s="265">
        <f ca="1">IFERROR(__xludf.DUMMYFUNCTION("IMPORTRANGE(""https://docs.google.com/spreadsheets/d/1MeEWN-I1oV_STSDYn1IFDPWt_1FKiwhDph83XaGc0o0/edit?usp=sharing"",""งบพรบ!CH87"")"),0)</f>
        <v>0</v>
      </c>
      <c r="H87" s="265">
        <f ca="1">IFERROR(__xludf.DUMMYFUNCTION("IMPORTRANGE(""https://docs.google.com/spreadsheets/d/1MeEWN-I1oV_STSDYn1IFDPWt_1FKiwhDph83XaGc0o0/edit?usp=sharing"",""งบพรบ!CJ87"")"),23060)</f>
        <v>23060</v>
      </c>
      <c r="I87" s="265">
        <f ca="1">IFERROR(__xludf.DUMMYFUNCTION("IMPORTRANGE(""https://docs.google.com/spreadsheets/d/1MeEWN-I1oV_STSDYn1IFDPWt_1FKiwhDph83XaGc0o0/edit?usp=sharing"",""งบพรบ!CK87"")"),0)</f>
        <v>0</v>
      </c>
      <c r="J87" s="265">
        <f t="shared" ca="1" si="3"/>
        <v>23060</v>
      </c>
      <c r="K87" s="272">
        <f t="shared" ca="1" si="4"/>
        <v>100</v>
      </c>
      <c r="L87" s="265">
        <f ca="1">IFERROR(__xludf.DUMMYFUNCTION("IMPORTRANGE(""https://docs.google.com/spreadsheets/d/1MeEWN-I1oV_STSDYn1IFDPWt_1FKiwhDph83XaGc0o0/edit?usp=sharing"",""งบพรบ!CL87"")"),23060)</f>
        <v>23060</v>
      </c>
      <c r="M87" s="268">
        <f t="shared" ca="1" si="5"/>
        <v>100</v>
      </c>
      <c r="N87" s="268">
        <f t="shared" ca="1" si="6"/>
        <v>100</v>
      </c>
      <c r="O87" s="269">
        <f ca="1">IFERROR(__xludf.DUMMYFUNCTION("IMPORTRANGE(""https://docs.google.com/spreadsheets/d/1MeEWN-I1oV_STSDYn1IFDPWt_1FKiwhDph83XaGc0o0/edit?usp=sharing"",""งบพรบ!CC87"")"),0)</f>
        <v>0</v>
      </c>
      <c r="P87" s="269">
        <f t="shared" ca="1" si="22"/>
        <v>0</v>
      </c>
      <c r="Q87" s="268">
        <f t="shared" ca="1" si="8"/>
        <v>0</v>
      </c>
      <c r="R87" s="266">
        <f ca="1">IFERROR(__xludf.DUMMYFUNCTION("IMPORTRANGE(""https://docs.google.com/spreadsheets/d/16cywr71Fj4fA5OGRHsZh30ZG2gwJhMAQv69oVBzYHv0/edit?usp=sharing"",""สตูล!I176"")"),12)</f>
        <v>12</v>
      </c>
      <c r="S87" s="266">
        <f ca="1">IFERROR(__xludf.DUMMYFUNCTION("IMPORTRANGE(""https://docs.google.com/spreadsheets/d/16cywr71Fj4fA5OGRHsZh30ZG2gwJhMAQv69oVBzYHv0/edit?usp=sharing"",""สตูล!J176"")"),12)</f>
        <v>12</v>
      </c>
      <c r="T87" s="270">
        <f t="shared" ca="1" si="19"/>
        <v>100</v>
      </c>
      <c r="U87" s="458">
        <f ca="1">IFERROR(__xludf.DUMMYFUNCTION("IMPORTRANGE(""https://docs.google.com/spreadsheets/d/16cywr71Fj4fA5OGRHsZh30ZG2gwJhMAQv69oVBzYHv0/edit?usp=sharing"",""สตูล!I179"")"),0)</f>
        <v>0</v>
      </c>
      <c r="V87" s="271" t="str">
        <f ca="1">IFERROR(__xludf.DUMMYFUNCTION("IMPORTRANGE(""https://docs.google.com/spreadsheets/d/16cywr71Fj4fA5OGRHsZh30ZG2gwJhMAQv69oVBzYHv0/edit?usp=sharing"",""สตูล!J179"")"),"")</f>
        <v/>
      </c>
      <c r="W87" s="270">
        <f t="shared" ca="1" si="20"/>
        <v>0</v>
      </c>
      <c r="X87" s="209"/>
      <c r="Y87" s="209"/>
      <c r="Z87" s="209"/>
    </row>
    <row r="88" spans="1:26" ht="24" customHeight="1" x14ac:dyDescent="0.3">
      <c r="A88" s="273">
        <v>14</v>
      </c>
      <c r="B88" s="274" t="s">
        <v>110</v>
      </c>
      <c r="C88" s="275">
        <f t="shared" ca="1" si="0"/>
        <v>22055</v>
      </c>
      <c r="D88" s="276">
        <f t="shared" ca="1" si="37"/>
        <v>22055</v>
      </c>
      <c r="E88" s="277">
        <f ca="1">IFERROR(__xludf.DUMMYFUNCTION("IMPORTRANGE(""https://docs.google.com/spreadsheets/d/1MeEWN-I1oV_STSDYn1IFDPWt_1FKiwhDph83XaGc0o0/edit?usp=sharing"",""งบพรบ!CF88"")"),0)</f>
        <v>0</v>
      </c>
      <c r="F88" s="277">
        <f ca="1">IFERROR(__xludf.DUMMYFUNCTION("IMPORTRANGE(""https://docs.google.com/spreadsheets/d/1MeEWN-I1oV_STSDYn1IFDPWt_1FKiwhDph83XaGc0o0/edit?usp=sharing"",""งบพรบ!CG88"")"),22055)</f>
        <v>22055</v>
      </c>
      <c r="G88" s="277">
        <f ca="1">IFERROR(__xludf.DUMMYFUNCTION("IMPORTRANGE(""https://docs.google.com/spreadsheets/d/1MeEWN-I1oV_STSDYn1IFDPWt_1FKiwhDph83XaGc0o0/edit?usp=sharing"",""งบพรบ!CH88"")"),0)</f>
        <v>0</v>
      </c>
      <c r="H88" s="277">
        <f ca="1">IFERROR(__xludf.DUMMYFUNCTION("IMPORTRANGE(""https://docs.google.com/spreadsheets/d/1MeEWN-I1oV_STSDYn1IFDPWt_1FKiwhDph83XaGc0o0/edit?usp=sharing"",""งบพรบ!CJ88"")"),22055)</f>
        <v>22055</v>
      </c>
      <c r="I88" s="277">
        <f ca="1">IFERROR(__xludf.DUMMYFUNCTION("IMPORTRANGE(""https://docs.google.com/spreadsheets/d/1MeEWN-I1oV_STSDYn1IFDPWt_1FKiwhDph83XaGc0o0/edit?usp=sharing"",""งบพรบ!CK88"")"),0)</f>
        <v>0</v>
      </c>
      <c r="J88" s="277">
        <f t="shared" ca="1" si="3"/>
        <v>22055</v>
      </c>
      <c r="K88" s="278">
        <f t="shared" ca="1" si="4"/>
        <v>100</v>
      </c>
      <c r="L88" s="277">
        <f ca="1">IFERROR(__xludf.DUMMYFUNCTION("IMPORTRANGE(""https://docs.google.com/spreadsheets/d/1MeEWN-I1oV_STSDYn1IFDPWt_1FKiwhDph83XaGc0o0/edit?usp=sharing"",""งบพรบ!CL88"")"),22055)</f>
        <v>22055</v>
      </c>
      <c r="M88" s="279">
        <f t="shared" ca="1" si="5"/>
        <v>100</v>
      </c>
      <c r="N88" s="279">
        <f t="shared" ca="1" si="6"/>
        <v>100</v>
      </c>
      <c r="O88" s="280">
        <f ca="1">IFERROR(__xludf.DUMMYFUNCTION("IMPORTRANGE(""https://docs.google.com/spreadsheets/d/1MeEWN-I1oV_STSDYn1IFDPWt_1FKiwhDph83XaGc0o0/edit?usp=sharing"",""งบพรบ!CC88"")"),0)</f>
        <v>0</v>
      </c>
      <c r="P88" s="280">
        <f t="shared" ca="1" si="22"/>
        <v>0</v>
      </c>
      <c r="Q88" s="279">
        <f t="shared" ca="1" si="8"/>
        <v>0</v>
      </c>
      <c r="R88" s="281">
        <f ca="1">IFERROR(__xludf.DUMMYFUNCTION("IMPORTRANGE(""https://docs.google.com/spreadsheets/d/1vO9Sws6kMtrVtyvrAJptINXjK8TFBoX9xLYOVK_C8bQ/edit?usp=sharing"",""สุราษฎร์ธานี!I176"")"),11)</f>
        <v>11</v>
      </c>
      <c r="S88" s="281">
        <f ca="1">IFERROR(__xludf.DUMMYFUNCTION("IMPORTRANGE(""https://docs.google.com/spreadsheets/d/1vO9Sws6kMtrVtyvrAJptINXjK8TFBoX9xLYOVK_C8bQ/edit?usp=sharing"",""สุราษฎร์ธานี!J176"")"),11)</f>
        <v>11</v>
      </c>
      <c r="T88" s="282">
        <f t="shared" ca="1" si="19"/>
        <v>100</v>
      </c>
      <c r="U88" s="459">
        <f ca="1">IFERROR(__xludf.DUMMYFUNCTION("IMPORTRANGE(""https://docs.google.com/spreadsheets/d/1vO9Sws6kMtrVtyvrAJptINXjK8TFBoX9xLYOVK_C8bQ/edit?usp=sharing"",""สุราษฎร์ธานี!I179"")"),0)</f>
        <v>0</v>
      </c>
      <c r="V88" s="283" t="str">
        <f ca="1">IFERROR(__xludf.DUMMYFUNCTION("IMPORTRANGE(""https://docs.google.com/spreadsheets/d/1vO9Sws6kMtrVtyvrAJptINXjK8TFBoX9xLYOVK_C8bQ/edit?usp=sharing"",""สุราษฎร์ธานี!J179"")"),"")</f>
        <v/>
      </c>
      <c r="W88" s="282">
        <f t="shared" ca="1" si="20"/>
        <v>0</v>
      </c>
      <c r="X88" s="209"/>
      <c r="Y88" s="209"/>
      <c r="Z88" s="209"/>
    </row>
    <row r="89" spans="1:26" ht="21" hidden="1" customHeight="1" x14ac:dyDescent="0.3">
      <c r="A89" s="418" t="s">
        <v>111</v>
      </c>
      <c r="B89" s="397"/>
      <c r="C89" s="249">
        <f t="shared" ca="1" si="0"/>
        <v>14928050</v>
      </c>
      <c r="D89" s="249">
        <f t="shared" ref="D89:I89" ca="1" si="38">+D90+D91+D92+D93+D94+D95+D96+D97+D98+D99+D100+D101+D102+D103</f>
        <v>14928050</v>
      </c>
      <c r="E89" s="249">
        <f t="shared" ca="1" si="38"/>
        <v>14928050</v>
      </c>
      <c r="F89" s="249">
        <f t="shared" ca="1" si="38"/>
        <v>0</v>
      </c>
      <c r="G89" s="249">
        <f t="shared" ca="1" si="38"/>
        <v>0</v>
      </c>
      <c r="H89" s="249">
        <f t="shared" ca="1" si="38"/>
        <v>11593300</v>
      </c>
      <c r="I89" s="249">
        <f t="shared" ca="1" si="38"/>
        <v>0</v>
      </c>
      <c r="J89" s="249">
        <f t="shared" ca="1" si="3"/>
        <v>5354569.6399999997</v>
      </c>
      <c r="K89" s="250">
        <f t="shared" ca="1" si="4"/>
        <v>35.869183449948245</v>
      </c>
      <c r="L89" s="249">
        <f ca="1">+L90+L91+L92+L93+L94+L95+L96+L97+L98+L99+L100+L101+L102+L103</f>
        <v>5354569.6399999997</v>
      </c>
      <c r="M89" s="251">
        <f t="shared" ca="1" si="5"/>
        <v>35.869183449948245</v>
      </c>
      <c r="N89" s="251">
        <f t="shared" ca="1" si="6"/>
        <v>46.186759938930237</v>
      </c>
      <c r="O89" s="252">
        <f ca="1">+O90+O91+O92+O93+O94+O95+O96+O97+O98+O99+O100+O101+O102+O103</f>
        <v>0</v>
      </c>
      <c r="P89" s="252">
        <f t="shared" ca="1" si="22"/>
        <v>0</v>
      </c>
      <c r="Q89" s="251">
        <f t="shared" ca="1" si="8"/>
        <v>0</v>
      </c>
      <c r="R89" s="253"/>
      <c r="S89" s="253"/>
      <c r="T89" s="251"/>
      <c r="U89" s="253"/>
      <c r="V89" s="253"/>
      <c r="W89" s="251"/>
      <c r="X89" s="209"/>
      <c r="Y89" s="209"/>
      <c r="Z89" s="209"/>
    </row>
    <row r="90" spans="1:26" ht="24" hidden="1" customHeight="1" x14ac:dyDescent="0.3">
      <c r="A90" s="261">
        <v>1</v>
      </c>
      <c r="B90" s="262" t="s">
        <v>112</v>
      </c>
      <c r="C90" s="263">
        <f t="shared" ca="1" si="0"/>
        <v>0</v>
      </c>
      <c r="D90" s="264">
        <f t="shared" ref="D90:D103" ca="1" si="39">+E90+F90</f>
        <v>0</v>
      </c>
      <c r="E90" s="265">
        <f ca="1">IFERROR(__xludf.DUMMYFUNCTION("IMPORTRANGE(""https://docs.google.com/spreadsheets/d/1MeEWN-I1oV_STSDYn1IFDPWt_1FKiwhDph83XaGc0o0/edit?usp=sharing"",""งบพรบ!CF90"")"),0)</f>
        <v>0</v>
      </c>
      <c r="F90" s="265">
        <f ca="1">IFERROR(__xludf.DUMMYFUNCTION("IMPORTRANGE(""https://docs.google.com/spreadsheets/d/1MeEWN-I1oV_STSDYn1IFDPWt_1FKiwhDph83XaGc0o0/edit?usp=sharing"",""งบพรบ!CG90"")"),0)</f>
        <v>0</v>
      </c>
      <c r="G90" s="265">
        <f ca="1">IFERROR(__xludf.DUMMYFUNCTION("IMPORTRANGE(""https://docs.google.com/spreadsheets/d/1MeEWN-I1oV_STSDYn1IFDPWt_1FKiwhDph83XaGc0o0/edit?usp=sharing"",""งบพรบ!CH90"")"),0)</f>
        <v>0</v>
      </c>
      <c r="H90" s="265">
        <f ca="1">IFERROR(__xludf.DUMMYFUNCTION("IMPORTRANGE(""https://docs.google.com/spreadsheets/d/1MeEWN-I1oV_STSDYn1IFDPWt_1FKiwhDph83XaGc0o0/edit?usp=sharing"",""งบพรบ!CJ90"")"),0)</f>
        <v>0</v>
      </c>
      <c r="I90" s="265">
        <f ca="1">IFERROR(__xludf.DUMMYFUNCTION("IMPORTRANGE(""https://docs.google.com/spreadsheets/d/1MeEWN-I1oV_STSDYn1IFDPWt_1FKiwhDph83XaGc0o0/edit?usp=sharing"",""งบพรบ!CK90"")"),0)</f>
        <v>0</v>
      </c>
      <c r="J90" s="265">
        <f t="shared" ca="1" si="3"/>
        <v>0</v>
      </c>
      <c r="K90" s="272">
        <f t="shared" ca="1" si="4"/>
        <v>0</v>
      </c>
      <c r="L90" s="265">
        <f ca="1">IFERROR(__xludf.DUMMYFUNCTION("IMPORTRANGE(""https://docs.google.com/spreadsheets/d/1MeEWN-I1oV_STSDYn1IFDPWt_1FKiwhDph83XaGc0o0/edit?usp=sharing"",""งบพรบ!CL90"")"),0)</f>
        <v>0</v>
      </c>
      <c r="M90" s="268">
        <f t="shared" ca="1" si="5"/>
        <v>0</v>
      </c>
      <c r="N90" s="268">
        <f t="shared" ca="1" si="6"/>
        <v>0</v>
      </c>
      <c r="O90" s="269">
        <f ca="1">IFERROR(__xludf.DUMMYFUNCTION("IMPORTRANGE(""https://docs.google.com/spreadsheets/d/1MeEWN-I1oV_STSDYn1IFDPWt_1FKiwhDph83XaGc0o0/edit?usp=sharing"",""งบพรบ!CC90"")"),0)</f>
        <v>0</v>
      </c>
      <c r="P90" s="269">
        <f t="shared" ca="1" si="22"/>
        <v>0</v>
      </c>
      <c r="Q90" s="268">
        <f t="shared" ca="1" si="8"/>
        <v>0</v>
      </c>
      <c r="R90" s="284"/>
      <c r="S90" s="284"/>
      <c r="T90" s="268"/>
      <c r="U90" s="284"/>
      <c r="V90" s="284"/>
      <c r="W90" s="268"/>
      <c r="X90" s="209"/>
      <c r="Y90" s="209"/>
      <c r="Z90" s="209"/>
    </row>
    <row r="91" spans="1:26" ht="24" hidden="1" customHeight="1" x14ac:dyDescent="0.3">
      <c r="A91" s="261">
        <v>2</v>
      </c>
      <c r="B91" s="262" t="s">
        <v>113</v>
      </c>
      <c r="C91" s="263">
        <f t="shared" ca="1" si="0"/>
        <v>0</v>
      </c>
      <c r="D91" s="264">
        <f t="shared" ca="1" si="39"/>
        <v>0</v>
      </c>
      <c r="E91" s="265">
        <f ca="1">IFERROR(__xludf.DUMMYFUNCTION("IMPORTRANGE(""https://docs.google.com/spreadsheets/d/1MeEWN-I1oV_STSDYn1IFDPWt_1FKiwhDph83XaGc0o0/edit?usp=sharing"",""งบพรบ!CF91"")"),0)</f>
        <v>0</v>
      </c>
      <c r="F91" s="265">
        <f ca="1">IFERROR(__xludf.DUMMYFUNCTION("IMPORTRANGE(""https://docs.google.com/spreadsheets/d/1MeEWN-I1oV_STSDYn1IFDPWt_1FKiwhDph83XaGc0o0/edit?usp=sharing"",""งบพรบ!CG91"")"),0)</f>
        <v>0</v>
      </c>
      <c r="G91" s="265">
        <f ca="1">IFERROR(__xludf.DUMMYFUNCTION("IMPORTRANGE(""https://docs.google.com/spreadsheets/d/1MeEWN-I1oV_STSDYn1IFDPWt_1FKiwhDph83XaGc0o0/edit?usp=sharing"",""งบพรบ!CH91"")"),0)</f>
        <v>0</v>
      </c>
      <c r="H91" s="265">
        <f ca="1">IFERROR(__xludf.DUMMYFUNCTION("IMPORTRANGE(""https://docs.google.com/spreadsheets/d/1MeEWN-I1oV_STSDYn1IFDPWt_1FKiwhDph83XaGc0o0/edit?usp=sharing"",""งบพรบ!CJ91"")"),0)</f>
        <v>0</v>
      </c>
      <c r="I91" s="265">
        <f ca="1">IFERROR(__xludf.DUMMYFUNCTION("IMPORTRANGE(""https://docs.google.com/spreadsheets/d/1MeEWN-I1oV_STSDYn1IFDPWt_1FKiwhDph83XaGc0o0/edit?usp=sharing"",""งบพรบ!CK91"")"),0)</f>
        <v>0</v>
      </c>
      <c r="J91" s="265">
        <f t="shared" ca="1" si="3"/>
        <v>0</v>
      </c>
      <c r="K91" s="272">
        <f t="shared" ca="1" si="4"/>
        <v>0</v>
      </c>
      <c r="L91" s="265">
        <f ca="1">IFERROR(__xludf.DUMMYFUNCTION("IMPORTRANGE(""https://docs.google.com/spreadsheets/d/1MeEWN-I1oV_STSDYn1IFDPWt_1FKiwhDph83XaGc0o0/edit?usp=sharing"",""งบพรบ!CL91"")"),0)</f>
        <v>0</v>
      </c>
      <c r="M91" s="268">
        <f t="shared" ca="1" si="5"/>
        <v>0</v>
      </c>
      <c r="N91" s="268">
        <f t="shared" ca="1" si="6"/>
        <v>0</v>
      </c>
      <c r="O91" s="269">
        <f ca="1">IFERROR(__xludf.DUMMYFUNCTION("IMPORTRANGE(""https://docs.google.com/spreadsheets/d/1MeEWN-I1oV_STSDYn1IFDPWt_1FKiwhDph83XaGc0o0/edit?usp=sharing"",""งบพรบ!CC91"")"),0)</f>
        <v>0</v>
      </c>
      <c r="P91" s="269">
        <f t="shared" ca="1" si="22"/>
        <v>0</v>
      </c>
      <c r="Q91" s="268">
        <f t="shared" ca="1" si="8"/>
        <v>0</v>
      </c>
      <c r="R91" s="284"/>
      <c r="S91" s="284"/>
      <c r="T91" s="268"/>
      <c r="U91" s="284"/>
      <c r="V91" s="284"/>
      <c r="W91" s="268"/>
      <c r="X91" s="209"/>
      <c r="Y91" s="209"/>
      <c r="Z91" s="209"/>
    </row>
    <row r="92" spans="1:26" ht="24" hidden="1" customHeight="1" x14ac:dyDescent="0.3">
      <c r="A92" s="261">
        <v>3</v>
      </c>
      <c r="B92" s="262" t="s">
        <v>114</v>
      </c>
      <c r="C92" s="263">
        <f t="shared" ca="1" si="0"/>
        <v>4000000</v>
      </c>
      <c r="D92" s="264">
        <f t="shared" ca="1" si="39"/>
        <v>4000000</v>
      </c>
      <c r="E92" s="265">
        <f ca="1">IFERROR(__xludf.DUMMYFUNCTION("IMPORTRANGE(""https://docs.google.com/spreadsheets/d/1MeEWN-I1oV_STSDYn1IFDPWt_1FKiwhDph83XaGc0o0/edit?usp=sharing"",""งบพรบ!CF92"")"),4000000)</f>
        <v>4000000</v>
      </c>
      <c r="F92" s="265">
        <f ca="1">IFERROR(__xludf.DUMMYFUNCTION("IMPORTRANGE(""https://docs.google.com/spreadsheets/d/1MeEWN-I1oV_STSDYn1IFDPWt_1FKiwhDph83XaGc0o0/edit?usp=sharing"",""งบพรบ!CG92"")"),0)</f>
        <v>0</v>
      </c>
      <c r="G92" s="265">
        <f ca="1">IFERROR(__xludf.DUMMYFUNCTION("IMPORTRANGE(""https://docs.google.com/spreadsheets/d/1MeEWN-I1oV_STSDYn1IFDPWt_1FKiwhDph83XaGc0o0/edit?usp=sharing"",""งบพรบ!CH92"")"),0)</f>
        <v>0</v>
      </c>
      <c r="H92" s="265">
        <f ca="1">IFERROR(__xludf.DUMMYFUNCTION("IMPORTRANGE(""https://docs.google.com/spreadsheets/d/1MeEWN-I1oV_STSDYn1IFDPWt_1FKiwhDph83XaGc0o0/edit?usp=sharing"",""งบพรบ!CJ92"")"),4043700)</f>
        <v>4043700</v>
      </c>
      <c r="I92" s="265">
        <f ca="1">IFERROR(__xludf.DUMMYFUNCTION("IMPORTRANGE(""https://docs.google.com/spreadsheets/d/1MeEWN-I1oV_STSDYn1IFDPWt_1FKiwhDph83XaGc0o0/edit?usp=sharing"",""งบพรบ!CK92"")"),0)</f>
        <v>0</v>
      </c>
      <c r="J92" s="265">
        <f t="shared" ca="1" si="3"/>
        <v>838447</v>
      </c>
      <c r="K92" s="272">
        <f t="shared" ca="1" si="4"/>
        <v>20.961175000000001</v>
      </c>
      <c r="L92" s="265">
        <f ca="1">IFERROR(__xludf.DUMMYFUNCTION("IMPORTRANGE(""https://docs.google.com/spreadsheets/d/1MeEWN-I1oV_STSDYn1IFDPWt_1FKiwhDph83XaGc0o0/edit?usp=sharing"",""งบพรบ!CL92"")"),838447)</f>
        <v>838447</v>
      </c>
      <c r="M92" s="268">
        <f t="shared" ca="1" si="5"/>
        <v>20.961175000000001</v>
      </c>
      <c r="N92" s="268">
        <f t="shared" ca="1" si="6"/>
        <v>20.734648960110789</v>
      </c>
      <c r="O92" s="269">
        <f ca="1">IFERROR(__xludf.DUMMYFUNCTION("IMPORTRANGE(""https://docs.google.com/spreadsheets/d/1MeEWN-I1oV_STSDYn1IFDPWt_1FKiwhDph83XaGc0o0/edit?usp=sharing"",""งบพรบ!CC92"")"),0)</f>
        <v>0</v>
      </c>
      <c r="P92" s="269">
        <f t="shared" ca="1" si="22"/>
        <v>0</v>
      </c>
      <c r="Q92" s="268">
        <f t="shared" ca="1" si="8"/>
        <v>0</v>
      </c>
      <c r="R92" s="284"/>
      <c r="S92" s="284"/>
      <c r="T92" s="268"/>
      <c r="U92" s="284"/>
      <c r="V92" s="284"/>
      <c r="W92" s="268"/>
      <c r="X92" s="209"/>
      <c r="Y92" s="209"/>
      <c r="Z92" s="209"/>
    </row>
    <row r="93" spans="1:26" ht="24" hidden="1" customHeight="1" x14ac:dyDescent="0.3">
      <c r="A93" s="261">
        <f t="shared" ref="A93:A103" si="40">+A92+1</f>
        <v>4</v>
      </c>
      <c r="B93" s="262" t="s">
        <v>115</v>
      </c>
      <c r="C93" s="263">
        <f t="shared" ca="1" si="0"/>
        <v>0</v>
      </c>
      <c r="D93" s="264">
        <f t="shared" ca="1" si="39"/>
        <v>0</v>
      </c>
      <c r="E93" s="265">
        <f ca="1">IFERROR(__xludf.DUMMYFUNCTION("IMPORTRANGE(""https://docs.google.com/spreadsheets/d/1MeEWN-I1oV_STSDYn1IFDPWt_1FKiwhDph83XaGc0o0/edit?usp=sharing"",""งบพรบ!CF93"")"),0)</f>
        <v>0</v>
      </c>
      <c r="F93" s="265">
        <f ca="1">IFERROR(__xludf.DUMMYFUNCTION("IMPORTRANGE(""https://docs.google.com/spreadsheets/d/1MeEWN-I1oV_STSDYn1IFDPWt_1FKiwhDph83XaGc0o0/edit?usp=sharing"",""งบพรบ!CG93"")"),0)</f>
        <v>0</v>
      </c>
      <c r="G93" s="265">
        <f ca="1">IFERROR(__xludf.DUMMYFUNCTION("IMPORTRANGE(""https://docs.google.com/spreadsheets/d/1MeEWN-I1oV_STSDYn1IFDPWt_1FKiwhDph83XaGc0o0/edit?usp=sharing"",""งบพรบ!CH93"")"),0)</f>
        <v>0</v>
      </c>
      <c r="H93" s="265">
        <f ca="1">IFERROR(__xludf.DUMMYFUNCTION("IMPORTRANGE(""https://docs.google.com/spreadsheets/d/1MeEWN-I1oV_STSDYn1IFDPWt_1FKiwhDph83XaGc0o0/edit?usp=sharing"",""งบพรบ!CJ93"")"),0)</f>
        <v>0</v>
      </c>
      <c r="I93" s="265">
        <f ca="1">IFERROR(__xludf.DUMMYFUNCTION("IMPORTRANGE(""https://docs.google.com/spreadsheets/d/1MeEWN-I1oV_STSDYn1IFDPWt_1FKiwhDph83XaGc0o0/edit?usp=sharing"",""งบพรบ!CK93"")"),0)</f>
        <v>0</v>
      </c>
      <c r="J93" s="265">
        <f t="shared" ca="1" si="3"/>
        <v>0</v>
      </c>
      <c r="K93" s="272">
        <f t="shared" ca="1" si="4"/>
        <v>0</v>
      </c>
      <c r="L93" s="265">
        <f ca="1">IFERROR(__xludf.DUMMYFUNCTION("IMPORTRANGE(""https://docs.google.com/spreadsheets/d/1MeEWN-I1oV_STSDYn1IFDPWt_1FKiwhDph83XaGc0o0/edit?usp=sharing"",""งบพรบ!CL93"")"),0)</f>
        <v>0</v>
      </c>
      <c r="M93" s="268">
        <f t="shared" ca="1" si="5"/>
        <v>0</v>
      </c>
      <c r="N93" s="268">
        <f t="shared" ca="1" si="6"/>
        <v>0</v>
      </c>
      <c r="O93" s="269">
        <f ca="1">IFERROR(__xludf.DUMMYFUNCTION("IMPORTRANGE(""https://docs.google.com/spreadsheets/d/1MeEWN-I1oV_STSDYn1IFDPWt_1FKiwhDph83XaGc0o0/edit?usp=sharing"",""งบพรบ!CC93"")"),0)</f>
        <v>0</v>
      </c>
      <c r="P93" s="269">
        <f t="shared" ca="1" si="22"/>
        <v>0</v>
      </c>
      <c r="Q93" s="268">
        <f t="shared" ca="1" si="8"/>
        <v>0</v>
      </c>
      <c r="R93" s="284"/>
      <c r="S93" s="284"/>
      <c r="T93" s="268"/>
      <c r="U93" s="284"/>
      <c r="V93" s="284"/>
      <c r="W93" s="268"/>
      <c r="X93" s="209"/>
      <c r="Y93" s="209"/>
      <c r="Z93" s="209"/>
    </row>
    <row r="94" spans="1:26" ht="24" hidden="1" customHeight="1" x14ac:dyDescent="0.3">
      <c r="A94" s="261">
        <f t="shared" si="40"/>
        <v>5</v>
      </c>
      <c r="B94" s="262" t="s">
        <v>116</v>
      </c>
      <c r="C94" s="263">
        <f t="shared" ca="1" si="0"/>
        <v>0</v>
      </c>
      <c r="D94" s="264">
        <f t="shared" ca="1" si="39"/>
        <v>0</v>
      </c>
      <c r="E94" s="265">
        <f ca="1">IFERROR(__xludf.DUMMYFUNCTION("IMPORTRANGE(""https://docs.google.com/spreadsheets/d/1MeEWN-I1oV_STSDYn1IFDPWt_1FKiwhDph83XaGc0o0/edit?usp=sharing"",""งบพรบ!CF94"")"),0)</f>
        <v>0</v>
      </c>
      <c r="F94" s="265">
        <f ca="1">IFERROR(__xludf.DUMMYFUNCTION("IMPORTRANGE(""https://docs.google.com/spreadsheets/d/1MeEWN-I1oV_STSDYn1IFDPWt_1FKiwhDph83XaGc0o0/edit?usp=sharing"",""งบพรบ!CG94"")"),0)</f>
        <v>0</v>
      </c>
      <c r="G94" s="265">
        <f ca="1">IFERROR(__xludf.DUMMYFUNCTION("IMPORTRANGE(""https://docs.google.com/spreadsheets/d/1MeEWN-I1oV_STSDYn1IFDPWt_1FKiwhDph83XaGc0o0/edit?usp=sharing"",""งบพรบ!CH94"")"),0)</f>
        <v>0</v>
      </c>
      <c r="H94" s="265">
        <f ca="1">IFERROR(__xludf.DUMMYFUNCTION("IMPORTRANGE(""https://docs.google.com/spreadsheets/d/1MeEWN-I1oV_STSDYn1IFDPWt_1FKiwhDph83XaGc0o0/edit?usp=sharing"",""งบพรบ!CJ94"")"),0)</f>
        <v>0</v>
      </c>
      <c r="I94" s="265">
        <f ca="1">IFERROR(__xludf.DUMMYFUNCTION("IMPORTRANGE(""https://docs.google.com/spreadsheets/d/1MeEWN-I1oV_STSDYn1IFDPWt_1FKiwhDph83XaGc0o0/edit?usp=sharing"",""งบพรบ!CK94"")"),0)</f>
        <v>0</v>
      </c>
      <c r="J94" s="265">
        <f t="shared" ca="1" si="3"/>
        <v>0</v>
      </c>
      <c r="K94" s="272">
        <f t="shared" ca="1" si="4"/>
        <v>0</v>
      </c>
      <c r="L94" s="265">
        <f ca="1">IFERROR(__xludf.DUMMYFUNCTION("IMPORTRANGE(""https://docs.google.com/spreadsheets/d/1MeEWN-I1oV_STSDYn1IFDPWt_1FKiwhDph83XaGc0o0/edit?usp=sharing"",""งบพรบ!CL94"")"),0)</f>
        <v>0</v>
      </c>
      <c r="M94" s="268">
        <f t="shared" ca="1" si="5"/>
        <v>0</v>
      </c>
      <c r="N94" s="268">
        <f t="shared" ca="1" si="6"/>
        <v>0</v>
      </c>
      <c r="O94" s="269">
        <f ca="1">IFERROR(__xludf.DUMMYFUNCTION("IMPORTRANGE(""https://docs.google.com/spreadsheets/d/1MeEWN-I1oV_STSDYn1IFDPWt_1FKiwhDph83XaGc0o0/edit?usp=sharing"",""งบพรบ!CC94"")"),0)</f>
        <v>0</v>
      </c>
      <c r="P94" s="269">
        <f t="shared" ca="1" si="22"/>
        <v>0</v>
      </c>
      <c r="Q94" s="268">
        <f t="shared" ca="1" si="8"/>
        <v>0</v>
      </c>
      <c r="R94" s="284"/>
      <c r="S94" s="284"/>
      <c r="T94" s="268"/>
      <c r="U94" s="284"/>
      <c r="V94" s="284"/>
      <c r="W94" s="268"/>
      <c r="X94" s="209"/>
      <c r="Y94" s="209"/>
      <c r="Z94" s="209"/>
    </row>
    <row r="95" spans="1:26" ht="24" hidden="1" customHeight="1" x14ac:dyDescent="0.3">
      <c r="A95" s="261">
        <f t="shared" si="40"/>
        <v>6</v>
      </c>
      <c r="B95" s="262" t="s">
        <v>117</v>
      </c>
      <c r="C95" s="263">
        <f t="shared" ca="1" si="0"/>
        <v>0</v>
      </c>
      <c r="D95" s="264">
        <f t="shared" ca="1" si="39"/>
        <v>0</v>
      </c>
      <c r="E95" s="265">
        <f ca="1">IFERROR(__xludf.DUMMYFUNCTION("IMPORTRANGE(""https://docs.google.com/spreadsheets/d/1MeEWN-I1oV_STSDYn1IFDPWt_1FKiwhDph83XaGc0o0/edit?usp=sharing"",""งบพรบ!CF95"")"),0)</f>
        <v>0</v>
      </c>
      <c r="F95" s="265">
        <f ca="1">IFERROR(__xludf.DUMMYFUNCTION("IMPORTRANGE(""https://docs.google.com/spreadsheets/d/1MeEWN-I1oV_STSDYn1IFDPWt_1FKiwhDph83XaGc0o0/edit?usp=sharing"",""งบพรบ!CG95"")"),0)</f>
        <v>0</v>
      </c>
      <c r="G95" s="265">
        <f ca="1">IFERROR(__xludf.DUMMYFUNCTION("IMPORTRANGE(""https://docs.google.com/spreadsheets/d/1MeEWN-I1oV_STSDYn1IFDPWt_1FKiwhDph83XaGc0o0/edit?usp=sharing"",""งบพรบ!CH95"")"),0)</f>
        <v>0</v>
      </c>
      <c r="H95" s="265">
        <f ca="1">IFERROR(__xludf.DUMMYFUNCTION("IMPORTRANGE(""https://docs.google.com/spreadsheets/d/1MeEWN-I1oV_STSDYn1IFDPWt_1FKiwhDph83XaGc0o0/edit?usp=sharing"",""งบพรบ!CJ95"")"),0)</f>
        <v>0</v>
      </c>
      <c r="I95" s="265">
        <f ca="1">IFERROR(__xludf.DUMMYFUNCTION("IMPORTRANGE(""https://docs.google.com/spreadsheets/d/1MeEWN-I1oV_STSDYn1IFDPWt_1FKiwhDph83XaGc0o0/edit?usp=sharing"",""งบพรบ!CK95"")"),0)</f>
        <v>0</v>
      </c>
      <c r="J95" s="265">
        <f t="shared" ca="1" si="3"/>
        <v>0</v>
      </c>
      <c r="K95" s="272">
        <f t="shared" ca="1" si="4"/>
        <v>0</v>
      </c>
      <c r="L95" s="265">
        <f ca="1">IFERROR(__xludf.DUMMYFUNCTION("IMPORTRANGE(""https://docs.google.com/spreadsheets/d/1MeEWN-I1oV_STSDYn1IFDPWt_1FKiwhDph83XaGc0o0/edit?usp=sharing"",""งบพรบ!CL95"")"),0)</f>
        <v>0</v>
      </c>
      <c r="M95" s="268">
        <f t="shared" ca="1" si="5"/>
        <v>0</v>
      </c>
      <c r="N95" s="268">
        <f t="shared" ca="1" si="6"/>
        <v>0</v>
      </c>
      <c r="O95" s="269">
        <f ca="1">IFERROR(__xludf.DUMMYFUNCTION("IMPORTRANGE(""https://docs.google.com/spreadsheets/d/1MeEWN-I1oV_STSDYn1IFDPWt_1FKiwhDph83XaGc0o0/edit?usp=sharing"",""งบพรบ!CC95"")"),0)</f>
        <v>0</v>
      </c>
      <c r="P95" s="269">
        <f t="shared" ca="1" si="22"/>
        <v>0</v>
      </c>
      <c r="Q95" s="268">
        <f t="shared" ca="1" si="8"/>
        <v>0</v>
      </c>
      <c r="R95" s="284"/>
      <c r="S95" s="284"/>
      <c r="T95" s="268"/>
      <c r="U95" s="284"/>
      <c r="V95" s="284"/>
      <c r="W95" s="268"/>
      <c r="X95" s="209"/>
      <c r="Y95" s="209"/>
      <c r="Z95" s="209"/>
    </row>
    <row r="96" spans="1:26" ht="24" hidden="1" customHeight="1" x14ac:dyDescent="0.3">
      <c r="A96" s="261">
        <f t="shared" si="40"/>
        <v>7</v>
      </c>
      <c r="B96" s="262" t="s">
        <v>118</v>
      </c>
      <c r="C96" s="263">
        <f t="shared" ca="1" si="0"/>
        <v>0</v>
      </c>
      <c r="D96" s="264">
        <f t="shared" ca="1" si="39"/>
        <v>0</v>
      </c>
      <c r="E96" s="265">
        <f ca="1">IFERROR(__xludf.DUMMYFUNCTION("IMPORTRANGE(""https://docs.google.com/spreadsheets/d/1MeEWN-I1oV_STSDYn1IFDPWt_1FKiwhDph83XaGc0o0/edit?usp=sharing"",""งบพรบ!CF96"")"),0)</f>
        <v>0</v>
      </c>
      <c r="F96" s="265">
        <f ca="1">IFERROR(__xludf.DUMMYFUNCTION("IMPORTRANGE(""https://docs.google.com/spreadsheets/d/1MeEWN-I1oV_STSDYn1IFDPWt_1FKiwhDph83XaGc0o0/edit?usp=sharing"",""งบพรบ!CG96"")"),0)</f>
        <v>0</v>
      </c>
      <c r="G96" s="265">
        <f ca="1">IFERROR(__xludf.DUMMYFUNCTION("IMPORTRANGE(""https://docs.google.com/spreadsheets/d/1MeEWN-I1oV_STSDYn1IFDPWt_1FKiwhDph83XaGc0o0/edit?usp=sharing"",""งบพรบ!CH96"")"),0)</f>
        <v>0</v>
      </c>
      <c r="H96" s="265">
        <f ca="1">IFERROR(__xludf.DUMMYFUNCTION("IMPORTRANGE(""https://docs.google.com/spreadsheets/d/1MeEWN-I1oV_STSDYn1IFDPWt_1FKiwhDph83XaGc0o0/edit?usp=sharing"",""งบพรบ!CJ96"")"),0)</f>
        <v>0</v>
      </c>
      <c r="I96" s="265">
        <f ca="1">IFERROR(__xludf.DUMMYFUNCTION("IMPORTRANGE(""https://docs.google.com/spreadsheets/d/1MeEWN-I1oV_STSDYn1IFDPWt_1FKiwhDph83XaGc0o0/edit?usp=sharing"",""งบพรบ!CK96"")"),0)</f>
        <v>0</v>
      </c>
      <c r="J96" s="265">
        <f t="shared" ca="1" si="3"/>
        <v>0</v>
      </c>
      <c r="K96" s="272">
        <f t="shared" ca="1" si="4"/>
        <v>0</v>
      </c>
      <c r="L96" s="265">
        <f ca="1">IFERROR(__xludf.DUMMYFUNCTION("IMPORTRANGE(""https://docs.google.com/spreadsheets/d/1MeEWN-I1oV_STSDYn1IFDPWt_1FKiwhDph83XaGc0o0/edit?usp=sharing"",""งบพรบ!CL96"")"),0)</f>
        <v>0</v>
      </c>
      <c r="M96" s="268">
        <f t="shared" ca="1" si="5"/>
        <v>0</v>
      </c>
      <c r="N96" s="268">
        <f t="shared" ca="1" si="6"/>
        <v>0</v>
      </c>
      <c r="O96" s="269">
        <f ca="1">IFERROR(__xludf.DUMMYFUNCTION("IMPORTRANGE(""https://docs.google.com/spreadsheets/d/1MeEWN-I1oV_STSDYn1IFDPWt_1FKiwhDph83XaGc0o0/edit?usp=sharing"",""งบพรบ!CC96"")"),0)</f>
        <v>0</v>
      </c>
      <c r="P96" s="269">
        <f t="shared" ca="1" si="22"/>
        <v>0</v>
      </c>
      <c r="Q96" s="268">
        <f t="shared" ca="1" si="8"/>
        <v>0</v>
      </c>
      <c r="R96" s="284"/>
      <c r="S96" s="284"/>
      <c r="T96" s="268"/>
      <c r="U96" s="284"/>
      <c r="V96" s="284"/>
      <c r="W96" s="268"/>
      <c r="X96" s="209"/>
      <c r="Y96" s="209"/>
      <c r="Z96" s="209"/>
    </row>
    <row r="97" spans="1:26" ht="24" hidden="1" customHeight="1" x14ac:dyDescent="0.3">
      <c r="A97" s="261">
        <f t="shared" si="40"/>
        <v>8</v>
      </c>
      <c r="B97" s="262" t="s">
        <v>119</v>
      </c>
      <c r="C97" s="263">
        <f t="shared" ca="1" si="0"/>
        <v>0</v>
      </c>
      <c r="D97" s="264">
        <f t="shared" ca="1" si="39"/>
        <v>0</v>
      </c>
      <c r="E97" s="265">
        <f ca="1">IFERROR(__xludf.DUMMYFUNCTION("IMPORTRANGE(""https://docs.google.com/spreadsheets/d/1MeEWN-I1oV_STSDYn1IFDPWt_1FKiwhDph83XaGc0o0/edit?usp=sharing"",""งบพรบ!CF97"")"),0)</f>
        <v>0</v>
      </c>
      <c r="F97" s="265">
        <f ca="1">IFERROR(__xludf.DUMMYFUNCTION("IMPORTRANGE(""https://docs.google.com/spreadsheets/d/1MeEWN-I1oV_STSDYn1IFDPWt_1FKiwhDph83XaGc0o0/edit?usp=sharing"",""งบพรบ!CG97"")"),0)</f>
        <v>0</v>
      </c>
      <c r="G97" s="265">
        <f ca="1">IFERROR(__xludf.DUMMYFUNCTION("IMPORTRANGE(""https://docs.google.com/spreadsheets/d/1MeEWN-I1oV_STSDYn1IFDPWt_1FKiwhDph83XaGc0o0/edit?usp=sharing"",""งบพรบ!CH97"")"),0)</f>
        <v>0</v>
      </c>
      <c r="H97" s="265">
        <f ca="1">IFERROR(__xludf.DUMMYFUNCTION("IMPORTRANGE(""https://docs.google.com/spreadsheets/d/1MeEWN-I1oV_STSDYn1IFDPWt_1FKiwhDph83XaGc0o0/edit?usp=sharing"",""งบพรบ!CJ97"")"),0)</f>
        <v>0</v>
      </c>
      <c r="I97" s="265">
        <f ca="1">IFERROR(__xludf.DUMMYFUNCTION("IMPORTRANGE(""https://docs.google.com/spreadsheets/d/1MeEWN-I1oV_STSDYn1IFDPWt_1FKiwhDph83XaGc0o0/edit?usp=sharing"",""งบพรบ!CK97"")"),0)</f>
        <v>0</v>
      </c>
      <c r="J97" s="265">
        <f t="shared" ca="1" si="3"/>
        <v>0</v>
      </c>
      <c r="K97" s="272">
        <f t="shared" ca="1" si="4"/>
        <v>0</v>
      </c>
      <c r="L97" s="265">
        <f ca="1">IFERROR(__xludf.DUMMYFUNCTION("IMPORTRANGE(""https://docs.google.com/spreadsheets/d/1MeEWN-I1oV_STSDYn1IFDPWt_1FKiwhDph83XaGc0o0/edit?usp=sharing"",""งบพรบ!CL97"")"),0)</f>
        <v>0</v>
      </c>
      <c r="M97" s="268">
        <f t="shared" ca="1" si="5"/>
        <v>0</v>
      </c>
      <c r="N97" s="268">
        <f t="shared" ca="1" si="6"/>
        <v>0</v>
      </c>
      <c r="O97" s="269">
        <f ca="1">IFERROR(__xludf.DUMMYFUNCTION("IMPORTRANGE(""https://docs.google.com/spreadsheets/d/1MeEWN-I1oV_STSDYn1IFDPWt_1FKiwhDph83XaGc0o0/edit?usp=sharing"",""งบพรบ!CC97"")"),0)</f>
        <v>0</v>
      </c>
      <c r="P97" s="269">
        <f t="shared" ca="1" si="22"/>
        <v>0</v>
      </c>
      <c r="Q97" s="268">
        <f t="shared" ca="1" si="8"/>
        <v>0</v>
      </c>
      <c r="R97" s="284"/>
      <c r="S97" s="284"/>
      <c r="T97" s="268"/>
      <c r="U97" s="284"/>
      <c r="V97" s="284"/>
      <c r="W97" s="268"/>
      <c r="X97" s="209"/>
      <c r="Y97" s="209"/>
      <c r="Z97" s="209"/>
    </row>
    <row r="98" spans="1:26" ht="24" hidden="1" customHeight="1" x14ac:dyDescent="0.3">
      <c r="A98" s="261">
        <f t="shared" si="40"/>
        <v>9</v>
      </c>
      <c r="B98" s="262" t="s">
        <v>120</v>
      </c>
      <c r="C98" s="263">
        <f t="shared" ca="1" si="0"/>
        <v>0</v>
      </c>
      <c r="D98" s="264">
        <f t="shared" ca="1" si="39"/>
        <v>0</v>
      </c>
      <c r="E98" s="265">
        <f ca="1">IFERROR(__xludf.DUMMYFUNCTION("IMPORTRANGE(""https://docs.google.com/spreadsheets/d/1MeEWN-I1oV_STSDYn1IFDPWt_1FKiwhDph83XaGc0o0/edit?usp=sharing"",""งบพรบ!CF98"")"),0)</f>
        <v>0</v>
      </c>
      <c r="F98" s="265">
        <f ca="1">IFERROR(__xludf.DUMMYFUNCTION("IMPORTRANGE(""https://docs.google.com/spreadsheets/d/1MeEWN-I1oV_STSDYn1IFDPWt_1FKiwhDph83XaGc0o0/edit?usp=sharing"",""งบพรบ!CG98"")"),0)</f>
        <v>0</v>
      </c>
      <c r="G98" s="265">
        <f ca="1">IFERROR(__xludf.DUMMYFUNCTION("IMPORTRANGE(""https://docs.google.com/spreadsheets/d/1MeEWN-I1oV_STSDYn1IFDPWt_1FKiwhDph83XaGc0o0/edit?usp=sharing"",""งบพรบ!CH98"")"),0)</f>
        <v>0</v>
      </c>
      <c r="H98" s="265">
        <f ca="1">IFERROR(__xludf.DUMMYFUNCTION("IMPORTRANGE(""https://docs.google.com/spreadsheets/d/1MeEWN-I1oV_STSDYn1IFDPWt_1FKiwhDph83XaGc0o0/edit?usp=sharing"",""งบพรบ!CJ98"")"),0)</f>
        <v>0</v>
      </c>
      <c r="I98" s="265">
        <f ca="1">IFERROR(__xludf.DUMMYFUNCTION("IMPORTRANGE(""https://docs.google.com/spreadsheets/d/1MeEWN-I1oV_STSDYn1IFDPWt_1FKiwhDph83XaGc0o0/edit?usp=sharing"",""งบพรบ!CK98"")"),0)</f>
        <v>0</v>
      </c>
      <c r="J98" s="265">
        <f t="shared" ca="1" si="3"/>
        <v>0</v>
      </c>
      <c r="K98" s="272">
        <f t="shared" ca="1" si="4"/>
        <v>0</v>
      </c>
      <c r="L98" s="265">
        <f ca="1">IFERROR(__xludf.DUMMYFUNCTION("IMPORTRANGE(""https://docs.google.com/spreadsheets/d/1MeEWN-I1oV_STSDYn1IFDPWt_1FKiwhDph83XaGc0o0/edit?usp=sharing"",""งบพรบ!CL98"")"),0)</f>
        <v>0</v>
      </c>
      <c r="M98" s="268">
        <f t="shared" ca="1" si="5"/>
        <v>0</v>
      </c>
      <c r="N98" s="268">
        <f t="shared" ca="1" si="6"/>
        <v>0</v>
      </c>
      <c r="O98" s="269">
        <f ca="1">IFERROR(__xludf.DUMMYFUNCTION("IMPORTRANGE(""https://docs.google.com/spreadsheets/d/1MeEWN-I1oV_STSDYn1IFDPWt_1FKiwhDph83XaGc0o0/edit?usp=sharing"",""งบพรบ!CC98"")"),0)</f>
        <v>0</v>
      </c>
      <c r="P98" s="269">
        <f t="shared" ca="1" si="22"/>
        <v>0</v>
      </c>
      <c r="Q98" s="268">
        <f t="shared" ca="1" si="8"/>
        <v>0</v>
      </c>
      <c r="R98" s="284"/>
      <c r="S98" s="284"/>
      <c r="T98" s="268"/>
      <c r="U98" s="284"/>
      <c r="V98" s="284"/>
      <c r="W98" s="268"/>
      <c r="X98" s="209"/>
      <c r="Y98" s="209"/>
      <c r="Z98" s="209"/>
    </row>
    <row r="99" spans="1:26" ht="24" hidden="1" customHeight="1" x14ac:dyDescent="0.3">
      <c r="A99" s="261">
        <f t="shared" si="40"/>
        <v>10</v>
      </c>
      <c r="B99" s="262" t="s">
        <v>121</v>
      </c>
      <c r="C99" s="263">
        <f t="shared" ca="1" si="0"/>
        <v>0</v>
      </c>
      <c r="D99" s="264">
        <f t="shared" ca="1" si="39"/>
        <v>0</v>
      </c>
      <c r="E99" s="265">
        <f ca="1">IFERROR(__xludf.DUMMYFUNCTION("IMPORTRANGE(""https://docs.google.com/spreadsheets/d/1MeEWN-I1oV_STSDYn1IFDPWt_1FKiwhDph83XaGc0o0/edit?usp=sharing"",""งบพรบ!CF99"")"),0)</f>
        <v>0</v>
      </c>
      <c r="F99" s="265">
        <f ca="1">IFERROR(__xludf.DUMMYFUNCTION("IMPORTRANGE(""https://docs.google.com/spreadsheets/d/1MeEWN-I1oV_STSDYn1IFDPWt_1FKiwhDph83XaGc0o0/edit?usp=sharing"",""งบพรบ!CG99"")"),0)</f>
        <v>0</v>
      </c>
      <c r="G99" s="265">
        <f ca="1">IFERROR(__xludf.DUMMYFUNCTION("IMPORTRANGE(""https://docs.google.com/spreadsheets/d/1MeEWN-I1oV_STSDYn1IFDPWt_1FKiwhDph83XaGc0o0/edit?usp=sharing"",""งบพรบ!CH99"")"),0)</f>
        <v>0</v>
      </c>
      <c r="H99" s="265">
        <f ca="1">IFERROR(__xludf.DUMMYFUNCTION("IMPORTRANGE(""https://docs.google.com/spreadsheets/d/1MeEWN-I1oV_STSDYn1IFDPWt_1FKiwhDph83XaGc0o0/edit?usp=sharing"",""งบพรบ!CJ99"")"),0)</f>
        <v>0</v>
      </c>
      <c r="I99" s="265">
        <f ca="1">IFERROR(__xludf.DUMMYFUNCTION("IMPORTRANGE(""https://docs.google.com/spreadsheets/d/1MeEWN-I1oV_STSDYn1IFDPWt_1FKiwhDph83XaGc0o0/edit?usp=sharing"",""งบพรบ!CK99"")"),0)</f>
        <v>0</v>
      </c>
      <c r="J99" s="265">
        <f t="shared" ca="1" si="3"/>
        <v>0</v>
      </c>
      <c r="K99" s="272">
        <f t="shared" ca="1" si="4"/>
        <v>0</v>
      </c>
      <c r="L99" s="265">
        <f ca="1">IFERROR(__xludf.DUMMYFUNCTION("IMPORTRANGE(""https://docs.google.com/spreadsheets/d/1MeEWN-I1oV_STSDYn1IFDPWt_1FKiwhDph83XaGc0o0/edit?usp=sharing"",""งบพรบ!CL99"")"),0)</f>
        <v>0</v>
      </c>
      <c r="M99" s="268">
        <f t="shared" ca="1" si="5"/>
        <v>0</v>
      </c>
      <c r="N99" s="268">
        <f t="shared" ca="1" si="6"/>
        <v>0</v>
      </c>
      <c r="O99" s="269">
        <f ca="1">IFERROR(__xludf.DUMMYFUNCTION("IMPORTRANGE(""https://docs.google.com/spreadsheets/d/1MeEWN-I1oV_STSDYn1IFDPWt_1FKiwhDph83XaGc0o0/edit?usp=sharing"",""งบพรบ!CC99"")"),0)</f>
        <v>0</v>
      </c>
      <c r="P99" s="269">
        <f t="shared" ca="1" si="22"/>
        <v>0</v>
      </c>
      <c r="Q99" s="268">
        <f t="shared" ca="1" si="8"/>
        <v>0</v>
      </c>
      <c r="R99" s="284"/>
      <c r="S99" s="284"/>
      <c r="T99" s="268"/>
      <c r="U99" s="284"/>
      <c r="V99" s="284"/>
      <c r="W99" s="268"/>
      <c r="X99" s="209"/>
      <c r="Y99" s="209"/>
      <c r="Z99" s="209"/>
    </row>
    <row r="100" spans="1:26" ht="24" hidden="1" customHeight="1" x14ac:dyDescent="0.3">
      <c r="A100" s="261">
        <f t="shared" si="40"/>
        <v>11</v>
      </c>
      <c r="B100" s="262" t="s">
        <v>122</v>
      </c>
      <c r="C100" s="263">
        <f t="shared" ca="1" si="0"/>
        <v>0</v>
      </c>
      <c r="D100" s="264">
        <f t="shared" ca="1" si="39"/>
        <v>0</v>
      </c>
      <c r="E100" s="265">
        <f ca="1">IFERROR(__xludf.DUMMYFUNCTION("IMPORTRANGE(""https://docs.google.com/spreadsheets/d/1MeEWN-I1oV_STSDYn1IFDPWt_1FKiwhDph83XaGc0o0/edit?usp=sharing"",""งบพรบ!CF100"")"),0)</f>
        <v>0</v>
      </c>
      <c r="F100" s="265">
        <f ca="1">IFERROR(__xludf.DUMMYFUNCTION("IMPORTRANGE(""https://docs.google.com/spreadsheets/d/1MeEWN-I1oV_STSDYn1IFDPWt_1FKiwhDph83XaGc0o0/edit?usp=sharing"",""งบพรบ!CG100"")"),0)</f>
        <v>0</v>
      </c>
      <c r="G100" s="265">
        <f ca="1">IFERROR(__xludf.DUMMYFUNCTION("IMPORTRANGE(""https://docs.google.com/spreadsheets/d/1MeEWN-I1oV_STSDYn1IFDPWt_1FKiwhDph83XaGc0o0/edit?usp=sharing"",""งบพรบ!CH100"")"),0)</f>
        <v>0</v>
      </c>
      <c r="H100" s="265">
        <f ca="1">IFERROR(__xludf.DUMMYFUNCTION("IMPORTRANGE(""https://docs.google.com/spreadsheets/d/1MeEWN-I1oV_STSDYn1IFDPWt_1FKiwhDph83XaGc0o0/edit?usp=sharing"",""งบพรบ!CJ100"")"),0)</f>
        <v>0</v>
      </c>
      <c r="I100" s="265">
        <f ca="1">IFERROR(__xludf.DUMMYFUNCTION("IMPORTRANGE(""https://docs.google.com/spreadsheets/d/1MeEWN-I1oV_STSDYn1IFDPWt_1FKiwhDph83XaGc0o0/edit?usp=sharing"",""งบพรบ!CK100"")"),0)</f>
        <v>0</v>
      </c>
      <c r="J100" s="265">
        <f t="shared" ca="1" si="3"/>
        <v>0</v>
      </c>
      <c r="K100" s="272">
        <f t="shared" ca="1" si="4"/>
        <v>0</v>
      </c>
      <c r="L100" s="265">
        <f ca="1">IFERROR(__xludf.DUMMYFUNCTION("IMPORTRANGE(""https://docs.google.com/spreadsheets/d/1MeEWN-I1oV_STSDYn1IFDPWt_1FKiwhDph83XaGc0o0/edit?usp=sharing"",""งบพรบ!CL100"")"),0)</f>
        <v>0</v>
      </c>
      <c r="M100" s="268">
        <f t="shared" ca="1" si="5"/>
        <v>0</v>
      </c>
      <c r="N100" s="268">
        <f t="shared" ca="1" si="6"/>
        <v>0</v>
      </c>
      <c r="O100" s="269">
        <f ca="1">IFERROR(__xludf.DUMMYFUNCTION("IMPORTRANGE(""https://docs.google.com/spreadsheets/d/1MeEWN-I1oV_STSDYn1IFDPWt_1FKiwhDph83XaGc0o0/edit?usp=sharing"",""งบพรบ!CC100"")"),0)</f>
        <v>0</v>
      </c>
      <c r="P100" s="269">
        <f t="shared" ca="1" si="22"/>
        <v>0</v>
      </c>
      <c r="Q100" s="268">
        <f t="shared" ca="1" si="8"/>
        <v>0</v>
      </c>
      <c r="R100" s="284"/>
      <c r="S100" s="284"/>
      <c r="T100" s="268"/>
      <c r="U100" s="284"/>
      <c r="V100" s="284"/>
      <c r="W100" s="268"/>
      <c r="X100" s="209"/>
      <c r="Y100" s="209"/>
      <c r="Z100" s="209"/>
    </row>
    <row r="101" spans="1:26" ht="24" hidden="1" customHeight="1" x14ac:dyDescent="0.3">
      <c r="A101" s="261">
        <f t="shared" si="40"/>
        <v>12</v>
      </c>
      <c r="B101" s="262" t="s">
        <v>123</v>
      </c>
      <c r="C101" s="263">
        <f t="shared" ca="1" si="0"/>
        <v>0</v>
      </c>
      <c r="D101" s="264">
        <f t="shared" ca="1" si="39"/>
        <v>0</v>
      </c>
      <c r="E101" s="265">
        <f ca="1">IFERROR(__xludf.DUMMYFUNCTION("IMPORTRANGE(""https://docs.google.com/spreadsheets/d/1MeEWN-I1oV_STSDYn1IFDPWt_1FKiwhDph83XaGc0o0/edit?usp=sharing"",""งบพรบ!CF101"")"),0)</f>
        <v>0</v>
      </c>
      <c r="F101" s="265">
        <f ca="1">IFERROR(__xludf.DUMMYFUNCTION("IMPORTRANGE(""https://docs.google.com/spreadsheets/d/1MeEWN-I1oV_STSDYn1IFDPWt_1FKiwhDph83XaGc0o0/edit?usp=sharing"",""งบพรบ!CG101"")"),0)</f>
        <v>0</v>
      </c>
      <c r="G101" s="265">
        <f ca="1">IFERROR(__xludf.DUMMYFUNCTION("IMPORTRANGE(""https://docs.google.com/spreadsheets/d/1MeEWN-I1oV_STSDYn1IFDPWt_1FKiwhDph83XaGc0o0/edit?usp=sharing"",""งบพรบ!CH101"")"),0)</f>
        <v>0</v>
      </c>
      <c r="H101" s="265">
        <f ca="1">IFERROR(__xludf.DUMMYFUNCTION("IMPORTRANGE(""https://docs.google.com/spreadsheets/d/1MeEWN-I1oV_STSDYn1IFDPWt_1FKiwhDph83XaGc0o0/edit?usp=sharing"",""งบพรบ!CJ101"")"),0)</f>
        <v>0</v>
      </c>
      <c r="I101" s="265">
        <f ca="1">IFERROR(__xludf.DUMMYFUNCTION("IMPORTRANGE(""https://docs.google.com/spreadsheets/d/1MeEWN-I1oV_STSDYn1IFDPWt_1FKiwhDph83XaGc0o0/edit?usp=sharing"",""งบพรบ!CK101"")"),0)</f>
        <v>0</v>
      </c>
      <c r="J101" s="265">
        <f t="shared" ca="1" si="3"/>
        <v>0</v>
      </c>
      <c r="K101" s="272">
        <f t="shared" ca="1" si="4"/>
        <v>0</v>
      </c>
      <c r="L101" s="265">
        <f ca="1">IFERROR(__xludf.DUMMYFUNCTION("IMPORTRANGE(""https://docs.google.com/spreadsheets/d/1MeEWN-I1oV_STSDYn1IFDPWt_1FKiwhDph83XaGc0o0/edit?usp=sharing"",""งบพรบ!CL101"")"),0)</f>
        <v>0</v>
      </c>
      <c r="M101" s="268">
        <f t="shared" ca="1" si="5"/>
        <v>0</v>
      </c>
      <c r="N101" s="268">
        <f t="shared" ca="1" si="6"/>
        <v>0</v>
      </c>
      <c r="O101" s="269">
        <f ca="1">IFERROR(__xludf.DUMMYFUNCTION("IMPORTRANGE(""https://docs.google.com/spreadsheets/d/1MeEWN-I1oV_STSDYn1IFDPWt_1FKiwhDph83XaGc0o0/edit?usp=sharing"",""งบพรบ!CC101"")"),0)</f>
        <v>0</v>
      </c>
      <c r="P101" s="269">
        <f t="shared" ca="1" si="22"/>
        <v>0</v>
      </c>
      <c r="Q101" s="268">
        <f t="shared" ca="1" si="8"/>
        <v>0</v>
      </c>
      <c r="R101" s="284"/>
      <c r="S101" s="284"/>
      <c r="T101" s="268"/>
      <c r="U101" s="284"/>
      <c r="V101" s="284"/>
      <c r="W101" s="268"/>
      <c r="X101" s="209"/>
      <c r="Y101" s="209"/>
      <c r="Z101" s="209"/>
    </row>
    <row r="102" spans="1:26" ht="24" hidden="1" customHeight="1" x14ac:dyDescent="0.3">
      <c r="A102" s="261">
        <f t="shared" si="40"/>
        <v>13</v>
      </c>
      <c r="B102" s="262" t="s">
        <v>124</v>
      </c>
      <c r="C102" s="263">
        <f t="shared" ca="1" si="0"/>
        <v>0</v>
      </c>
      <c r="D102" s="264">
        <f t="shared" ca="1" si="39"/>
        <v>0</v>
      </c>
      <c r="E102" s="265">
        <f ca="1">IFERROR(__xludf.DUMMYFUNCTION("IMPORTRANGE(""https://docs.google.com/spreadsheets/d/1MeEWN-I1oV_STSDYn1IFDPWt_1FKiwhDph83XaGc0o0/edit?usp=sharing"",""งบพรบ!CF102"")"),0)</f>
        <v>0</v>
      </c>
      <c r="F102" s="265">
        <f ca="1">IFERROR(__xludf.DUMMYFUNCTION("IMPORTRANGE(""https://docs.google.com/spreadsheets/d/1MeEWN-I1oV_STSDYn1IFDPWt_1FKiwhDph83XaGc0o0/edit?usp=sharing"",""งบพรบ!CG102"")"),0)</f>
        <v>0</v>
      </c>
      <c r="G102" s="265">
        <f ca="1">IFERROR(__xludf.DUMMYFUNCTION("IMPORTRANGE(""https://docs.google.com/spreadsheets/d/1MeEWN-I1oV_STSDYn1IFDPWt_1FKiwhDph83XaGc0o0/edit?usp=sharing"",""งบพรบ!CH102"")"),0)</f>
        <v>0</v>
      </c>
      <c r="H102" s="265">
        <f ca="1">IFERROR(__xludf.DUMMYFUNCTION("IMPORTRANGE(""https://docs.google.com/spreadsheets/d/1MeEWN-I1oV_STSDYn1IFDPWt_1FKiwhDph83XaGc0o0/edit?usp=sharing"",""งบพรบ!CJ102"")"),0)</f>
        <v>0</v>
      </c>
      <c r="I102" s="265">
        <f ca="1">IFERROR(__xludf.DUMMYFUNCTION("IMPORTRANGE(""https://docs.google.com/spreadsheets/d/1MeEWN-I1oV_STSDYn1IFDPWt_1FKiwhDph83XaGc0o0/edit?usp=sharing"",""งบพรบ!CK102"")"),0)</f>
        <v>0</v>
      </c>
      <c r="J102" s="265">
        <f t="shared" ca="1" si="3"/>
        <v>0</v>
      </c>
      <c r="K102" s="272">
        <f t="shared" ca="1" si="4"/>
        <v>0</v>
      </c>
      <c r="L102" s="265">
        <f ca="1">IFERROR(__xludf.DUMMYFUNCTION("IMPORTRANGE(""https://docs.google.com/spreadsheets/d/1MeEWN-I1oV_STSDYn1IFDPWt_1FKiwhDph83XaGc0o0/edit?usp=sharing"",""งบพรบ!CL102"")"),0)</f>
        <v>0</v>
      </c>
      <c r="M102" s="268">
        <f t="shared" ca="1" si="5"/>
        <v>0</v>
      </c>
      <c r="N102" s="268">
        <f t="shared" ca="1" si="6"/>
        <v>0</v>
      </c>
      <c r="O102" s="269">
        <f ca="1">IFERROR(__xludf.DUMMYFUNCTION("IMPORTRANGE(""https://docs.google.com/spreadsheets/d/1MeEWN-I1oV_STSDYn1IFDPWt_1FKiwhDph83XaGc0o0/edit?usp=sharing"",""งบพรบ!CC102"")"),0)</f>
        <v>0</v>
      </c>
      <c r="P102" s="269">
        <f t="shared" ca="1" si="22"/>
        <v>0</v>
      </c>
      <c r="Q102" s="268">
        <f t="shared" ca="1" si="8"/>
        <v>0</v>
      </c>
      <c r="R102" s="284"/>
      <c r="S102" s="284"/>
      <c r="T102" s="268"/>
      <c r="U102" s="284"/>
      <c r="V102" s="284"/>
      <c r="W102" s="268"/>
      <c r="X102" s="209"/>
      <c r="Y102" s="209"/>
      <c r="Z102" s="209"/>
    </row>
    <row r="103" spans="1:26" ht="24" hidden="1" customHeight="1" x14ac:dyDescent="0.3">
      <c r="A103" s="273">
        <f t="shared" si="40"/>
        <v>14</v>
      </c>
      <c r="B103" s="274" t="s">
        <v>125</v>
      </c>
      <c r="C103" s="275">
        <f t="shared" ca="1" si="0"/>
        <v>10928050</v>
      </c>
      <c r="D103" s="276">
        <f t="shared" ca="1" si="39"/>
        <v>10928050</v>
      </c>
      <c r="E103" s="277">
        <f ca="1">IFERROR(__xludf.DUMMYFUNCTION("IMPORTRANGE(""https://docs.google.com/spreadsheets/d/1MeEWN-I1oV_STSDYn1IFDPWt_1FKiwhDph83XaGc0o0/edit?usp=sharing"",""งบพรบ!CF103"")"),10928050)</f>
        <v>10928050</v>
      </c>
      <c r="F103" s="277">
        <f ca="1">IFERROR(__xludf.DUMMYFUNCTION("IMPORTRANGE(""https://docs.google.com/spreadsheets/d/1MeEWN-I1oV_STSDYn1IFDPWt_1FKiwhDph83XaGc0o0/edit?usp=sharing"",""งบพรบ!CG103"")"),0)</f>
        <v>0</v>
      </c>
      <c r="G103" s="277">
        <f ca="1">IFERROR(__xludf.DUMMYFUNCTION("IMPORTRANGE(""https://docs.google.com/spreadsheets/d/1MeEWN-I1oV_STSDYn1IFDPWt_1FKiwhDph83XaGc0o0/edit?usp=sharing"",""งบพรบ!CH103"")"),0)</f>
        <v>0</v>
      </c>
      <c r="H103" s="277">
        <f ca="1">IFERROR(__xludf.DUMMYFUNCTION("IMPORTRANGE(""https://docs.google.com/spreadsheets/d/1MeEWN-I1oV_STSDYn1IFDPWt_1FKiwhDph83XaGc0o0/edit?usp=sharing"",""งบพรบ!CJ103"")"),7549600)</f>
        <v>7549600</v>
      </c>
      <c r="I103" s="277">
        <f ca="1">IFERROR(__xludf.DUMMYFUNCTION("IMPORTRANGE(""https://docs.google.com/spreadsheets/d/1MeEWN-I1oV_STSDYn1IFDPWt_1FKiwhDph83XaGc0o0/edit?usp=sharing"",""งบพรบ!CK103"")"),0)</f>
        <v>0</v>
      </c>
      <c r="J103" s="277">
        <f t="shared" ca="1" si="3"/>
        <v>4516122.6399999997</v>
      </c>
      <c r="K103" s="278">
        <f t="shared" ca="1" si="4"/>
        <v>41.325969775028476</v>
      </c>
      <c r="L103" s="277">
        <f ca="1">IFERROR(__xludf.DUMMYFUNCTION("IMPORTRANGE(""https://docs.google.com/spreadsheets/d/1MeEWN-I1oV_STSDYn1IFDPWt_1FKiwhDph83XaGc0o0/edit?usp=sharing"",""งบพรบ!CL103"")"),4516122.64)</f>
        <v>4516122.6399999997</v>
      </c>
      <c r="M103" s="279">
        <f t="shared" ca="1" si="5"/>
        <v>41.325969775028476</v>
      </c>
      <c r="N103" s="279">
        <f t="shared" ca="1" si="6"/>
        <v>59.819363145067278</v>
      </c>
      <c r="O103" s="280">
        <f ca="1">IFERROR(__xludf.DUMMYFUNCTION("IMPORTRANGE(""https://docs.google.com/spreadsheets/d/1MeEWN-I1oV_STSDYn1IFDPWt_1FKiwhDph83XaGc0o0/edit?usp=sharing"",""งบพรบ!CC103"")"),0)</f>
        <v>0</v>
      </c>
      <c r="P103" s="280">
        <f t="shared" ca="1" si="22"/>
        <v>0</v>
      </c>
      <c r="Q103" s="279">
        <f t="shared" ca="1" si="8"/>
        <v>0</v>
      </c>
      <c r="R103" s="285"/>
      <c r="S103" s="285"/>
      <c r="T103" s="279"/>
      <c r="U103" s="285"/>
      <c r="V103" s="285"/>
      <c r="W103" s="279"/>
      <c r="X103" s="209"/>
      <c r="Y103" s="209"/>
      <c r="Z103" s="209"/>
    </row>
    <row r="104" spans="1:26" ht="21" hidden="1" customHeight="1" x14ac:dyDescent="0.3">
      <c r="A104" s="418" t="s">
        <v>126</v>
      </c>
      <c r="B104" s="397"/>
      <c r="C104" s="249">
        <f t="shared" ca="1" si="0"/>
        <v>6135400</v>
      </c>
      <c r="D104" s="249">
        <f ca="1">SUM(D105:D116)</f>
        <v>6135400</v>
      </c>
      <c r="E104" s="249">
        <f ca="1">IFERROR(__xludf.DUMMYFUNCTION("IMPORTRANGE(""https://docs.google.com/spreadsheets/d/1MeEWN-I1oV_STSDYn1IFDPWt_1FKiwhDph83XaGc0o0/edit?usp=sharing"",""งบพรบ!CF104"")"),6135400)</f>
        <v>6135400</v>
      </c>
      <c r="F104" s="249">
        <f ca="1">IFERROR(__xludf.DUMMYFUNCTION("IMPORTRANGE(""https://docs.google.com/spreadsheets/d/1MeEWN-I1oV_STSDYn1IFDPWt_1FKiwhDph83XaGc0o0/edit?usp=sharing"",""งบพรบ!CG104"")"),0)</f>
        <v>0</v>
      </c>
      <c r="G104" s="249">
        <f ca="1">IFERROR(__xludf.DUMMYFUNCTION("IMPORTRANGE(""https://docs.google.com/spreadsheets/d/1MeEWN-I1oV_STSDYn1IFDPWt_1FKiwhDph83XaGc0o0/edit?usp=sharing"",""งบพรบ!CH104"")"),0)</f>
        <v>0</v>
      </c>
      <c r="H104" s="249">
        <f ca="1">IFERROR(__xludf.DUMMYFUNCTION("IMPORTRANGE(""https://docs.google.com/spreadsheets/d/1MeEWN-I1oV_STSDYn1IFDPWt_1FKiwhDph83XaGc0o0/edit?usp=sharing"",""งบพรบ!CJ104"")"),3777250)</f>
        <v>3777250</v>
      </c>
      <c r="I104" s="249">
        <f ca="1">IFERROR(__xludf.DUMMYFUNCTION("IMPORTRANGE(""https://docs.google.com/spreadsheets/d/1MeEWN-I1oV_STSDYn1IFDPWt_1FKiwhDph83XaGc0o0/edit?usp=sharing"",""งบพรบ!CK104"")"),0)</f>
        <v>0</v>
      </c>
      <c r="J104" s="249">
        <f t="shared" ca="1" si="3"/>
        <v>276919</v>
      </c>
      <c r="K104" s="250">
        <f t="shared" ca="1" si="4"/>
        <v>4.5134628549075853</v>
      </c>
      <c r="L104" s="249">
        <f ca="1">IFERROR(__xludf.DUMMYFUNCTION("IMPORTRANGE(""https://docs.google.com/spreadsheets/d/1MeEWN-I1oV_STSDYn1IFDPWt_1FKiwhDph83XaGc0o0/edit?usp=sharing"",""งบพรบ!CL104"")"),276919)</f>
        <v>276919</v>
      </c>
      <c r="M104" s="250">
        <f t="shared" ca="1" si="5"/>
        <v>4.5134628549075853</v>
      </c>
      <c r="N104" s="250">
        <f t="shared" ca="1" si="6"/>
        <v>7.3312330399099874</v>
      </c>
      <c r="O104" s="249">
        <f ca="1">IFERROR(__xludf.DUMMYFUNCTION("IMPORTRANGE(""https://docs.google.com/spreadsheets/d/1MeEWN-I1oV_STSDYn1IFDPWt_1FKiwhDph83XaGc0o0/edit?usp=sharing"",""งบพรบ!CC104"")"),0)</f>
        <v>0</v>
      </c>
      <c r="P104" s="249">
        <f t="shared" ca="1" si="22"/>
        <v>0</v>
      </c>
      <c r="Q104" s="249">
        <f t="shared" ca="1" si="8"/>
        <v>0</v>
      </c>
      <c r="R104" s="253"/>
      <c r="S104" s="253"/>
      <c r="T104" s="253"/>
      <c r="U104" s="253"/>
      <c r="V104" s="253"/>
      <c r="W104" s="253"/>
      <c r="X104" s="209"/>
      <c r="Y104" s="209"/>
      <c r="Z104" s="209"/>
    </row>
    <row r="105" spans="1:26" ht="24" hidden="1" customHeight="1" x14ac:dyDescent="0.3">
      <c r="A105" s="261">
        <v>1</v>
      </c>
      <c r="B105" s="286" t="s">
        <v>127</v>
      </c>
      <c r="C105" s="263">
        <f t="shared" ca="1" si="0"/>
        <v>0</v>
      </c>
      <c r="D105" s="264">
        <f t="shared" ref="D105:D116" ca="1" si="41">+E105+F105</f>
        <v>0</v>
      </c>
      <c r="E105" s="265">
        <f ca="1">IFERROR(__xludf.DUMMYFUNCTION("IMPORTRANGE(""https://docs.google.com/spreadsheets/d/1MeEWN-I1oV_STSDYn1IFDPWt_1FKiwhDph83XaGc0o0/edit?usp=sharing"",""งบพรบ!CF105"")"),0)</f>
        <v>0</v>
      </c>
      <c r="F105" s="265">
        <f ca="1">IFERROR(__xludf.DUMMYFUNCTION("IMPORTRANGE(""https://docs.google.com/spreadsheets/d/1MeEWN-I1oV_STSDYn1IFDPWt_1FKiwhDph83XaGc0o0/edit?usp=sharing"",""งบพรบ!CG105"")"),0)</f>
        <v>0</v>
      </c>
      <c r="G105" s="265">
        <f ca="1">IFERROR(__xludf.DUMMYFUNCTION("IMPORTRANGE(""https://docs.google.com/spreadsheets/d/1MeEWN-I1oV_STSDYn1IFDPWt_1FKiwhDph83XaGc0o0/edit?usp=sharing"",""งบพรบ!CH105"")"),0)</f>
        <v>0</v>
      </c>
      <c r="H105" s="265">
        <f ca="1">IFERROR(__xludf.DUMMYFUNCTION("IMPORTRANGE(""https://docs.google.com/spreadsheets/d/1MeEWN-I1oV_STSDYn1IFDPWt_1FKiwhDph83XaGc0o0/edit?usp=sharing"",""งบพรบ!CJ105"")"),0)</f>
        <v>0</v>
      </c>
      <c r="I105" s="265">
        <f ca="1">IFERROR(__xludf.DUMMYFUNCTION("IMPORTRANGE(""https://docs.google.com/spreadsheets/d/1MeEWN-I1oV_STSDYn1IFDPWt_1FKiwhDph83XaGc0o0/edit?usp=sharing"",""งบพรบ!CK105"")"),0)</f>
        <v>0</v>
      </c>
      <c r="J105" s="265">
        <f t="shared" ca="1" si="3"/>
        <v>0</v>
      </c>
      <c r="K105" s="272">
        <f t="shared" ca="1" si="4"/>
        <v>0</v>
      </c>
      <c r="L105" s="265">
        <f ca="1">IFERROR(__xludf.DUMMYFUNCTION("IMPORTRANGE(""https://docs.google.com/spreadsheets/d/1MeEWN-I1oV_STSDYn1IFDPWt_1FKiwhDph83XaGc0o0/edit?usp=sharing"",""งบพรบ!CL105"")"),0)</f>
        <v>0</v>
      </c>
      <c r="M105" s="268">
        <f t="shared" ca="1" si="5"/>
        <v>0</v>
      </c>
      <c r="N105" s="268">
        <f t="shared" ca="1" si="6"/>
        <v>0</v>
      </c>
      <c r="O105" s="269">
        <f ca="1">IFERROR(__xludf.DUMMYFUNCTION("IMPORTRANGE(""https://docs.google.com/spreadsheets/d/1MeEWN-I1oV_STSDYn1IFDPWt_1FKiwhDph83XaGc0o0/edit?usp=sharing"",""งบพรบ!CC105"")"),0)</f>
        <v>0</v>
      </c>
      <c r="P105" s="269">
        <f t="shared" ca="1" si="22"/>
        <v>0</v>
      </c>
      <c r="Q105" s="268">
        <f t="shared" ca="1" si="8"/>
        <v>0</v>
      </c>
      <c r="R105" s="284"/>
      <c r="S105" s="284"/>
      <c r="T105" s="284"/>
      <c r="U105" s="284"/>
      <c r="V105" s="284"/>
      <c r="W105" s="284"/>
      <c r="X105" s="209"/>
      <c r="Y105" s="209"/>
      <c r="Z105" s="209"/>
    </row>
    <row r="106" spans="1:26" ht="24" hidden="1" customHeight="1" x14ac:dyDescent="0.3">
      <c r="A106" s="261">
        <v>2</v>
      </c>
      <c r="B106" s="286" t="s">
        <v>128</v>
      </c>
      <c r="C106" s="263">
        <f t="shared" ca="1" si="0"/>
        <v>1635400</v>
      </c>
      <c r="D106" s="264">
        <f t="shared" ca="1" si="41"/>
        <v>1635400</v>
      </c>
      <c r="E106" s="265">
        <f ca="1">IFERROR(__xludf.DUMMYFUNCTION("IMPORTRANGE(""https://docs.google.com/spreadsheets/d/1MeEWN-I1oV_STSDYn1IFDPWt_1FKiwhDph83XaGc0o0/edit?usp=sharing"",""งบพรบ!CF106"")"),1635400)</f>
        <v>1635400</v>
      </c>
      <c r="F106" s="265">
        <f ca="1">IFERROR(__xludf.DUMMYFUNCTION("IMPORTRANGE(""https://docs.google.com/spreadsheets/d/1MeEWN-I1oV_STSDYn1IFDPWt_1FKiwhDph83XaGc0o0/edit?usp=sharing"",""งบพรบ!CG106"")"),0)</f>
        <v>0</v>
      </c>
      <c r="G106" s="265">
        <f ca="1">IFERROR(__xludf.DUMMYFUNCTION("IMPORTRANGE(""https://docs.google.com/spreadsheets/d/1MeEWN-I1oV_STSDYn1IFDPWt_1FKiwhDph83XaGc0o0/edit?usp=sharing"",""งบพรบ!CH106"")"),0)</f>
        <v>0</v>
      </c>
      <c r="H106" s="265">
        <f ca="1">IFERROR(__xludf.DUMMYFUNCTION("IMPORTRANGE(""https://docs.google.com/spreadsheets/d/1MeEWN-I1oV_STSDYn1IFDPWt_1FKiwhDph83XaGc0o0/edit?usp=sharing"",""งบพรบ!CJ106"")"),446450)</f>
        <v>446450</v>
      </c>
      <c r="I106" s="265">
        <f ca="1">IFERROR(__xludf.DUMMYFUNCTION("IMPORTRANGE(""https://docs.google.com/spreadsheets/d/1MeEWN-I1oV_STSDYn1IFDPWt_1FKiwhDph83XaGc0o0/edit?usp=sharing"",""งบพรบ!CK106"")"),0)</f>
        <v>0</v>
      </c>
      <c r="J106" s="265">
        <f t="shared" ca="1" si="3"/>
        <v>0</v>
      </c>
      <c r="K106" s="272">
        <f t="shared" ca="1" si="4"/>
        <v>0</v>
      </c>
      <c r="L106" s="265">
        <f ca="1">IFERROR(__xludf.DUMMYFUNCTION("IMPORTRANGE(""https://docs.google.com/spreadsheets/d/1MeEWN-I1oV_STSDYn1IFDPWt_1FKiwhDph83XaGc0o0/edit?usp=sharing"",""งบพรบ!CL106"")"),0)</f>
        <v>0</v>
      </c>
      <c r="M106" s="268">
        <f t="shared" ca="1" si="5"/>
        <v>0</v>
      </c>
      <c r="N106" s="268">
        <f t="shared" ca="1" si="6"/>
        <v>0</v>
      </c>
      <c r="O106" s="269">
        <f ca="1">IFERROR(__xludf.DUMMYFUNCTION("IMPORTRANGE(""https://docs.google.com/spreadsheets/d/1MeEWN-I1oV_STSDYn1IFDPWt_1FKiwhDph83XaGc0o0/edit?usp=sharing"",""งบพรบ!CC106"")"),0)</f>
        <v>0</v>
      </c>
      <c r="P106" s="269">
        <f t="shared" ca="1" si="22"/>
        <v>0</v>
      </c>
      <c r="Q106" s="268">
        <f t="shared" ca="1" si="8"/>
        <v>0</v>
      </c>
      <c r="R106" s="284"/>
      <c r="S106" s="284"/>
      <c r="T106" s="284"/>
      <c r="U106" s="284"/>
      <c r="V106" s="284"/>
      <c r="W106" s="284"/>
      <c r="X106" s="209"/>
      <c r="Y106" s="209"/>
      <c r="Z106" s="209"/>
    </row>
    <row r="107" spans="1:26" ht="24" hidden="1" customHeight="1" x14ac:dyDescent="0.3">
      <c r="A107" s="261">
        <v>3</v>
      </c>
      <c r="B107" s="286" t="s">
        <v>129</v>
      </c>
      <c r="C107" s="263">
        <f t="shared" ca="1" si="0"/>
        <v>0</v>
      </c>
      <c r="D107" s="264">
        <f t="shared" ca="1" si="41"/>
        <v>0</v>
      </c>
      <c r="E107" s="265">
        <f ca="1">IFERROR(__xludf.DUMMYFUNCTION("IMPORTRANGE(""https://docs.google.com/spreadsheets/d/1MeEWN-I1oV_STSDYn1IFDPWt_1FKiwhDph83XaGc0o0/edit?usp=sharing"",""งบพรบ!CF107"")"),0)</f>
        <v>0</v>
      </c>
      <c r="F107" s="265">
        <f ca="1">IFERROR(__xludf.DUMMYFUNCTION("IMPORTRANGE(""https://docs.google.com/spreadsheets/d/1MeEWN-I1oV_STSDYn1IFDPWt_1FKiwhDph83XaGc0o0/edit?usp=sharing"",""งบพรบ!CG107"")"),0)</f>
        <v>0</v>
      </c>
      <c r="G107" s="265">
        <f ca="1">IFERROR(__xludf.DUMMYFUNCTION("IMPORTRANGE(""https://docs.google.com/spreadsheets/d/1MeEWN-I1oV_STSDYn1IFDPWt_1FKiwhDph83XaGc0o0/edit?usp=sharing"",""งบพรบ!CH107"")"),0)</f>
        <v>0</v>
      </c>
      <c r="H107" s="265">
        <f ca="1">IFERROR(__xludf.DUMMYFUNCTION("IMPORTRANGE(""https://docs.google.com/spreadsheets/d/1MeEWN-I1oV_STSDYn1IFDPWt_1FKiwhDph83XaGc0o0/edit?usp=sharing"",""งบพรบ!CJ107"")"),0)</f>
        <v>0</v>
      </c>
      <c r="I107" s="265">
        <f ca="1">IFERROR(__xludf.DUMMYFUNCTION("IMPORTRANGE(""https://docs.google.com/spreadsheets/d/1MeEWN-I1oV_STSDYn1IFDPWt_1FKiwhDph83XaGc0o0/edit?usp=sharing"",""งบพรบ!CK107"")"),0)</f>
        <v>0</v>
      </c>
      <c r="J107" s="265">
        <f t="shared" ca="1" si="3"/>
        <v>0</v>
      </c>
      <c r="K107" s="272">
        <f t="shared" ca="1" si="4"/>
        <v>0</v>
      </c>
      <c r="L107" s="265">
        <f ca="1">IFERROR(__xludf.DUMMYFUNCTION("IMPORTRANGE(""https://docs.google.com/spreadsheets/d/1MeEWN-I1oV_STSDYn1IFDPWt_1FKiwhDph83XaGc0o0/edit?usp=sharing"",""งบพรบ!CL107"")"),0)</f>
        <v>0</v>
      </c>
      <c r="M107" s="268">
        <f t="shared" ca="1" si="5"/>
        <v>0</v>
      </c>
      <c r="N107" s="268">
        <f t="shared" ca="1" si="6"/>
        <v>0</v>
      </c>
      <c r="O107" s="269">
        <f ca="1">IFERROR(__xludf.DUMMYFUNCTION("IMPORTRANGE(""https://docs.google.com/spreadsheets/d/1MeEWN-I1oV_STSDYn1IFDPWt_1FKiwhDph83XaGc0o0/edit?usp=sharing"",""งบพรบ!CC107"")"),0)</f>
        <v>0</v>
      </c>
      <c r="P107" s="269">
        <f t="shared" ca="1" si="22"/>
        <v>0</v>
      </c>
      <c r="Q107" s="268">
        <f t="shared" ca="1" si="8"/>
        <v>0</v>
      </c>
      <c r="R107" s="284"/>
      <c r="S107" s="284"/>
      <c r="T107" s="284"/>
      <c r="U107" s="284"/>
      <c r="V107" s="284"/>
      <c r="W107" s="284"/>
      <c r="X107" s="209"/>
      <c r="Y107" s="209"/>
      <c r="Z107" s="209"/>
    </row>
    <row r="108" spans="1:26" ht="24" hidden="1" customHeight="1" x14ac:dyDescent="0.3">
      <c r="A108" s="287">
        <v>4</v>
      </c>
      <c r="B108" s="286" t="s">
        <v>130</v>
      </c>
      <c r="C108" s="263">
        <f t="shared" ca="1" si="0"/>
        <v>2500000</v>
      </c>
      <c r="D108" s="264">
        <f t="shared" ca="1" si="41"/>
        <v>2500000</v>
      </c>
      <c r="E108" s="265">
        <f ca="1">IFERROR(__xludf.DUMMYFUNCTION("IMPORTRANGE(""https://docs.google.com/spreadsheets/d/1MeEWN-I1oV_STSDYn1IFDPWt_1FKiwhDph83XaGc0o0/edit?usp=sharing"",""งบพรบ!CF108"")"),2500000)</f>
        <v>2500000</v>
      </c>
      <c r="F108" s="265">
        <f ca="1">IFERROR(__xludf.DUMMYFUNCTION("IMPORTRANGE(""https://docs.google.com/spreadsheets/d/1MeEWN-I1oV_STSDYn1IFDPWt_1FKiwhDph83XaGc0o0/edit?usp=sharing"",""งบพรบ!CG108"")"),0)</f>
        <v>0</v>
      </c>
      <c r="G108" s="265">
        <f ca="1">IFERROR(__xludf.DUMMYFUNCTION("IMPORTRANGE(""https://docs.google.com/spreadsheets/d/1MeEWN-I1oV_STSDYn1IFDPWt_1FKiwhDph83XaGc0o0/edit?usp=sharing"",""งบพรบ!CH108"")"),0)</f>
        <v>0</v>
      </c>
      <c r="H108" s="265">
        <f ca="1">IFERROR(__xludf.DUMMYFUNCTION("IMPORTRANGE(""https://docs.google.com/spreadsheets/d/1MeEWN-I1oV_STSDYn1IFDPWt_1FKiwhDph83XaGc0o0/edit?usp=sharing"",""งบพรบ!CJ108"")"),1330800)</f>
        <v>1330800</v>
      </c>
      <c r="I108" s="265">
        <f ca="1">IFERROR(__xludf.DUMMYFUNCTION("IMPORTRANGE(""https://docs.google.com/spreadsheets/d/1MeEWN-I1oV_STSDYn1IFDPWt_1FKiwhDph83XaGc0o0/edit?usp=sharing"",""งบพรบ!CK108"")"),0)</f>
        <v>0</v>
      </c>
      <c r="J108" s="265">
        <f t="shared" ca="1" si="3"/>
        <v>0</v>
      </c>
      <c r="K108" s="272">
        <f t="shared" ca="1" si="4"/>
        <v>0</v>
      </c>
      <c r="L108" s="265">
        <f ca="1">IFERROR(__xludf.DUMMYFUNCTION("IMPORTRANGE(""https://docs.google.com/spreadsheets/d/1MeEWN-I1oV_STSDYn1IFDPWt_1FKiwhDph83XaGc0o0/edit?usp=sharing"",""งบพรบ!CL108"")"),0)</f>
        <v>0</v>
      </c>
      <c r="M108" s="268">
        <f t="shared" ca="1" si="5"/>
        <v>0</v>
      </c>
      <c r="N108" s="268">
        <f t="shared" ca="1" si="6"/>
        <v>0</v>
      </c>
      <c r="O108" s="269">
        <f ca="1">IFERROR(__xludf.DUMMYFUNCTION("IMPORTRANGE(""https://docs.google.com/spreadsheets/d/1MeEWN-I1oV_STSDYn1IFDPWt_1FKiwhDph83XaGc0o0/edit?usp=sharing"",""งบพรบ!CC108"")"),0)</f>
        <v>0</v>
      </c>
      <c r="P108" s="269">
        <f t="shared" ca="1" si="22"/>
        <v>0</v>
      </c>
      <c r="Q108" s="268">
        <f t="shared" ca="1" si="8"/>
        <v>0</v>
      </c>
      <c r="R108" s="284"/>
      <c r="S108" s="284"/>
      <c r="T108" s="284"/>
      <c r="U108" s="284"/>
      <c r="V108" s="284"/>
      <c r="W108" s="284"/>
      <c r="X108" s="209"/>
      <c r="Y108" s="209"/>
      <c r="Z108" s="209"/>
    </row>
    <row r="109" spans="1:26" ht="24" hidden="1" customHeight="1" x14ac:dyDescent="0.3">
      <c r="A109" s="287">
        <v>5</v>
      </c>
      <c r="B109" s="286" t="s">
        <v>131</v>
      </c>
      <c r="C109" s="263">
        <f t="shared" ca="1" si="0"/>
        <v>2000000</v>
      </c>
      <c r="D109" s="264">
        <f t="shared" ca="1" si="41"/>
        <v>2000000</v>
      </c>
      <c r="E109" s="265">
        <f ca="1">IFERROR(__xludf.DUMMYFUNCTION("IMPORTRANGE(""https://docs.google.com/spreadsheets/d/1MeEWN-I1oV_STSDYn1IFDPWt_1FKiwhDph83XaGc0o0/edit?usp=sharing"",""งบพรบ!CF109"")"),2000000)</f>
        <v>2000000</v>
      </c>
      <c r="F109" s="265">
        <f ca="1">IFERROR(__xludf.DUMMYFUNCTION("IMPORTRANGE(""https://docs.google.com/spreadsheets/d/1MeEWN-I1oV_STSDYn1IFDPWt_1FKiwhDph83XaGc0o0/edit?usp=sharing"",""งบพรบ!CG109"")"),0)</f>
        <v>0</v>
      </c>
      <c r="G109" s="265">
        <f ca="1">IFERROR(__xludf.DUMMYFUNCTION("IMPORTRANGE(""https://docs.google.com/spreadsheets/d/1MeEWN-I1oV_STSDYn1IFDPWt_1FKiwhDph83XaGc0o0/edit?usp=sharing"",""งบพรบ!CH109"")"),0)</f>
        <v>0</v>
      </c>
      <c r="H109" s="265">
        <f ca="1">IFERROR(__xludf.DUMMYFUNCTION("IMPORTRANGE(""https://docs.google.com/spreadsheets/d/1MeEWN-I1oV_STSDYn1IFDPWt_1FKiwhDph83XaGc0o0/edit?usp=sharing"",""งบพรบ!CJ109"")"),2000000)</f>
        <v>2000000</v>
      </c>
      <c r="I109" s="265">
        <f ca="1">IFERROR(__xludf.DUMMYFUNCTION("IMPORTRANGE(""https://docs.google.com/spreadsheets/d/1MeEWN-I1oV_STSDYn1IFDPWt_1FKiwhDph83XaGc0o0/edit?usp=sharing"",""งบพรบ!CK109"")"),0)</f>
        <v>0</v>
      </c>
      <c r="J109" s="265">
        <f t="shared" ca="1" si="3"/>
        <v>0</v>
      </c>
      <c r="K109" s="272">
        <f t="shared" ca="1" si="4"/>
        <v>0</v>
      </c>
      <c r="L109" s="265">
        <f ca="1">IFERROR(__xludf.DUMMYFUNCTION("IMPORTRANGE(""https://docs.google.com/spreadsheets/d/1MeEWN-I1oV_STSDYn1IFDPWt_1FKiwhDph83XaGc0o0/edit?usp=sharing"",""งบพรบ!CL109"")"),0)</f>
        <v>0</v>
      </c>
      <c r="M109" s="268">
        <f t="shared" ca="1" si="5"/>
        <v>0</v>
      </c>
      <c r="N109" s="268">
        <f t="shared" ca="1" si="6"/>
        <v>0</v>
      </c>
      <c r="O109" s="269">
        <f ca="1">IFERROR(__xludf.DUMMYFUNCTION("IMPORTRANGE(""https://docs.google.com/spreadsheets/d/1MeEWN-I1oV_STSDYn1IFDPWt_1FKiwhDph83XaGc0o0/edit?usp=sharing"",""งบพรบ!CC109"")"),0)</f>
        <v>0</v>
      </c>
      <c r="P109" s="269">
        <f t="shared" ca="1" si="22"/>
        <v>0</v>
      </c>
      <c r="Q109" s="268">
        <f t="shared" ca="1" si="8"/>
        <v>0</v>
      </c>
      <c r="R109" s="284"/>
      <c r="S109" s="284"/>
      <c r="T109" s="284"/>
      <c r="U109" s="284"/>
      <c r="V109" s="284"/>
      <c r="W109" s="284"/>
      <c r="X109" s="209"/>
      <c r="Y109" s="209"/>
      <c r="Z109" s="209"/>
    </row>
    <row r="110" spans="1:26" ht="24" hidden="1" customHeight="1" x14ac:dyDescent="0.3">
      <c r="A110" s="287">
        <v>6</v>
      </c>
      <c r="B110" s="286" t="s">
        <v>132</v>
      </c>
      <c r="C110" s="263">
        <f t="shared" ca="1" si="0"/>
        <v>0</v>
      </c>
      <c r="D110" s="264">
        <f t="shared" ca="1" si="41"/>
        <v>0</v>
      </c>
      <c r="E110" s="265">
        <f ca="1">IFERROR(__xludf.DUMMYFUNCTION("IMPORTRANGE(""https://docs.google.com/spreadsheets/d/1MeEWN-I1oV_STSDYn1IFDPWt_1FKiwhDph83XaGc0o0/edit?usp=sharing"",""งบพรบ!CF110"")"),0)</f>
        <v>0</v>
      </c>
      <c r="F110" s="265">
        <f ca="1">IFERROR(__xludf.DUMMYFUNCTION("IMPORTRANGE(""https://docs.google.com/spreadsheets/d/1MeEWN-I1oV_STSDYn1IFDPWt_1FKiwhDph83XaGc0o0/edit?usp=sharing"",""งบพรบ!CG110"")"),0)</f>
        <v>0</v>
      </c>
      <c r="G110" s="265">
        <f ca="1">IFERROR(__xludf.DUMMYFUNCTION("IMPORTRANGE(""https://docs.google.com/spreadsheets/d/1MeEWN-I1oV_STSDYn1IFDPWt_1FKiwhDph83XaGc0o0/edit?usp=sharing"",""งบพรบ!CH110"")"),0)</f>
        <v>0</v>
      </c>
      <c r="H110" s="265">
        <f ca="1">IFERROR(__xludf.DUMMYFUNCTION("IMPORTRANGE(""https://docs.google.com/spreadsheets/d/1MeEWN-I1oV_STSDYn1IFDPWt_1FKiwhDph83XaGc0o0/edit?usp=sharing"",""งบพรบ!CJ110"")"),0)</f>
        <v>0</v>
      </c>
      <c r="I110" s="265">
        <f ca="1">IFERROR(__xludf.DUMMYFUNCTION("IMPORTRANGE(""https://docs.google.com/spreadsheets/d/1MeEWN-I1oV_STSDYn1IFDPWt_1FKiwhDph83XaGc0o0/edit?usp=sharing"",""งบพรบ!CK110"")"),0)</f>
        <v>0</v>
      </c>
      <c r="J110" s="265">
        <f t="shared" ca="1" si="3"/>
        <v>0</v>
      </c>
      <c r="K110" s="272">
        <f t="shared" ca="1" si="4"/>
        <v>0</v>
      </c>
      <c r="L110" s="265">
        <f ca="1">IFERROR(__xludf.DUMMYFUNCTION("IMPORTRANGE(""https://docs.google.com/spreadsheets/d/1MeEWN-I1oV_STSDYn1IFDPWt_1FKiwhDph83XaGc0o0/edit?usp=sharing"",""งบพรบ!CL110"")"),0)</f>
        <v>0</v>
      </c>
      <c r="M110" s="268">
        <f t="shared" ca="1" si="5"/>
        <v>0</v>
      </c>
      <c r="N110" s="268">
        <f t="shared" ca="1" si="6"/>
        <v>0</v>
      </c>
      <c r="O110" s="269">
        <f ca="1">IFERROR(__xludf.DUMMYFUNCTION("IMPORTRANGE(""https://docs.google.com/spreadsheets/d/1MeEWN-I1oV_STSDYn1IFDPWt_1FKiwhDph83XaGc0o0/edit?usp=sharing"",""งบพรบ!CC110"")"),0)</f>
        <v>0</v>
      </c>
      <c r="P110" s="269">
        <f t="shared" ca="1" si="22"/>
        <v>0</v>
      </c>
      <c r="Q110" s="268">
        <f t="shared" ca="1" si="8"/>
        <v>0</v>
      </c>
      <c r="R110" s="284"/>
      <c r="S110" s="284"/>
      <c r="T110" s="284"/>
      <c r="U110" s="284"/>
      <c r="V110" s="284"/>
      <c r="W110" s="284"/>
      <c r="X110" s="209"/>
      <c r="Y110" s="209"/>
      <c r="Z110" s="209"/>
    </row>
    <row r="111" spans="1:26" ht="24" hidden="1" customHeight="1" x14ac:dyDescent="0.3">
      <c r="A111" s="287">
        <v>7</v>
      </c>
      <c r="B111" s="286" t="s">
        <v>133</v>
      </c>
      <c r="C111" s="263">
        <f t="shared" ca="1" si="0"/>
        <v>0</v>
      </c>
      <c r="D111" s="264">
        <f t="shared" ca="1" si="41"/>
        <v>0</v>
      </c>
      <c r="E111" s="265">
        <f ca="1">IFERROR(__xludf.DUMMYFUNCTION("IMPORTRANGE(""https://docs.google.com/spreadsheets/d/1MeEWN-I1oV_STSDYn1IFDPWt_1FKiwhDph83XaGc0o0/edit?usp=sharing"",""งบพรบ!CF111"")"),0)</f>
        <v>0</v>
      </c>
      <c r="F111" s="265">
        <f ca="1">IFERROR(__xludf.DUMMYFUNCTION("IMPORTRANGE(""https://docs.google.com/spreadsheets/d/1MeEWN-I1oV_STSDYn1IFDPWt_1FKiwhDph83XaGc0o0/edit?usp=sharing"",""งบพรบ!CG111"")"),0)</f>
        <v>0</v>
      </c>
      <c r="G111" s="265">
        <f ca="1">IFERROR(__xludf.DUMMYFUNCTION("IMPORTRANGE(""https://docs.google.com/spreadsheets/d/1MeEWN-I1oV_STSDYn1IFDPWt_1FKiwhDph83XaGc0o0/edit?usp=sharing"",""งบพรบ!CH111"")"),0)</f>
        <v>0</v>
      </c>
      <c r="H111" s="265">
        <f ca="1">IFERROR(__xludf.DUMMYFUNCTION("IMPORTRANGE(""https://docs.google.com/spreadsheets/d/1MeEWN-I1oV_STSDYn1IFDPWt_1FKiwhDph83XaGc0o0/edit?usp=sharing"",""งบพรบ!CJ111"")"),0)</f>
        <v>0</v>
      </c>
      <c r="I111" s="265">
        <f ca="1">IFERROR(__xludf.DUMMYFUNCTION("IMPORTRANGE(""https://docs.google.com/spreadsheets/d/1MeEWN-I1oV_STSDYn1IFDPWt_1FKiwhDph83XaGc0o0/edit?usp=sharing"",""งบพรบ!CK111"")"),0)</f>
        <v>0</v>
      </c>
      <c r="J111" s="265">
        <f t="shared" ca="1" si="3"/>
        <v>0</v>
      </c>
      <c r="K111" s="272">
        <f t="shared" ca="1" si="4"/>
        <v>0</v>
      </c>
      <c r="L111" s="265">
        <f ca="1">IFERROR(__xludf.DUMMYFUNCTION("IMPORTRANGE(""https://docs.google.com/spreadsheets/d/1MeEWN-I1oV_STSDYn1IFDPWt_1FKiwhDph83XaGc0o0/edit?usp=sharing"",""งบพรบ!CL111"")"),0)</f>
        <v>0</v>
      </c>
      <c r="M111" s="268">
        <f t="shared" ca="1" si="5"/>
        <v>0</v>
      </c>
      <c r="N111" s="268">
        <f t="shared" ca="1" si="6"/>
        <v>0</v>
      </c>
      <c r="O111" s="269">
        <f ca="1">IFERROR(__xludf.DUMMYFUNCTION("IMPORTRANGE(""https://docs.google.com/spreadsheets/d/1MeEWN-I1oV_STSDYn1IFDPWt_1FKiwhDph83XaGc0o0/edit?usp=sharing"",""งบพรบ!CC111"")"),0)</f>
        <v>0</v>
      </c>
      <c r="P111" s="269">
        <f t="shared" ca="1" si="22"/>
        <v>0</v>
      </c>
      <c r="Q111" s="268">
        <f t="shared" ca="1" si="8"/>
        <v>0</v>
      </c>
      <c r="R111" s="284"/>
      <c r="S111" s="284"/>
      <c r="T111" s="284"/>
      <c r="U111" s="284"/>
      <c r="V111" s="284"/>
      <c r="W111" s="284"/>
      <c r="X111" s="209"/>
      <c r="Y111" s="209"/>
      <c r="Z111" s="209"/>
    </row>
    <row r="112" spans="1:26" ht="24" hidden="1" customHeight="1" x14ac:dyDescent="0.3">
      <c r="A112" s="287">
        <v>8</v>
      </c>
      <c r="B112" s="286" t="s">
        <v>134</v>
      </c>
      <c r="C112" s="263">
        <f t="shared" ca="1" si="0"/>
        <v>0</v>
      </c>
      <c r="D112" s="264">
        <f t="shared" ca="1" si="41"/>
        <v>0</v>
      </c>
      <c r="E112" s="265">
        <f ca="1">IFERROR(__xludf.DUMMYFUNCTION("IMPORTRANGE(""https://docs.google.com/spreadsheets/d/1MeEWN-I1oV_STSDYn1IFDPWt_1FKiwhDph83XaGc0o0/edit?usp=sharing"",""งบพรบ!CF112"")"),0)</f>
        <v>0</v>
      </c>
      <c r="F112" s="265">
        <f ca="1">IFERROR(__xludf.DUMMYFUNCTION("IMPORTRANGE(""https://docs.google.com/spreadsheets/d/1MeEWN-I1oV_STSDYn1IFDPWt_1FKiwhDph83XaGc0o0/edit?usp=sharing"",""งบพรบ!CG112"")"),0)</f>
        <v>0</v>
      </c>
      <c r="G112" s="265">
        <f ca="1">IFERROR(__xludf.DUMMYFUNCTION("IMPORTRANGE(""https://docs.google.com/spreadsheets/d/1MeEWN-I1oV_STSDYn1IFDPWt_1FKiwhDph83XaGc0o0/edit?usp=sharing"",""งบพรบ!CH112"")"),0)</f>
        <v>0</v>
      </c>
      <c r="H112" s="265">
        <f ca="1">IFERROR(__xludf.DUMMYFUNCTION("IMPORTRANGE(""https://docs.google.com/spreadsheets/d/1MeEWN-I1oV_STSDYn1IFDPWt_1FKiwhDph83XaGc0o0/edit?usp=sharing"",""งบพรบ!CJ112"")"),0)</f>
        <v>0</v>
      </c>
      <c r="I112" s="265">
        <f ca="1">IFERROR(__xludf.DUMMYFUNCTION("IMPORTRANGE(""https://docs.google.com/spreadsheets/d/1MeEWN-I1oV_STSDYn1IFDPWt_1FKiwhDph83XaGc0o0/edit?usp=sharing"",""งบพรบ!CK112"")"),0)</f>
        <v>0</v>
      </c>
      <c r="J112" s="265">
        <f t="shared" ca="1" si="3"/>
        <v>0</v>
      </c>
      <c r="K112" s="272">
        <f t="shared" ca="1" si="4"/>
        <v>0</v>
      </c>
      <c r="L112" s="265">
        <f ca="1">IFERROR(__xludf.DUMMYFUNCTION("IMPORTRANGE(""https://docs.google.com/spreadsheets/d/1MeEWN-I1oV_STSDYn1IFDPWt_1FKiwhDph83XaGc0o0/edit?usp=sharing"",""งบพรบ!CL112"")"),0)</f>
        <v>0</v>
      </c>
      <c r="M112" s="268">
        <f t="shared" ca="1" si="5"/>
        <v>0</v>
      </c>
      <c r="N112" s="268">
        <f t="shared" ca="1" si="6"/>
        <v>0</v>
      </c>
      <c r="O112" s="269">
        <f ca="1">IFERROR(__xludf.DUMMYFUNCTION("IMPORTRANGE(""https://docs.google.com/spreadsheets/d/1MeEWN-I1oV_STSDYn1IFDPWt_1FKiwhDph83XaGc0o0/edit?usp=sharing"",""งบพรบ!CC112"")"),0)</f>
        <v>0</v>
      </c>
      <c r="P112" s="269">
        <f t="shared" ca="1" si="22"/>
        <v>0</v>
      </c>
      <c r="Q112" s="268">
        <f t="shared" ca="1" si="8"/>
        <v>0</v>
      </c>
      <c r="R112" s="284"/>
      <c r="S112" s="284"/>
      <c r="T112" s="284"/>
      <c r="U112" s="284"/>
      <c r="V112" s="284"/>
      <c r="W112" s="284"/>
      <c r="X112" s="209"/>
      <c r="Y112" s="209"/>
      <c r="Z112" s="209"/>
    </row>
    <row r="113" spans="1:26" ht="24" hidden="1" customHeight="1" x14ac:dyDescent="0.3">
      <c r="A113" s="287">
        <v>9</v>
      </c>
      <c r="B113" s="286" t="s">
        <v>135</v>
      </c>
      <c r="C113" s="263">
        <f t="shared" ca="1" si="0"/>
        <v>0</v>
      </c>
      <c r="D113" s="264">
        <f t="shared" ca="1" si="41"/>
        <v>0</v>
      </c>
      <c r="E113" s="265">
        <f ca="1">IFERROR(__xludf.DUMMYFUNCTION("IMPORTRANGE(""https://docs.google.com/spreadsheets/d/1MeEWN-I1oV_STSDYn1IFDPWt_1FKiwhDph83XaGc0o0/edit?usp=sharing"",""งบพรบ!CF113"")"),0)</f>
        <v>0</v>
      </c>
      <c r="F113" s="265">
        <f ca="1">IFERROR(__xludf.DUMMYFUNCTION("IMPORTRANGE(""https://docs.google.com/spreadsheets/d/1MeEWN-I1oV_STSDYn1IFDPWt_1FKiwhDph83XaGc0o0/edit?usp=sharing"",""งบพรบ!CG113"")"),0)</f>
        <v>0</v>
      </c>
      <c r="G113" s="265">
        <f ca="1">IFERROR(__xludf.DUMMYFUNCTION("IMPORTRANGE(""https://docs.google.com/spreadsheets/d/1MeEWN-I1oV_STSDYn1IFDPWt_1FKiwhDph83XaGc0o0/edit?usp=sharing"",""งบพรบ!CH113"")"),0)</f>
        <v>0</v>
      </c>
      <c r="H113" s="265">
        <f ca="1">IFERROR(__xludf.DUMMYFUNCTION("IMPORTRANGE(""https://docs.google.com/spreadsheets/d/1MeEWN-I1oV_STSDYn1IFDPWt_1FKiwhDph83XaGc0o0/edit?usp=sharing"",""งบพรบ!CJ113"")"),0)</f>
        <v>0</v>
      </c>
      <c r="I113" s="265">
        <f ca="1">IFERROR(__xludf.DUMMYFUNCTION("IMPORTRANGE(""https://docs.google.com/spreadsheets/d/1MeEWN-I1oV_STSDYn1IFDPWt_1FKiwhDph83XaGc0o0/edit?usp=sharing"",""งบพรบ!CK113"")"),0)</f>
        <v>0</v>
      </c>
      <c r="J113" s="265">
        <f t="shared" ca="1" si="3"/>
        <v>0</v>
      </c>
      <c r="K113" s="272">
        <f t="shared" ca="1" si="4"/>
        <v>0</v>
      </c>
      <c r="L113" s="265">
        <f ca="1">IFERROR(__xludf.DUMMYFUNCTION("IMPORTRANGE(""https://docs.google.com/spreadsheets/d/1MeEWN-I1oV_STSDYn1IFDPWt_1FKiwhDph83XaGc0o0/edit?usp=sharing"",""งบพรบ!CL113"")"),0)</f>
        <v>0</v>
      </c>
      <c r="M113" s="268">
        <f t="shared" ca="1" si="5"/>
        <v>0</v>
      </c>
      <c r="N113" s="268">
        <f t="shared" ca="1" si="6"/>
        <v>0</v>
      </c>
      <c r="O113" s="269">
        <f ca="1">IFERROR(__xludf.DUMMYFUNCTION("IMPORTRANGE(""https://docs.google.com/spreadsheets/d/1MeEWN-I1oV_STSDYn1IFDPWt_1FKiwhDph83XaGc0o0/edit?usp=sharing"",""งบพรบ!CC113"")"),0)</f>
        <v>0</v>
      </c>
      <c r="P113" s="269">
        <f t="shared" ca="1" si="22"/>
        <v>0</v>
      </c>
      <c r="Q113" s="268">
        <f t="shared" ca="1" si="8"/>
        <v>0</v>
      </c>
      <c r="R113" s="284"/>
      <c r="S113" s="284"/>
      <c r="T113" s="284"/>
      <c r="U113" s="284"/>
      <c r="V113" s="284"/>
      <c r="W113" s="284"/>
      <c r="X113" s="209"/>
      <c r="Y113" s="209"/>
      <c r="Z113" s="209"/>
    </row>
    <row r="114" spans="1:26" ht="24" hidden="1" customHeight="1" x14ac:dyDescent="0.3">
      <c r="A114" s="287">
        <v>10</v>
      </c>
      <c r="B114" s="286" t="s">
        <v>136</v>
      </c>
      <c r="C114" s="263">
        <f t="shared" ca="1" si="0"/>
        <v>0</v>
      </c>
      <c r="D114" s="264">
        <f t="shared" ca="1" si="41"/>
        <v>0</v>
      </c>
      <c r="E114" s="265">
        <f ca="1">IFERROR(__xludf.DUMMYFUNCTION("IMPORTRANGE(""https://docs.google.com/spreadsheets/d/1MeEWN-I1oV_STSDYn1IFDPWt_1FKiwhDph83XaGc0o0/edit?usp=sharing"",""งบพรบ!CF114"")"),0)</f>
        <v>0</v>
      </c>
      <c r="F114" s="265">
        <f ca="1">IFERROR(__xludf.DUMMYFUNCTION("IMPORTRANGE(""https://docs.google.com/spreadsheets/d/1MeEWN-I1oV_STSDYn1IFDPWt_1FKiwhDph83XaGc0o0/edit?usp=sharing"",""งบพรบ!CG114"")"),0)</f>
        <v>0</v>
      </c>
      <c r="G114" s="265">
        <f ca="1">IFERROR(__xludf.DUMMYFUNCTION("IMPORTRANGE(""https://docs.google.com/spreadsheets/d/1MeEWN-I1oV_STSDYn1IFDPWt_1FKiwhDph83XaGc0o0/edit?usp=sharing"",""งบพรบ!CH114"")"),0)</f>
        <v>0</v>
      </c>
      <c r="H114" s="265">
        <f ca="1">IFERROR(__xludf.DUMMYFUNCTION("IMPORTRANGE(""https://docs.google.com/spreadsheets/d/1MeEWN-I1oV_STSDYn1IFDPWt_1FKiwhDph83XaGc0o0/edit?usp=sharing"",""งบพรบ!CJ114"")"),0)</f>
        <v>0</v>
      </c>
      <c r="I114" s="265">
        <f ca="1">IFERROR(__xludf.DUMMYFUNCTION("IMPORTRANGE(""https://docs.google.com/spreadsheets/d/1MeEWN-I1oV_STSDYn1IFDPWt_1FKiwhDph83XaGc0o0/edit?usp=sharing"",""งบพรบ!CK114"")"),0)</f>
        <v>0</v>
      </c>
      <c r="J114" s="265">
        <f t="shared" ca="1" si="3"/>
        <v>0</v>
      </c>
      <c r="K114" s="272">
        <f t="shared" ca="1" si="4"/>
        <v>0</v>
      </c>
      <c r="L114" s="265">
        <f ca="1">IFERROR(__xludf.DUMMYFUNCTION("IMPORTRANGE(""https://docs.google.com/spreadsheets/d/1MeEWN-I1oV_STSDYn1IFDPWt_1FKiwhDph83XaGc0o0/edit?usp=sharing"",""งบพรบ!CL114"")"),0)</f>
        <v>0</v>
      </c>
      <c r="M114" s="268">
        <f t="shared" ca="1" si="5"/>
        <v>0</v>
      </c>
      <c r="N114" s="268">
        <f t="shared" ca="1" si="6"/>
        <v>0</v>
      </c>
      <c r="O114" s="269">
        <f ca="1">IFERROR(__xludf.DUMMYFUNCTION("IMPORTRANGE(""https://docs.google.com/spreadsheets/d/1MeEWN-I1oV_STSDYn1IFDPWt_1FKiwhDph83XaGc0o0/edit?usp=sharing"",""งบพรบ!CC114"")"),0)</f>
        <v>0</v>
      </c>
      <c r="P114" s="269">
        <f t="shared" ca="1" si="22"/>
        <v>0</v>
      </c>
      <c r="Q114" s="268">
        <f t="shared" ca="1" si="8"/>
        <v>0</v>
      </c>
      <c r="R114" s="284"/>
      <c r="S114" s="284"/>
      <c r="T114" s="284"/>
      <c r="U114" s="284"/>
      <c r="V114" s="284"/>
      <c r="W114" s="284"/>
      <c r="X114" s="209"/>
      <c r="Y114" s="209"/>
      <c r="Z114" s="209"/>
    </row>
    <row r="115" spans="1:26" ht="24" hidden="1" customHeight="1" x14ac:dyDescent="0.3">
      <c r="A115" s="287">
        <v>11</v>
      </c>
      <c r="B115" s="286" t="s">
        <v>137</v>
      </c>
      <c r="C115" s="263">
        <f t="shared" ca="1" si="0"/>
        <v>0</v>
      </c>
      <c r="D115" s="264">
        <f t="shared" ca="1" si="41"/>
        <v>0</v>
      </c>
      <c r="E115" s="265">
        <f ca="1">IFERROR(__xludf.DUMMYFUNCTION("IMPORTRANGE(""https://docs.google.com/spreadsheets/d/1MeEWN-I1oV_STSDYn1IFDPWt_1FKiwhDph83XaGc0o0/edit?usp=sharing"",""งบพรบ!CF115"")"),0)</f>
        <v>0</v>
      </c>
      <c r="F115" s="265">
        <f ca="1">IFERROR(__xludf.DUMMYFUNCTION("IMPORTRANGE(""https://docs.google.com/spreadsheets/d/1MeEWN-I1oV_STSDYn1IFDPWt_1FKiwhDph83XaGc0o0/edit?usp=sharing"",""งบพรบ!CG115"")"),0)</f>
        <v>0</v>
      </c>
      <c r="G115" s="265">
        <f ca="1">IFERROR(__xludf.DUMMYFUNCTION("IMPORTRANGE(""https://docs.google.com/spreadsheets/d/1MeEWN-I1oV_STSDYn1IFDPWt_1FKiwhDph83XaGc0o0/edit?usp=sharing"",""งบพรบ!CH115"")"),0)</f>
        <v>0</v>
      </c>
      <c r="H115" s="265">
        <f ca="1">IFERROR(__xludf.DUMMYFUNCTION("IMPORTRANGE(""https://docs.google.com/spreadsheets/d/1MeEWN-I1oV_STSDYn1IFDPWt_1FKiwhDph83XaGc0o0/edit?usp=sharing"",""งบพรบ!CJ115"")"),0)</f>
        <v>0</v>
      </c>
      <c r="I115" s="265">
        <f ca="1">IFERROR(__xludf.DUMMYFUNCTION("IMPORTRANGE(""https://docs.google.com/spreadsheets/d/1MeEWN-I1oV_STSDYn1IFDPWt_1FKiwhDph83XaGc0o0/edit?usp=sharing"",""งบพรบ!CK115"")"),0)</f>
        <v>0</v>
      </c>
      <c r="J115" s="265">
        <f t="shared" ca="1" si="3"/>
        <v>0</v>
      </c>
      <c r="K115" s="272">
        <f t="shared" ca="1" si="4"/>
        <v>0</v>
      </c>
      <c r="L115" s="265">
        <f ca="1">IFERROR(__xludf.DUMMYFUNCTION("IMPORTRANGE(""https://docs.google.com/spreadsheets/d/1MeEWN-I1oV_STSDYn1IFDPWt_1FKiwhDph83XaGc0o0/edit?usp=sharing"",""งบพรบ!CL115"")"),0)</f>
        <v>0</v>
      </c>
      <c r="M115" s="268">
        <f t="shared" ca="1" si="5"/>
        <v>0</v>
      </c>
      <c r="N115" s="268">
        <f t="shared" ca="1" si="6"/>
        <v>0</v>
      </c>
      <c r="O115" s="269">
        <f ca="1">IFERROR(__xludf.DUMMYFUNCTION("IMPORTRANGE(""https://docs.google.com/spreadsheets/d/1MeEWN-I1oV_STSDYn1IFDPWt_1FKiwhDph83XaGc0o0/edit?usp=sharing"",""งบพรบ!CC115"")"),0)</f>
        <v>0</v>
      </c>
      <c r="P115" s="269">
        <f t="shared" ca="1" si="22"/>
        <v>0</v>
      </c>
      <c r="Q115" s="268">
        <f t="shared" ca="1" si="8"/>
        <v>0</v>
      </c>
      <c r="R115" s="284"/>
      <c r="S115" s="284"/>
      <c r="T115" s="284"/>
      <c r="U115" s="284"/>
      <c r="V115" s="284"/>
      <c r="W115" s="284"/>
      <c r="X115" s="209"/>
      <c r="Y115" s="209"/>
      <c r="Z115" s="209"/>
    </row>
    <row r="116" spans="1:26" ht="24" hidden="1" customHeight="1" x14ac:dyDescent="0.3">
      <c r="A116" s="287">
        <v>12</v>
      </c>
      <c r="B116" s="286" t="s">
        <v>138</v>
      </c>
      <c r="C116" s="263">
        <f t="shared" ca="1" si="0"/>
        <v>0</v>
      </c>
      <c r="D116" s="264">
        <f t="shared" ca="1" si="41"/>
        <v>0</v>
      </c>
      <c r="E116" s="265">
        <f ca="1">IFERROR(__xludf.DUMMYFUNCTION("IMPORTRANGE(""https://docs.google.com/spreadsheets/d/1MeEWN-I1oV_STSDYn1IFDPWt_1FKiwhDph83XaGc0o0/edit?usp=sharing"",""งบพรบ!CF116"")"),0)</f>
        <v>0</v>
      </c>
      <c r="F116" s="265">
        <f ca="1">IFERROR(__xludf.DUMMYFUNCTION("IMPORTRANGE(""https://docs.google.com/spreadsheets/d/1MeEWN-I1oV_STSDYn1IFDPWt_1FKiwhDph83XaGc0o0/edit?usp=sharing"",""งบพรบ!CG116"")"),0)</f>
        <v>0</v>
      </c>
      <c r="G116" s="265">
        <f ca="1">IFERROR(__xludf.DUMMYFUNCTION("IMPORTRANGE(""https://docs.google.com/spreadsheets/d/1MeEWN-I1oV_STSDYn1IFDPWt_1FKiwhDph83XaGc0o0/edit?usp=sharing"",""งบพรบ!CH116"")"),0)</f>
        <v>0</v>
      </c>
      <c r="H116" s="265">
        <f ca="1">IFERROR(__xludf.DUMMYFUNCTION("IMPORTRANGE(""https://docs.google.com/spreadsheets/d/1MeEWN-I1oV_STSDYn1IFDPWt_1FKiwhDph83XaGc0o0/edit?usp=sharing"",""งบพรบ!CJ116"")"),62100)</f>
        <v>62100</v>
      </c>
      <c r="I116" s="265">
        <f ca="1">IFERROR(__xludf.DUMMYFUNCTION("IMPORTRANGE(""https://docs.google.com/spreadsheets/d/1MeEWN-I1oV_STSDYn1IFDPWt_1FKiwhDph83XaGc0o0/edit?usp=sharing"",""งบพรบ!CK116"")"),0)</f>
        <v>0</v>
      </c>
      <c r="J116" s="265">
        <f t="shared" ca="1" si="3"/>
        <v>0</v>
      </c>
      <c r="K116" s="272">
        <f t="shared" ca="1" si="4"/>
        <v>0</v>
      </c>
      <c r="L116" s="265">
        <f ca="1">IFERROR(__xludf.DUMMYFUNCTION("IMPORTRANGE(""https://docs.google.com/spreadsheets/d/1MeEWN-I1oV_STSDYn1IFDPWt_1FKiwhDph83XaGc0o0/edit?usp=sharing"",""งบพรบ!CL116"")"),0)</f>
        <v>0</v>
      </c>
      <c r="M116" s="268">
        <f t="shared" ca="1" si="5"/>
        <v>0</v>
      </c>
      <c r="N116" s="268">
        <f t="shared" ca="1" si="6"/>
        <v>0</v>
      </c>
      <c r="O116" s="269">
        <f ca="1">IFERROR(__xludf.DUMMYFUNCTION("IMPORTRANGE(""https://docs.google.com/spreadsheets/d/1MeEWN-I1oV_STSDYn1IFDPWt_1FKiwhDph83XaGc0o0/edit?usp=sharing"",""งบพรบ!CC116"")"),0)</f>
        <v>0</v>
      </c>
      <c r="P116" s="269">
        <f t="shared" ca="1" si="22"/>
        <v>0</v>
      </c>
      <c r="Q116" s="268">
        <f t="shared" ca="1" si="8"/>
        <v>0</v>
      </c>
      <c r="R116" s="284"/>
      <c r="S116" s="284"/>
      <c r="T116" s="284"/>
      <c r="U116" s="284"/>
      <c r="V116" s="284"/>
      <c r="W116" s="284"/>
      <c r="X116" s="209"/>
      <c r="Y116" s="209"/>
      <c r="Z116" s="209"/>
    </row>
    <row r="117" spans="1:26" ht="24" customHeight="1" x14ac:dyDescent="0.2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88"/>
      <c r="N117" s="288"/>
      <c r="O117" s="289"/>
      <c r="P117" s="289"/>
      <c r="Q117" s="289"/>
      <c r="R117" s="206"/>
      <c r="S117" s="206"/>
      <c r="T117" s="288"/>
      <c r="U117" s="206"/>
      <c r="V117" s="206"/>
      <c r="W117" s="288"/>
      <c r="X117" s="209"/>
      <c r="Y117" s="209"/>
      <c r="Z117" s="209"/>
    </row>
    <row r="118" spans="1:26" ht="24" customHeight="1" x14ac:dyDescent="0.2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88"/>
      <c r="N118" s="288"/>
      <c r="O118" s="289"/>
      <c r="P118" s="289"/>
      <c r="Q118" s="289"/>
      <c r="R118" s="206"/>
      <c r="S118" s="206"/>
      <c r="T118" s="288"/>
      <c r="U118" s="206"/>
      <c r="V118" s="206"/>
      <c r="W118" s="288"/>
      <c r="X118" s="209"/>
      <c r="Y118" s="209"/>
      <c r="Z118" s="209"/>
    </row>
    <row r="119" spans="1:26" ht="24" customHeight="1" x14ac:dyDescent="0.2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88"/>
      <c r="N119" s="288"/>
      <c r="O119" s="289"/>
      <c r="P119" s="289"/>
      <c r="Q119" s="289"/>
      <c r="R119" s="206"/>
      <c r="S119" s="206"/>
      <c r="T119" s="288"/>
      <c r="U119" s="206"/>
      <c r="V119" s="206"/>
      <c r="W119" s="288"/>
      <c r="X119" s="209"/>
      <c r="Y119" s="209"/>
      <c r="Z119" s="209"/>
    </row>
    <row r="120" spans="1:26" ht="24" customHeight="1" x14ac:dyDescent="0.2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88"/>
      <c r="N120" s="288"/>
      <c r="O120" s="289"/>
      <c r="P120" s="289"/>
      <c r="Q120" s="289"/>
      <c r="R120" s="206"/>
      <c r="S120" s="206"/>
      <c r="T120" s="288"/>
      <c r="U120" s="206"/>
      <c r="V120" s="206"/>
      <c r="W120" s="288"/>
      <c r="X120" s="209"/>
      <c r="Y120" s="209"/>
      <c r="Z120" s="209"/>
    </row>
    <row r="121" spans="1:26" ht="24" customHeight="1" x14ac:dyDescent="0.2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88"/>
      <c r="N121" s="288"/>
      <c r="O121" s="289"/>
      <c r="P121" s="289"/>
      <c r="Q121" s="289"/>
      <c r="R121" s="206"/>
      <c r="S121" s="206"/>
      <c r="T121" s="288"/>
      <c r="U121" s="206"/>
      <c r="V121" s="206"/>
      <c r="W121" s="288"/>
      <c r="X121" s="209"/>
      <c r="Y121" s="209"/>
      <c r="Z121" s="209"/>
    </row>
    <row r="122" spans="1:26" ht="24" customHeight="1" x14ac:dyDescent="0.2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88"/>
      <c r="N122" s="288"/>
      <c r="O122" s="289"/>
      <c r="P122" s="289"/>
      <c r="Q122" s="289"/>
      <c r="R122" s="206"/>
      <c r="S122" s="206"/>
      <c r="T122" s="288"/>
      <c r="U122" s="206"/>
      <c r="V122" s="206"/>
      <c r="W122" s="288"/>
      <c r="X122" s="209"/>
      <c r="Y122" s="209"/>
      <c r="Z122" s="209"/>
    </row>
    <row r="123" spans="1:26" ht="24" customHeight="1" x14ac:dyDescent="0.2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88"/>
      <c r="N123" s="288"/>
      <c r="O123" s="289"/>
      <c r="P123" s="289"/>
      <c r="Q123" s="289"/>
      <c r="R123" s="206"/>
      <c r="S123" s="206"/>
      <c r="T123" s="288"/>
      <c r="U123" s="206"/>
      <c r="V123" s="206"/>
      <c r="W123" s="288"/>
      <c r="X123" s="209"/>
      <c r="Y123" s="209"/>
      <c r="Z123" s="209"/>
    </row>
    <row r="124" spans="1:26" ht="24" customHeight="1" x14ac:dyDescent="0.2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88"/>
      <c r="N124" s="288"/>
      <c r="O124" s="289"/>
      <c r="P124" s="289"/>
      <c r="Q124" s="289"/>
      <c r="R124" s="206"/>
      <c r="S124" s="206"/>
      <c r="T124" s="288"/>
      <c r="U124" s="206"/>
      <c r="V124" s="206"/>
      <c r="W124" s="288"/>
      <c r="X124" s="209"/>
      <c r="Y124" s="209"/>
      <c r="Z124" s="209"/>
    </row>
    <row r="125" spans="1:26" ht="24" customHeight="1" x14ac:dyDescent="0.2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88"/>
      <c r="N125" s="288"/>
      <c r="O125" s="289"/>
      <c r="P125" s="289"/>
      <c r="Q125" s="289"/>
      <c r="R125" s="206"/>
      <c r="S125" s="206"/>
      <c r="T125" s="288"/>
      <c r="U125" s="206"/>
      <c r="V125" s="206"/>
      <c r="W125" s="288"/>
      <c r="X125" s="209"/>
      <c r="Y125" s="209"/>
      <c r="Z125" s="209"/>
    </row>
    <row r="126" spans="1:26" ht="24" customHeight="1" x14ac:dyDescent="0.2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88"/>
      <c r="N126" s="288"/>
      <c r="O126" s="289"/>
      <c r="P126" s="289"/>
      <c r="Q126" s="289"/>
      <c r="R126" s="206"/>
      <c r="S126" s="206"/>
      <c r="T126" s="288"/>
      <c r="U126" s="206"/>
      <c r="V126" s="206"/>
      <c r="W126" s="288"/>
      <c r="X126" s="209"/>
      <c r="Y126" s="209"/>
      <c r="Z126" s="209"/>
    </row>
    <row r="127" spans="1:26" ht="24" customHeight="1" x14ac:dyDescent="0.2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88"/>
      <c r="N127" s="288"/>
      <c r="O127" s="289"/>
      <c r="P127" s="289"/>
      <c r="Q127" s="289"/>
      <c r="R127" s="206"/>
      <c r="S127" s="206"/>
      <c r="T127" s="288"/>
      <c r="U127" s="206"/>
      <c r="V127" s="206"/>
      <c r="W127" s="288"/>
      <c r="X127" s="209"/>
      <c r="Y127" s="209"/>
      <c r="Z127" s="209"/>
    </row>
    <row r="128" spans="1:26" ht="24" customHeight="1" x14ac:dyDescent="0.2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88"/>
      <c r="N128" s="288"/>
      <c r="O128" s="289"/>
      <c r="P128" s="289"/>
      <c r="Q128" s="289"/>
      <c r="R128" s="206"/>
      <c r="S128" s="206"/>
      <c r="T128" s="288"/>
      <c r="U128" s="206"/>
      <c r="V128" s="206"/>
      <c r="W128" s="288"/>
      <c r="X128" s="209"/>
      <c r="Y128" s="209"/>
      <c r="Z128" s="209"/>
    </row>
    <row r="129" spans="1:26" ht="24" customHeight="1" x14ac:dyDescent="0.2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88"/>
      <c r="N129" s="288"/>
      <c r="O129" s="289"/>
      <c r="P129" s="289"/>
      <c r="Q129" s="289"/>
      <c r="R129" s="206"/>
      <c r="S129" s="206"/>
      <c r="T129" s="288"/>
      <c r="U129" s="206"/>
      <c r="V129" s="206"/>
      <c r="W129" s="288"/>
      <c r="X129" s="209"/>
      <c r="Y129" s="209"/>
      <c r="Z129" s="209"/>
    </row>
    <row r="130" spans="1:26" ht="24" customHeight="1" x14ac:dyDescent="0.2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88"/>
      <c r="N130" s="288"/>
      <c r="O130" s="289"/>
      <c r="P130" s="289"/>
      <c r="Q130" s="289"/>
      <c r="R130" s="206"/>
      <c r="S130" s="206"/>
      <c r="T130" s="288"/>
      <c r="U130" s="206"/>
      <c r="V130" s="206"/>
      <c r="W130" s="288"/>
      <c r="X130" s="209"/>
      <c r="Y130" s="209"/>
      <c r="Z130" s="209"/>
    </row>
    <row r="131" spans="1:26" ht="24" customHeight="1" x14ac:dyDescent="0.2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88"/>
      <c r="N131" s="288"/>
      <c r="O131" s="289"/>
      <c r="P131" s="289"/>
      <c r="Q131" s="289"/>
      <c r="R131" s="206"/>
      <c r="S131" s="206"/>
      <c r="T131" s="288"/>
      <c r="U131" s="206"/>
      <c r="V131" s="206"/>
      <c r="W131" s="288"/>
      <c r="X131" s="209"/>
      <c r="Y131" s="209"/>
      <c r="Z131" s="209"/>
    </row>
    <row r="132" spans="1:26" ht="24" customHeight="1" x14ac:dyDescent="0.2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88"/>
      <c r="N132" s="288"/>
      <c r="O132" s="289"/>
      <c r="P132" s="289"/>
      <c r="Q132" s="289"/>
      <c r="R132" s="206"/>
      <c r="S132" s="206"/>
      <c r="T132" s="288"/>
      <c r="U132" s="206"/>
      <c r="V132" s="206"/>
      <c r="W132" s="288"/>
      <c r="X132" s="209"/>
      <c r="Y132" s="209"/>
      <c r="Z132" s="209"/>
    </row>
    <row r="133" spans="1:26" ht="24" customHeight="1" x14ac:dyDescent="0.2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88"/>
      <c r="N133" s="288"/>
      <c r="O133" s="289"/>
      <c r="P133" s="289"/>
      <c r="Q133" s="289"/>
      <c r="R133" s="206"/>
      <c r="S133" s="206"/>
      <c r="T133" s="288"/>
      <c r="U133" s="206"/>
      <c r="V133" s="206"/>
      <c r="W133" s="288"/>
      <c r="X133" s="209"/>
      <c r="Y133" s="209"/>
      <c r="Z133" s="209"/>
    </row>
    <row r="134" spans="1:26" ht="24" customHeight="1" x14ac:dyDescent="0.2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88"/>
      <c r="N134" s="288"/>
      <c r="O134" s="289"/>
      <c r="P134" s="289"/>
      <c r="Q134" s="289"/>
      <c r="R134" s="206"/>
      <c r="S134" s="206"/>
      <c r="T134" s="288"/>
      <c r="U134" s="206"/>
      <c r="V134" s="206"/>
      <c r="W134" s="288"/>
      <c r="X134" s="209"/>
      <c r="Y134" s="209"/>
      <c r="Z134" s="209"/>
    </row>
    <row r="135" spans="1:26" ht="24" customHeight="1" x14ac:dyDescent="0.2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88"/>
      <c r="N135" s="288"/>
      <c r="O135" s="289"/>
      <c r="P135" s="289"/>
      <c r="Q135" s="289"/>
      <c r="R135" s="206"/>
      <c r="S135" s="206"/>
      <c r="T135" s="288"/>
      <c r="U135" s="206"/>
      <c r="V135" s="206"/>
      <c r="W135" s="288"/>
      <c r="X135" s="209"/>
      <c r="Y135" s="209"/>
      <c r="Z135" s="209"/>
    </row>
    <row r="136" spans="1:26" ht="24" customHeight="1" x14ac:dyDescent="0.2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88"/>
      <c r="N136" s="288"/>
      <c r="O136" s="289"/>
      <c r="P136" s="289"/>
      <c r="Q136" s="289"/>
      <c r="R136" s="206"/>
      <c r="S136" s="206"/>
      <c r="T136" s="288"/>
      <c r="U136" s="206"/>
      <c r="V136" s="206"/>
      <c r="W136" s="288"/>
      <c r="X136" s="209"/>
      <c r="Y136" s="209"/>
      <c r="Z136" s="209"/>
    </row>
    <row r="137" spans="1:26" ht="24" customHeight="1" x14ac:dyDescent="0.2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88"/>
      <c r="N137" s="288"/>
      <c r="O137" s="289"/>
      <c r="P137" s="289"/>
      <c r="Q137" s="289"/>
      <c r="R137" s="206"/>
      <c r="S137" s="206"/>
      <c r="T137" s="288"/>
      <c r="U137" s="206"/>
      <c r="V137" s="206"/>
      <c r="W137" s="288"/>
      <c r="X137" s="209"/>
      <c r="Y137" s="209"/>
      <c r="Z137" s="209"/>
    </row>
    <row r="138" spans="1:26" ht="24" customHeight="1" x14ac:dyDescent="0.2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88"/>
      <c r="N138" s="288"/>
      <c r="O138" s="289"/>
      <c r="P138" s="289"/>
      <c r="Q138" s="289"/>
      <c r="R138" s="206"/>
      <c r="S138" s="206"/>
      <c r="T138" s="288"/>
      <c r="U138" s="206"/>
      <c r="V138" s="206"/>
      <c r="W138" s="288"/>
      <c r="X138" s="209"/>
      <c r="Y138" s="209"/>
      <c r="Z138" s="209"/>
    </row>
    <row r="139" spans="1:26" ht="24" customHeight="1" x14ac:dyDescent="0.2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88"/>
      <c r="N139" s="288"/>
      <c r="O139" s="289"/>
      <c r="P139" s="289"/>
      <c r="Q139" s="289"/>
      <c r="R139" s="206"/>
      <c r="S139" s="206"/>
      <c r="T139" s="288"/>
      <c r="U139" s="206"/>
      <c r="V139" s="206"/>
      <c r="W139" s="288"/>
      <c r="X139" s="209"/>
      <c r="Y139" s="209"/>
      <c r="Z139" s="209"/>
    </row>
    <row r="140" spans="1:26" ht="24" customHeight="1" x14ac:dyDescent="0.2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88"/>
      <c r="N140" s="288"/>
      <c r="O140" s="289"/>
      <c r="P140" s="289"/>
      <c r="Q140" s="289"/>
      <c r="R140" s="206"/>
      <c r="S140" s="206"/>
      <c r="T140" s="288"/>
      <c r="U140" s="206"/>
      <c r="V140" s="206"/>
      <c r="W140" s="288"/>
      <c r="X140" s="209"/>
      <c r="Y140" s="209"/>
      <c r="Z140" s="209"/>
    </row>
    <row r="141" spans="1:26" ht="24" customHeight="1" x14ac:dyDescent="0.2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88"/>
      <c r="N141" s="288"/>
      <c r="O141" s="289"/>
      <c r="P141" s="289"/>
      <c r="Q141" s="289"/>
      <c r="R141" s="206"/>
      <c r="S141" s="206"/>
      <c r="T141" s="288"/>
      <c r="U141" s="206"/>
      <c r="V141" s="206"/>
      <c r="W141" s="288"/>
      <c r="X141" s="209"/>
      <c r="Y141" s="209"/>
      <c r="Z141" s="209"/>
    </row>
    <row r="142" spans="1:26" ht="24" customHeight="1" x14ac:dyDescent="0.2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88"/>
      <c r="N142" s="288"/>
      <c r="O142" s="289"/>
      <c r="P142" s="289"/>
      <c r="Q142" s="289"/>
      <c r="R142" s="206"/>
      <c r="S142" s="206"/>
      <c r="T142" s="288"/>
      <c r="U142" s="206"/>
      <c r="V142" s="206"/>
      <c r="W142" s="288"/>
      <c r="X142" s="209"/>
      <c r="Y142" s="209"/>
      <c r="Z142" s="209"/>
    </row>
    <row r="143" spans="1:26" ht="24" customHeight="1" x14ac:dyDescent="0.2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88"/>
      <c r="N143" s="288"/>
      <c r="O143" s="289"/>
      <c r="P143" s="289"/>
      <c r="Q143" s="289"/>
      <c r="R143" s="206"/>
      <c r="S143" s="206"/>
      <c r="T143" s="288"/>
      <c r="U143" s="206"/>
      <c r="V143" s="206"/>
      <c r="W143" s="288"/>
      <c r="X143" s="209"/>
      <c r="Y143" s="209"/>
      <c r="Z143" s="209"/>
    </row>
    <row r="144" spans="1:26" ht="24" customHeight="1" x14ac:dyDescent="0.2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88"/>
      <c r="N144" s="288"/>
      <c r="O144" s="289"/>
      <c r="P144" s="289"/>
      <c r="Q144" s="289"/>
      <c r="R144" s="206"/>
      <c r="S144" s="206"/>
      <c r="T144" s="288"/>
      <c r="U144" s="206"/>
      <c r="V144" s="206"/>
      <c r="W144" s="288"/>
      <c r="X144" s="209"/>
      <c r="Y144" s="209"/>
      <c r="Z144" s="209"/>
    </row>
    <row r="145" spans="1:26" ht="24" customHeight="1" x14ac:dyDescent="0.2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88"/>
      <c r="N145" s="288"/>
      <c r="O145" s="289"/>
      <c r="P145" s="289"/>
      <c r="Q145" s="289"/>
      <c r="R145" s="206"/>
      <c r="S145" s="206"/>
      <c r="T145" s="288"/>
      <c r="U145" s="206"/>
      <c r="V145" s="206"/>
      <c r="W145" s="288"/>
      <c r="X145" s="209"/>
      <c r="Y145" s="209"/>
      <c r="Z145" s="209"/>
    </row>
    <row r="146" spans="1:26" ht="24" customHeight="1" x14ac:dyDescent="0.2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88"/>
      <c r="N146" s="288"/>
      <c r="O146" s="289"/>
      <c r="P146" s="289"/>
      <c r="Q146" s="289"/>
      <c r="R146" s="206"/>
      <c r="S146" s="206"/>
      <c r="T146" s="288"/>
      <c r="U146" s="206"/>
      <c r="V146" s="206"/>
      <c r="W146" s="288"/>
      <c r="X146" s="209"/>
      <c r="Y146" s="209"/>
      <c r="Z146" s="209"/>
    </row>
    <row r="147" spans="1:26" ht="24" customHeight="1" x14ac:dyDescent="0.2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88"/>
      <c r="N147" s="288"/>
      <c r="O147" s="289"/>
      <c r="P147" s="289"/>
      <c r="Q147" s="289"/>
      <c r="R147" s="206"/>
      <c r="S147" s="206"/>
      <c r="T147" s="288"/>
      <c r="U147" s="206"/>
      <c r="V147" s="206"/>
      <c r="W147" s="288"/>
      <c r="X147" s="209"/>
      <c r="Y147" s="209"/>
      <c r="Z147" s="209"/>
    </row>
    <row r="148" spans="1:26" ht="24" customHeight="1" x14ac:dyDescent="0.2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88"/>
      <c r="N148" s="288"/>
      <c r="O148" s="289"/>
      <c r="P148" s="289"/>
      <c r="Q148" s="289"/>
      <c r="R148" s="206"/>
      <c r="S148" s="206"/>
      <c r="T148" s="288"/>
      <c r="U148" s="206"/>
      <c r="V148" s="206"/>
      <c r="W148" s="288"/>
      <c r="X148" s="209"/>
      <c r="Y148" s="209"/>
      <c r="Z148" s="209"/>
    </row>
    <row r="149" spans="1:26" ht="24" customHeight="1" x14ac:dyDescent="0.2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88"/>
      <c r="N149" s="288"/>
      <c r="O149" s="289"/>
      <c r="P149" s="289"/>
      <c r="Q149" s="289"/>
      <c r="R149" s="206"/>
      <c r="S149" s="206"/>
      <c r="T149" s="288"/>
      <c r="U149" s="206"/>
      <c r="V149" s="206"/>
      <c r="W149" s="288"/>
      <c r="X149" s="209"/>
      <c r="Y149" s="209"/>
      <c r="Z149" s="209"/>
    </row>
    <row r="150" spans="1:26" ht="24" customHeight="1" x14ac:dyDescent="0.2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88"/>
      <c r="N150" s="288"/>
      <c r="O150" s="289"/>
      <c r="P150" s="289"/>
      <c r="Q150" s="289"/>
      <c r="R150" s="206"/>
      <c r="S150" s="206"/>
      <c r="T150" s="288"/>
      <c r="U150" s="206"/>
      <c r="V150" s="206"/>
      <c r="W150" s="288"/>
      <c r="X150" s="209"/>
      <c r="Y150" s="209"/>
      <c r="Z150" s="209"/>
    </row>
    <row r="151" spans="1:26" ht="24" customHeight="1" x14ac:dyDescent="0.2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88"/>
      <c r="N151" s="288"/>
      <c r="O151" s="289"/>
      <c r="P151" s="289"/>
      <c r="Q151" s="289"/>
      <c r="R151" s="206"/>
      <c r="S151" s="206"/>
      <c r="T151" s="288"/>
      <c r="U151" s="206"/>
      <c r="V151" s="206"/>
      <c r="W151" s="288"/>
      <c r="X151" s="209"/>
      <c r="Y151" s="209"/>
      <c r="Z151" s="209"/>
    </row>
    <row r="152" spans="1:26" ht="24" customHeight="1" x14ac:dyDescent="0.2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88"/>
      <c r="N152" s="288"/>
      <c r="O152" s="289"/>
      <c r="P152" s="289"/>
      <c r="Q152" s="289"/>
      <c r="R152" s="206"/>
      <c r="S152" s="206"/>
      <c r="T152" s="288"/>
      <c r="U152" s="206"/>
      <c r="V152" s="206"/>
      <c r="W152" s="288"/>
      <c r="X152" s="209"/>
      <c r="Y152" s="209"/>
      <c r="Z152" s="209"/>
    </row>
    <row r="153" spans="1:26" ht="24" customHeight="1" x14ac:dyDescent="0.2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88"/>
      <c r="N153" s="288"/>
      <c r="O153" s="289"/>
      <c r="P153" s="289"/>
      <c r="Q153" s="289"/>
      <c r="R153" s="206"/>
      <c r="S153" s="206"/>
      <c r="T153" s="288"/>
      <c r="U153" s="206"/>
      <c r="V153" s="206"/>
      <c r="W153" s="288"/>
      <c r="X153" s="209"/>
      <c r="Y153" s="209"/>
      <c r="Z153" s="209"/>
    </row>
    <row r="154" spans="1:26" ht="24" customHeight="1" x14ac:dyDescent="0.2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88"/>
      <c r="N154" s="288"/>
      <c r="O154" s="289"/>
      <c r="P154" s="289"/>
      <c r="Q154" s="289"/>
      <c r="R154" s="206"/>
      <c r="S154" s="206"/>
      <c r="T154" s="288"/>
      <c r="U154" s="206"/>
      <c r="V154" s="206"/>
      <c r="W154" s="288"/>
      <c r="X154" s="209"/>
      <c r="Y154" s="209"/>
      <c r="Z154" s="209"/>
    </row>
    <row r="155" spans="1:26" ht="24" customHeight="1" x14ac:dyDescent="0.2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88"/>
      <c r="N155" s="288"/>
      <c r="O155" s="289"/>
      <c r="P155" s="289"/>
      <c r="Q155" s="289"/>
      <c r="R155" s="206"/>
      <c r="S155" s="206"/>
      <c r="T155" s="288"/>
      <c r="U155" s="206"/>
      <c r="V155" s="206"/>
      <c r="W155" s="288"/>
      <c r="X155" s="209"/>
      <c r="Y155" s="209"/>
      <c r="Z155" s="209"/>
    </row>
    <row r="156" spans="1:26" ht="24" customHeight="1" x14ac:dyDescent="0.2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88"/>
      <c r="N156" s="288"/>
      <c r="O156" s="289"/>
      <c r="P156" s="289"/>
      <c r="Q156" s="289"/>
      <c r="R156" s="206"/>
      <c r="S156" s="206"/>
      <c r="T156" s="288"/>
      <c r="U156" s="206"/>
      <c r="V156" s="206"/>
      <c r="W156" s="288"/>
      <c r="X156" s="209"/>
      <c r="Y156" s="209"/>
      <c r="Z156" s="209"/>
    </row>
    <row r="157" spans="1:26" ht="24" customHeight="1" x14ac:dyDescent="0.2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88"/>
      <c r="N157" s="288"/>
      <c r="O157" s="289"/>
      <c r="P157" s="289"/>
      <c r="Q157" s="289"/>
      <c r="R157" s="206"/>
      <c r="S157" s="206"/>
      <c r="T157" s="288"/>
      <c r="U157" s="206"/>
      <c r="V157" s="206"/>
      <c r="W157" s="288"/>
      <c r="X157" s="209"/>
      <c r="Y157" s="209"/>
      <c r="Z157" s="209"/>
    </row>
    <row r="158" spans="1:26" ht="24" customHeight="1" x14ac:dyDescent="0.2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88"/>
      <c r="N158" s="288"/>
      <c r="O158" s="289"/>
      <c r="P158" s="289"/>
      <c r="Q158" s="289"/>
      <c r="R158" s="206"/>
      <c r="S158" s="206"/>
      <c r="T158" s="288"/>
      <c r="U158" s="206"/>
      <c r="V158" s="206"/>
      <c r="W158" s="288"/>
      <c r="X158" s="209"/>
      <c r="Y158" s="209"/>
      <c r="Z158" s="209"/>
    </row>
    <row r="159" spans="1:26" ht="24" customHeight="1" x14ac:dyDescent="0.2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88"/>
      <c r="N159" s="288"/>
      <c r="O159" s="289"/>
      <c r="P159" s="289"/>
      <c r="Q159" s="289"/>
      <c r="R159" s="206"/>
      <c r="S159" s="206"/>
      <c r="T159" s="288"/>
      <c r="U159" s="206"/>
      <c r="V159" s="206"/>
      <c r="W159" s="288"/>
      <c r="X159" s="209"/>
      <c r="Y159" s="209"/>
      <c r="Z159" s="209"/>
    </row>
    <row r="160" spans="1:26" ht="24" customHeight="1" x14ac:dyDescent="0.2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88"/>
      <c r="N160" s="288"/>
      <c r="O160" s="289"/>
      <c r="P160" s="289"/>
      <c r="Q160" s="289"/>
      <c r="R160" s="206"/>
      <c r="S160" s="206"/>
      <c r="T160" s="288"/>
      <c r="U160" s="206"/>
      <c r="V160" s="206"/>
      <c r="W160" s="288"/>
      <c r="X160" s="209"/>
      <c r="Y160" s="209"/>
      <c r="Z160" s="209"/>
    </row>
    <row r="161" spans="1:26" ht="24" customHeight="1" x14ac:dyDescent="0.2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88"/>
      <c r="N161" s="288"/>
      <c r="O161" s="289"/>
      <c r="P161" s="289"/>
      <c r="Q161" s="289"/>
      <c r="R161" s="206"/>
      <c r="S161" s="206"/>
      <c r="T161" s="288"/>
      <c r="U161" s="206"/>
      <c r="V161" s="206"/>
      <c r="W161" s="288"/>
      <c r="X161" s="209"/>
      <c r="Y161" s="209"/>
      <c r="Z161" s="209"/>
    </row>
    <row r="162" spans="1:26" ht="24" customHeight="1" x14ac:dyDescent="0.2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88"/>
      <c r="N162" s="288"/>
      <c r="O162" s="289"/>
      <c r="P162" s="289"/>
      <c r="Q162" s="289"/>
      <c r="R162" s="206"/>
      <c r="S162" s="206"/>
      <c r="T162" s="288"/>
      <c r="U162" s="206"/>
      <c r="V162" s="206"/>
      <c r="W162" s="288"/>
      <c r="X162" s="209"/>
      <c r="Y162" s="209"/>
      <c r="Z162" s="209"/>
    </row>
    <row r="163" spans="1:26" ht="24" customHeight="1" x14ac:dyDescent="0.2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88"/>
      <c r="N163" s="288"/>
      <c r="O163" s="289"/>
      <c r="P163" s="289"/>
      <c r="Q163" s="289"/>
      <c r="R163" s="206"/>
      <c r="S163" s="206"/>
      <c r="T163" s="288"/>
      <c r="U163" s="206"/>
      <c r="V163" s="206"/>
      <c r="W163" s="288"/>
      <c r="X163" s="209"/>
      <c r="Y163" s="209"/>
      <c r="Z163" s="209"/>
    </row>
    <row r="164" spans="1:26" ht="24" customHeight="1" x14ac:dyDescent="0.2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88"/>
      <c r="N164" s="288"/>
      <c r="O164" s="289"/>
      <c r="P164" s="289"/>
      <c r="Q164" s="289"/>
      <c r="R164" s="206"/>
      <c r="S164" s="206"/>
      <c r="T164" s="288"/>
      <c r="U164" s="206"/>
      <c r="V164" s="206"/>
      <c r="W164" s="288"/>
      <c r="X164" s="209"/>
      <c r="Y164" s="209"/>
      <c r="Z164" s="209"/>
    </row>
    <row r="165" spans="1:26" ht="24" customHeight="1" x14ac:dyDescent="0.2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88"/>
      <c r="N165" s="288"/>
      <c r="O165" s="289"/>
      <c r="P165" s="289"/>
      <c r="Q165" s="289"/>
      <c r="R165" s="206"/>
      <c r="S165" s="206"/>
      <c r="T165" s="288"/>
      <c r="U165" s="206"/>
      <c r="V165" s="206"/>
      <c r="W165" s="288"/>
      <c r="X165" s="209"/>
      <c r="Y165" s="209"/>
      <c r="Z165" s="209"/>
    </row>
    <row r="166" spans="1:26" ht="24" customHeight="1" x14ac:dyDescent="0.2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88"/>
      <c r="N166" s="288"/>
      <c r="O166" s="289"/>
      <c r="P166" s="289"/>
      <c r="Q166" s="289"/>
      <c r="R166" s="206"/>
      <c r="S166" s="206"/>
      <c r="T166" s="288"/>
      <c r="U166" s="206"/>
      <c r="V166" s="206"/>
      <c r="W166" s="288"/>
      <c r="X166" s="209"/>
      <c r="Y166" s="209"/>
      <c r="Z166" s="209"/>
    </row>
    <row r="167" spans="1:26" ht="24" customHeight="1" x14ac:dyDescent="0.2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88"/>
      <c r="N167" s="288"/>
      <c r="O167" s="289"/>
      <c r="P167" s="289"/>
      <c r="Q167" s="289"/>
      <c r="R167" s="206"/>
      <c r="S167" s="206"/>
      <c r="T167" s="288"/>
      <c r="U167" s="206"/>
      <c r="V167" s="206"/>
      <c r="W167" s="288"/>
      <c r="X167" s="209"/>
      <c r="Y167" s="209"/>
      <c r="Z167" s="209"/>
    </row>
    <row r="168" spans="1:26" ht="24" customHeight="1" x14ac:dyDescent="0.2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88"/>
      <c r="N168" s="288"/>
      <c r="O168" s="289"/>
      <c r="P168" s="289"/>
      <c r="Q168" s="289"/>
      <c r="R168" s="206"/>
      <c r="S168" s="206"/>
      <c r="T168" s="288"/>
      <c r="U168" s="206"/>
      <c r="V168" s="206"/>
      <c r="W168" s="288"/>
      <c r="X168" s="209"/>
      <c r="Y168" s="209"/>
      <c r="Z168" s="209"/>
    </row>
    <row r="169" spans="1:26" ht="24" customHeight="1" x14ac:dyDescent="0.2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88"/>
      <c r="N169" s="288"/>
      <c r="O169" s="289"/>
      <c r="P169" s="289"/>
      <c r="Q169" s="289"/>
      <c r="R169" s="206"/>
      <c r="S169" s="206"/>
      <c r="T169" s="288"/>
      <c r="U169" s="206"/>
      <c r="V169" s="206"/>
      <c r="W169" s="288"/>
      <c r="X169" s="209"/>
      <c r="Y169" s="209"/>
      <c r="Z169" s="209"/>
    </row>
    <row r="170" spans="1:26" ht="24" customHeight="1" x14ac:dyDescent="0.2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88"/>
      <c r="N170" s="288"/>
      <c r="O170" s="289"/>
      <c r="P170" s="289"/>
      <c r="Q170" s="289"/>
      <c r="R170" s="206"/>
      <c r="S170" s="206"/>
      <c r="T170" s="288"/>
      <c r="U170" s="206"/>
      <c r="V170" s="206"/>
      <c r="W170" s="288"/>
      <c r="X170" s="209"/>
      <c r="Y170" s="209"/>
      <c r="Z170" s="209"/>
    </row>
    <row r="171" spans="1:26" ht="24" customHeight="1" x14ac:dyDescent="0.2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88"/>
      <c r="N171" s="288"/>
      <c r="O171" s="289"/>
      <c r="P171" s="289"/>
      <c r="Q171" s="289"/>
      <c r="R171" s="206"/>
      <c r="S171" s="206"/>
      <c r="T171" s="288"/>
      <c r="U171" s="206"/>
      <c r="V171" s="206"/>
      <c r="W171" s="288"/>
      <c r="X171" s="209"/>
      <c r="Y171" s="209"/>
      <c r="Z171" s="209"/>
    </row>
    <row r="172" spans="1:26" ht="24" customHeight="1" x14ac:dyDescent="0.2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88"/>
      <c r="N172" s="288"/>
      <c r="O172" s="289"/>
      <c r="P172" s="289"/>
      <c r="Q172" s="289"/>
      <c r="R172" s="206"/>
      <c r="S172" s="206"/>
      <c r="T172" s="288"/>
      <c r="U172" s="206"/>
      <c r="V172" s="206"/>
      <c r="W172" s="288"/>
      <c r="X172" s="209"/>
      <c r="Y172" s="209"/>
      <c r="Z172" s="209"/>
    </row>
    <row r="173" spans="1:26" ht="24" customHeight="1" x14ac:dyDescent="0.2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88"/>
      <c r="N173" s="288"/>
      <c r="O173" s="289"/>
      <c r="P173" s="289"/>
      <c r="Q173" s="289"/>
      <c r="R173" s="206"/>
      <c r="S173" s="206"/>
      <c r="T173" s="288"/>
      <c r="U173" s="206"/>
      <c r="V173" s="206"/>
      <c r="W173" s="288"/>
      <c r="X173" s="209"/>
      <c r="Y173" s="209"/>
      <c r="Z173" s="209"/>
    </row>
    <row r="174" spans="1:26" ht="24" customHeight="1" x14ac:dyDescent="0.2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88"/>
      <c r="N174" s="288"/>
      <c r="O174" s="289"/>
      <c r="P174" s="289"/>
      <c r="Q174" s="289"/>
      <c r="R174" s="206"/>
      <c r="S174" s="206"/>
      <c r="T174" s="288"/>
      <c r="U174" s="206"/>
      <c r="V174" s="206"/>
      <c r="W174" s="288"/>
      <c r="X174" s="209"/>
      <c r="Y174" s="209"/>
      <c r="Z174" s="209"/>
    </row>
    <row r="175" spans="1:26" ht="24" customHeight="1" x14ac:dyDescent="0.2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88"/>
      <c r="N175" s="288"/>
      <c r="O175" s="289"/>
      <c r="P175" s="289"/>
      <c r="Q175" s="289"/>
      <c r="R175" s="206"/>
      <c r="S175" s="206"/>
      <c r="T175" s="288"/>
      <c r="U175" s="206"/>
      <c r="V175" s="206"/>
      <c r="W175" s="288"/>
      <c r="X175" s="209"/>
      <c r="Y175" s="209"/>
      <c r="Z175" s="209"/>
    </row>
    <row r="176" spans="1:26" ht="24" customHeight="1" x14ac:dyDescent="0.2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88"/>
      <c r="N176" s="288"/>
      <c r="O176" s="289"/>
      <c r="P176" s="289"/>
      <c r="Q176" s="289"/>
      <c r="R176" s="206"/>
      <c r="S176" s="206"/>
      <c r="T176" s="288"/>
      <c r="U176" s="206"/>
      <c r="V176" s="206"/>
      <c r="W176" s="288"/>
      <c r="X176" s="209"/>
      <c r="Y176" s="209"/>
      <c r="Z176" s="209"/>
    </row>
    <row r="177" spans="1:26" ht="24" customHeight="1" x14ac:dyDescent="0.2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88"/>
      <c r="N177" s="288"/>
      <c r="O177" s="289"/>
      <c r="P177" s="289"/>
      <c r="Q177" s="289"/>
      <c r="R177" s="206"/>
      <c r="S177" s="206"/>
      <c r="T177" s="288"/>
      <c r="U177" s="206"/>
      <c r="V177" s="206"/>
      <c r="W177" s="288"/>
      <c r="X177" s="209"/>
      <c r="Y177" s="209"/>
      <c r="Z177" s="209"/>
    </row>
    <row r="178" spans="1:26" ht="24" customHeight="1" x14ac:dyDescent="0.2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88"/>
      <c r="N178" s="288"/>
      <c r="O178" s="289"/>
      <c r="P178" s="289"/>
      <c r="Q178" s="289"/>
      <c r="R178" s="206"/>
      <c r="S178" s="206"/>
      <c r="T178" s="288"/>
      <c r="U178" s="206"/>
      <c r="V178" s="206"/>
      <c r="W178" s="288"/>
      <c r="X178" s="209"/>
      <c r="Y178" s="209"/>
      <c r="Z178" s="209"/>
    </row>
    <row r="179" spans="1:26" ht="24" customHeight="1" x14ac:dyDescent="0.2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88"/>
      <c r="N179" s="288"/>
      <c r="O179" s="289"/>
      <c r="P179" s="289"/>
      <c r="Q179" s="289"/>
      <c r="R179" s="206"/>
      <c r="S179" s="206"/>
      <c r="T179" s="288"/>
      <c r="U179" s="206"/>
      <c r="V179" s="206"/>
      <c r="W179" s="288"/>
      <c r="X179" s="209"/>
      <c r="Y179" s="209"/>
      <c r="Z179" s="209"/>
    </row>
    <row r="180" spans="1:26" ht="24" customHeight="1" x14ac:dyDescent="0.2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88"/>
      <c r="N180" s="288"/>
      <c r="O180" s="289"/>
      <c r="P180" s="289"/>
      <c r="Q180" s="289"/>
      <c r="R180" s="206"/>
      <c r="S180" s="206"/>
      <c r="T180" s="288"/>
      <c r="U180" s="206"/>
      <c r="V180" s="206"/>
      <c r="W180" s="288"/>
      <c r="X180" s="209"/>
      <c r="Y180" s="209"/>
      <c r="Z180" s="209"/>
    </row>
    <row r="181" spans="1:26" ht="24" customHeight="1" x14ac:dyDescent="0.2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88"/>
      <c r="N181" s="288"/>
      <c r="O181" s="289"/>
      <c r="P181" s="289"/>
      <c r="Q181" s="289"/>
      <c r="R181" s="206"/>
      <c r="S181" s="206"/>
      <c r="T181" s="288"/>
      <c r="U181" s="206"/>
      <c r="V181" s="206"/>
      <c r="W181" s="288"/>
      <c r="X181" s="209"/>
      <c r="Y181" s="209"/>
      <c r="Z181" s="209"/>
    </row>
    <row r="182" spans="1:26" ht="24" customHeight="1" x14ac:dyDescent="0.2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88"/>
      <c r="N182" s="288"/>
      <c r="O182" s="289"/>
      <c r="P182" s="289"/>
      <c r="Q182" s="289"/>
      <c r="R182" s="206"/>
      <c r="S182" s="206"/>
      <c r="T182" s="288"/>
      <c r="U182" s="206"/>
      <c r="V182" s="206"/>
      <c r="W182" s="288"/>
      <c r="X182" s="209"/>
      <c r="Y182" s="209"/>
      <c r="Z182" s="209"/>
    </row>
    <row r="183" spans="1:26" ht="24" customHeight="1" x14ac:dyDescent="0.2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88"/>
      <c r="N183" s="288"/>
      <c r="O183" s="289"/>
      <c r="P183" s="289"/>
      <c r="Q183" s="289"/>
      <c r="R183" s="206"/>
      <c r="S183" s="206"/>
      <c r="T183" s="288"/>
      <c r="U183" s="206"/>
      <c r="V183" s="206"/>
      <c r="W183" s="288"/>
      <c r="X183" s="209"/>
      <c r="Y183" s="209"/>
      <c r="Z183" s="209"/>
    </row>
    <row r="184" spans="1:26" ht="24" customHeight="1" x14ac:dyDescent="0.2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88"/>
      <c r="N184" s="288"/>
      <c r="O184" s="289"/>
      <c r="P184" s="289"/>
      <c r="Q184" s="289"/>
      <c r="R184" s="206"/>
      <c r="S184" s="206"/>
      <c r="T184" s="288"/>
      <c r="U184" s="206"/>
      <c r="V184" s="206"/>
      <c r="W184" s="288"/>
      <c r="X184" s="209"/>
      <c r="Y184" s="209"/>
      <c r="Z184" s="209"/>
    </row>
    <row r="185" spans="1:26" ht="24" customHeight="1" x14ac:dyDescent="0.2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88"/>
      <c r="N185" s="288"/>
      <c r="O185" s="289"/>
      <c r="P185" s="289"/>
      <c r="Q185" s="289"/>
      <c r="R185" s="206"/>
      <c r="S185" s="206"/>
      <c r="T185" s="288"/>
      <c r="U185" s="206"/>
      <c r="V185" s="206"/>
      <c r="W185" s="288"/>
      <c r="X185" s="209"/>
      <c r="Y185" s="209"/>
      <c r="Z185" s="209"/>
    </row>
    <row r="186" spans="1:26" ht="24" customHeight="1" x14ac:dyDescent="0.2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88"/>
      <c r="N186" s="288"/>
      <c r="O186" s="289"/>
      <c r="P186" s="289"/>
      <c r="Q186" s="289"/>
      <c r="R186" s="206"/>
      <c r="S186" s="206"/>
      <c r="T186" s="288"/>
      <c r="U186" s="206"/>
      <c r="V186" s="206"/>
      <c r="W186" s="288"/>
      <c r="X186" s="209"/>
      <c r="Y186" s="209"/>
      <c r="Z186" s="209"/>
    </row>
    <row r="187" spans="1:26" ht="24" customHeight="1" x14ac:dyDescent="0.2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88"/>
      <c r="N187" s="288"/>
      <c r="O187" s="289"/>
      <c r="P187" s="289"/>
      <c r="Q187" s="289"/>
      <c r="R187" s="206"/>
      <c r="S187" s="206"/>
      <c r="T187" s="288"/>
      <c r="U187" s="206"/>
      <c r="V187" s="206"/>
      <c r="W187" s="288"/>
      <c r="X187" s="209"/>
      <c r="Y187" s="209"/>
      <c r="Z187" s="209"/>
    </row>
    <row r="188" spans="1:26" ht="24" customHeight="1" x14ac:dyDescent="0.2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88"/>
      <c r="N188" s="288"/>
      <c r="O188" s="289"/>
      <c r="P188" s="289"/>
      <c r="Q188" s="289"/>
      <c r="R188" s="206"/>
      <c r="S188" s="206"/>
      <c r="T188" s="288"/>
      <c r="U188" s="206"/>
      <c r="V188" s="206"/>
      <c r="W188" s="288"/>
      <c r="X188" s="209"/>
      <c r="Y188" s="209"/>
      <c r="Z188" s="209"/>
    </row>
    <row r="189" spans="1:26" ht="24" customHeight="1" x14ac:dyDescent="0.2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88"/>
      <c r="N189" s="288"/>
      <c r="O189" s="289"/>
      <c r="P189" s="289"/>
      <c r="Q189" s="289"/>
      <c r="R189" s="206"/>
      <c r="S189" s="206"/>
      <c r="T189" s="288"/>
      <c r="U189" s="206"/>
      <c r="V189" s="206"/>
      <c r="W189" s="288"/>
      <c r="X189" s="209"/>
      <c r="Y189" s="209"/>
      <c r="Z189" s="209"/>
    </row>
    <row r="190" spans="1:26" ht="24" customHeight="1" x14ac:dyDescent="0.2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88"/>
      <c r="N190" s="288"/>
      <c r="O190" s="289"/>
      <c r="P190" s="289"/>
      <c r="Q190" s="289"/>
      <c r="R190" s="206"/>
      <c r="S190" s="206"/>
      <c r="T190" s="288"/>
      <c r="U190" s="206"/>
      <c r="V190" s="206"/>
      <c r="W190" s="288"/>
      <c r="X190" s="209"/>
      <c r="Y190" s="209"/>
      <c r="Z190" s="209"/>
    </row>
    <row r="191" spans="1:26" ht="24" customHeight="1" x14ac:dyDescent="0.2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88"/>
      <c r="N191" s="288"/>
      <c r="O191" s="289"/>
      <c r="P191" s="289"/>
      <c r="Q191" s="289"/>
      <c r="R191" s="206"/>
      <c r="S191" s="206"/>
      <c r="T191" s="288"/>
      <c r="U191" s="206"/>
      <c r="V191" s="206"/>
      <c r="W191" s="288"/>
      <c r="X191" s="209"/>
      <c r="Y191" s="209"/>
      <c r="Z191" s="209"/>
    </row>
    <row r="192" spans="1:26" ht="24" customHeight="1" x14ac:dyDescent="0.2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88"/>
      <c r="N192" s="288"/>
      <c r="O192" s="289"/>
      <c r="P192" s="289"/>
      <c r="Q192" s="289"/>
      <c r="R192" s="206"/>
      <c r="S192" s="206"/>
      <c r="T192" s="288"/>
      <c r="U192" s="206"/>
      <c r="V192" s="206"/>
      <c r="W192" s="288"/>
      <c r="X192" s="209"/>
      <c r="Y192" s="209"/>
      <c r="Z192" s="209"/>
    </row>
    <row r="193" spans="1:26" ht="24" customHeight="1" x14ac:dyDescent="0.2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88"/>
      <c r="N193" s="288"/>
      <c r="O193" s="289"/>
      <c r="P193" s="289"/>
      <c r="Q193" s="289"/>
      <c r="R193" s="206"/>
      <c r="S193" s="206"/>
      <c r="T193" s="288"/>
      <c r="U193" s="206"/>
      <c r="V193" s="206"/>
      <c r="W193" s="288"/>
      <c r="X193" s="209"/>
      <c r="Y193" s="209"/>
      <c r="Z193" s="209"/>
    </row>
    <row r="194" spans="1:26" ht="24" customHeight="1" x14ac:dyDescent="0.2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88"/>
      <c r="N194" s="288"/>
      <c r="O194" s="289"/>
      <c r="P194" s="289"/>
      <c r="Q194" s="289"/>
      <c r="R194" s="206"/>
      <c r="S194" s="206"/>
      <c r="T194" s="288"/>
      <c r="U194" s="206"/>
      <c r="V194" s="206"/>
      <c r="W194" s="288"/>
      <c r="X194" s="209"/>
      <c r="Y194" s="209"/>
      <c r="Z194" s="209"/>
    </row>
    <row r="195" spans="1:26" ht="24" customHeight="1" x14ac:dyDescent="0.2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88"/>
      <c r="N195" s="288"/>
      <c r="O195" s="289"/>
      <c r="P195" s="289"/>
      <c r="Q195" s="289"/>
      <c r="R195" s="206"/>
      <c r="S195" s="206"/>
      <c r="T195" s="288"/>
      <c r="U195" s="206"/>
      <c r="V195" s="206"/>
      <c r="W195" s="288"/>
      <c r="X195" s="209"/>
      <c r="Y195" s="209"/>
      <c r="Z195" s="209"/>
    </row>
    <row r="196" spans="1:26" ht="24" customHeight="1" x14ac:dyDescent="0.2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88"/>
      <c r="N196" s="288"/>
      <c r="O196" s="289"/>
      <c r="P196" s="289"/>
      <c r="Q196" s="289"/>
      <c r="R196" s="206"/>
      <c r="S196" s="206"/>
      <c r="T196" s="288"/>
      <c r="U196" s="206"/>
      <c r="V196" s="206"/>
      <c r="W196" s="288"/>
      <c r="X196" s="209"/>
      <c r="Y196" s="209"/>
      <c r="Z196" s="209"/>
    </row>
    <row r="197" spans="1:26" ht="24" customHeight="1" x14ac:dyDescent="0.2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88"/>
      <c r="N197" s="288"/>
      <c r="O197" s="289"/>
      <c r="P197" s="289"/>
      <c r="Q197" s="289"/>
      <c r="R197" s="206"/>
      <c r="S197" s="206"/>
      <c r="T197" s="288"/>
      <c r="U197" s="206"/>
      <c r="V197" s="206"/>
      <c r="W197" s="288"/>
      <c r="X197" s="209"/>
      <c r="Y197" s="209"/>
      <c r="Z197" s="209"/>
    </row>
    <row r="198" spans="1:26" ht="24" customHeight="1" x14ac:dyDescent="0.2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88"/>
      <c r="N198" s="288"/>
      <c r="O198" s="289"/>
      <c r="P198" s="289"/>
      <c r="Q198" s="289"/>
      <c r="R198" s="206"/>
      <c r="S198" s="206"/>
      <c r="T198" s="288"/>
      <c r="U198" s="206"/>
      <c r="V198" s="206"/>
      <c r="W198" s="288"/>
      <c r="X198" s="209"/>
      <c r="Y198" s="209"/>
      <c r="Z198" s="209"/>
    </row>
    <row r="199" spans="1:26" ht="24" customHeight="1" x14ac:dyDescent="0.2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88"/>
      <c r="N199" s="288"/>
      <c r="O199" s="289"/>
      <c r="P199" s="289"/>
      <c r="Q199" s="289"/>
      <c r="R199" s="206"/>
      <c r="S199" s="206"/>
      <c r="T199" s="288"/>
      <c r="U199" s="206"/>
      <c r="V199" s="206"/>
      <c r="W199" s="288"/>
      <c r="X199" s="209"/>
      <c r="Y199" s="209"/>
      <c r="Z199" s="209"/>
    </row>
    <row r="200" spans="1:26" ht="24" customHeight="1" x14ac:dyDescent="0.2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88"/>
      <c r="N200" s="288"/>
      <c r="O200" s="289"/>
      <c r="P200" s="289"/>
      <c r="Q200" s="289"/>
      <c r="R200" s="206"/>
      <c r="S200" s="206"/>
      <c r="T200" s="288"/>
      <c r="U200" s="206"/>
      <c r="V200" s="206"/>
      <c r="W200" s="288"/>
      <c r="X200" s="209"/>
      <c r="Y200" s="209"/>
      <c r="Z200" s="209"/>
    </row>
    <row r="201" spans="1:26" ht="24" customHeight="1" x14ac:dyDescent="0.2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88"/>
      <c r="N201" s="288"/>
      <c r="O201" s="289"/>
      <c r="P201" s="289"/>
      <c r="Q201" s="289"/>
      <c r="R201" s="206"/>
      <c r="S201" s="206"/>
      <c r="T201" s="288"/>
      <c r="U201" s="206"/>
      <c r="V201" s="206"/>
      <c r="W201" s="288"/>
      <c r="X201" s="209"/>
      <c r="Y201" s="209"/>
      <c r="Z201" s="209"/>
    </row>
    <row r="202" spans="1:26" ht="24" customHeight="1" x14ac:dyDescent="0.2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88"/>
      <c r="N202" s="288"/>
      <c r="O202" s="289"/>
      <c r="P202" s="289"/>
      <c r="Q202" s="289"/>
      <c r="R202" s="206"/>
      <c r="S202" s="206"/>
      <c r="T202" s="288"/>
      <c r="U202" s="206"/>
      <c r="V202" s="206"/>
      <c r="W202" s="288"/>
      <c r="X202" s="209"/>
      <c r="Y202" s="209"/>
      <c r="Z202" s="209"/>
    </row>
    <row r="203" spans="1:26" ht="24" customHeight="1" x14ac:dyDescent="0.2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88"/>
      <c r="N203" s="288"/>
      <c r="O203" s="289"/>
      <c r="P203" s="289"/>
      <c r="Q203" s="289"/>
      <c r="R203" s="206"/>
      <c r="S203" s="206"/>
      <c r="T203" s="288"/>
      <c r="U203" s="206"/>
      <c r="V203" s="206"/>
      <c r="W203" s="288"/>
      <c r="X203" s="209"/>
      <c r="Y203" s="209"/>
      <c r="Z203" s="209"/>
    </row>
    <row r="204" spans="1:26" ht="24" customHeight="1" x14ac:dyDescent="0.2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88"/>
      <c r="N204" s="288"/>
      <c r="O204" s="289"/>
      <c r="P204" s="289"/>
      <c r="Q204" s="289"/>
      <c r="R204" s="206"/>
      <c r="S204" s="206"/>
      <c r="T204" s="288"/>
      <c r="U204" s="206"/>
      <c r="V204" s="206"/>
      <c r="W204" s="288"/>
      <c r="X204" s="209"/>
      <c r="Y204" s="209"/>
      <c r="Z204" s="209"/>
    </row>
    <row r="205" spans="1:26" ht="24" customHeight="1" x14ac:dyDescent="0.2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88"/>
      <c r="N205" s="288"/>
      <c r="O205" s="289"/>
      <c r="P205" s="289"/>
      <c r="Q205" s="289"/>
      <c r="R205" s="206"/>
      <c r="S205" s="206"/>
      <c r="T205" s="288"/>
      <c r="U205" s="206"/>
      <c r="V205" s="206"/>
      <c r="W205" s="288"/>
      <c r="X205" s="209"/>
      <c r="Y205" s="209"/>
      <c r="Z205" s="209"/>
    </row>
    <row r="206" spans="1:26" ht="24" customHeight="1" x14ac:dyDescent="0.2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88"/>
      <c r="N206" s="288"/>
      <c r="O206" s="289"/>
      <c r="P206" s="289"/>
      <c r="Q206" s="289"/>
      <c r="R206" s="206"/>
      <c r="S206" s="206"/>
      <c r="T206" s="288"/>
      <c r="U206" s="206"/>
      <c r="V206" s="206"/>
      <c r="W206" s="288"/>
      <c r="X206" s="209"/>
      <c r="Y206" s="209"/>
      <c r="Z206" s="209"/>
    </row>
    <row r="207" spans="1:26" ht="24" customHeight="1" x14ac:dyDescent="0.2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88"/>
      <c r="N207" s="288"/>
      <c r="O207" s="289"/>
      <c r="P207" s="289"/>
      <c r="Q207" s="289"/>
      <c r="R207" s="206"/>
      <c r="S207" s="206"/>
      <c r="T207" s="288"/>
      <c r="U207" s="206"/>
      <c r="V207" s="206"/>
      <c r="W207" s="288"/>
      <c r="X207" s="209"/>
      <c r="Y207" s="209"/>
      <c r="Z207" s="209"/>
    </row>
    <row r="208" spans="1:26" ht="24" customHeight="1" x14ac:dyDescent="0.2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88"/>
      <c r="N208" s="288"/>
      <c r="O208" s="289"/>
      <c r="P208" s="289"/>
      <c r="Q208" s="289"/>
      <c r="R208" s="206"/>
      <c r="S208" s="206"/>
      <c r="T208" s="288"/>
      <c r="U208" s="206"/>
      <c r="V208" s="206"/>
      <c r="W208" s="288"/>
      <c r="X208" s="209"/>
      <c r="Y208" s="209"/>
      <c r="Z208" s="209"/>
    </row>
    <row r="209" spans="1:26" ht="24" customHeight="1" x14ac:dyDescent="0.2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88"/>
      <c r="N209" s="288"/>
      <c r="O209" s="289"/>
      <c r="P209" s="289"/>
      <c r="Q209" s="289"/>
      <c r="R209" s="206"/>
      <c r="S209" s="206"/>
      <c r="T209" s="288"/>
      <c r="U209" s="206"/>
      <c r="V209" s="206"/>
      <c r="W209" s="288"/>
      <c r="X209" s="209"/>
      <c r="Y209" s="209"/>
      <c r="Z209" s="209"/>
    </row>
    <row r="210" spans="1:26" ht="24" customHeight="1" x14ac:dyDescent="0.2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88"/>
      <c r="N210" s="288"/>
      <c r="O210" s="289"/>
      <c r="P210" s="289"/>
      <c r="Q210" s="289"/>
      <c r="R210" s="206"/>
      <c r="S210" s="206"/>
      <c r="T210" s="288"/>
      <c r="U210" s="206"/>
      <c r="V210" s="206"/>
      <c r="W210" s="288"/>
      <c r="X210" s="209"/>
      <c r="Y210" s="209"/>
      <c r="Z210" s="209"/>
    </row>
    <row r="211" spans="1:26" ht="24" customHeight="1" x14ac:dyDescent="0.2">
      <c r="A211" s="206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88"/>
      <c r="N211" s="288"/>
      <c r="O211" s="289"/>
      <c r="P211" s="289"/>
      <c r="Q211" s="289"/>
      <c r="R211" s="206"/>
      <c r="S211" s="206"/>
      <c r="T211" s="288"/>
      <c r="U211" s="206"/>
      <c r="V211" s="206"/>
      <c r="W211" s="288"/>
      <c r="X211" s="209"/>
      <c r="Y211" s="209"/>
      <c r="Z211" s="209"/>
    </row>
    <row r="212" spans="1:26" ht="24" customHeight="1" x14ac:dyDescent="0.2">
      <c r="A212" s="206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88"/>
      <c r="N212" s="288"/>
      <c r="O212" s="289"/>
      <c r="P212" s="289"/>
      <c r="Q212" s="289"/>
      <c r="R212" s="206"/>
      <c r="S212" s="206"/>
      <c r="T212" s="288"/>
      <c r="U212" s="206"/>
      <c r="V212" s="206"/>
      <c r="W212" s="288"/>
      <c r="X212" s="209"/>
      <c r="Y212" s="209"/>
      <c r="Z212" s="209"/>
    </row>
    <row r="213" spans="1:26" ht="24" customHeight="1" x14ac:dyDescent="0.2">
      <c r="A213" s="206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88"/>
      <c r="N213" s="288"/>
      <c r="O213" s="289"/>
      <c r="P213" s="289"/>
      <c r="Q213" s="289"/>
      <c r="R213" s="206"/>
      <c r="S213" s="206"/>
      <c r="T213" s="288"/>
      <c r="U213" s="206"/>
      <c r="V213" s="206"/>
      <c r="W213" s="288"/>
      <c r="X213" s="209"/>
      <c r="Y213" s="209"/>
      <c r="Z213" s="209"/>
    </row>
    <row r="214" spans="1:26" ht="24" customHeight="1" x14ac:dyDescent="0.2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88"/>
      <c r="N214" s="288"/>
      <c r="O214" s="289"/>
      <c r="P214" s="289"/>
      <c r="Q214" s="289"/>
      <c r="R214" s="206"/>
      <c r="S214" s="206"/>
      <c r="T214" s="288"/>
      <c r="U214" s="206"/>
      <c r="V214" s="206"/>
      <c r="W214" s="288"/>
      <c r="X214" s="209"/>
      <c r="Y214" s="209"/>
      <c r="Z214" s="209"/>
    </row>
    <row r="215" spans="1:26" ht="24" customHeight="1" x14ac:dyDescent="0.2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88"/>
      <c r="N215" s="288"/>
      <c r="O215" s="289"/>
      <c r="P215" s="289"/>
      <c r="Q215" s="289"/>
      <c r="R215" s="206"/>
      <c r="S215" s="206"/>
      <c r="T215" s="288"/>
      <c r="U215" s="206"/>
      <c r="V215" s="206"/>
      <c r="W215" s="288"/>
      <c r="X215" s="209"/>
      <c r="Y215" s="209"/>
      <c r="Z215" s="209"/>
    </row>
    <row r="216" spans="1:26" ht="24" customHeight="1" x14ac:dyDescent="0.2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88"/>
      <c r="N216" s="288"/>
      <c r="O216" s="289"/>
      <c r="P216" s="289"/>
      <c r="Q216" s="289"/>
      <c r="R216" s="206"/>
      <c r="S216" s="206"/>
      <c r="T216" s="288"/>
      <c r="U216" s="206"/>
      <c r="V216" s="206"/>
      <c r="W216" s="288"/>
      <c r="X216" s="209"/>
      <c r="Y216" s="209"/>
      <c r="Z216" s="209"/>
    </row>
    <row r="217" spans="1:26" ht="24" customHeight="1" x14ac:dyDescent="0.2">
      <c r="A217" s="206"/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88"/>
      <c r="N217" s="288"/>
      <c r="O217" s="289"/>
      <c r="P217" s="289"/>
      <c r="Q217" s="289"/>
      <c r="R217" s="206"/>
      <c r="S217" s="206"/>
      <c r="T217" s="288"/>
      <c r="U217" s="206"/>
      <c r="V217" s="206"/>
      <c r="W217" s="288"/>
      <c r="X217" s="209"/>
      <c r="Y217" s="209"/>
      <c r="Z217" s="209"/>
    </row>
    <row r="218" spans="1:26" ht="24" customHeight="1" x14ac:dyDescent="0.2">
      <c r="A218" s="206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88"/>
      <c r="N218" s="288"/>
      <c r="O218" s="289"/>
      <c r="P218" s="289"/>
      <c r="Q218" s="289"/>
      <c r="R218" s="206"/>
      <c r="S218" s="206"/>
      <c r="T218" s="288"/>
      <c r="U218" s="206"/>
      <c r="V218" s="206"/>
      <c r="W218" s="288"/>
      <c r="X218" s="209"/>
      <c r="Y218" s="209"/>
      <c r="Z218" s="209"/>
    </row>
    <row r="219" spans="1:26" ht="24" customHeight="1" x14ac:dyDescent="0.2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88"/>
      <c r="N219" s="288"/>
      <c r="O219" s="289"/>
      <c r="P219" s="289"/>
      <c r="Q219" s="289"/>
      <c r="R219" s="206"/>
      <c r="S219" s="206"/>
      <c r="T219" s="288"/>
      <c r="U219" s="206"/>
      <c r="V219" s="206"/>
      <c r="W219" s="288"/>
      <c r="X219" s="209"/>
      <c r="Y219" s="209"/>
      <c r="Z219" s="209"/>
    </row>
    <row r="220" spans="1:26" ht="24" customHeight="1" x14ac:dyDescent="0.2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88"/>
      <c r="N220" s="288"/>
      <c r="O220" s="289"/>
      <c r="P220" s="289"/>
      <c r="Q220" s="289"/>
      <c r="R220" s="206"/>
      <c r="S220" s="206"/>
      <c r="T220" s="288"/>
      <c r="U220" s="206"/>
      <c r="V220" s="206"/>
      <c r="W220" s="288"/>
      <c r="X220" s="209"/>
      <c r="Y220" s="209"/>
      <c r="Z220" s="209"/>
    </row>
    <row r="221" spans="1:26" ht="24" customHeight="1" x14ac:dyDescent="0.2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88"/>
      <c r="N221" s="288"/>
      <c r="O221" s="289"/>
      <c r="P221" s="289"/>
      <c r="Q221" s="289"/>
      <c r="R221" s="206"/>
      <c r="S221" s="206"/>
      <c r="T221" s="288"/>
      <c r="U221" s="206"/>
      <c r="V221" s="206"/>
      <c r="W221" s="288"/>
      <c r="X221" s="209"/>
      <c r="Y221" s="209"/>
      <c r="Z221" s="209"/>
    </row>
    <row r="222" spans="1:26" ht="24" customHeight="1" x14ac:dyDescent="0.2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88"/>
      <c r="N222" s="288"/>
      <c r="O222" s="289"/>
      <c r="P222" s="289"/>
      <c r="Q222" s="289"/>
      <c r="R222" s="206"/>
      <c r="S222" s="206"/>
      <c r="T222" s="288"/>
      <c r="U222" s="206"/>
      <c r="V222" s="206"/>
      <c r="W222" s="288"/>
      <c r="X222" s="209"/>
      <c r="Y222" s="209"/>
      <c r="Z222" s="209"/>
    </row>
    <row r="223" spans="1:26" ht="24" customHeight="1" x14ac:dyDescent="0.2">
      <c r="A223" s="206"/>
      <c r="B223" s="206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88"/>
      <c r="N223" s="288"/>
      <c r="O223" s="289"/>
      <c r="P223" s="289"/>
      <c r="Q223" s="289"/>
      <c r="R223" s="206"/>
      <c r="S223" s="206"/>
      <c r="T223" s="288"/>
      <c r="U223" s="206"/>
      <c r="V223" s="206"/>
      <c r="W223" s="288"/>
      <c r="X223" s="209"/>
      <c r="Y223" s="209"/>
      <c r="Z223" s="209"/>
    </row>
    <row r="224" spans="1:26" ht="24" customHeight="1" x14ac:dyDescent="0.2">
      <c r="A224" s="206"/>
      <c r="B224" s="206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88"/>
      <c r="N224" s="288"/>
      <c r="O224" s="289"/>
      <c r="P224" s="289"/>
      <c r="Q224" s="289"/>
      <c r="R224" s="206"/>
      <c r="S224" s="206"/>
      <c r="T224" s="288"/>
      <c r="U224" s="206"/>
      <c r="V224" s="206"/>
      <c r="W224" s="288"/>
      <c r="X224" s="209"/>
      <c r="Y224" s="209"/>
      <c r="Z224" s="209"/>
    </row>
    <row r="225" spans="1:26" ht="24" customHeight="1" x14ac:dyDescent="0.2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88"/>
      <c r="N225" s="288"/>
      <c r="O225" s="289"/>
      <c r="P225" s="289"/>
      <c r="Q225" s="289"/>
      <c r="R225" s="206"/>
      <c r="S225" s="206"/>
      <c r="T225" s="288"/>
      <c r="U225" s="206"/>
      <c r="V225" s="206"/>
      <c r="W225" s="288"/>
      <c r="X225" s="209"/>
      <c r="Y225" s="209"/>
      <c r="Z225" s="209"/>
    </row>
    <row r="226" spans="1:26" ht="24" customHeight="1" x14ac:dyDescent="0.2">
      <c r="A226" s="206"/>
      <c r="B226" s="206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88"/>
      <c r="N226" s="288"/>
      <c r="O226" s="289"/>
      <c r="P226" s="289"/>
      <c r="Q226" s="289"/>
      <c r="R226" s="206"/>
      <c r="S226" s="206"/>
      <c r="T226" s="288"/>
      <c r="U226" s="206"/>
      <c r="V226" s="206"/>
      <c r="W226" s="288"/>
      <c r="X226" s="209"/>
      <c r="Y226" s="209"/>
      <c r="Z226" s="209"/>
    </row>
    <row r="227" spans="1:26" ht="24" customHeight="1" x14ac:dyDescent="0.2">
      <c r="A227" s="206"/>
      <c r="B227" s="206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88"/>
      <c r="N227" s="288"/>
      <c r="O227" s="289"/>
      <c r="P227" s="289"/>
      <c r="Q227" s="289"/>
      <c r="R227" s="206"/>
      <c r="S227" s="206"/>
      <c r="T227" s="288"/>
      <c r="U227" s="206"/>
      <c r="V227" s="206"/>
      <c r="W227" s="288"/>
      <c r="X227" s="209"/>
      <c r="Y227" s="209"/>
      <c r="Z227" s="209"/>
    </row>
    <row r="228" spans="1:26" ht="24" customHeight="1" x14ac:dyDescent="0.2">
      <c r="A228" s="206"/>
      <c r="B228" s="206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88"/>
      <c r="N228" s="288"/>
      <c r="O228" s="289"/>
      <c r="P228" s="289"/>
      <c r="Q228" s="289"/>
      <c r="R228" s="206"/>
      <c r="S228" s="206"/>
      <c r="T228" s="288"/>
      <c r="U228" s="206"/>
      <c r="V228" s="206"/>
      <c r="W228" s="288"/>
      <c r="X228" s="209"/>
      <c r="Y228" s="209"/>
      <c r="Z228" s="209"/>
    </row>
    <row r="229" spans="1:26" ht="24" customHeight="1" x14ac:dyDescent="0.2">
      <c r="A229" s="206"/>
      <c r="B229" s="206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88"/>
      <c r="N229" s="288"/>
      <c r="O229" s="289"/>
      <c r="P229" s="289"/>
      <c r="Q229" s="289"/>
      <c r="R229" s="206"/>
      <c r="S229" s="206"/>
      <c r="T229" s="288"/>
      <c r="U229" s="206"/>
      <c r="V229" s="206"/>
      <c r="W229" s="288"/>
      <c r="X229" s="209"/>
      <c r="Y229" s="209"/>
      <c r="Z229" s="209"/>
    </row>
    <row r="230" spans="1:26" ht="24" customHeight="1" x14ac:dyDescent="0.2">
      <c r="A230" s="206"/>
      <c r="B230" s="206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88"/>
      <c r="N230" s="288"/>
      <c r="O230" s="289"/>
      <c r="P230" s="289"/>
      <c r="Q230" s="289"/>
      <c r="R230" s="206"/>
      <c r="S230" s="206"/>
      <c r="T230" s="288"/>
      <c r="U230" s="206"/>
      <c r="V230" s="206"/>
      <c r="W230" s="288"/>
      <c r="X230" s="209"/>
      <c r="Y230" s="209"/>
      <c r="Z230" s="209"/>
    </row>
    <row r="231" spans="1:26" ht="24" customHeight="1" x14ac:dyDescent="0.2">
      <c r="A231" s="206"/>
      <c r="B231" s="206"/>
      <c r="C231" s="206"/>
      <c r="D231" s="206"/>
      <c r="E231" s="206"/>
      <c r="F231" s="206"/>
      <c r="G231" s="206"/>
      <c r="H231" s="206"/>
      <c r="I231" s="206"/>
      <c r="J231" s="206"/>
      <c r="K231" s="206"/>
      <c r="L231" s="206"/>
      <c r="M231" s="288"/>
      <c r="N231" s="288"/>
      <c r="O231" s="289"/>
      <c r="P231" s="289"/>
      <c r="Q231" s="289"/>
      <c r="R231" s="206"/>
      <c r="S231" s="206"/>
      <c r="T231" s="288"/>
      <c r="U231" s="206"/>
      <c r="V231" s="206"/>
      <c r="W231" s="288"/>
      <c r="X231" s="209"/>
      <c r="Y231" s="209"/>
      <c r="Z231" s="209"/>
    </row>
    <row r="232" spans="1:26" ht="24" customHeight="1" x14ac:dyDescent="0.2">
      <c r="A232" s="206"/>
      <c r="B232" s="206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88"/>
      <c r="N232" s="288"/>
      <c r="O232" s="289"/>
      <c r="P232" s="289"/>
      <c r="Q232" s="289"/>
      <c r="R232" s="206"/>
      <c r="S232" s="206"/>
      <c r="T232" s="288"/>
      <c r="U232" s="206"/>
      <c r="V232" s="206"/>
      <c r="W232" s="288"/>
      <c r="X232" s="209"/>
      <c r="Y232" s="209"/>
      <c r="Z232" s="209"/>
    </row>
    <row r="233" spans="1:26" ht="24" customHeight="1" x14ac:dyDescent="0.2">
      <c r="A233" s="206"/>
      <c r="B233" s="206"/>
      <c r="C233" s="206"/>
      <c r="D233" s="206"/>
      <c r="E233" s="206"/>
      <c r="F233" s="206"/>
      <c r="G233" s="206"/>
      <c r="H233" s="206"/>
      <c r="I233" s="206"/>
      <c r="J233" s="206"/>
      <c r="K233" s="206"/>
      <c r="L233" s="206"/>
      <c r="M233" s="288"/>
      <c r="N233" s="288"/>
      <c r="O233" s="289"/>
      <c r="P233" s="289"/>
      <c r="Q233" s="289"/>
      <c r="R233" s="206"/>
      <c r="S233" s="206"/>
      <c r="T233" s="288"/>
      <c r="U233" s="206"/>
      <c r="V233" s="206"/>
      <c r="W233" s="288"/>
      <c r="X233" s="209"/>
      <c r="Y233" s="209"/>
      <c r="Z233" s="209"/>
    </row>
    <row r="234" spans="1:26" ht="24" customHeight="1" x14ac:dyDescent="0.2">
      <c r="A234" s="206"/>
      <c r="B234" s="206"/>
      <c r="C234" s="206"/>
      <c r="D234" s="206"/>
      <c r="E234" s="206"/>
      <c r="F234" s="206"/>
      <c r="G234" s="206"/>
      <c r="H234" s="206"/>
      <c r="I234" s="206"/>
      <c r="J234" s="206"/>
      <c r="K234" s="206"/>
      <c r="L234" s="206"/>
      <c r="M234" s="288"/>
      <c r="N234" s="288"/>
      <c r="O234" s="289"/>
      <c r="P234" s="289"/>
      <c r="Q234" s="289"/>
      <c r="R234" s="206"/>
      <c r="S234" s="206"/>
      <c r="T234" s="288"/>
      <c r="U234" s="206"/>
      <c r="V234" s="206"/>
      <c r="W234" s="288"/>
      <c r="X234" s="209"/>
      <c r="Y234" s="209"/>
      <c r="Z234" s="209"/>
    </row>
    <row r="235" spans="1:26" ht="24" customHeight="1" x14ac:dyDescent="0.2">
      <c r="A235" s="206"/>
      <c r="B235" s="206"/>
      <c r="C235" s="206"/>
      <c r="D235" s="206"/>
      <c r="E235" s="206"/>
      <c r="F235" s="206"/>
      <c r="G235" s="206"/>
      <c r="H235" s="206"/>
      <c r="I235" s="206"/>
      <c r="J235" s="206"/>
      <c r="K235" s="206"/>
      <c r="L235" s="206"/>
      <c r="M235" s="288"/>
      <c r="N235" s="288"/>
      <c r="O235" s="289"/>
      <c r="P235" s="289"/>
      <c r="Q235" s="289"/>
      <c r="R235" s="206"/>
      <c r="S235" s="206"/>
      <c r="T235" s="288"/>
      <c r="U235" s="206"/>
      <c r="V235" s="206"/>
      <c r="W235" s="288"/>
      <c r="X235" s="209"/>
      <c r="Y235" s="209"/>
      <c r="Z235" s="209"/>
    </row>
    <row r="236" spans="1:26" ht="24" customHeight="1" x14ac:dyDescent="0.2">
      <c r="A236" s="206"/>
      <c r="B236" s="206"/>
      <c r="C236" s="206"/>
      <c r="D236" s="206"/>
      <c r="E236" s="206"/>
      <c r="F236" s="206"/>
      <c r="G236" s="206"/>
      <c r="H236" s="206"/>
      <c r="I236" s="206"/>
      <c r="J236" s="206"/>
      <c r="K236" s="206"/>
      <c r="L236" s="206"/>
      <c r="M236" s="288"/>
      <c r="N236" s="288"/>
      <c r="O236" s="289"/>
      <c r="P236" s="289"/>
      <c r="Q236" s="289"/>
      <c r="R236" s="206"/>
      <c r="S236" s="206"/>
      <c r="T236" s="288"/>
      <c r="U236" s="206"/>
      <c r="V236" s="206"/>
      <c r="W236" s="288"/>
      <c r="X236" s="209"/>
      <c r="Y236" s="209"/>
      <c r="Z236" s="209"/>
    </row>
    <row r="237" spans="1:26" ht="24" customHeight="1" x14ac:dyDescent="0.2">
      <c r="A237" s="206"/>
      <c r="B237" s="206"/>
      <c r="C237" s="206"/>
      <c r="D237" s="206"/>
      <c r="E237" s="206"/>
      <c r="F237" s="206"/>
      <c r="G237" s="206"/>
      <c r="H237" s="206"/>
      <c r="I237" s="206"/>
      <c r="J237" s="206"/>
      <c r="K237" s="206"/>
      <c r="L237" s="206"/>
      <c r="M237" s="288"/>
      <c r="N237" s="288"/>
      <c r="O237" s="289"/>
      <c r="P237" s="289"/>
      <c r="Q237" s="289"/>
      <c r="R237" s="206"/>
      <c r="S237" s="206"/>
      <c r="T237" s="288"/>
      <c r="U237" s="206"/>
      <c r="V237" s="206"/>
      <c r="W237" s="288"/>
      <c r="X237" s="209"/>
      <c r="Y237" s="209"/>
      <c r="Z237" s="209"/>
    </row>
    <row r="238" spans="1:26" ht="24" customHeight="1" x14ac:dyDescent="0.2">
      <c r="A238" s="206"/>
      <c r="B238" s="206"/>
      <c r="C238" s="206"/>
      <c r="D238" s="206"/>
      <c r="E238" s="206"/>
      <c r="F238" s="206"/>
      <c r="G238" s="206"/>
      <c r="H238" s="206"/>
      <c r="I238" s="206"/>
      <c r="J238" s="206"/>
      <c r="K238" s="206"/>
      <c r="L238" s="206"/>
      <c r="M238" s="288"/>
      <c r="N238" s="288"/>
      <c r="O238" s="289"/>
      <c r="P238" s="289"/>
      <c r="Q238" s="289"/>
      <c r="R238" s="206"/>
      <c r="S238" s="206"/>
      <c r="T238" s="288"/>
      <c r="U238" s="206"/>
      <c r="V238" s="206"/>
      <c r="W238" s="288"/>
      <c r="X238" s="209"/>
      <c r="Y238" s="209"/>
      <c r="Z238" s="209"/>
    </row>
    <row r="239" spans="1:26" ht="24" customHeight="1" x14ac:dyDescent="0.2">
      <c r="A239" s="206"/>
      <c r="B239" s="206"/>
      <c r="C239" s="206"/>
      <c r="D239" s="206"/>
      <c r="E239" s="206"/>
      <c r="F239" s="206"/>
      <c r="G239" s="206"/>
      <c r="H239" s="206"/>
      <c r="I239" s="206"/>
      <c r="J239" s="206"/>
      <c r="K239" s="206"/>
      <c r="L239" s="206"/>
      <c r="M239" s="288"/>
      <c r="N239" s="288"/>
      <c r="O239" s="289"/>
      <c r="P239" s="289"/>
      <c r="Q239" s="289"/>
      <c r="R239" s="206"/>
      <c r="S239" s="206"/>
      <c r="T239" s="288"/>
      <c r="U239" s="206"/>
      <c r="V239" s="206"/>
      <c r="W239" s="288"/>
      <c r="X239" s="209"/>
      <c r="Y239" s="209"/>
      <c r="Z239" s="209"/>
    </row>
    <row r="240" spans="1:26" ht="24" customHeight="1" x14ac:dyDescent="0.2">
      <c r="A240" s="206"/>
      <c r="B240" s="206"/>
      <c r="C240" s="206"/>
      <c r="D240" s="206"/>
      <c r="E240" s="206"/>
      <c r="F240" s="206"/>
      <c r="G240" s="206"/>
      <c r="H240" s="206"/>
      <c r="I240" s="206"/>
      <c r="J240" s="206"/>
      <c r="K240" s="206"/>
      <c r="L240" s="206"/>
      <c r="M240" s="288"/>
      <c r="N240" s="288"/>
      <c r="O240" s="289"/>
      <c r="P240" s="289"/>
      <c r="Q240" s="289"/>
      <c r="R240" s="206"/>
      <c r="S240" s="206"/>
      <c r="T240" s="288"/>
      <c r="U240" s="206"/>
      <c r="V240" s="206"/>
      <c r="W240" s="288"/>
      <c r="X240" s="209"/>
      <c r="Y240" s="209"/>
      <c r="Z240" s="209"/>
    </row>
    <row r="241" spans="1:26" ht="24" customHeight="1" x14ac:dyDescent="0.2">
      <c r="A241" s="206"/>
      <c r="B241" s="206"/>
      <c r="C241" s="206"/>
      <c r="D241" s="206"/>
      <c r="E241" s="206"/>
      <c r="F241" s="206"/>
      <c r="G241" s="206"/>
      <c r="H241" s="206"/>
      <c r="I241" s="206"/>
      <c r="J241" s="206"/>
      <c r="K241" s="206"/>
      <c r="L241" s="206"/>
      <c r="M241" s="288"/>
      <c r="N241" s="288"/>
      <c r="O241" s="289"/>
      <c r="P241" s="289"/>
      <c r="Q241" s="289"/>
      <c r="R241" s="206"/>
      <c r="S241" s="206"/>
      <c r="T241" s="288"/>
      <c r="U241" s="206"/>
      <c r="V241" s="206"/>
      <c r="W241" s="288"/>
      <c r="X241" s="209"/>
      <c r="Y241" s="209"/>
      <c r="Z241" s="209"/>
    </row>
    <row r="242" spans="1:26" ht="24" customHeight="1" x14ac:dyDescent="0.2">
      <c r="A242" s="206"/>
      <c r="B242" s="206"/>
      <c r="C242" s="206"/>
      <c r="D242" s="206"/>
      <c r="E242" s="206"/>
      <c r="F242" s="206"/>
      <c r="G242" s="206"/>
      <c r="H242" s="206"/>
      <c r="I242" s="206"/>
      <c r="J242" s="206"/>
      <c r="K242" s="206"/>
      <c r="L242" s="206"/>
      <c r="M242" s="288"/>
      <c r="N242" s="288"/>
      <c r="O242" s="289"/>
      <c r="P242" s="289"/>
      <c r="Q242" s="289"/>
      <c r="R242" s="206"/>
      <c r="S242" s="206"/>
      <c r="T242" s="288"/>
      <c r="U242" s="206"/>
      <c r="V242" s="206"/>
      <c r="W242" s="288"/>
      <c r="X242" s="209"/>
      <c r="Y242" s="209"/>
      <c r="Z242" s="209"/>
    </row>
    <row r="243" spans="1:26" ht="24" customHeight="1" x14ac:dyDescent="0.2">
      <c r="A243" s="206"/>
      <c r="B243" s="206"/>
      <c r="C243" s="206"/>
      <c r="D243" s="206"/>
      <c r="E243" s="206"/>
      <c r="F243" s="206"/>
      <c r="G243" s="206"/>
      <c r="H243" s="206"/>
      <c r="I243" s="206"/>
      <c r="J243" s="206"/>
      <c r="K243" s="206"/>
      <c r="L243" s="206"/>
      <c r="M243" s="288"/>
      <c r="N243" s="288"/>
      <c r="O243" s="289"/>
      <c r="P243" s="289"/>
      <c r="Q243" s="289"/>
      <c r="R243" s="206"/>
      <c r="S243" s="206"/>
      <c r="T243" s="288"/>
      <c r="U243" s="206"/>
      <c r="V243" s="206"/>
      <c r="W243" s="288"/>
      <c r="X243" s="209"/>
      <c r="Y243" s="209"/>
      <c r="Z243" s="209"/>
    </row>
    <row r="244" spans="1:26" ht="24" customHeight="1" x14ac:dyDescent="0.2">
      <c r="A244" s="206"/>
      <c r="B244" s="206"/>
      <c r="C244" s="206"/>
      <c r="D244" s="206"/>
      <c r="E244" s="206"/>
      <c r="F244" s="206"/>
      <c r="G244" s="206"/>
      <c r="H244" s="206"/>
      <c r="I244" s="206"/>
      <c r="J244" s="206"/>
      <c r="K244" s="206"/>
      <c r="L244" s="206"/>
      <c r="M244" s="288"/>
      <c r="N244" s="288"/>
      <c r="O244" s="289"/>
      <c r="P244" s="289"/>
      <c r="Q244" s="289"/>
      <c r="R244" s="206"/>
      <c r="S244" s="206"/>
      <c r="T244" s="288"/>
      <c r="U244" s="206"/>
      <c r="V244" s="206"/>
      <c r="W244" s="288"/>
      <c r="X244" s="209"/>
      <c r="Y244" s="209"/>
      <c r="Z244" s="209"/>
    </row>
    <row r="245" spans="1:26" ht="24" customHeight="1" x14ac:dyDescent="0.2">
      <c r="A245" s="206"/>
      <c r="B245" s="206"/>
      <c r="C245" s="206"/>
      <c r="D245" s="206"/>
      <c r="E245" s="206"/>
      <c r="F245" s="206"/>
      <c r="G245" s="206"/>
      <c r="H245" s="206"/>
      <c r="I245" s="206"/>
      <c r="J245" s="206"/>
      <c r="K245" s="206"/>
      <c r="L245" s="206"/>
      <c r="M245" s="288"/>
      <c r="N245" s="288"/>
      <c r="O245" s="289"/>
      <c r="P245" s="289"/>
      <c r="Q245" s="289"/>
      <c r="R245" s="206"/>
      <c r="S245" s="206"/>
      <c r="T245" s="288"/>
      <c r="U245" s="206"/>
      <c r="V245" s="206"/>
      <c r="W245" s="288"/>
      <c r="X245" s="209"/>
      <c r="Y245" s="209"/>
      <c r="Z245" s="209"/>
    </row>
    <row r="246" spans="1:26" ht="24" customHeight="1" x14ac:dyDescent="0.2">
      <c r="A246" s="206"/>
      <c r="B246" s="206"/>
      <c r="C246" s="206"/>
      <c r="D246" s="206"/>
      <c r="E246" s="206"/>
      <c r="F246" s="206"/>
      <c r="G246" s="206"/>
      <c r="H246" s="206"/>
      <c r="I246" s="206"/>
      <c r="J246" s="206"/>
      <c r="K246" s="206"/>
      <c r="L246" s="206"/>
      <c r="M246" s="288"/>
      <c r="N246" s="288"/>
      <c r="O246" s="289"/>
      <c r="P246" s="289"/>
      <c r="Q246" s="289"/>
      <c r="R246" s="206"/>
      <c r="S246" s="206"/>
      <c r="T246" s="288"/>
      <c r="U246" s="206"/>
      <c r="V246" s="206"/>
      <c r="W246" s="288"/>
      <c r="X246" s="209"/>
      <c r="Y246" s="209"/>
      <c r="Z246" s="209"/>
    </row>
    <row r="247" spans="1:26" ht="24" customHeight="1" x14ac:dyDescent="0.2">
      <c r="A247" s="206"/>
      <c r="B247" s="206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88"/>
      <c r="N247" s="288"/>
      <c r="O247" s="289"/>
      <c r="P247" s="289"/>
      <c r="Q247" s="289"/>
      <c r="R247" s="206"/>
      <c r="S247" s="206"/>
      <c r="T247" s="288"/>
      <c r="U247" s="206"/>
      <c r="V247" s="206"/>
      <c r="W247" s="288"/>
      <c r="X247" s="209"/>
      <c r="Y247" s="209"/>
      <c r="Z247" s="209"/>
    </row>
    <row r="248" spans="1:26" ht="24" customHeight="1" x14ac:dyDescent="0.2">
      <c r="A248" s="206"/>
      <c r="B248" s="206"/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88"/>
      <c r="N248" s="288"/>
      <c r="O248" s="289"/>
      <c r="P248" s="289"/>
      <c r="Q248" s="289"/>
      <c r="R248" s="206"/>
      <c r="S248" s="206"/>
      <c r="T248" s="288"/>
      <c r="U248" s="206"/>
      <c r="V248" s="206"/>
      <c r="W248" s="288"/>
      <c r="X248" s="209"/>
      <c r="Y248" s="209"/>
      <c r="Z248" s="209"/>
    </row>
    <row r="249" spans="1:26" ht="24" customHeight="1" x14ac:dyDescent="0.2">
      <c r="A249" s="206"/>
      <c r="B249" s="206"/>
      <c r="C249" s="206"/>
      <c r="D249" s="206"/>
      <c r="E249" s="206"/>
      <c r="F249" s="206"/>
      <c r="G249" s="206"/>
      <c r="H249" s="206"/>
      <c r="I249" s="206"/>
      <c r="J249" s="206"/>
      <c r="K249" s="206"/>
      <c r="L249" s="206"/>
      <c r="M249" s="288"/>
      <c r="N249" s="288"/>
      <c r="O249" s="289"/>
      <c r="P249" s="289"/>
      <c r="Q249" s="289"/>
      <c r="R249" s="206"/>
      <c r="S249" s="206"/>
      <c r="T249" s="288"/>
      <c r="U249" s="206"/>
      <c r="V249" s="206"/>
      <c r="W249" s="288"/>
      <c r="X249" s="209"/>
      <c r="Y249" s="209"/>
      <c r="Z249" s="209"/>
    </row>
    <row r="250" spans="1:26" ht="24" customHeight="1" x14ac:dyDescent="0.2">
      <c r="A250" s="206"/>
      <c r="B250" s="206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88"/>
      <c r="N250" s="288"/>
      <c r="O250" s="289"/>
      <c r="P250" s="289"/>
      <c r="Q250" s="289"/>
      <c r="R250" s="206"/>
      <c r="S250" s="206"/>
      <c r="T250" s="288"/>
      <c r="U250" s="206"/>
      <c r="V250" s="206"/>
      <c r="W250" s="288"/>
      <c r="X250" s="209"/>
      <c r="Y250" s="209"/>
      <c r="Z250" s="209"/>
    </row>
    <row r="251" spans="1:26" ht="24" customHeight="1" x14ac:dyDescent="0.2">
      <c r="A251" s="206"/>
      <c r="B251" s="206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88"/>
      <c r="N251" s="288"/>
      <c r="O251" s="289"/>
      <c r="P251" s="289"/>
      <c r="Q251" s="289"/>
      <c r="R251" s="206"/>
      <c r="S251" s="206"/>
      <c r="T251" s="288"/>
      <c r="U251" s="206"/>
      <c r="V251" s="206"/>
      <c r="W251" s="288"/>
      <c r="X251" s="209"/>
      <c r="Y251" s="209"/>
      <c r="Z251" s="209"/>
    </row>
    <row r="252" spans="1:26" ht="24" customHeight="1" x14ac:dyDescent="0.2">
      <c r="A252" s="206"/>
      <c r="B252" s="206"/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  <c r="M252" s="288"/>
      <c r="N252" s="288"/>
      <c r="O252" s="289"/>
      <c r="P252" s="289"/>
      <c r="Q252" s="289"/>
      <c r="R252" s="206"/>
      <c r="S252" s="206"/>
      <c r="T252" s="288"/>
      <c r="U252" s="206"/>
      <c r="V252" s="206"/>
      <c r="W252" s="288"/>
      <c r="X252" s="209"/>
      <c r="Y252" s="209"/>
      <c r="Z252" s="209"/>
    </row>
    <row r="253" spans="1:26" ht="24" customHeight="1" x14ac:dyDescent="0.2">
      <c r="A253" s="206"/>
      <c r="B253" s="206"/>
      <c r="C253" s="206"/>
      <c r="D253" s="206"/>
      <c r="E253" s="206"/>
      <c r="F253" s="206"/>
      <c r="G253" s="206"/>
      <c r="H253" s="206"/>
      <c r="I253" s="206"/>
      <c r="J253" s="206"/>
      <c r="K253" s="206"/>
      <c r="L253" s="206"/>
      <c r="M253" s="288"/>
      <c r="N253" s="288"/>
      <c r="O253" s="289"/>
      <c r="P253" s="289"/>
      <c r="Q253" s="289"/>
      <c r="R253" s="206"/>
      <c r="S253" s="206"/>
      <c r="T253" s="288"/>
      <c r="U253" s="206"/>
      <c r="V253" s="206"/>
      <c r="W253" s="288"/>
      <c r="X253" s="209"/>
      <c r="Y253" s="209"/>
      <c r="Z253" s="209"/>
    </row>
    <row r="254" spans="1:26" ht="24" customHeight="1" x14ac:dyDescent="0.2">
      <c r="A254" s="206"/>
      <c r="B254" s="206"/>
      <c r="C254" s="206"/>
      <c r="D254" s="206"/>
      <c r="E254" s="206"/>
      <c r="F254" s="206"/>
      <c r="G254" s="206"/>
      <c r="H254" s="206"/>
      <c r="I254" s="206"/>
      <c r="J254" s="206"/>
      <c r="K254" s="206"/>
      <c r="L254" s="206"/>
      <c r="M254" s="288"/>
      <c r="N254" s="288"/>
      <c r="O254" s="289"/>
      <c r="P254" s="289"/>
      <c r="Q254" s="289"/>
      <c r="R254" s="206"/>
      <c r="S254" s="206"/>
      <c r="T254" s="288"/>
      <c r="U254" s="206"/>
      <c r="V254" s="206"/>
      <c r="W254" s="288"/>
      <c r="X254" s="209"/>
      <c r="Y254" s="209"/>
      <c r="Z254" s="209"/>
    </row>
    <row r="255" spans="1:26" ht="24" customHeight="1" x14ac:dyDescent="0.2">
      <c r="A255" s="206"/>
      <c r="B255" s="206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88"/>
      <c r="N255" s="288"/>
      <c r="O255" s="289"/>
      <c r="P255" s="289"/>
      <c r="Q255" s="289"/>
      <c r="R255" s="206"/>
      <c r="S255" s="206"/>
      <c r="T255" s="288"/>
      <c r="U255" s="206"/>
      <c r="V255" s="206"/>
      <c r="W255" s="288"/>
      <c r="X255" s="209"/>
      <c r="Y255" s="209"/>
      <c r="Z255" s="209"/>
    </row>
    <row r="256" spans="1:26" ht="24" customHeight="1" x14ac:dyDescent="0.2">
      <c r="A256" s="206"/>
      <c r="B256" s="206"/>
      <c r="C256" s="206"/>
      <c r="D256" s="206"/>
      <c r="E256" s="206"/>
      <c r="F256" s="206"/>
      <c r="G256" s="206"/>
      <c r="H256" s="206"/>
      <c r="I256" s="206"/>
      <c r="J256" s="206"/>
      <c r="K256" s="206"/>
      <c r="L256" s="206"/>
      <c r="M256" s="288"/>
      <c r="N256" s="288"/>
      <c r="O256" s="289"/>
      <c r="P256" s="289"/>
      <c r="Q256" s="289"/>
      <c r="R256" s="206"/>
      <c r="S256" s="206"/>
      <c r="T256" s="288"/>
      <c r="U256" s="206"/>
      <c r="V256" s="206"/>
      <c r="W256" s="288"/>
      <c r="X256" s="209"/>
      <c r="Y256" s="209"/>
      <c r="Z256" s="209"/>
    </row>
    <row r="257" spans="1:26" ht="24" customHeight="1" x14ac:dyDescent="0.2">
      <c r="A257" s="206"/>
      <c r="B257" s="206"/>
      <c r="C257" s="206"/>
      <c r="D257" s="206"/>
      <c r="E257" s="206"/>
      <c r="F257" s="206"/>
      <c r="G257" s="206"/>
      <c r="H257" s="206"/>
      <c r="I257" s="206"/>
      <c r="J257" s="206"/>
      <c r="K257" s="206"/>
      <c r="L257" s="206"/>
      <c r="M257" s="288"/>
      <c r="N257" s="288"/>
      <c r="O257" s="289"/>
      <c r="P257" s="289"/>
      <c r="Q257" s="289"/>
      <c r="R257" s="206"/>
      <c r="S257" s="206"/>
      <c r="T257" s="288"/>
      <c r="U257" s="206"/>
      <c r="V257" s="206"/>
      <c r="W257" s="288"/>
      <c r="X257" s="209"/>
      <c r="Y257" s="209"/>
      <c r="Z257" s="209"/>
    </row>
    <row r="258" spans="1:26" ht="24" customHeight="1" x14ac:dyDescent="0.2">
      <c r="A258" s="206"/>
      <c r="B258" s="206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88"/>
      <c r="N258" s="288"/>
      <c r="O258" s="289"/>
      <c r="P258" s="289"/>
      <c r="Q258" s="289"/>
      <c r="R258" s="206"/>
      <c r="S258" s="206"/>
      <c r="T258" s="288"/>
      <c r="U258" s="206"/>
      <c r="V258" s="206"/>
      <c r="W258" s="288"/>
      <c r="X258" s="209"/>
      <c r="Y258" s="209"/>
      <c r="Z258" s="209"/>
    </row>
    <row r="259" spans="1:26" ht="24" customHeight="1" x14ac:dyDescent="0.2">
      <c r="A259" s="206"/>
      <c r="B259" s="206"/>
      <c r="C259" s="206"/>
      <c r="D259" s="206"/>
      <c r="E259" s="206"/>
      <c r="F259" s="206"/>
      <c r="G259" s="206"/>
      <c r="H259" s="206"/>
      <c r="I259" s="206"/>
      <c r="J259" s="206"/>
      <c r="K259" s="206"/>
      <c r="L259" s="206"/>
      <c r="M259" s="288"/>
      <c r="N259" s="288"/>
      <c r="O259" s="289"/>
      <c r="P259" s="289"/>
      <c r="Q259" s="289"/>
      <c r="R259" s="206"/>
      <c r="S259" s="206"/>
      <c r="T259" s="288"/>
      <c r="U259" s="206"/>
      <c r="V259" s="206"/>
      <c r="W259" s="288"/>
      <c r="X259" s="209"/>
      <c r="Y259" s="209"/>
      <c r="Z259" s="209"/>
    </row>
    <row r="260" spans="1:26" ht="24" customHeight="1" x14ac:dyDescent="0.2">
      <c r="A260" s="206"/>
      <c r="B260" s="206"/>
      <c r="C260" s="206"/>
      <c r="D260" s="206"/>
      <c r="E260" s="206"/>
      <c r="F260" s="206"/>
      <c r="G260" s="206"/>
      <c r="H260" s="206"/>
      <c r="I260" s="206"/>
      <c r="J260" s="206"/>
      <c r="K260" s="206"/>
      <c r="L260" s="206"/>
      <c r="M260" s="288"/>
      <c r="N260" s="288"/>
      <c r="O260" s="289"/>
      <c r="P260" s="289"/>
      <c r="Q260" s="289"/>
      <c r="R260" s="206"/>
      <c r="S260" s="206"/>
      <c r="T260" s="288"/>
      <c r="U260" s="206"/>
      <c r="V260" s="206"/>
      <c r="W260" s="288"/>
      <c r="X260" s="209"/>
      <c r="Y260" s="209"/>
      <c r="Z260" s="209"/>
    </row>
    <row r="261" spans="1:26" ht="24" customHeight="1" x14ac:dyDescent="0.2">
      <c r="A261" s="206"/>
      <c r="B261" s="206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88"/>
      <c r="N261" s="288"/>
      <c r="O261" s="289"/>
      <c r="P261" s="289"/>
      <c r="Q261" s="289"/>
      <c r="R261" s="206"/>
      <c r="S261" s="206"/>
      <c r="T261" s="288"/>
      <c r="U261" s="206"/>
      <c r="V261" s="206"/>
      <c r="W261" s="288"/>
      <c r="X261" s="209"/>
      <c r="Y261" s="209"/>
      <c r="Z261" s="209"/>
    </row>
    <row r="262" spans="1:26" ht="24" customHeight="1" x14ac:dyDescent="0.2">
      <c r="A262" s="206"/>
      <c r="B262" s="206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88"/>
      <c r="N262" s="288"/>
      <c r="O262" s="289"/>
      <c r="P262" s="289"/>
      <c r="Q262" s="289"/>
      <c r="R262" s="206"/>
      <c r="S262" s="206"/>
      <c r="T262" s="288"/>
      <c r="U262" s="206"/>
      <c r="V262" s="206"/>
      <c r="W262" s="288"/>
      <c r="X262" s="209"/>
      <c r="Y262" s="209"/>
      <c r="Z262" s="209"/>
    </row>
    <row r="263" spans="1:26" ht="24" customHeight="1" x14ac:dyDescent="0.2">
      <c r="A263" s="206"/>
      <c r="B263" s="206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88"/>
      <c r="N263" s="288"/>
      <c r="O263" s="289"/>
      <c r="P263" s="289"/>
      <c r="Q263" s="289"/>
      <c r="R263" s="206"/>
      <c r="S263" s="206"/>
      <c r="T263" s="288"/>
      <c r="U263" s="206"/>
      <c r="V263" s="206"/>
      <c r="W263" s="288"/>
      <c r="X263" s="209"/>
      <c r="Y263" s="209"/>
      <c r="Z263" s="209"/>
    </row>
    <row r="264" spans="1:26" ht="24" customHeight="1" x14ac:dyDescent="0.2">
      <c r="A264" s="206"/>
      <c r="B264" s="206"/>
      <c r="C264" s="206"/>
      <c r="D264" s="206"/>
      <c r="E264" s="206"/>
      <c r="F264" s="206"/>
      <c r="G264" s="206"/>
      <c r="H264" s="206"/>
      <c r="I264" s="206"/>
      <c r="J264" s="206"/>
      <c r="K264" s="206"/>
      <c r="L264" s="206"/>
      <c r="M264" s="288"/>
      <c r="N264" s="288"/>
      <c r="O264" s="289"/>
      <c r="P264" s="289"/>
      <c r="Q264" s="289"/>
      <c r="R264" s="206"/>
      <c r="S264" s="206"/>
      <c r="T264" s="288"/>
      <c r="U264" s="206"/>
      <c r="V264" s="206"/>
      <c r="W264" s="288"/>
      <c r="X264" s="209"/>
      <c r="Y264" s="209"/>
      <c r="Z264" s="209"/>
    </row>
    <row r="265" spans="1:26" ht="24" customHeight="1" x14ac:dyDescent="0.2">
      <c r="A265" s="206"/>
      <c r="B265" s="206"/>
      <c r="C265" s="206"/>
      <c r="D265" s="206"/>
      <c r="E265" s="206"/>
      <c r="F265" s="206"/>
      <c r="G265" s="206"/>
      <c r="H265" s="206"/>
      <c r="I265" s="206"/>
      <c r="J265" s="206"/>
      <c r="K265" s="206"/>
      <c r="L265" s="206"/>
      <c r="M265" s="288"/>
      <c r="N265" s="288"/>
      <c r="O265" s="289"/>
      <c r="P265" s="289"/>
      <c r="Q265" s="289"/>
      <c r="R265" s="206"/>
      <c r="S265" s="206"/>
      <c r="T265" s="288"/>
      <c r="U265" s="206"/>
      <c r="V265" s="206"/>
      <c r="W265" s="288"/>
      <c r="X265" s="209"/>
      <c r="Y265" s="209"/>
      <c r="Z265" s="209"/>
    </row>
    <row r="266" spans="1:26" ht="24" customHeight="1" x14ac:dyDescent="0.2">
      <c r="A266" s="206"/>
      <c r="B266" s="206"/>
      <c r="C266" s="206"/>
      <c r="D266" s="206"/>
      <c r="E266" s="206"/>
      <c r="F266" s="206"/>
      <c r="G266" s="206"/>
      <c r="H266" s="206"/>
      <c r="I266" s="206"/>
      <c r="J266" s="206"/>
      <c r="K266" s="206"/>
      <c r="L266" s="206"/>
      <c r="M266" s="288"/>
      <c r="N266" s="288"/>
      <c r="O266" s="289"/>
      <c r="P266" s="289"/>
      <c r="Q266" s="289"/>
      <c r="R266" s="206"/>
      <c r="S266" s="206"/>
      <c r="T266" s="288"/>
      <c r="U266" s="206"/>
      <c r="V266" s="206"/>
      <c r="W266" s="288"/>
      <c r="X266" s="209"/>
      <c r="Y266" s="209"/>
      <c r="Z266" s="209"/>
    </row>
    <row r="267" spans="1:26" ht="24" customHeight="1" x14ac:dyDescent="0.2">
      <c r="A267" s="206"/>
      <c r="B267" s="206"/>
      <c r="C267" s="206"/>
      <c r="D267" s="206"/>
      <c r="E267" s="206"/>
      <c r="F267" s="206"/>
      <c r="G267" s="206"/>
      <c r="H267" s="206"/>
      <c r="I267" s="206"/>
      <c r="J267" s="206"/>
      <c r="K267" s="206"/>
      <c r="L267" s="206"/>
      <c r="M267" s="288"/>
      <c r="N267" s="288"/>
      <c r="O267" s="289"/>
      <c r="P267" s="289"/>
      <c r="Q267" s="289"/>
      <c r="R267" s="206"/>
      <c r="S267" s="206"/>
      <c r="T267" s="288"/>
      <c r="U267" s="206"/>
      <c r="V267" s="206"/>
      <c r="W267" s="288"/>
      <c r="X267" s="209"/>
      <c r="Y267" s="209"/>
      <c r="Z267" s="209"/>
    </row>
    <row r="268" spans="1:26" ht="24" customHeight="1" x14ac:dyDescent="0.2">
      <c r="A268" s="206"/>
      <c r="B268" s="206"/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88"/>
      <c r="N268" s="288"/>
      <c r="O268" s="289"/>
      <c r="P268" s="289"/>
      <c r="Q268" s="289"/>
      <c r="R268" s="206"/>
      <c r="S268" s="206"/>
      <c r="T268" s="288"/>
      <c r="U268" s="206"/>
      <c r="V268" s="206"/>
      <c r="W268" s="288"/>
      <c r="X268" s="209"/>
      <c r="Y268" s="209"/>
      <c r="Z268" s="209"/>
    </row>
    <row r="269" spans="1:26" ht="24" customHeight="1" x14ac:dyDescent="0.2">
      <c r="A269" s="206"/>
      <c r="B269" s="206"/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88"/>
      <c r="N269" s="288"/>
      <c r="O269" s="289"/>
      <c r="P269" s="289"/>
      <c r="Q269" s="289"/>
      <c r="R269" s="206"/>
      <c r="S269" s="206"/>
      <c r="T269" s="288"/>
      <c r="U269" s="206"/>
      <c r="V269" s="206"/>
      <c r="W269" s="288"/>
      <c r="X269" s="209"/>
      <c r="Y269" s="209"/>
      <c r="Z269" s="209"/>
    </row>
    <row r="270" spans="1:26" ht="24" customHeight="1" x14ac:dyDescent="0.2">
      <c r="A270" s="206"/>
      <c r="B270" s="206"/>
      <c r="C270" s="206"/>
      <c r="D270" s="206"/>
      <c r="E270" s="206"/>
      <c r="F270" s="206"/>
      <c r="G270" s="206"/>
      <c r="H270" s="206"/>
      <c r="I270" s="206"/>
      <c r="J270" s="206"/>
      <c r="K270" s="206"/>
      <c r="L270" s="206"/>
      <c r="M270" s="288"/>
      <c r="N270" s="288"/>
      <c r="O270" s="289"/>
      <c r="P270" s="289"/>
      <c r="Q270" s="289"/>
      <c r="R270" s="206"/>
      <c r="S270" s="206"/>
      <c r="T270" s="288"/>
      <c r="U270" s="206"/>
      <c r="V270" s="206"/>
      <c r="W270" s="288"/>
      <c r="X270" s="209"/>
      <c r="Y270" s="209"/>
      <c r="Z270" s="209"/>
    </row>
    <row r="271" spans="1:26" ht="24" customHeight="1" x14ac:dyDescent="0.2">
      <c r="A271" s="206"/>
      <c r="B271" s="206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88"/>
      <c r="N271" s="288"/>
      <c r="O271" s="289"/>
      <c r="P271" s="289"/>
      <c r="Q271" s="289"/>
      <c r="R271" s="206"/>
      <c r="S271" s="206"/>
      <c r="T271" s="288"/>
      <c r="U271" s="206"/>
      <c r="V271" s="206"/>
      <c r="W271" s="288"/>
      <c r="X271" s="209"/>
      <c r="Y271" s="209"/>
      <c r="Z271" s="209"/>
    </row>
    <row r="272" spans="1:26" ht="24" customHeight="1" x14ac:dyDescent="0.2">
      <c r="A272" s="206"/>
      <c r="B272" s="206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88"/>
      <c r="N272" s="288"/>
      <c r="O272" s="289"/>
      <c r="P272" s="289"/>
      <c r="Q272" s="289"/>
      <c r="R272" s="206"/>
      <c r="S272" s="206"/>
      <c r="T272" s="288"/>
      <c r="U272" s="206"/>
      <c r="V272" s="206"/>
      <c r="W272" s="288"/>
      <c r="X272" s="209"/>
      <c r="Y272" s="209"/>
      <c r="Z272" s="209"/>
    </row>
    <row r="273" spans="1:26" ht="24" customHeight="1" x14ac:dyDescent="0.2">
      <c r="A273" s="206"/>
      <c r="B273" s="206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88"/>
      <c r="N273" s="288"/>
      <c r="O273" s="289"/>
      <c r="P273" s="289"/>
      <c r="Q273" s="289"/>
      <c r="R273" s="206"/>
      <c r="S273" s="206"/>
      <c r="T273" s="288"/>
      <c r="U273" s="206"/>
      <c r="V273" s="206"/>
      <c r="W273" s="288"/>
      <c r="X273" s="209"/>
      <c r="Y273" s="209"/>
      <c r="Z273" s="209"/>
    </row>
    <row r="274" spans="1:26" ht="24" customHeight="1" x14ac:dyDescent="0.2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88"/>
      <c r="N274" s="288"/>
      <c r="O274" s="289"/>
      <c r="P274" s="289"/>
      <c r="Q274" s="289"/>
      <c r="R274" s="206"/>
      <c r="S274" s="206"/>
      <c r="T274" s="288"/>
      <c r="U274" s="206"/>
      <c r="V274" s="206"/>
      <c r="W274" s="288"/>
      <c r="X274" s="209"/>
      <c r="Y274" s="209"/>
      <c r="Z274" s="209"/>
    </row>
    <row r="275" spans="1:26" ht="24" customHeight="1" x14ac:dyDescent="0.2">
      <c r="A275" s="206"/>
      <c r="B275" s="206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88"/>
      <c r="N275" s="288"/>
      <c r="O275" s="289"/>
      <c r="P275" s="289"/>
      <c r="Q275" s="289"/>
      <c r="R275" s="206"/>
      <c r="S275" s="206"/>
      <c r="T275" s="288"/>
      <c r="U275" s="206"/>
      <c r="V275" s="206"/>
      <c r="W275" s="288"/>
      <c r="X275" s="209"/>
      <c r="Y275" s="209"/>
      <c r="Z275" s="209"/>
    </row>
    <row r="276" spans="1:26" ht="24" customHeight="1" x14ac:dyDescent="0.2">
      <c r="A276" s="206"/>
      <c r="B276" s="206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88"/>
      <c r="N276" s="288"/>
      <c r="O276" s="289"/>
      <c r="P276" s="289"/>
      <c r="Q276" s="289"/>
      <c r="R276" s="206"/>
      <c r="S276" s="206"/>
      <c r="T276" s="288"/>
      <c r="U276" s="206"/>
      <c r="V276" s="206"/>
      <c r="W276" s="288"/>
      <c r="X276" s="209"/>
      <c r="Y276" s="209"/>
      <c r="Z276" s="209"/>
    </row>
    <row r="277" spans="1:26" ht="24" customHeight="1" x14ac:dyDescent="0.2">
      <c r="A277" s="206"/>
      <c r="B277" s="206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88"/>
      <c r="N277" s="288"/>
      <c r="O277" s="289"/>
      <c r="P277" s="289"/>
      <c r="Q277" s="289"/>
      <c r="R277" s="206"/>
      <c r="S277" s="206"/>
      <c r="T277" s="288"/>
      <c r="U277" s="206"/>
      <c r="V277" s="206"/>
      <c r="W277" s="288"/>
      <c r="X277" s="209"/>
      <c r="Y277" s="209"/>
      <c r="Z277" s="209"/>
    </row>
    <row r="278" spans="1:26" ht="24" customHeight="1" x14ac:dyDescent="0.2">
      <c r="A278" s="206"/>
      <c r="B278" s="206"/>
      <c r="C278" s="206"/>
      <c r="D278" s="206"/>
      <c r="E278" s="206"/>
      <c r="F278" s="206"/>
      <c r="G278" s="206"/>
      <c r="H278" s="206"/>
      <c r="I278" s="206"/>
      <c r="J278" s="206"/>
      <c r="K278" s="206"/>
      <c r="L278" s="206"/>
      <c r="M278" s="288"/>
      <c r="N278" s="288"/>
      <c r="O278" s="289"/>
      <c r="P278" s="289"/>
      <c r="Q278" s="289"/>
      <c r="R278" s="206"/>
      <c r="S278" s="206"/>
      <c r="T278" s="288"/>
      <c r="U278" s="206"/>
      <c r="V278" s="206"/>
      <c r="W278" s="288"/>
      <c r="X278" s="209"/>
      <c r="Y278" s="209"/>
      <c r="Z278" s="209"/>
    </row>
    <row r="279" spans="1:26" ht="24" customHeight="1" x14ac:dyDescent="0.2">
      <c r="A279" s="206"/>
      <c r="B279" s="206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88"/>
      <c r="N279" s="288"/>
      <c r="O279" s="289"/>
      <c r="P279" s="289"/>
      <c r="Q279" s="289"/>
      <c r="R279" s="206"/>
      <c r="S279" s="206"/>
      <c r="T279" s="288"/>
      <c r="U279" s="206"/>
      <c r="V279" s="206"/>
      <c r="W279" s="288"/>
      <c r="X279" s="209"/>
      <c r="Y279" s="209"/>
      <c r="Z279" s="209"/>
    </row>
    <row r="280" spans="1:26" ht="24" customHeight="1" x14ac:dyDescent="0.2">
      <c r="A280" s="206"/>
      <c r="B280" s="206"/>
      <c r="C280" s="206"/>
      <c r="D280" s="206"/>
      <c r="E280" s="206"/>
      <c r="F280" s="206"/>
      <c r="G280" s="206"/>
      <c r="H280" s="206"/>
      <c r="I280" s="206"/>
      <c r="J280" s="206"/>
      <c r="K280" s="206"/>
      <c r="L280" s="206"/>
      <c r="M280" s="288"/>
      <c r="N280" s="288"/>
      <c r="O280" s="289"/>
      <c r="P280" s="289"/>
      <c r="Q280" s="289"/>
      <c r="R280" s="206"/>
      <c r="S280" s="206"/>
      <c r="T280" s="288"/>
      <c r="U280" s="206"/>
      <c r="V280" s="206"/>
      <c r="W280" s="288"/>
      <c r="X280" s="209"/>
      <c r="Y280" s="209"/>
      <c r="Z280" s="209"/>
    </row>
    <row r="281" spans="1:26" ht="24" customHeight="1" x14ac:dyDescent="0.2">
      <c r="A281" s="206"/>
      <c r="B281" s="206"/>
      <c r="C281" s="206"/>
      <c r="D281" s="206"/>
      <c r="E281" s="206"/>
      <c r="F281" s="206"/>
      <c r="G281" s="206"/>
      <c r="H281" s="206"/>
      <c r="I281" s="206"/>
      <c r="J281" s="206"/>
      <c r="K281" s="206"/>
      <c r="L281" s="206"/>
      <c r="M281" s="288"/>
      <c r="N281" s="288"/>
      <c r="O281" s="289"/>
      <c r="P281" s="289"/>
      <c r="Q281" s="289"/>
      <c r="R281" s="206"/>
      <c r="S281" s="206"/>
      <c r="T281" s="288"/>
      <c r="U281" s="206"/>
      <c r="V281" s="206"/>
      <c r="W281" s="288"/>
      <c r="X281" s="209"/>
      <c r="Y281" s="209"/>
      <c r="Z281" s="209"/>
    </row>
    <row r="282" spans="1:26" ht="24" customHeight="1" x14ac:dyDescent="0.2">
      <c r="A282" s="206"/>
      <c r="B282" s="206"/>
      <c r="C282" s="206"/>
      <c r="D282" s="206"/>
      <c r="E282" s="206"/>
      <c r="F282" s="206"/>
      <c r="G282" s="206"/>
      <c r="H282" s="206"/>
      <c r="I282" s="206"/>
      <c r="J282" s="206"/>
      <c r="K282" s="206"/>
      <c r="L282" s="206"/>
      <c r="M282" s="288"/>
      <c r="N282" s="288"/>
      <c r="O282" s="289"/>
      <c r="P282" s="289"/>
      <c r="Q282" s="289"/>
      <c r="R282" s="206"/>
      <c r="S282" s="206"/>
      <c r="T282" s="288"/>
      <c r="U282" s="206"/>
      <c r="V282" s="206"/>
      <c r="W282" s="288"/>
      <c r="X282" s="209"/>
      <c r="Y282" s="209"/>
      <c r="Z282" s="209"/>
    </row>
    <row r="283" spans="1:26" ht="24" customHeight="1" x14ac:dyDescent="0.2">
      <c r="A283" s="206"/>
      <c r="B283" s="206"/>
      <c r="C283" s="206"/>
      <c r="D283" s="206"/>
      <c r="E283" s="206"/>
      <c r="F283" s="206"/>
      <c r="G283" s="206"/>
      <c r="H283" s="206"/>
      <c r="I283" s="206"/>
      <c r="J283" s="206"/>
      <c r="K283" s="206"/>
      <c r="L283" s="206"/>
      <c r="M283" s="288"/>
      <c r="N283" s="288"/>
      <c r="O283" s="289"/>
      <c r="P283" s="289"/>
      <c r="Q283" s="289"/>
      <c r="R283" s="206"/>
      <c r="S283" s="206"/>
      <c r="T283" s="288"/>
      <c r="U283" s="206"/>
      <c r="V283" s="206"/>
      <c r="W283" s="288"/>
      <c r="X283" s="209"/>
      <c r="Y283" s="209"/>
      <c r="Z283" s="209"/>
    </row>
    <row r="284" spans="1:26" ht="24" customHeight="1" x14ac:dyDescent="0.2">
      <c r="A284" s="206"/>
      <c r="B284" s="206"/>
      <c r="C284" s="206"/>
      <c r="D284" s="206"/>
      <c r="E284" s="206"/>
      <c r="F284" s="206"/>
      <c r="G284" s="206"/>
      <c r="H284" s="206"/>
      <c r="I284" s="206"/>
      <c r="J284" s="206"/>
      <c r="K284" s="206"/>
      <c r="L284" s="206"/>
      <c r="M284" s="288"/>
      <c r="N284" s="288"/>
      <c r="O284" s="289"/>
      <c r="P284" s="289"/>
      <c r="Q284" s="289"/>
      <c r="R284" s="206"/>
      <c r="S284" s="206"/>
      <c r="T284" s="288"/>
      <c r="U284" s="206"/>
      <c r="V284" s="206"/>
      <c r="W284" s="288"/>
      <c r="X284" s="209"/>
      <c r="Y284" s="209"/>
      <c r="Z284" s="209"/>
    </row>
    <row r="285" spans="1:26" ht="24" customHeight="1" x14ac:dyDescent="0.2">
      <c r="A285" s="206"/>
      <c r="B285" s="206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88"/>
      <c r="N285" s="288"/>
      <c r="O285" s="289"/>
      <c r="P285" s="289"/>
      <c r="Q285" s="289"/>
      <c r="R285" s="206"/>
      <c r="S285" s="206"/>
      <c r="T285" s="288"/>
      <c r="U285" s="206"/>
      <c r="V285" s="206"/>
      <c r="W285" s="288"/>
      <c r="X285" s="209"/>
      <c r="Y285" s="209"/>
      <c r="Z285" s="209"/>
    </row>
    <row r="286" spans="1:26" ht="24" customHeight="1" x14ac:dyDescent="0.2">
      <c r="A286" s="206"/>
      <c r="B286" s="206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88"/>
      <c r="N286" s="288"/>
      <c r="O286" s="289"/>
      <c r="P286" s="289"/>
      <c r="Q286" s="289"/>
      <c r="R286" s="206"/>
      <c r="S286" s="206"/>
      <c r="T286" s="288"/>
      <c r="U286" s="206"/>
      <c r="V286" s="206"/>
      <c r="W286" s="288"/>
      <c r="X286" s="209"/>
      <c r="Y286" s="209"/>
      <c r="Z286" s="209"/>
    </row>
    <row r="287" spans="1:26" ht="24" customHeight="1" x14ac:dyDescent="0.2">
      <c r="A287" s="206"/>
      <c r="B287" s="206"/>
      <c r="C287" s="206"/>
      <c r="D287" s="206"/>
      <c r="E287" s="206"/>
      <c r="F287" s="206"/>
      <c r="G287" s="206"/>
      <c r="H287" s="206"/>
      <c r="I287" s="206"/>
      <c r="J287" s="206"/>
      <c r="K287" s="206"/>
      <c r="L287" s="206"/>
      <c r="M287" s="288"/>
      <c r="N287" s="288"/>
      <c r="O287" s="289"/>
      <c r="P287" s="289"/>
      <c r="Q287" s="289"/>
      <c r="R287" s="206"/>
      <c r="S287" s="206"/>
      <c r="T287" s="288"/>
      <c r="U287" s="206"/>
      <c r="V287" s="206"/>
      <c r="W287" s="288"/>
      <c r="X287" s="209"/>
      <c r="Y287" s="209"/>
      <c r="Z287" s="209"/>
    </row>
    <row r="288" spans="1:26" ht="24" customHeight="1" x14ac:dyDescent="0.2">
      <c r="A288" s="206"/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88"/>
      <c r="N288" s="288"/>
      <c r="O288" s="289"/>
      <c r="P288" s="289"/>
      <c r="Q288" s="289"/>
      <c r="R288" s="206"/>
      <c r="S288" s="206"/>
      <c r="T288" s="288"/>
      <c r="U288" s="206"/>
      <c r="V288" s="206"/>
      <c r="W288" s="288"/>
      <c r="X288" s="209"/>
      <c r="Y288" s="209"/>
      <c r="Z288" s="209"/>
    </row>
    <row r="289" spans="1:26" ht="24" customHeight="1" x14ac:dyDescent="0.2">
      <c r="A289" s="206"/>
      <c r="B289" s="206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88"/>
      <c r="N289" s="288"/>
      <c r="O289" s="289"/>
      <c r="P289" s="289"/>
      <c r="Q289" s="289"/>
      <c r="R289" s="206"/>
      <c r="S289" s="206"/>
      <c r="T289" s="288"/>
      <c r="U289" s="206"/>
      <c r="V289" s="206"/>
      <c r="W289" s="288"/>
      <c r="X289" s="209"/>
      <c r="Y289" s="209"/>
      <c r="Z289" s="209"/>
    </row>
    <row r="290" spans="1:26" ht="24" customHeight="1" x14ac:dyDescent="0.2">
      <c r="A290" s="206"/>
      <c r="B290" s="206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88"/>
      <c r="N290" s="288"/>
      <c r="O290" s="289"/>
      <c r="P290" s="289"/>
      <c r="Q290" s="289"/>
      <c r="R290" s="206"/>
      <c r="S290" s="206"/>
      <c r="T290" s="288"/>
      <c r="U290" s="206"/>
      <c r="V290" s="206"/>
      <c r="W290" s="288"/>
      <c r="X290" s="209"/>
      <c r="Y290" s="209"/>
      <c r="Z290" s="209"/>
    </row>
    <row r="291" spans="1:26" ht="24" customHeight="1" x14ac:dyDescent="0.2">
      <c r="A291" s="206"/>
      <c r="B291" s="206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88"/>
      <c r="N291" s="288"/>
      <c r="O291" s="289"/>
      <c r="P291" s="289"/>
      <c r="Q291" s="289"/>
      <c r="R291" s="206"/>
      <c r="S291" s="206"/>
      <c r="T291" s="288"/>
      <c r="U291" s="206"/>
      <c r="V291" s="206"/>
      <c r="W291" s="288"/>
      <c r="X291" s="209"/>
      <c r="Y291" s="209"/>
      <c r="Z291" s="209"/>
    </row>
    <row r="292" spans="1:26" ht="24" customHeight="1" x14ac:dyDescent="0.2">
      <c r="A292" s="206"/>
      <c r="B292" s="206"/>
      <c r="C292" s="206"/>
      <c r="D292" s="206"/>
      <c r="E292" s="206"/>
      <c r="F292" s="206"/>
      <c r="G292" s="206"/>
      <c r="H292" s="206"/>
      <c r="I292" s="206"/>
      <c r="J292" s="206"/>
      <c r="K292" s="206"/>
      <c r="L292" s="206"/>
      <c r="M292" s="288"/>
      <c r="N292" s="288"/>
      <c r="O292" s="289"/>
      <c r="P292" s="289"/>
      <c r="Q292" s="289"/>
      <c r="R292" s="206"/>
      <c r="S292" s="206"/>
      <c r="T292" s="288"/>
      <c r="U292" s="206"/>
      <c r="V292" s="206"/>
      <c r="W292" s="288"/>
      <c r="X292" s="209"/>
      <c r="Y292" s="209"/>
      <c r="Z292" s="209"/>
    </row>
    <row r="293" spans="1:26" ht="24" customHeight="1" x14ac:dyDescent="0.2">
      <c r="A293" s="206"/>
      <c r="B293" s="206"/>
      <c r="C293" s="206"/>
      <c r="D293" s="206"/>
      <c r="E293" s="206"/>
      <c r="F293" s="206"/>
      <c r="G293" s="206"/>
      <c r="H293" s="206"/>
      <c r="I293" s="206"/>
      <c r="J293" s="206"/>
      <c r="K293" s="206"/>
      <c r="L293" s="206"/>
      <c r="M293" s="288"/>
      <c r="N293" s="288"/>
      <c r="O293" s="289"/>
      <c r="P293" s="289"/>
      <c r="Q293" s="289"/>
      <c r="R293" s="206"/>
      <c r="S293" s="206"/>
      <c r="T293" s="288"/>
      <c r="U293" s="206"/>
      <c r="V293" s="206"/>
      <c r="W293" s="288"/>
      <c r="X293" s="209"/>
      <c r="Y293" s="209"/>
      <c r="Z293" s="209"/>
    </row>
    <row r="294" spans="1:26" ht="24" customHeight="1" x14ac:dyDescent="0.2">
      <c r="A294" s="206"/>
      <c r="B294" s="206"/>
      <c r="C294" s="206"/>
      <c r="D294" s="206"/>
      <c r="E294" s="206"/>
      <c r="F294" s="206"/>
      <c r="G294" s="206"/>
      <c r="H294" s="206"/>
      <c r="I294" s="206"/>
      <c r="J294" s="206"/>
      <c r="K294" s="206"/>
      <c r="L294" s="206"/>
      <c r="M294" s="288"/>
      <c r="N294" s="288"/>
      <c r="O294" s="289"/>
      <c r="P294" s="289"/>
      <c r="Q294" s="289"/>
      <c r="R294" s="206"/>
      <c r="S294" s="206"/>
      <c r="T294" s="288"/>
      <c r="U294" s="206"/>
      <c r="V294" s="206"/>
      <c r="W294" s="288"/>
      <c r="X294" s="209"/>
      <c r="Y294" s="209"/>
      <c r="Z294" s="209"/>
    </row>
    <row r="295" spans="1:26" ht="24" customHeight="1" x14ac:dyDescent="0.2">
      <c r="A295" s="206"/>
      <c r="B295" s="206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88"/>
      <c r="N295" s="288"/>
      <c r="O295" s="289"/>
      <c r="P295" s="289"/>
      <c r="Q295" s="289"/>
      <c r="R295" s="206"/>
      <c r="S295" s="206"/>
      <c r="T295" s="288"/>
      <c r="U295" s="206"/>
      <c r="V295" s="206"/>
      <c r="W295" s="288"/>
      <c r="X295" s="209"/>
      <c r="Y295" s="209"/>
      <c r="Z295" s="209"/>
    </row>
    <row r="296" spans="1:26" ht="24" customHeight="1" x14ac:dyDescent="0.2">
      <c r="A296" s="206"/>
      <c r="B296" s="206"/>
      <c r="C296" s="206"/>
      <c r="D296" s="206"/>
      <c r="E296" s="206"/>
      <c r="F296" s="206"/>
      <c r="G296" s="206"/>
      <c r="H296" s="206"/>
      <c r="I296" s="206"/>
      <c r="J296" s="206"/>
      <c r="K296" s="206"/>
      <c r="L296" s="206"/>
      <c r="M296" s="288"/>
      <c r="N296" s="288"/>
      <c r="O296" s="289"/>
      <c r="P296" s="289"/>
      <c r="Q296" s="289"/>
      <c r="R296" s="206"/>
      <c r="S296" s="206"/>
      <c r="T296" s="288"/>
      <c r="U296" s="206"/>
      <c r="V296" s="206"/>
      <c r="W296" s="288"/>
      <c r="X296" s="209"/>
      <c r="Y296" s="209"/>
      <c r="Z296" s="209"/>
    </row>
    <row r="297" spans="1:26" ht="24" customHeight="1" x14ac:dyDescent="0.2">
      <c r="A297" s="206"/>
      <c r="B297" s="206"/>
      <c r="C297" s="206"/>
      <c r="D297" s="206"/>
      <c r="E297" s="206"/>
      <c r="F297" s="206"/>
      <c r="G297" s="206"/>
      <c r="H297" s="206"/>
      <c r="I297" s="206"/>
      <c r="J297" s="206"/>
      <c r="K297" s="206"/>
      <c r="L297" s="206"/>
      <c r="M297" s="288"/>
      <c r="N297" s="288"/>
      <c r="O297" s="289"/>
      <c r="P297" s="289"/>
      <c r="Q297" s="289"/>
      <c r="R297" s="206"/>
      <c r="S297" s="206"/>
      <c r="T297" s="288"/>
      <c r="U297" s="206"/>
      <c r="V297" s="206"/>
      <c r="W297" s="288"/>
      <c r="X297" s="209"/>
      <c r="Y297" s="209"/>
      <c r="Z297" s="209"/>
    </row>
    <row r="298" spans="1:26" ht="24" customHeight="1" x14ac:dyDescent="0.2">
      <c r="A298" s="206"/>
      <c r="B298" s="206"/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88"/>
      <c r="N298" s="288"/>
      <c r="O298" s="289"/>
      <c r="P298" s="289"/>
      <c r="Q298" s="289"/>
      <c r="R298" s="206"/>
      <c r="S298" s="206"/>
      <c r="T298" s="288"/>
      <c r="U298" s="206"/>
      <c r="V298" s="206"/>
      <c r="W298" s="288"/>
      <c r="X298" s="209"/>
      <c r="Y298" s="209"/>
      <c r="Z298" s="209"/>
    </row>
    <row r="299" spans="1:26" ht="24" customHeight="1" x14ac:dyDescent="0.2">
      <c r="A299" s="206"/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88"/>
      <c r="N299" s="288"/>
      <c r="O299" s="289"/>
      <c r="P299" s="289"/>
      <c r="Q299" s="289"/>
      <c r="R299" s="206"/>
      <c r="S299" s="206"/>
      <c r="T299" s="288"/>
      <c r="U299" s="206"/>
      <c r="V299" s="206"/>
      <c r="W299" s="288"/>
      <c r="X299" s="209"/>
      <c r="Y299" s="209"/>
      <c r="Z299" s="209"/>
    </row>
    <row r="300" spans="1:26" ht="24" customHeight="1" x14ac:dyDescent="0.2">
      <c r="A300" s="206"/>
      <c r="B300" s="206"/>
      <c r="C300" s="206"/>
      <c r="D300" s="206"/>
      <c r="E300" s="206"/>
      <c r="F300" s="206"/>
      <c r="G300" s="206"/>
      <c r="H300" s="206"/>
      <c r="I300" s="206"/>
      <c r="J300" s="206"/>
      <c r="K300" s="206"/>
      <c r="L300" s="206"/>
      <c r="M300" s="288"/>
      <c r="N300" s="288"/>
      <c r="O300" s="289"/>
      <c r="P300" s="289"/>
      <c r="Q300" s="289"/>
      <c r="R300" s="206"/>
      <c r="S300" s="206"/>
      <c r="T300" s="288"/>
      <c r="U300" s="206"/>
      <c r="V300" s="206"/>
      <c r="W300" s="288"/>
      <c r="X300" s="209"/>
      <c r="Y300" s="209"/>
      <c r="Z300" s="209"/>
    </row>
    <row r="301" spans="1:26" ht="24" customHeight="1" x14ac:dyDescent="0.2">
      <c r="A301" s="206"/>
      <c r="B301" s="206"/>
      <c r="C301" s="206"/>
      <c r="D301" s="206"/>
      <c r="E301" s="206"/>
      <c r="F301" s="206"/>
      <c r="G301" s="206"/>
      <c r="H301" s="206"/>
      <c r="I301" s="206"/>
      <c r="J301" s="206"/>
      <c r="K301" s="206"/>
      <c r="L301" s="206"/>
      <c r="M301" s="288"/>
      <c r="N301" s="288"/>
      <c r="O301" s="289"/>
      <c r="P301" s="289"/>
      <c r="Q301" s="289"/>
      <c r="R301" s="206"/>
      <c r="S301" s="206"/>
      <c r="T301" s="288"/>
      <c r="U301" s="206"/>
      <c r="V301" s="206"/>
      <c r="W301" s="288"/>
      <c r="X301" s="209"/>
      <c r="Y301" s="209"/>
      <c r="Z301" s="209"/>
    </row>
    <row r="302" spans="1:26" ht="24" customHeight="1" x14ac:dyDescent="0.2">
      <c r="A302" s="206"/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88"/>
      <c r="N302" s="288"/>
      <c r="O302" s="289"/>
      <c r="P302" s="289"/>
      <c r="Q302" s="289"/>
      <c r="R302" s="206"/>
      <c r="S302" s="206"/>
      <c r="T302" s="288"/>
      <c r="U302" s="206"/>
      <c r="V302" s="206"/>
      <c r="W302" s="288"/>
      <c r="X302" s="209"/>
      <c r="Y302" s="209"/>
      <c r="Z302" s="209"/>
    </row>
    <row r="303" spans="1:26" ht="24" customHeight="1" x14ac:dyDescent="0.2">
      <c r="A303" s="206"/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88"/>
      <c r="N303" s="288"/>
      <c r="O303" s="289"/>
      <c r="P303" s="289"/>
      <c r="Q303" s="289"/>
      <c r="R303" s="206"/>
      <c r="S303" s="206"/>
      <c r="T303" s="288"/>
      <c r="U303" s="206"/>
      <c r="V303" s="206"/>
      <c r="W303" s="288"/>
      <c r="X303" s="209"/>
      <c r="Y303" s="209"/>
      <c r="Z303" s="209"/>
    </row>
    <row r="304" spans="1:26" ht="24" customHeight="1" x14ac:dyDescent="0.2">
      <c r="A304" s="206"/>
      <c r="B304" s="206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88"/>
      <c r="N304" s="288"/>
      <c r="O304" s="289"/>
      <c r="P304" s="289"/>
      <c r="Q304" s="289"/>
      <c r="R304" s="206"/>
      <c r="S304" s="206"/>
      <c r="T304" s="288"/>
      <c r="U304" s="206"/>
      <c r="V304" s="206"/>
      <c r="W304" s="288"/>
      <c r="X304" s="209"/>
      <c r="Y304" s="209"/>
      <c r="Z304" s="209"/>
    </row>
    <row r="305" spans="1:26" ht="24" customHeight="1" x14ac:dyDescent="0.2">
      <c r="A305" s="206"/>
      <c r="B305" s="206"/>
      <c r="C305" s="206"/>
      <c r="D305" s="206"/>
      <c r="E305" s="206"/>
      <c r="F305" s="206"/>
      <c r="G305" s="206"/>
      <c r="H305" s="206"/>
      <c r="I305" s="206"/>
      <c r="J305" s="206"/>
      <c r="K305" s="206"/>
      <c r="L305" s="206"/>
      <c r="M305" s="288"/>
      <c r="N305" s="288"/>
      <c r="O305" s="289"/>
      <c r="P305" s="289"/>
      <c r="Q305" s="289"/>
      <c r="R305" s="206"/>
      <c r="S305" s="206"/>
      <c r="T305" s="288"/>
      <c r="U305" s="206"/>
      <c r="V305" s="206"/>
      <c r="W305" s="288"/>
      <c r="X305" s="209"/>
      <c r="Y305" s="209"/>
      <c r="Z305" s="209"/>
    </row>
    <row r="306" spans="1:26" ht="24" customHeight="1" x14ac:dyDescent="0.2">
      <c r="A306" s="206"/>
      <c r="B306" s="206"/>
      <c r="C306" s="206"/>
      <c r="D306" s="206"/>
      <c r="E306" s="206"/>
      <c r="F306" s="206"/>
      <c r="G306" s="206"/>
      <c r="H306" s="206"/>
      <c r="I306" s="206"/>
      <c r="J306" s="206"/>
      <c r="K306" s="206"/>
      <c r="L306" s="206"/>
      <c r="M306" s="288"/>
      <c r="N306" s="288"/>
      <c r="O306" s="289"/>
      <c r="P306" s="289"/>
      <c r="Q306" s="289"/>
      <c r="R306" s="206"/>
      <c r="S306" s="206"/>
      <c r="T306" s="288"/>
      <c r="U306" s="206"/>
      <c r="V306" s="206"/>
      <c r="W306" s="288"/>
      <c r="X306" s="209"/>
      <c r="Y306" s="209"/>
      <c r="Z306" s="209"/>
    </row>
    <row r="307" spans="1:26" ht="24" customHeight="1" x14ac:dyDescent="0.2">
      <c r="A307" s="206"/>
      <c r="B307" s="206"/>
      <c r="C307" s="206"/>
      <c r="D307" s="206"/>
      <c r="E307" s="206"/>
      <c r="F307" s="206"/>
      <c r="G307" s="206"/>
      <c r="H307" s="206"/>
      <c r="I307" s="206"/>
      <c r="J307" s="206"/>
      <c r="K307" s="206"/>
      <c r="L307" s="206"/>
      <c r="M307" s="288"/>
      <c r="N307" s="288"/>
      <c r="O307" s="289"/>
      <c r="P307" s="289"/>
      <c r="Q307" s="289"/>
      <c r="R307" s="206"/>
      <c r="S307" s="206"/>
      <c r="T307" s="288"/>
      <c r="U307" s="206"/>
      <c r="V307" s="206"/>
      <c r="W307" s="288"/>
      <c r="X307" s="209"/>
      <c r="Y307" s="209"/>
      <c r="Z307" s="209"/>
    </row>
    <row r="308" spans="1:26" ht="24" customHeight="1" x14ac:dyDescent="0.2">
      <c r="A308" s="206"/>
      <c r="B308" s="206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88"/>
      <c r="N308" s="288"/>
      <c r="O308" s="289"/>
      <c r="P308" s="289"/>
      <c r="Q308" s="289"/>
      <c r="R308" s="206"/>
      <c r="S308" s="206"/>
      <c r="T308" s="288"/>
      <c r="U308" s="206"/>
      <c r="V308" s="206"/>
      <c r="W308" s="288"/>
      <c r="X308" s="209"/>
      <c r="Y308" s="209"/>
      <c r="Z308" s="209"/>
    </row>
    <row r="309" spans="1:26" ht="24" customHeight="1" x14ac:dyDescent="0.2">
      <c r="A309" s="206"/>
      <c r="B309" s="206"/>
      <c r="C309" s="206"/>
      <c r="D309" s="206"/>
      <c r="E309" s="206"/>
      <c r="F309" s="206"/>
      <c r="G309" s="206"/>
      <c r="H309" s="206"/>
      <c r="I309" s="206"/>
      <c r="J309" s="206"/>
      <c r="K309" s="206"/>
      <c r="L309" s="206"/>
      <c r="M309" s="288"/>
      <c r="N309" s="288"/>
      <c r="O309" s="289"/>
      <c r="P309" s="289"/>
      <c r="Q309" s="289"/>
      <c r="R309" s="206"/>
      <c r="S309" s="206"/>
      <c r="T309" s="288"/>
      <c r="U309" s="206"/>
      <c r="V309" s="206"/>
      <c r="W309" s="288"/>
      <c r="X309" s="209"/>
      <c r="Y309" s="209"/>
      <c r="Z309" s="209"/>
    </row>
    <row r="310" spans="1:26" ht="24" customHeight="1" x14ac:dyDescent="0.2">
      <c r="A310" s="206"/>
      <c r="B310" s="206"/>
      <c r="C310" s="206"/>
      <c r="D310" s="206"/>
      <c r="E310" s="206"/>
      <c r="F310" s="206"/>
      <c r="G310" s="206"/>
      <c r="H310" s="206"/>
      <c r="I310" s="206"/>
      <c r="J310" s="206"/>
      <c r="K310" s="206"/>
      <c r="L310" s="206"/>
      <c r="M310" s="288"/>
      <c r="N310" s="288"/>
      <c r="O310" s="289"/>
      <c r="P310" s="289"/>
      <c r="Q310" s="289"/>
      <c r="R310" s="206"/>
      <c r="S310" s="206"/>
      <c r="T310" s="288"/>
      <c r="U310" s="206"/>
      <c r="V310" s="206"/>
      <c r="W310" s="288"/>
      <c r="X310" s="209"/>
      <c r="Y310" s="209"/>
      <c r="Z310" s="209"/>
    </row>
    <row r="311" spans="1:26" ht="24" customHeight="1" x14ac:dyDescent="0.2">
      <c r="A311" s="206"/>
      <c r="B311" s="206"/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  <c r="M311" s="288"/>
      <c r="N311" s="288"/>
      <c r="O311" s="289"/>
      <c r="P311" s="289"/>
      <c r="Q311" s="289"/>
      <c r="R311" s="206"/>
      <c r="S311" s="206"/>
      <c r="T311" s="288"/>
      <c r="U311" s="206"/>
      <c r="V311" s="206"/>
      <c r="W311" s="288"/>
      <c r="X311" s="209"/>
      <c r="Y311" s="209"/>
      <c r="Z311" s="209"/>
    </row>
    <row r="312" spans="1:26" ht="24" customHeight="1" x14ac:dyDescent="0.2">
      <c r="A312" s="206"/>
      <c r="B312" s="206"/>
      <c r="C312" s="206"/>
      <c r="D312" s="206"/>
      <c r="E312" s="206"/>
      <c r="F312" s="206"/>
      <c r="G312" s="206"/>
      <c r="H312" s="206"/>
      <c r="I312" s="206"/>
      <c r="J312" s="206"/>
      <c r="K312" s="206"/>
      <c r="L312" s="206"/>
      <c r="M312" s="288"/>
      <c r="N312" s="288"/>
      <c r="O312" s="289"/>
      <c r="P312" s="289"/>
      <c r="Q312" s="289"/>
      <c r="R312" s="206"/>
      <c r="S312" s="206"/>
      <c r="T312" s="288"/>
      <c r="U312" s="206"/>
      <c r="V312" s="206"/>
      <c r="W312" s="288"/>
      <c r="X312" s="209"/>
      <c r="Y312" s="209"/>
      <c r="Z312" s="209"/>
    </row>
    <row r="313" spans="1:26" ht="24" customHeight="1" x14ac:dyDescent="0.2">
      <c r="A313" s="206"/>
      <c r="B313" s="206"/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88"/>
      <c r="N313" s="288"/>
      <c r="O313" s="289"/>
      <c r="P313" s="289"/>
      <c r="Q313" s="289"/>
      <c r="R313" s="206"/>
      <c r="S313" s="206"/>
      <c r="T313" s="288"/>
      <c r="U313" s="206"/>
      <c r="V313" s="206"/>
      <c r="W313" s="288"/>
      <c r="X313" s="209"/>
      <c r="Y313" s="209"/>
      <c r="Z313" s="209"/>
    </row>
    <row r="314" spans="1:26" ht="12.75" x14ac:dyDescent="0.2">
      <c r="A314" s="206"/>
      <c r="B314" s="206"/>
      <c r="C314" s="206"/>
      <c r="D314" s="206"/>
      <c r="E314" s="206"/>
      <c r="F314" s="206"/>
      <c r="G314" s="206"/>
      <c r="H314" s="206"/>
      <c r="I314" s="206"/>
      <c r="J314" s="206"/>
      <c r="K314" s="206"/>
      <c r="L314" s="206"/>
      <c r="M314" s="288"/>
      <c r="N314" s="288"/>
      <c r="O314" s="289"/>
      <c r="P314" s="289"/>
      <c r="Q314" s="289"/>
      <c r="R314" s="206"/>
      <c r="S314" s="206"/>
      <c r="T314" s="288"/>
      <c r="U314" s="206"/>
      <c r="V314" s="206"/>
      <c r="W314" s="288"/>
      <c r="X314" s="209"/>
      <c r="Y314" s="209"/>
      <c r="Z314" s="209"/>
    </row>
    <row r="315" spans="1:26" ht="12.75" x14ac:dyDescent="0.2">
      <c r="A315" s="206"/>
      <c r="B315" s="206"/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  <c r="M315" s="288"/>
      <c r="N315" s="288"/>
      <c r="O315" s="289"/>
      <c r="P315" s="289"/>
      <c r="Q315" s="289"/>
      <c r="R315" s="206"/>
      <c r="S315" s="206"/>
      <c r="T315" s="288"/>
      <c r="U315" s="206"/>
      <c r="V315" s="206"/>
      <c r="W315" s="288"/>
      <c r="X315" s="209"/>
      <c r="Y315" s="209"/>
      <c r="Z315" s="209"/>
    </row>
    <row r="316" spans="1:26" ht="12.75" x14ac:dyDescent="0.2">
      <c r="A316" s="206"/>
      <c r="B316" s="206"/>
      <c r="C316" s="206"/>
      <c r="D316" s="206"/>
      <c r="E316" s="206"/>
      <c r="F316" s="206"/>
      <c r="G316" s="206"/>
      <c r="H316" s="206"/>
      <c r="I316" s="206"/>
      <c r="J316" s="206"/>
      <c r="K316" s="206"/>
      <c r="L316" s="206"/>
      <c r="M316" s="288"/>
      <c r="N316" s="288"/>
      <c r="O316" s="289"/>
      <c r="P316" s="289"/>
      <c r="Q316" s="289"/>
      <c r="R316" s="206"/>
      <c r="S316" s="206"/>
      <c r="T316" s="288"/>
      <c r="U316" s="206"/>
      <c r="V316" s="206"/>
      <c r="W316" s="288"/>
      <c r="X316" s="209"/>
      <c r="Y316" s="209"/>
      <c r="Z316" s="209"/>
    </row>
    <row r="317" spans="1:26" ht="12.75" x14ac:dyDescent="0.2">
      <c r="A317" s="206"/>
      <c r="B317" s="206"/>
      <c r="C317" s="206"/>
      <c r="D317" s="206"/>
      <c r="E317" s="206"/>
      <c r="F317" s="206"/>
      <c r="G317" s="206"/>
      <c r="H317" s="206"/>
      <c r="I317" s="206"/>
      <c r="J317" s="206"/>
      <c r="K317" s="206"/>
      <c r="L317" s="206"/>
      <c r="M317" s="288"/>
      <c r="N317" s="288"/>
      <c r="O317" s="289"/>
      <c r="P317" s="289"/>
      <c r="Q317" s="289"/>
      <c r="R317" s="206"/>
      <c r="S317" s="206"/>
      <c r="T317" s="288"/>
      <c r="U317" s="206"/>
      <c r="V317" s="206"/>
      <c r="W317" s="288"/>
      <c r="X317" s="209"/>
      <c r="Y317" s="209"/>
      <c r="Z317" s="209"/>
    </row>
    <row r="318" spans="1:26" ht="12.75" x14ac:dyDescent="0.2">
      <c r="A318" s="206"/>
      <c r="B318" s="206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88"/>
      <c r="N318" s="288"/>
      <c r="O318" s="289"/>
      <c r="P318" s="289"/>
      <c r="Q318" s="289"/>
      <c r="R318" s="206"/>
      <c r="S318" s="206"/>
      <c r="T318" s="288"/>
      <c r="U318" s="206"/>
      <c r="V318" s="206"/>
      <c r="W318" s="288"/>
      <c r="X318" s="209"/>
      <c r="Y318" s="209"/>
      <c r="Z318" s="209"/>
    </row>
    <row r="319" spans="1:26" ht="12.75" x14ac:dyDescent="0.2">
      <c r="A319" s="206"/>
      <c r="B319" s="206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88"/>
      <c r="N319" s="288"/>
      <c r="O319" s="289"/>
      <c r="P319" s="289"/>
      <c r="Q319" s="289"/>
      <c r="R319" s="206"/>
      <c r="S319" s="206"/>
      <c r="T319" s="288"/>
      <c r="U319" s="206"/>
      <c r="V319" s="206"/>
      <c r="W319" s="288"/>
      <c r="X319" s="209"/>
      <c r="Y319" s="209"/>
      <c r="Z319" s="209"/>
    </row>
    <row r="320" spans="1:26" ht="12.75" x14ac:dyDescent="0.2">
      <c r="A320" s="206"/>
      <c r="B320" s="206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88"/>
      <c r="N320" s="288"/>
      <c r="O320" s="289"/>
      <c r="P320" s="289"/>
      <c r="Q320" s="289"/>
      <c r="R320" s="206"/>
      <c r="S320" s="206"/>
      <c r="T320" s="288"/>
      <c r="U320" s="206"/>
      <c r="V320" s="206"/>
      <c r="W320" s="288"/>
      <c r="X320" s="209"/>
      <c r="Y320" s="209"/>
      <c r="Z320" s="209"/>
    </row>
    <row r="321" spans="1:26" ht="12.75" x14ac:dyDescent="0.2">
      <c r="A321" s="206"/>
      <c r="B321" s="206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88"/>
      <c r="N321" s="288"/>
      <c r="O321" s="289"/>
      <c r="P321" s="289"/>
      <c r="Q321" s="289"/>
      <c r="R321" s="206"/>
      <c r="S321" s="206"/>
      <c r="T321" s="288"/>
      <c r="U321" s="206"/>
      <c r="V321" s="206"/>
      <c r="W321" s="288"/>
      <c r="X321" s="209"/>
      <c r="Y321" s="209"/>
      <c r="Z321" s="209"/>
    </row>
    <row r="322" spans="1:26" ht="12.75" x14ac:dyDescent="0.2">
      <c r="A322" s="206"/>
      <c r="B322" s="206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88"/>
      <c r="N322" s="288"/>
      <c r="O322" s="289"/>
      <c r="P322" s="289"/>
      <c r="Q322" s="289"/>
      <c r="R322" s="206"/>
      <c r="S322" s="206"/>
      <c r="T322" s="288"/>
      <c r="U322" s="206"/>
      <c r="V322" s="206"/>
      <c r="W322" s="288"/>
      <c r="X322" s="209"/>
      <c r="Y322" s="209"/>
      <c r="Z322" s="209"/>
    </row>
    <row r="323" spans="1:26" ht="12.75" x14ac:dyDescent="0.2">
      <c r="A323" s="206"/>
      <c r="B323" s="206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88"/>
      <c r="N323" s="288"/>
      <c r="O323" s="289"/>
      <c r="P323" s="289"/>
      <c r="Q323" s="289"/>
      <c r="R323" s="206"/>
      <c r="S323" s="206"/>
      <c r="T323" s="288"/>
      <c r="U323" s="206"/>
      <c r="V323" s="206"/>
      <c r="W323" s="288"/>
      <c r="X323" s="209"/>
      <c r="Y323" s="209"/>
      <c r="Z323" s="209"/>
    </row>
    <row r="324" spans="1:26" ht="12.75" x14ac:dyDescent="0.2">
      <c r="A324" s="206"/>
      <c r="B324" s="206"/>
      <c r="C324" s="206"/>
      <c r="D324" s="206"/>
      <c r="E324" s="206"/>
      <c r="F324" s="206"/>
      <c r="G324" s="206"/>
      <c r="H324" s="206"/>
      <c r="I324" s="206"/>
      <c r="J324" s="206"/>
      <c r="K324" s="206"/>
      <c r="L324" s="206"/>
      <c r="M324" s="288"/>
      <c r="N324" s="288"/>
      <c r="O324" s="289"/>
      <c r="P324" s="289"/>
      <c r="Q324" s="289"/>
      <c r="R324" s="206"/>
      <c r="S324" s="206"/>
      <c r="T324" s="288"/>
      <c r="U324" s="206"/>
      <c r="V324" s="206"/>
      <c r="W324" s="288"/>
      <c r="X324" s="209"/>
      <c r="Y324" s="209"/>
      <c r="Z324" s="209"/>
    </row>
    <row r="325" spans="1:26" ht="12.75" x14ac:dyDescent="0.2">
      <c r="A325" s="206"/>
      <c r="B325" s="206"/>
      <c r="C325" s="206"/>
      <c r="D325" s="206"/>
      <c r="E325" s="206"/>
      <c r="F325" s="206"/>
      <c r="G325" s="206"/>
      <c r="H325" s="206"/>
      <c r="I325" s="206"/>
      <c r="J325" s="206"/>
      <c r="K325" s="206"/>
      <c r="L325" s="206"/>
      <c r="M325" s="288"/>
      <c r="N325" s="288"/>
      <c r="O325" s="289"/>
      <c r="P325" s="289"/>
      <c r="Q325" s="289"/>
      <c r="R325" s="206"/>
      <c r="S325" s="206"/>
      <c r="T325" s="288"/>
      <c r="U325" s="206"/>
      <c r="V325" s="206"/>
      <c r="W325" s="288"/>
      <c r="X325" s="209"/>
      <c r="Y325" s="209"/>
      <c r="Z325" s="209"/>
    </row>
    <row r="326" spans="1:26" ht="12.75" x14ac:dyDescent="0.2">
      <c r="A326" s="206"/>
      <c r="B326" s="206"/>
      <c r="C326" s="206"/>
      <c r="D326" s="206"/>
      <c r="E326" s="206"/>
      <c r="F326" s="206"/>
      <c r="G326" s="206"/>
      <c r="H326" s="206"/>
      <c r="I326" s="206"/>
      <c r="J326" s="206"/>
      <c r="K326" s="206"/>
      <c r="L326" s="206"/>
      <c r="M326" s="288"/>
      <c r="N326" s="288"/>
      <c r="O326" s="289"/>
      <c r="P326" s="289"/>
      <c r="Q326" s="289"/>
      <c r="R326" s="206"/>
      <c r="S326" s="206"/>
      <c r="T326" s="288"/>
      <c r="U326" s="206"/>
      <c r="V326" s="206"/>
      <c r="W326" s="288"/>
      <c r="X326" s="209"/>
      <c r="Y326" s="209"/>
      <c r="Z326" s="209"/>
    </row>
    <row r="327" spans="1:26" ht="12.75" x14ac:dyDescent="0.2">
      <c r="A327" s="206"/>
      <c r="B327" s="206"/>
      <c r="C327" s="206"/>
      <c r="D327" s="206"/>
      <c r="E327" s="206"/>
      <c r="F327" s="206"/>
      <c r="G327" s="206"/>
      <c r="H327" s="206"/>
      <c r="I327" s="206"/>
      <c r="J327" s="206"/>
      <c r="K327" s="206"/>
      <c r="L327" s="206"/>
      <c r="M327" s="288"/>
      <c r="N327" s="288"/>
      <c r="O327" s="289"/>
      <c r="P327" s="289"/>
      <c r="Q327" s="289"/>
      <c r="R327" s="206"/>
      <c r="S327" s="206"/>
      <c r="T327" s="288"/>
      <c r="U327" s="206"/>
      <c r="V327" s="206"/>
      <c r="W327" s="288"/>
      <c r="X327" s="209"/>
      <c r="Y327" s="209"/>
      <c r="Z327" s="209"/>
    </row>
    <row r="328" spans="1:26" ht="12.75" x14ac:dyDescent="0.2">
      <c r="A328" s="206"/>
      <c r="B328" s="206"/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  <c r="M328" s="288"/>
      <c r="N328" s="288"/>
      <c r="O328" s="289"/>
      <c r="P328" s="289"/>
      <c r="Q328" s="289"/>
      <c r="R328" s="206"/>
      <c r="S328" s="206"/>
      <c r="T328" s="288"/>
      <c r="U328" s="206"/>
      <c r="V328" s="206"/>
      <c r="W328" s="288"/>
      <c r="X328" s="209"/>
      <c r="Y328" s="209"/>
      <c r="Z328" s="209"/>
    </row>
    <row r="329" spans="1:26" ht="12.75" x14ac:dyDescent="0.2">
      <c r="A329" s="206"/>
      <c r="B329" s="206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88"/>
      <c r="N329" s="288"/>
      <c r="O329" s="289"/>
      <c r="P329" s="289"/>
      <c r="Q329" s="289"/>
      <c r="R329" s="206"/>
      <c r="S329" s="206"/>
      <c r="T329" s="288"/>
      <c r="U329" s="206"/>
      <c r="V329" s="206"/>
      <c r="W329" s="288"/>
      <c r="X329" s="209"/>
      <c r="Y329" s="209"/>
      <c r="Z329" s="209"/>
    </row>
    <row r="330" spans="1:26" ht="12.75" x14ac:dyDescent="0.2">
      <c r="A330" s="206"/>
      <c r="B330" s="206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88"/>
      <c r="N330" s="288"/>
      <c r="O330" s="289"/>
      <c r="P330" s="289"/>
      <c r="Q330" s="289"/>
      <c r="R330" s="206"/>
      <c r="S330" s="206"/>
      <c r="T330" s="288"/>
      <c r="U330" s="206"/>
      <c r="V330" s="206"/>
      <c r="W330" s="288"/>
      <c r="X330" s="209"/>
      <c r="Y330" s="209"/>
      <c r="Z330" s="209"/>
    </row>
    <row r="331" spans="1:26" ht="12.75" x14ac:dyDescent="0.2">
      <c r="A331" s="206"/>
      <c r="B331" s="206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88"/>
      <c r="N331" s="288"/>
      <c r="O331" s="289"/>
      <c r="P331" s="289"/>
      <c r="Q331" s="289"/>
      <c r="R331" s="206"/>
      <c r="S331" s="206"/>
      <c r="T331" s="288"/>
      <c r="U331" s="206"/>
      <c r="V331" s="206"/>
      <c r="W331" s="288"/>
      <c r="X331" s="209"/>
      <c r="Y331" s="209"/>
      <c r="Z331" s="209"/>
    </row>
    <row r="332" spans="1:26" ht="12.75" x14ac:dyDescent="0.2">
      <c r="A332" s="206"/>
      <c r="B332" s="206"/>
      <c r="C332" s="206"/>
      <c r="D332" s="206"/>
      <c r="E332" s="206"/>
      <c r="F332" s="206"/>
      <c r="G332" s="206"/>
      <c r="H332" s="206"/>
      <c r="I332" s="206"/>
      <c r="J332" s="206"/>
      <c r="K332" s="206"/>
      <c r="L332" s="206"/>
      <c r="M332" s="288"/>
      <c r="N332" s="288"/>
      <c r="O332" s="289"/>
      <c r="P332" s="289"/>
      <c r="Q332" s="289"/>
      <c r="R332" s="206"/>
      <c r="S332" s="206"/>
      <c r="T332" s="288"/>
      <c r="U332" s="206"/>
      <c r="V332" s="206"/>
      <c r="W332" s="288"/>
      <c r="X332" s="209"/>
      <c r="Y332" s="209"/>
      <c r="Z332" s="209"/>
    </row>
    <row r="333" spans="1:26" ht="12.75" x14ac:dyDescent="0.2">
      <c r="A333" s="206"/>
      <c r="B333" s="206"/>
      <c r="C333" s="206"/>
      <c r="D333" s="206"/>
      <c r="E333" s="206"/>
      <c r="F333" s="206"/>
      <c r="G333" s="206"/>
      <c r="H333" s="206"/>
      <c r="I333" s="206"/>
      <c r="J333" s="206"/>
      <c r="K333" s="206"/>
      <c r="L333" s="206"/>
      <c r="M333" s="288"/>
      <c r="N333" s="288"/>
      <c r="O333" s="289"/>
      <c r="P333" s="289"/>
      <c r="Q333" s="289"/>
      <c r="R333" s="206"/>
      <c r="S333" s="206"/>
      <c r="T333" s="288"/>
      <c r="U333" s="206"/>
      <c r="V333" s="206"/>
      <c r="W333" s="288"/>
      <c r="X333" s="209"/>
      <c r="Y333" s="209"/>
      <c r="Z333" s="209"/>
    </row>
    <row r="334" spans="1:26" ht="12.75" x14ac:dyDescent="0.2">
      <c r="A334" s="206"/>
      <c r="B334" s="206"/>
      <c r="C334" s="206"/>
      <c r="D334" s="206"/>
      <c r="E334" s="206"/>
      <c r="F334" s="206"/>
      <c r="G334" s="206"/>
      <c r="H334" s="206"/>
      <c r="I334" s="206"/>
      <c r="J334" s="206"/>
      <c r="K334" s="206"/>
      <c r="L334" s="206"/>
      <c r="M334" s="288"/>
      <c r="N334" s="288"/>
      <c r="O334" s="289"/>
      <c r="P334" s="289"/>
      <c r="Q334" s="289"/>
      <c r="R334" s="206"/>
      <c r="S334" s="206"/>
      <c r="T334" s="288"/>
      <c r="U334" s="206"/>
      <c r="V334" s="206"/>
      <c r="W334" s="288"/>
      <c r="X334" s="209"/>
      <c r="Y334" s="209"/>
      <c r="Z334" s="209"/>
    </row>
    <row r="335" spans="1:26" ht="12.75" x14ac:dyDescent="0.2">
      <c r="A335" s="206"/>
      <c r="B335" s="206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88"/>
      <c r="N335" s="288"/>
      <c r="O335" s="289"/>
      <c r="P335" s="289"/>
      <c r="Q335" s="289"/>
      <c r="R335" s="206"/>
      <c r="S335" s="206"/>
      <c r="T335" s="288"/>
      <c r="U335" s="206"/>
      <c r="V335" s="206"/>
      <c r="W335" s="288"/>
      <c r="X335" s="209"/>
      <c r="Y335" s="209"/>
      <c r="Z335" s="209"/>
    </row>
    <row r="336" spans="1:26" ht="12.75" x14ac:dyDescent="0.2">
      <c r="A336" s="206"/>
      <c r="B336" s="206"/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88"/>
      <c r="N336" s="288"/>
      <c r="O336" s="289"/>
      <c r="P336" s="289"/>
      <c r="Q336" s="289"/>
      <c r="R336" s="206"/>
      <c r="S336" s="206"/>
      <c r="T336" s="288"/>
      <c r="U336" s="206"/>
      <c r="V336" s="206"/>
      <c r="W336" s="288"/>
      <c r="X336" s="209"/>
      <c r="Y336" s="209"/>
      <c r="Z336" s="209"/>
    </row>
    <row r="337" spans="1:26" ht="12.75" x14ac:dyDescent="0.2">
      <c r="A337" s="206"/>
      <c r="B337" s="206"/>
      <c r="C337" s="206"/>
      <c r="D337" s="206"/>
      <c r="E337" s="206"/>
      <c r="F337" s="206"/>
      <c r="G337" s="206"/>
      <c r="H337" s="206"/>
      <c r="I337" s="206"/>
      <c r="J337" s="206"/>
      <c r="K337" s="206"/>
      <c r="L337" s="206"/>
      <c r="M337" s="288"/>
      <c r="N337" s="288"/>
      <c r="O337" s="289"/>
      <c r="P337" s="289"/>
      <c r="Q337" s="289"/>
      <c r="R337" s="206"/>
      <c r="S337" s="206"/>
      <c r="T337" s="288"/>
      <c r="U337" s="206"/>
      <c r="V337" s="206"/>
      <c r="W337" s="288"/>
      <c r="X337" s="209"/>
      <c r="Y337" s="209"/>
      <c r="Z337" s="209"/>
    </row>
    <row r="338" spans="1:26" ht="12.75" x14ac:dyDescent="0.2">
      <c r="A338" s="206"/>
      <c r="B338" s="206"/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88"/>
      <c r="N338" s="288"/>
      <c r="O338" s="289"/>
      <c r="P338" s="289"/>
      <c r="Q338" s="289"/>
      <c r="R338" s="206"/>
      <c r="S338" s="206"/>
      <c r="T338" s="288"/>
      <c r="U338" s="206"/>
      <c r="V338" s="206"/>
      <c r="W338" s="288"/>
      <c r="X338" s="209"/>
      <c r="Y338" s="209"/>
      <c r="Z338" s="209"/>
    </row>
    <row r="339" spans="1:26" ht="12.75" x14ac:dyDescent="0.2">
      <c r="A339" s="206"/>
      <c r="B339" s="206"/>
      <c r="C339" s="206"/>
      <c r="D339" s="206"/>
      <c r="E339" s="206"/>
      <c r="F339" s="206"/>
      <c r="G339" s="206"/>
      <c r="H339" s="206"/>
      <c r="I339" s="206"/>
      <c r="J339" s="206"/>
      <c r="K339" s="206"/>
      <c r="L339" s="206"/>
      <c r="M339" s="288"/>
      <c r="N339" s="288"/>
      <c r="O339" s="289"/>
      <c r="P339" s="289"/>
      <c r="Q339" s="289"/>
      <c r="R339" s="206"/>
      <c r="S339" s="206"/>
      <c r="T339" s="288"/>
      <c r="U339" s="206"/>
      <c r="V339" s="206"/>
      <c r="W339" s="288"/>
      <c r="X339" s="209"/>
      <c r="Y339" s="209"/>
      <c r="Z339" s="209"/>
    </row>
    <row r="340" spans="1:26" ht="12.75" x14ac:dyDescent="0.2">
      <c r="A340" s="206"/>
      <c r="B340" s="206"/>
      <c r="C340" s="206"/>
      <c r="D340" s="206"/>
      <c r="E340" s="206"/>
      <c r="F340" s="206"/>
      <c r="G340" s="206"/>
      <c r="H340" s="206"/>
      <c r="I340" s="206"/>
      <c r="J340" s="206"/>
      <c r="K340" s="206"/>
      <c r="L340" s="206"/>
      <c r="M340" s="288"/>
      <c r="N340" s="288"/>
      <c r="O340" s="289"/>
      <c r="P340" s="289"/>
      <c r="Q340" s="289"/>
      <c r="R340" s="206"/>
      <c r="S340" s="206"/>
      <c r="T340" s="288"/>
      <c r="U340" s="206"/>
      <c r="V340" s="206"/>
      <c r="W340" s="288"/>
      <c r="X340" s="209"/>
      <c r="Y340" s="209"/>
      <c r="Z340" s="209"/>
    </row>
    <row r="341" spans="1:26" ht="12.75" x14ac:dyDescent="0.2">
      <c r="A341" s="206"/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88"/>
      <c r="N341" s="288"/>
      <c r="O341" s="289"/>
      <c r="P341" s="289"/>
      <c r="Q341" s="289"/>
      <c r="R341" s="206"/>
      <c r="S341" s="206"/>
      <c r="T341" s="288"/>
      <c r="U341" s="206"/>
      <c r="V341" s="206"/>
      <c r="W341" s="288"/>
      <c r="X341" s="209"/>
      <c r="Y341" s="209"/>
      <c r="Z341" s="209"/>
    </row>
    <row r="342" spans="1:26" ht="12.75" x14ac:dyDescent="0.2">
      <c r="A342" s="206"/>
      <c r="B342" s="206"/>
      <c r="C342" s="206"/>
      <c r="D342" s="206"/>
      <c r="E342" s="206"/>
      <c r="F342" s="206"/>
      <c r="G342" s="206"/>
      <c r="H342" s="206"/>
      <c r="I342" s="206"/>
      <c r="J342" s="206"/>
      <c r="K342" s="206"/>
      <c r="L342" s="206"/>
      <c r="M342" s="288"/>
      <c r="N342" s="288"/>
      <c r="O342" s="289"/>
      <c r="P342" s="289"/>
      <c r="Q342" s="289"/>
      <c r="R342" s="206"/>
      <c r="S342" s="206"/>
      <c r="T342" s="288"/>
      <c r="U342" s="206"/>
      <c r="V342" s="206"/>
      <c r="W342" s="288"/>
      <c r="X342" s="209"/>
      <c r="Y342" s="209"/>
      <c r="Z342" s="209"/>
    </row>
    <row r="343" spans="1:26" ht="12.75" x14ac:dyDescent="0.2">
      <c r="A343" s="206"/>
      <c r="B343" s="206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88"/>
      <c r="N343" s="288"/>
      <c r="O343" s="289"/>
      <c r="P343" s="289"/>
      <c r="Q343" s="289"/>
      <c r="R343" s="206"/>
      <c r="S343" s="206"/>
      <c r="T343" s="288"/>
      <c r="U343" s="206"/>
      <c r="V343" s="206"/>
      <c r="W343" s="288"/>
      <c r="X343" s="209"/>
      <c r="Y343" s="209"/>
      <c r="Z343" s="209"/>
    </row>
    <row r="344" spans="1:26" ht="12.75" x14ac:dyDescent="0.2">
      <c r="A344" s="206"/>
      <c r="B344" s="206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88"/>
      <c r="N344" s="288"/>
      <c r="O344" s="289"/>
      <c r="P344" s="289"/>
      <c r="Q344" s="289"/>
      <c r="R344" s="206"/>
      <c r="S344" s="206"/>
      <c r="T344" s="288"/>
      <c r="U344" s="206"/>
      <c r="V344" s="206"/>
      <c r="W344" s="288"/>
      <c r="X344" s="209"/>
      <c r="Y344" s="209"/>
      <c r="Z344" s="209"/>
    </row>
    <row r="345" spans="1:26" ht="12.75" x14ac:dyDescent="0.2">
      <c r="A345" s="206"/>
      <c r="B345" s="206"/>
      <c r="C345" s="206"/>
      <c r="D345" s="206"/>
      <c r="E345" s="206"/>
      <c r="F345" s="206"/>
      <c r="G345" s="206"/>
      <c r="H345" s="206"/>
      <c r="I345" s="206"/>
      <c r="J345" s="206"/>
      <c r="K345" s="206"/>
      <c r="L345" s="206"/>
      <c r="M345" s="288"/>
      <c r="N345" s="288"/>
      <c r="O345" s="289"/>
      <c r="P345" s="289"/>
      <c r="Q345" s="289"/>
      <c r="R345" s="206"/>
      <c r="S345" s="206"/>
      <c r="T345" s="288"/>
      <c r="U345" s="206"/>
      <c r="V345" s="206"/>
      <c r="W345" s="288"/>
      <c r="X345" s="209"/>
      <c r="Y345" s="209"/>
      <c r="Z345" s="209"/>
    </row>
    <row r="346" spans="1:26" ht="12.75" x14ac:dyDescent="0.2">
      <c r="A346" s="206"/>
      <c r="B346" s="206"/>
      <c r="C346" s="206"/>
      <c r="D346" s="206"/>
      <c r="E346" s="206"/>
      <c r="F346" s="206"/>
      <c r="G346" s="206"/>
      <c r="H346" s="206"/>
      <c r="I346" s="206"/>
      <c r="J346" s="206"/>
      <c r="K346" s="206"/>
      <c r="L346" s="206"/>
      <c r="M346" s="288"/>
      <c r="N346" s="288"/>
      <c r="O346" s="289"/>
      <c r="P346" s="289"/>
      <c r="Q346" s="289"/>
      <c r="R346" s="206"/>
      <c r="S346" s="206"/>
      <c r="T346" s="288"/>
      <c r="U346" s="206"/>
      <c r="V346" s="206"/>
      <c r="W346" s="288"/>
      <c r="X346" s="209"/>
      <c r="Y346" s="209"/>
      <c r="Z346" s="209"/>
    </row>
    <row r="347" spans="1:26" ht="12.75" x14ac:dyDescent="0.2">
      <c r="A347" s="206"/>
      <c r="B347" s="206"/>
      <c r="C347" s="206"/>
      <c r="D347" s="206"/>
      <c r="E347" s="206"/>
      <c r="F347" s="206"/>
      <c r="G347" s="206"/>
      <c r="H347" s="206"/>
      <c r="I347" s="206"/>
      <c r="J347" s="206"/>
      <c r="K347" s="206"/>
      <c r="L347" s="206"/>
      <c r="M347" s="288"/>
      <c r="N347" s="288"/>
      <c r="O347" s="289"/>
      <c r="P347" s="289"/>
      <c r="Q347" s="289"/>
      <c r="R347" s="206"/>
      <c r="S347" s="206"/>
      <c r="T347" s="288"/>
      <c r="U347" s="206"/>
      <c r="V347" s="206"/>
      <c r="W347" s="288"/>
      <c r="X347" s="209"/>
      <c r="Y347" s="209"/>
      <c r="Z347" s="209"/>
    </row>
    <row r="348" spans="1:26" ht="12.75" x14ac:dyDescent="0.2">
      <c r="A348" s="206"/>
      <c r="B348" s="206"/>
      <c r="C348" s="206"/>
      <c r="D348" s="206"/>
      <c r="E348" s="206"/>
      <c r="F348" s="206"/>
      <c r="G348" s="206"/>
      <c r="H348" s="206"/>
      <c r="I348" s="206"/>
      <c r="J348" s="206"/>
      <c r="K348" s="206"/>
      <c r="L348" s="206"/>
      <c r="M348" s="288"/>
      <c r="N348" s="288"/>
      <c r="O348" s="289"/>
      <c r="P348" s="289"/>
      <c r="Q348" s="289"/>
      <c r="R348" s="206"/>
      <c r="S348" s="206"/>
      <c r="T348" s="288"/>
      <c r="U348" s="206"/>
      <c r="V348" s="206"/>
      <c r="W348" s="288"/>
      <c r="X348" s="209"/>
      <c r="Y348" s="209"/>
      <c r="Z348" s="209"/>
    </row>
    <row r="349" spans="1:26" ht="12.75" x14ac:dyDescent="0.2">
      <c r="A349" s="206"/>
      <c r="B349" s="206"/>
      <c r="C349" s="206"/>
      <c r="D349" s="206"/>
      <c r="E349" s="206"/>
      <c r="F349" s="206"/>
      <c r="G349" s="206"/>
      <c r="H349" s="206"/>
      <c r="I349" s="206"/>
      <c r="J349" s="206"/>
      <c r="K349" s="206"/>
      <c r="L349" s="206"/>
      <c r="M349" s="288"/>
      <c r="N349" s="288"/>
      <c r="O349" s="289"/>
      <c r="P349" s="289"/>
      <c r="Q349" s="289"/>
      <c r="R349" s="206"/>
      <c r="S349" s="206"/>
      <c r="T349" s="288"/>
      <c r="U349" s="206"/>
      <c r="V349" s="206"/>
      <c r="W349" s="288"/>
      <c r="X349" s="209"/>
      <c r="Y349" s="209"/>
      <c r="Z349" s="209"/>
    </row>
    <row r="350" spans="1:26" ht="12.75" x14ac:dyDescent="0.2">
      <c r="A350" s="206"/>
      <c r="B350" s="206"/>
      <c r="C350" s="206"/>
      <c r="D350" s="206"/>
      <c r="E350" s="206"/>
      <c r="F350" s="206"/>
      <c r="G350" s="206"/>
      <c r="H350" s="206"/>
      <c r="I350" s="206"/>
      <c r="J350" s="206"/>
      <c r="K350" s="206"/>
      <c r="L350" s="206"/>
      <c r="M350" s="288"/>
      <c r="N350" s="288"/>
      <c r="O350" s="289"/>
      <c r="P350" s="289"/>
      <c r="Q350" s="289"/>
      <c r="R350" s="206"/>
      <c r="S350" s="206"/>
      <c r="T350" s="288"/>
      <c r="U350" s="206"/>
      <c r="V350" s="206"/>
      <c r="W350" s="288"/>
      <c r="X350" s="209"/>
      <c r="Y350" s="209"/>
      <c r="Z350" s="209"/>
    </row>
    <row r="351" spans="1:26" ht="12.75" x14ac:dyDescent="0.2">
      <c r="A351" s="206"/>
      <c r="B351" s="206"/>
      <c r="C351" s="206"/>
      <c r="D351" s="206"/>
      <c r="E351" s="206"/>
      <c r="F351" s="206"/>
      <c r="G351" s="206"/>
      <c r="H351" s="206"/>
      <c r="I351" s="206"/>
      <c r="J351" s="206"/>
      <c r="K351" s="206"/>
      <c r="L351" s="206"/>
      <c r="M351" s="288"/>
      <c r="N351" s="288"/>
      <c r="O351" s="289"/>
      <c r="P351" s="289"/>
      <c r="Q351" s="289"/>
      <c r="R351" s="206"/>
      <c r="S351" s="206"/>
      <c r="T351" s="288"/>
      <c r="U351" s="206"/>
      <c r="V351" s="206"/>
      <c r="W351" s="288"/>
      <c r="X351" s="209"/>
      <c r="Y351" s="209"/>
      <c r="Z351" s="209"/>
    </row>
    <row r="352" spans="1:26" ht="12.75" x14ac:dyDescent="0.2">
      <c r="A352" s="206"/>
      <c r="B352" s="206"/>
      <c r="C352" s="206"/>
      <c r="D352" s="206"/>
      <c r="E352" s="206"/>
      <c r="F352" s="206"/>
      <c r="G352" s="206"/>
      <c r="H352" s="206"/>
      <c r="I352" s="206"/>
      <c r="J352" s="206"/>
      <c r="K352" s="206"/>
      <c r="L352" s="206"/>
      <c r="M352" s="288"/>
      <c r="N352" s="288"/>
      <c r="O352" s="289"/>
      <c r="P352" s="289"/>
      <c r="Q352" s="289"/>
      <c r="R352" s="206"/>
      <c r="S352" s="206"/>
      <c r="T352" s="288"/>
      <c r="U352" s="206"/>
      <c r="V352" s="206"/>
      <c r="W352" s="288"/>
      <c r="X352" s="209"/>
      <c r="Y352" s="209"/>
      <c r="Z352" s="209"/>
    </row>
    <row r="353" spans="1:26" ht="12.75" x14ac:dyDescent="0.2">
      <c r="A353" s="206"/>
      <c r="B353" s="206"/>
      <c r="C353" s="206"/>
      <c r="D353" s="206"/>
      <c r="E353" s="206"/>
      <c r="F353" s="206"/>
      <c r="G353" s="206"/>
      <c r="H353" s="206"/>
      <c r="I353" s="206"/>
      <c r="J353" s="206"/>
      <c r="K353" s="206"/>
      <c r="L353" s="206"/>
      <c r="M353" s="288"/>
      <c r="N353" s="288"/>
      <c r="O353" s="289"/>
      <c r="P353" s="289"/>
      <c r="Q353" s="289"/>
      <c r="R353" s="206"/>
      <c r="S353" s="206"/>
      <c r="T353" s="288"/>
      <c r="U353" s="206"/>
      <c r="V353" s="206"/>
      <c r="W353" s="288"/>
      <c r="X353" s="209"/>
      <c r="Y353" s="209"/>
      <c r="Z353" s="209"/>
    </row>
    <row r="354" spans="1:26" ht="12.75" x14ac:dyDescent="0.2">
      <c r="A354" s="206"/>
      <c r="B354" s="206"/>
      <c r="C354" s="206"/>
      <c r="D354" s="206"/>
      <c r="E354" s="206"/>
      <c r="F354" s="206"/>
      <c r="G354" s="206"/>
      <c r="H354" s="206"/>
      <c r="I354" s="206"/>
      <c r="J354" s="206"/>
      <c r="K354" s="206"/>
      <c r="L354" s="206"/>
      <c r="M354" s="288"/>
      <c r="N354" s="288"/>
      <c r="O354" s="289"/>
      <c r="P354" s="289"/>
      <c r="Q354" s="289"/>
      <c r="R354" s="206"/>
      <c r="S354" s="206"/>
      <c r="T354" s="288"/>
      <c r="U354" s="206"/>
      <c r="V354" s="206"/>
      <c r="W354" s="288"/>
      <c r="X354" s="209"/>
      <c r="Y354" s="209"/>
      <c r="Z354" s="209"/>
    </row>
    <row r="355" spans="1:26" ht="12.75" x14ac:dyDescent="0.2">
      <c r="A355" s="206"/>
      <c r="B355" s="206"/>
      <c r="C355" s="206"/>
      <c r="D355" s="206"/>
      <c r="E355" s="206"/>
      <c r="F355" s="206"/>
      <c r="G355" s="206"/>
      <c r="H355" s="206"/>
      <c r="I355" s="206"/>
      <c r="J355" s="206"/>
      <c r="K355" s="206"/>
      <c r="L355" s="206"/>
      <c r="M355" s="288"/>
      <c r="N355" s="288"/>
      <c r="O355" s="289"/>
      <c r="P355" s="289"/>
      <c r="Q355" s="289"/>
      <c r="R355" s="206"/>
      <c r="S355" s="206"/>
      <c r="T355" s="288"/>
      <c r="U355" s="206"/>
      <c r="V355" s="206"/>
      <c r="W355" s="288"/>
      <c r="X355" s="209"/>
      <c r="Y355" s="209"/>
      <c r="Z355" s="209"/>
    </row>
    <row r="356" spans="1:26" ht="12.75" x14ac:dyDescent="0.2">
      <c r="A356" s="206"/>
      <c r="B356" s="206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88"/>
      <c r="N356" s="288"/>
      <c r="O356" s="289"/>
      <c r="P356" s="289"/>
      <c r="Q356" s="289"/>
      <c r="R356" s="206"/>
      <c r="S356" s="206"/>
      <c r="T356" s="288"/>
      <c r="U356" s="206"/>
      <c r="V356" s="206"/>
      <c r="W356" s="288"/>
      <c r="X356" s="209"/>
      <c r="Y356" s="209"/>
      <c r="Z356" s="209"/>
    </row>
    <row r="357" spans="1:26" ht="12.75" x14ac:dyDescent="0.2">
      <c r="A357" s="206"/>
      <c r="B357" s="206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88"/>
      <c r="N357" s="288"/>
      <c r="O357" s="289"/>
      <c r="P357" s="289"/>
      <c r="Q357" s="289"/>
      <c r="R357" s="206"/>
      <c r="S357" s="206"/>
      <c r="T357" s="288"/>
      <c r="U357" s="206"/>
      <c r="V357" s="206"/>
      <c r="W357" s="288"/>
      <c r="X357" s="209"/>
      <c r="Y357" s="209"/>
      <c r="Z357" s="209"/>
    </row>
    <row r="358" spans="1:26" ht="12.75" x14ac:dyDescent="0.2">
      <c r="A358" s="206"/>
      <c r="B358" s="206"/>
      <c r="C358" s="206"/>
      <c r="D358" s="206"/>
      <c r="E358" s="206"/>
      <c r="F358" s="206"/>
      <c r="G358" s="206"/>
      <c r="H358" s="206"/>
      <c r="I358" s="206"/>
      <c r="J358" s="206"/>
      <c r="K358" s="206"/>
      <c r="L358" s="206"/>
      <c r="M358" s="288"/>
      <c r="N358" s="288"/>
      <c r="O358" s="289"/>
      <c r="P358" s="289"/>
      <c r="Q358" s="289"/>
      <c r="R358" s="206"/>
      <c r="S358" s="206"/>
      <c r="T358" s="288"/>
      <c r="U358" s="206"/>
      <c r="V358" s="206"/>
      <c r="W358" s="288"/>
      <c r="X358" s="209"/>
      <c r="Y358" s="209"/>
      <c r="Z358" s="209"/>
    </row>
    <row r="359" spans="1:26" ht="12.75" x14ac:dyDescent="0.2">
      <c r="A359" s="206"/>
      <c r="B359" s="206"/>
      <c r="C359" s="206"/>
      <c r="D359" s="206"/>
      <c r="E359" s="206"/>
      <c r="F359" s="206"/>
      <c r="G359" s="206"/>
      <c r="H359" s="206"/>
      <c r="I359" s="206"/>
      <c r="J359" s="206"/>
      <c r="K359" s="206"/>
      <c r="L359" s="206"/>
      <c r="M359" s="288"/>
      <c r="N359" s="288"/>
      <c r="O359" s="289"/>
      <c r="P359" s="289"/>
      <c r="Q359" s="289"/>
      <c r="R359" s="206"/>
      <c r="S359" s="206"/>
      <c r="T359" s="288"/>
      <c r="U359" s="206"/>
      <c r="V359" s="206"/>
      <c r="W359" s="288"/>
      <c r="X359" s="209"/>
      <c r="Y359" s="209"/>
      <c r="Z359" s="209"/>
    </row>
    <row r="360" spans="1:26" ht="12.75" x14ac:dyDescent="0.2">
      <c r="A360" s="206"/>
      <c r="B360" s="206"/>
      <c r="C360" s="206"/>
      <c r="D360" s="206"/>
      <c r="E360" s="206"/>
      <c r="F360" s="206"/>
      <c r="G360" s="206"/>
      <c r="H360" s="206"/>
      <c r="I360" s="206"/>
      <c r="J360" s="206"/>
      <c r="K360" s="206"/>
      <c r="L360" s="206"/>
      <c r="M360" s="288"/>
      <c r="N360" s="288"/>
      <c r="O360" s="289"/>
      <c r="P360" s="289"/>
      <c r="Q360" s="289"/>
      <c r="R360" s="206"/>
      <c r="S360" s="206"/>
      <c r="T360" s="288"/>
      <c r="U360" s="206"/>
      <c r="V360" s="206"/>
      <c r="W360" s="288"/>
      <c r="X360" s="209"/>
      <c r="Y360" s="209"/>
      <c r="Z360" s="209"/>
    </row>
    <row r="361" spans="1:26" ht="12.75" x14ac:dyDescent="0.2">
      <c r="A361" s="206"/>
      <c r="B361" s="206"/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88"/>
      <c r="N361" s="288"/>
      <c r="O361" s="289"/>
      <c r="P361" s="289"/>
      <c r="Q361" s="289"/>
      <c r="R361" s="206"/>
      <c r="S361" s="206"/>
      <c r="T361" s="288"/>
      <c r="U361" s="206"/>
      <c r="V361" s="206"/>
      <c r="W361" s="288"/>
      <c r="X361" s="209"/>
      <c r="Y361" s="209"/>
      <c r="Z361" s="209"/>
    </row>
    <row r="362" spans="1:26" ht="12.75" x14ac:dyDescent="0.2">
      <c r="A362" s="206"/>
      <c r="B362" s="206"/>
      <c r="C362" s="206"/>
      <c r="D362" s="206"/>
      <c r="E362" s="206"/>
      <c r="F362" s="206"/>
      <c r="G362" s="206"/>
      <c r="H362" s="206"/>
      <c r="I362" s="206"/>
      <c r="J362" s="206"/>
      <c r="K362" s="206"/>
      <c r="L362" s="206"/>
      <c r="M362" s="288"/>
      <c r="N362" s="288"/>
      <c r="O362" s="289"/>
      <c r="P362" s="289"/>
      <c r="Q362" s="289"/>
      <c r="R362" s="206"/>
      <c r="S362" s="206"/>
      <c r="T362" s="288"/>
      <c r="U362" s="206"/>
      <c r="V362" s="206"/>
      <c r="W362" s="288"/>
      <c r="X362" s="209"/>
      <c r="Y362" s="209"/>
      <c r="Z362" s="209"/>
    </row>
    <row r="363" spans="1:26" ht="12.75" x14ac:dyDescent="0.2">
      <c r="A363" s="206"/>
      <c r="B363" s="206"/>
      <c r="C363" s="206"/>
      <c r="D363" s="206"/>
      <c r="E363" s="206"/>
      <c r="F363" s="206"/>
      <c r="G363" s="206"/>
      <c r="H363" s="206"/>
      <c r="I363" s="206"/>
      <c r="J363" s="206"/>
      <c r="K363" s="206"/>
      <c r="L363" s="206"/>
      <c r="M363" s="288"/>
      <c r="N363" s="288"/>
      <c r="O363" s="289"/>
      <c r="P363" s="289"/>
      <c r="Q363" s="289"/>
      <c r="R363" s="206"/>
      <c r="S363" s="206"/>
      <c r="T363" s="288"/>
      <c r="U363" s="206"/>
      <c r="V363" s="206"/>
      <c r="W363" s="288"/>
      <c r="X363" s="209"/>
      <c r="Y363" s="209"/>
      <c r="Z363" s="209"/>
    </row>
    <row r="364" spans="1:26" ht="12.75" x14ac:dyDescent="0.2">
      <c r="A364" s="206"/>
      <c r="B364" s="206"/>
      <c r="C364" s="206"/>
      <c r="D364" s="206"/>
      <c r="E364" s="206"/>
      <c r="F364" s="206"/>
      <c r="G364" s="206"/>
      <c r="H364" s="206"/>
      <c r="I364" s="206"/>
      <c r="J364" s="206"/>
      <c r="K364" s="206"/>
      <c r="L364" s="206"/>
      <c r="M364" s="288"/>
      <c r="N364" s="288"/>
      <c r="O364" s="289"/>
      <c r="P364" s="289"/>
      <c r="Q364" s="289"/>
      <c r="R364" s="206"/>
      <c r="S364" s="206"/>
      <c r="T364" s="288"/>
      <c r="U364" s="206"/>
      <c r="V364" s="206"/>
      <c r="W364" s="288"/>
      <c r="X364" s="209"/>
      <c r="Y364" s="209"/>
      <c r="Z364" s="209"/>
    </row>
    <row r="365" spans="1:26" ht="12.75" x14ac:dyDescent="0.2">
      <c r="A365" s="206"/>
      <c r="B365" s="206"/>
      <c r="C365" s="206"/>
      <c r="D365" s="206"/>
      <c r="E365" s="206"/>
      <c r="F365" s="206"/>
      <c r="G365" s="206"/>
      <c r="H365" s="206"/>
      <c r="I365" s="206"/>
      <c r="J365" s="206"/>
      <c r="K365" s="206"/>
      <c r="L365" s="206"/>
      <c r="M365" s="288"/>
      <c r="N365" s="288"/>
      <c r="O365" s="289"/>
      <c r="P365" s="289"/>
      <c r="Q365" s="289"/>
      <c r="R365" s="206"/>
      <c r="S365" s="206"/>
      <c r="T365" s="288"/>
      <c r="U365" s="206"/>
      <c r="V365" s="206"/>
      <c r="W365" s="288"/>
      <c r="X365" s="209"/>
      <c r="Y365" s="209"/>
      <c r="Z365" s="209"/>
    </row>
    <row r="366" spans="1:26" ht="12.75" x14ac:dyDescent="0.2">
      <c r="A366" s="206"/>
      <c r="B366" s="206"/>
      <c r="C366" s="206"/>
      <c r="D366" s="206"/>
      <c r="E366" s="206"/>
      <c r="F366" s="206"/>
      <c r="G366" s="206"/>
      <c r="H366" s="206"/>
      <c r="I366" s="206"/>
      <c r="J366" s="206"/>
      <c r="K366" s="206"/>
      <c r="L366" s="206"/>
      <c r="M366" s="288"/>
      <c r="N366" s="288"/>
      <c r="O366" s="289"/>
      <c r="P366" s="289"/>
      <c r="Q366" s="289"/>
      <c r="R366" s="206"/>
      <c r="S366" s="206"/>
      <c r="T366" s="288"/>
      <c r="U366" s="206"/>
      <c r="V366" s="206"/>
      <c r="W366" s="288"/>
      <c r="X366" s="209"/>
      <c r="Y366" s="209"/>
      <c r="Z366" s="209"/>
    </row>
    <row r="367" spans="1:26" ht="12.75" x14ac:dyDescent="0.2">
      <c r="A367" s="206"/>
      <c r="B367" s="206"/>
      <c r="C367" s="206"/>
      <c r="D367" s="206"/>
      <c r="E367" s="206"/>
      <c r="F367" s="206"/>
      <c r="G367" s="206"/>
      <c r="H367" s="206"/>
      <c r="I367" s="206"/>
      <c r="J367" s="206"/>
      <c r="K367" s="206"/>
      <c r="L367" s="206"/>
      <c r="M367" s="288"/>
      <c r="N367" s="288"/>
      <c r="O367" s="289"/>
      <c r="P367" s="289"/>
      <c r="Q367" s="289"/>
      <c r="R367" s="206"/>
      <c r="S367" s="206"/>
      <c r="T367" s="288"/>
      <c r="U367" s="206"/>
      <c r="V367" s="206"/>
      <c r="W367" s="288"/>
      <c r="X367" s="209"/>
      <c r="Y367" s="209"/>
      <c r="Z367" s="209"/>
    </row>
    <row r="368" spans="1:26" ht="12.75" x14ac:dyDescent="0.2">
      <c r="A368" s="206"/>
      <c r="B368" s="206"/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88"/>
      <c r="N368" s="288"/>
      <c r="O368" s="289"/>
      <c r="P368" s="289"/>
      <c r="Q368" s="289"/>
      <c r="R368" s="206"/>
      <c r="S368" s="206"/>
      <c r="T368" s="288"/>
      <c r="U368" s="206"/>
      <c r="V368" s="206"/>
      <c r="W368" s="288"/>
      <c r="X368" s="209"/>
      <c r="Y368" s="209"/>
      <c r="Z368" s="209"/>
    </row>
    <row r="369" spans="1:26" ht="12.75" x14ac:dyDescent="0.2">
      <c r="A369" s="206"/>
      <c r="B369" s="206"/>
      <c r="C369" s="206"/>
      <c r="D369" s="206"/>
      <c r="E369" s="206"/>
      <c r="F369" s="206"/>
      <c r="G369" s="206"/>
      <c r="H369" s="206"/>
      <c r="I369" s="206"/>
      <c r="J369" s="206"/>
      <c r="K369" s="206"/>
      <c r="L369" s="206"/>
      <c r="M369" s="288"/>
      <c r="N369" s="288"/>
      <c r="O369" s="289"/>
      <c r="P369" s="289"/>
      <c r="Q369" s="289"/>
      <c r="R369" s="206"/>
      <c r="S369" s="206"/>
      <c r="T369" s="288"/>
      <c r="U369" s="206"/>
      <c r="V369" s="206"/>
      <c r="W369" s="288"/>
      <c r="X369" s="209"/>
      <c r="Y369" s="209"/>
      <c r="Z369" s="209"/>
    </row>
    <row r="370" spans="1:26" ht="12.75" x14ac:dyDescent="0.2">
      <c r="A370" s="206"/>
      <c r="B370" s="206"/>
      <c r="C370" s="206"/>
      <c r="D370" s="206"/>
      <c r="E370" s="206"/>
      <c r="F370" s="206"/>
      <c r="G370" s="206"/>
      <c r="H370" s="206"/>
      <c r="I370" s="206"/>
      <c r="J370" s="206"/>
      <c r="K370" s="206"/>
      <c r="L370" s="206"/>
      <c r="M370" s="288"/>
      <c r="N370" s="288"/>
      <c r="O370" s="289"/>
      <c r="P370" s="289"/>
      <c r="Q370" s="289"/>
      <c r="R370" s="206"/>
      <c r="S370" s="206"/>
      <c r="T370" s="288"/>
      <c r="U370" s="206"/>
      <c r="V370" s="206"/>
      <c r="W370" s="288"/>
      <c r="X370" s="209"/>
      <c r="Y370" s="209"/>
      <c r="Z370" s="209"/>
    </row>
    <row r="371" spans="1:26" ht="12.75" x14ac:dyDescent="0.2">
      <c r="A371" s="206"/>
      <c r="B371" s="206"/>
      <c r="C371" s="206"/>
      <c r="D371" s="206"/>
      <c r="E371" s="206"/>
      <c r="F371" s="206"/>
      <c r="G371" s="206"/>
      <c r="H371" s="206"/>
      <c r="I371" s="206"/>
      <c r="J371" s="206"/>
      <c r="K371" s="206"/>
      <c r="L371" s="206"/>
      <c r="M371" s="288"/>
      <c r="N371" s="288"/>
      <c r="O371" s="289"/>
      <c r="P371" s="289"/>
      <c r="Q371" s="289"/>
      <c r="R371" s="206"/>
      <c r="S371" s="206"/>
      <c r="T371" s="288"/>
      <c r="U371" s="206"/>
      <c r="V371" s="206"/>
      <c r="W371" s="288"/>
      <c r="X371" s="209"/>
      <c r="Y371" s="209"/>
      <c r="Z371" s="209"/>
    </row>
    <row r="372" spans="1:26" ht="12.75" x14ac:dyDescent="0.2">
      <c r="A372" s="206"/>
      <c r="B372" s="206"/>
      <c r="C372" s="206"/>
      <c r="D372" s="206"/>
      <c r="E372" s="206"/>
      <c r="F372" s="206"/>
      <c r="G372" s="206"/>
      <c r="H372" s="206"/>
      <c r="I372" s="206"/>
      <c r="J372" s="206"/>
      <c r="K372" s="206"/>
      <c r="L372" s="206"/>
      <c r="M372" s="288"/>
      <c r="N372" s="288"/>
      <c r="O372" s="289"/>
      <c r="P372" s="289"/>
      <c r="Q372" s="289"/>
      <c r="R372" s="206"/>
      <c r="S372" s="206"/>
      <c r="T372" s="288"/>
      <c r="U372" s="206"/>
      <c r="V372" s="206"/>
      <c r="W372" s="288"/>
      <c r="X372" s="209"/>
      <c r="Y372" s="209"/>
      <c r="Z372" s="209"/>
    </row>
    <row r="373" spans="1:26" ht="12.75" x14ac:dyDescent="0.2">
      <c r="A373" s="206"/>
      <c r="B373" s="206"/>
      <c r="C373" s="206"/>
      <c r="D373" s="206"/>
      <c r="E373" s="206"/>
      <c r="F373" s="206"/>
      <c r="G373" s="206"/>
      <c r="H373" s="206"/>
      <c r="I373" s="206"/>
      <c r="J373" s="206"/>
      <c r="K373" s="206"/>
      <c r="L373" s="206"/>
      <c r="M373" s="288"/>
      <c r="N373" s="288"/>
      <c r="O373" s="289"/>
      <c r="P373" s="289"/>
      <c r="Q373" s="289"/>
      <c r="R373" s="206"/>
      <c r="S373" s="206"/>
      <c r="T373" s="288"/>
      <c r="U373" s="206"/>
      <c r="V373" s="206"/>
      <c r="W373" s="288"/>
      <c r="X373" s="209"/>
      <c r="Y373" s="209"/>
      <c r="Z373" s="209"/>
    </row>
    <row r="374" spans="1:26" ht="12.75" x14ac:dyDescent="0.2">
      <c r="A374" s="206"/>
      <c r="B374" s="206"/>
      <c r="C374" s="206"/>
      <c r="D374" s="206"/>
      <c r="E374" s="206"/>
      <c r="F374" s="206"/>
      <c r="G374" s="206"/>
      <c r="H374" s="206"/>
      <c r="I374" s="206"/>
      <c r="J374" s="206"/>
      <c r="K374" s="206"/>
      <c r="L374" s="206"/>
      <c r="M374" s="288"/>
      <c r="N374" s="288"/>
      <c r="O374" s="289"/>
      <c r="P374" s="289"/>
      <c r="Q374" s="289"/>
      <c r="R374" s="206"/>
      <c r="S374" s="206"/>
      <c r="T374" s="288"/>
      <c r="U374" s="206"/>
      <c r="V374" s="206"/>
      <c r="W374" s="288"/>
      <c r="X374" s="209"/>
      <c r="Y374" s="209"/>
      <c r="Z374" s="209"/>
    </row>
    <row r="375" spans="1:26" ht="12.75" x14ac:dyDescent="0.2">
      <c r="A375" s="206"/>
      <c r="B375" s="206"/>
      <c r="C375" s="206"/>
      <c r="D375" s="206"/>
      <c r="E375" s="206"/>
      <c r="F375" s="206"/>
      <c r="G375" s="206"/>
      <c r="H375" s="206"/>
      <c r="I375" s="206"/>
      <c r="J375" s="206"/>
      <c r="K375" s="206"/>
      <c r="L375" s="206"/>
      <c r="M375" s="288"/>
      <c r="N375" s="288"/>
      <c r="O375" s="289"/>
      <c r="P375" s="289"/>
      <c r="Q375" s="289"/>
      <c r="R375" s="206"/>
      <c r="S375" s="206"/>
      <c r="T375" s="288"/>
      <c r="U375" s="206"/>
      <c r="V375" s="206"/>
      <c r="W375" s="288"/>
      <c r="X375" s="209"/>
      <c r="Y375" s="209"/>
      <c r="Z375" s="209"/>
    </row>
    <row r="376" spans="1:26" ht="12.75" x14ac:dyDescent="0.2">
      <c r="A376" s="206"/>
      <c r="B376" s="206"/>
      <c r="C376" s="206"/>
      <c r="D376" s="206"/>
      <c r="E376" s="206"/>
      <c r="F376" s="206"/>
      <c r="G376" s="206"/>
      <c r="H376" s="206"/>
      <c r="I376" s="206"/>
      <c r="J376" s="206"/>
      <c r="K376" s="206"/>
      <c r="L376" s="206"/>
      <c r="M376" s="288"/>
      <c r="N376" s="288"/>
      <c r="O376" s="289"/>
      <c r="P376" s="289"/>
      <c r="Q376" s="289"/>
      <c r="R376" s="206"/>
      <c r="S376" s="206"/>
      <c r="T376" s="288"/>
      <c r="U376" s="206"/>
      <c r="V376" s="206"/>
      <c r="W376" s="288"/>
      <c r="X376" s="209"/>
      <c r="Y376" s="209"/>
      <c r="Z376" s="209"/>
    </row>
    <row r="377" spans="1:26" ht="12.75" x14ac:dyDescent="0.2">
      <c r="A377" s="206"/>
      <c r="B377" s="206"/>
      <c r="C377" s="206"/>
      <c r="D377" s="206"/>
      <c r="E377" s="206"/>
      <c r="F377" s="206"/>
      <c r="G377" s="206"/>
      <c r="H377" s="206"/>
      <c r="I377" s="206"/>
      <c r="J377" s="206"/>
      <c r="K377" s="206"/>
      <c r="L377" s="206"/>
      <c r="M377" s="288"/>
      <c r="N377" s="288"/>
      <c r="O377" s="289"/>
      <c r="P377" s="289"/>
      <c r="Q377" s="289"/>
      <c r="R377" s="206"/>
      <c r="S377" s="206"/>
      <c r="T377" s="288"/>
      <c r="U377" s="206"/>
      <c r="V377" s="206"/>
      <c r="W377" s="288"/>
      <c r="X377" s="209"/>
      <c r="Y377" s="209"/>
      <c r="Z377" s="209"/>
    </row>
    <row r="378" spans="1:26" ht="12.75" x14ac:dyDescent="0.2">
      <c r="A378" s="206"/>
      <c r="B378" s="206"/>
      <c r="C378" s="206"/>
      <c r="D378" s="206"/>
      <c r="E378" s="206"/>
      <c r="F378" s="206"/>
      <c r="G378" s="206"/>
      <c r="H378" s="206"/>
      <c r="I378" s="206"/>
      <c r="J378" s="206"/>
      <c r="K378" s="206"/>
      <c r="L378" s="206"/>
      <c r="M378" s="288"/>
      <c r="N378" s="288"/>
      <c r="O378" s="289"/>
      <c r="P378" s="289"/>
      <c r="Q378" s="289"/>
      <c r="R378" s="206"/>
      <c r="S378" s="206"/>
      <c r="T378" s="288"/>
      <c r="U378" s="206"/>
      <c r="V378" s="206"/>
      <c r="W378" s="288"/>
      <c r="X378" s="209"/>
      <c r="Y378" s="209"/>
      <c r="Z378" s="209"/>
    </row>
    <row r="379" spans="1:26" ht="12.75" x14ac:dyDescent="0.2">
      <c r="A379" s="206"/>
      <c r="B379" s="206"/>
      <c r="C379" s="206"/>
      <c r="D379" s="206"/>
      <c r="E379" s="206"/>
      <c r="F379" s="206"/>
      <c r="G379" s="206"/>
      <c r="H379" s="206"/>
      <c r="I379" s="206"/>
      <c r="J379" s="206"/>
      <c r="K379" s="206"/>
      <c r="L379" s="206"/>
      <c r="M379" s="288"/>
      <c r="N379" s="288"/>
      <c r="O379" s="289"/>
      <c r="P379" s="289"/>
      <c r="Q379" s="289"/>
      <c r="R379" s="206"/>
      <c r="S379" s="206"/>
      <c r="T379" s="288"/>
      <c r="U379" s="206"/>
      <c r="V379" s="206"/>
      <c r="W379" s="288"/>
      <c r="X379" s="209"/>
      <c r="Y379" s="209"/>
      <c r="Z379" s="209"/>
    </row>
    <row r="380" spans="1:26" ht="12.75" x14ac:dyDescent="0.2">
      <c r="A380" s="206"/>
      <c r="B380" s="206"/>
      <c r="C380" s="206"/>
      <c r="D380" s="206"/>
      <c r="E380" s="206"/>
      <c r="F380" s="206"/>
      <c r="G380" s="206"/>
      <c r="H380" s="206"/>
      <c r="I380" s="206"/>
      <c r="J380" s="206"/>
      <c r="K380" s="206"/>
      <c r="L380" s="206"/>
      <c r="M380" s="288"/>
      <c r="N380" s="288"/>
      <c r="O380" s="289"/>
      <c r="P380" s="289"/>
      <c r="Q380" s="289"/>
      <c r="R380" s="206"/>
      <c r="S380" s="206"/>
      <c r="T380" s="288"/>
      <c r="U380" s="206"/>
      <c r="V380" s="206"/>
      <c r="W380" s="288"/>
      <c r="X380" s="209"/>
      <c r="Y380" s="209"/>
      <c r="Z380" s="209"/>
    </row>
    <row r="381" spans="1:26" ht="12.75" x14ac:dyDescent="0.2">
      <c r="A381" s="206"/>
      <c r="B381" s="206"/>
      <c r="C381" s="206"/>
      <c r="D381" s="206"/>
      <c r="E381" s="206"/>
      <c r="F381" s="206"/>
      <c r="G381" s="206"/>
      <c r="H381" s="206"/>
      <c r="I381" s="206"/>
      <c r="J381" s="206"/>
      <c r="K381" s="206"/>
      <c r="L381" s="206"/>
      <c r="M381" s="288"/>
      <c r="N381" s="288"/>
      <c r="O381" s="289"/>
      <c r="P381" s="289"/>
      <c r="Q381" s="289"/>
      <c r="R381" s="206"/>
      <c r="S381" s="206"/>
      <c r="T381" s="288"/>
      <c r="U381" s="206"/>
      <c r="V381" s="206"/>
      <c r="W381" s="288"/>
      <c r="X381" s="209"/>
      <c r="Y381" s="209"/>
      <c r="Z381" s="209"/>
    </row>
    <row r="382" spans="1:26" ht="12.75" x14ac:dyDescent="0.2">
      <c r="A382" s="206"/>
      <c r="B382" s="206"/>
      <c r="C382" s="206"/>
      <c r="D382" s="206"/>
      <c r="E382" s="206"/>
      <c r="F382" s="206"/>
      <c r="G382" s="206"/>
      <c r="H382" s="206"/>
      <c r="I382" s="206"/>
      <c r="J382" s="206"/>
      <c r="K382" s="206"/>
      <c r="L382" s="206"/>
      <c r="M382" s="288"/>
      <c r="N382" s="288"/>
      <c r="O382" s="289"/>
      <c r="P382" s="289"/>
      <c r="Q382" s="289"/>
      <c r="R382" s="206"/>
      <c r="S382" s="206"/>
      <c r="T382" s="288"/>
      <c r="U382" s="206"/>
      <c r="V382" s="206"/>
      <c r="W382" s="288"/>
      <c r="X382" s="209"/>
      <c r="Y382" s="209"/>
      <c r="Z382" s="209"/>
    </row>
    <row r="383" spans="1:26" ht="12.75" x14ac:dyDescent="0.2">
      <c r="A383" s="206"/>
      <c r="B383" s="206"/>
      <c r="C383" s="206"/>
      <c r="D383" s="206"/>
      <c r="E383" s="206"/>
      <c r="F383" s="206"/>
      <c r="G383" s="206"/>
      <c r="H383" s="206"/>
      <c r="I383" s="206"/>
      <c r="J383" s="206"/>
      <c r="K383" s="206"/>
      <c r="L383" s="206"/>
      <c r="M383" s="288"/>
      <c r="N383" s="288"/>
      <c r="O383" s="289"/>
      <c r="P383" s="289"/>
      <c r="Q383" s="289"/>
      <c r="R383" s="206"/>
      <c r="S383" s="206"/>
      <c r="T383" s="288"/>
      <c r="U383" s="206"/>
      <c r="V383" s="206"/>
      <c r="W383" s="288"/>
      <c r="X383" s="209"/>
      <c r="Y383" s="209"/>
      <c r="Z383" s="209"/>
    </row>
    <row r="384" spans="1:26" ht="12.75" x14ac:dyDescent="0.2">
      <c r="A384" s="206"/>
      <c r="B384" s="206"/>
      <c r="C384" s="206"/>
      <c r="D384" s="206"/>
      <c r="E384" s="206"/>
      <c r="F384" s="206"/>
      <c r="G384" s="206"/>
      <c r="H384" s="206"/>
      <c r="I384" s="206"/>
      <c r="J384" s="206"/>
      <c r="K384" s="206"/>
      <c r="L384" s="206"/>
      <c r="M384" s="288"/>
      <c r="N384" s="288"/>
      <c r="O384" s="289"/>
      <c r="P384" s="289"/>
      <c r="Q384" s="289"/>
      <c r="R384" s="206"/>
      <c r="S384" s="206"/>
      <c r="T384" s="288"/>
      <c r="U384" s="206"/>
      <c r="V384" s="206"/>
      <c r="W384" s="288"/>
      <c r="X384" s="209"/>
      <c r="Y384" s="209"/>
      <c r="Z384" s="209"/>
    </row>
    <row r="385" spans="1:26" ht="12.75" x14ac:dyDescent="0.2">
      <c r="A385" s="206"/>
      <c r="B385" s="206"/>
      <c r="C385" s="206"/>
      <c r="D385" s="206"/>
      <c r="E385" s="206"/>
      <c r="F385" s="206"/>
      <c r="G385" s="206"/>
      <c r="H385" s="206"/>
      <c r="I385" s="206"/>
      <c r="J385" s="206"/>
      <c r="K385" s="206"/>
      <c r="L385" s="206"/>
      <c r="M385" s="288"/>
      <c r="N385" s="288"/>
      <c r="O385" s="289"/>
      <c r="P385" s="289"/>
      <c r="Q385" s="289"/>
      <c r="R385" s="206"/>
      <c r="S385" s="206"/>
      <c r="T385" s="288"/>
      <c r="U385" s="206"/>
      <c r="V385" s="206"/>
      <c r="W385" s="288"/>
      <c r="X385" s="209"/>
      <c r="Y385" s="209"/>
      <c r="Z385" s="209"/>
    </row>
    <row r="386" spans="1:26" ht="12.75" x14ac:dyDescent="0.2">
      <c r="A386" s="206"/>
      <c r="B386" s="206"/>
      <c r="C386" s="206"/>
      <c r="D386" s="206"/>
      <c r="E386" s="206"/>
      <c r="F386" s="206"/>
      <c r="G386" s="206"/>
      <c r="H386" s="206"/>
      <c r="I386" s="206"/>
      <c r="J386" s="206"/>
      <c r="K386" s="206"/>
      <c r="L386" s="206"/>
      <c r="M386" s="288"/>
      <c r="N386" s="288"/>
      <c r="O386" s="289"/>
      <c r="P386" s="289"/>
      <c r="Q386" s="289"/>
      <c r="R386" s="206"/>
      <c r="S386" s="206"/>
      <c r="T386" s="288"/>
      <c r="U386" s="206"/>
      <c r="V386" s="206"/>
      <c r="W386" s="288"/>
      <c r="X386" s="209"/>
      <c r="Y386" s="209"/>
      <c r="Z386" s="209"/>
    </row>
    <row r="387" spans="1:26" ht="12.75" x14ac:dyDescent="0.2">
      <c r="A387" s="206"/>
      <c r="B387" s="206"/>
      <c r="C387" s="206"/>
      <c r="D387" s="206"/>
      <c r="E387" s="206"/>
      <c r="F387" s="206"/>
      <c r="G387" s="206"/>
      <c r="H387" s="206"/>
      <c r="I387" s="206"/>
      <c r="J387" s="206"/>
      <c r="K387" s="206"/>
      <c r="L387" s="206"/>
      <c r="M387" s="288"/>
      <c r="N387" s="288"/>
      <c r="O387" s="289"/>
      <c r="P387" s="289"/>
      <c r="Q387" s="289"/>
      <c r="R387" s="206"/>
      <c r="S387" s="206"/>
      <c r="T387" s="288"/>
      <c r="U387" s="206"/>
      <c r="V387" s="206"/>
      <c r="W387" s="288"/>
      <c r="X387" s="209"/>
      <c r="Y387" s="209"/>
      <c r="Z387" s="209"/>
    </row>
    <row r="388" spans="1:26" ht="12.75" x14ac:dyDescent="0.2">
      <c r="A388" s="206"/>
      <c r="B388" s="206"/>
      <c r="C388" s="206"/>
      <c r="D388" s="206"/>
      <c r="E388" s="206"/>
      <c r="F388" s="206"/>
      <c r="G388" s="206"/>
      <c r="H388" s="206"/>
      <c r="I388" s="206"/>
      <c r="J388" s="206"/>
      <c r="K388" s="206"/>
      <c r="L388" s="206"/>
      <c r="M388" s="288"/>
      <c r="N388" s="288"/>
      <c r="O388" s="289"/>
      <c r="P388" s="289"/>
      <c r="Q388" s="289"/>
      <c r="R388" s="206"/>
      <c r="S388" s="206"/>
      <c r="T388" s="288"/>
      <c r="U388" s="206"/>
      <c r="V388" s="206"/>
      <c r="W388" s="288"/>
      <c r="X388" s="209"/>
      <c r="Y388" s="209"/>
      <c r="Z388" s="209"/>
    </row>
    <row r="389" spans="1:26" ht="12.75" x14ac:dyDescent="0.2">
      <c r="A389" s="206"/>
      <c r="B389" s="206"/>
      <c r="C389" s="206"/>
      <c r="D389" s="206"/>
      <c r="E389" s="206"/>
      <c r="F389" s="206"/>
      <c r="G389" s="206"/>
      <c r="H389" s="206"/>
      <c r="I389" s="206"/>
      <c r="J389" s="206"/>
      <c r="K389" s="206"/>
      <c r="L389" s="206"/>
      <c r="M389" s="288"/>
      <c r="N389" s="288"/>
      <c r="O389" s="289"/>
      <c r="P389" s="289"/>
      <c r="Q389" s="289"/>
      <c r="R389" s="206"/>
      <c r="S389" s="206"/>
      <c r="T389" s="288"/>
      <c r="U389" s="206"/>
      <c r="V389" s="206"/>
      <c r="W389" s="288"/>
      <c r="X389" s="209"/>
      <c r="Y389" s="209"/>
      <c r="Z389" s="209"/>
    </row>
    <row r="390" spans="1:26" ht="12.75" x14ac:dyDescent="0.2">
      <c r="A390" s="206"/>
      <c r="B390" s="206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88"/>
      <c r="N390" s="288"/>
      <c r="O390" s="289"/>
      <c r="P390" s="289"/>
      <c r="Q390" s="289"/>
      <c r="R390" s="206"/>
      <c r="S390" s="206"/>
      <c r="T390" s="288"/>
      <c r="U390" s="206"/>
      <c r="V390" s="206"/>
      <c r="W390" s="288"/>
      <c r="X390" s="209"/>
      <c r="Y390" s="209"/>
      <c r="Z390" s="209"/>
    </row>
    <row r="391" spans="1:26" ht="12.75" x14ac:dyDescent="0.2">
      <c r="A391" s="206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88"/>
      <c r="N391" s="288"/>
      <c r="O391" s="289"/>
      <c r="P391" s="289"/>
      <c r="Q391" s="289"/>
      <c r="R391" s="206"/>
      <c r="S391" s="206"/>
      <c r="T391" s="288"/>
      <c r="U391" s="206"/>
      <c r="V391" s="206"/>
      <c r="W391" s="288"/>
      <c r="X391" s="209"/>
      <c r="Y391" s="209"/>
      <c r="Z391" s="209"/>
    </row>
    <row r="392" spans="1:26" ht="12.75" x14ac:dyDescent="0.2">
      <c r="A392" s="206"/>
      <c r="B392" s="206"/>
      <c r="C392" s="206"/>
      <c r="D392" s="206"/>
      <c r="E392" s="206"/>
      <c r="F392" s="206"/>
      <c r="G392" s="206"/>
      <c r="H392" s="206"/>
      <c r="I392" s="206"/>
      <c r="J392" s="206"/>
      <c r="K392" s="206"/>
      <c r="L392" s="206"/>
      <c r="M392" s="288"/>
      <c r="N392" s="288"/>
      <c r="O392" s="289"/>
      <c r="P392" s="289"/>
      <c r="Q392" s="289"/>
      <c r="R392" s="206"/>
      <c r="S392" s="206"/>
      <c r="T392" s="288"/>
      <c r="U392" s="206"/>
      <c r="V392" s="206"/>
      <c r="W392" s="288"/>
      <c r="X392" s="209"/>
      <c r="Y392" s="209"/>
      <c r="Z392" s="209"/>
    </row>
    <row r="393" spans="1:26" ht="12.75" x14ac:dyDescent="0.2">
      <c r="A393" s="206"/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6"/>
      <c r="M393" s="288"/>
      <c r="N393" s="288"/>
      <c r="O393" s="289"/>
      <c r="P393" s="289"/>
      <c r="Q393" s="289"/>
      <c r="R393" s="206"/>
      <c r="S393" s="206"/>
      <c r="T393" s="288"/>
      <c r="U393" s="206"/>
      <c r="V393" s="206"/>
      <c r="W393" s="288"/>
      <c r="X393" s="209"/>
      <c r="Y393" s="209"/>
      <c r="Z393" s="209"/>
    </row>
    <row r="394" spans="1:26" ht="12.75" x14ac:dyDescent="0.2">
      <c r="A394" s="206"/>
      <c r="B394" s="206"/>
      <c r="C394" s="206"/>
      <c r="D394" s="206"/>
      <c r="E394" s="206"/>
      <c r="F394" s="206"/>
      <c r="G394" s="206"/>
      <c r="H394" s="206"/>
      <c r="I394" s="206"/>
      <c r="J394" s="206"/>
      <c r="K394" s="206"/>
      <c r="L394" s="206"/>
      <c r="M394" s="288"/>
      <c r="N394" s="288"/>
      <c r="O394" s="289"/>
      <c r="P394" s="289"/>
      <c r="Q394" s="289"/>
      <c r="R394" s="206"/>
      <c r="S394" s="206"/>
      <c r="T394" s="288"/>
      <c r="U394" s="206"/>
      <c r="V394" s="206"/>
      <c r="W394" s="288"/>
      <c r="X394" s="209"/>
      <c r="Y394" s="209"/>
      <c r="Z394" s="209"/>
    </row>
    <row r="395" spans="1:26" ht="12.75" x14ac:dyDescent="0.2">
      <c r="A395" s="206"/>
      <c r="B395" s="206"/>
      <c r="C395" s="206"/>
      <c r="D395" s="206"/>
      <c r="E395" s="206"/>
      <c r="F395" s="206"/>
      <c r="G395" s="206"/>
      <c r="H395" s="206"/>
      <c r="I395" s="206"/>
      <c r="J395" s="206"/>
      <c r="K395" s="206"/>
      <c r="L395" s="206"/>
      <c r="M395" s="288"/>
      <c r="N395" s="288"/>
      <c r="O395" s="289"/>
      <c r="P395" s="289"/>
      <c r="Q395" s="289"/>
      <c r="R395" s="206"/>
      <c r="S395" s="206"/>
      <c r="T395" s="288"/>
      <c r="U395" s="206"/>
      <c r="V395" s="206"/>
      <c r="W395" s="288"/>
      <c r="X395" s="209"/>
      <c r="Y395" s="209"/>
      <c r="Z395" s="209"/>
    </row>
    <row r="396" spans="1:26" ht="12.75" x14ac:dyDescent="0.2">
      <c r="A396" s="206"/>
      <c r="B396" s="206"/>
      <c r="C396" s="206"/>
      <c r="D396" s="206"/>
      <c r="E396" s="206"/>
      <c r="F396" s="206"/>
      <c r="G396" s="206"/>
      <c r="H396" s="206"/>
      <c r="I396" s="206"/>
      <c r="J396" s="206"/>
      <c r="K396" s="206"/>
      <c r="L396" s="206"/>
      <c r="M396" s="288"/>
      <c r="N396" s="288"/>
      <c r="O396" s="289"/>
      <c r="P396" s="289"/>
      <c r="Q396" s="289"/>
      <c r="R396" s="206"/>
      <c r="S396" s="206"/>
      <c r="T396" s="288"/>
      <c r="U396" s="206"/>
      <c r="V396" s="206"/>
      <c r="W396" s="288"/>
      <c r="X396" s="209"/>
      <c r="Y396" s="209"/>
      <c r="Z396" s="209"/>
    </row>
    <row r="397" spans="1:26" ht="12.75" x14ac:dyDescent="0.2">
      <c r="A397" s="206"/>
      <c r="B397" s="206"/>
      <c r="C397" s="206"/>
      <c r="D397" s="206"/>
      <c r="E397" s="206"/>
      <c r="F397" s="206"/>
      <c r="G397" s="206"/>
      <c r="H397" s="206"/>
      <c r="I397" s="206"/>
      <c r="J397" s="206"/>
      <c r="K397" s="206"/>
      <c r="L397" s="206"/>
      <c r="M397" s="288"/>
      <c r="N397" s="288"/>
      <c r="O397" s="289"/>
      <c r="P397" s="289"/>
      <c r="Q397" s="289"/>
      <c r="R397" s="206"/>
      <c r="S397" s="206"/>
      <c r="T397" s="288"/>
      <c r="U397" s="206"/>
      <c r="V397" s="206"/>
      <c r="W397" s="288"/>
      <c r="X397" s="209"/>
      <c r="Y397" s="209"/>
      <c r="Z397" s="209"/>
    </row>
    <row r="398" spans="1:26" ht="12.75" x14ac:dyDescent="0.2">
      <c r="A398" s="206"/>
      <c r="B398" s="206"/>
      <c r="C398" s="206"/>
      <c r="D398" s="206"/>
      <c r="E398" s="206"/>
      <c r="F398" s="206"/>
      <c r="G398" s="206"/>
      <c r="H398" s="206"/>
      <c r="I398" s="206"/>
      <c r="J398" s="206"/>
      <c r="K398" s="206"/>
      <c r="L398" s="206"/>
      <c r="M398" s="288"/>
      <c r="N398" s="288"/>
      <c r="O398" s="289"/>
      <c r="P398" s="289"/>
      <c r="Q398" s="289"/>
      <c r="R398" s="206"/>
      <c r="S398" s="206"/>
      <c r="T398" s="288"/>
      <c r="U398" s="206"/>
      <c r="V398" s="206"/>
      <c r="W398" s="288"/>
      <c r="X398" s="209"/>
      <c r="Y398" s="209"/>
      <c r="Z398" s="209"/>
    </row>
    <row r="399" spans="1:26" ht="12.75" x14ac:dyDescent="0.2">
      <c r="A399" s="206"/>
      <c r="B399" s="206"/>
      <c r="C399" s="206"/>
      <c r="D399" s="206"/>
      <c r="E399" s="206"/>
      <c r="F399" s="206"/>
      <c r="G399" s="206"/>
      <c r="H399" s="206"/>
      <c r="I399" s="206"/>
      <c r="J399" s="206"/>
      <c r="K399" s="206"/>
      <c r="L399" s="206"/>
      <c r="M399" s="288"/>
      <c r="N399" s="288"/>
      <c r="O399" s="289"/>
      <c r="P399" s="289"/>
      <c r="Q399" s="289"/>
      <c r="R399" s="206"/>
      <c r="S399" s="206"/>
      <c r="T399" s="288"/>
      <c r="U399" s="206"/>
      <c r="V399" s="206"/>
      <c r="W399" s="288"/>
      <c r="X399" s="209"/>
      <c r="Y399" s="209"/>
      <c r="Z399" s="209"/>
    </row>
    <row r="400" spans="1:26" ht="12.75" x14ac:dyDescent="0.2">
      <c r="A400" s="206"/>
      <c r="B400" s="206"/>
      <c r="C400" s="206"/>
      <c r="D400" s="206"/>
      <c r="E400" s="206"/>
      <c r="F400" s="206"/>
      <c r="G400" s="206"/>
      <c r="H400" s="206"/>
      <c r="I400" s="206"/>
      <c r="J400" s="206"/>
      <c r="K400" s="206"/>
      <c r="L400" s="206"/>
      <c r="M400" s="288"/>
      <c r="N400" s="288"/>
      <c r="O400" s="289"/>
      <c r="P400" s="289"/>
      <c r="Q400" s="289"/>
      <c r="R400" s="206"/>
      <c r="S400" s="206"/>
      <c r="T400" s="288"/>
      <c r="U400" s="206"/>
      <c r="V400" s="206"/>
      <c r="W400" s="288"/>
      <c r="X400" s="209"/>
      <c r="Y400" s="209"/>
      <c r="Z400" s="209"/>
    </row>
    <row r="401" spans="1:26" ht="12.75" x14ac:dyDescent="0.2">
      <c r="A401" s="206"/>
      <c r="B401" s="206"/>
      <c r="C401" s="206"/>
      <c r="D401" s="206"/>
      <c r="E401" s="206"/>
      <c r="F401" s="206"/>
      <c r="G401" s="206"/>
      <c r="H401" s="206"/>
      <c r="I401" s="206"/>
      <c r="J401" s="206"/>
      <c r="K401" s="206"/>
      <c r="L401" s="206"/>
      <c r="M401" s="288"/>
      <c r="N401" s="288"/>
      <c r="O401" s="289"/>
      <c r="P401" s="289"/>
      <c r="Q401" s="289"/>
      <c r="R401" s="206"/>
      <c r="S401" s="206"/>
      <c r="T401" s="288"/>
      <c r="U401" s="206"/>
      <c r="V401" s="206"/>
      <c r="W401" s="288"/>
      <c r="X401" s="209"/>
      <c r="Y401" s="209"/>
      <c r="Z401" s="209"/>
    </row>
    <row r="402" spans="1:26" ht="12.75" x14ac:dyDescent="0.2">
      <c r="A402" s="206"/>
      <c r="B402" s="206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88"/>
      <c r="N402" s="288"/>
      <c r="O402" s="289"/>
      <c r="P402" s="289"/>
      <c r="Q402" s="289"/>
      <c r="R402" s="206"/>
      <c r="S402" s="206"/>
      <c r="T402" s="288"/>
      <c r="U402" s="206"/>
      <c r="V402" s="206"/>
      <c r="W402" s="288"/>
      <c r="X402" s="209"/>
      <c r="Y402" s="209"/>
      <c r="Z402" s="209"/>
    </row>
    <row r="403" spans="1:26" ht="12.75" x14ac:dyDescent="0.2">
      <c r="A403" s="206"/>
      <c r="B403" s="206"/>
      <c r="C403" s="206"/>
      <c r="D403" s="206"/>
      <c r="E403" s="206"/>
      <c r="F403" s="206"/>
      <c r="G403" s="206"/>
      <c r="H403" s="206"/>
      <c r="I403" s="206"/>
      <c r="J403" s="206"/>
      <c r="K403" s="206"/>
      <c r="L403" s="206"/>
      <c r="M403" s="288"/>
      <c r="N403" s="288"/>
      <c r="O403" s="289"/>
      <c r="P403" s="289"/>
      <c r="Q403" s="289"/>
      <c r="R403" s="206"/>
      <c r="S403" s="206"/>
      <c r="T403" s="288"/>
      <c r="U403" s="206"/>
      <c r="V403" s="206"/>
      <c r="W403" s="288"/>
      <c r="X403" s="209"/>
      <c r="Y403" s="209"/>
      <c r="Z403" s="209"/>
    </row>
    <row r="404" spans="1:26" ht="12.75" x14ac:dyDescent="0.2">
      <c r="A404" s="206"/>
      <c r="B404" s="206"/>
      <c r="C404" s="206"/>
      <c r="D404" s="206"/>
      <c r="E404" s="206"/>
      <c r="F404" s="206"/>
      <c r="G404" s="206"/>
      <c r="H404" s="206"/>
      <c r="I404" s="206"/>
      <c r="J404" s="206"/>
      <c r="K404" s="206"/>
      <c r="L404" s="206"/>
      <c r="M404" s="288"/>
      <c r="N404" s="288"/>
      <c r="O404" s="289"/>
      <c r="P404" s="289"/>
      <c r="Q404" s="289"/>
      <c r="R404" s="206"/>
      <c r="S404" s="206"/>
      <c r="T404" s="288"/>
      <c r="U404" s="206"/>
      <c r="V404" s="206"/>
      <c r="W404" s="288"/>
      <c r="X404" s="209"/>
      <c r="Y404" s="209"/>
      <c r="Z404" s="209"/>
    </row>
    <row r="405" spans="1:26" ht="12.75" x14ac:dyDescent="0.2">
      <c r="A405" s="206"/>
      <c r="B405" s="206"/>
      <c r="C405" s="206"/>
      <c r="D405" s="206"/>
      <c r="E405" s="206"/>
      <c r="F405" s="206"/>
      <c r="G405" s="206"/>
      <c r="H405" s="206"/>
      <c r="I405" s="206"/>
      <c r="J405" s="206"/>
      <c r="K405" s="206"/>
      <c r="L405" s="206"/>
      <c r="M405" s="288"/>
      <c r="N405" s="288"/>
      <c r="O405" s="289"/>
      <c r="P405" s="289"/>
      <c r="Q405" s="289"/>
      <c r="R405" s="206"/>
      <c r="S405" s="206"/>
      <c r="T405" s="288"/>
      <c r="U405" s="206"/>
      <c r="V405" s="206"/>
      <c r="W405" s="288"/>
      <c r="X405" s="209"/>
      <c r="Y405" s="209"/>
      <c r="Z405" s="209"/>
    </row>
    <row r="406" spans="1:26" ht="12.75" x14ac:dyDescent="0.2">
      <c r="A406" s="206"/>
      <c r="B406" s="206"/>
      <c r="C406" s="206"/>
      <c r="D406" s="206"/>
      <c r="E406" s="206"/>
      <c r="F406" s="206"/>
      <c r="G406" s="206"/>
      <c r="H406" s="206"/>
      <c r="I406" s="206"/>
      <c r="J406" s="206"/>
      <c r="K406" s="206"/>
      <c r="L406" s="206"/>
      <c r="M406" s="288"/>
      <c r="N406" s="288"/>
      <c r="O406" s="289"/>
      <c r="P406" s="289"/>
      <c r="Q406" s="289"/>
      <c r="R406" s="206"/>
      <c r="S406" s="206"/>
      <c r="T406" s="288"/>
      <c r="U406" s="206"/>
      <c r="V406" s="206"/>
      <c r="W406" s="288"/>
      <c r="X406" s="209"/>
      <c r="Y406" s="209"/>
      <c r="Z406" s="209"/>
    </row>
    <row r="407" spans="1:26" ht="12.75" x14ac:dyDescent="0.2">
      <c r="A407" s="206"/>
      <c r="B407" s="206"/>
      <c r="C407" s="206"/>
      <c r="D407" s="206"/>
      <c r="E407" s="206"/>
      <c r="F407" s="206"/>
      <c r="G407" s="206"/>
      <c r="H407" s="206"/>
      <c r="I407" s="206"/>
      <c r="J407" s="206"/>
      <c r="K407" s="206"/>
      <c r="L407" s="206"/>
      <c r="M407" s="288"/>
      <c r="N407" s="288"/>
      <c r="O407" s="289"/>
      <c r="P407" s="289"/>
      <c r="Q407" s="289"/>
      <c r="R407" s="206"/>
      <c r="S407" s="206"/>
      <c r="T407" s="288"/>
      <c r="U407" s="206"/>
      <c r="V407" s="206"/>
      <c r="W407" s="288"/>
      <c r="X407" s="209"/>
      <c r="Y407" s="209"/>
      <c r="Z407" s="209"/>
    </row>
    <row r="408" spans="1:26" ht="12.75" x14ac:dyDescent="0.2">
      <c r="A408" s="206"/>
      <c r="B408" s="206"/>
      <c r="C408" s="206"/>
      <c r="D408" s="206"/>
      <c r="E408" s="206"/>
      <c r="F408" s="206"/>
      <c r="G408" s="206"/>
      <c r="H408" s="206"/>
      <c r="I408" s="206"/>
      <c r="J408" s="206"/>
      <c r="K408" s="206"/>
      <c r="L408" s="206"/>
      <c r="M408" s="288"/>
      <c r="N408" s="288"/>
      <c r="O408" s="289"/>
      <c r="P408" s="289"/>
      <c r="Q408" s="289"/>
      <c r="R408" s="206"/>
      <c r="S408" s="206"/>
      <c r="T408" s="288"/>
      <c r="U408" s="206"/>
      <c r="V408" s="206"/>
      <c r="W408" s="288"/>
      <c r="X408" s="209"/>
      <c r="Y408" s="209"/>
      <c r="Z408" s="209"/>
    </row>
    <row r="409" spans="1:26" ht="12.75" x14ac:dyDescent="0.2">
      <c r="A409" s="206"/>
      <c r="B409" s="206"/>
      <c r="C409" s="206"/>
      <c r="D409" s="206"/>
      <c r="E409" s="206"/>
      <c r="F409" s="206"/>
      <c r="G409" s="206"/>
      <c r="H409" s="206"/>
      <c r="I409" s="206"/>
      <c r="J409" s="206"/>
      <c r="K409" s="206"/>
      <c r="L409" s="206"/>
      <c r="M409" s="288"/>
      <c r="N409" s="288"/>
      <c r="O409" s="289"/>
      <c r="P409" s="289"/>
      <c r="Q409" s="289"/>
      <c r="R409" s="206"/>
      <c r="S409" s="206"/>
      <c r="T409" s="288"/>
      <c r="U409" s="206"/>
      <c r="V409" s="206"/>
      <c r="W409" s="288"/>
      <c r="X409" s="209"/>
      <c r="Y409" s="209"/>
      <c r="Z409" s="209"/>
    </row>
    <row r="410" spans="1:26" ht="12.75" x14ac:dyDescent="0.2">
      <c r="A410" s="206"/>
      <c r="B410" s="206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88"/>
      <c r="N410" s="288"/>
      <c r="O410" s="289"/>
      <c r="P410" s="289"/>
      <c r="Q410" s="289"/>
      <c r="R410" s="206"/>
      <c r="S410" s="206"/>
      <c r="T410" s="288"/>
      <c r="U410" s="206"/>
      <c r="V410" s="206"/>
      <c r="W410" s="288"/>
      <c r="X410" s="209"/>
      <c r="Y410" s="209"/>
      <c r="Z410" s="209"/>
    </row>
    <row r="411" spans="1:26" ht="12.75" x14ac:dyDescent="0.2">
      <c r="A411" s="206"/>
      <c r="B411" s="206"/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88"/>
      <c r="N411" s="288"/>
      <c r="O411" s="289"/>
      <c r="P411" s="289"/>
      <c r="Q411" s="289"/>
      <c r="R411" s="206"/>
      <c r="S411" s="206"/>
      <c r="T411" s="288"/>
      <c r="U411" s="206"/>
      <c r="V411" s="206"/>
      <c r="W411" s="288"/>
      <c r="X411" s="209"/>
      <c r="Y411" s="209"/>
      <c r="Z411" s="209"/>
    </row>
    <row r="412" spans="1:26" ht="12.75" x14ac:dyDescent="0.2">
      <c r="A412" s="206"/>
      <c r="B412" s="206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88"/>
      <c r="N412" s="288"/>
      <c r="O412" s="289"/>
      <c r="P412" s="289"/>
      <c r="Q412" s="289"/>
      <c r="R412" s="206"/>
      <c r="S412" s="206"/>
      <c r="T412" s="288"/>
      <c r="U412" s="206"/>
      <c r="V412" s="206"/>
      <c r="W412" s="288"/>
      <c r="X412" s="209"/>
      <c r="Y412" s="209"/>
      <c r="Z412" s="209"/>
    </row>
    <row r="413" spans="1:26" ht="12.75" x14ac:dyDescent="0.2">
      <c r="A413" s="206"/>
      <c r="B413" s="206"/>
      <c r="C413" s="206"/>
      <c r="D413" s="206"/>
      <c r="E413" s="206"/>
      <c r="F413" s="206"/>
      <c r="G413" s="206"/>
      <c r="H413" s="206"/>
      <c r="I413" s="206"/>
      <c r="J413" s="206"/>
      <c r="K413" s="206"/>
      <c r="L413" s="206"/>
      <c r="M413" s="288"/>
      <c r="N413" s="288"/>
      <c r="O413" s="289"/>
      <c r="P413" s="289"/>
      <c r="Q413" s="289"/>
      <c r="R413" s="206"/>
      <c r="S413" s="206"/>
      <c r="T413" s="288"/>
      <c r="U413" s="206"/>
      <c r="V413" s="206"/>
      <c r="W413" s="288"/>
      <c r="X413" s="209"/>
      <c r="Y413" s="209"/>
      <c r="Z413" s="209"/>
    </row>
    <row r="414" spans="1:26" ht="12.75" x14ac:dyDescent="0.2">
      <c r="A414" s="206"/>
      <c r="B414" s="206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88"/>
      <c r="N414" s="288"/>
      <c r="O414" s="289"/>
      <c r="P414" s="289"/>
      <c r="Q414" s="289"/>
      <c r="R414" s="206"/>
      <c r="S414" s="206"/>
      <c r="T414" s="288"/>
      <c r="U414" s="206"/>
      <c r="V414" s="206"/>
      <c r="W414" s="288"/>
      <c r="X414" s="209"/>
      <c r="Y414" s="209"/>
      <c r="Z414" s="209"/>
    </row>
    <row r="415" spans="1:26" ht="12.75" x14ac:dyDescent="0.2">
      <c r="A415" s="206"/>
      <c r="B415" s="206"/>
      <c r="C415" s="206"/>
      <c r="D415" s="206"/>
      <c r="E415" s="206"/>
      <c r="F415" s="206"/>
      <c r="G415" s="206"/>
      <c r="H415" s="206"/>
      <c r="I415" s="206"/>
      <c r="J415" s="206"/>
      <c r="K415" s="206"/>
      <c r="L415" s="206"/>
      <c r="M415" s="288"/>
      <c r="N415" s="288"/>
      <c r="O415" s="289"/>
      <c r="P415" s="289"/>
      <c r="Q415" s="289"/>
      <c r="R415" s="206"/>
      <c r="S415" s="206"/>
      <c r="T415" s="288"/>
      <c r="U415" s="206"/>
      <c r="V415" s="206"/>
      <c r="W415" s="288"/>
      <c r="X415" s="209"/>
      <c r="Y415" s="209"/>
      <c r="Z415" s="209"/>
    </row>
    <row r="416" spans="1:26" ht="12.75" x14ac:dyDescent="0.2">
      <c r="A416" s="206"/>
      <c r="B416" s="206"/>
      <c r="C416" s="206"/>
      <c r="D416" s="206"/>
      <c r="E416" s="206"/>
      <c r="F416" s="206"/>
      <c r="G416" s="206"/>
      <c r="H416" s="206"/>
      <c r="I416" s="206"/>
      <c r="J416" s="206"/>
      <c r="K416" s="206"/>
      <c r="L416" s="206"/>
      <c r="M416" s="288"/>
      <c r="N416" s="288"/>
      <c r="O416" s="289"/>
      <c r="P416" s="289"/>
      <c r="Q416" s="289"/>
      <c r="R416" s="206"/>
      <c r="S416" s="206"/>
      <c r="T416" s="288"/>
      <c r="U416" s="206"/>
      <c r="V416" s="206"/>
      <c r="W416" s="288"/>
      <c r="X416" s="209"/>
      <c r="Y416" s="209"/>
      <c r="Z416" s="209"/>
    </row>
    <row r="417" spans="1:26" ht="12.75" x14ac:dyDescent="0.2">
      <c r="A417" s="206"/>
      <c r="B417" s="206"/>
      <c r="C417" s="206"/>
      <c r="D417" s="206"/>
      <c r="E417" s="206"/>
      <c r="F417" s="206"/>
      <c r="G417" s="206"/>
      <c r="H417" s="206"/>
      <c r="I417" s="206"/>
      <c r="J417" s="206"/>
      <c r="K417" s="206"/>
      <c r="L417" s="206"/>
      <c r="M417" s="288"/>
      <c r="N417" s="288"/>
      <c r="O417" s="289"/>
      <c r="P417" s="289"/>
      <c r="Q417" s="289"/>
      <c r="R417" s="206"/>
      <c r="S417" s="206"/>
      <c r="T417" s="288"/>
      <c r="U417" s="206"/>
      <c r="V417" s="206"/>
      <c r="W417" s="288"/>
      <c r="X417" s="209"/>
      <c r="Y417" s="209"/>
      <c r="Z417" s="209"/>
    </row>
    <row r="418" spans="1:26" ht="12.75" x14ac:dyDescent="0.2">
      <c r="A418" s="206"/>
      <c r="B418" s="206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88"/>
      <c r="N418" s="288"/>
      <c r="O418" s="289"/>
      <c r="P418" s="289"/>
      <c r="Q418" s="289"/>
      <c r="R418" s="206"/>
      <c r="S418" s="206"/>
      <c r="T418" s="288"/>
      <c r="U418" s="206"/>
      <c r="V418" s="206"/>
      <c r="W418" s="288"/>
      <c r="X418" s="209"/>
      <c r="Y418" s="209"/>
      <c r="Z418" s="209"/>
    </row>
    <row r="419" spans="1:26" ht="12.75" x14ac:dyDescent="0.2">
      <c r="A419" s="206"/>
      <c r="B419" s="206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88"/>
      <c r="N419" s="288"/>
      <c r="O419" s="289"/>
      <c r="P419" s="289"/>
      <c r="Q419" s="289"/>
      <c r="R419" s="206"/>
      <c r="S419" s="206"/>
      <c r="T419" s="288"/>
      <c r="U419" s="206"/>
      <c r="V419" s="206"/>
      <c r="W419" s="288"/>
      <c r="X419" s="209"/>
      <c r="Y419" s="209"/>
      <c r="Z419" s="209"/>
    </row>
    <row r="420" spans="1:26" ht="12.75" x14ac:dyDescent="0.2">
      <c r="A420" s="206"/>
      <c r="B420" s="206"/>
      <c r="C420" s="206"/>
      <c r="D420" s="206"/>
      <c r="E420" s="206"/>
      <c r="F420" s="206"/>
      <c r="G420" s="206"/>
      <c r="H420" s="206"/>
      <c r="I420" s="206"/>
      <c r="J420" s="206"/>
      <c r="K420" s="206"/>
      <c r="L420" s="206"/>
      <c r="M420" s="288"/>
      <c r="N420" s="288"/>
      <c r="O420" s="289"/>
      <c r="P420" s="289"/>
      <c r="Q420" s="289"/>
      <c r="R420" s="206"/>
      <c r="S420" s="206"/>
      <c r="T420" s="288"/>
      <c r="U420" s="206"/>
      <c r="V420" s="206"/>
      <c r="W420" s="288"/>
      <c r="X420" s="209"/>
      <c r="Y420" s="209"/>
      <c r="Z420" s="209"/>
    </row>
    <row r="421" spans="1:26" ht="12.75" x14ac:dyDescent="0.2">
      <c r="A421" s="206"/>
      <c r="B421" s="206"/>
      <c r="C421" s="206"/>
      <c r="D421" s="206"/>
      <c r="E421" s="206"/>
      <c r="F421" s="206"/>
      <c r="G421" s="206"/>
      <c r="H421" s="206"/>
      <c r="I421" s="206"/>
      <c r="J421" s="206"/>
      <c r="K421" s="206"/>
      <c r="L421" s="206"/>
      <c r="M421" s="288"/>
      <c r="N421" s="288"/>
      <c r="O421" s="289"/>
      <c r="P421" s="289"/>
      <c r="Q421" s="289"/>
      <c r="R421" s="206"/>
      <c r="S421" s="206"/>
      <c r="T421" s="288"/>
      <c r="U421" s="206"/>
      <c r="V421" s="206"/>
      <c r="W421" s="288"/>
      <c r="X421" s="209"/>
      <c r="Y421" s="209"/>
      <c r="Z421" s="209"/>
    </row>
    <row r="422" spans="1:26" ht="12.75" x14ac:dyDescent="0.2">
      <c r="A422" s="206"/>
      <c r="B422" s="206"/>
      <c r="C422" s="206"/>
      <c r="D422" s="206"/>
      <c r="E422" s="206"/>
      <c r="F422" s="206"/>
      <c r="G422" s="206"/>
      <c r="H422" s="206"/>
      <c r="I422" s="206"/>
      <c r="J422" s="206"/>
      <c r="K422" s="206"/>
      <c r="L422" s="206"/>
      <c r="M422" s="288"/>
      <c r="N422" s="288"/>
      <c r="O422" s="289"/>
      <c r="P422" s="289"/>
      <c r="Q422" s="289"/>
      <c r="R422" s="206"/>
      <c r="S422" s="206"/>
      <c r="T422" s="288"/>
      <c r="U422" s="206"/>
      <c r="V422" s="206"/>
      <c r="W422" s="288"/>
      <c r="X422" s="209"/>
      <c r="Y422" s="209"/>
      <c r="Z422" s="209"/>
    </row>
    <row r="423" spans="1:26" ht="12.75" x14ac:dyDescent="0.2">
      <c r="A423" s="206"/>
      <c r="B423" s="206"/>
      <c r="C423" s="206"/>
      <c r="D423" s="206"/>
      <c r="E423" s="206"/>
      <c r="F423" s="206"/>
      <c r="G423" s="206"/>
      <c r="H423" s="206"/>
      <c r="I423" s="206"/>
      <c r="J423" s="206"/>
      <c r="K423" s="206"/>
      <c r="L423" s="206"/>
      <c r="M423" s="288"/>
      <c r="N423" s="288"/>
      <c r="O423" s="289"/>
      <c r="P423" s="289"/>
      <c r="Q423" s="289"/>
      <c r="R423" s="206"/>
      <c r="S423" s="206"/>
      <c r="T423" s="288"/>
      <c r="U423" s="206"/>
      <c r="V423" s="206"/>
      <c r="W423" s="288"/>
      <c r="X423" s="209"/>
      <c r="Y423" s="209"/>
      <c r="Z423" s="209"/>
    </row>
    <row r="424" spans="1:26" ht="12.75" x14ac:dyDescent="0.2">
      <c r="A424" s="206"/>
      <c r="B424" s="206"/>
      <c r="C424" s="206"/>
      <c r="D424" s="206"/>
      <c r="E424" s="206"/>
      <c r="F424" s="206"/>
      <c r="G424" s="206"/>
      <c r="H424" s="206"/>
      <c r="I424" s="206"/>
      <c r="J424" s="206"/>
      <c r="K424" s="206"/>
      <c r="L424" s="206"/>
      <c r="M424" s="288"/>
      <c r="N424" s="288"/>
      <c r="O424" s="289"/>
      <c r="P424" s="289"/>
      <c r="Q424" s="289"/>
      <c r="R424" s="206"/>
      <c r="S424" s="206"/>
      <c r="T424" s="288"/>
      <c r="U424" s="206"/>
      <c r="V424" s="206"/>
      <c r="W424" s="288"/>
      <c r="X424" s="209"/>
      <c r="Y424" s="209"/>
      <c r="Z424" s="209"/>
    </row>
    <row r="425" spans="1:26" ht="12.75" x14ac:dyDescent="0.2">
      <c r="A425" s="206"/>
      <c r="B425" s="206"/>
      <c r="C425" s="206"/>
      <c r="D425" s="206"/>
      <c r="E425" s="206"/>
      <c r="F425" s="206"/>
      <c r="G425" s="206"/>
      <c r="H425" s="206"/>
      <c r="I425" s="206"/>
      <c r="J425" s="206"/>
      <c r="K425" s="206"/>
      <c r="L425" s="206"/>
      <c r="M425" s="288"/>
      <c r="N425" s="288"/>
      <c r="O425" s="289"/>
      <c r="P425" s="289"/>
      <c r="Q425" s="289"/>
      <c r="R425" s="206"/>
      <c r="S425" s="206"/>
      <c r="T425" s="288"/>
      <c r="U425" s="206"/>
      <c r="V425" s="206"/>
      <c r="W425" s="288"/>
      <c r="X425" s="209"/>
      <c r="Y425" s="209"/>
      <c r="Z425" s="209"/>
    </row>
    <row r="426" spans="1:26" ht="12.75" x14ac:dyDescent="0.2">
      <c r="A426" s="206"/>
      <c r="B426" s="206"/>
      <c r="C426" s="206"/>
      <c r="D426" s="206"/>
      <c r="E426" s="206"/>
      <c r="F426" s="206"/>
      <c r="G426" s="206"/>
      <c r="H426" s="206"/>
      <c r="I426" s="206"/>
      <c r="J426" s="206"/>
      <c r="K426" s="206"/>
      <c r="L426" s="206"/>
      <c r="M426" s="288"/>
      <c r="N426" s="288"/>
      <c r="O426" s="289"/>
      <c r="P426" s="289"/>
      <c r="Q426" s="289"/>
      <c r="R426" s="206"/>
      <c r="S426" s="206"/>
      <c r="T426" s="288"/>
      <c r="U426" s="206"/>
      <c r="V426" s="206"/>
      <c r="W426" s="288"/>
      <c r="X426" s="209"/>
      <c r="Y426" s="209"/>
      <c r="Z426" s="209"/>
    </row>
    <row r="427" spans="1:26" ht="12.75" x14ac:dyDescent="0.2">
      <c r="A427" s="206"/>
      <c r="B427" s="206"/>
      <c r="C427" s="206"/>
      <c r="D427" s="206"/>
      <c r="E427" s="206"/>
      <c r="F427" s="206"/>
      <c r="G427" s="206"/>
      <c r="H427" s="206"/>
      <c r="I427" s="206"/>
      <c r="J427" s="206"/>
      <c r="K427" s="206"/>
      <c r="L427" s="206"/>
      <c r="M427" s="288"/>
      <c r="N427" s="288"/>
      <c r="O427" s="289"/>
      <c r="P427" s="289"/>
      <c r="Q427" s="289"/>
      <c r="R427" s="206"/>
      <c r="S427" s="206"/>
      <c r="T427" s="288"/>
      <c r="U427" s="206"/>
      <c r="V427" s="206"/>
      <c r="W427" s="288"/>
      <c r="X427" s="209"/>
      <c r="Y427" s="209"/>
      <c r="Z427" s="209"/>
    </row>
    <row r="428" spans="1:26" ht="12.75" x14ac:dyDescent="0.2">
      <c r="A428" s="206"/>
      <c r="B428" s="206"/>
      <c r="C428" s="206"/>
      <c r="D428" s="206"/>
      <c r="E428" s="206"/>
      <c r="F428" s="206"/>
      <c r="G428" s="206"/>
      <c r="H428" s="206"/>
      <c r="I428" s="206"/>
      <c r="J428" s="206"/>
      <c r="K428" s="206"/>
      <c r="L428" s="206"/>
      <c r="M428" s="288"/>
      <c r="N428" s="288"/>
      <c r="O428" s="289"/>
      <c r="P428" s="289"/>
      <c r="Q428" s="289"/>
      <c r="R428" s="206"/>
      <c r="S428" s="206"/>
      <c r="T428" s="288"/>
      <c r="U428" s="206"/>
      <c r="V428" s="206"/>
      <c r="W428" s="288"/>
      <c r="X428" s="209"/>
      <c r="Y428" s="209"/>
      <c r="Z428" s="209"/>
    </row>
    <row r="429" spans="1:26" ht="12.75" x14ac:dyDescent="0.2">
      <c r="A429" s="206"/>
      <c r="B429" s="206"/>
      <c r="C429" s="206"/>
      <c r="D429" s="206"/>
      <c r="E429" s="206"/>
      <c r="F429" s="206"/>
      <c r="G429" s="206"/>
      <c r="H429" s="206"/>
      <c r="I429" s="206"/>
      <c r="J429" s="206"/>
      <c r="K429" s="206"/>
      <c r="L429" s="206"/>
      <c r="M429" s="288"/>
      <c r="N429" s="288"/>
      <c r="O429" s="289"/>
      <c r="P429" s="289"/>
      <c r="Q429" s="289"/>
      <c r="R429" s="206"/>
      <c r="S429" s="206"/>
      <c r="T429" s="288"/>
      <c r="U429" s="206"/>
      <c r="V429" s="206"/>
      <c r="W429" s="288"/>
      <c r="X429" s="209"/>
      <c r="Y429" s="209"/>
      <c r="Z429" s="209"/>
    </row>
    <row r="430" spans="1:26" ht="12.75" x14ac:dyDescent="0.2">
      <c r="A430" s="206"/>
      <c r="B430" s="206"/>
      <c r="C430" s="206"/>
      <c r="D430" s="206"/>
      <c r="E430" s="206"/>
      <c r="F430" s="206"/>
      <c r="G430" s="206"/>
      <c r="H430" s="206"/>
      <c r="I430" s="206"/>
      <c r="J430" s="206"/>
      <c r="K430" s="206"/>
      <c r="L430" s="206"/>
      <c r="M430" s="288"/>
      <c r="N430" s="288"/>
      <c r="O430" s="289"/>
      <c r="P430" s="289"/>
      <c r="Q430" s="289"/>
      <c r="R430" s="206"/>
      <c r="S430" s="206"/>
      <c r="T430" s="288"/>
      <c r="U430" s="206"/>
      <c r="V430" s="206"/>
      <c r="W430" s="288"/>
      <c r="X430" s="209"/>
      <c r="Y430" s="209"/>
      <c r="Z430" s="209"/>
    </row>
    <row r="431" spans="1:26" ht="12.75" x14ac:dyDescent="0.2">
      <c r="A431" s="206"/>
      <c r="B431" s="206"/>
      <c r="C431" s="206"/>
      <c r="D431" s="206"/>
      <c r="E431" s="206"/>
      <c r="F431" s="206"/>
      <c r="G431" s="206"/>
      <c r="H431" s="206"/>
      <c r="I431" s="206"/>
      <c r="J431" s="206"/>
      <c r="K431" s="206"/>
      <c r="L431" s="206"/>
      <c r="M431" s="288"/>
      <c r="N431" s="288"/>
      <c r="O431" s="289"/>
      <c r="P431" s="289"/>
      <c r="Q431" s="289"/>
      <c r="R431" s="206"/>
      <c r="S431" s="206"/>
      <c r="T431" s="288"/>
      <c r="U431" s="206"/>
      <c r="V431" s="206"/>
      <c r="W431" s="288"/>
      <c r="X431" s="209"/>
      <c r="Y431" s="209"/>
      <c r="Z431" s="209"/>
    </row>
    <row r="432" spans="1:26" ht="12.75" x14ac:dyDescent="0.2">
      <c r="A432" s="206"/>
      <c r="B432" s="206"/>
      <c r="C432" s="206"/>
      <c r="D432" s="206"/>
      <c r="E432" s="206"/>
      <c r="F432" s="206"/>
      <c r="G432" s="206"/>
      <c r="H432" s="206"/>
      <c r="I432" s="206"/>
      <c r="J432" s="206"/>
      <c r="K432" s="206"/>
      <c r="L432" s="206"/>
      <c r="M432" s="288"/>
      <c r="N432" s="288"/>
      <c r="O432" s="289"/>
      <c r="P432" s="289"/>
      <c r="Q432" s="289"/>
      <c r="R432" s="206"/>
      <c r="S432" s="206"/>
      <c r="T432" s="288"/>
      <c r="U432" s="206"/>
      <c r="V432" s="206"/>
      <c r="W432" s="288"/>
      <c r="X432" s="209"/>
      <c r="Y432" s="209"/>
      <c r="Z432" s="209"/>
    </row>
    <row r="433" spans="1:26" ht="12.75" x14ac:dyDescent="0.2">
      <c r="A433" s="206"/>
      <c r="B433" s="206"/>
      <c r="C433" s="206"/>
      <c r="D433" s="206"/>
      <c r="E433" s="206"/>
      <c r="F433" s="206"/>
      <c r="G433" s="206"/>
      <c r="H433" s="206"/>
      <c r="I433" s="206"/>
      <c r="J433" s="206"/>
      <c r="K433" s="206"/>
      <c r="L433" s="206"/>
      <c r="M433" s="288"/>
      <c r="N433" s="288"/>
      <c r="O433" s="289"/>
      <c r="P433" s="289"/>
      <c r="Q433" s="289"/>
      <c r="R433" s="206"/>
      <c r="S433" s="206"/>
      <c r="T433" s="288"/>
      <c r="U433" s="206"/>
      <c r="V433" s="206"/>
      <c r="W433" s="288"/>
      <c r="X433" s="209"/>
      <c r="Y433" s="209"/>
      <c r="Z433" s="209"/>
    </row>
    <row r="434" spans="1:26" ht="12.75" x14ac:dyDescent="0.2">
      <c r="A434" s="206"/>
      <c r="B434" s="206"/>
      <c r="C434" s="206"/>
      <c r="D434" s="206"/>
      <c r="E434" s="206"/>
      <c r="F434" s="206"/>
      <c r="G434" s="206"/>
      <c r="H434" s="206"/>
      <c r="I434" s="206"/>
      <c r="J434" s="206"/>
      <c r="K434" s="206"/>
      <c r="L434" s="206"/>
      <c r="M434" s="288"/>
      <c r="N434" s="288"/>
      <c r="O434" s="289"/>
      <c r="P434" s="289"/>
      <c r="Q434" s="289"/>
      <c r="R434" s="206"/>
      <c r="S434" s="206"/>
      <c r="T434" s="288"/>
      <c r="U434" s="206"/>
      <c r="V434" s="206"/>
      <c r="W434" s="288"/>
      <c r="X434" s="209"/>
      <c r="Y434" s="209"/>
      <c r="Z434" s="209"/>
    </row>
    <row r="435" spans="1:26" ht="12.75" x14ac:dyDescent="0.2">
      <c r="A435" s="206"/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88"/>
      <c r="N435" s="288"/>
      <c r="O435" s="289"/>
      <c r="P435" s="289"/>
      <c r="Q435" s="289"/>
      <c r="R435" s="206"/>
      <c r="S435" s="206"/>
      <c r="T435" s="288"/>
      <c r="U435" s="206"/>
      <c r="V435" s="206"/>
      <c r="W435" s="288"/>
      <c r="X435" s="209"/>
      <c r="Y435" s="209"/>
      <c r="Z435" s="209"/>
    </row>
    <row r="436" spans="1:26" ht="12.75" x14ac:dyDescent="0.2">
      <c r="A436" s="206"/>
      <c r="B436" s="206"/>
      <c r="C436" s="206"/>
      <c r="D436" s="206"/>
      <c r="E436" s="206"/>
      <c r="F436" s="206"/>
      <c r="G436" s="206"/>
      <c r="H436" s="206"/>
      <c r="I436" s="206"/>
      <c r="J436" s="206"/>
      <c r="K436" s="206"/>
      <c r="L436" s="206"/>
      <c r="M436" s="288"/>
      <c r="N436" s="288"/>
      <c r="O436" s="289"/>
      <c r="P436" s="289"/>
      <c r="Q436" s="289"/>
      <c r="R436" s="206"/>
      <c r="S436" s="206"/>
      <c r="T436" s="288"/>
      <c r="U436" s="206"/>
      <c r="V436" s="206"/>
      <c r="W436" s="288"/>
      <c r="X436" s="209"/>
      <c r="Y436" s="209"/>
      <c r="Z436" s="209"/>
    </row>
    <row r="437" spans="1:26" ht="12.75" x14ac:dyDescent="0.2">
      <c r="A437" s="206"/>
      <c r="B437" s="206"/>
      <c r="C437" s="206"/>
      <c r="D437" s="206"/>
      <c r="E437" s="206"/>
      <c r="F437" s="206"/>
      <c r="G437" s="206"/>
      <c r="H437" s="206"/>
      <c r="I437" s="206"/>
      <c r="J437" s="206"/>
      <c r="K437" s="206"/>
      <c r="L437" s="206"/>
      <c r="M437" s="288"/>
      <c r="N437" s="288"/>
      <c r="O437" s="289"/>
      <c r="P437" s="289"/>
      <c r="Q437" s="289"/>
      <c r="R437" s="206"/>
      <c r="S437" s="206"/>
      <c r="T437" s="288"/>
      <c r="U437" s="206"/>
      <c r="V437" s="206"/>
      <c r="W437" s="288"/>
      <c r="X437" s="209"/>
      <c r="Y437" s="209"/>
      <c r="Z437" s="209"/>
    </row>
    <row r="438" spans="1:26" ht="12.75" x14ac:dyDescent="0.2">
      <c r="A438" s="206"/>
      <c r="B438" s="206"/>
      <c r="C438" s="206"/>
      <c r="D438" s="206"/>
      <c r="E438" s="206"/>
      <c r="F438" s="206"/>
      <c r="G438" s="206"/>
      <c r="H438" s="206"/>
      <c r="I438" s="206"/>
      <c r="J438" s="206"/>
      <c r="K438" s="206"/>
      <c r="L438" s="206"/>
      <c r="M438" s="288"/>
      <c r="N438" s="288"/>
      <c r="O438" s="289"/>
      <c r="P438" s="289"/>
      <c r="Q438" s="289"/>
      <c r="R438" s="206"/>
      <c r="S438" s="206"/>
      <c r="T438" s="288"/>
      <c r="U438" s="206"/>
      <c r="V438" s="206"/>
      <c r="W438" s="288"/>
      <c r="X438" s="209"/>
      <c r="Y438" s="209"/>
      <c r="Z438" s="209"/>
    </row>
    <row r="439" spans="1:26" ht="12.75" x14ac:dyDescent="0.2">
      <c r="A439" s="206"/>
      <c r="B439" s="206"/>
      <c r="C439" s="206"/>
      <c r="D439" s="206"/>
      <c r="E439" s="206"/>
      <c r="F439" s="206"/>
      <c r="G439" s="206"/>
      <c r="H439" s="206"/>
      <c r="I439" s="206"/>
      <c r="J439" s="206"/>
      <c r="K439" s="206"/>
      <c r="L439" s="206"/>
      <c r="M439" s="288"/>
      <c r="N439" s="288"/>
      <c r="O439" s="289"/>
      <c r="P439" s="289"/>
      <c r="Q439" s="289"/>
      <c r="R439" s="206"/>
      <c r="S439" s="206"/>
      <c r="T439" s="288"/>
      <c r="U439" s="206"/>
      <c r="V439" s="206"/>
      <c r="W439" s="288"/>
      <c r="X439" s="209"/>
      <c r="Y439" s="209"/>
      <c r="Z439" s="209"/>
    </row>
    <row r="440" spans="1:26" ht="12.75" x14ac:dyDescent="0.2">
      <c r="A440" s="206"/>
      <c r="B440" s="206"/>
      <c r="C440" s="206"/>
      <c r="D440" s="206"/>
      <c r="E440" s="206"/>
      <c r="F440" s="206"/>
      <c r="G440" s="206"/>
      <c r="H440" s="206"/>
      <c r="I440" s="206"/>
      <c r="J440" s="206"/>
      <c r="K440" s="206"/>
      <c r="L440" s="206"/>
      <c r="M440" s="288"/>
      <c r="N440" s="288"/>
      <c r="O440" s="289"/>
      <c r="P440" s="289"/>
      <c r="Q440" s="289"/>
      <c r="R440" s="206"/>
      <c r="S440" s="206"/>
      <c r="T440" s="288"/>
      <c r="U440" s="206"/>
      <c r="V440" s="206"/>
      <c r="W440" s="288"/>
      <c r="X440" s="209"/>
      <c r="Y440" s="209"/>
      <c r="Z440" s="209"/>
    </row>
    <row r="441" spans="1:26" ht="12.75" x14ac:dyDescent="0.2">
      <c r="A441" s="206"/>
      <c r="B441" s="206"/>
      <c r="C441" s="206"/>
      <c r="D441" s="206"/>
      <c r="E441" s="206"/>
      <c r="F441" s="206"/>
      <c r="G441" s="206"/>
      <c r="H441" s="206"/>
      <c r="I441" s="206"/>
      <c r="J441" s="206"/>
      <c r="K441" s="206"/>
      <c r="L441" s="206"/>
      <c r="M441" s="288"/>
      <c r="N441" s="288"/>
      <c r="O441" s="289"/>
      <c r="P441" s="289"/>
      <c r="Q441" s="289"/>
      <c r="R441" s="206"/>
      <c r="S441" s="206"/>
      <c r="T441" s="288"/>
      <c r="U441" s="206"/>
      <c r="V441" s="206"/>
      <c r="W441" s="288"/>
      <c r="X441" s="209"/>
      <c r="Y441" s="209"/>
      <c r="Z441" s="209"/>
    </row>
    <row r="442" spans="1:26" ht="12.75" x14ac:dyDescent="0.2">
      <c r="A442" s="206"/>
      <c r="B442" s="206"/>
      <c r="C442" s="206"/>
      <c r="D442" s="206"/>
      <c r="E442" s="206"/>
      <c r="F442" s="206"/>
      <c r="G442" s="206"/>
      <c r="H442" s="206"/>
      <c r="I442" s="206"/>
      <c r="J442" s="206"/>
      <c r="K442" s="206"/>
      <c r="L442" s="206"/>
      <c r="M442" s="288"/>
      <c r="N442" s="288"/>
      <c r="O442" s="289"/>
      <c r="P442" s="289"/>
      <c r="Q442" s="289"/>
      <c r="R442" s="206"/>
      <c r="S442" s="206"/>
      <c r="T442" s="288"/>
      <c r="U442" s="206"/>
      <c r="V442" s="206"/>
      <c r="W442" s="288"/>
      <c r="X442" s="209"/>
      <c r="Y442" s="209"/>
      <c r="Z442" s="209"/>
    </row>
    <row r="443" spans="1:26" ht="12.75" x14ac:dyDescent="0.2">
      <c r="A443" s="206"/>
      <c r="B443" s="206"/>
      <c r="C443" s="206"/>
      <c r="D443" s="206"/>
      <c r="E443" s="206"/>
      <c r="F443" s="206"/>
      <c r="G443" s="206"/>
      <c r="H443" s="206"/>
      <c r="I443" s="206"/>
      <c r="J443" s="206"/>
      <c r="K443" s="206"/>
      <c r="L443" s="206"/>
      <c r="M443" s="288"/>
      <c r="N443" s="288"/>
      <c r="O443" s="289"/>
      <c r="P443" s="289"/>
      <c r="Q443" s="289"/>
      <c r="R443" s="206"/>
      <c r="S443" s="206"/>
      <c r="T443" s="288"/>
      <c r="U443" s="206"/>
      <c r="V443" s="206"/>
      <c r="W443" s="288"/>
      <c r="X443" s="209"/>
      <c r="Y443" s="209"/>
      <c r="Z443" s="209"/>
    </row>
    <row r="444" spans="1:26" ht="12.75" x14ac:dyDescent="0.2">
      <c r="A444" s="206"/>
      <c r="B444" s="206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88"/>
      <c r="N444" s="288"/>
      <c r="O444" s="289"/>
      <c r="P444" s="289"/>
      <c r="Q444" s="289"/>
      <c r="R444" s="206"/>
      <c r="S444" s="206"/>
      <c r="T444" s="288"/>
      <c r="U444" s="206"/>
      <c r="V444" s="206"/>
      <c r="W444" s="288"/>
      <c r="X444" s="209"/>
      <c r="Y444" s="209"/>
      <c r="Z444" s="209"/>
    </row>
    <row r="445" spans="1:26" ht="12.75" x14ac:dyDescent="0.2">
      <c r="A445" s="206"/>
      <c r="B445" s="206"/>
      <c r="C445" s="206"/>
      <c r="D445" s="206"/>
      <c r="E445" s="206"/>
      <c r="F445" s="206"/>
      <c r="G445" s="206"/>
      <c r="H445" s="206"/>
      <c r="I445" s="206"/>
      <c r="J445" s="206"/>
      <c r="K445" s="206"/>
      <c r="L445" s="206"/>
      <c r="M445" s="288"/>
      <c r="N445" s="288"/>
      <c r="O445" s="289"/>
      <c r="P445" s="289"/>
      <c r="Q445" s="289"/>
      <c r="R445" s="206"/>
      <c r="S445" s="206"/>
      <c r="T445" s="288"/>
      <c r="U445" s="206"/>
      <c r="V445" s="206"/>
      <c r="W445" s="288"/>
      <c r="X445" s="209"/>
      <c r="Y445" s="209"/>
      <c r="Z445" s="209"/>
    </row>
    <row r="446" spans="1:26" ht="12.75" x14ac:dyDescent="0.2">
      <c r="A446" s="206"/>
      <c r="B446" s="206"/>
      <c r="C446" s="206"/>
      <c r="D446" s="206"/>
      <c r="E446" s="206"/>
      <c r="F446" s="206"/>
      <c r="G446" s="206"/>
      <c r="H446" s="206"/>
      <c r="I446" s="206"/>
      <c r="J446" s="206"/>
      <c r="K446" s="206"/>
      <c r="L446" s="206"/>
      <c r="M446" s="288"/>
      <c r="N446" s="288"/>
      <c r="O446" s="289"/>
      <c r="P446" s="289"/>
      <c r="Q446" s="289"/>
      <c r="R446" s="206"/>
      <c r="S446" s="206"/>
      <c r="T446" s="288"/>
      <c r="U446" s="206"/>
      <c r="V446" s="206"/>
      <c r="W446" s="288"/>
      <c r="X446" s="209"/>
      <c r="Y446" s="209"/>
      <c r="Z446" s="209"/>
    </row>
    <row r="447" spans="1:26" ht="12.75" x14ac:dyDescent="0.2">
      <c r="A447" s="206"/>
      <c r="B447" s="206"/>
      <c r="C447" s="206"/>
      <c r="D447" s="206"/>
      <c r="E447" s="206"/>
      <c r="F447" s="206"/>
      <c r="G447" s="206"/>
      <c r="H447" s="206"/>
      <c r="I447" s="206"/>
      <c r="J447" s="206"/>
      <c r="K447" s="206"/>
      <c r="L447" s="206"/>
      <c r="M447" s="288"/>
      <c r="N447" s="288"/>
      <c r="O447" s="289"/>
      <c r="P447" s="289"/>
      <c r="Q447" s="289"/>
      <c r="R447" s="206"/>
      <c r="S447" s="206"/>
      <c r="T447" s="288"/>
      <c r="U447" s="206"/>
      <c r="V447" s="206"/>
      <c r="W447" s="288"/>
      <c r="X447" s="209"/>
      <c r="Y447" s="209"/>
      <c r="Z447" s="209"/>
    </row>
    <row r="448" spans="1:26" ht="12.75" x14ac:dyDescent="0.2">
      <c r="A448" s="206"/>
      <c r="B448" s="206"/>
      <c r="C448" s="206"/>
      <c r="D448" s="206"/>
      <c r="E448" s="206"/>
      <c r="F448" s="206"/>
      <c r="G448" s="206"/>
      <c r="H448" s="206"/>
      <c r="I448" s="206"/>
      <c r="J448" s="206"/>
      <c r="K448" s="206"/>
      <c r="L448" s="206"/>
      <c r="M448" s="288"/>
      <c r="N448" s="288"/>
      <c r="O448" s="289"/>
      <c r="P448" s="289"/>
      <c r="Q448" s="289"/>
      <c r="R448" s="206"/>
      <c r="S448" s="206"/>
      <c r="T448" s="288"/>
      <c r="U448" s="206"/>
      <c r="V448" s="206"/>
      <c r="W448" s="288"/>
      <c r="X448" s="209"/>
      <c r="Y448" s="209"/>
      <c r="Z448" s="209"/>
    </row>
    <row r="449" spans="1:26" ht="12.75" x14ac:dyDescent="0.2">
      <c r="A449" s="206"/>
      <c r="B449" s="206"/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88"/>
      <c r="N449" s="288"/>
      <c r="O449" s="289"/>
      <c r="P449" s="289"/>
      <c r="Q449" s="289"/>
      <c r="R449" s="206"/>
      <c r="S449" s="206"/>
      <c r="T449" s="288"/>
      <c r="U449" s="206"/>
      <c r="V449" s="206"/>
      <c r="W449" s="288"/>
      <c r="X449" s="209"/>
      <c r="Y449" s="209"/>
      <c r="Z449" s="209"/>
    </row>
    <row r="450" spans="1:26" ht="12.75" x14ac:dyDescent="0.2">
      <c r="A450" s="206"/>
      <c r="B450" s="206"/>
      <c r="C450" s="206"/>
      <c r="D450" s="206"/>
      <c r="E450" s="206"/>
      <c r="F450" s="206"/>
      <c r="G450" s="206"/>
      <c r="H450" s="206"/>
      <c r="I450" s="206"/>
      <c r="J450" s="206"/>
      <c r="K450" s="206"/>
      <c r="L450" s="206"/>
      <c r="M450" s="288"/>
      <c r="N450" s="288"/>
      <c r="O450" s="289"/>
      <c r="P450" s="289"/>
      <c r="Q450" s="289"/>
      <c r="R450" s="206"/>
      <c r="S450" s="206"/>
      <c r="T450" s="288"/>
      <c r="U450" s="206"/>
      <c r="V450" s="206"/>
      <c r="W450" s="288"/>
      <c r="X450" s="209"/>
      <c r="Y450" s="209"/>
      <c r="Z450" s="209"/>
    </row>
    <row r="451" spans="1:26" ht="12.75" x14ac:dyDescent="0.2">
      <c r="A451" s="206"/>
      <c r="B451" s="206"/>
      <c r="C451" s="206"/>
      <c r="D451" s="206"/>
      <c r="E451" s="206"/>
      <c r="F451" s="206"/>
      <c r="G451" s="206"/>
      <c r="H451" s="206"/>
      <c r="I451" s="206"/>
      <c r="J451" s="206"/>
      <c r="K451" s="206"/>
      <c r="L451" s="206"/>
      <c r="M451" s="288"/>
      <c r="N451" s="288"/>
      <c r="O451" s="289"/>
      <c r="P451" s="289"/>
      <c r="Q451" s="289"/>
      <c r="R451" s="206"/>
      <c r="S451" s="206"/>
      <c r="T451" s="288"/>
      <c r="U451" s="206"/>
      <c r="V451" s="206"/>
      <c r="W451" s="288"/>
      <c r="X451" s="209"/>
      <c r="Y451" s="209"/>
      <c r="Z451" s="209"/>
    </row>
    <row r="452" spans="1:26" ht="12.75" x14ac:dyDescent="0.2">
      <c r="A452" s="206"/>
      <c r="B452" s="206"/>
      <c r="C452" s="206"/>
      <c r="D452" s="206"/>
      <c r="E452" s="206"/>
      <c r="F452" s="206"/>
      <c r="G452" s="206"/>
      <c r="H452" s="206"/>
      <c r="I452" s="206"/>
      <c r="J452" s="206"/>
      <c r="K452" s="206"/>
      <c r="L452" s="206"/>
      <c r="M452" s="288"/>
      <c r="N452" s="288"/>
      <c r="O452" s="289"/>
      <c r="P452" s="289"/>
      <c r="Q452" s="289"/>
      <c r="R452" s="206"/>
      <c r="S452" s="206"/>
      <c r="T452" s="288"/>
      <c r="U452" s="206"/>
      <c r="V452" s="206"/>
      <c r="W452" s="288"/>
      <c r="X452" s="209"/>
      <c r="Y452" s="209"/>
      <c r="Z452" s="209"/>
    </row>
    <row r="453" spans="1:26" ht="12.75" x14ac:dyDescent="0.2">
      <c r="A453" s="206"/>
      <c r="B453" s="206"/>
      <c r="C453" s="206"/>
      <c r="D453" s="206"/>
      <c r="E453" s="206"/>
      <c r="F453" s="206"/>
      <c r="G453" s="206"/>
      <c r="H453" s="206"/>
      <c r="I453" s="206"/>
      <c r="J453" s="206"/>
      <c r="K453" s="206"/>
      <c r="L453" s="206"/>
      <c r="M453" s="288"/>
      <c r="N453" s="288"/>
      <c r="O453" s="289"/>
      <c r="P453" s="289"/>
      <c r="Q453" s="289"/>
      <c r="R453" s="206"/>
      <c r="S453" s="206"/>
      <c r="T453" s="288"/>
      <c r="U453" s="206"/>
      <c r="V453" s="206"/>
      <c r="W453" s="288"/>
      <c r="X453" s="209"/>
      <c r="Y453" s="209"/>
      <c r="Z453" s="209"/>
    </row>
    <row r="454" spans="1:26" ht="12.75" x14ac:dyDescent="0.2">
      <c r="A454" s="206"/>
      <c r="B454" s="206"/>
      <c r="C454" s="206"/>
      <c r="D454" s="206"/>
      <c r="E454" s="206"/>
      <c r="F454" s="206"/>
      <c r="G454" s="206"/>
      <c r="H454" s="206"/>
      <c r="I454" s="206"/>
      <c r="J454" s="206"/>
      <c r="K454" s="206"/>
      <c r="L454" s="206"/>
      <c r="M454" s="288"/>
      <c r="N454" s="288"/>
      <c r="O454" s="289"/>
      <c r="P454" s="289"/>
      <c r="Q454" s="289"/>
      <c r="R454" s="206"/>
      <c r="S454" s="206"/>
      <c r="T454" s="288"/>
      <c r="U454" s="206"/>
      <c r="V454" s="206"/>
      <c r="W454" s="288"/>
      <c r="X454" s="209"/>
      <c r="Y454" s="209"/>
      <c r="Z454" s="209"/>
    </row>
    <row r="455" spans="1:26" ht="12.75" x14ac:dyDescent="0.2">
      <c r="A455" s="206"/>
      <c r="B455" s="206"/>
      <c r="C455" s="206"/>
      <c r="D455" s="206"/>
      <c r="E455" s="206"/>
      <c r="F455" s="206"/>
      <c r="G455" s="206"/>
      <c r="H455" s="206"/>
      <c r="I455" s="206"/>
      <c r="J455" s="206"/>
      <c r="K455" s="206"/>
      <c r="L455" s="206"/>
      <c r="M455" s="288"/>
      <c r="N455" s="288"/>
      <c r="O455" s="289"/>
      <c r="P455" s="289"/>
      <c r="Q455" s="289"/>
      <c r="R455" s="206"/>
      <c r="S455" s="206"/>
      <c r="T455" s="288"/>
      <c r="U455" s="206"/>
      <c r="V455" s="206"/>
      <c r="W455" s="288"/>
      <c r="X455" s="209"/>
      <c r="Y455" s="209"/>
      <c r="Z455" s="209"/>
    </row>
    <row r="456" spans="1:26" ht="12.75" x14ac:dyDescent="0.2">
      <c r="A456" s="206"/>
      <c r="B456" s="206"/>
      <c r="C456" s="206"/>
      <c r="D456" s="206"/>
      <c r="E456" s="206"/>
      <c r="F456" s="206"/>
      <c r="G456" s="206"/>
      <c r="H456" s="206"/>
      <c r="I456" s="206"/>
      <c r="J456" s="206"/>
      <c r="K456" s="206"/>
      <c r="L456" s="206"/>
      <c r="M456" s="288"/>
      <c r="N456" s="288"/>
      <c r="O456" s="289"/>
      <c r="P456" s="289"/>
      <c r="Q456" s="289"/>
      <c r="R456" s="206"/>
      <c r="S456" s="206"/>
      <c r="T456" s="288"/>
      <c r="U456" s="206"/>
      <c r="V456" s="206"/>
      <c r="W456" s="288"/>
      <c r="X456" s="209"/>
      <c r="Y456" s="209"/>
      <c r="Z456" s="209"/>
    </row>
    <row r="457" spans="1:26" ht="12.75" x14ac:dyDescent="0.2">
      <c r="A457" s="206"/>
      <c r="B457" s="206"/>
      <c r="C457" s="206"/>
      <c r="D457" s="206"/>
      <c r="E457" s="206"/>
      <c r="F457" s="206"/>
      <c r="G457" s="206"/>
      <c r="H457" s="206"/>
      <c r="I457" s="206"/>
      <c r="J457" s="206"/>
      <c r="K457" s="206"/>
      <c r="L457" s="206"/>
      <c r="M457" s="288"/>
      <c r="N457" s="288"/>
      <c r="O457" s="289"/>
      <c r="P457" s="289"/>
      <c r="Q457" s="289"/>
      <c r="R457" s="206"/>
      <c r="S457" s="206"/>
      <c r="T457" s="288"/>
      <c r="U457" s="206"/>
      <c r="V457" s="206"/>
      <c r="W457" s="288"/>
      <c r="X457" s="209"/>
      <c r="Y457" s="209"/>
      <c r="Z457" s="209"/>
    </row>
    <row r="458" spans="1:26" ht="12.75" x14ac:dyDescent="0.2">
      <c r="A458" s="206"/>
      <c r="B458" s="206"/>
      <c r="C458" s="206"/>
      <c r="D458" s="206"/>
      <c r="E458" s="206"/>
      <c r="F458" s="206"/>
      <c r="G458" s="206"/>
      <c r="H458" s="206"/>
      <c r="I458" s="206"/>
      <c r="J458" s="206"/>
      <c r="K458" s="206"/>
      <c r="L458" s="206"/>
      <c r="M458" s="288"/>
      <c r="N458" s="288"/>
      <c r="O458" s="289"/>
      <c r="P458" s="289"/>
      <c r="Q458" s="289"/>
      <c r="R458" s="206"/>
      <c r="S458" s="206"/>
      <c r="T458" s="288"/>
      <c r="U458" s="206"/>
      <c r="V458" s="206"/>
      <c r="W458" s="288"/>
      <c r="X458" s="209"/>
      <c r="Y458" s="209"/>
      <c r="Z458" s="209"/>
    </row>
    <row r="459" spans="1:26" ht="12.75" x14ac:dyDescent="0.2">
      <c r="A459" s="206"/>
      <c r="B459" s="206"/>
      <c r="C459" s="206"/>
      <c r="D459" s="206"/>
      <c r="E459" s="206"/>
      <c r="F459" s="206"/>
      <c r="G459" s="206"/>
      <c r="H459" s="206"/>
      <c r="I459" s="206"/>
      <c r="J459" s="206"/>
      <c r="K459" s="206"/>
      <c r="L459" s="206"/>
      <c r="M459" s="288"/>
      <c r="N459" s="288"/>
      <c r="O459" s="289"/>
      <c r="P459" s="289"/>
      <c r="Q459" s="289"/>
      <c r="R459" s="206"/>
      <c r="S459" s="206"/>
      <c r="T459" s="288"/>
      <c r="U459" s="206"/>
      <c r="V459" s="206"/>
      <c r="W459" s="288"/>
      <c r="X459" s="209"/>
      <c r="Y459" s="209"/>
      <c r="Z459" s="209"/>
    </row>
    <row r="460" spans="1:26" ht="12.75" x14ac:dyDescent="0.2">
      <c r="A460" s="206"/>
      <c r="B460" s="206"/>
      <c r="C460" s="206"/>
      <c r="D460" s="206"/>
      <c r="E460" s="206"/>
      <c r="F460" s="206"/>
      <c r="G460" s="206"/>
      <c r="H460" s="206"/>
      <c r="I460" s="206"/>
      <c r="J460" s="206"/>
      <c r="K460" s="206"/>
      <c r="L460" s="206"/>
      <c r="M460" s="288"/>
      <c r="N460" s="288"/>
      <c r="O460" s="289"/>
      <c r="P460" s="289"/>
      <c r="Q460" s="289"/>
      <c r="R460" s="206"/>
      <c r="S460" s="206"/>
      <c r="T460" s="288"/>
      <c r="U460" s="206"/>
      <c r="V460" s="206"/>
      <c r="W460" s="288"/>
      <c r="X460" s="209"/>
      <c r="Y460" s="209"/>
      <c r="Z460" s="209"/>
    </row>
    <row r="461" spans="1:26" ht="12.75" x14ac:dyDescent="0.2">
      <c r="A461" s="206"/>
      <c r="B461" s="206"/>
      <c r="C461" s="206"/>
      <c r="D461" s="206"/>
      <c r="E461" s="206"/>
      <c r="F461" s="206"/>
      <c r="G461" s="206"/>
      <c r="H461" s="206"/>
      <c r="I461" s="206"/>
      <c r="J461" s="206"/>
      <c r="K461" s="206"/>
      <c r="L461" s="206"/>
      <c r="M461" s="288"/>
      <c r="N461" s="288"/>
      <c r="O461" s="289"/>
      <c r="P461" s="289"/>
      <c r="Q461" s="289"/>
      <c r="R461" s="206"/>
      <c r="S461" s="206"/>
      <c r="T461" s="288"/>
      <c r="U461" s="206"/>
      <c r="V461" s="206"/>
      <c r="W461" s="288"/>
      <c r="X461" s="209"/>
      <c r="Y461" s="209"/>
      <c r="Z461" s="209"/>
    </row>
    <row r="462" spans="1:26" ht="12.75" x14ac:dyDescent="0.2">
      <c r="A462" s="206"/>
      <c r="B462" s="206"/>
      <c r="C462" s="206"/>
      <c r="D462" s="206"/>
      <c r="E462" s="206"/>
      <c r="F462" s="206"/>
      <c r="G462" s="206"/>
      <c r="H462" s="206"/>
      <c r="I462" s="206"/>
      <c r="J462" s="206"/>
      <c r="K462" s="206"/>
      <c r="L462" s="206"/>
      <c r="M462" s="288"/>
      <c r="N462" s="288"/>
      <c r="O462" s="289"/>
      <c r="P462" s="289"/>
      <c r="Q462" s="289"/>
      <c r="R462" s="206"/>
      <c r="S462" s="206"/>
      <c r="T462" s="288"/>
      <c r="U462" s="206"/>
      <c r="V462" s="206"/>
      <c r="W462" s="288"/>
      <c r="X462" s="209"/>
      <c r="Y462" s="209"/>
      <c r="Z462" s="209"/>
    </row>
    <row r="463" spans="1:26" ht="12.75" x14ac:dyDescent="0.2">
      <c r="A463" s="206"/>
      <c r="B463" s="206"/>
      <c r="C463" s="206"/>
      <c r="D463" s="206"/>
      <c r="E463" s="206"/>
      <c r="F463" s="206"/>
      <c r="G463" s="206"/>
      <c r="H463" s="206"/>
      <c r="I463" s="206"/>
      <c r="J463" s="206"/>
      <c r="K463" s="206"/>
      <c r="L463" s="206"/>
      <c r="M463" s="288"/>
      <c r="N463" s="288"/>
      <c r="O463" s="289"/>
      <c r="P463" s="289"/>
      <c r="Q463" s="289"/>
      <c r="R463" s="206"/>
      <c r="S463" s="206"/>
      <c r="T463" s="288"/>
      <c r="U463" s="206"/>
      <c r="V463" s="206"/>
      <c r="W463" s="288"/>
      <c r="X463" s="209"/>
      <c r="Y463" s="209"/>
      <c r="Z463" s="209"/>
    </row>
    <row r="464" spans="1:26" ht="12.75" x14ac:dyDescent="0.2">
      <c r="A464" s="206"/>
      <c r="B464" s="206"/>
      <c r="C464" s="206"/>
      <c r="D464" s="206"/>
      <c r="E464" s="206"/>
      <c r="F464" s="206"/>
      <c r="G464" s="206"/>
      <c r="H464" s="206"/>
      <c r="I464" s="206"/>
      <c r="J464" s="206"/>
      <c r="K464" s="206"/>
      <c r="L464" s="206"/>
      <c r="M464" s="288"/>
      <c r="N464" s="288"/>
      <c r="O464" s="289"/>
      <c r="P464" s="289"/>
      <c r="Q464" s="289"/>
      <c r="R464" s="206"/>
      <c r="S464" s="206"/>
      <c r="T464" s="288"/>
      <c r="U464" s="206"/>
      <c r="V464" s="206"/>
      <c r="W464" s="288"/>
      <c r="X464" s="209"/>
      <c r="Y464" s="209"/>
      <c r="Z464" s="209"/>
    </row>
    <row r="465" spans="1:26" ht="12.75" x14ac:dyDescent="0.2">
      <c r="A465" s="206"/>
      <c r="B465" s="206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88"/>
      <c r="N465" s="288"/>
      <c r="O465" s="289"/>
      <c r="P465" s="289"/>
      <c r="Q465" s="289"/>
      <c r="R465" s="206"/>
      <c r="S465" s="206"/>
      <c r="T465" s="288"/>
      <c r="U465" s="206"/>
      <c r="V465" s="206"/>
      <c r="W465" s="288"/>
      <c r="X465" s="209"/>
      <c r="Y465" s="209"/>
      <c r="Z465" s="209"/>
    </row>
    <row r="466" spans="1:26" ht="12.75" x14ac:dyDescent="0.2">
      <c r="A466" s="206"/>
      <c r="B466" s="206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88"/>
      <c r="N466" s="288"/>
      <c r="O466" s="289"/>
      <c r="P466" s="289"/>
      <c r="Q466" s="289"/>
      <c r="R466" s="206"/>
      <c r="S466" s="206"/>
      <c r="T466" s="288"/>
      <c r="U466" s="206"/>
      <c r="V466" s="206"/>
      <c r="W466" s="288"/>
      <c r="X466" s="209"/>
      <c r="Y466" s="209"/>
      <c r="Z466" s="209"/>
    </row>
    <row r="467" spans="1:26" ht="12.75" x14ac:dyDescent="0.2">
      <c r="A467" s="206"/>
      <c r="B467" s="206"/>
      <c r="C467" s="206"/>
      <c r="D467" s="206"/>
      <c r="E467" s="206"/>
      <c r="F467" s="206"/>
      <c r="G467" s="206"/>
      <c r="H467" s="206"/>
      <c r="I467" s="206"/>
      <c r="J467" s="206"/>
      <c r="K467" s="206"/>
      <c r="L467" s="206"/>
      <c r="M467" s="288"/>
      <c r="N467" s="288"/>
      <c r="O467" s="289"/>
      <c r="P467" s="289"/>
      <c r="Q467" s="289"/>
      <c r="R467" s="206"/>
      <c r="S467" s="206"/>
      <c r="T467" s="288"/>
      <c r="U467" s="206"/>
      <c r="V467" s="206"/>
      <c r="W467" s="288"/>
      <c r="X467" s="209"/>
      <c r="Y467" s="209"/>
      <c r="Z467" s="209"/>
    </row>
    <row r="468" spans="1:26" ht="12.75" x14ac:dyDescent="0.2">
      <c r="A468" s="206"/>
      <c r="B468" s="206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88"/>
      <c r="N468" s="288"/>
      <c r="O468" s="289"/>
      <c r="P468" s="289"/>
      <c r="Q468" s="289"/>
      <c r="R468" s="206"/>
      <c r="S468" s="206"/>
      <c r="T468" s="288"/>
      <c r="U468" s="206"/>
      <c r="V468" s="206"/>
      <c r="W468" s="288"/>
      <c r="X468" s="209"/>
      <c r="Y468" s="209"/>
      <c r="Z468" s="209"/>
    </row>
    <row r="469" spans="1:26" ht="12.75" x14ac:dyDescent="0.2">
      <c r="A469" s="206"/>
      <c r="B469" s="206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88"/>
      <c r="N469" s="288"/>
      <c r="O469" s="289"/>
      <c r="P469" s="289"/>
      <c r="Q469" s="289"/>
      <c r="R469" s="206"/>
      <c r="S469" s="206"/>
      <c r="T469" s="288"/>
      <c r="U469" s="206"/>
      <c r="V469" s="206"/>
      <c r="W469" s="288"/>
      <c r="X469" s="209"/>
      <c r="Y469" s="209"/>
      <c r="Z469" s="209"/>
    </row>
    <row r="470" spans="1:26" ht="12.75" x14ac:dyDescent="0.2">
      <c r="A470" s="206"/>
      <c r="B470" s="206"/>
      <c r="C470" s="206"/>
      <c r="D470" s="206"/>
      <c r="E470" s="206"/>
      <c r="F470" s="206"/>
      <c r="G470" s="206"/>
      <c r="H470" s="206"/>
      <c r="I470" s="206"/>
      <c r="J470" s="206"/>
      <c r="K470" s="206"/>
      <c r="L470" s="206"/>
      <c r="M470" s="288"/>
      <c r="N470" s="288"/>
      <c r="O470" s="289"/>
      <c r="P470" s="289"/>
      <c r="Q470" s="289"/>
      <c r="R470" s="206"/>
      <c r="S470" s="206"/>
      <c r="T470" s="288"/>
      <c r="U470" s="206"/>
      <c r="V470" s="206"/>
      <c r="W470" s="288"/>
      <c r="X470" s="209"/>
      <c r="Y470" s="209"/>
      <c r="Z470" s="209"/>
    </row>
    <row r="471" spans="1:26" ht="12.75" x14ac:dyDescent="0.2">
      <c r="A471" s="206"/>
      <c r="B471" s="206"/>
      <c r="C471" s="206"/>
      <c r="D471" s="206"/>
      <c r="E471" s="206"/>
      <c r="F471" s="206"/>
      <c r="G471" s="206"/>
      <c r="H471" s="206"/>
      <c r="I471" s="206"/>
      <c r="J471" s="206"/>
      <c r="K471" s="206"/>
      <c r="L471" s="206"/>
      <c r="M471" s="288"/>
      <c r="N471" s="288"/>
      <c r="O471" s="289"/>
      <c r="P471" s="289"/>
      <c r="Q471" s="289"/>
      <c r="R471" s="206"/>
      <c r="S471" s="206"/>
      <c r="T471" s="288"/>
      <c r="U471" s="206"/>
      <c r="V471" s="206"/>
      <c r="W471" s="288"/>
      <c r="X471" s="209"/>
      <c r="Y471" s="209"/>
      <c r="Z471" s="209"/>
    </row>
    <row r="472" spans="1:26" ht="12.75" x14ac:dyDescent="0.2">
      <c r="A472" s="206"/>
      <c r="B472" s="206"/>
      <c r="C472" s="206"/>
      <c r="D472" s="206"/>
      <c r="E472" s="206"/>
      <c r="F472" s="206"/>
      <c r="G472" s="206"/>
      <c r="H472" s="206"/>
      <c r="I472" s="206"/>
      <c r="J472" s="206"/>
      <c r="K472" s="206"/>
      <c r="L472" s="206"/>
      <c r="M472" s="288"/>
      <c r="N472" s="288"/>
      <c r="O472" s="289"/>
      <c r="P472" s="289"/>
      <c r="Q472" s="289"/>
      <c r="R472" s="206"/>
      <c r="S472" s="206"/>
      <c r="T472" s="288"/>
      <c r="U472" s="206"/>
      <c r="V472" s="206"/>
      <c r="W472" s="288"/>
      <c r="X472" s="209"/>
      <c r="Y472" s="209"/>
      <c r="Z472" s="209"/>
    </row>
    <row r="473" spans="1:26" ht="12.75" x14ac:dyDescent="0.2">
      <c r="A473" s="206"/>
      <c r="B473" s="206"/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88"/>
      <c r="N473" s="288"/>
      <c r="O473" s="289"/>
      <c r="P473" s="289"/>
      <c r="Q473" s="289"/>
      <c r="R473" s="206"/>
      <c r="S473" s="206"/>
      <c r="T473" s="288"/>
      <c r="U473" s="206"/>
      <c r="V473" s="206"/>
      <c r="W473" s="288"/>
      <c r="X473" s="209"/>
      <c r="Y473" s="209"/>
      <c r="Z473" s="209"/>
    </row>
    <row r="474" spans="1:26" ht="12.75" x14ac:dyDescent="0.2">
      <c r="A474" s="206"/>
      <c r="B474" s="206"/>
      <c r="C474" s="206"/>
      <c r="D474" s="206"/>
      <c r="E474" s="206"/>
      <c r="F474" s="206"/>
      <c r="G474" s="206"/>
      <c r="H474" s="206"/>
      <c r="I474" s="206"/>
      <c r="J474" s="206"/>
      <c r="K474" s="206"/>
      <c r="L474" s="206"/>
      <c r="M474" s="288"/>
      <c r="N474" s="288"/>
      <c r="O474" s="289"/>
      <c r="P474" s="289"/>
      <c r="Q474" s="289"/>
      <c r="R474" s="206"/>
      <c r="S474" s="206"/>
      <c r="T474" s="288"/>
      <c r="U474" s="206"/>
      <c r="V474" s="206"/>
      <c r="W474" s="288"/>
      <c r="X474" s="209"/>
      <c r="Y474" s="209"/>
      <c r="Z474" s="209"/>
    </row>
    <row r="475" spans="1:26" ht="12.75" x14ac:dyDescent="0.2">
      <c r="A475" s="206"/>
      <c r="B475" s="206"/>
      <c r="C475" s="206"/>
      <c r="D475" s="206"/>
      <c r="E475" s="206"/>
      <c r="F475" s="206"/>
      <c r="G475" s="206"/>
      <c r="H475" s="206"/>
      <c r="I475" s="206"/>
      <c r="J475" s="206"/>
      <c r="K475" s="206"/>
      <c r="L475" s="206"/>
      <c r="M475" s="288"/>
      <c r="N475" s="288"/>
      <c r="O475" s="289"/>
      <c r="P475" s="289"/>
      <c r="Q475" s="289"/>
      <c r="R475" s="206"/>
      <c r="S475" s="206"/>
      <c r="T475" s="288"/>
      <c r="U475" s="206"/>
      <c r="V475" s="206"/>
      <c r="W475" s="288"/>
      <c r="X475" s="209"/>
      <c r="Y475" s="209"/>
      <c r="Z475" s="209"/>
    </row>
    <row r="476" spans="1:26" ht="12.75" x14ac:dyDescent="0.2">
      <c r="A476" s="206"/>
      <c r="B476" s="206"/>
      <c r="C476" s="206"/>
      <c r="D476" s="206"/>
      <c r="E476" s="206"/>
      <c r="F476" s="206"/>
      <c r="G476" s="206"/>
      <c r="H476" s="206"/>
      <c r="I476" s="206"/>
      <c r="J476" s="206"/>
      <c r="K476" s="206"/>
      <c r="L476" s="206"/>
      <c r="M476" s="288"/>
      <c r="N476" s="288"/>
      <c r="O476" s="289"/>
      <c r="P476" s="289"/>
      <c r="Q476" s="289"/>
      <c r="R476" s="206"/>
      <c r="S476" s="206"/>
      <c r="T476" s="288"/>
      <c r="U476" s="206"/>
      <c r="V476" s="206"/>
      <c r="W476" s="288"/>
      <c r="X476" s="209"/>
      <c r="Y476" s="209"/>
      <c r="Z476" s="209"/>
    </row>
    <row r="477" spans="1:26" ht="12.75" x14ac:dyDescent="0.2">
      <c r="A477" s="206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88"/>
      <c r="N477" s="288"/>
      <c r="O477" s="289"/>
      <c r="P477" s="289"/>
      <c r="Q477" s="289"/>
      <c r="R477" s="206"/>
      <c r="S477" s="206"/>
      <c r="T477" s="288"/>
      <c r="U477" s="206"/>
      <c r="V477" s="206"/>
      <c r="W477" s="288"/>
      <c r="X477" s="209"/>
      <c r="Y477" s="209"/>
      <c r="Z477" s="209"/>
    </row>
    <row r="478" spans="1:26" ht="12.75" x14ac:dyDescent="0.2">
      <c r="A478" s="206"/>
      <c r="B478" s="206"/>
      <c r="C478" s="206"/>
      <c r="D478" s="206"/>
      <c r="E478" s="206"/>
      <c r="F478" s="206"/>
      <c r="G478" s="206"/>
      <c r="H478" s="206"/>
      <c r="I478" s="206"/>
      <c r="J478" s="206"/>
      <c r="K478" s="206"/>
      <c r="L478" s="206"/>
      <c r="M478" s="288"/>
      <c r="N478" s="288"/>
      <c r="O478" s="289"/>
      <c r="P478" s="289"/>
      <c r="Q478" s="289"/>
      <c r="R478" s="206"/>
      <c r="S478" s="206"/>
      <c r="T478" s="288"/>
      <c r="U478" s="206"/>
      <c r="V478" s="206"/>
      <c r="W478" s="288"/>
      <c r="X478" s="209"/>
      <c r="Y478" s="209"/>
      <c r="Z478" s="209"/>
    </row>
    <row r="479" spans="1:26" ht="12.75" x14ac:dyDescent="0.2">
      <c r="A479" s="206"/>
      <c r="B479" s="206"/>
      <c r="C479" s="206"/>
      <c r="D479" s="206"/>
      <c r="E479" s="206"/>
      <c r="F479" s="206"/>
      <c r="G479" s="206"/>
      <c r="H479" s="206"/>
      <c r="I479" s="206"/>
      <c r="J479" s="206"/>
      <c r="K479" s="206"/>
      <c r="L479" s="206"/>
      <c r="M479" s="288"/>
      <c r="N479" s="288"/>
      <c r="O479" s="289"/>
      <c r="P479" s="289"/>
      <c r="Q479" s="289"/>
      <c r="R479" s="206"/>
      <c r="S479" s="206"/>
      <c r="T479" s="288"/>
      <c r="U479" s="206"/>
      <c r="V479" s="206"/>
      <c r="W479" s="288"/>
      <c r="X479" s="209"/>
      <c r="Y479" s="209"/>
      <c r="Z479" s="209"/>
    </row>
    <row r="480" spans="1:26" ht="12.75" x14ac:dyDescent="0.2">
      <c r="A480" s="206"/>
      <c r="B480" s="206"/>
      <c r="C480" s="206"/>
      <c r="D480" s="206"/>
      <c r="E480" s="206"/>
      <c r="F480" s="206"/>
      <c r="G480" s="206"/>
      <c r="H480" s="206"/>
      <c r="I480" s="206"/>
      <c r="J480" s="206"/>
      <c r="K480" s="206"/>
      <c r="L480" s="206"/>
      <c r="M480" s="288"/>
      <c r="N480" s="288"/>
      <c r="O480" s="289"/>
      <c r="P480" s="289"/>
      <c r="Q480" s="289"/>
      <c r="R480" s="206"/>
      <c r="S480" s="206"/>
      <c r="T480" s="288"/>
      <c r="U480" s="206"/>
      <c r="V480" s="206"/>
      <c r="W480" s="288"/>
      <c r="X480" s="209"/>
      <c r="Y480" s="209"/>
      <c r="Z480" s="209"/>
    </row>
    <row r="481" spans="1:26" ht="12.75" x14ac:dyDescent="0.2">
      <c r="A481" s="206"/>
      <c r="B481" s="206"/>
      <c r="C481" s="206"/>
      <c r="D481" s="206"/>
      <c r="E481" s="206"/>
      <c r="F481" s="206"/>
      <c r="G481" s="206"/>
      <c r="H481" s="206"/>
      <c r="I481" s="206"/>
      <c r="J481" s="206"/>
      <c r="K481" s="206"/>
      <c r="L481" s="206"/>
      <c r="M481" s="288"/>
      <c r="N481" s="288"/>
      <c r="O481" s="289"/>
      <c r="P481" s="289"/>
      <c r="Q481" s="289"/>
      <c r="R481" s="206"/>
      <c r="S481" s="206"/>
      <c r="T481" s="288"/>
      <c r="U481" s="206"/>
      <c r="V481" s="206"/>
      <c r="W481" s="288"/>
      <c r="X481" s="209"/>
      <c r="Y481" s="209"/>
      <c r="Z481" s="209"/>
    </row>
    <row r="482" spans="1:26" ht="12.75" x14ac:dyDescent="0.2">
      <c r="A482" s="206"/>
      <c r="B482" s="206"/>
      <c r="C482" s="206"/>
      <c r="D482" s="206"/>
      <c r="E482" s="206"/>
      <c r="F482" s="206"/>
      <c r="G482" s="206"/>
      <c r="H482" s="206"/>
      <c r="I482" s="206"/>
      <c r="J482" s="206"/>
      <c r="K482" s="206"/>
      <c r="L482" s="206"/>
      <c r="M482" s="288"/>
      <c r="N482" s="288"/>
      <c r="O482" s="289"/>
      <c r="P482" s="289"/>
      <c r="Q482" s="289"/>
      <c r="R482" s="206"/>
      <c r="S482" s="206"/>
      <c r="T482" s="288"/>
      <c r="U482" s="206"/>
      <c r="V482" s="206"/>
      <c r="W482" s="288"/>
      <c r="X482" s="209"/>
      <c r="Y482" s="209"/>
      <c r="Z482" s="209"/>
    </row>
    <row r="483" spans="1:26" ht="12.75" x14ac:dyDescent="0.2">
      <c r="A483" s="206"/>
      <c r="B483" s="206"/>
      <c r="C483" s="206"/>
      <c r="D483" s="206"/>
      <c r="E483" s="206"/>
      <c r="F483" s="206"/>
      <c r="G483" s="206"/>
      <c r="H483" s="206"/>
      <c r="I483" s="206"/>
      <c r="J483" s="206"/>
      <c r="K483" s="206"/>
      <c r="L483" s="206"/>
      <c r="M483" s="288"/>
      <c r="N483" s="288"/>
      <c r="O483" s="289"/>
      <c r="P483" s="289"/>
      <c r="Q483" s="289"/>
      <c r="R483" s="206"/>
      <c r="S483" s="206"/>
      <c r="T483" s="288"/>
      <c r="U483" s="206"/>
      <c r="V483" s="206"/>
      <c r="W483" s="288"/>
      <c r="X483" s="209"/>
      <c r="Y483" s="209"/>
      <c r="Z483" s="209"/>
    </row>
    <row r="484" spans="1:26" ht="12.75" x14ac:dyDescent="0.2">
      <c r="A484" s="206"/>
      <c r="B484" s="206"/>
      <c r="C484" s="206"/>
      <c r="D484" s="206"/>
      <c r="E484" s="206"/>
      <c r="F484" s="206"/>
      <c r="G484" s="206"/>
      <c r="H484" s="206"/>
      <c r="I484" s="206"/>
      <c r="J484" s="206"/>
      <c r="K484" s="206"/>
      <c r="L484" s="206"/>
      <c r="M484" s="288"/>
      <c r="N484" s="288"/>
      <c r="O484" s="289"/>
      <c r="P484" s="289"/>
      <c r="Q484" s="289"/>
      <c r="R484" s="206"/>
      <c r="S484" s="206"/>
      <c r="T484" s="288"/>
      <c r="U484" s="206"/>
      <c r="V484" s="206"/>
      <c r="W484" s="288"/>
      <c r="X484" s="209"/>
      <c r="Y484" s="209"/>
      <c r="Z484" s="209"/>
    </row>
    <row r="485" spans="1:26" ht="12.75" x14ac:dyDescent="0.2">
      <c r="A485" s="206"/>
      <c r="B485" s="206"/>
      <c r="C485" s="206"/>
      <c r="D485" s="206"/>
      <c r="E485" s="206"/>
      <c r="F485" s="206"/>
      <c r="G485" s="206"/>
      <c r="H485" s="206"/>
      <c r="I485" s="206"/>
      <c r="J485" s="206"/>
      <c r="K485" s="206"/>
      <c r="L485" s="206"/>
      <c r="M485" s="288"/>
      <c r="N485" s="288"/>
      <c r="O485" s="289"/>
      <c r="P485" s="289"/>
      <c r="Q485" s="289"/>
      <c r="R485" s="206"/>
      <c r="S485" s="206"/>
      <c r="T485" s="288"/>
      <c r="U485" s="206"/>
      <c r="V485" s="206"/>
      <c r="W485" s="288"/>
      <c r="X485" s="209"/>
      <c r="Y485" s="209"/>
      <c r="Z485" s="209"/>
    </row>
    <row r="486" spans="1:26" ht="12.75" x14ac:dyDescent="0.2">
      <c r="A486" s="206"/>
      <c r="B486" s="206"/>
      <c r="C486" s="206"/>
      <c r="D486" s="206"/>
      <c r="E486" s="206"/>
      <c r="F486" s="206"/>
      <c r="G486" s="206"/>
      <c r="H486" s="206"/>
      <c r="I486" s="206"/>
      <c r="J486" s="206"/>
      <c r="K486" s="206"/>
      <c r="L486" s="206"/>
      <c r="M486" s="288"/>
      <c r="N486" s="288"/>
      <c r="O486" s="289"/>
      <c r="P486" s="289"/>
      <c r="Q486" s="289"/>
      <c r="R486" s="206"/>
      <c r="S486" s="206"/>
      <c r="T486" s="288"/>
      <c r="U486" s="206"/>
      <c r="V486" s="206"/>
      <c r="W486" s="288"/>
      <c r="X486" s="209"/>
      <c r="Y486" s="209"/>
      <c r="Z486" s="209"/>
    </row>
    <row r="487" spans="1:26" ht="12.75" x14ac:dyDescent="0.2">
      <c r="A487" s="206"/>
      <c r="B487" s="206"/>
      <c r="C487" s="206"/>
      <c r="D487" s="206"/>
      <c r="E487" s="206"/>
      <c r="F487" s="206"/>
      <c r="G487" s="206"/>
      <c r="H487" s="206"/>
      <c r="I487" s="206"/>
      <c r="J487" s="206"/>
      <c r="K487" s="206"/>
      <c r="L487" s="206"/>
      <c r="M487" s="288"/>
      <c r="N487" s="288"/>
      <c r="O487" s="289"/>
      <c r="P487" s="289"/>
      <c r="Q487" s="289"/>
      <c r="R487" s="206"/>
      <c r="S487" s="206"/>
      <c r="T487" s="288"/>
      <c r="U487" s="206"/>
      <c r="V487" s="206"/>
      <c r="W487" s="288"/>
      <c r="X487" s="209"/>
      <c r="Y487" s="209"/>
      <c r="Z487" s="209"/>
    </row>
    <row r="488" spans="1:26" ht="12.75" x14ac:dyDescent="0.2">
      <c r="A488" s="206"/>
      <c r="B488" s="206"/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88"/>
      <c r="N488" s="288"/>
      <c r="O488" s="289"/>
      <c r="P488" s="289"/>
      <c r="Q488" s="289"/>
      <c r="R488" s="206"/>
      <c r="S488" s="206"/>
      <c r="T488" s="288"/>
      <c r="U488" s="206"/>
      <c r="V488" s="206"/>
      <c r="W488" s="288"/>
      <c r="X488" s="209"/>
      <c r="Y488" s="209"/>
      <c r="Z488" s="209"/>
    </row>
    <row r="489" spans="1:26" ht="12.75" x14ac:dyDescent="0.2">
      <c r="A489" s="206"/>
      <c r="B489" s="206"/>
      <c r="C489" s="206"/>
      <c r="D489" s="206"/>
      <c r="E489" s="206"/>
      <c r="F489" s="206"/>
      <c r="G489" s="206"/>
      <c r="H489" s="206"/>
      <c r="I489" s="206"/>
      <c r="J489" s="206"/>
      <c r="K489" s="206"/>
      <c r="L489" s="206"/>
      <c r="M489" s="288"/>
      <c r="N489" s="288"/>
      <c r="O489" s="289"/>
      <c r="P489" s="289"/>
      <c r="Q489" s="289"/>
      <c r="R489" s="206"/>
      <c r="S489" s="206"/>
      <c r="T489" s="288"/>
      <c r="U489" s="206"/>
      <c r="V489" s="206"/>
      <c r="W489" s="288"/>
      <c r="X489" s="209"/>
      <c r="Y489" s="209"/>
      <c r="Z489" s="209"/>
    </row>
    <row r="490" spans="1:26" ht="12.75" x14ac:dyDescent="0.2">
      <c r="A490" s="206"/>
      <c r="B490" s="206"/>
      <c r="C490" s="206"/>
      <c r="D490" s="206"/>
      <c r="E490" s="206"/>
      <c r="F490" s="206"/>
      <c r="G490" s="206"/>
      <c r="H490" s="206"/>
      <c r="I490" s="206"/>
      <c r="J490" s="206"/>
      <c r="K490" s="206"/>
      <c r="L490" s="206"/>
      <c r="M490" s="288"/>
      <c r="N490" s="288"/>
      <c r="O490" s="289"/>
      <c r="P490" s="289"/>
      <c r="Q490" s="289"/>
      <c r="R490" s="206"/>
      <c r="S490" s="206"/>
      <c r="T490" s="288"/>
      <c r="U490" s="206"/>
      <c r="V490" s="206"/>
      <c r="W490" s="288"/>
      <c r="X490" s="209"/>
      <c r="Y490" s="209"/>
      <c r="Z490" s="209"/>
    </row>
    <row r="491" spans="1:26" ht="12.75" x14ac:dyDescent="0.2">
      <c r="A491" s="206"/>
      <c r="B491" s="206"/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88"/>
      <c r="N491" s="288"/>
      <c r="O491" s="289"/>
      <c r="P491" s="289"/>
      <c r="Q491" s="289"/>
      <c r="R491" s="206"/>
      <c r="S491" s="206"/>
      <c r="T491" s="288"/>
      <c r="U491" s="206"/>
      <c r="V491" s="206"/>
      <c r="W491" s="288"/>
      <c r="X491" s="209"/>
      <c r="Y491" s="209"/>
      <c r="Z491" s="209"/>
    </row>
    <row r="492" spans="1:26" ht="12.75" x14ac:dyDescent="0.2">
      <c r="A492" s="206"/>
      <c r="B492" s="206"/>
      <c r="C492" s="206"/>
      <c r="D492" s="206"/>
      <c r="E492" s="206"/>
      <c r="F492" s="206"/>
      <c r="G492" s="206"/>
      <c r="H492" s="206"/>
      <c r="I492" s="206"/>
      <c r="J492" s="206"/>
      <c r="K492" s="206"/>
      <c r="L492" s="206"/>
      <c r="M492" s="288"/>
      <c r="N492" s="288"/>
      <c r="O492" s="289"/>
      <c r="P492" s="289"/>
      <c r="Q492" s="289"/>
      <c r="R492" s="206"/>
      <c r="S492" s="206"/>
      <c r="T492" s="288"/>
      <c r="U492" s="206"/>
      <c r="V492" s="206"/>
      <c r="W492" s="288"/>
      <c r="X492" s="209"/>
      <c r="Y492" s="209"/>
      <c r="Z492" s="209"/>
    </row>
    <row r="493" spans="1:26" ht="12.75" x14ac:dyDescent="0.2">
      <c r="A493" s="206"/>
      <c r="B493" s="206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88"/>
      <c r="N493" s="288"/>
      <c r="O493" s="289"/>
      <c r="P493" s="289"/>
      <c r="Q493" s="289"/>
      <c r="R493" s="206"/>
      <c r="S493" s="206"/>
      <c r="T493" s="288"/>
      <c r="U493" s="206"/>
      <c r="V493" s="206"/>
      <c r="W493" s="288"/>
      <c r="X493" s="209"/>
      <c r="Y493" s="209"/>
      <c r="Z493" s="209"/>
    </row>
    <row r="494" spans="1:26" ht="12.75" x14ac:dyDescent="0.2">
      <c r="A494" s="206"/>
      <c r="B494" s="206"/>
      <c r="C494" s="206"/>
      <c r="D494" s="206"/>
      <c r="E494" s="206"/>
      <c r="F494" s="206"/>
      <c r="G494" s="206"/>
      <c r="H494" s="206"/>
      <c r="I494" s="206"/>
      <c r="J494" s="206"/>
      <c r="K494" s="206"/>
      <c r="L494" s="206"/>
      <c r="M494" s="288"/>
      <c r="N494" s="288"/>
      <c r="O494" s="289"/>
      <c r="P494" s="289"/>
      <c r="Q494" s="289"/>
      <c r="R494" s="206"/>
      <c r="S494" s="206"/>
      <c r="T494" s="288"/>
      <c r="U494" s="206"/>
      <c r="V494" s="206"/>
      <c r="W494" s="288"/>
      <c r="X494" s="209"/>
      <c r="Y494" s="209"/>
      <c r="Z494" s="209"/>
    </row>
    <row r="495" spans="1:26" ht="12.75" x14ac:dyDescent="0.2">
      <c r="A495" s="206"/>
      <c r="B495" s="206"/>
      <c r="C495" s="206"/>
      <c r="D495" s="206"/>
      <c r="E495" s="206"/>
      <c r="F495" s="206"/>
      <c r="G495" s="206"/>
      <c r="H495" s="206"/>
      <c r="I495" s="206"/>
      <c r="J495" s="206"/>
      <c r="K495" s="206"/>
      <c r="L495" s="206"/>
      <c r="M495" s="288"/>
      <c r="N495" s="288"/>
      <c r="O495" s="289"/>
      <c r="P495" s="289"/>
      <c r="Q495" s="289"/>
      <c r="R495" s="206"/>
      <c r="S495" s="206"/>
      <c r="T495" s="288"/>
      <c r="U495" s="206"/>
      <c r="V495" s="206"/>
      <c r="W495" s="288"/>
      <c r="X495" s="209"/>
      <c r="Y495" s="209"/>
      <c r="Z495" s="209"/>
    </row>
    <row r="496" spans="1:26" ht="12.75" x14ac:dyDescent="0.2">
      <c r="A496" s="206"/>
      <c r="B496" s="206"/>
      <c r="C496" s="206"/>
      <c r="D496" s="206"/>
      <c r="E496" s="206"/>
      <c r="F496" s="206"/>
      <c r="G496" s="206"/>
      <c r="H496" s="206"/>
      <c r="I496" s="206"/>
      <c r="J496" s="206"/>
      <c r="K496" s="206"/>
      <c r="L496" s="206"/>
      <c r="M496" s="288"/>
      <c r="N496" s="288"/>
      <c r="O496" s="289"/>
      <c r="P496" s="289"/>
      <c r="Q496" s="289"/>
      <c r="R496" s="206"/>
      <c r="S496" s="206"/>
      <c r="T496" s="288"/>
      <c r="U496" s="206"/>
      <c r="V496" s="206"/>
      <c r="W496" s="288"/>
      <c r="X496" s="209"/>
      <c r="Y496" s="209"/>
      <c r="Z496" s="209"/>
    </row>
    <row r="497" spans="1:26" ht="12.75" x14ac:dyDescent="0.2">
      <c r="A497" s="206"/>
      <c r="B497" s="206"/>
      <c r="C497" s="206"/>
      <c r="D497" s="206"/>
      <c r="E497" s="206"/>
      <c r="F497" s="206"/>
      <c r="G497" s="206"/>
      <c r="H497" s="206"/>
      <c r="I497" s="206"/>
      <c r="J497" s="206"/>
      <c r="K497" s="206"/>
      <c r="L497" s="206"/>
      <c r="M497" s="288"/>
      <c r="N497" s="288"/>
      <c r="O497" s="289"/>
      <c r="P497" s="289"/>
      <c r="Q497" s="289"/>
      <c r="R497" s="206"/>
      <c r="S497" s="206"/>
      <c r="T497" s="288"/>
      <c r="U497" s="206"/>
      <c r="V497" s="206"/>
      <c r="W497" s="288"/>
      <c r="X497" s="209"/>
      <c r="Y497" s="209"/>
      <c r="Z497" s="209"/>
    </row>
    <row r="498" spans="1:26" ht="12.75" x14ac:dyDescent="0.2">
      <c r="A498" s="206"/>
      <c r="B498" s="206"/>
      <c r="C498" s="206"/>
      <c r="D498" s="206"/>
      <c r="E498" s="206"/>
      <c r="F498" s="206"/>
      <c r="G498" s="206"/>
      <c r="H498" s="206"/>
      <c r="I498" s="206"/>
      <c r="J498" s="206"/>
      <c r="K498" s="206"/>
      <c r="L498" s="206"/>
      <c r="M498" s="288"/>
      <c r="N498" s="288"/>
      <c r="O498" s="289"/>
      <c r="P498" s="289"/>
      <c r="Q498" s="289"/>
      <c r="R498" s="206"/>
      <c r="S498" s="206"/>
      <c r="T498" s="288"/>
      <c r="U498" s="206"/>
      <c r="V498" s="206"/>
      <c r="W498" s="288"/>
      <c r="X498" s="209"/>
      <c r="Y498" s="209"/>
      <c r="Z498" s="209"/>
    </row>
    <row r="499" spans="1:26" ht="12.75" x14ac:dyDescent="0.2">
      <c r="A499" s="206"/>
      <c r="B499" s="206"/>
      <c r="C499" s="206"/>
      <c r="D499" s="206"/>
      <c r="E499" s="206"/>
      <c r="F499" s="206"/>
      <c r="G499" s="206"/>
      <c r="H499" s="206"/>
      <c r="I499" s="206"/>
      <c r="J499" s="206"/>
      <c r="K499" s="206"/>
      <c r="L499" s="206"/>
      <c r="M499" s="288"/>
      <c r="N499" s="288"/>
      <c r="O499" s="289"/>
      <c r="P499" s="289"/>
      <c r="Q499" s="289"/>
      <c r="R499" s="206"/>
      <c r="S499" s="206"/>
      <c r="T499" s="288"/>
      <c r="U499" s="206"/>
      <c r="V499" s="206"/>
      <c r="W499" s="288"/>
      <c r="X499" s="209"/>
      <c r="Y499" s="209"/>
      <c r="Z499" s="209"/>
    </row>
    <row r="500" spans="1:26" ht="12.75" x14ac:dyDescent="0.2">
      <c r="A500" s="206"/>
      <c r="B500" s="206"/>
      <c r="C500" s="206"/>
      <c r="D500" s="206"/>
      <c r="E500" s="206"/>
      <c r="F500" s="206"/>
      <c r="G500" s="206"/>
      <c r="H500" s="206"/>
      <c r="I500" s="206"/>
      <c r="J500" s="206"/>
      <c r="K500" s="206"/>
      <c r="L500" s="206"/>
      <c r="M500" s="288"/>
      <c r="N500" s="288"/>
      <c r="O500" s="289"/>
      <c r="P500" s="289"/>
      <c r="Q500" s="289"/>
      <c r="R500" s="206"/>
      <c r="S500" s="206"/>
      <c r="T500" s="288"/>
      <c r="U500" s="206"/>
      <c r="V500" s="206"/>
      <c r="W500" s="288"/>
      <c r="X500" s="209"/>
      <c r="Y500" s="209"/>
      <c r="Z500" s="209"/>
    </row>
    <row r="501" spans="1:26" ht="12.75" x14ac:dyDescent="0.2">
      <c r="A501" s="206"/>
      <c r="B501" s="206"/>
      <c r="C501" s="206"/>
      <c r="D501" s="206"/>
      <c r="E501" s="206"/>
      <c r="F501" s="206"/>
      <c r="G501" s="206"/>
      <c r="H501" s="206"/>
      <c r="I501" s="206"/>
      <c r="J501" s="206"/>
      <c r="K501" s="206"/>
      <c r="L501" s="206"/>
      <c r="M501" s="288"/>
      <c r="N501" s="288"/>
      <c r="O501" s="289"/>
      <c r="P501" s="289"/>
      <c r="Q501" s="289"/>
      <c r="R501" s="206"/>
      <c r="S501" s="206"/>
      <c r="T501" s="288"/>
      <c r="U501" s="206"/>
      <c r="V501" s="206"/>
      <c r="W501" s="288"/>
      <c r="X501" s="209"/>
      <c r="Y501" s="209"/>
      <c r="Z501" s="209"/>
    </row>
    <row r="502" spans="1:26" ht="12.75" x14ac:dyDescent="0.2">
      <c r="A502" s="206"/>
      <c r="B502" s="206"/>
      <c r="C502" s="206"/>
      <c r="D502" s="206"/>
      <c r="E502" s="206"/>
      <c r="F502" s="206"/>
      <c r="G502" s="206"/>
      <c r="H502" s="206"/>
      <c r="I502" s="206"/>
      <c r="J502" s="206"/>
      <c r="K502" s="206"/>
      <c r="L502" s="206"/>
      <c r="M502" s="288"/>
      <c r="N502" s="288"/>
      <c r="O502" s="289"/>
      <c r="P502" s="289"/>
      <c r="Q502" s="289"/>
      <c r="R502" s="206"/>
      <c r="S502" s="206"/>
      <c r="T502" s="288"/>
      <c r="U502" s="206"/>
      <c r="V502" s="206"/>
      <c r="W502" s="288"/>
      <c r="X502" s="209"/>
      <c r="Y502" s="209"/>
      <c r="Z502" s="209"/>
    </row>
    <row r="503" spans="1:26" ht="12.75" x14ac:dyDescent="0.2">
      <c r="A503" s="206"/>
      <c r="B503" s="206"/>
      <c r="C503" s="206"/>
      <c r="D503" s="206"/>
      <c r="E503" s="206"/>
      <c r="F503" s="206"/>
      <c r="G503" s="206"/>
      <c r="H503" s="206"/>
      <c r="I503" s="206"/>
      <c r="J503" s="206"/>
      <c r="K503" s="206"/>
      <c r="L503" s="206"/>
      <c r="M503" s="288"/>
      <c r="N503" s="288"/>
      <c r="O503" s="289"/>
      <c r="P503" s="289"/>
      <c r="Q503" s="289"/>
      <c r="R503" s="206"/>
      <c r="S503" s="206"/>
      <c r="T503" s="288"/>
      <c r="U503" s="206"/>
      <c r="V503" s="206"/>
      <c r="W503" s="288"/>
      <c r="X503" s="209"/>
      <c r="Y503" s="209"/>
      <c r="Z503" s="209"/>
    </row>
    <row r="504" spans="1:26" ht="12.75" x14ac:dyDescent="0.2">
      <c r="A504" s="206"/>
      <c r="B504" s="206"/>
      <c r="C504" s="206"/>
      <c r="D504" s="206"/>
      <c r="E504" s="206"/>
      <c r="F504" s="206"/>
      <c r="G504" s="206"/>
      <c r="H504" s="206"/>
      <c r="I504" s="206"/>
      <c r="J504" s="206"/>
      <c r="K504" s="206"/>
      <c r="L504" s="206"/>
      <c r="M504" s="288"/>
      <c r="N504" s="288"/>
      <c r="O504" s="289"/>
      <c r="P504" s="289"/>
      <c r="Q504" s="289"/>
      <c r="R504" s="206"/>
      <c r="S504" s="206"/>
      <c r="T504" s="288"/>
      <c r="U504" s="206"/>
      <c r="V504" s="206"/>
      <c r="W504" s="288"/>
      <c r="X504" s="209"/>
      <c r="Y504" s="209"/>
      <c r="Z504" s="209"/>
    </row>
    <row r="505" spans="1:26" ht="12.75" x14ac:dyDescent="0.2">
      <c r="A505" s="206"/>
      <c r="B505" s="206"/>
      <c r="C505" s="206"/>
      <c r="D505" s="206"/>
      <c r="E505" s="206"/>
      <c r="F505" s="206"/>
      <c r="G505" s="206"/>
      <c r="H505" s="206"/>
      <c r="I505" s="206"/>
      <c r="J505" s="206"/>
      <c r="K505" s="206"/>
      <c r="L505" s="206"/>
      <c r="M505" s="288"/>
      <c r="N505" s="288"/>
      <c r="O505" s="289"/>
      <c r="P505" s="289"/>
      <c r="Q505" s="289"/>
      <c r="R505" s="206"/>
      <c r="S505" s="206"/>
      <c r="T505" s="288"/>
      <c r="U505" s="206"/>
      <c r="V505" s="206"/>
      <c r="W505" s="288"/>
      <c r="X505" s="209"/>
      <c r="Y505" s="209"/>
      <c r="Z505" s="209"/>
    </row>
    <row r="506" spans="1:26" ht="12.75" x14ac:dyDescent="0.2">
      <c r="A506" s="206"/>
      <c r="B506" s="206"/>
      <c r="C506" s="206"/>
      <c r="D506" s="206"/>
      <c r="E506" s="206"/>
      <c r="F506" s="206"/>
      <c r="G506" s="206"/>
      <c r="H506" s="206"/>
      <c r="I506" s="206"/>
      <c r="J506" s="206"/>
      <c r="K506" s="206"/>
      <c r="L506" s="206"/>
      <c r="M506" s="288"/>
      <c r="N506" s="288"/>
      <c r="O506" s="289"/>
      <c r="P506" s="289"/>
      <c r="Q506" s="289"/>
      <c r="R506" s="206"/>
      <c r="S506" s="206"/>
      <c r="T506" s="288"/>
      <c r="U506" s="206"/>
      <c r="V506" s="206"/>
      <c r="W506" s="288"/>
      <c r="X506" s="209"/>
      <c r="Y506" s="209"/>
      <c r="Z506" s="209"/>
    </row>
    <row r="507" spans="1:26" ht="12.75" x14ac:dyDescent="0.2">
      <c r="A507" s="206"/>
      <c r="B507" s="206"/>
      <c r="C507" s="206"/>
      <c r="D507" s="206"/>
      <c r="E507" s="206"/>
      <c r="F507" s="206"/>
      <c r="G507" s="206"/>
      <c r="H507" s="206"/>
      <c r="I507" s="206"/>
      <c r="J507" s="206"/>
      <c r="K507" s="206"/>
      <c r="L507" s="206"/>
      <c r="M507" s="288"/>
      <c r="N507" s="288"/>
      <c r="O507" s="289"/>
      <c r="P507" s="289"/>
      <c r="Q507" s="289"/>
      <c r="R507" s="206"/>
      <c r="S507" s="206"/>
      <c r="T507" s="288"/>
      <c r="U507" s="206"/>
      <c r="V507" s="206"/>
      <c r="W507" s="288"/>
      <c r="X507" s="209"/>
      <c r="Y507" s="209"/>
      <c r="Z507" s="209"/>
    </row>
    <row r="508" spans="1:26" ht="12.75" x14ac:dyDescent="0.2">
      <c r="A508" s="206"/>
      <c r="B508" s="206"/>
      <c r="C508" s="206"/>
      <c r="D508" s="206"/>
      <c r="E508" s="206"/>
      <c r="F508" s="206"/>
      <c r="G508" s="206"/>
      <c r="H508" s="206"/>
      <c r="I508" s="206"/>
      <c r="J508" s="206"/>
      <c r="K508" s="206"/>
      <c r="L508" s="206"/>
      <c r="M508" s="288"/>
      <c r="N508" s="288"/>
      <c r="O508" s="289"/>
      <c r="P508" s="289"/>
      <c r="Q508" s="289"/>
      <c r="R508" s="206"/>
      <c r="S508" s="206"/>
      <c r="T508" s="288"/>
      <c r="U508" s="206"/>
      <c r="V508" s="206"/>
      <c r="W508" s="288"/>
      <c r="X508" s="209"/>
      <c r="Y508" s="209"/>
      <c r="Z508" s="209"/>
    </row>
    <row r="509" spans="1:26" ht="12.75" x14ac:dyDescent="0.2">
      <c r="A509" s="206"/>
      <c r="B509" s="206"/>
      <c r="C509" s="206"/>
      <c r="D509" s="206"/>
      <c r="E509" s="206"/>
      <c r="F509" s="206"/>
      <c r="G509" s="206"/>
      <c r="H509" s="206"/>
      <c r="I509" s="206"/>
      <c r="J509" s="206"/>
      <c r="K509" s="206"/>
      <c r="L509" s="206"/>
      <c r="M509" s="288"/>
      <c r="N509" s="288"/>
      <c r="O509" s="289"/>
      <c r="P509" s="289"/>
      <c r="Q509" s="289"/>
      <c r="R509" s="206"/>
      <c r="S509" s="206"/>
      <c r="T509" s="288"/>
      <c r="U509" s="206"/>
      <c r="V509" s="206"/>
      <c r="W509" s="288"/>
      <c r="X509" s="209"/>
      <c r="Y509" s="209"/>
      <c r="Z509" s="209"/>
    </row>
    <row r="510" spans="1:26" ht="12.75" x14ac:dyDescent="0.2">
      <c r="A510" s="206"/>
      <c r="B510" s="206"/>
      <c r="C510" s="206"/>
      <c r="D510" s="206"/>
      <c r="E510" s="206"/>
      <c r="F510" s="206"/>
      <c r="G510" s="206"/>
      <c r="H510" s="206"/>
      <c r="I510" s="206"/>
      <c r="J510" s="206"/>
      <c r="K510" s="206"/>
      <c r="L510" s="206"/>
      <c r="M510" s="288"/>
      <c r="N510" s="288"/>
      <c r="O510" s="289"/>
      <c r="P510" s="289"/>
      <c r="Q510" s="289"/>
      <c r="R510" s="206"/>
      <c r="S510" s="206"/>
      <c r="T510" s="288"/>
      <c r="U510" s="206"/>
      <c r="V510" s="206"/>
      <c r="W510" s="288"/>
      <c r="X510" s="209"/>
      <c r="Y510" s="209"/>
      <c r="Z510" s="209"/>
    </row>
    <row r="511" spans="1:26" ht="12.75" x14ac:dyDescent="0.2">
      <c r="A511" s="206"/>
      <c r="B511" s="206"/>
      <c r="C511" s="206"/>
      <c r="D511" s="206"/>
      <c r="E511" s="206"/>
      <c r="F511" s="206"/>
      <c r="G511" s="206"/>
      <c r="H511" s="206"/>
      <c r="I511" s="206"/>
      <c r="J511" s="206"/>
      <c r="K511" s="206"/>
      <c r="L511" s="206"/>
      <c r="M511" s="288"/>
      <c r="N511" s="288"/>
      <c r="O511" s="289"/>
      <c r="P511" s="289"/>
      <c r="Q511" s="289"/>
      <c r="R511" s="206"/>
      <c r="S511" s="206"/>
      <c r="T511" s="288"/>
      <c r="U511" s="206"/>
      <c r="V511" s="206"/>
      <c r="W511" s="288"/>
      <c r="X511" s="209"/>
      <c r="Y511" s="209"/>
      <c r="Z511" s="209"/>
    </row>
    <row r="512" spans="1:26" ht="12.75" x14ac:dyDescent="0.2">
      <c r="A512" s="206"/>
      <c r="B512" s="206"/>
      <c r="C512" s="206"/>
      <c r="D512" s="206"/>
      <c r="E512" s="206"/>
      <c r="F512" s="206"/>
      <c r="G512" s="206"/>
      <c r="H512" s="206"/>
      <c r="I512" s="206"/>
      <c r="J512" s="206"/>
      <c r="K512" s="206"/>
      <c r="L512" s="206"/>
      <c r="M512" s="288"/>
      <c r="N512" s="288"/>
      <c r="O512" s="289"/>
      <c r="P512" s="289"/>
      <c r="Q512" s="289"/>
      <c r="R512" s="206"/>
      <c r="S512" s="206"/>
      <c r="T512" s="288"/>
      <c r="U512" s="206"/>
      <c r="V512" s="206"/>
      <c r="W512" s="288"/>
      <c r="X512" s="209"/>
      <c r="Y512" s="209"/>
      <c r="Z512" s="209"/>
    </row>
    <row r="513" spans="1:26" ht="12.75" x14ac:dyDescent="0.2">
      <c r="A513" s="206"/>
      <c r="B513" s="206"/>
      <c r="C513" s="206"/>
      <c r="D513" s="206"/>
      <c r="E513" s="206"/>
      <c r="F513" s="206"/>
      <c r="G513" s="206"/>
      <c r="H513" s="206"/>
      <c r="I513" s="206"/>
      <c r="J513" s="206"/>
      <c r="K513" s="206"/>
      <c r="L513" s="206"/>
      <c r="M513" s="288"/>
      <c r="N513" s="288"/>
      <c r="O513" s="289"/>
      <c r="P513" s="289"/>
      <c r="Q513" s="289"/>
      <c r="R513" s="206"/>
      <c r="S513" s="206"/>
      <c r="T513" s="288"/>
      <c r="U513" s="206"/>
      <c r="V513" s="206"/>
      <c r="W513" s="288"/>
      <c r="X513" s="209"/>
      <c r="Y513" s="209"/>
      <c r="Z513" s="209"/>
    </row>
    <row r="514" spans="1:26" ht="12.75" x14ac:dyDescent="0.2">
      <c r="A514" s="206"/>
      <c r="B514" s="206"/>
      <c r="C514" s="206"/>
      <c r="D514" s="206"/>
      <c r="E514" s="206"/>
      <c r="F514" s="206"/>
      <c r="G514" s="206"/>
      <c r="H514" s="206"/>
      <c r="I514" s="206"/>
      <c r="J514" s="206"/>
      <c r="K514" s="206"/>
      <c r="L514" s="206"/>
      <c r="M514" s="288"/>
      <c r="N514" s="288"/>
      <c r="O514" s="289"/>
      <c r="P514" s="289"/>
      <c r="Q514" s="289"/>
      <c r="R514" s="206"/>
      <c r="S514" s="206"/>
      <c r="T514" s="288"/>
      <c r="U514" s="206"/>
      <c r="V514" s="206"/>
      <c r="W514" s="288"/>
      <c r="X514" s="209"/>
      <c r="Y514" s="209"/>
      <c r="Z514" s="209"/>
    </row>
    <row r="515" spans="1:26" ht="12.75" x14ac:dyDescent="0.2">
      <c r="A515" s="206"/>
      <c r="B515" s="206"/>
      <c r="C515" s="206"/>
      <c r="D515" s="206"/>
      <c r="E515" s="206"/>
      <c r="F515" s="206"/>
      <c r="G515" s="206"/>
      <c r="H515" s="206"/>
      <c r="I515" s="206"/>
      <c r="J515" s="206"/>
      <c r="K515" s="206"/>
      <c r="L515" s="206"/>
      <c r="M515" s="288"/>
      <c r="N515" s="288"/>
      <c r="O515" s="289"/>
      <c r="P515" s="289"/>
      <c r="Q515" s="289"/>
      <c r="R515" s="206"/>
      <c r="S515" s="206"/>
      <c r="T515" s="288"/>
      <c r="U515" s="206"/>
      <c r="V515" s="206"/>
      <c r="W515" s="288"/>
      <c r="X515" s="209"/>
      <c r="Y515" s="209"/>
      <c r="Z515" s="209"/>
    </row>
    <row r="516" spans="1:26" ht="12.75" x14ac:dyDescent="0.2">
      <c r="A516" s="206"/>
      <c r="B516" s="206"/>
      <c r="C516" s="206"/>
      <c r="D516" s="206"/>
      <c r="E516" s="206"/>
      <c r="F516" s="206"/>
      <c r="G516" s="206"/>
      <c r="H516" s="206"/>
      <c r="I516" s="206"/>
      <c r="J516" s="206"/>
      <c r="K516" s="206"/>
      <c r="L516" s="206"/>
      <c r="M516" s="288"/>
      <c r="N516" s="288"/>
      <c r="O516" s="289"/>
      <c r="P516" s="289"/>
      <c r="Q516" s="289"/>
      <c r="R516" s="206"/>
      <c r="S516" s="206"/>
      <c r="T516" s="288"/>
      <c r="U516" s="206"/>
      <c r="V516" s="206"/>
      <c r="W516" s="288"/>
      <c r="X516" s="209"/>
      <c r="Y516" s="209"/>
      <c r="Z516" s="209"/>
    </row>
    <row r="517" spans="1:26" ht="12.75" x14ac:dyDescent="0.2">
      <c r="A517" s="206"/>
      <c r="B517" s="206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88"/>
      <c r="N517" s="288"/>
      <c r="O517" s="289"/>
      <c r="P517" s="289"/>
      <c r="Q517" s="289"/>
      <c r="R517" s="206"/>
      <c r="S517" s="206"/>
      <c r="T517" s="288"/>
      <c r="U517" s="206"/>
      <c r="V517" s="206"/>
      <c r="W517" s="288"/>
      <c r="X517" s="209"/>
      <c r="Y517" s="209"/>
      <c r="Z517" s="209"/>
    </row>
    <row r="518" spans="1:26" ht="12.75" x14ac:dyDescent="0.2">
      <c r="A518" s="206"/>
      <c r="B518" s="206"/>
      <c r="C518" s="206"/>
      <c r="D518" s="206"/>
      <c r="E518" s="206"/>
      <c r="F518" s="206"/>
      <c r="G518" s="206"/>
      <c r="H518" s="206"/>
      <c r="I518" s="206"/>
      <c r="J518" s="206"/>
      <c r="K518" s="206"/>
      <c r="L518" s="206"/>
      <c r="M518" s="288"/>
      <c r="N518" s="288"/>
      <c r="O518" s="289"/>
      <c r="P518" s="289"/>
      <c r="Q518" s="289"/>
      <c r="R518" s="206"/>
      <c r="S518" s="206"/>
      <c r="T518" s="288"/>
      <c r="U518" s="206"/>
      <c r="V518" s="206"/>
      <c r="W518" s="288"/>
      <c r="X518" s="209"/>
      <c r="Y518" s="209"/>
      <c r="Z518" s="209"/>
    </row>
    <row r="519" spans="1:26" ht="12.75" x14ac:dyDescent="0.2">
      <c r="A519" s="206"/>
      <c r="B519" s="206"/>
      <c r="C519" s="206"/>
      <c r="D519" s="206"/>
      <c r="E519" s="206"/>
      <c r="F519" s="206"/>
      <c r="G519" s="206"/>
      <c r="H519" s="206"/>
      <c r="I519" s="206"/>
      <c r="J519" s="206"/>
      <c r="K519" s="206"/>
      <c r="L519" s="206"/>
      <c r="M519" s="288"/>
      <c r="N519" s="288"/>
      <c r="O519" s="289"/>
      <c r="P519" s="289"/>
      <c r="Q519" s="289"/>
      <c r="R519" s="206"/>
      <c r="S519" s="206"/>
      <c r="T519" s="288"/>
      <c r="U519" s="206"/>
      <c r="V519" s="206"/>
      <c r="W519" s="288"/>
      <c r="X519" s="209"/>
      <c r="Y519" s="209"/>
      <c r="Z519" s="209"/>
    </row>
    <row r="520" spans="1:26" ht="12.75" x14ac:dyDescent="0.2">
      <c r="A520" s="206"/>
      <c r="B520" s="206"/>
      <c r="C520" s="206"/>
      <c r="D520" s="206"/>
      <c r="E520" s="206"/>
      <c r="F520" s="206"/>
      <c r="G520" s="206"/>
      <c r="H520" s="206"/>
      <c r="I520" s="206"/>
      <c r="J520" s="206"/>
      <c r="K520" s="206"/>
      <c r="L520" s="206"/>
      <c r="M520" s="288"/>
      <c r="N520" s="288"/>
      <c r="O520" s="289"/>
      <c r="P520" s="289"/>
      <c r="Q520" s="289"/>
      <c r="R520" s="206"/>
      <c r="S520" s="206"/>
      <c r="T520" s="288"/>
      <c r="U520" s="206"/>
      <c r="V520" s="206"/>
      <c r="W520" s="288"/>
      <c r="X520" s="209"/>
      <c r="Y520" s="209"/>
      <c r="Z520" s="209"/>
    </row>
    <row r="521" spans="1:26" ht="12.75" x14ac:dyDescent="0.2">
      <c r="A521" s="206"/>
      <c r="B521" s="206"/>
      <c r="C521" s="206"/>
      <c r="D521" s="206"/>
      <c r="E521" s="206"/>
      <c r="F521" s="206"/>
      <c r="G521" s="206"/>
      <c r="H521" s="206"/>
      <c r="I521" s="206"/>
      <c r="J521" s="206"/>
      <c r="K521" s="206"/>
      <c r="L521" s="206"/>
      <c r="M521" s="288"/>
      <c r="N521" s="288"/>
      <c r="O521" s="289"/>
      <c r="P521" s="289"/>
      <c r="Q521" s="289"/>
      <c r="R521" s="206"/>
      <c r="S521" s="206"/>
      <c r="T521" s="288"/>
      <c r="U521" s="206"/>
      <c r="V521" s="206"/>
      <c r="W521" s="288"/>
      <c r="X521" s="209"/>
      <c r="Y521" s="209"/>
      <c r="Z521" s="209"/>
    </row>
    <row r="522" spans="1:26" ht="12.75" x14ac:dyDescent="0.2">
      <c r="A522" s="206"/>
      <c r="B522" s="206"/>
      <c r="C522" s="206"/>
      <c r="D522" s="206"/>
      <c r="E522" s="206"/>
      <c r="F522" s="206"/>
      <c r="G522" s="206"/>
      <c r="H522" s="206"/>
      <c r="I522" s="206"/>
      <c r="J522" s="206"/>
      <c r="K522" s="206"/>
      <c r="L522" s="206"/>
      <c r="M522" s="288"/>
      <c r="N522" s="288"/>
      <c r="O522" s="289"/>
      <c r="P522" s="289"/>
      <c r="Q522" s="289"/>
      <c r="R522" s="206"/>
      <c r="S522" s="206"/>
      <c r="T522" s="288"/>
      <c r="U522" s="206"/>
      <c r="V522" s="206"/>
      <c r="W522" s="288"/>
      <c r="X522" s="209"/>
      <c r="Y522" s="209"/>
      <c r="Z522" s="209"/>
    </row>
    <row r="523" spans="1:26" ht="12.75" x14ac:dyDescent="0.2">
      <c r="A523" s="206"/>
      <c r="B523" s="206"/>
      <c r="C523" s="206"/>
      <c r="D523" s="206"/>
      <c r="E523" s="206"/>
      <c r="F523" s="206"/>
      <c r="G523" s="206"/>
      <c r="H523" s="206"/>
      <c r="I523" s="206"/>
      <c r="J523" s="206"/>
      <c r="K523" s="206"/>
      <c r="L523" s="206"/>
      <c r="M523" s="288"/>
      <c r="N523" s="288"/>
      <c r="O523" s="289"/>
      <c r="P523" s="289"/>
      <c r="Q523" s="289"/>
      <c r="R523" s="206"/>
      <c r="S523" s="206"/>
      <c r="T523" s="288"/>
      <c r="U523" s="206"/>
      <c r="V523" s="206"/>
      <c r="W523" s="288"/>
      <c r="X523" s="209"/>
      <c r="Y523" s="209"/>
      <c r="Z523" s="209"/>
    </row>
    <row r="524" spans="1:26" ht="12.75" x14ac:dyDescent="0.2">
      <c r="A524" s="206"/>
      <c r="B524" s="206"/>
      <c r="C524" s="206"/>
      <c r="D524" s="206"/>
      <c r="E524" s="206"/>
      <c r="F524" s="206"/>
      <c r="G524" s="206"/>
      <c r="H524" s="206"/>
      <c r="I524" s="206"/>
      <c r="J524" s="206"/>
      <c r="K524" s="206"/>
      <c r="L524" s="206"/>
      <c r="M524" s="288"/>
      <c r="N524" s="288"/>
      <c r="O524" s="289"/>
      <c r="P524" s="289"/>
      <c r="Q524" s="289"/>
      <c r="R524" s="206"/>
      <c r="S524" s="206"/>
      <c r="T524" s="288"/>
      <c r="U524" s="206"/>
      <c r="V524" s="206"/>
      <c r="W524" s="288"/>
      <c r="X524" s="209"/>
      <c r="Y524" s="209"/>
      <c r="Z524" s="209"/>
    </row>
    <row r="525" spans="1:26" ht="12.75" x14ac:dyDescent="0.2">
      <c r="A525" s="206"/>
      <c r="B525" s="206"/>
      <c r="C525" s="206"/>
      <c r="D525" s="206"/>
      <c r="E525" s="206"/>
      <c r="F525" s="206"/>
      <c r="G525" s="206"/>
      <c r="H525" s="206"/>
      <c r="I525" s="206"/>
      <c r="J525" s="206"/>
      <c r="K525" s="206"/>
      <c r="L525" s="206"/>
      <c r="M525" s="288"/>
      <c r="N525" s="288"/>
      <c r="O525" s="289"/>
      <c r="P525" s="289"/>
      <c r="Q525" s="289"/>
      <c r="R525" s="206"/>
      <c r="S525" s="206"/>
      <c r="T525" s="288"/>
      <c r="U525" s="206"/>
      <c r="V525" s="206"/>
      <c r="W525" s="288"/>
      <c r="X525" s="209"/>
      <c r="Y525" s="209"/>
      <c r="Z525" s="209"/>
    </row>
    <row r="526" spans="1:26" ht="12.75" x14ac:dyDescent="0.2">
      <c r="A526" s="206"/>
      <c r="B526" s="206"/>
      <c r="C526" s="206"/>
      <c r="D526" s="206"/>
      <c r="E526" s="206"/>
      <c r="F526" s="206"/>
      <c r="G526" s="206"/>
      <c r="H526" s="206"/>
      <c r="I526" s="206"/>
      <c r="J526" s="206"/>
      <c r="K526" s="206"/>
      <c r="L526" s="206"/>
      <c r="M526" s="288"/>
      <c r="N526" s="288"/>
      <c r="O526" s="289"/>
      <c r="P526" s="289"/>
      <c r="Q526" s="289"/>
      <c r="R526" s="206"/>
      <c r="S526" s="206"/>
      <c r="T526" s="288"/>
      <c r="U526" s="206"/>
      <c r="V526" s="206"/>
      <c r="W526" s="288"/>
      <c r="X526" s="209"/>
      <c r="Y526" s="209"/>
      <c r="Z526" s="209"/>
    </row>
    <row r="527" spans="1:26" ht="12.75" x14ac:dyDescent="0.2">
      <c r="A527" s="206"/>
      <c r="B527" s="206"/>
      <c r="C527" s="206"/>
      <c r="D527" s="206"/>
      <c r="E527" s="206"/>
      <c r="F527" s="206"/>
      <c r="G527" s="206"/>
      <c r="H527" s="206"/>
      <c r="I527" s="206"/>
      <c r="J527" s="206"/>
      <c r="K527" s="206"/>
      <c r="L527" s="206"/>
      <c r="M527" s="288"/>
      <c r="N527" s="288"/>
      <c r="O527" s="289"/>
      <c r="P527" s="289"/>
      <c r="Q527" s="289"/>
      <c r="R527" s="206"/>
      <c r="S527" s="206"/>
      <c r="T527" s="288"/>
      <c r="U527" s="206"/>
      <c r="V527" s="206"/>
      <c r="W527" s="288"/>
      <c r="X527" s="209"/>
      <c r="Y527" s="209"/>
      <c r="Z527" s="209"/>
    </row>
    <row r="528" spans="1:26" ht="12.75" x14ac:dyDescent="0.2">
      <c r="A528" s="206"/>
      <c r="B528" s="206"/>
      <c r="C528" s="206"/>
      <c r="D528" s="206"/>
      <c r="E528" s="206"/>
      <c r="F528" s="206"/>
      <c r="G528" s="206"/>
      <c r="H528" s="206"/>
      <c r="I528" s="206"/>
      <c r="J528" s="206"/>
      <c r="K528" s="206"/>
      <c r="L528" s="206"/>
      <c r="M528" s="288"/>
      <c r="N528" s="288"/>
      <c r="O528" s="289"/>
      <c r="P528" s="289"/>
      <c r="Q528" s="289"/>
      <c r="R528" s="206"/>
      <c r="S528" s="206"/>
      <c r="T528" s="288"/>
      <c r="U528" s="206"/>
      <c r="V528" s="206"/>
      <c r="W528" s="288"/>
      <c r="X528" s="209"/>
      <c r="Y528" s="209"/>
      <c r="Z528" s="209"/>
    </row>
    <row r="529" spans="1:26" ht="12.75" x14ac:dyDescent="0.2">
      <c r="A529" s="206"/>
      <c r="B529" s="206"/>
      <c r="C529" s="206"/>
      <c r="D529" s="206"/>
      <c r="E529" s="206"/>
      <c r="F529" s="206"/>
      <c r="G529" s="206"/>
      <c r="H529" s="206"/>
      <c r="I529" s="206"/>
      <c r="J529" s="206"/>
      <c r="K529" s="206"/>
      <c r="L529" s="206"/>
      <c r="M529" s="288"/>
      <c r="N529" s="288"/>
      <c r="O529" s="289"/>
      <c r="P529" s="289"/>
      <c r="Q529" s="289"/>
      <c r="R529" s="206"/>
      <c r="S529" s="206"/>
      <c r="T529" s="288"/>
      <c r="U529" s="206"/>
      <c r="V529" s="206"/>
      <c r="W529" s="288"/>
      <c r="X529" s="209"/>
      <c r="Y529" s="209"/>
      <c r="Z529" s="209"/>
    </row>
    <row r="530" spans="1:26" ht="12.75" x14ac:dyDescent="0.2">
      <c r="A530" s="206"/>
      <c r="B530" s="206"/>
      <c r="C530" s="206"/>
      <c r="D530" s="206"/>
      <c r="E530" s="206"/>
      <c r="F530" s="206"/>
      <c r="G530" s="206"/>
      <c r="H530" s="206"/>
      <c r="I530" s="206"/>
      <c r="J530" s="206"/>
      <c r="K530" s="206"/>
      <c r="L530" s="206"/>
      <c r="M530" s="288"/>
      <c r="N530" s="288"/>
      <c r="O530" s="289"/>
      <c r="P530" s="289"/>
      <c r="Q530" s="289"/>
      <c r="R530" s="206"/>
      <c r="S530" s="206"/>
      <c r="T530" s="288"/>
      <c r="U530" s="206"/>
      <c r="V530" s="206"/>
      <c r="W530" s="288"/>
      <c r="X530" s="209"/>
      <c r="Y530" s="209"/>
      <c r="Z530" s="209"/>
    </row>
    <row r="531" spans="1:26" ht="12.75" x14ac:dyDescent="0.2">
      <c r="A531" s="206"/>
      <c r="B531" s="206"/>
      <c r="C531" s="206"/>
      <c r="D531" s="206"/>
      <c r="E531" s="206"/>
      <c r="F531" s="206"/>
      <c r="G531" s="206"/>
      <c r="H531" s="206"/>
      <c r="I531" s="206"/>
      <c r="J531" s="206"/>
      <c r="K531" s="206"/>
      <c r="L531" s="206"/>
      <c r="M531" s="288"/>
      <c r="N531" s="288"/>
      <c r="O531" s="289"/>
      <c r="P531" s="289"/>
      <c r="Q531" s="289"/>
      <c r="R531" s="206"/>
      <c r="S531" s="206"/>
      <c r="T531" s="288"/>
      <c r="U531" s="206"/>
      <c r="V531" s="206"/>
      <c r="W531" s="288"/>
      <c r="X531" s="209"/>
      <c r="Y531" s="209"/>
      <c r="Z531" s="209"/>
    </row>
    <row r="532" spans="1:26" ht="12.75" x14ac:dyDescent="0.2">
      <c r="A532" s="206"/>
      <c r="B532" s="206"/>
      <c r="C532" s="206"/>
      <c r="D532" s="206"/>
      <c r="E532" s="206"/>
      <c r="F532" s="206"/>
      <c r="G532" s="206"/>
      <c r="H532" s="206"/>
      <c r="I532" s="206"/>
      <c r="J532" s="206"/>
      <c r="K532" s="206"/>
      <c r="L532" s="206"/>
      <c r="M532" s="288"/>
      <c r="N532" s="288"/>
      <c r="O532" s="289"/>
      <c r="P532" s="289"/>
      <c r="Q532" s="289"/>
      <c r="R532" s="206"/>
      <c r="S532" s="206"/>
      <c r="T532" s="288"/>
      <c r="U532" s="206"/>
      <c r="V532" s="206"/>
      <c r="W532" s="288"/>
      <c r="X532" s="209"/>
      <c r="Y532" s="209"/>
      <c r="Z532" s="209"/>
    </row>
    <row r="533" spans="1:26" ht="12.75" x14ac:dyDescent="0.2">
      <c r="A533" s="206"/>
      <c r="B533" s="206"/>
      <c r="C533" s="206"/>
      <c r="D533" s="206"/>
      <c r="E533" s="206"/>
      <c r="F533" s="206"/>
      <c r="G533" s="206"/>
      <c r="H533" s="206"/>
      <c r="I533" s="206"/>
      <c r="J533" s="206"/>
      <c r="K533" s="206"/>
      <c r="L533" s="206"/>
      <c r="M533" s="288"/>
      <c r="N533" s="288"/>
      <c r="O533" s="289"/>
      <c r="P533" s="289"/>
      <c r="Q533" s="289"/>
      <c r="R533" s="206"/>
      <c r="S533" s="206"/>
      <c r="T533" s="288"/>
      <c r="U533" s="206"/>
      <c r="V533" s="206"/>
      <c r="W533" s="288"/>
      <c r="X533" s="209"/>
      <c r="Y533" s="209"/>
      <c r="Z533" s="209"/>
    </row>
    <row r="534" spans="1:26" ht="12.75" x14ac:dyDescent="0.2">
      <c r="A534" s="206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88"/>
      <c r="N534" s="288"/>
      <c r="O534" s="289"/>
      <c r="P534" s="289"/>
      <c r="Q534" s="289"/>
      <c r="R534" s="206"/>
      <c r="S534" s="206"/>
      <c r="T534" s="288"/>
      <c r="U534" s="206"/>
      <c r="V534" s="206"/>
      <c r="W534" s="288"/>
      <c r="X534" s="209"/>
      <c r="Y534" s="209"/>
      <c r="Z534" s="209"/>
    </row>
    <row r="535" spans="1:26" ht="12.75" x14ac:dyDescent="0.2">
      <c r="A535" s="206"/>
      <c r="B535" s="206"/>
      <c r="C535" s="206"/>
      <c r="D535" s="206"/>
      <c r="E535" s="206"/>
      <c r="F535" s="206"/>
      <c r="G535" s="206"/>
      <c r="H535" s="206"/>
      <c r="I535" s="206"/>
      <c r="J535" s="206"/>
      <c r="K535" s="206"/>
      <c r="L535" s="206"/>
      <c r="M535" s="288"/>
      <c r="N535" s="288"/>
      <c r="O535" s="289"/>
      <c r="P535" s="289"/>
      <c r="Q535" s="289"/>
      <c r="R535" s="206"/>
      <c r="S535" s="206"/>
      <c r="T535" s="288"/>
      <c r="U535" s="206"/>
      <c r="V535" s="206"/>
      <c r="W535" s="288"/>
      <c r="X535" s="209"/>
      <c r="Y535" s="209"/>
      <c r="Z535" s="209"/>
    </row>
    <row r="536" spans="1:26" ht="12.75" x14ac:dyDescent="0.2">
      <c r="A536" s="206"/>
      <c r="B536" s="206"/>
      <c r="C536" s="206"/>
      <c r="D536" s="206"/>
      <c r="E536" s="206"/>
      <c r="F536" s="206"/>
      <c r="G536" s="206"/>
      <c r="H536" s="206"/>
      <c r="I536" s="206"/>
      <c r="J536" s="206"/>
      <c r="K536" s="206"/>
      <c r="L536" s="206"/>
      <c r="M536" s="288"/>
      <c r="N536" s="288"/>
      <c r="O536" s="289"/>
      <c r="P536" s="289"/>
      <c r="Q536" s="289"/>
      <c r="R536" s="206"/>
      <c r="S536" s="206"/>
      <c r="T536" s="288"/>
      <c r="U536" s="206"/>
      <c r="V536" s="206"/>
      <c r="W536" s="288"/>
      <c r="X536" s="209"/>
      <c r="Y536" s="209"/>
      <c r="Z536" s="209"/>
    </row>
    <row r="537" spans="1:26" ht="12.75" x14ac:dyDescent="0.2">
      <c r="A537" s="206"/>
      <c r="B537" s="206"/>
      <c r="C537" s="206"/>
      <c r="D537" s="206"/>
      <c r="E537" s="206"/>
      <c r="F537" s="206"/>
      <c r="G537" s="206"/>
      <c r="H537" s="206"/>
      <c r="I537" s="206"/>
      <c r="J537" s="206"/>
      <c r="K537" s="206"/>
      <c r="L537" s="206"/>
      <c r="M537" s="288"/>
      <c r="N537" s="288"/>
      <c r="O537" s="289"/>
      <c r="P537" s="289"/>
      <c r="Q537" s="289"/>
      <c r="R537" s="206"/>
      <c r="S537" s="206"/>
      <c r="T537" s="288"/>
      <c r="U537" s="206"/>
      <c r="V537" s="206"/>
      <c r="W537" s="288"/>
      <c r="X537" s="209"/>
      <c r="Y537" s="209"/>
      <c r="Z537" s="209"/>
    </row>
    <row r="538" spans="1:26" ht="12.75" x14ac:dyDescent="0.2">
      <c r="A538" s="206"/>
      <c r="B538" s="206"/>
      <c r="C538" s="206"/>
      <c r="D538" s="206"/>
      <c r="E538" s="206"/>
      <c r="F538" s="206"/>
      <c r="G538" s="206"/>
      <c r="H538" s="206"/>
      <c r="I538" s="206"/>
      <c r="J538" s="206"/>
      <c r="K538" s="206"/>
      <c r="L538" s="206"/>
      <c r="M538" s="288"/>
      <c r="N538" s="288"/>
      <c r="O538" s="289"/>
      <c r="P538" s="289"/>
      <c r="Q538" s="289"/>
      <c r="R538" s="206"/>
      <c r="S538" s="206"/>
      <c r="T538" s="288"/>
      <c r="U538" s="206"/>
      <c r="V538" s="206"/>
      <c r="W538" s="288"/>
      <c r="X538" s="209"/>
      <c r="Y538" s="209"/>
      <c r="Z538" s="209"/>
    </row>
    <row r="539" spans="1:26" ht="12.75" x14ac:dyDescent="0.2">
      <c r="A539" s="206"/>
      <c r="B539" s="206"/>
      <c r="C539" s="206"/>
      <c r="D539" s="206"/>
      <c r="E539" s="206"/>
      <c r="F539" s="206"/>
      <c r="G539" s="206"/>
      <c r="H539" s="206"/>
      <c r="I539" s="206"/>
      <c r="J539" s="206"/>
      <c r="K539" s="206"/>
      <c r="L539" s="206"/>
      <c r="M539" s="288"/>
      <c r="N539" s="288"/>
      <c r="O539" s="289"/>
      <c r="P539" s="289"/>
      <c r="Q539" s="289"/>
      <c r="R539" s="206"/>
      <c r="S539" s="206"/>
      <c r="T539" s="288"/>
      <c r="U539" s="206"/>
      <c r="V539" s="206"/>
      <c r="W539" s="288"/>
      <c r="X539" s="209"/>
      <c r="Y539" s="209"/>
      <c r="Z539" s="209"/>
    </row>
    <row r="540" spans="1:26" ht="12.75" x14ac:dyDescent="0.2">
      <c r="A540" s="206"/>
      <c r="B540" s="206"/>
      <c r="C540" s="206"/>
      <c r="D540" s="206"/>
      <c r="E540" s="206"/>
      <c r="F540" s="206"/>
      <c r="G540" s="206"/>
      <c r="H540" s="206"/>
      <c r="I540" s="206"/>
      <c r="J540" s="206"/>
      <c r="K540" s="206"/>
      <c r="L540" s="206"/>
      <c r="M540" s="288"/>
      <c r="N540" s="288"/>
      <c r="O540" s="289"/>
      <c r="P540" s="289"/>
      <c r="Q540" s="289"/>
      <c r="R540" s="206"/>
      <c r="S540" s="206"/>
      <c r="T540" s="288"/>
      <c r="U540" s="206"/>
      <c r="V540" s="206"/>
      <c r="W540" s="288"/>
      <c r="X540" s="209"/>
      <c r="Y540" s="209"/>
      <c r="Z540" s="209"/>
    </row>
    <row r="541" spans="1:26" ht="12.75" x14ac:dyDescent="0.2">
      <c r="A541" s="206"/>
      <c r="B541" s="206"/>
      <c r="C541" s="206"/>
      <c r="D541" s="206"/>
      <c r="E541" s="206"/>
      <c r="F541" s="206"/>
      <c r="G541" s="206"/>
      <c r="H541" s="206"/>
      <c r="I541" s="206"/>
      <c r="J541" s="206"/>
      <c r="K541" s="206"/>
      <c r="L541" s="206"/>
      <c r="M541" s="288"/>
      <c r="N541" s="288"/>
      <c r="O541" s="289"/>
      <c r="P541" s="289"/>
      <c r="Q541" s="289"/>
      <c r="R541" s="206"/>
      <c r="S541" s="206"/>
      <c r="T541" s="288"/>
      <c r="U541" s="206"/>
      <c r="V541" s="206"/>
      <c r="W541" s="288"/>
      <c r="X541" s="209"/>
      <c r="Y541" s="209"/>
      <c r="Z541" s="209"/>
    </row>
    <row r="542" spans="1:26" ht="12.75" x14ac:dyDescent="0.2">
      <c r="A542" s="206"/>
      <c r="B542" s="206"/>
      <c r="C542" s="206"/>
      <c r="D542" s="206"/>
      <c r="E542" s="206"/>
      <c r="F542" s="206"/>
      <c r="G542" s="206"/>
      <c r="H542" s="206"/>
      <c r="I542" s="206"/>
      <c r="J542" s="206"/>
      <c r="K542" s="206"/>
      <c r="L542" s="206"/>
      <c r="M542" s="288"/>
      <c r="N542" s="288"/>
      <c r="O542" s="289"/>
      <c r="P542" s="289"/>
      <c r="Q542" s="289"/>
      <c r="R542" s="206"/>
      <c r="S542" s="206"/>
      <c r="T542" s="288"/>
      <c r="U542" s="206"/>
      <c r="V542" s="206"/>
      <c r="W542" s="288"/>
      <c r="X542" s="209"/>
      <c r="Y542" s="209"/>
      <c r="Z542" s="209"/>
    </row>
    <row r="543" spans="1:26" ht="12.75" x14ac:dyDescent="0.2">
      <c r="A543" s="206"/>
      <c r="B543" s="206"/>
      <c r="C543" s="206"/>
      <c r="D543" s="206"/>
      <c r="E543" s="206"/>
      <c r="F543" s="206"/>
      <c r="G543" s="206"/>
      <c r="H543" s="206"/>
      <c r="I543" s="206"/>
      <c r="J543" s="206"/>
      <c r="K543" s="206"/>
      <c r="L543" s="206"/>
      <c r="M543" s="288"/>
      <c r="N543" s="288"/>
      <c r="O543" s="289"/>
      <c r="P543" s="289"/>
      <c r="Q543" s="289"/>
      <c r="R543" s="206"/>
      <c r="S543" s="206"/>
      <c r="T543" s="288"/>
      <c r="U543" s="206"/>
      <c r="V543" s="206"/>
      <c r="W543" s="288"/>
      <c r="X543" s="209"/>
      <c r="Y543" s="209"/>
      <c r="Z543" s="209"/>
    </row>
    <row r="544" spans="1:26" ht="12.75" x14ac:dyDescent="0.2">
      <c r="A544" s="206"/>
      <c r="B544" s="206"/>
      <c r="C544" s="206"/>
      <c r="D544" s="206"/>
      <c r="E544" s="206"/>
      <c r="F544" s="206"/>
      <c r="G544" s="206"/>
      <c r="H544" s="206"/>
      <c r="I544" s="206"/>
      <c r="J544" s="206"/>
      <c r="K544" s="206"/>
      <c r="L544" s="206"/>
      <c r="M544" s="288"/>
      <c r="N544" s="288"/>
      <c r="O544" s="289"/>
      <c r="P544" s="289"/>
      <c r="Q544" s="289"/>
      <c r="R544" s="206"/>
      <c r="S544" s="206"/>
      <c r="T544" s="288"/>
      <c r="U544" s="206"/>
      <c r="V544" s="206"/>
      <c r="W544" s="288"/>
      <c r="X544" s="209"/>
      <c r="Y544" s="209"/>
      <c r="Z544" s="209"/>
    </row>
    <row r="545" spans="1:26" ht="12.75" x14ac:dyDescent="0.2">
      <c r="A545" s="206"/>
      <c r="B545" s="206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88"/>
      <c r="N545" s="288"/>
      <c r="O545" s="289"/>
      <c r="P545" s="289"/>
      <c r="Q545" s="289"/>
      <c r="R545" s="206"/>
      <c r="S545" s="206"/>
      <c r="T545" s="288"/>
      <c r="U545" s="206"/>
      <c r="V545" s="206"/>
      <c r="W545" s="288"/>
      <c r="X545" s="209"/>
      <c r="Y545" s="209"/>
      <c r="Z545" s="209"/>
    </row>
    <row r="546" spans="1:26" ht="12.75" x14ac:dyDescent="0.2">
      <c r="A546" s="206"/>
      <c r="B546" s="206"/>
      <c r="C546" s="206"/>
      <c r="D546" s="206"/>
      <c r="E546" s="206"/>
      <c r="F546" s="206"/>
      <c r="G546" s="206"/>
      <c r="H546" s="206"/>
      <c r="I546" s="206"/>
      <c r="J546" s="206"/>
      <c r="K546" s="206"/>
      <c r="L546" s="206"/>
      <c r="M546" s="288"/>
      <c r="N546" s="288"/>
      <c r="O546" s="289"/>
      <c r="P546" s="289"/>
      <c r="Q546" s="289"/>
      <c r="R546" s="206"/>
      <c r="S546" s="206"/>
      <c r="T546" s="288"/>
      <c r="U546" s="206"/>
      <c r="V546" s="206"/>
      <c r="W546" s="288"/>
      <c r="X546" s="209"/>
      <c r="Y546" s="209"/>
      <c r="Z546" s="209"/>
    </row>
    <row r="547" spans="1:26" ht="12.75" x14ac:dyDescent="0.2">
      <c r="A547" s="206"/>
      <c r="B547" s="206"/>
      <c r="C547" s="206"/>
      <c r="D547" s="206"/>
      <c r="E547" s="206"/>
      <c r="F547" s="206"/>
      <c r="G547" s="206"/>
      <c r="H547" s="206"/>
      <c r="I547" s="206"/>
      <c r="J547" s="206"/>
      <c r="K547" s="206"/>
      <c r="L547" s="206"/>
      <c r="M547" s="288"/>
      <c r="N547" s="288"/>
      <c r="O547" s="289"/>
      <c r="P547" s="289"/>
      <c r="Q547" s="289"/>
      <c r="R547" s="206"/>
      <c r="S547" s="206"/>
      <c r="T547" s="288"/>
      <c r="U547" s="206"/>
      <c r="V547" s="206"/>
      <c r="W547" s="288"/>
      <c r="X547" s="209"/>
      <c r="Y547" s="209"/>
      <c r="Z547" s="209"/>
    </row>
    <row r="548" spans="1:26" ht="12.75" x14ac:dyDescent="0.2">
      <c r="A548" s="206"/>
      <c r="B548" s="206"/>
      <c r="C548" s="206"/>
      <c r="D548" s="206"/>
      <c r="E548" s="206"/>
      <c r="F548" s="206"/>
      <c r="G548" s="206"/>
      <c r="H548" s="206"/>
      <c r="I548" s="206"/>
      <c r="J548" s="206"/>
      <c r="K548" s="206"/>
      <c r="L548" s="206"/>
      <c r="M548" s="288"/>
      <c r="N548" s="288"/>
      <c r="O548" s="289"/>
      <c r="P548" s="289"/>
      <c r="Q548" s="289"/>
      <c r="R548" s="206"/>
      <c r="S548" s="206"/>
      <c r="T548" s="288"/>
      <c r="U548" s="206"/>
      <c r="V548" s="206"/>
      <c r="W548" s="288"/>
      <c r="X548" s="209"/>
      <c r="Y548" s="209"/>
      <c r="Z548" s="209"/>
    </row>
    <row r="549" spans="1:26" ht="12.75" x14ac:dyDescent="0.2">
      <c r="A549" s="206"/>
      <c r="B549" s="206"/>
      <c r="C549" s="206"/>
      <c r="D549" s="206"/>
      <c r="E549" s="206"/>
      <c r="F549" s="206"/>
      <c r="G549" s="206"/>
      <c r="H549" s="206"/>
      <c r="I549" s="206"/>
      <c r="J549" s="206"/>
      <c r="K549" s="206"/>
      <c r="L549" s="206"/>
      <c r="M549" s="288"/>
      <c r="N549" s="288"/>
      <c r="O549" s="289"/>
      <c r="P549" s="289"/>
      <c r="Q549" s="289"/>
      <c r="R549" s="206"/>
      <c r="S549" s="206"/>
      <c r="T549" s="288"/>
      <c r="U549" s="206"/>
      <c r="V549" s="206"/>
      <c r="W549" s="288"/>
      <c r="X549" s="209"/>
      <c r="Y549" s="209"/>
      <c r="Z549" s="209"/>
    </row>
    <row r="550" spans="1:26" ht="12.75" x14ac:dyDescent="0.2">
      <c r="A550" s="206"/>
      <c r="B550" s="206"/>
      <c r="C550" s="206"/>
      <c r="D550" s="206"/>
      <c r="E550" s="206"/>
      <c r="F550" s="206"/>
      <c r="G550" s="206"/>
      <c r="H550" s="206"/>
      <c r="I550" s="206"/>
      <c r="J550" s="206"/>
      <c r="K550" s="206"/>
      <c r="L550" s="206"/>
      <c r="M550" s="288"/>
      <c r="N550" s="288"/>
      <c r="O550" s="289"/>
      <c r="P550" s="289"/>
      <c r="Q550" s="289"/>
      <c r="R550" s="206"/>
      <c r="S550" s="206"/>
      <c r="T550" s="288"/>
      <c r="U550" s="206"/>
      <c r="V550" s="206"/>
      <c r="W550" s="288"/>
      <c r="X550" s="209"/>
      <c r="Y550" s="209"/>
      <c r="Z550" s="209"/>
    </row>
    <row r="551" spans="1:26" ht="12.75" x14ac:dyDescent="0.2">
      <c r="A551" s="206"/>
      <c r="B551" s="206"/>
      <c r="C551" s="206"/>
      <c r="D551" s="206"/>
      <c r="E551" s="206"/>
      <c r="F551" s="206"/>
      <c r="G551" s="206"/>
      <c r="H551" s="206"/>
      <c r="I551" s="206"/>
      <c r="J551" s="206"/>
      <c r="K551" s="206"/>
      <c r="L551" s="206"/>
      <c r="M551" s="288"/>
      <c r="N551" s="288"/>
      <c r="O551" s="289"/>
      <c r="P551" s="289"/>
      <c r="Q551" s="289"/>
      <c r="R551" s="206"/>
      <c r="S551" s="206"/>
      <c r="T551" s="288"/>
      <c r="U551" s="206"/>
      <c r="V551" s="206"/>
      <c r="W551" s="288"/>
      <c r="X551" s="209"/>
      <c r="Y551" s="209"/>
      <c r="Z551" s="209"/>
    </row>
    <row r="552" spans="1:26" ht="12.75" x14ac:dyDescent="0.2">
      <c r="A552" s="206"/>
      <c r="B552" s="206"/>
      <c r="C552" s="206"/>
      <c r="D552" s="206"/>
      <c r="E552" s="206"/>
      <c r="F552" s="206"/>
      <c r="G552" s="206"/>
      <c r="H552" s="206"/>
      <c r="I552" s="206"/>
      <c r="J552" s="206"/>
      <c r="K552" s="206"/>
      <c r="L552" s="206"/>
      <c r="M552" s="288"/>
      <c r="N552" s="288"/>
      <c r="O552" s="289"/>
      <c r="P552" s="289"/>
      <c r="Q552" s="289"/>
      <c r="R552" s="206"/>
      <c r="S552" s="206"/>
      <c r="T552" s="288"/>
      <c r="U552" s="206"/>
      <c r="V552" s="206"/>
      <c r="W552" s="288"/>
      <c r="X552" s="209"/>
      <c r="Y552" s="209"/>
      <c r="Z552" s="209"/>
    </row>
    <row r="553" spans="1:26" ht="12.75" x14ac:dyDescent="0.2">
      <c r="A553" s="206"/>
      <c r="B553" s="206"/>
      <c r="C553" s="206"/>
      <c r="D553" s="206"/>
      <c r="E553" s="206"/>
      <c r="F553" s="206"/>
      <c r="G553" s="206"/>
      <c r="H553" s="206"/>
      <c r="I553" s="206"/>
      <c r="J553" s="206"/>
      <c r="K553" s="206"/>
      <c r="L553" s="206"/>
      <c r="M553" s="288"/>
      <c r="N553" s="288"/>
      <c r="O553" s="289"/>
      <c r="P553" s="289"/>
      <c r="Q553" s="289"/>
      <c r="R553" s="206"/>
      <c r="S553" s="206"/>
      <c r="T553" s="288"/>
      <c r="U553" s="206"/>
      <c r="V553" s="206"/>
      <c r="W553" s="288"/>
      <c r="X553" s="209"/>
      <c r="Y553" s="209"/>
      <c r="Z553" s="209"/>
    </row>
    <row r="554" spans="1:26" ht="12.75" x14ac:dyDescent="0.2">
      <c r="A554" s="206"/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88"/>
      <c r="N554" s="288"/>
      <c r="O554" s="289"/>
      <c r="P554" s="289"/>
      <c r="Q554" s="289"/>
      <c r="R554" s="206"/>
      <c r="S554" s="206"/>
      <c r="T554" s="288"/>
      <c r="U554" s="206"/>
      <c r="V554" s="206"/>
      <c r="W554" s="288"/>
      <c r="X554" s="209"/>
      <c r="Y554" s="209"/>
      <c r="Z554" s="209"/>
    </row>
    <row r="555" spans="1:26" ht="12.75" x14ac:dyDescent="0.2">
      <c r="A555" s="206"/>
      <c r="B555" s="206"/>
      <c r="C555" s="206"/>
      <c r="D555" s="206"/>
      <c r="E555" s="206"/>
      <c r="F555" s="206"/>
      <c r="G555" s="206"/>
      <c r="H555" s="206"/>
      <c r="I555" s="206"/>
      <c r="J555" s="206"/>
      <c r="K555" s="206"/>
      <c r="L555" s="206"/>
      <c r="M555" s="288"/>
      <c r="N555" s="288"/>
      <c r="O555" s="289"/>
      <c r="P555" s="289"/>
      <c r="Q555" s="289"/>
      <c r="R555" s="206"/>
      <c r="S555" s="206"/>
      <c r="T555" s="288"/>
      <c r="U555" s="206"/>
      <c r="V555" s="206"/>
      <c r="W555" s="288"/>
      <c r="X555" s="209"/>
      <c r="Y555" s="209"/>
      <c r="Z555" s="209"/>
    </row>
    <row r="556" spans="1:26" ht="12.75" x14ac:dyDescent="0.2">
      <c r="A556" s="206"/>
      <c r="B556" s="206"/>
      <c r="C556" s="206"/>
      <c r="D556" s="206"/>
      <c r="E556" s="206"/>
      <c r="F556" s="206"/>
      <c r="G556" s="206"/>
      <c r="H556" s="206"/>
      <c r="I556" s="206"/>
      <c r="J556" s="206"/>
      <c r="K556" s="206"/>
      <c r="L556" s="206"/>
      <c r="M556" s="288"/>
      <c r="N556" s="288"/>
      <c r="O556" s="289"/>
      <c r="P556" s="289"/>
      <c r="Q556" s="289"/>
      <c r="R556" s="206"/>
      <c r="S556" s="206"/>
      <c r="T556" s="288"/>
      <c r="U556" s="206"/>
      <c r="V556" s="206"/>
      <c r="W556" s="288"/>
      <c r="X556" s="209"/>
      <c r="Y556" s="209"/>
      <c r="Z556" s="209"/>
    </row>
    <row r="557" spans="1:26" ht="12.75" x14ac:dyDescent="0.2">
      <c r="A557" s="206"/>
      <c r="B557" s="206"/>
      <c r="C557" s="206"/>
      <c r="D557" s="206"/>
      <c r="E557" s="206"/>
      <c r="F557" s="206"/>
      <c r="G557" s="206"/>
      <c r="H557" s="206"/>
      <c r="I557" s="206"/>
      <c r="J557" s="206"/>
      <c r="K557" s="206"/>
      <c r="L557" s="206"/>
      <c r="M557" s="288"/>
      <c r="N557" s="288"/>
      <c r="O557" s="289"/>
      <c r="P557" s="289"/>
      <c r="Q557" s="289"/>
      <c r="R557" s="206"/>
      <c r="S557" s="206"/>
      <c r="T557" s="288"/>
      <c r="U557" s="206"/>
      <c r="V557" s="206"/>
      <c r="W557" s="288"/>
      <c r="X557" s="209"/>
      <c r="Y557" s="209"/>
      <c r="Z557" s="209"/>
    </row>
    <row r="558" spans="1:26" ht="12.75" x14ac:dyDescent="0.2">
      <c r="A558" s="206"/>
      <c r="B558" s="206"/>
      <c r="C558" s="206"/>
      <c r="D558" s="206"/>
      <c r="E558" s="206"/>
      <c r="F558" s="206"/>
      <c r="G558" s="206"/>
      <c r="H558" s="206"/>
      <c r="I558" s="206"/>
      <c r="J558" s="206"/>
      <c r="K558" s="206"/>
      <c r="L558" s="206"/>
      <c r="M558" s="288"/>
      <c r="N558" s="288"/>
      <c r="O558" s="289"/>
      <c r="P558" s="289"/>
      <c r="Q558" s="289"/>
      <c r="R558" s="206"/>
      <c r="S558" s="206"/>
      <c r="T558" s="288"/>
      <c r="U558" s="206"/>
      <c r="V558" s="206"/>
      <c r="W558" s="288"/>
      <c r="X558" s="209"/>
      <c r="Y558" s="209"/>
      <c r="Z558" s="209"/>
    </row>
    <row r="559" spans="1:26" ht="12.75" x14ac:dyDescent="0.2">
      <c r="A559" s="206"/>
      <c r="B559" s="206"/>
      <c r="C559" s="206"/>
      <c r="D559" s="206"/>
      <c r="E559" s="206"/>
      <c r="F559" s="206"/>
      <c r="G559" s="206"/>
      <c r="H559" s="206"/>
      <c r="I559" s="206"/>
      <c r="J559" s="206"/>
      <c r="K559" s="206"/>
      <c r="L559" s="206"/>
      <c r="M559" s="288"/>
      <c r="N559" s="288"/>
      <c r="O559" s="289"/>
      <c r="P559" s="289"/>
      <c r="Q559" s="289"/>
      <c r="R559" s="206"/>
      <c r="S559" s="206"/>
      <c r="T559" s="288"/>
      <c r="U559" s="206"/>
      <c r="V559" s="206"/>
      <c r="W559" s="288"/>
      <c r="X559" s="209"/>
      <c r="Y559" s="209"/>
      <c r="Z559" s="209"/>
    </row>
    <row r="560" spans="1:26" ht="12.75" x14ac:dyDescent="0.2">
      <c r="A560" s="206"/>
      <c r="B560" s="206"/>
      <c r="C560" s="206"/>
      <c r="D560" s="206"/>
      <c r="E560" s="206"/>
      <c r="F560" s="206"/>
      <c r="G560" s="206"/>
      <c r="H560" s="206"/>
      <c r="I560" s="206"/>
      <c r="J560" s="206"/>
      <c r="K560" s="206"/>
      <c r="L560" s="206"/>
      <c r="M560" s="288"/>
      <c r="N560" s="288"/>
      <c r="O560" s="289"/>
      <c r="P560" s="289"/>
      <c r="Q560" s="289"/>
      <c r="R560" s="206"/>
      <c r="S560" s="206"/>
      <c r="T560" s="288"/>
      <c r="U560" s="206"/>
      <c r="V560" s="206"/>
      <c r="W560" s="288"/>
      <c r="X560" s="209"/>
      <c r="Y560" s="209"/>
      <c r="Z560" s="209"/>
    </row>
    <row r="561" spans="1:26" ht="12.75" x14ac:dyDescent="0.2">
      <c r="A561" s="206"/>
      <c r="B561" s="206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88"/>
      <c r="N561" s="288"/>
      <c r="O561" s="289"/>
      <c r="P561" s="289"/>
      <c r="Q561" s="289"/>
      <c r="R561" s="206"/>
      <c r="S561" s="206"/>
      <c r="T561" s="288"/>
      <c r="U561" s="206"/>
      <c r="V561" s="206"/>
      <c r="W561" s="288"/>
      <c r="X561" s="209"/>
      <c r="Y561" s="209"/>
      <c r="Z561" s="209"/>
    </row>
    <row r="562" spans="1:26" ht="12.75" x14ac:dyDescent="0.2">
      <c r="A562" s="206"/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88"/>
      <c r="N562" s="288"/>
      <c r="O562" s="289"/>
      <c r="P562" s="289"/>
      <c r="Q562" s="289"/>
      <c r="R562" s="206"/>
      <c r="S562" s="206"/>
      <c r="T562" s="288"/>
      <c r="U562" s="206"/>
      <c r="V562" s="206"/>
      <c r="W562" s="288"/>
      <c r="X562" s="209"/>
      <c r="Y562" s="209"/>
      <c r="Z562" s="209"/>
    </row>
    <row r="563" spans="1:26" ht="12.75" x14ac:dyDescent="0.2">
      <c r="A563" s="206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88"/>
      <c r="N563" s="288"/>
      <c r="O563" s="289"/>
      <c r="P563" s="289"/>
      <c r="Q563" s="289"/>
      <c r="R563" s="206"/>
      <c r="S563" s="206"/>
      <c r="T563" s="288"/>
      <c r="U563" s="206"/>
      <c r="V563" s="206"/>
      <c r="W563" s="288"/>
      <c r="X563" s="209"/>
      <c r="Y563" s="209"/>
      <c r="Z563" s="209"/>
    </row>
    <row r="564" spans="1:26" ht="12.75" x14ac:dyDescent="0.2">
      <c r="A564" s="206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88"/>
      <c r="N564" s="288"/>
      <c r="O564" s="289"/>
      <c r="P564" s="289"/>
      <c r="Q564" s="289"/>
      <c r="R564" s="206"/>
      <c r="S564" s="206"/>
      <c r="T564" s="288"/>
      <c r="U564" s="206"/>
      <c r="V564" s="206"/>
      <c r="W564" s="288"/>
      <c r="X564" s="209"/>
      <c r="Y564" s="209"/>
      <c r="Z564" s="209"/>
    </row>
    <row r="565" spans="1:26" ht="12.75" x14ac:dyDescent="0.2">
      <c r="A565" s="206"/>
      <c r="B565" s="206"/>
      <c r="C565" s="206"/>
      <c r="D565" s="206"/>
      <c r="E565" s="206"/>
      <c r="F565" s="206"/>
      <c r="G565" s="206"/>
      <c r="H565" s="206"/>
      <c r="I565" s="206"/>
      <c r="J565" s="206"/>
      <c r="K565" s="206"/>
      <c r="L565" s="206"/>
      <c r="M565" s="288"/>
      <c r="N565" s="288"/>
      <c r="O565" s="289"/>
      <c r="P565" s="289"/>
      <c r="Q565" s="289"/>
      <c r="R565" s="206"/>
      <c r="S565" s="206"/>
      <c r="T565" s="288"/>
      <c r="U565" s="206"/>
      <c r="V565" s="206"/>
      <c r="W565" s="288"/>
      <c r="X565" s="209"/>
      <c r="Y565" s="209"/>
      <c r="Z565" s="209"/>
    </row>
    <row r="566" spans="1:26" ht="12.75" x14ac:dyDescent="0.2">
      <c r="A566" s="206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88"/>
      <c r="N566" s="288"/>
      <c r="O566" s="289"/>
      <c r="P566" s="289"/>
      <c r="Q566" s="289"/>
      <c r="R566" s="206"/>
      <c r="S566" s="206"/>
      <c r="T566" s="288"/>
      <c r="U566" s="206"/>
      <c r="V566" s="206"/>
      <c r="W566" s="288"/>
      <c r="X566" s="209"/>
      <c r="Y566" s="209"/>
      <c r="Z566" s="209"/>
    </row>
    <row r="567" spans="1:26" ht="12.75" x14ac:dyDescent="0.2">
      <c r="A567" s="206"/>
      <c r="B567" s="206"/>
      <c r="C567" s="206"/>
      <c r="D567" s="206"/>
      <c r="E567" s="206"/>
      <c r="F567" s="206"/>
      <c r="G567" s="206"/>
      <c r="H567" s="206"/>
      <c r="I567" s="206"/>
      <c r="J567" s="206"/>
      <c r="K567" s="206"/>
      <c r="L567" s="206"/>
      <c r="M567" s="288"/>
      <c r="N567" s="288"/>
      <c r="O567" s="289"/>
      <c r="P567" s="289"/>
      <c r="Q567" s="289"/>
      <c r="R567" s="206"/>
      <c r="S567" s="206"/>
      <c r="T567" s="288"/>
      <c r="U567" s="206"/>
      <c r="V567" s="206"/>
      <c r="W567" s="288"/>
      <c r="X567" s="209"/>
      <c r="Y567" s="209"/>
      <c r="Z567" s="209"/>
    </row>
    <row r="568" spans="1:26" ht="12.75" x14ac:dyDescent="0.2">
      <c r="A568" s="206"/>
      <c r="B568" s="206"/>
      <c r="C568" s="206"/>
      <c r="D568" s="206"/>
      <c r="E568" s="206"/>
      <c r="F568" s="206"/>
      <c r="G568" s="206"/>
      <c r="H568" s="206"/>
      <c r="I568" s="206"/>
      <c r="J568" s="206"/>
      <c r="K568" s="206"/>
      <c r="L568" s="206"/>
      <c r="M568" s="288"/>
      <c r="N568" s="288"/>
      <c r="O568" s="289"/>
      <c r="P568" s="289"/>
      <c r="Q568" s="289"/>
      <c r="R568" s="206"/>
      <c r="S568" s="206"/>
      <c r="T568" s="288"/>
      <c r="U568" s="206"/>
      <c r="V568" s="206"/>
      <c r="W568" s="288"/>
      <c r="X568" s="209"/>
      <c r="Y568" s="209"/>
      <c r="Z568" s="209"/>
    </row>
    <row r="569" spans="1:26" ht="12.75" x14ac:dyDescent="0.2">
      <c r="A569" s="206"/>
      <c r="B569" s="206"/>
      <c r="C569" s="206"/>
      <c r="D569" s="206"/>
      <c r="E569" s="206"/>
      <c r="F569" s="206"/>
      <c r="G569" s="206"/>
      <c r="H569" s="206"/>
      <c r="I569" s="206"/>
      <c r="J569" s="206"/>
      <c r="K569" s="206"/>
      <c r="L569" s="206"/>
      <c r="M569" s="288"/>
      <c r="N569" s="288"/>
      <c r="O569" s="289"/>
      <c r="P569" s="289"/>
      <c r="Q569" s="289"/>
      <c r="R569" s="206"/>
      <c r="S569" s="206"/>
      <c r="T569" s="288"/>
      <c r="U569" s="206"/>
      <c r="V569" s="206"/>
      <c r="W569" s="288"/>
      <c r="X569" s="209"/>
      <c r="Y569" s="209"/>
      <c r="Z569" s="209"/>
    </row>
    <row r="570" spans="1:26" ht="12.75" x14ac:dyDescent="0.2">
      <c r="A570" s="206"/>
      <c r="B570" s="206"/>
      <c r="C570" s="206"/>
      <c r="D570" s="206"/>
      <c r="E570" s="206"/>
      <c r="F570" s="206"/>
      <c r="G570" s="206"/>
      <c r="H570" s="206"/>
      <c r="I570" s="206"/>
      <c r="J570" s="206"/>
      <c r="K570" s="206"/>
      <c r="L570" s="206"/>
      <c r="M570" s="288"/>
      <c r="N570" s="288"/>
      <c r="O570" s="289"/>
      <c r="P570" s="289"/>
      <c r="Q570" s="289"/>
      <c r="R570" s="206"/>
      <c r="S570" s="206"/>
      <c r="T570" s="288"/>
      <c r="U570" s="206"/>
      <c r="V570" s="206"/>
      <c r="W570" s="288"/>
      <c r="X570" s="209"/>
      <c r="Y570" s="209"/>
      <c r="Z570" s="209"/>
    </row>
    <row r="571" spans="1:26" ht="12.75" x14ac:dyDescent="0.2">
      <c r="A571" s="206"/>
      <c r="B571" s="206"/>
      <c r="C571" s="206"/>
      <c r="D571" s="206"/>
      <c r="E571" s="206"/>
      <c r="F571" s="206"/>
      <c r="G571" s="206"/>
      <c r="H571" s="206"/>
      <c r="I571" s="206"/>
      <c r="J571" s="206"/>
      <c r="K571" s="206"/>
      <c r="L571" s="206"/>
      <c r="M571" s="288"/>
      <c r="N571" s="288"/>
      <c r="O571" s="289"/>
      <c r="P571" s="289"/>
      <c r="Q571" s="289"/>
      <c r="R571" s="206"/>
      <c r="S571" s="206"/>
      <c r="T571" s="288"/>
      <c r="U571" s="206"/>
      <c r="V571" s="206"/>
      <c r="W571" s="288"/>
      <c r="X571" s="209"/>
      <c r="Y571" s="209"/>
      <c r="Z571" s="209"/>
    </row>
    <row r="572" spans="1:26" ht="12.75" x14ac:dyDescent="0.2">
      <c r="A572" s="206"/>
      <c r="B572" s="206"/>
      <c r="C572" s="206"/>
      <c r="D572" s="206"/>
      <c r="E572" s="206"/>
      <c r="F572" s="206"/>
      <c r="G572" s="206"/>
      <c r="H572" s="206"/>
      <c r="I572" s="206"/>
      <c r="J572" s="206"/>
      <c r="K572" s="206"/>
      <c r="L572" s="206"/>
      <c r="M572" s="288"/>
      <c r="N572" s="288"/>
      <c r="O572" s="289"/>
      <c r="P572" s="289"/>
      <c r="Q572" s="289"/>
      <c r="R572" s="206"/>
      <c r="S572" s="206"/>
      <c r="T572" s="288"/>
      <c r="U572" s="206"/>
      <c r="V572" s="206"/>
      <c r="W572" s="288"/>
      <c r="X572" s="209"/>
      <c r="Y572" s="209"/>
      <c r="Z572" s="209"/>
    </row>
    <row r="573" spans="1:26" ht="12.75" x14ac:dyDescent="0.2">
      <c r="A573" s="206"/>
      <c r="B573" s="206"/>
      <c r="C573" s="206"/>
      <c r="D573" s="206"/>
      <c r="E573" s="206"/>
      <c r="F573" s="206"/>
      <c r="G573" s="206"/>
      <c r="H573" s="206"/>
      <c r="I573" s="206"/>
      <c r="J573" s="206"/>
      <c r="K573" s="206"/>
      <c r="L573" s="206"/>
      <c r="M573" s="288"/>
      <c r="N573" s="288"/>
      <c r="O573" s="289"/>
      <c r="P573" s="289"/>
      <c r="Q573" s="289"/>
      <c r="R573" s="206"/>
      <c r="S573" s="206"/>
      <c r="T573" s="288"/>
      <c r="U573" s="206"/>
      <c r="V573" s="206"/>
      <c r="W573" s="288"/>
      <c r="X573" s="209"/>
      <c r="Y573" s="209"/>
      <c r="Z573" s="209"/>
    </row>
    <row r="574" spans="1:26" ht="12.75" x14ac:dyDescent="0.2">
      <c r="A574" s="206"/>
      <c r="B574" s="206"/>
      <c r="C574" s="206"/>
      <c r="D574" s="206"/>
      <c r="E574" s="206"/>
      <c r="F574" s="206"/>
      <c r="G574" s="206"/>
      <c r="H574" s="206"/>
      <c r="I574" s="206"/>
      <c r="J574" s="206"/>
      <c r="K574" s="206"/>
      <c r="L574" s="206"/>
      <c r="M574" s="288"/>
      <c r="N574" s="288"/>
      <c r="O574" s="289"/>
      <c r="P574" s="289"/>
      <c r="Q574" s="289"/>
      <c r="R574" s="206"/>
      <c r="S574" s="206"/>
      <c r="T574" s="288"/>
      <c r="U574" s="206"/>
      <c r="V574" s="206"/>
      <c r="W574" s="288"/>
      <c r="X574" s="209"/>
      <c r="Y574" s="209"/>
      <c r="Z574" s="209"/>
    </row>
    <row r="575" spans="1:26" ht="12.75" x14ac:dyDescent="0.2">
      <c r="A575" s="206"/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88"/>
      <c r="N575" s="288"/>
      <c r="O575" s="289"/>
      <c r="P575" s="289"/>
      <c r="Q575" s="289"/>
      <c r="R575" s="206"/>
      <c r="S575" s="206"/>
      <c r="T575" s="288"/>
      <c r="U575" s="206"/>
      <c r="V575" s="206"/>
      <c r="W575" s="288"/>
      <c r="X575" s="209"/>
      <c r="Y575" s="209"/>
      <c r="Z575" s="209"/>
    </row>
    <row r="576" spans="1:26" ht="12.75" x14ac:dyDescent="0.2">
      <c r="A576" s="206"/>
      <c r="B576" s="206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88"/>
      <c r="N576" s="288"/>
      <c r="O576" s="289"/>
      <c r="P576" s="289"/>
      <c r="Q576" s="289"/>
      <c r="R576" s="206"/>
      <c r="S576" s="206"/>
      <c r="T576" s="288"/>
      <c r="U576" s="206"/>
      <c r="V576" s="206"/>
      <c r="W576" s="288"/>
      <c r="X576" s="209"/>
      <c r="Y576" s="209"/>
      <c r="Z576" s="209"/>
    </row>
    <row r="577" spans="1:26" ht="12.75" x14ac:dyDescent="0.2">
      <c r="A577" s="206"/>
      <c r="B577" s="206"/>
      <c r="C577" s="206"/>
      <c r="D577" s="206"/>
      <c r="E577" s="206"/>
      <c r="F577" s="206"/>
      <c r="G577" s="206"/>
      <c r="H577" s="206"/>
      <c r="I577" s="206"/>
      <c r="J577" s="206"/>
      <c r="K577" s="206"/>
      <c r="L577" s="206"/>
      <c r="M577" s="288"/>
      <c r="N577" s="288"/>
      <c r="O577" s="289"/>
      <c r="P577" s="289"/>
      <c r="Q577" s="289"/>
      <c r="R577" s="206"/>
      <c r="S577" s="206"/>
      <c r="T577" s="288"/>
      <c r="U577" s="206"/>
      <c r="V577" s="206"/>
      <c r="W577" s="288"/>
      <c r="X577" s="209"/>
      <c r="Y577" s="209"/>
      <c r="Z577" s="209"/>
    </row>
    <row r="578" spans="1:26" ht="12.75" x14ac:dyDescent="0.2">
      <c r="A578" s="206"/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88"/>
      <c r="N578" s="288"/>
      <c r="O578" s="289"/>
      <c r="P578" s="289"/>
      <c r="Q578" s="289"/>
      <c r="R578" s="206"/>
      <c r="S578" s="206"/>
      <c r="T578" s="288"/>
      <c r="U578" s="206"/>
      <c r="V578" s="206"/>
      <c r="W578" s="288"/>
      <c r="X578" s="209"/>
      <c r="Y578" s="209"/>
      <c r="Z578" s="209"/>
    </row>
    <row r="579" spans="1:26" ht="12.75" x14ac:dyDescent="0.2">
      <c r="A579" s="206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88"/>
      <c r="N579" s="288"/>
      <c r="O579" s="289"/>
      <c r="P579" s="289"/>
      <c r="Q579" s="289"/>
      <c r="R579" s="206"/>
      <c r="S579" s="206"/>
      <c r="T579" s="288"/>
      <c r="U579" s="206"/>
      <c r="V579" s="206"/>
      <c r="W579" s="288"/>
      <c r="X579" s="209"/>
      <c r="Y579" s="209"/>
      <c r="Z579" s="209"/>
    </row>
    <row r="580" spans="1:26" ht="12.75" x14ac:dyDescent="0.2">
      <c r="A580" s="206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88"/>
      <c r="N580" s="288"/>
      <c r="O580" s="289"/>
      <c r="P580" s="289"/>
      <c r="Q580" s="289"/>
      <c r="R580" s="206"/>
      <c r="S580" s="206"/>
      <c r="T580" s="288"/>
      <c r="U580" s="206"/>
      <c r="V580" s="206"/>
      <c r="W580" s="288"/>
      <c r="X580" s="209"/>
      <c r="Y580" s="209"/>
      <c r="Z580" s="209"/>
    </row>
    <row r="581" spans="1:26" ht="12.75" x14ac:dyDescent="0.2">
      <c r="A581" s="206"/>
      <c r="B581" s="206"/>
      <c r="C581" s="206"/>
      <c r="D581" s="206"/>
      <c r="E581" s="206"/>
      <c r="F581" s="206"/>
      <c r="G581" s="206"/>
      <c r="H581" s="206"/>
      <c r="I581" s="206"/>
      <c r="J581" s="206"/>
      <c r="K581" s="206"/>
      <c r="L581" s="206"/>
      <c r="M581" s="288"/>
      <c r="N581" s="288"/>
      <c r="O581" s="289"/>
      <c r="P581" s="289"/>
      <c r="Q581" s="289"/>
      <c r="R581" s="206"/>
      <c r="S581" s="206"/>
      <c r="T581" s="288"/>
      <c r="U581" s="206"/>
      <c r="V581" s="206"/>
      <c r="W581" s="288"/>
      <c r="X581" s="209"/>
      <c r="Y581" s="209"/>
      <c r="Z581" s="209"/>
    </row>
    <row r="582" spans="1:26" ht="12.75" x14ac:dyDescent="0.2">
      <c r="A582" s="206"/>
      <c r="B582" s="206"/>
      <c r="C582" s="206"/>
      <c r="D582" s="206"/>
      <c r="E582" s="206"/>
      <c r="F582" s="206"/>
      <c r="G582" s="206"/>
      <c r="H582" s="206"/>
      <c r="I582" s="206"/>
      <c r="J582" s="206"/>
      <c r="K582" s="206"/>
      <c r="L582" s="206"/>
      <c r="M582" s="288"/>
      <c r="N582" s="288"/>
      <c r="O582" s="289"/>
      <c r="P582" s="289"/>
      <c r="Q582" s="289"/>
      <c r="R582" s="206"/>
      <c r="S582" s="206"/>
      <c r="T582" s="288"/>
      <c r="U582" s="206"/>
      <c r="V582" s="206"/>
      <c r="W582" s="288"/>
      <c r="X582" s="209"/>
      <c r="Y582" s="209"/>
      <c r="Z582" s="209"/>
    </row>
    <row r="583" spans="1:26" ht="12.75" x14ac:dyDescent="0.2">
      <c r="A583" s="206"/>
      <c r="B583" s="206"/>
      <c r="C583" s="206"/>
      <c r="D583" s="206"/>
      <c r="E583" s="206"/>
      <c r="F583" s="206"/>
      <c r="G583" s="206"/>
      <c r="H583" s="206"/>
      <c r="I583" s="206"/>
      <c r="J583" s="206"/>
      <c r="K583" s="206"/>
      <c r="L583" s="206"/>
      <c r="M583" s="288"/>
      <c r="N583" s="288"/>
      <c r="O583" s="289"/>
      <c r="P583" s="289"/>
      <c r="Q583" s="289"/>
      <c r="R583" s="206"/>
      <c r="S583" s="206"/>
      <c r="T583" s="288"/>
      <c r="U583" s="206"/>
      <c r="V583" s="206"/>
      <c r="W583" s="288"/>
      <c r="X583" s="209"/>
      <c r="Y583" s="209"/>
      <c r="Z583" s="209"/>
    </row>
    <row r="584" spans="1:26" ht="12.75" x14ac:dyDescent="0.2">
      <c r="A584" s="206"/>
      <c r="B584" s="206"/>
      <c r="C584" s="206"/>
      <c r="D584" s="206"/>
      <c r="E584" s="206"/>
      <c r="F584" s="206"/>
      <c r="G584" s="206"/>
      <c r="H584" s="206"/>
      <c r="I584" s="206"/>
      <c r="J584" s="206"/>
      <c r="K584" s="206"/>
      <c r="L584" s="206"/>
      <c r="M584" s="288"/>
      <c r="N584" s="288"/>
      <c r="O584" s="289"/>
      <c r="P584" s="289"/>
      <c r="Q584" s="289"/>
      <c r="R584" s="206"/>
      <c r="S584" s="206"/>
      <c r="T584" s="288"/>
      <c r="U584" s="206"/>
      <c r="V584" s="206"/>
      <c r="W584" s="288"/>
      <c r="X584" s="209"/>
      <c r="Y584" s="209"/>
      <c r="Z584" s="209"/>
    </row>
    <row r="585" spans="1:26" ht="12.75" x14ac:dyDescent="0.2">
      <c r="A585" s="206"/>
      <c r="B585" s="206"/>
      <c r="C585" s="206"/>
      <c r="D585" s="206"/>
      <c r="E585" s="206"/>
      <c r="F585" s="206"/>
      <c r="G585" s="206"/>
      <c r="H585" s="206"/>
      <c r="I585" s="206"/>
      <c r="J585" s="206"/>
      <c r="K585" s="206"/>
      <c r="L585" s="206"/>
      <c r="M585" s="288"/>
      <c r="N585" s="288"/>
      <c r="O585" s="289"/>
      <c r="P585" s="289"/>
      <c r="Q585" s="289"/>
      <c r="R585" s="206"/>
      <c r="S585" s="206"/>
      <c r="T585" s="288"/>
      <c r="U585" s="206"/>
      <c r="V585" s="206"/>
      <c r="W585" s="288"/>
      <c r="X585" s="209"/>
      <c r="Y585" s="209"/>
      <c r="Z585" s="209"/>
    </row>
    <row r="586" spans="1:26" ht="12.75" x14ac:dyDescent="0.2">
      <c r="A586" s="206"/>
      <c r="B586" s="206"/>
      <c r="C586" s="206"/>
      <c r="D586" s="206"/>
      <c r="E586" s="206"/>
      <c r="F586" s="206"/>
      <c r="G586" s="206"/>
      <c r="H586" s="206"/>
      <c r="I586" s="206"/>
      <c r="J586" s="206"/>
      <c r="K586" s="206"/>
      <c r="L586" s="206"/>
      <c r="M586" s="288"/>
      <c r="N586" s="288"/>
      <c r="O586" s="289"/>
      <c r="P586" s="289"/>
      <c r="Q586" s="289"/>
      <c r="R586" s="206"/>
      <c r="S586" s="206"/>
      <c r="T586" s="288"/>
      <c r="U586" s="206"/>
      <c r="V586" s="206"/>
      <c r="W586" s="288"/>
      <c r="X586" s="209"/>
      <c r="Y586" s="209"/>
      <c r="Z586" s="209"/>
    </row>
    <row r="587" spans="1:26" ht="12.75" x14ac:dyDescent="0.2">
      <c r="A587" s="206"/>
      <c r="B587" s="206"/>
      <c r="C587" s="206"/>
      <c r="D587" s="206"/>
      <c r="E587" s="206"/>
      <c r="F587" s="206"/>
      <c r="G587" s="206"/>
      <c r="H587" s="206"/>
      <c r="I587" s="206"/>
      <c r="J587" s="206"/>
      <c r="K587" s="206"/>
      <c r="L587" s="206"/>
      <c r="M587" s="288"/>
      <c r="N587" s="288"/>
      <c r="O587" s="289"/>
      <c r="P587" s="289"/>
      <c r="Q587" s="289"/>
      <c r="R587" s="206"/>
      <c r="S587" s="206"/>
      <c r="T587" s="288"/>
      <c r="U587" s="206"/>
      <c r="V587" s="206"/>
      <c r="W587" s="288"/>
      <c r="X587" s="209"/>
      <c r="Y587" s="209"/>
      <c r="Z587" s="209"/>
    </row>
    <row r="588" spans="1:26" ht="12.75" x14ac:dyDescent="0.2">
      <c r="A588" s="206"/>
      <c r="B588" s="206"/>
      <c r="C588" s="206"/>
      <c r="D588" s="206"/>
      <c r="E588" s="206"/>
      <c r="F588" s="206"/>
      <c r="G588" s="206"/>
      <c r="H588" s="206"/>
      <c r="I588" s="206"/>
      <c r="J588" s="206"/>
      <c r="K588" s="206"/>
      <c r="L588" s="206"/>
      <c r="M588" s="288"/>
      <c r="N588" s="288"/>
      <c r="O588" s="289"/>
      <c r="P588" s="289"/>
      <c r="Q588" s="289"/>
      <c r="R588" s="206"/>
      <c r="S588" s="206"/>
      <c r="T588" s="288"/>
      <c r="U588" s="206"/>
      <c r="V588" s="206"/>
      <c r="W588" s="288"/>
      <c r="X588" s="209"/>
      <c r="Y588" s="209"/>
      <c r="Z588" s="209"/>
    </row>
    <row r="589" spans="1:26" ht="12.75" x14ac:dyDescent="0.2">
      <c r="A589" s="206"/>
      <c r="B589" s="206"/>
      <c r="C589" s="206"/>
      <c r="D589" s="206"/>
      <c r="E589" s="206"/>
      <c r="F589" s="206"/>
      <c r="G589" s="206"/>
      <c r="H589" s="206"/>
      <c r="I589" s="206"/>
      <c r="J589" s="206"/>
      <c r="K589" s="206"/>
      <c r="L589" s="206"/>
      <c r="M589" s="288"/>
      <c r="N589" s="288"/>
      <c r="O589" s="289"/>
      <c r="P589" s="289"/>
      <c r="Q589" s="289"/>
      <c r="R589" s="206"/>
      <c r="S589" s="206"/>
      <c r="T589" s="288"/>
      <c r="U589" s="206"/>
      <c r="V589" s="206"/>
      <c r="W589" s="288"/>
      <c r="X589" s="209"/>
      <c r="Y589" s="209"/>
      <c r="Z589" s="209"/>
    </row>
    <row r="590" spans="1:26" ht="12.75" x14ac:dyDescent="0.2">
      <c r="A590" s="206"/>
      <c r="B590" s="206"/>
      <c r="C590" s="206"/>
      <c r="D590" s="206"/>
      <c r="E590" s="206"/>
      <c r="F590" s="206"/>
      <c r="G590" s="206"/>
      <c r="H590" s="206"/>
      <c r="I590" s="206"/>
      <c r="J590" s="206"/>
      <c r="K590" s="206"/>
      <c r="L590" s="206"/>
      <c r="M590" s="288"/>
      <c r="N590" s="288"/>
      <c r="O590" s="289"/>
      <c r="P590" s="289"/>
      <c r="Q590" s="289"/>
      <c r="R590" s="206"/>
      <c r="S590" s="206"/>
      <c r="T590" s="288"/>
      <c r="U590" s="206"/>
      <c r="V590" s="206"/>
      <c r="W590" s="288"/>
      <c r="X590" s="209"/>
      <c r="Y590" s="209"/>
      <c r="Z590" s="209"/>
    </row>
    <row r="591" spans="1:26" ht="12.75" x14ac:dyDescent="0.2">
      <c r="A591" s="206"/>
      <c r="B591" s="206"/>
      <c r="C591" s="206"/>
      <c r="D591" s="206"/>
      <c r="E591" s="206"/>
      <c r="F591" s="206"/>
      <c r="G591" s="206"/>
      <c r="H591" s="206"/>
      <c r="I591" s="206"/>
      <c r="J591" s="206"/>
      <c r="K591" s="206"/>
      <c r="L591" s="206"/>
      <c r="M591" s="288"/>
      <c r="N591" s="288"/>
      <c r="O591" s="289"/>
      <c r="P591" s="289"/>
      <c r="Q591" s="289"/>
      <c r="R591" s="206"/>
      <c r="S591" s="206"/>
      <c r="T591" s="288"/>
      <c r="U591" s="206"/>
      <c r="V591" s="206"/>
      <c r="W591" s="288"/>
      <c r="X591" s="209"/>
      <c r="Y591" s="209"/>
      <c r="Z591" s="209"/>
    </row>
    <row r="592" spans="1:26" ht="12.75" x14ac:dyDescent="0.2">
      <c r="A592" s="206"/>
      <c r="B592" s="206"/>
      <c r="C592" s="206"/>
      <c r="D592" s="206"/>
      <c r="E592" s="206"/>
      <c r="F592" s="206"/>
      <c r="G592" s="206"/>
      <c r="H592" s="206"/>
      <c r="I592" s="206"/>
      <c r="J592" s="206"/>
      <c r="K592" s="206"/>
      <c r="L592" s="206"/>
      <c r="M592" s="288"/>
      <c r="N592" s="288"/>
      <c r="O592" s="289"/>
      <c r="P592" s="289"/>
      <c r="Q592" s="289"/>
      <c r="R592" s="206"/>
      <c r="S592" s="206"/>
      <c r="T592" s="288"/>
      <c r="U592" s="206"/>
      <c r="V592" s="206"/>
      <c r="W592" s="288"/>
      <c r="X592" s="209"/>
      <c r="Y592" s="209"/>
      <c r="Z592" s="209"/>
    </row>
    <row r="593" spans="1:26" ht="12.75" x14ac:dyDescent="0.2">
      <c r="A593" s="206"/>
      <c r="B593" s="206"/>
      <c r="C593" s="206"/>
      <c r="D593" s="206"/>
      <c r="E593" s="206"/>
      <c r="F593" s="206"/>
      <c r="G593" s="206"/>
      <c r="H593" s="206"/>
      <c r="I593" s="206"/>
      <c r="J593" s="206"/>
      <c r="K593" s="206"/>
      <c r="L593" s="206"/>
      <c r="M593" s="288"/>
      <c r="N593" s="288"/>
      <c r="O593" s="289"/>
      <c r="P593" s="289"/>
      <c r="Q593" s="289"/>
      <c r="R593" s="206"/>
      <c r="S593" s="206"/>
      <c r="T593" s="288"/>
      <c r="U593" s="206"/>
      <c r="V593" s="206"/>
      <c r="W593" s="288"/>
      <c r="X593" s="209"/>
      <c r="Y593" s="209"/>
      <c r="Z593" s="209"/>
    </row>
    <row r="594" spans="1:26" ht="12.75" x14ac:dyDescent="0.2">
      <c r="A594" s="206"/>
      <c r="B594" s="206"/>
      <c r="C594" s="206"/>
      <c r="D594" s="206"/>
      <c r="E594" s="206"/>
      <c r="F594" s="206"/>
      <c r="G594" s="206"/>
      <c r="H594" s="206"/>
      <c r="I594" s="206"/>
      <c r="J594" s="206"/>
      <c r="K594" s="206"/>
      <c r="L594" s="206"/>
      <c r="M594" s="288"/>
      <c r="N594" s="288"/>
      <c r="O594" s="289"/>
      <c r="P594" s="289"/>
      <c r="Q594" s="289"/>
      <c r="R594" s="206"/>
      <c r="S594" s="206"/>
      <c r="T594" s="288"/>
      <c r="U594" s="206"/>
      <c r="V594" s="206"/>
      <c r="W594" s="288"/>
      <c r="X594" s="209"/>
      <c r="Y594" s="209"/>
      <c r="Z594" s="209"/>
    </row>
    <row r="595" spans="1:26" ht="12.75" x14ac:dyDescent="0.2">
      <c r="A595" s="206"/>
      <c r="B595" s="206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88"/>
      <c r="N595" s="288"/>
      <c r="O595" s="289"/>
      <c r="P595" s="289"/>
      <c r="Q595" s="289"/>
      <c r="R595" s="206"/>
      <c r="S595" s="206"/>
      <c r="T595" s="288"/>
      <c r="U595" s="206"/>
      <c r="V595" s="206"/>
      <c r="W595" s="288"/>
      <c r="X595" s="209"/>
      <c r="Y595" s="209"/>
      <c r="Z595" s="209"/>
    </row>
    <row r="596" spans="1:26" ht="12.75" x14ac:dyDescent="0.2">
      <c r="A596" s="206"/>
      <c r="B596" s="206"/>
      <c r="C596" s="206"/>
      <c r="D596" s="206"/>
      <c r="E596" s="206"/>
      <c r="F596" s="206"/>
      <c r="G596" s="206"/>
      <c r="H596" s="206"/>
      <c r="I596" s="206"/>
      <c r="J596" s="206"/>
      <c r="K596" s="206"/>
      <c r="L596" s="206"/>
      <c r="M596" s="288"/>
      <c r="N596" s="288"/>
      <c r="O596" s="289"/>
      <c r="P596" s="289"/>
      <c r="Q596" s="289"/>
      <c r="R596" s="206"/>
      <c r="S596" s="206"/>
      <c r="T596" s="288"/>
      <c r="U596" s="206"/>
      <c r="V596" s="206"/>
      <c r="W596" s="288"/>
      <c r="X596" s="209"/>
      <c r="Y596" s="209"/>
      <c r="Z596" s="209"/>
    </row>
    <row r="597" spans="1:26" ht="12.75" x14ac:dyDescent="0.2">
      <c r="A597" s="206"/>
      <c r="B597" s="206"/>
      <c r="C597" s="206"/>
      <c r="D597" s="206"/>
      <c r="E597" s="206"/>
      <c r="F597" s="206"/>
      <c r="G597" s="206"/>
      <c r="H597" s="206"/>
      <c r="I597" s="206"/>
      <c r="J597" s="206"/>
      <c r="K597" s="206"/>
      <c r="L597" s="206"/>
      <c r="M597" s="288"/>
      <c r="N597" s="288"/>
      <c r="O597" s="289"/>
      <c r="P597" s="289"/>
      <c r="Q597" s="289"/>
      <c r="R597" s="206"/>
      <c r="S597" s="206"/>
      <c r="T597" s="288"/>
      <c r="U597" s="206"/>
      <c r="V597" s="206"/>
      <c r="W597" s="288"/>
      <c r="X597" s="209"/>
      <c r="Y597" s="209"/>
      <c r="Z597" s="209"/>
    </row>
    <row r="598" spans="1:26" ht="12.75" x14ac:dyDescent="0.2">
      <c r="A598" s="206"/>
      <c r="B598" s="206"/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88"/>
      <c r="N598" s="288"/>
      <c r="O598" s="289"/>
      <c r="P598" s="289"/>
      <c r="Q598" s="289"/>
      <c r="R598" s="206"/>
      <c r="S598" s="206"/>
      <c r="T598" s="288"/>
      <c r="U598" s="206"/>
      <c r="V598" s="206"/>
      <c r="W598" s="288"/>
      <c r="X598" s="209"/>
      <c r="Y598" s="209"/>
      <c r="Z598" s="209"/>
    </row>
    <row r="599" spans="1:26" ht="12.75" x14ac:dyDescent="0.2">
      <c r="A599" s="206"/>
      <c r="B599" s="206"/>
      <c r="C599" s="206"/>
      <c r="D599" s="206"/>
      <c r="E599" s="206"/>
      <c r="F599" s="206"/>
      <c r="G599" s="206"/>
      <c r="H599" s="206"/>
      <c r="I599" s="206"/>
      <c r="J599" s="206"/>
      <c r="K599" s="206"/>
      <c r="L599" s="206"/>
      <c r="M599" s="288"/>
      <c r="N599" s="288"/>
      <c r="O599" s="289"/>
      <c r="P599" s="289"/>
      <c r="Q599" s="289"/>
      <c r="R599" s="206"/>
      <c r="S599" s="206"/>
      <c r="T599" s="288"/>
      <c r="U599" s="206"/>
      <c r="V599" s="206"/>
      <c r="W599" s="288"/>
      <c r="X599" s="209"/>
      <c r="Y599" s="209"/>
      <c r="Z599" s="209"/>
    </row>
    <row r="600" spans="1:26" ht="12.75" x14ac:dyDescent="0.2">
      <c r="A600" s="206"/>
      <c r="B600" s="206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88"/>
      <c r="N600" s="288"/>
      <c r="O600" s="289"/>
      <c r="P600" s="289"/>
      <c r="Q600" s="289"/>
      <c r="R600" s="206"/>
      <c r="S600" s="206"/>
      <c r="T600" s="288"/>
      <c r="U600" s="206"/>
      <c r="V600" s="206"/>
      <c r="W600" s="288"/>
      <c r="X600" s="209"/>
      <c r="Y600" s="209"/>
      <c r="Z600" s="209"/>
    </row>
    <row r="601" spans="1:26" ht="12.75" x14ac:dyDescent="0.2">
      <c r="A601" s="206"/>
      <c r="B601" s="206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88"/>
      <c r="N601" s="288"/>
      <c r="O601" s="289"/>
      <c r="P601" s="289"/>
      <c r="Q601" s="289"/>
      <c r="R601" s="206"/>
      <c r="S601" s="206"/>
      <c r="T601" s="288"/>
      <c r="U601" s="206"/>
      <c r="V601" s="206"/>
      <c r="W601" s="288"/>
      <c r="X601" s="209"/>
      <c r="Y601" s="209"/>
      <c r="Z601" s="209"/>
    </row>
    <row r="602" spans="1:26" ht="12.75" x14ac:dyDescent="0.2">
      <c r="A602" s="206"/>
      <c r="B602" s="206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88"/>
      <c r="N602" s="288"/>
      <c r="O602" s="289"/>
      <c r="P602" s="289"/>
      <c r="Q602" s="289"/>
      <c r="R602" s="206"/>
      <c r="S602" s="206"/>
      <c r="T602" s="288"/>
      <c r="U602" s="206"/>
      <c r="V602" s="206"/>
      <c r="W602" s="288"/>
      <c r="X602" s="209"/>
      <c r="Y602" s="209"/>
      <c r="Z602" s="209"/>
    </row>
    <row r="603" spans="1:26" ht="12.75" x14ac:dyDescent="0.2">
      <c r="A603" s="206"/>
      <c r="B603" s="206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88"/>
      <c r="N603" s="288"/>
      <c r="O603" s="289"/>
      <c r="P603" s="289"/>
      <c r="Q603" s="289"/>
      <c r="R603" s="206"/>
      <c r="S603" s="206"/>
      <c r="T603" s="288"/>
      <c r="U603" s="206"/>
      <c r="V603" s="206"/>
      <c r="W603" s="288"/>
      <c r="X603" s="209"/>
      <c r="Y603" s="209"/>
      <c r="Z603" s="209"/>
    </row>
    <row r="604" spans="1:26" ht="12.75" x14ac:dyDescent="0.2">
      <c r="A604" s="206"/>
      <c r="B604" s="206"/>
      <c r="C604" s="206"/>
      <c r="D604" s="206"/>
      <c r="E604" s="206"/>
      <c r="F604" s="206"/>
      <c r="G604" s="206"/>
      <c r="H604" s="206"/>
      <c r="I604" s="206"/>
      <c r="J604" s="206"/>
      <c r="K604" s="206"/>
      <c r="L604" s="206"/>
      <c r="M604" s="288"/>
      <c r="N604" s="288"/>
      <c r="O604" s="289"/>
      <c r="P604" s="289"/>
      <c r="Q604" s="289"/>
      <c r="R604" s="206"/>
      <c r="S604" s="206"/>
      <c r="T604" s="288"/>
      <c r="U604" s="206"/>
      <c r="V604" s="206"/>
      <c r="W604" s="288"/>
      <c r="X604" s="209"/>
      <c r="Y604" s="209"/>
      <c r="Z604" s="209"/>
    </row>
    <row r="605" spans="1:26" ht="12.75" x14ac:dyDescent="0.2">
      <c r="A605" s="206"/>
      <c r="B605" s="206"/>
      <c r="C605" s="206"/>
      <c r="D605" s="206"/>
      <c r="E605" s="206"/>
      <c r="F605" s="206"/>
      <c r="G605" s="206"/>
      <c r="H605" s="206"/>
      <c r="I605" s="206"/>
      <c r="J605" s="206"/>
      <c r="K605" s="206"/>
      <c r="L605" s="206"/>
      <c r="M605" s="288"/>
      <c r="N605" s="288"/>
      <c r="O605" s="289"/>
      <c r="P605" s="289"/>
      <c r="Q605" s="289"/>
      <c r="R605" s="206"/>
      <c r="S605" s="206"/>
      <c r="T605" s="288"/>
      <c r="U605" s="206"/>
      <c r="V605" s="206"/>
      <c r="W605" s="288"/>
      <c r="X605" s="209"/>
      <c r="Y605" s="209"/>
      <c r="Z605" s="209"/>
    </row>
    <row r="606" spans="1:26" ht="12.75" x14ac:dyDescent="0.2">
      <c r="A606" s="206"/>
      <c r="B606" s="206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88"/>
      <c r="N606" s="288"/>
      <c r="O606" s="289"/>
      <c r="P606" s="289"/>
      <c r="Q606" s="289"/>
      <c r="R606" s="206"/>
      <c r="S606" s="206"/>
      <c r="T606" s="288"/>
      <c r="U606" s="206"/>
      <c r="V606" s="206"/>
      <c r="W606" s="288"/>
      <c r="X606" s="209"/>
      <c r="Y606" s="209"/>
      <c r="Z606" s="209"/>
    </row>
    <row r="607" spans="1:26" ht="12.75" x14ac:dyDescent="0.2">
      <c r="A607" s="206"/>
      <c r="B607" s="206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88"/>
      <c r="N607" s="288"/>
      <c r="O607" s="289"/>
      <c r="P607" s="289"/>
      <c r="Q607" s="289"/>
      <c r="R607" s="206"/>
      <c r="S607" s="206"/>
      <c r="T607" s="288"/>
      <c r="U607" s="206"/>
      <c r="V607" s="206"/>
      <c r="W607" s="288"/>
      <c r="X607" s="209"/>
      <c r="Y607" s="209"/>
      <c r="Z607" s="209"/>
    </row>
    <row r="608" spans="1:26" ht="12.75" x14ac:dyDescent="0.2">
      <c r="A608" s="206"/>
      <c r="B608" s="206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88"/>
      <c r="N608" s="288"/>
      <c r="O608" s="289"/>
      <c r="P608" s="289"/>
      <c r="Q608" s="289"/>
      <c r="R608" s="206"/>
      <c r="S608" s="206"/>
      <c r="T608" s="288"/>
      <c r="U608" s="206"/>
      <c r="V608" s="206"/>
      <c r="W608" s="288"/>
      <c r="X608" s="209"/>
      <c r="Y608" s="209"/>
      <c r="Z608" s="209"/>
    </row>
    <row r="609" spans="1:26" ht="12.75" x14ac:dyDescent="0.2">
      <c r="A609" s="206"/>
      <c r="B609" s="206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88"/>
      <c r="N609" s="288"/>
      <c r="O609" s="289"/>
      <c r="P609" s="289"/>
      <c r="Q609" s="289"/>
      <c r="R609" s="206"/>
      <c r="S609" s="206"/>
      <c r="T609" s="288"/>
      <c r="U609" s="206"/>
      <c r="V609" s="206"/>
      <c r="W609" s="288"/>
      <c r="X609" s="209"/>
      <c r="Y609" s="209"/>
      <c r="Z609" s="209"/>
    </row>
    <row r="610" spans="1:26" ht="12.75" x14ac:dyDescent="0.2">
      <c r="A610" s="206"/>
      <c r="B610" s="206"/>
      <c r="C610" s="206"/>
      <c r="D610" s="206"/>
      <c r="E610" s="206"/>
      <c r="F610" s="206"/>
      <c r="G610" s="206"/>
      <c r="H610" s="206"/>
      <c r="I610" s="206"/>
      <c r="J610" s="206"/>
      <c r="K610" s="206"/>
      <c r="L610" s="206"/>
      <c r="M610" s="288"/>
      <c r="N610" s="288"/>
      <c r="O610" s="289"/>
      <c r="P610" s="289"/>
      <c r="Q610" s="289"/>
      <c r="R610" s="206"/>
      <c r="S610" s="206"/>
      <c r="T610" s="288"/>
      <c r="U610" s="206"/>
      <c r="V610" s="206"/>
      <c r="W610" s="288"/>
      <c r="X610" s="209"/>
      <c r="Y610" s="209"/>
      <c r="Z610" s="209"/>
    </row>
    <row r="611" spans="1:26" ht="12.75" x14ac:dyDescent="0.2">
      <c r="A611" s="206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88"/>
      <c r="N611" s="288"/>
      <c r="O611" s="289"/>
      <c r="P611" s="289"/>
      <c r="Q611" s="289"/>
      <c r="R611" s="206"/>
      <c r="S611" s="206"/>
      <c r="T611" s="288"/>
      <c r="U611" s="206"/>
      <c r="V611" s="206"/>
      <c r="W611" s="288"/>
      <c r="X611" s="209"/>
      <c r="Y611" s="209"/>
      <c r="Z611" s="209"/>
    </row>
    <row r="612" spans="1:26" ht="12.75" x14ac:dyDescent="0.2">
      <c r="A612" s="206"/>
      <c r="B612" s="206"/>
      <c r="C612" s="206"/>
      <c r="D612" s="206"/>
      <c r="E612" s="206"/>
      <c r="F612" s="206"/>
      <c r="G612" s="206"/>
      <c r="H612" s="206"/>
      <c r="I612" s="206"/>
      <c r="J612" s="206"/>
      <c r="K612" s="206"/>
      <c r="L612" s="206"/>
      <c r="M612" s="288"/>
      <c r="N612" s="288"/>
      <c r="O612" s="289"/>
      <c r="P612" s="289"/>
      <c r="Q612" s="289"/>
      <c r="R612" s="206"/>
      <c r="S612" s="206"/>
      <c r="T612" s="288"/>
      <c r="U612" s="206"/>
      <c r="V612" s="206"/>
      <c r="W612" s="288"/>
      <c r="X612" s="209"/>
      <c r="Y612" s="209"/>
      <c r="Z612" s="209"/>
    </row>
    <row r="613" spans="1:26" ht="12.75" x14ac:dyDescent="0.2">
      <c r="A613" s="206"/>
      <c r="B613" s="206"/>
      <c r="C613" s="206"/>
      <c r="D613" s="206"/>
      <c r="E613" s="206"/>
      <c r="F613" s="206"/>
      <c r="G613" s="206"/>
      <c r="H613" s="206"/>
      <c r="I613" s="206"/>
      <c r="J613" s="206"/>
      <c r="K613" s="206"/>
      <c r="L613" s="206"/>
      <c r="M613" s="288"/>
      <c r="N613" s="288"/>
      <c r="O613" s="289"/>
      <c r="P613" s="289"/>
      <c r="Q613" s="289"/>
      <c r="R613" s="206"/>
      <c r="S613" s="206"/>
      <c r="T613" s="288"/>
      <c r="U613" s="206"/>
      <c r="V613" s="206"/>
      <c r="W613" s="288"/>
      <c r="X613" s="209"/>
      <c r="Y613" s="209"/>
      <c r="Z613" s="209"/>
    </row>
    <row r="614" spans="1:26" ht="12.75" x14ac:dyDescent="0.2">
      <c r="A614" s="206"/>
      <c r="B614" s="206"/>
      <c r="C614" s="206"/>
      <c r="D614" s="206"/>
      <c r="E614" s="206"/>
      <c r="F614" s="206"/>
      <c r="G614" s="206"/>
      <c r="H614" s="206"/>
      <c r="I614" s="206"/>
      <c r="J614" s="206"/>
      <c r="K614" s="206"/>
      <c r="L614" s="206"/>
      <c r="M614" s="288"/>
      <c r="N614" s="288"/>
      <c r="O614" s="289"/>
      <c r="P614" s="289"/>
      <c r="Q614" s="289"/>
      <c r="R614" s="206"/>
      <c r="S614" s="206"/>
      <c r="T614" s="288"/>
      <c r="U614" s="206"/>
      <c r="V614" s="206"/>
      <c r="W614" s="288"/>
      <c r="X614" s="209"/>
      <c r="Y614" s="209"/>
      <c r="Z614" s="209"/>
    </row>
    <row r="615" spans="1:26" ht="12.75" x14ac:dyDescent="0.2">
      <c r="A615" s="206"/>
      <c r="B615" s="206"/>
      <c r="C615" s="206"/>
      <c r="D615" s="206"/>
      <c r="E615" s="206"/>
      <c r="F615" s="206"/>
      <c r="G615" s="206"/>
      <c r="H615" s="206"/>
      <c r="I615" s="206"/>
      <c r="J615" s="206"/>
      <c r="K615" s="206"/>
      <c r="L615" s="206"/>
      <c r="M615" s="288"/>
      <c r="N615" s="288"/>
      <c r="O615" s="289"/>
      <c r="P615" s="289"/>
      <c r="Q615" s="289"/>
      <c r="R615" s="206"/>
      <c r="S615" s="206"/>
      <c r="T615" s="288"/>
      <c r="U615" s="206"/>
      <c r="V615" s="206"/>
      <c r="W615" s="288"/>
      <c r="X615" s="209"/>
      <c r="Y615" s="209"/>
      <c r="Z615" s="209"/>
    </row>
    <row r="616" spans="1:26" ht="12.75" x14ac:dyDescent="0.2">
      <c r="A616" s="206"/>
      <c r="B616" s="206"/>
      <c r="C616" s="206"/>
      <c r="D616" s="206"/>
      <c r="E616" s="206"/>
      <c r="F616" s="206"/>
      <c r="G616" s="206"/>
      <c r="H616" s="206"/>
      <c r="I616" s="206"/>
      <c r="J616" s="206"/>
      <c r="K616" s="206"/>
      <c r="L616" s="206"/>
      <c r="M616" s="288"/>
      <c r="N616" s="288"/>
      <c r="O616" s="289"/>
      <c r="P616" s="289"/>
      <c r="Q616" s="289"/>
      <c r="R616" s="206"/>
      <c r="S616" s="206"/>
      <c r="T616" s="288"/>
      <c r="U616" s="206"/>
      <c r="V616" s="206"/>
      <c r="W616" s="288"/>
      <c r="X616" s="209"/>
      <c r="Y616" s="209"/>
      <c r="Z616" s="209"/>
    </row>
    <row r="617" spans="1:26" ht="12.75" x14ac:dyDescent="0.2">
      <c r="A617" s="206"/>
      <c r="B617" s="206"/>
      <c r="C617" s="206"/>
      <c r="D617" s="206"/>
      <c r="E617" s="206"/>
      <c r="F617" s="206"/>
      <c r="G617" s="206"/>
      <c r="H617" s="206"/>
      <c r="I617" s="206"/>
      <c r="J617" s="206"/>
      <c r="K617" s="206"/>
      <c r="L617" s="206"/>
      <c r="M617" s="288"/>
      <c r="N617" s="288"/>
      <c r="O617" s="289"/>
      <c r="P617" s="289"/>
      <c r="Q617" s="289"/>
      <c r="R617" s="206"/>
      <c r="S617" s="206"/>
      <c r="T617" s="288"/>
      <c r="U617" s="206"/>
      <c r="V617" s="206"/>
      <c r="W617" s="288"/>
      <c r="X617" s="209"/>
      <c r="Y617" s="209"/>
      <c r="Z617" s="209"/>
    </row>
    <row r="618" spans="1:26" ht="12.75" x14ac:dyDescent="0.2">
      <c r="A618" s="206"/>
      <c r="B618" s="206"/>
      <c r="C618" s="206"/>
      <c r="D618" s="206"/>
      <c r="E618" s="206"/>
      <c r="F618" s="206"/>
      <c r="G618" s="206"/>
      <c r="H618" s="206"/>
      <c r="I618" s="206"/>
      <c r="J618" s="206"/>
      <c r="K618" s="206"/>
      <c r="L618" s="206"/>
      <c r="M618" s="288"/>
      <c r="N618" s="288"/>
      <c r="O618" s="289"/>
      <c r="P618" s="289"/>
      <c r="Q618" s="289"/>
      <c r="R618" s="206"/>
      <c r="S618" s="206"/>
      <c r="T618" s="288"/>
      <c r="U618" s="206"/>
      <c r="V618" s="206"/>
      <c r="W618" s="288"/>
      <c r="X618" s="209"/>
      <c r="Y618" s="209"/>
      <c r="Z618" s="209"/>
    </row>
    <row r="619" spans="1:26" ht="12.75" x14ac:dyDescent="0.2">
      <c r="A619" s="206"/>
      <c r="B619" s="206"/>
      <c r="C619" s="206"/>
      <c r="D619" s="206"/>
      <c r="E619" s="206"/>
      <c r="F619" s="206"/>
      <c r="G619" s="206"/>
      <c r="H619" s="206"/>
      <c r="I619" s="206"/>
      <c r="J619" s="206"/>
      <c r="K619" s="206"/>
      <c r="L619" s="206"/>
      <c r="M619" s="288"/>
      <c r="N619" s="288"/>
      <c r="O619" s="289"/>
      <c r="P619" s="289"/>
      <c r="Q619" s="289"/>
      <c r="R619" s="206"/>
      <c r="S619" s="206"/>
      <c r="T619" s="288"/>
      <c r="U619" s="206"/>
      <c r="V619" s="206"/>
      <c r="W619" s="288"/>
      <c r="X619" s="209"/>
      <c r="Y619" s="209"/>
      <c r="Z619" s="209"/>
    </row>
    <row r="620" spans="1:26" ht="12.75" x14ac:dyDescent="0.2">
      <c r="A620" s="206"/>
      <c r="B620" s="206"/>
      <c r="C620" s="206"/>
      <c r="D620" s="206"/>
      <c r="E620" s="206"/>
      <c r="F620" s="206"/>
      <c r="G620" s="206"/>
      <c r="H620" s="206"/>
      <c r="I620" s="206"/>
      <c r="J620" s="206"/>
      <c r="K620" s="206"/>
      <c r="L620" s="206"/>
      <c r="M620" s="288"/>
      <c r="N620" s="288"/>
      <c r="O620" s="289"/>
      <c r="P620" s="289"/>
      <c r="Q620" s="289"/>
      <c r="R620" s="206"/>
      <c r="S620" s="206"/>
      <c r="T620" s="288"/>
      <c r="U620" s="206"/>
      <c r="V620" s="206"/>
      <c r="W620" s="288"/>
      <c r="X620" s="209"/>
      <c r="Y620" s="209"/>
      <c r="Z620" s="209"/>
    </row>
    <row r="621" spans="1:26" ht="12.75" x14ac:dyDescent="0.2">
      <c r="A621" s="206"/>
      <c r="B621" s="206"/>
      <c r="C621" s="206"/>
      <c r="D621" s="206"/>
      <c r="E621" s="206"/>
      <c r="F621" s="206"/>
      <c r="G621" s="206"/>
      <c r="H621" s="206"/>
      <c r="I621" s="206"/>
      <c r="J621" s="206"/>
      <c r="K621" s="206"/>
      <c r="L621" s="206"/>
      <c r="M621" s="288"/>
      <c r="N621" s="288"/>
      <c r="O621" s="289"/>
      <c r="P621" s="289"/>
      <c r="Q621" s="289"/>
      <c r="R621" s="206"/>
      <c r="S621" s="206"/>
      <c r="T621" s="288"/>
      <c r="U621" s="206"/>
      <c r="V621" s="206"/>
      <c r="W621" s="288"/>
      <c r="X621" s="209"/>
      <c r="Y621" s="209"/>
      <c r="Z621" s="209"/>
    </row>
    <row r="622" spans="1:26" ht="12.75" x14ac:dyDescent="0.2">
      <c r="A622" s="206"/>
      <c r="B622" s="206"/>
      <c r="C622" s="206"/>
      <c r="D622" s="206"/>
      <c r="E622" s="206"/>
      <c r="F622" s="206"/>
      <c r="G622" s="206"/>
      <c r="H622" s="206"/>
      <c r="I622" s="206"/>
      <c r="J622" s="206"/>
      <c r="K622" s="206"/>
      <c r="L622" s="206"/>
      <c r="M622" s="288"/>
      <c r="N622" s="288"/>
      <c r="O622" s="289"/>
      <c r="P622" s="289"/>
      <c r="Q622" s="289"/>
      <c r="R622" s="206"/>
      <c r="S622" s="206"/>
      <c r="T622" s="288"/>
      <c r="U622" s="206"/>
      <c r="V622" s="206"/>
      <c r="W622" s="288"/>
      <c r="X622" s="209"/>
      <c r="Y622" s="209"/>
      <c r="Z622" s="209"/>
    </row>
    <row r="623" spans="1:26" ht="12.75" x14ac:dyDescent="0.2">
      <c r="A623" s="206"/>
      <c r="B623" s="206"/>
      <c r="C623" s="206"/>
      <c r="D623" s="206"/>
      <c r="E623" s="206"/>
      <c r="F623" s="206"/>
      <c r="G623" s="206"/>
      <c r="H623" s="206"/>
      <c r="I623" s="206"/>
      <c r="J623" s="206"/>
      <c r="K623" s="206"/>
      <c r="L623" s="206"/>
      <c r="M623" s="288"/>
      <c r="N623" s="288"/>
      <c r="O623" s="289"/>
      <c r="P623" s="289"/>
      <c r="Q623" s="289"/>
      <c r="R623" s="206"/>
      <c r="S623" s="206"/>
      <c r="T623" s="288"/>
      <c r="U623" s="206"/>
      <c r="V623" s="206"/>
      <c r="W623" s="288"/>
      <c r="X623" s="209"/>
      <c r="Y623" s="209"/>
      <c r="Z623" s="209"/>
    </row>
    <row r="624" spans="1:26" ht="12.75" x14ac:dyDescent="0.2">
      <c r="A624" s="206"/>
      <c r="B624" s="206"/>
      <c r="C624" s="206"/>
      <c r="D624" s="206"/>
      <c r="E624" s="206"/>
      <c r="F624" s="206"/>
      <c r="G624" s="206"/>
      <c r="H624" s="206"/>
      <c r="I624" s="206"/>
      <c r="J624" s="206"/>
      <c r="K624" s="206"/>
      <c r="L624" s="206"/>
      <c r="M624" s="288"/>
      <c r="N624" s="288"/>
      <c r="O624" s="289"/>
      <c r="P624" s="289"/>
      <c r="Q624" s="289"/>
      <c r="R624" s="206"/>
      <c r="S624" s="206"/>
      <c r="T624" s="288"/>
      <c r="U624" s="206"/>
      <c r="V624" s="206"/>
      <c r="W624" s="288"/>
      <c r="X624" s="209"/>
      <c r="Y624" s="209"/>
      <c r="Z624" s="209"/>
    </row>
    <row r="625" spans="1:26" ht="12.75" x14ac:dyDescent="0.2">
      <c r="A625" s="206"/>
      <c r="B625" s="206"/>
      <c r="C625" s="206"/>
      <c r="D625" s="206"/>
      <c r="E625" s="206"/>
      <c r="F625" s="206"/>
      <c r="G625" s="206"/>
      <c r="H625" s="206"/>
      <c r="I625" s="206"/>
      <c r="J625" s="206"/>
      <c r="K625" s="206"/>
      <c r="L625" s="206"/>
      <c r="M625" s="288"/>
      <c r="N625" s="288"/>
      <c r="O625" s="289"/>
      <c r="P625" s="289"/>
      <c r="Q625" s="289"/>
      <c r="R625" s="206"/>
      <c r="S625" s="206"/>
      <c r="T625" s="288"/>
      <c r="U625" s="206"/>
      <c r="V625" s="206"/>
      <c r="W625" s="288"/>
      <c r="X625" s="209"/>
      <c r="Y625" s="209"/>
      <c r="Z625" s="209"/>
    </row>
    <row r="626" spans="1:26" ht="12.75" x14ac:dyDescent="0.2">
      <c r="A626" s="206"/>
      <c r="B626" s="206"/>
      <c r="C626" s="206"/>
      <c r="D626" s="206"/>
      <c r="E626" s="206"/>
      <c r="F626" s="206"/>
      <c r="G626" s="206"/>
      <c r="H626" s="206"/>
      <c r="I626" s="206"/>
      <c r="J626" s="206"/>
      <c r="K626" s="206"/>
      <c r="L626" s="206"/>
      <c r="M626" s="288"/>
      <c r="N626" s="288"/>
      <c r="O626" s="289"/>
      <c r="P626" s="289"/>
      <c r="Q626" s="289"/>
      <c r="R626" s="206"/>
      <c r="S626" s="206"/>
      <c r="T626" s="288"/>
      <c r="U626" s="206"/>
      <c r="V626" s="206"/>
      <c r="W626" s="288"/>
      <c r="X626" s="209"/>
      <c r="Y626" s="209"/>
      <c r="Z626" s="209"/>
    </row>
    <row r="627" spans="1:26" ht="12.75" x14ac:dyDescent="0.2">
      <c r="A627" s="206"/>
      <c r="B627" s="206"/>
      <c r="C627" s="206"/>
      <c r="D627" s="206"/>
      <c r="E627" s="206"/>
      <c r="F627" s="206"/>
      <c r="G627" s="206"/>
      <c r="H627" s="206"/>
      <c r="I627" s="206"/>
      <c r="J627" s="206"/>
      <c r="K627" s="206"/>
      <c r="L627" s="206"/>
      <c r="M627" s="288"/>
      <c r="N627" s="288"/>
      <c r="O627" s="289"/>
      <c r="P627" s="289"/>
      <c r="Q627" s="289"/>
      <c r="R627" s="206"/>
      <c r="S627" s="206"/>
      <c r="T627" s="288"/>
      <c r="U627" s="206"/>
      <c r="V627" s="206"/>
      <c r="W627" s="288"/>
      <c r="X627" s="209"/>
      <c r="Y627" s="209"/>
      <c r="Z627" s="209"/>
    </row>
    <row r="628" spans="1:26" ht="12.75" x14ac:dyDescent="0.2">
      <c r="A628" s="206"/>
      <c r="B628" s="206"/>
      <c r="C628" s="206"/>
      <c r="D628" s="206"/>
      <c r="E628" s="206"/>
      <c r="F628" s="206"/>
      <c r="G628" s="206"/>
      <c r="H628" s="206"/>
      <c r="I628" s="206"/>
      <c r="J628" s="206"/>
      <c r="K628" s="206"/>
      <c r="L628" s="206"/>
      <c r="M628" s="288"/>
      <c r="N628" s="288"/>
      <c r="O628" s="289"/>
      <c r="P628" s="289"/>
      <c r="Q628" s="289"/>
      <c r="R628" s="206"/>
      <c r="S628" s="206"/>
      <c r="T628" s="288"/>
      <c r="U628" s="206"/>
      <c r="V628" s="206"/>
      <c r="W628" s="288"/>
      <c r="X628" s="209"/>
      <c r="Y628" s="209"/>
      <c r="Z628" s="209"/>
    </row>
    <row r="629" spans="1:26" ht="12.75" x14ac:dyDescent="0.2">
      <c r="A629" s="206"/>
      <c r="B629" s="206"/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88"/>
      <c r="N629" s="288"/>
      <c r="O629" s="289"/>
      <c r="P629" s="289"/>
      <c r="Q629" s="289"/>
      <c r="R629" s="206"/>
      <c r="S629" s="206"/>
      <c r="T629" s="288"/>
      <c r="U629" s="206"/>
      <c r="V629" s="206"/>
      <c r="W629" s="288"/>
      <c r="X629" s="209"/>
      <c r="Y629" s="209"/>
      <c r="Z629" s="209"/>
    </row>
    <row r="630" spans="1:26" ht="12.75" x14ac:dyDescent="0.2">
      <c r="A630" s="206"/>
      <c r="B630" s="206"/>
      <c r="C630" s="206"/>
      <c r="D630" s="206"/>
      <c r="E630" s="206"/>
      <c r="F630" s="206"/>
      <c r="G630" s="206"/>
      <c r="H630" s="206"/>
      <c r="I630" s="206"/>
      <c r="J630" s="206"/>
      <c r="K630" s="206"/>
      <c r="L630" s="206"/>
      <c r="M630" s="288"/>
      <c r="N630" s="288"/>
      <c r="O630" s="289"/>
      <c r="P630" s="289"/>
      <c r="Q630" s="289"/>
      <c r="R630" s="206"/>
      <c r="S630" s="206"/>
      <c r="T630" s="288"/>
      <c r="U630" s="206"/>
      <c r="V630" s="206"/>
      <c r="W630" s="288"/>
      <c r="X630" s="209"/>
      <c r="Y630" s="209"/>
      <c r="Z630" s="209"/>
    </row>
    <row r="631" spans="1:26" ht="12.75" x14ac:dyDescent="0.2">
      <c r="A631" s="206"/>
      <c r="B631" s="206"/>
      <c r="C631" s="206"/>
      <c r="D631" s="206"/>
      <c r="E631" s="206"/>
      <c r="F631" s="206"/>
      <c r="G631" s="206"/>
      <c r="H631" s="206"/>
      <c r="I631" s="206"/>
      <c r="J631" s="206"/>
      <c r="K631" s="206"/>
      <c r="L631" s="206"/>
      <c r="M631" s="288"/>
      <c r="N631" s="288"/>
      <c r="O631" s="289"/>
      <c r="P631" s="289"/>
      <c r="Q631" s="289"/>
      <c r="R631" s="206"/>
      <c r="S631" s="206"/>
      <c r="T631" s="288"/>
      <c r="U631" s="206"/>
      <c r="V631" s="206"/>
      <c r="W631" s="288"/>
      <c r="X631" s="209"/>
      <c r="Y631" s="209"/>
      <c r="Z631" s="209"/>
    </row>
    <row r="632" spans="1:26" ht="12.75" x14ac:dyDescent="0.2">
      <c r="A632" s="206"/>
      <c r="B632" s="206"/>
      <c r="C632" s="206"/>
      <c r="D632" s="206"/>
      <c r="E632" s="206"/>
      <c r="F632" s="206"/>
      <c r="G632" s="206"/>
      <c r="H632" s="206"/>
      <c r="I632" s="206"/>
      <c r="J632" s="206"/>
      <c r="K632" s="206"/>
      <c r="L632" s="206"/>
      <c r="M632" s="288"/>
      <c r="N632" s="288"/>
      <c r="O632" s="289"/>
      <c r="P632" s="289"/>
      <c r="Q632" s="289"/>
      <c r="R632" s="206"/>
      <c r="S632" s="206"/>
      <c r="T632" s="288"/>
      <c r="U632" s="206"/>
      <c r="V632" s="206"/>
      <c r="W632" s="288"/>
      <c r="X632" s="209"/>
      <c r="Y632" s="209"/>
      <c r="Z632" s="209"/>
    </row>
    <row r="633" spans="1:26" ht="12.75" x14ac:dyDescent="0.2">
      <c r="A633" s="206"/>
      <c r="B633" s="206"/>
      <c r="C633" s="206"/>
      <c r="D633" s="206"/>
      <c r="E633" s="206"/>
      <c r="F633" s="206"/>
      <c r="G633" s="206"/>
      <c r="H633" s="206"/>
      <c r="I633" s="206"/>
      <c r="J633" s="206"/>
      <c r="K633" s="206"/>
      <c r="L633" s="206"/>
      <c r="M633" s="288"/>
      <c r="N633" s="288"/>
      <c r="O633" s="289"/>
      <c r="P633" s="289"/>
      <c r="Q633" s="289"/>
      <c r="R633" s="206"/>
      <c r="S633" s="206"/>
      <c r="T633" s="288"/>
      <c r="U633" s="206"/>
      <c r="V633" s="206"/>
      <c r="W633" s="288"/>
      <c r="X633" s="209"/>
      <c r="Y633" s="209"/>
      <c r="Z633" s="209"/>
    </row>
    <row r="634" spans="1:26" ht="12.75" x14ac:dyDescent="0.2">
      <c r="A634" s="206"/>
      <c r="B634" s="206"/>
      <c r="C634" s="206"/>
      <c r="D634" s="206"/>
      <c r="E634" s="206"/>
      <c r="F634" s="206"/>
      <c r="G634" s="206"/>
      <c r="H634" s="206"/>
      <c r="I634" s="206"/>
      <c r="J634" s="206"/>
      <c r="K634" s="206"/>
      <c r="L634" s="206"/>
      <c r="M634" s="288"/>
      <c r="N634" s="288"/>
      <c r="O634" s="289"/>
      <c r="P634" s="289"/>
      <c r="Q634" s="289"/>
      <c r="R634" s="206"/>
      <c r="S634" s="206"/>
      <c r="T634" s="288"/>
      <c r="U634" s="206"/>
      <c r="V634" s="206"/>
      <c r="W634" s="288"/>
      <c r="X634" s="209"/>
      <c r="Y634" s="209"/>
      <c r="Z634" s="209"/>
    </row>
    <row r="635" spans="1:26" ht="12.75" x14ac:dyDescent="0.2">
      <c r="A635" s="206"/>
      <c r="B635" s="206"/>
      <c r="C635" s="206"/>
      <c r="D635" s="206"/>
      <c r="E635" s="206"/>
      <c r="F635" s="206"/>
      <c r="G635" s="206"/>
      <c r="H635" s="206"/>
      <c r="I635" s="206"/>
      <c r="J635" s="206"/>
      <c r="K635" s="206"/>
      <c r="L635" s="206"/>
      <c r="M635" s="288"/>
      <c r="N635" s="288"/>
      <c r="O635" s="289"/>
      <c r="P635" s="289"/>
      <c r="Q635" s="289"/>
      <c r="R635" s="206"/>
      <c r="S635" s="206"/>
      <c r="T635" s="288"/>
      <c r="U635" s="206"/>
      <c r="V635" s="206"/>
      <c r="W635" s="288"/>
      <c r="X635" s="209"/>
      <c r="Y635" s="209"/>
      <c r="Z635" s="209"/>
    </row>
    <row r="636" spans="1:26" ht="12.75" x14ac:dyDescent="0.2">
      <c r="A636" s="206"/>
      <c r="B636" s="206"/>
      <c r="C636" s="206"/>
      <c r="D636" s="206"/>
      <c r="E636" s="206"/>
      <c r="F636" s="206"/>
      <c r="G636" s="206"/>
      <c r="H636" s="206"/>
      <c r="I636" s="206"/>
      <c r="J636" s="206"/>
      <c r="K636" s="206"/>
      <c r="L636" s="206"/>
      <c r="M636" s="288"/>
      <c r="N636" s="288"/>
      <c r="O636" s="289"/>
      <c r="P636" s="289"/>
      <c r="Q636" s="289"/>
      <c r="R636" s="206"/>
      <c r="S636" s="206"/>
      <c r="T636" s="288"/>
      <c r="U636" s="206"/>
      <c r="V636" s="206"/>
      <c r="W636" s="288"/>
      <c r="X636" s="209"/>
      <c r="Y636" s="209"/>
      <c r="Z636" s="209"/>
    </row>
    <row r="637" spans="1:26" ht="12.75" x14ac:dyDescent="0.2">
      <c r="A637" s="206"/>
      <c r="B637" s="206"/>
      <c r="C637" s="206"/>
      <c r="D637" s="206"/>
      <c r="E637" s="206"/>
      <c r="F637" s="206"/>
      <c r="G637" s="206"/>
      <c r="H637" s="206"/>
      <c r="I637" s="206"/>
      <c r="J637" s="206"/>
      <c r="K637" s="206"/>
      <c r="L637" s="206"/>
      <c r="M637" s="288"/>
      <c r="N637" s="288"/>
      <c r="O637" s="289"/>
      <c r="P637" s="289"/>
      <c r="Q637" s="289"/>
      <c r="R637" s="206"/>
      <c r="S637" s="206"/>
      <c r="T637" s="288"/>
      <c r="U637" s="206"/>
      <c r="V637" s="206"/>
      <c r="W637" s="288"/>
      <c r="X637" s="209"/>
      <c r="Y637" s="209"/>
      <c r="Z637" s="209"/>
    </row>
    <row r="638" spans="1:26" ht="12.75" x14ac:dyDescent="0.2">
      <c r="A638" s="206"/>
      <c r="B638" s="206"/>
      <c r="C638" s="206"/>
      <c r="D638" s="206"/>
      <c r="E638" s="206"/>
      <c r="F638" s="206"/>
      <c r="G638" s="206"/>
      <c r="H638" s="206"/>
      <c r="I638" s="206"/>
      <c r="J638" s="206"/>
      <c r="K638" s="206"/>
      <c r="L638" s="206"/>
      <c r="M638" s="288"/>
      <c r="N638" s="288"/>
      <c r="O638" s="289"/>
      <c r="P638" s="289"/>
      <c r="Q638" s="289"/>
      <c r="R638" s="206"/>
      <c r="S638" s="206"/>
      <c r="T638" s="288"/>
      <c r="U638" s="206"/>
      <c r="V638" s="206"/>
      <c r="W638" s="288"/>
      <c r="X638" s="209"/>
      <c r="Y638" s="209"/>
      <c r="Z638" s="209"/>
    </row>
    <row r="639" spans="1:26" ht="12.75" x14ac:dyDescent="0.2">
      <c r="A639" s="206"/>
      <c r="B639" s="206"/>
      <c r="C639" s="206"/>
      <c r="D639" s="206"/>
      <c r="E639" s="206"/>
      <c r="F639" s="206"/>
      <c r="G639" s="206"/>
      <c r="H639" s="206"/>
      <c r="I639" s="206"/>
      <c r="J639" s="206"/>
      <c r="K639" s="206"/>
      <c r="L639" s="206"/>
      <c r="M639" s="288"/>
      <c r="N639" s="288"/>
      <c r="O639" s="289"/>
      <c r="P639" s="289"/>
      <c r="Q639" s="289"/>
      <c r="R639" s="206"/>
      <c r="S639" s="206"/>
      <c r="T639" s="288"/>
      <c r="U639" s="206"/>
      <c r="V639" s="206"/>
      <c r="W639" s="288"/>
      <c r="X639" s="209"/>
      <c r="Y639" s="209"/>
      <c r="Z639" s="209"/>
    </row>
    <row r="640" spans="1:26" ht="12.75" x14ac:dyDescent="0.2">
      <c r="A640" s="206"/>
      <c r="B640" s="206"/>
      <c r="C640" s="206"/>
      <c r="D640" s="206"/>
      <c r="E640" s="206"/>
      <c r="F640" s="206"/>
      <c r="G640" s="206"/>
      <c r="H640" s="206"/>
      <c r="I640" s="206"/>
      <c r="J640" s="206"/>
      <c r="K640" s="206"/>
      <c r="L640" s="206"/>
      <c r="M640" s="288"/>
      <c r="N640" s="288"/>
      <c r="O640" s="289"/>
      <c r="P640" s="289"/>
      <c r="Q640" s="289"/>
      <c r="R640" s="206"/>
      <c r="S640" s="206"/>
      <c r="T640" s="288"/>
      <c r="U640" s="206"/>
      <c r="V640" s="206"/>
      <c r="W640" s="288"/>
      <c r="X640" s="209"/>
      <c r="Y640" s="209"/>
      <c r="Z640" s="209"/>
    </row>
    <row r="641" spans="1:26" ht="12.75" x14ac:dyDescent="0.2">
      <c r="A641" s="206"/>
      <c r="B641" s="206"/>
      <c r="C641" s="206"/>
      <c r="D641" s="206"/>
      <c r="E641" s="206"/>
      <c r="F641" s="206"/>
      <c r="G641" s="206"/>
      <c r="H641" s="206"/>
      <c r="I641" s="206"/>
      <c r="J641" s="206"/>
      <c r="K641" s="206"/>
      <c r="L641" s="206"/>
      <c r="M641" s="288"/>
      <c r="N641" s="288"/>
      <c r="O641" s="289"/>
      <c r="P641" s="289"/>
      <c r="Q641" s="289"/>
      <c r="R641" s="206"/>
      <c r="S641" s="206"/>
      <c r="T641" s="288"/>
      <c r="U641" s="206"/>
      <c r="V641" s="206"/>
      <c r="W641" s="288"/>
      <c r="X641" s="209"/>
      <c r="Y641" s="209"/>
      <c r="Z641" s="209"/>
    </row>
    <row r="642" spans="1:26" ht="12.75" x14ac:dyDescent="0.2">
      <c r="A642" s="206"/>
      <c r="B642" s="206"/>
      <c r="C642" s="206"/>
      <c r="D642" s="206"/>
      <c r="E642" s="206"/>
      <c r="F642" s="206"/>
      <c r="G642" s="206"/>
      <c r="H642" s="206"/>
      <c r="I642" s="206"/>
      <c r="J642" s="206"/>
      <c r="K642" s="206"/>
      <c r="L642" s="206"/>
      <c r="M642" s="288"/>
      <c r="N642" s="288"/>
      <c r="O642" s="289"/>
      <c r="P642" s="289"/>
      <c r="Q642" s="289"/>
      <c r="R642" s="206"/>
      <c r="S642" s="206"/>
      <c r="T642" s="288"/>
      <c r="U642" s="206"/>
      <c r="V642" s="206"/>
      <c r="W642" s="288"/>
      <c r="X642" s="209"/>
      <c r="Y642" s="209"/>
      <c r="Z642" s="209"/>
    </row>
    <row r="643" spans="1:26" ht="12.75" x14ac:dyDescent="0.2">
      <c r="A643" s="206"/>
      <c r="B643" s="206"/>
      <c r="C643" s="206"/>
      <c r="D643" s="206"/>
      <c r="E643" s="206"/>
      <c r="F643" s="206"/>
      <c r="G643" s="206"/>
      <c r="H643" s="206"/>
      <c r="I643" s="206"/>
      <c r="J643" s="206"/>
      <c r="K643" s="206"/>
      <c r="L643" s="206"/>
      <c r="M643" s="288"/>
      <c r="N643" s="288"/>
      <c r="O643" s="289"/>
      <c r="P643" s="289"/>
      <c r="Q643" s="289"/>
      <c r="R643" s="206"/>
      <c r="S643" s="206"/>
      <c r="T643" s="288"/>
      <c r="U643" s="206"/>
      <c r="V643" s="206"/>
      <c r="W643" s="288"/>
      <c r="X643" s="209"/>
      <c r="Y643" s="209"/>
      <c r="Z643" s="209"/>
    </row>
    <row r="644" spans="1:26" ht="12.75" x14ac:dyDescent="0.2">
      <c r="A644" s="206"/>
      <c r="B644" s="206"/>
      <c r="C644" s="206"/>
      <c r="D644" s="206"/>
      <c r="E644" s="206"/>
      <c r="F644" s="206"/>
      <c r="G644" s="206"/>
      <c r="H644" s="206"/>
      <c r="I644" s="206"/>
      <c r="J644" s="206"/>
      <c r="K644" s="206"/>
      <c r="L644" s="206"/>
      <c r="M644" s="288"/>
      <c r="N644" s="288"/>
      <c r="O644" s="289"/>
      <c r="P644" s="289"/>
      <c r="Q644" s="289"/>
      <c r="R644" s="206"/>
      <c r="S644" s="206"/>
      <c r="T644" s="288"/>
      <c r="U644" s="206"/>
      <c r="V644" s="206"/>
      <c r="W644" s="288"/>
      <c r="X644" s="209"/>
      <c r="Y644" s="209"/>
      <c r="Z644" s="209"/>
    </row>
    <row r="645" spans="1:26" ht="12.75" x14ac:dyDescent="0.2">
      <c r="A645" s="206"/>
      <c r="B645" s="206"/>
      <c r="C645" s="206"/>
      <c r="D645" s="206"/>
      <c r="E645" s="206"/>
      <c r="F645" s="206"/>
      <c r="G645" s="206"/>
      <c r="H645" s="206"/>
      <c r="I645" s="206"/>
      <c r="J645" s="206"/>
      <c r="K645" s="206"/>
      <c r="L645" s="206"/>
      <c r="M645" s="288"/>
      <c r="N645" s="288"/>
      <c r="O645" s="289"/>
      <c r="P645" s="289"/>
      <c r="Q645" s="289"/>
      <c r="R645" s="206"/>
      <c r="S645" s="206"/>
      <c r="T645" s="288"/>
      <c r="U645" s="206"/>
      <c r="V645" s="206"/>
      <c r="W645" s="288"/>
      <c r="X645" s="209"/>
      <c r="Y645" s="209"/>
      <c r="Z645" s="209"/>
    </row>
    <row r="646" spans="1:26" ht="12.75" x14ac:dyDescent="0.2">
      <c r="A646" s="206"/>
      <c r="B646" s="206"/>
      <c r="C646" s="206"/>
      <c r="D646" s="206"/>
      <c r="E646" s="206"/>
      <c r="F646" s="206"/>
      <c r="G646" s="206"/>
      <c r="H646" s="206"/>
      <c r="I646" s="206"/>
      <c r="J646" s="206"/>
      <c r="K646" s="206"/>
      <c r="L646" s="206"/>
      <c r="M646" s="288"/>
      <c r="N646" s="288"/>
      <c r="O646" s="289"/>
      <c r="P646" s="289"/>
      <c r="Q646" s="289"/>
      <c r="R646" s="206"/>
      <c r="S646" s="206"/>
      <c r="T646" s="288"/>
      <c r="U646" s="206"/>
      <c r="V646" s="206"/>
      <c r="W646" s="288"/>
      <c r="X646" s="209"/>
      <c r="Y646" s="209"/>
      <c r="Z646" s="209"/>
    </row>
    <row r="647" spans="1:26" ht="12.75" x14ac:dyDescent="0.2">
      <c r="A647" s="206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88"/>
      <c r="N647" s="288"/>
      <c r="O647" s="289"/>
      <c r="P647" s="289"/>
      <c r="Q647" s="289"/>
      <c r="R647" s="206"/>
      <c r="S647" s="206"/>
      <c r="T647" s="288"/>
      <c r="U647" s="206"/>
      <c r="V647" s="206"/>
      <c r="W647" s="288"/>
      <c r="X647" s="209"/>
      <c r="Y647" s="209"/>
      <c r="Z647" s="209"/>
    </row>
    <row r="648" spans="1:26" ht="12.75" x14ac:dyDescent="0.2">
      <c r="A648" s="206"/>
      <c r="B648" s="206"/>
      <c r="C648" s="206"/>
      <c r="D648" s="206"/>
      <c r="E648" s="206"/>
      <c r="F648" s="206"/>
      <c r="G648" s="206"/>
      <c r="H648" s="206"/>
      <c r="I648" s="206"/>
      <c r="J648" s="206"/>
      <c r="K648" s="206"/>
      <c r="L648" s="206"/>
      <c r="M648" s="288"/>
      <c r="N648" s="288"/>
      <c r="O648" s="289"/>
      <c r="P648" s="289"/>
      <c r="Q648" s="289"/>
      <c r="R648" s="206"/>
      <c r="S648" s="206"/>
      <c r="T648" s="288"/>
      <c r="U648" s="206"/>
      <c r="V648" s="206"/>
      <c r="W648" s="288"/>
      <c r="X648" s="209"/>
      <c r="Y648" s="209"/>
      <c r="Z648" s="209"/>
    </row>
    <row r="649" spans="1:26" ht="12.75" x14ac:dyDescent="0.2">
      <c r="A649" s="206"/>
      <c r="B649" s="206"/>
      <c r="C649" s="206"/>
      <c r="D649" s="206"/>
      <c r="E649" s="206"/>
      <c r="F649" s="206"/>
      <c r="G649" s="206"/>
      <c r="H649" s="206"/>
      <c r="I649" s="206"/>
      <c r="J649" s="206"/>
      <c r="K649" s="206"/>
      <c r="L649" s="206"/>
      <c r="M649" s="288"/>
      <c r="N649" s="288"/>
      <c r="O649" s="289"/>
      <c r="P649" s="289"/>
      <c r="Q649" s="289"/>
      <c r="R649" s="206"/>
      <c r="S649" s="206"/>
      <c r="T649" s="288"/>
      <c r="U649" s="206"/>
      <c r="V649" s="206"/>
      <c r="W649" s="288"/>
      <c r="X649" s="209"/>
      <c r="Y649" s="209"/>
      <c r="Z649" s="209"/>
    </row>
    <row r="650" spans="1:26" ht="12.75" x14ac:dyDescent="0.2">
      <c r="A650" s="206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88"/>
      <c r="N650" s="288"/>
      <c r="O650" s="289"/>
      <c r="P650" s="289"/>
      <c r="Q650" s="289"/>
      <c r="R650" s="206"/>
      <c r="S650" s="206"/>
      <c r="T650" s="288"/>
      <c r="U650" s="206"/>
      <c r="V650" s="206"/>
      <c r="W650" s="288"/>
      <c r="X650" s="209"/>
      <c r="Y650" s="209"/>
      <c r="Z650" s="209"/>
    </row>
    <row r="651" spans="1:26" ht="12.75" x14ac:dyDescent="0.2">
      <c r="A651" s="206"/>
      <c r="B651" s="206"/>
      <c r="C651" s="206"/>
      <c r="D651" s="206"/>
      <c r="E651" s="206"/>
      <c r="F651" s="206"/>
      <c r="G651" s="206"/>
      <c r="H651" s="206"/>
      <c r="I651" s="206"/>
      <c r="J651" s="206"/>
      <c r="K651" s="206"/>
      <c r="L651" s="206"/>
      <c r="M651" s="288"/>
      <c r="N651" s="288"/>
      <c r="O651" s="289"/>
      <c r="P651" s="289"/>
      <c r="Q651" s="289"/>
      <c r="R651" s="206"/>
      <c r="S651" s="206"/>
      <c r="T651" s="288"/>
      <c r="U651" s="206"/>
      <c r="V651" s="206"/>
      <c r="W651" s="288"/>
      <c r="X651" s="209"/>
      <c r="Y651" s="209"/>
      <c r="Z651" s="209"/>
    </row>
    <row r="652" spans="1:26" ht="12.75" x14ac:dyDescent="0.2">
      <c r="A652" s="206"/>
      <c r="B652" s="206"/>
      <c r="C652" s="206"/>
      <c r="D652" s="206"/>
      <c r="E652" s="206"/>
      <c r="F652" s="206"/>
      <c r="G652" s="206"/>
      <c r="H652" s="206"/>
      <c r="I652" s="206"/>
      <c r="J652" s="206"/>
      <c r="K652" s="206"/>
      <c r="L652" s="206"/>
      <c r="M652" s="288"/>
      <c r="N652" s="288"/>
      <c r="O652" s="289"/>
      <c r="P652" s="289"/>
      <c r="Q652" s="289"/>
      <c r="R652" s="206"/>
      <c r="S652" s="206"/>
      <c r="T652" s="288"/>
      <c r="U652" s="206"/>
      <c r="V652" s="206"/>
      <c r="W652" s="288"/>
      <c r="X652" s="209"/>
      <c r="Y652" s="209"/>
      <c r="Z652" s="209"/>
    </row>
    <row r="653" spans="1:26" ht="12.75" x14ac:dyDescent="0.2">
      <c r="A653" s="206"/>
      <c r="B653" s="206"/>
      <c r="C653" s="206"/>
      <c r="D653" s="206"/>
      <c r="E653" s="206"/>
      <c r="F653" s="206"/>
      <c r="G653" s="206"/>
      <c r="H653" s="206"/>
      <c r="I653" s="206"/>
      <c r="J653" s="206"/>
      <c r="K653" s="206"/>
      <c r="L653" s="206"/>
      <c r="M653" s="288"/>
      <c r="N653" s="288"/>
      <c r="O653" s="289"/>
      <c r="P653" s="289"/>
      <c r="Q653" s="289"/>
      <c r="R653" s="206"/>
      <c r="S653" s="206"/>
      <c r="T653" s="288"/>
      <c r="U653" s="206"/>
      <c r="V653" s="206"/>
      <c r="W653" s="288"/>
      <c r="X653" s="209"/>
      <c r="Y653" s="209"/>
      <c r="Z653" s="209"/>
    </row>
    <row r="654" spans="1:26" ht="12.75" x14ac:dyDescent="0.2">
      <c r="A654" s="206"/>
      <c r="B654" s="206"/>
      <c r="C654" s="206"/>
      <c r="D654" s="206"/>
      <c r="E654" s="206"/>
      <c r="F654" s="206"/>
      <c r="G654" s="206"/>
      <c r="H654" s="206"/>
      <c r="I654" s="206"/>
      <c r="J654" s="206"/>
      <c r="K654" s="206"/>
      <c r="L654" s="206"/>
      <c r="M654" s="288"/>
      <c r="N654" s="288"/>
      <c r="O654" s="289"/>
      <c r="P654" s="289"/>
      <c r="Q654" s="289"/>
      <c r="R654" s="206"/>
      <c r="S654" s="206"/>
      <c r="T654" s="288"/>
      <c r="U654" s="206"/>
      <c r="V654" s="206"/>
      <c r="W654" s="288"/>
      <c r="X654" s="209"/>
      <c r="Y654" s="209"/>
      <c r="Z654" s="209"/>
    </row>
    <row r="655" spans="1:26" ht="12.75" x14ac:dyDescent="0.2">
      <c r="A655" s="206"/>
      <c r="B655" s="206"/>
      <c r="C655" s="206"/>
      <c r="D655" s="206"/>
      <c r="E655" s="206"/>
      <c r="F655" s="206"/>
      <c r="G655" s="206"/>
      <c r="H655" s="206"/>
      <c r="I655" s="206"/>
      <c r="J655" s="206"/>
      <c r="K655" s="206"/>
      <c r="L655" s="206"/>
      <c r="M655" s="288"/>
      <c r="N655" s="288"/>
      <c r="O655" s="289"/>
      <c r="P655" s="289"/>
      <c r="Q655" s="289"/>
      <c r="R655" s="206"/>
      <c r="S655" s="206"/>
      <c r="T655" s="288"/>
      <c r="U655" s="206"/>
      <c r="V655" s="206"/>
      <c r="W655" s="288"/>
      <c r="X655" s="209"/>
      <c r="Y655" s="209"/>
      <c r="Z655" s="209"/>
    </row>
    <row r="656" spans="1:26" ht="12.75" x14ac:dyDescent="0.2">
      <c r="A656" s="206"/>
      <c r="B656" s="206"/>
      <c r="C656" s="206"/>
      <c r="D656" s="206"/>
      <c r="E656" s="206"/>
      <c r="F656" s="206"/>
      <c r="G656" s="206"/>
      <c r="H656" s="206"/>
      <c r="I656" s="206"/>
      <c r="J656" s="206"/>
      <c r="K656" s="206"/>
      <c r="L656" s="206"/>
      <c r="M656" s="288"/>
      <c r="N656" s="288"/>
      <c r="O656" s="289"/>
      <c r="P656" s="289"/>
      <c r="Q656" s="289"/>
      <c r="R656" s="206"/>
      <c r="S656" s="206"/>
      <c r="T656" s="288"/>
      <c r="U656" s="206"/>
      <c r="V656" s="206"/>
      <c r="W656" s="288"/>
      <c r="X656" s="209"/>
      <c r="Y656" s="209"/>
      <c r="Z656" s="209"/>
    </row>
    <row r="657" spans="1:26" ht="12.75" x14ac:dyDescent="0.2">
      <c r="A657" s="206"/>
      <c r="B657" s="206"/>
      <c r="C657" s="206"/>
      <c r="D657" s="206"/>
      <c r="E657" s="206"/>
      <c r="F657" s="206"/>
      <c r="G657" s="206"/>
      <c r="H657" s="206"/>
      <c r="I657" s="206"/>
      <c r="J657" s="206"/>
      <c r="K657" s="206"/>
      <c r="L657" s="206"/>
      <c r="M657" s="288"/>
      <c r="N657" s="288"/>
      <c r="O657" s="289"/>
      <c r="P657" s="289"/>
      <c r="Q657" s="289"/>
      <c r="R657" s="206"/>
      <c r="S657" s="206"/>
      <c r="T657" s="288"/>
      <c r="U657" s="206"/>
      <c r="V657" s="206"/>
      <c r="W657" s="288"/>
      <c r="X657" s="209"/>
      <c r="Y657" s="209"/>
      <c r="Z657" s="209"/>
    </row>
    <row r="658" spans="1:26" ht="12.75" x14ac:dyDescent="0.2">
      <c r="A658" s="206"/>
      <c r="B658" s="206"/>
      <c r="C658" s="206"/>
      <c r="D658" s="206"/>
      <c r="E658" s="206"/>
      <c r="F658" s="206"/>
      <c r="G658" s="206"/>
      <c r="H658" s="206"/>
      <c r="I658" s="206"/>
      <c r="J658" s="206"/>
      <c r="K658" s="206"/>
      <c r="L658" s="206"/>
      <c r="M658" s="288"/>
      <c r="N658" s="288"/>
      <c r="O658" s="289"/>
      <c r="P658" s="289"/>
      <c r="Q658" s="289"/>
      <c r="R658" s="206"/>
      <c r="S658" s="206"/>
      <c r="T658" s="288"/>
      <c r="U658" s="206"/>
      <c r="V658" s="206"/>
      <c r="W658" s="288"/>
      <c r="X658" s="209"/>
      <c r="Y658" s="209"/>
      <c r="Z658" s="209"/>
    </row>
    <row r="659" spans="1:26" ht="12.75" x14ac:dyDescent="0.2">
      <c r="A659" s="206"/>
      <c r="B659" s="206"/>
      <c r="C659" s="206"/>
      <c r="D659" s="206"/>
      <c r="E659" s="206"/>
      <c r="F659" s="206"/>
      <c r="G659" s="206"/>
      <c r="H659" s="206"/>
      <c r="I659" s="206"/>
      <c r="J659" s="206"/>
      <c r="K659" s="206"/>
      <c r="L659" s="206"/>
      <c r="M659" s="288"/>
      <c r="N659" s="288"/>
      <c r="O659" s="289"/>
      <c r="P659" s="289"/>
      <c r="Q659" s="289"/>
      <c r="R659" s="206"/>
      <c r="S659" s="206"/>
      <c r="T659" s="288"/>
      <c r="U659" s="206"/>
      <c r="V659" s="206"/>
      <c r="W659" s="288"/>
      <c r="X659" s="209"/>
      <c r="Y659" s="209"/>
      <c r="Z659" s="209"/>
    </row>
    <row r="660" spans="1:26" ht="12.75" x14ac:dyDescent="0.2">
      <c r="A660" s="206"/>
      <c r="B660" s="206"/>
      <c r="C660" s="206"/>
      <c r="D660" s="206"/>
      <c r="E660" s="206"/>
      <c r="F660" s="206"/>
      <c r="G660" s="206"/>
      <c r="H660" s="206"/>
      <c r="I660" s="206"/>
      <c r="J660" s="206"/>
      <c r="K660" s="206"/>
      <c r="L660" s="206"/>
      <c r="M660" s="288"/>
      <c r="N660" s="288"/>
      <c r="O660" s="289"/>
      <c r="P660" s="289"/>
      <c r="Q660" s="289"/>
      <c r="R660" s="206"/>
      <c r="S660" s="206"/>
      <c r="T660" s="288"/>
      <c r="U660" s="206"/>
      <c r="V660" s="206"/>
      <c r="W660" s="288"/>
      <c r="X660" s="209"/>
      <c r="Y660" s="209"/>
      <c r="Z660" s="209"/>
    </row>
    <row r="661" spans="1:26" ht="12.75" x14ac:dyDescent="0.2">
      <c r="A661" s="206"/>
      <c r="B661" s="206"/>
      <c r="C661" s="206"/>
      <c r="D661" s="206"/>
      <c r="E661" s="206"/>
      <c r="F661" s="206"/>
      <c r="G661" s="206"/>
      <c r="H661" s="206"/>
      <c r="I661" s="206"/>
      <c r="J661" s="206"/>
      <c r="K661" s="206"/>
      <c r="L661" s="206"/>
      <c r="M661" s="288"/>
      <c r="N661" s="288"/>
      <c r="O661" s="289"/>
      <c r="P661" s="289"/>
      <c r="Q661" s="289"/>
      <c r="R661" s="206"/>
      <c r="S661" s="206"/>
      <c r="T661" s="288"/>
      <c r="U661" s="206"/>
      <c r="V661" s="206"/>
      <c r="W661" s="288"/>
      <c r="X661" s="209"/>
      <c r="Y661" s="209"/>
      <c r="Z661" s="209"/>
    </row>
    <row r="662" spans="1:26" ht="12.75" x14ac:dyDescent="0.2">
      <c r="A662" s="206"/>
      <c r="B662" s="206"/>
      <c r="C662" s="206"/>
      <c r="D662" s="206"/>
      <c r="E662" s="206"/>
      <c r="F662" s="206"/>
      <c r="G662" s="206"/>
      <c r="H662" s="206"/>
      <c r="I662" s="206"/>
      <c r="J662" s="206"/>
      <c r="K662" s="206"/>
      <c r="L662" s="206"/>
      <c r="M662" s="288"/>
      <c r="N662" s="288"/>
      <c r="O662" s="289"/>
      <c r="P662" s="289"/>
      <c r="Q662" s="289"/>
      <c r="R662" s="206"/>
      <c r="S662" s="206"/>
      <c r="T662" s="288"/>
      <c r="U662" s="206"/>
      <c r="V662" s="206"/>
      <c r="W662" s="288"/>
      <c r="X662" s="209"/>
      <c r="Y662" s="209"/>
      <c r="Z662" s="209"/>
    </row>
    <row r="663" spans="1:26" ht="12.75" x14ac:dyDescent="0.2">
      <c r="A663" s="206"/>
      <c r="B663" s="206"/>
      <c r="C663" s="206"/>
      <c r="D663" s="206"/>
      <c r="E663" s="206"/>
      <c r="F663" s="206"/>
      <c r="G663" s="206"/>
      <c r="H663" s="206"/>
      <c r="I663" s="206"/>
      <c r="J663" s="206"/>
      <c r="K663" s="206"/>
      <c r="L663" s="206"/>
      <c r="M663" s="288"/>
      <c r="N663" s="288"/>
      <c r="O663" s="289"/>
      <c r="P663" s="289"/>
      <c r="Q663" s="289"/>
      <c r="R663" s="206"/>
      <c r="S663" s="206"/>
      <c r="T663" s="288"/>
      <c r="U663" s="206"/>
      <c r="V663" s="206"/>
      <c r="W663" s="288"/>
      <c r="X663" s="209"/>
      <c r="Y663" s="209"/>
      <c r="Z663" s="209"/>
    </row>
    <row r="664" spans="1:26" ht="12.75" x14ac:dyDescent="0.2">
      <c r="A664" s="206"/>
      <c r="B664" s="206"/>
      <c r="C664" s="206"/>
      <c r="D664" s="206"/>
      <c r="E664" s="206"/>
      <c r="F664" s="206"/>
      <c r="G664" s="206"/>
      <c r="H664" s="206"/>
      <c r="I664" s="206"/>
      <c r="J664" s="206"/>
      <c r="K664" s="206"/>
      <c r="L664" s="206"/>
      <c r="M664" s="288"/>
      <c r="N664" s="288"/>
      <c r="O664" s="289"/>
      <c r="P664" s="289"/>
      <c r="Q664" s="289"/>
      <c r="R664" s="206"/>
      <c r="S664" s="206"/>
      <c r="T664" s="288"/>
      <c r="U664" s="206"/>
      <c r="V664" s="206"/>
      <c r="W664" s="288"/>
      <c r="X664" s="209"/>
      <c r="Y664" s="209"/>
      <c r="Z664" s="209"/>
    </row>
    <row r="665" spans="1:26" ht="12.75" x14ac:dyDescent="0.2">
      <c r="A665" s="206"/>
      <c r="B665" s="206"/>
      <c r="C665" s="206"/>
      <c r="D665" s="206"/>
      <c r="E665" s="206"/>
      <c r="F665" s="206"/>
      <c r="G665" s="206"/>
      <c r="H665" s="206"/>
      <c r="I665" s="206"/>
      <c r="J665" s="206"/>
      <c r="K665" s="206"/>
      <c r="L665" s="206"/>
      <c r="M665" s="288"/>
      <c r="N665" s="288"/>
      <c r="O665" s="289"/>
      <c r="P665" s="289"/>
      <c r="Q665" s="289"/>
      <c r="R665" s="206"/>
      <c r="S665" s="206"/>
      <c r="T665" s="288"/>
      <c r="U665" s="206"/>
      <c r="V665" s="206"/>
      <c r="W665" s="288"/>
      <c r="X665" s="209"/>
      <c r="Y665" s="209"/>
      <c r="Z665" s="209"/>
    </row>
    <row r="666" spans="1:26" ht="12.75" x14ac:dyDescent="0.2">
      <c r="A666" s="206"/>
      <c r="B666" s="206"/>
      <c r="C666" s="206"/>
      <c r="D666" s="206"/>
      <c r="E666" s="206"/>
      <c r="F666" s="206"/>
      <c r="G666" s="206"/>
      <c r="H666" s="206"/>
      <c r="I666" s="206"/>
      <c r="J666" s="206"/>
      <c r="K666" s="206"/>
      <c r="L666" s="206"/>
      <c r="M666" s="288"/>
      <c r="N666" s="288"/>
      <c r="O666" s="289"/>
      <c r="P666" s="289"/>
      <c r="Q666" s="289"/>
      <c r="R666" s="206"/>
      <c r="S666" s="206"/>
      <c r="T666" s="288"/>
      <c r="U666" s="206"/>
      <c r="V666" s="206"/>
      <c r="W666" s="288"/>
      <c r="X666" s="209"/>
      <c r="Y666" s="209"/>
      <c r="Z666" s="209"/>
    </row>
    <row r="667" spans="1:26" ht="12.75" x14ac:dyDescent="0.2">
      <c r="A667" s="206"/>
      <c r="B667" s="206"/>
      <c r="C667" s="206"/>
      <c r="D667" s="206"/>
      <c r="E667" s="206"/>
      <c r="F667" s="206"/>
      <c r="G667" s="206"/>
      <c r="H667" s="206"/>
      <c r="I667" s="206"/>
      <c r="J667" s="206"/>
      <c r="K667" s="206"/>
      <c r="L667" s="206"/>
      <c r="M667" s="288"/>
      <c r="N667" s="288"/>
      <c r="O667" s="289"/>
      <c r="P667" s="289"/>
      <c r="Q667" s="289"/>
      <c r="R667" s="206"/>
      <c r="S667" s="206"/>
      <c r="T667" s="288"/>
      <c r="U667" s="206"/>
      <c r="V667" s="206"/>
      <c r="W667" s="288"/>
      <c r="X667" s="209"/>
      <c r="Y667" s="209"/>
      <c r="Z667" s="209"/>
    </row>
    <row r="668" spans="1:26" ht="12.75" x14ac:dyDescent="0.2">
      <c r="A668" s="206"/>
      <c r="B668" s="206"/>
      <c r="C668" s="206"/>
      <c r="D668" s="206"/>
      <c r="E668" s="206"/>
      <c r="F668" s="206"/>
      <c r="G668" s="206"/>
      <c r="H668" s="206"/>
      <c r="I668" s="206"/>
      <c r="J668" s="206"/>
      <c r="K668" s="206"/>
      <c r="L668" s="206"/>
      <c r="M668" s="288"/>
      <c r="N668" s="288"/>
      <c r="O668" s="289"/>
      <c r="P668" s="289"/>
      <c r="Q668" s="289"/>
      <c r="R668" s="206"/>
      <c r="S668" s="206"/>
      <c r="T668" s="288"/>
      <c r="U668" s="206"/>
      <c r="V668" s="206"/>
      <c r="W668" s="288"/>
      <c r="X668" s="209"/>
      <c r="Y668" s="209"/>
      <c r="Z668" s="209"/>
    </row>
    <row r="669" spans="1:26" ht="12.75" x14ac:dyDescent="0.2">
      <c r="A669" s="206"/>
      <c r="B669" s="206"/>
      <c r="C669" s="206"/>
      <c r="D669" s="206"/>
      <c r="E669" s="206"/>
      <c r="F669" s="206"/>
      <c r="G669" s="206"/>
      <c r="H669" s="206"/>
      <c r="I669" s="206"/>
      <c r="J669" s="206"/>
      <c r="K669" s="206"/>
      <c r="L669" s="206"/>
      <c r="M669" s="288"/>
      <c r="N669" s="288"/>
      <c r="O669" s="289"/>
      <c r="P669" s="289"/>
      <c r="Q669" s="289"/>
      <c r="R669" s="206"/>
      <c r="S669" s="206"/>
      <c r="T669" s="288"/>
      <c r="U669" s="206"/>
      <c r="V669" s="206"/>
      <c r="W669" s="288"/>
      <c r="X669" s="209"/>
      <c r="Y669" s="209"/>
      <c r="Z669" s="209"/>
    </row>
    <row r="670" spans="1:26" ht="12.75" x14ac:dyDescent="0.2">
      <c r="A670" s="206"/>
      <c r="B670" s="206"/>
      <c r="C670" s="206"/>
      <c r="D670" s="206"/>
      <c r="E670" s="206"/>
      <c r="F670" s="206"/>
      <c r="G670" s="206"/>
      <c r="H670" s="206"/>
      <c r="I670" s="206"/>
      <c r="J670" s="206"/>
      <c r="K670" s="206"/>
      <c r="L670" s="206"/>
      <c r="M670" s="288"/>
      <c r="N670" s="288"/>
      <c r="O670" s="289"/>
      <c r="P670" s="289"/>
      <c r="Q670" s="289"/>
      <c r="R670" s="206"/>
      <c r="S670" s="206"/>
      <c r="T670" s="288"/>
      <c r="U670" s="206"/>
      <c r="V670" s="206"/>
      <c r="W670" s="288"/>
      <c r="X670" s="209"/>
      <c r="Y670" s="209"/>
      <c r="Z670" s="209"/>
    </row>
    <row r="671" spans="1:26" ht="12.75" x14ac:dyDescent="0.2">
      <c r="A671" s="206"/>
      <c r="B671" s="206"/>
      <c r="C671" s="206"/>
      <c r="D671" s="206"/>
      <c r="E671" s="206"/>
      <c r="F671" s="206"/>
      <c r="G671" s="206"/>
      <c r="H671" s="206"/>
      <c r="I671" s="206"/>
      <c r="J671" s="206"/>
      <c r="K671" s="206"/>
      <c r="L671" s="206"/>
      <c r="M671" s="288"/>
      <c r="N671" s="288"/>
      <c r="O671" s="289"/>
      <c r="P671" s="289"/>
      <c r="Q671" s="289"/>
      <c r="R671" s="206"/>
      <c r="S671" s="206"/>
      <c r="T671" s="288"/>
      <c r="U671" s="206"/>
      <c r="V671" s="206"/>
      <c r="W671" s="288"/>
      <c r="X671" s="209"/>
      <c r="Y671" s="209"/>
      <c r="Z671" s="209"/>
    </row>
    <row r="672" spans="1:26" ht="12.75" x14ac:dyDescent="0.2">
      <c r="A672" s="206"/>
      <c r="B672" s="206"/>
      <c r="C672" s="206"/>
      <c r="D672" s="206"/>
      <c r="E672" s="206"/>
      <c r="F672" s="206"/>
      <c r="G672" s="206"/>
      <c r="H672" s="206"/>
      <c r="I672" s="206"/>
      <c r="J672" s="206"/>
      <c r="K672" s="206"/>
      <c r="L672" s="206"/>
      <c r="M672" s="288"/>
      <c r="N672" s="288"/>
      <c r="O672" s="289"/>
      <c r="P672" s="289"/>
      <c r="Q672" s="289"/>
      <c r="R672" s="206"/>
      <c r="S672" s="206"/>
      <c r="T672" s="288"/>
      <c r="U672" s="206"/>
      <c r="V672" s="206"/>
      <c r="W672" s="288"/>
      <c r="X672" s="209"/>
      <c r="Y672" s="209"/>
      <c r="Z672" s="209"/>
    </row>
    <row r="673" spans="1:26" ht="12.75" x14ac:dyDescent="0.2">
      <c r="A673" s="206"/>
      <c r="B673" s="206"/>
      <c r="C673" s="206"/>
      <c r="D673" s="206"/>
      <c r="E673" s="206"/>
      <c r="F673" s="206"/>
      <c r="G673" s="206"/>
      <c r="H673" s="206"/>
      <c r="I673" s="206"/>
      <c r="J673" s="206"/>
      <c r="K673" s="206"/>
      <c r="L673" s="206"/>
      <c r="M673" s="288"/>
      <c r="N673" s="288"/>
      <c r="O673" s="289"/>
      <c r="P673" s="289"/>
      <c r="Q673" s="289"/>
      <c r="R673" s="206"/>
      <c r="S673" s="206"/>
      <c r="T673" s="288"/>
      <c r="U673" s="206"/>
      <c r="V673" s="206"/>
      <c r="W673" s="288"/>
      <c r="X673" s="209"/>
      <c r="Y673" s="209"/>
      <c r="Z673" s="209"/>
    </row>
    <row r="674" spans="1:26" ht="12.75" x14ac:dyDescent="0.2">
      <c r="A674" s="206"/>
      <c r="B674" s="206"/>
      <c r="C674" s="206"/>
      <c r="D674" s="206"/>
      <c r="E674" s="206"/>
      <c r="F674" s="206"/>
      <c r="G674" s="206"/>
      <c r="H674" s="206"/>
      <c r="I674" s="206"/>
      <c r="J674" s="206"/>
      <c r="K674" s="206"/>
      <c r="L674" s="206"/>
      <c r="M674" s="288"/>
      <c r="N674" s="288"/>
      <c r="O674" s="289"/>
      <c r="P674" s="289"/>
      <c r="Q674" s="289"/>
      <c r="R674" s="206"/>
      <c r="S674" s="206"/>
      <c r="T674" s="288"/>
      <c r="U674" s="206"/>
      <c r="V674" s="206"/>
      <c r="W674" s="288"/>
      <c r="X674" s="209"/>
      <c r="Y674" s="209"/>
      <c r="Z674" s="209"/>
    </row>
    <row r="675" spans="1:26" ht="12.75" x14ac:dyDescent="0.2">
      <c r="A675" s="206"/>
      <c r="B675" s="206"/>
      <c r="C675" s="206"/>
      <c r="D675" s="206"/>
      <c r="E675" s="206"/>
      <c r="F675" s="206"/>
      <c r="G675" s="206"/>
      <c r="H675" s="206"/>
      <c r="I675" s="206"/>
      <c r="J675" s="206"/>
      <c r="K675" s="206"/>
      <c r="L675" s="206"/>
      <c r="M675" s="288"/>
      <c r="N675" s="288"/>
      <c r="O675" s="289"/>
      <c r="P675" s="289"/>
      <c r="Q675" s="289"/>
      <c r="R675" s="206"/>
      <c r="S675" s="206"/>
      <c r="T675" s="288"/>
      <c r="U675" s="206"/>
      <c r="V675" s="206"/>
      <c r="W675" s="288"/>
      <c r="X675" s="209"/>
      <c r="Y675" s="209"/>
      <c r="Z675" s="209"/>
    </row>
    <row r="676" spans="1:26" ht="12.75" x14ac:dyDescent="0.2">
      <c r="A676" s="206"/>
      <c r="B676" s="206"/>
      <c r="C676" s="206"/>
      <c r="D676" s="206"/>
      <c r="E676" s="206"/>
      <c r="F676" s="206"/>
      <c r="G676" s="206"/>
      <c r="H676" s="206"/>
      <c r="I676" s="206"/>
      <c r="J676" s="206"/>
      <c r="K676" s="206"/>
      <c r="L676" s="206"/>
      <c r="M676" s="288"/>
      <c r="N676" s="288"/>
      <c r="O676" s="289"/>
      <c r="P676" s="289"/>
      <c r="Q676" s="289"/>
      <c r="R676" s="206"/>
      <c r="S676" s="206"/>
      <c r="T676" s="288"/>
      <c r="U676" s="206"/>
      <c r="V676" s="206"/>
      <c r="W676" s="288"/>
      <c r="X676" s="209"/>
      <c r="Y676" s="209"/>
      <c r="Z676" s="209"/>
    </row>
    <row r="677" spans="1:26" ht="12.75" x14ac:dyDescent="0.2">
      <c r="A677" s="206"/>
      <c r="B677" s="206"/>
      <c r="C677" s="206"/>
      <c r="D677" s="206"/>
      <c r="E677" s="206"/>
      <c r="F677" s="206"/>
      <c r="G677" s="206"/>
      <c r="H677" s="206"/>
      <c r="I677" s="206"/>
      <c r="J677" s="206"/>
      <c r="K677" s="206"/>
      <c r="L677" s="206"/>
      <c r="M677" s="288"/>
      <c r="N677" s="288"/>
      <c r="O677" s="289"/>
      <c r="P677" s="289"/>
      <c r="Q677" s="289"/>
      <c r="R677" s="206"/>
      <c r="S677" s="206"/>
      <c r="T677" s="288"/>
      <c r="U677" s="206"/>
      <c r="V677" s="206"/>
      <c r="W677" s="288"/>
      <c r="X677" s="209"/>
      <c r="Y677" s="209"/>
      <c r="Z677" s="209"/>
    </row>
    <row r="678" spans="1:26" ht="12.75" x14ac:dyDescent="0.2">
      <c r="A678" s="206"/>
      <c r="B678" s="206"/>
      <c r="C678" s="206"/>
      <c r="D678" s="206"/>
      <c r="E678" s="206"/>
      <c r="F678" s="206"/>
      <c r="G678" s="206"/>
      <c r="H678" s="206"/>
      <c r="I678" s="206"/>
      <c r="J678" s="206"/>
      <c r="K678" s="206"/>
      <c r="L678" s="206"/>
      <c r="M678" s="288"/>
      <c r="N678" s="288"/>
      <c r="O678" s="289"/>
      <c r="P678" s="289"/>
      <c r="Q678" s="289"/>
      <c r="R678" s="206"/>
      <c r="S678" s="206"/>
      <c r="T678" s="288"/>
      <c r="U678" s="206"/>
      <c r="V678" s="206"/>
      <c r="W678" s="288"/>
      <c r="X678" s="209"/>
      <c r="Y678" s="209"/>
      <c r="Z678" s="209"/>
    </row>
    <row r="679" spans="1:26" ht="12.75" x14ac:dyDescent="0.2">
      <c r="A679" s="206"/>
      <c r="B679" s="206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88"/>
      <c r="N679" s="288"/>
      <c r="O679" s="289"/>
      <c r="P679" s="289"/>
      <c r="Q679" s="289"/>
      <c r="R679" s="206"/>
      <c r="S679" s="206"/>
      <c r="T679" s="288"/>
      <c r="U679" s="206"/>
      <c r="V679" s="206"/>
      <c r="W679" s="288"/>
      <c r="X679" s="209"/>
      <c r="Y679" s="209"/>
      <c r="Z679" s="209"/>
    </row>
    <row r="680" spans="1:26" ht="12.75" x14ac:dyDescent="0.2">
      <c r="A680" s="206"/>
      <c r="B680" s="206"/>
      <c r="C680" s="206"/>
      <c r="D680" s="206"/>
      <c r="E680" s="206"/>
      <c r="F680" s="206"/>
      <c r="G680" s="206"/>
      <c r="H680" s="206"/>
      <c r="I680" s="206"/>
      <c r="J680" s="206"/>
      <c r="K680" s="206"/>
      <c r="L680" s="206"/>
      <c r="M680" s="288"/>
      <c r="N680" s="288"/>
      <c r="O680" s="289"/>
      <c r="P680" s="289"/>
      <c r="Q680" s="289"/>
      <c r="R680" s="206"/>
      <c r="S680" s="206"/>
      <c r="T680" s="288"/>
      <c r="U680" s="206"/>
      <c r="V680" s="206"/>
      <c r="W680" s="288"/>
      <c r="X680" s="209"/>
      <c r="Y680" s="209"/>
      <c r="Z680" s="209"/>
    </row>
    <row r="681" spans="1:26" ht="12.75" x14ac:dyDescent="0.2">
      <c r="A681" s="206"/>
      <c r="B681" s="206"/>
      <c r="C681" s="206"/>
      <c r="D681" s="206"/>
      <c r="E681" s="206"/>
      <c r="F681" s="206"/>
      <c r="G681" s="206"/>
      <c r="H681" s="206"/>
      <c r="I681" s="206"/>
      <c r="J681" s="206"/>
      <c r="K681" s="206"/>
      <c r="L681" s="206"/>
      <c r="M681" s="288"/>
      <c r="N681" s="288"/>
      <c r="O681" s="289"/>
      <c r="P681" s="289"/>
      <c r="Q681" s="289"/>
      <c r="R681" s="206"/>
      <c r="S681" s="206"/>
      <c r="T681" s="288"/>
      <c r="U681" s="206"/>
      <c r="V681" s="206"/>
      <c r="W681" s="288"/>
      <c r="X681" s="209"/>
      <c r="Y681" s="209"/>
      <c r="Z681" s="209"/>
    </row>
    <row r="682" spans="1:26" ht="12.75" x14ac:dyDescent="0.2">
      <c r="A682" s="206"/>
      <c r="B682" s="206"/>
      <c r="C682" s="206"/>
      <c r="D682" s="206"/>
      <c r="E682" s="206"/>
      <c r="F682" s="206"/>
      <c r="G682" s="206"/>
      <c r="H682" s="206"/>
      <c r="I682" s="206"/>
      <c r="J682" s="206"/>
      <c r="K682" s="206"/>
      <c r="L682" s="206"/>
      <c r="M682" s="288"/>
      <c r="N682" s="288"/>
      <c r="O682" s="289"/>
      <c r="P682" s="289"/>
      <c r="Q682" s="289"/>
      <c r="R682" s="206"/>
      <c r="S682" s="206"/>
      <c r="T682" s="288"/>
      <c r="U682" s="206"/>
      <c r="V682" s="206"/>
      <c r="W682" s="288"/>
      <c r="X682" s="209"/>
      <c r="Y682" s="209"/>
      <c r="Z682" s="209"/>
    </row>
    <row r="683" spans="1:26" ht="12.75" x14ac:dyDescent="0.2">
      <c r="A683" s="206"/>
      <c r="B683" s="206"/>
      <c r="C683" s="206"/>
      <c r="D683" s="206"/>
      <c r="E683" s="206"/>
      <c r="F683" s="206"/>
      <c r="G683" s="206"/>
      <c r="H683" s="206"/>
      <c r="I683" s="206"/>
      <c r="J683" s="206"/>
      <c r="K683" s="206"/>
      <c r="L683" s="206"/>
      <c r="M683" s="288"/>
      <c r="N683" s="288"/>
      <c r="O683" s="289"/>
      <c r="P683" s="289"/>
      <c r="Q683" s="289"/>
      <c r="R683" s="206"/>
      <c r="S683" s="206"/>
      <c r="T683" s="288"/>
      <c r="U683" s="206"/>
      <c r="V683" s="206"/>
      <c r="W683" s="288"/>
      <c r="X683" s="209"/>
      <c r="Y683" s="209"/>
      <c r="Z683" s="209"/>
    </row>
    <row r="684" spans="1:26" ht="12.75" x14ac:dyDescent="0.2">
      <c r="A684" s="206"/>
      <c r="B684" s="206"/>
      <c r="C684" s="206"/>
      <c r="D684" s="206"/>
      <c r="E684" s="206"/>
      <c r="F684" s="206"/>
      <c r="G684" s="206"/>
      <c r="H684" s="206"/>
      <c r="I684" s="206"/>
      <c r="J684" s="206"/>
      <c r="K684" s="206"/>
      <c r="L684" s="206"/>
      <c r="M684" s="288"/>
      <c r="N684" s="288"/>
      <c r="O684" s="289"/>
      <c r="P684" s="289"/>
      <c r="Q684" s="289"/>
      <c r="R684" s="206"/>
      <c r="S684" s="206"/>
      <c r="T684" s="288"/>
      <c r="U684" s="206"/>
      <c r="V684" s="206"/>
      <c r="W684" s="288"/>
      <c r="X684" s="209"/>
      <c r="Y684" s="209"/>
      <c r="Z684" s="209"/>
    </row>
    <row r="685" spans="1:26" ht="12.75" x14ac:dyDescent="0.2">
      <c r="A685" s="206"/>
      <c r="B685" s="206"/>
      <c r="C685" s="206"/>
      <c r="D685" s="206"/>
      <c r="E685" s="206"/>
      <c r="F685" s="206"/>
      <c r="G685" s="206"/>
      <c r="H685" s="206"/>
      <c r="I685" s="206"/>
      <c r="J685" s="206"/>
      <c r="K685" s="206"/>
      <c r="L685" s="206"/>
      <c r="M685" s="288"/>
      <c r="N685" s="288"/>
      <c r="O685" s="289"/>
      <c r="P685" s="289"/>
      <c r="Q685" s="289"/>
      <c r="R685" s="206"/>
      <c r="S685" s="206"/>
      <c r="T685" s="288"/>
      <c r="U685" s="206"/>
      <c r="V685" s="206"/>
      <c r="W685" s="288"/>
      <c r="X685" s="209"/>
      <c r="Y685" s="209"/>
      <c r="Z685" s="209"/>
    </row>
    <row r="686" spans="1:26" ht="12.75" x14ac:dyDescent="0.2">
      <c r="A686" s="206"/>
      <c r="B686" s="206"/>
      <c r="C686" s="206"/>
      <c r="D686" s="206"/>
      <c r="E686" s="206"/>
      <c r="F686" s="206"/>
      <c r="G686" s="206"/>
      <c r="H686" s="206"/>
      <c r="I686" s="206"/>
      <c r="J686" s="206"/>
      <c r="K686" s="206"/>
      <c r="L686" s="206"/>
      <c r="M686" s="288"/>
      <c r="N686" s="288"/>
      <c r="O686" s="289"/>
      <c r="P686" s="289"/>
      <c r="Q686" s="289"/>
      <c r="R686" s="206"/>
      <c r="S686" s="206"/>
      <c r="T686" s="288"/>
      <c r="U686" s="206"/>
      <c r="V686" s="206"/>
      <c r="W686" s="288"/>
      <c r="X686" s="209"/>
      <c r="Y686" s="209"/>
      <c r="Z686" s="209"/>
    </row>
    <row r="687" spans="1:26" ht="12.75" x14ac:dyDescent="0.2">
      <c r="A687" s="206"/>
      <c r="B687" s="206"/>
      <c r="C687" s="206"/>
      <c r="D687" s="206"/>
      <c r="E687" s="206"/>
      <c r="F687" s="206"/>
      <c r="G687" s="206"/>
      <c r="H687" s="206"/>
      <c r="I687" s="206"/>
      <c r="J687" s="206"/>
      <c r="K687" s="206"/>
      <c r="L687" s="206"/>
      <c r="M687" s="288"/>
      <c r="N687" s="288"/>
      <c r="O687" s="289"/>
      <c r="P687" s="289"/>
      <c r="Q687" s="289"/>
      <c r="R687" s="206"/>
      <c r="S687" s="206"/>
      <c r="T687" s="288"/>
      <c r="U687" s="206"/>
      <c r="V687" s="206"/>
      <c r="W687" s="288"/>
      <c r="X687" s="209"/>
      <c r="Y687" s="209"/>
      <c r="Z687" s="209"/>
    </row>
    <row r="688" spans="1:26" ht="12.75" x14ac:dyDescent="0.2">
      <c r="A688" s="206"/>
      <c r="B688" s="206"/>
      <c r="C688" s="206"/>
      <c r="D688" s="206"/>
      <c r="E688" s="206"/>
      <c r="F688" s="206"/>
      <c r="G688" s="206"/>
      <c r="H688" s="206"/>
      <c r="I688" s="206"/>
      <c r="J688" s="206"/>
      <c r="K688" s="206"/>
      <c r="L688" s="206"/>
      <c r="M688" s="288"/>
      <c r="N688" s="288"/>
      <c r="O688" s="289"/>
      <c r="P688" s="289"/>
      <c r="Q688" s="289"/>
      <c r="R688" s="206"/>
      <c r="S688" s="206"/>
      <c r="T688" s="288"/>
      <c r="U688" s="206"/>
      <c r="V688" s="206"/>
      <c r="W688" s="288"/>
      <c r="X688" s="209"/>
      <c r="Y688" s="209"/>
      <c r="Z688" s="209"/>
    </row>
    <row r="689" spans="1:26" ht="12.75" x14ac:dyDescent="0.2">
      <c r="A689" s="206"/>
      <c r="B689" s="206"/>
      <c r="C689" s="206"/>
      <c r="D689" s="206"/>
      <c r="E689" s="206"/>
      <c r="F689" s="206"/>
      <c r="G689" s="206"/>
      <c r="H689" s="206"/>
      <c r="I689" s="206"/>
      <c r="J689" s="206"/>
      <c r="K689" s="206"/>
      <c r="L689" s="206"/>
      <c r="M689" s="288"/>
      <c r="N689" s="288"/>
      <c r="O689" s="289"/>
      <c r="P689" s="289"/>
      <c r="Q689" s="289"/>
      <c r="R689" s="206"/>
      <c r="S689" s="206"/>
      <c r="T689" s="288"/>
      <c r="U689" s="206"/>
      <c r="V689" s="206"/>
      <c r="W689" s="288"/>
      <c r="X689" s="209"/>
      <c r="Y689" s="209"/>
      <c r="Z689" s="209"/>
    </row>
    <row r="690" spans="1:26" ht="12.75" x14ac:dyDescent="0.2">
      <c r="A690" s="206"/>
      <c r="B690" s="206"/>
      <c r="C690" s="206"/>
      <c r="D690" s="206"/>
      <c r="E690" s="206"/>
      <c r="F690" s="206"/>
      <c r="G690" s="206"/>
      <c r="H690" s="206"/>
      <c r="I690" s="206"/>
      <c r="J690" s="206"/>
      <c r="K690" s="206"/>
      <c r="L690" s="206"/>
      <c r="M690" s="288"/>
      <c r="N690" s="288"/>
      <c r="O690" s="289"/>
      <c r="P690" s="289"/>
      <c r="Q690" s="289"/>
      <c r="R690" s="206"/>
      <c r="S690" s="206"/>
      <c r="T690" s="288"/>
      <c r="U690" s="206"/>
      <c r="V690" s="206"/>
      <c r="W690" s="288"/>
      <c r="X690" s="209"/>
      <c r="Y690" s="209"/>
      <c r="Z690" s="209"/>
    </row>
    <row r="691" spans="1:26" ht="12.75" x14ac:dyDescent="0.2">
      <c r="A691" s="206"/>
      <c r="B691" s="206"/>
      <c r="C691" s="206"/>
      <c r="D691" s="206"/>
      <c r="E691" s="206"/>
      <c r="F691" s="206"/>
      <c r="G691" s="206"/>
      <c r="H691" s="206"/>
      <c r="I691" s="206"/>
      <c r="J691" s="206"/>
      <c r="K691" s="206"/>
      <c r="L691" s="206"/>
      <c r="M691" s="288"/>
      <c r="N691" s="288"/>
      <c r="O691" s="289"/>
      <c r="P691" s="289"/>
      <c r="Q691" s="289"/>
      <c r="R691" s="206"/>
      <c r="S691" s="206"/>
      <c r="T691" s="288"/>
      <c r="U691" s="206"/>
      <c r="V691" s="206"/>
      <c r="W691" s="288"/>
      <c r="X691" s="209"/>
      <c r="Y691" s="209"/>
      <c r="Z691" s="209"/>
    </row>
    <row r="692" spans="1:26" ht="12.75" x14ac:dyDescent="0.2">
      <c r="A692" s="206"/>
      <c r="B692" s="206"/>
      <c r="C692" s="206"/>
      <c r="D692" s="206"/>
      <c r="E692" s="206"/>
      <c r="F692" s="206"/>
      <c r="G692" s="206"/>
      <c r="H692" s="206"/>
      <c r="I692" s="206"/>
      <c r="J692" s="206"/>
      <c r="K692" s="206"/>
      <c r="L692" s="206"/>
      <c r="M692" s="288"/>
      <c r="N692" s="288"/>
      <c r="O692" s="289"/>
      <c r="P692" s="289"/>
      <c r="Q692" s="289"/>
      <c r="R692" s="206"/>
      <c r="S692" s="206"/>
      <c r="T692" s="288"/>
      <c r="U692" s="206"/>
      <c r="V692" s="206"/>
      <c r="W692" s="288"/>
      <c r="X692" s="209"/>
      <c r="Y692" s="209"/>
      <c r="Z692" s="209"/>
    </row>
    <row r="693" spans="1:26" ht="12.75" x14ac:dyDescent="0.2">
      <c r="A693" s="206"/>
      <c r="B693" s="206"/>
      <c r="C693" s="206"/>
      <c r="D693" s="206"/>
      <c r="E693" s="206"/>
      <c r="F693" s="206"/>
      <c r="G693" s="206"/>
      <c r="H693" s="206"/>
      <c r="I693" s="206"/>
      <c r="J693" s="206"/>
      <c r="K693" s="206"/>
      <c r="L693" s="206"/>
      <c r="M693" s="288"/>
      <c r="N693" s="288"/>
      <c r="O693" s="289"/>
      <c r="P693" s="289"/>
      <c r="Q693" s="289"/>
      <c r="R693" s="206"/>
      <c r="S693" s="206"/>
      <c r="T693" s="288"/>
      <c r="U693" s="206"/>
      <c r="V693" s="206"/>
      <c r="W693" s="288"/>
      <c r="X693" s="209"/>
      <c r="Y693" s="209"/>
      <c r="Z693" s="209"/>
    </row>
    <row r="694" spans="1:26" ht="12.75" x14ac:dyDescent="0.2">
      <c r="A694" s="206"/>
      <c r="B694" s="206"/>
      <c r="C694" s="206"/>
      <c r="D694" s="206"/>
      <c r="E694" s="206"/>
      <c r="F694" s="206"/>
      <c r="G694" s="206"/>
      <c r="H694" s="206"/>
      <c r="I694" s="206"/>
      <c r="J694" s="206"/>
      <c r="K694" s="206"/>
      <c r="L694" s="206"/>
      <c r="M694" s="288"/>
      <c r="N694" s="288"/>
      <c r="O694" s="289"/>
      <c r="P694" s="289"/>
      <c r="Q694" s="289"/>
      <c r="R694" s="206"/>
      <c r="S694" s="206"/>
      <c r="T694" s="288"/>
      <c r="U694" s="206"/>
      <c r="V694" s="206"/>
      <c r="W694" s="288"/>
      <c r="X694" s="209"/>
      <c r="Y694" s="209"/>
      <c r="Z694" s="209"/>
    </row>
    <row r="695" spans="1:26" ht="12.75" x14ac:dyDescent="0.2">
      <c r="A695" s="206"/>
      <c r="B695" s="206"/>
      <c r="C695" s="206"/>
      <c r="D695" s="206"/>
      <c r="E695" s="206"/>
      <c r="F695" s="206"/>
      <c r="G695" s="206"/>
      <c r="H695" s="206"/>
      <c r="I695" s="206"/>
      <c r="J695" s="206"/>
      <c r="K695" s="206"/>
      <c r="L695" s="206"/>
      <c r="M695" s="288"/>
      <c r="N695" s="288"/>
      <c r="O695" s="289"/>
      <c r="P695" s="289"/>
      <c r="Q695" s="289"/>
      <c r="R695" s="206"/>
      <c r="S695" s="206"/>
      <c r="T695" s="288"/>
      <c r="U695" s="206"/>
      <c r="V695" s="206"/>
      <c r="W695" s="288"/>
      <c r="X695" s="209"/>
      <c r="Y695" s="209"/>
      <c r="Z695" s="209"/>
    </row>
    <row r="696" spans="1:26" ht="12.75" x14ac:dyDescent="0.2">
      <c r="A696" s="206"/>
      <c r="B696" s="206"/>
      <c r="C696" s="206"/>
      <c r="D696" s="206"/>
      <c r="E696" s="206"/>
      <c r="F696" s="206"/>
      <c r="G696" s="206"/>
      <c r="H696" s="206"/>
      <c r="I696" s="206"/>
      <c r="J696" s="206"/>
      <c r="K696" s="206"/>
      <c r="L696" s="206"/>
      <c r="M696" s="288"/>
      <c r="N696" s="288"/>
      <c r="O696" s="289"/>
      <c r="P696" s="289"/>
      <c r="Q696" s="289"/>
      <c r="R696" s="206"/>
      <c r="S696" s="206"/>
      <c r="T696" s="288"/>
      <c r="U696" s="206"/>
      <c r="V696" s="206"/>
      <c r="W696" s="288"/>
      <c r="X696" s="209"/>
      <c r="Y696" s="209"/>
      <c r="Z696" s="209"/>
    </row>
    <row r="697" spans="1:26" ht="12.75" x14ac:dyDescent="0.2">
      <c r="A697" s="206"/>
      <c r="B697" s="206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88"/>
      <c r="N697" s="288"/>
      <c r="O697" s="289"/>
      <c r="P697" s="289"/>
      <c r="Q697" s="289"/>
      <c r="R697" s="206"/>
      <c r="S697" s="206"/>
      <c r="T697" s="288"/>
      <c r="U697" s="206"/>
      <c r="V697" s="206"/>
      <c r="W697" s="288"/>
      <c r="X697" s="209"/>
      <c r="Y697" s="209"/>
      <c r="Z697" s="209"/>
    </row>
    <row r="698" spans="1:26" ht="12.75" x14ac:dyDescent="0.2">
      <c r="A698" s="206"/>
      <c r="B698" s="206"/>
      <c r="C698" s="206"/>
      <c r="D698" s="206"/>
      <c r="E698" s="206"/>
      <c r="F698" s="206"/>
      <c r="G698" s="206"/>
      <c r="H698" s="206"/>
      <c r="I698" s="206"/>
      <c r="J698" s="206"/>
      <c r="K698" s="206"/>
      <c r="L698" s="206"/>
      <c r="M698" s="288"/>
      <c r="N698" s="288"/>
      <c r="O698" s="289"/>
      <c r="P698" s="289"/>
      <c r="Q698" s="289"/>
      <c r="R698" s="206"/>
      <c r="S698" s="206"/>
      <c r="T698" s="288"/>
      <c r="U698" s="206"/>
      <c r="V698" s="206"/>
      <c r="W698" s="288"/>
      <c r="X698" s="209"/>
      <c r="Y698" s="209"/>
      <c r="Z698" s="209"/>
    </row>
    <row r="699" spans="1:26" ht="12.75" x14ac:dyDescent="0.2">
      <c r="A699" s="206"/>
      <c r="B699" s="206"/>
      <c r="C699" s="206"/>
      <c r="D699" s="206"/>
      <c r="E699" s="206"/>
      <c r="F699" s="206"/>
      <c r="G699" s="206"/>
      <c r="H699" s="206"/>
      <c r="I699" s="206"/>
      <c r="J699" s="206"/>
      <c r="K699" s="206"/>
      <c r="L699" s="206"/>
      <c r="M699" s="288"/>
      <c r="N699" s="288"/>
      <c r="O699" s="289"/>
      <c r="P699" s="289"/>
      <c r="Q699" s="289"/>
      <c r="R699" s="206"/>
      <c r="S699" s="206"/>
      <c r="T699" s="288"/>
      <c r="U699" s="206"/>
      <c r="V699" s="206"/>
      <c r="W699" s="288"/>
      <c r="X699" s="209"/>
      <c r="Y699" s="209"/>
      <c r="Z699" s="209"/>
    </row>
    <row r="700" spans="1:26" ht="12.75" x14ac:dyDescent="0.2">
      <c r="A700" s="206"/>
      <c r="B700" s="206"/>
      <c r="C700" s="206"/>
      <c r="D700" s="206"/>
      <c r="E700" s="206"/>
      <c r="F700" s="206"/>
      <c r="G700" s="206"/>
      <c r="H700" s="206"/>
      <c r="I700" s="206"/>
      <c r="J700" s="206"/>
      <c r="K700" s="206"/>
      <c r="L700" s="206"/>
      <c r="M700" s="288"/>
      <c r="N700" s="288"/>
      <c r="O700" s="289"/>
      <c r="P700" s="289"/>
      <c r="Q700" s="289"/>
      <c r="R700" s="206"/>
      <c r="S700" s="206"/>
      <c r="T700" s="288"/>
      <c r="U700" s="206"/>
      <c r="V700" s="206"/>
      <c r="W700" s="288"/>
      <c r="X700" s="209"/>
      <c r="Y700" s="209"/>
      <c r="Z700" s="209"/>
    </row>
    <row r="701" spans="1:26" ht="12.75" x14ac:dyDescent="0.2">
      <c r="A701" s="206"/>
      <c r="B701" s="206"/>
      <c r="C701" s="206"/>
      <c r="D701" s="206"/>
      <c r="E701" s="206"/>
      <c r="F701" s="206"/>
      <c r="G701" s="206"/>
      <c r="H701" s="206"/>
      <c r="I701" s="206"/>
      <c r="J701" s="206"/>
      <c r="K701" s="206"/>
      <c r="L701" s="206"/>
      <c r="M701" s="288"/>
      <c r="N701" s="288"/>
      <c r="O701" s="289"/>
      <c r="P701" s="289"/>
      <c r="Q701" s="289"/>
      <c r="R701" s="206"/>
      <c r="S701" s="206"/>
      <c r="T701" s="288"/>
      <c r="U701" s="206"/>
      <c r="V701" s="206"/>
      <c r="W701" s="288"/>
      <c r="X701" s="209"/>
      <c r="Y701" s="209"/>
      <c r="Z701" s="209"/>
    </row>
    <row r="702" spans="1:26" ht="12.75" x14ac:dyDescent="0.2">
      <c r="A702" s="206"/>
      <c r="B702" s="206"/>
      <c r="C702" s="206"/>
      <c r="D702" s="206"/>
      <c r="E702" s="206"/>
      <c r="F702" s="206"/>
      <c r="G702" s="206"/>
      <c r="H702" s="206"/>
      <c r="I702" s="206"/>
      <c r="J702" s="206"/>
      <c r="K702" s="206"/>
      <c r="L702" s="206"/>
      <c r="M702" s="288"/>
      <c r="N702" s="288"/>
      <c r="O702" s="289"/>
      <c r="P702" s="289"/>
      <c r="Q702" s="289"/>
      <c r="R702" s="206"/>
      <c r="S702" s="206"/>
      <c r="T702" s="288"/>
      <c r="U702" s="206"/>
      <c r="V702" s="206"/>
      <c r="W702" s="288"/>
      <c r="X702" s="209"/>
      <c r="Y702" s="209"/>
      <c r="Z702" s="209"/>
    </row>
    <row r="703" spans="1:26" ht="12.75" x14ac:dyDescent="0.2">
      <c r="A703" s="206"/>
      <c r="B703" s="206"/>
      <c r="C703" s="206"/>
      <c r="D703" s="206"/>
      <c r="E703" s="206"/>
      <c r="F703" s="206"/>
      <c r="G703" s="206"/>
      <c r="H703" s="206"/>
      <c r="I703" s="206"/>
      <c r="J703" s="206"/>
      <c r="K703" s="206"/>
      <c r="L703" s="206"/>
      <c r="M703" s="288"/>
      <c r="N703" s="288"/>
      <c r="O703" s="289"/>
      <c r="P703" s="289"/>
      <c r="Q703" s="289"/>
      <c r="R703" s="206"/>
      <c r="S703" s="206"/>
      <c r="T703" s="288"/>
      <c r="U703" s="206"/>
      <c r="V703" s="206"/>
      <c r="W703" s="288"/>
      <c r="X703" s="209"/>
      <c r="Y703" s="209"/>
      <c r="Z703" s="209"/>
    </row>
    <row r="704" spans="1:26" ht="12.75" x14ac:dyDescent="0.2">
      <c r="A704" s="206"/>
      <c r="B704" s="206"/>
      <c r="C704" s="206"/>
      <c r="D704" s="206"/>
      <c r="E704" s="206"/>
      <c r="F704" s="206"/>
      <c r="G704" s="206"/>
      <c r="H704" s="206"/>
      <c r="I704" s="206"/>
      <c r="J704" s="206"/>
      <c r="K704" s="206"/>
      <c r="L704" s="206"/>
      <c r="M704" s="288"/>
      <c r="N704" s="288"/>
      <c r="O704" s="289"/>
      <c r="P704" s="289"/>
      <c r="Q704" s="289"/>
      <c r="R704" s="206"/>
      <c r="S704" s="206"/>
      <c r="T704" s="288"/>
      <c r="U704" s="206"/>
      <c r="V704" s="206"/>
      <c r="W704" s="288"/>
      <c r="X704" s="209"/>
      <c r="Y704" s="209"/>
      <c r="Z704" s="209"/>
    </row>
    <row r="705" spans="1:26" ht="12.75" x14ac:dyDescent="0.2">
      <c r="A705" s="206"/>
      <c r="B705" s="206"/>
      <c r="C705" s="206"/>
      <c r="D705" s="206"/>
      <c r="E705" s="206"/>
      <c r="F705" s="206"/>
      <c r="G705" s="206"/>
      <c r="H705" s="206"/>
      <c r="I705" s="206"/>
      <c r="J705" s="206"/>
      <c r="K705" s="206"/>
      <c r="L705" s="206"/>
      <c r="M705" s="288"/>
      <c r="N705" s="288"/>
      <c r="O705" s="289"/>
      <c r="P705" s="289"/>
      <c r="Q705" s="289"/>
      <c r="R705" s="206"/>
      <c r="S705" s="206"/>
      <c r="T705" s="288"/>
      <c r="U705" s="206"/>
      <c r="V705" s="206"/>
      <c r="W705" s="288"/>
      <c r="X705" s="209"/>
      <c r="Y705" s="209"/>
      <c r="Z705" s="209"/>
    </row>
    <row r="706" spans="1:26" ht="12.75" x14ac:dyDescent="0.2">
      <c r="A706" s="206"/>
      <c r="B706" s="206"/>
      <c r="C706" s="206"/>
      <c r="D706" s="206"/>
      <c r="E706" s="206"/>
      <c r="F706" s="206"/>
      <c r="G706" s="206"/>
      <c r="H706" s="206"/>
      <c r="I706" s="206"/>
      <c r="J706" s="206"/>
      <c r="K706" s="206"/>
      <c r="L706" s="206"/>
      <c r="M706" s="288"/>
      <c r="N706" s="288"/>
      <c r="O706" s="289"/>
      <c r="P706" s="289"/>
      <c r="Q706" s="289"/>
      <c r="R706" s="206"/>
      <c r="S706" s="206"/>
      <c r="T706" s="288"/>
      <c r="U706" s="206"/>
      <c r="V706" s="206"/>
      <c r="W706" s="288"/>
      <c r="X706" s="209"/>
      <c r="Y706" s="209"/>
      <c r="Z706" s="209"/>
    </row>
    <row r="707" spans="1:26" ht="12.75" x14ac:dyDescent="0.2">
      <c r="A707" s="206"/>
      <c r="B707" s="206"/>
      <c r="C707" s="206"/>
      <c r="D707" s="206"/>
      <c r="E707" s="206"/>
      <c r="F707" s="206"/>
      <c r="G707" s="206"/>
      <c r="H707" s="206"/>
      <c r="I707" s="206"/>
      <c r="J707" s="206"/>
      <c r="K707" s="206"/>
      <c r="L707" s="206"/>
      <c r="M707" s="288"/>
      <c r="N707" s="288"/>
      <c r="O707" s="289"/>
      <c r="P707" s="289"/>
      <c r="Q707" s="289"/>
      <c r="R707" s="206"/>
      <c r="S707" s="206"/>
      <c r="T707" s="288"/>
      <c r="U707" s="206"/>
      <c r="V707" s="206"/>
      <c r="W707" s="288"/>
      <c r="X707" s="209"/>
      <c r="Y707" s="209"/>
      <c r="Z707" s="209"/>
    </row>
    <row r="708" spans="1:26" ht="12.75" x14ac:dyDescent="0.2">
      <c r="A708" s="206"/>
      <c r="B708" s="206"/>
      <c r="C708" s="206"/>
      <c r="D708" s="206"/>
      <c r="E708" s="206"/>
      <c r="F708" s="206"/>
      <c r="G708" s="206"/>
      <c r="H708" s="206"/>
      <c r="I708" s="206"/>
      <c r="J708" s="206"/>
      <c r="K708" s="206"/>
      <c r="L708" s="206"/>
      <c r="M708" s="288"/>
      <c r="N708" s="288"/>
      <c r="O708" s="289"/>
      <c r="P708" s="289"/>
      <c r="Q708" s="289"/>
      <c r="R708" s="206"/>
      <c r="S708" s="206"/>
      <c r="T708" s="288"/>
      <c r="U708" s="206"/>
      <c r="V708" s="206"/>
      <c r="W708" s="288"/>
      <c r="X708" s="209"/>
      <c r="Y708" s="209"/>
      <c r="Z708" s="209"/>
    </row>
    <row r="709" spans="1:26" ht="12.75" x14ac:dyDescent="0.2">
      <c r="A709" s="206"/>
      <c r="B709" s="206"/>
      <c r="C709" s="206"/>
      <c r="D709" s="206"/>
      <c r="E709" s="206"/>
      <c r="F709" s="206"/>
      <c r="G709" s="206"/>
      <c r="H709" s="206"/>
      <c r="I709" s="206"/>
      <c r="J709" s="206"/>
      <c r="K709" s="206"/>
      <c r="L709" s="206"/>
      <c r="M709" s="288"/>
      <c r="N709" s="288"/>
      <c r="O709" s="289"/>
      <c r="P709" s="289"/>
      <c r="Q709" s="289"/>
      <c r="R709" s="206"/>
      <c r="S709" s="206"/>
      <c r="T709" s="288"/>
      <c r="U709" s="206"/>
      <c r="V709" s="206"/>
      <c r="W709" s="288"/>
      <c r="X709" s="209"/>
      <c r="Y709" s="209"/>
      <c r="Z709" s="209"/>
    </row>
    <row r="710" spans="1:26" ht="12.75" x14ac:dyDescent="0.2">
      <c r="A710" s="206"/>
      <c r="B710" s="206"/>
      <c r="C710" s="206"/>
      <c r="D710" s="206"/>
      <c r="E710" s="206"/>
      <c r="F710" s="206"/>
      <c r="G710" s="206"/>
      <c r="H710" s="206"/>
      <c r="I710" s="206"/>
      <c r="J710" s="206"/>
      <c r="K710" s="206"/>
      <c r="L710" s="206"/>
      <c r="M710" s="288"/>
      <c r="N710" s="288"/>
      <c r="O710" s="289"/>
      <c r="P710" s="289"/>
      <c r="Q710" s="289"/>
      <c r="R710" s="206"/>
      <c r="S710" s="206"/>
      <c r="T710" s="288"/>
      <c r="U710" s="206"/>
      <c r="V710" s="206"/>
      <c r="W710" s="288"/>
      <c r="X710" s="209"/>
      <c r="Y710" s="209"/>
      <c r="Z710" s="209"/>
    </row>
    <row r="711" spans="1:26" ht="12.75" x14ac:dyDescent="0.2">
      <c r="A711" s="206"/>
      <c r="B711" s="206"/>
      <c r="C711" s="206"/>
      <c r="D711" s="206"/>
      <c r="E711" s="206"/>
      <c r="F711" s="206"/>
      <c r="G711" s="206"/>
      <c r="H711" s="206"/>
      <c r="I711" s="206"/>
      <c r="J711" s="206"/>
      <c r="K711" s="206"/>
      <c r="L711" s="206"/>
      <c r="M711" s="288"/>
      <c r="N711" s="288"/>
      <c r="O711" s="289"/>
      <c r="P711" s="289"/>
      <c r="Q711" s="289"/>
      <c r="R711" s="206"/>
      <c r="S711" s="206"/>
      <c r="T711" s="288"/>
      <c r="U711" s="206"/>
      <c r="V711" s="206"/>
      <c r="W711" s="288"/>
      <c r="X711" s="209"/>
      <c r="Y711" s="209"/>
      <c r="Z711" s="209"/>
    </row>
    <row r="712" spans="1:26" ht="12.75" x14ac:dyDescent="0.2">
      <c r="A712" s="206"/>
      <c r="B712" s="206"/>
      <c r="C712" s="206"/>
      <c r="D712" s="206"/>
      <c r="E712" s="206"/>
      <c r="F712" s="206"/>
      <c r="G712" s="206"/>
      <c r="H712" s="206"/>
      <c r="I712" s="206"/>
      <c r="J712" s="206"/>
      <c r="K712" s="206"/>
      <c r="L712" s="206"/>
      <c r="M712" s="288"/>
      <c r="N712" s="288"/>
      <c r="O712" s="289"/>
      <c r="P712" s="289"/>
      <c r="Q712" s="289"/>
      <c r="R712" s="206"/>
      <c r="S712" s="206"/>
      <c r="T712" s="288"/>
      <c r="U712" s="206"/>
      <c r="V712" s="206"/>
      <c r="W712" s="288"/>
      <c r="X712" s="209"/>
      <c r="Y712" s="209"/>
      <c r="Z712" s="209"/>
    </row>
    <row r="713" spans="1:26" ht="12.75" x14ac:dyDescent="0.2">
      <c r="A713" s="206"/>
      <c r="B713" s="206"/>
      <c r="C713" s="206"/>
      <c r="D713" s="206"/>
      <c r="E713" s="206"/>
      <c r="F713" s="206"/>
      <c r="G713" s="206"/>
      <c r="H713" s="206"/>
      <c r="I713" s="206"/>
      <c r="J713" s="206"/>
      <c r="K713" s="206"/>
      <c r="L713" s="206"/>
      <c r="M713" s="288"/>
      <c r="N713" s="288"/>
      <c r="O713" s="289"/>
      <c r="P713" s="289"/>
      <c r="Q713" s="289"/>
      <c r="R713" s="206"/>
      <c r="S713" s="206"/>
      <c r="T713" s="288"/>
      <c r="U713" s="206"/>
      <c r="V713" s="206"/>
      <c r="W713" s="288"/>
      <c r="X713" s="209"/>
      <c r="Y713" s="209"/>
      <c r="Z713" s="209"/>
    </row>
    <row r="714" spans="1:26" ht="12.75" x14ac:dyDescent="0.2">
      <c r="A714" s="206"/>
      <c r="B714" s="206"/>
      <c r="C714" s="206"/>
      <c r="D714" s="206"/>
      <c r="E714" s="206"/>
      <c r="F714" s="206"/>
      <c r="G714" s="206"/>
      <c r="H714" s="206"/>
      <c r="I714" s="206"/>
      <c r="J714" s="206"/>
      <c r="K714" s="206"/>
      <c r="L714" s="206"/>
      <c r="M714" s="288"/>
      <c r="N714" s="288"/>
      <c r="O714" s="289"/>
      <c r="P714" s="289"/>
      <c r="Q714" s="289"/>
      <c r="R714" s="206"/>
      <c r="S714" s="206"/>
      <c r="T714" s="288"/>
      <c r="U714" s="206"/>
      <c r="V714" s="206"/>
      <c r="W714" s="288"/>
      <c r="X714" s="209"/>
      <c r="Y714" s="209"/>
      <c r="Z714" s="209"/>
    </row>
    <row r="715" spans="1:26" ht="12.75" x14ac:dyDescent="0.2">
      <c r="A715" s="206"/>
      <c r="B715" s="206"/>
      <c r="C715" s="206"/>
      <c r="D715" s="206"/>
      <c r="E715" s="206"/>
      <c r="F715" s="206"/>
      <c r="G715" s="206"/>
      <c r="H715" s="206"/>
      <c r="I715" s="206"/>
      <c r="J715" s="206"/>
      <c r="K715" s="206"/>
      <c r="L715" s="206"/>
      <c r="M715" s="288"/>
      <c r="N715" s="288"/>
      <c r="O715" s="289"/>
      <c r="P715" s="289"/>
      <c r="Q715" s="289"/>
      <c r="R715" s="206"/>
      <c r="S715" s="206"/>
      <c r="T715" s="288"/>
      <c r="U715" s="206"/>
      <c r="V715" s="206"/>
      <c r="W715" s="288"/>
      <c r="X715" s="209"/>
      <c r="Y715" s="209"/>
      <c r="Z715" s="209"/>
    </row>
    <row r="716" spans="1:26" ht="12.75" x14ac:dyDescent="0.2">
      <c r="A716" s="206"/>
      <c r="B716" s="206"/>
      <c r="C716" s="206"/>
      <c r="D716" s="206"/>
      <c r="E716" s="206"/>
      <c r="F716" s="206"/>
      <c r="G716" s="206"/>
      <c r="H716" s="206"/>
      <c r="I716" s="206"/>
      <c r="J716" s="206"/>
      <c r="K716" s="206"/>
      <c r="L716" s="206"/>
      <c r="M716" s="288"/>
      <c r="N716" s="288"/>
      <c r="O716" s="289"/>
      <c r="P716" s="289"/>
      <c r="Q716" s="289"/>
      <c r="R716" s="206"/>
      <c r="S716" s="206"/>
      <c r="T716" s="288"/>
      <c r="U716" s="206"/>
      <c r="V716" s="206"/>
      <c r="W716" s="288"/>
      <c r="X716" s="209"/>
      <c r="Y716" s="209"/>
      <c r="Z716" s="209"/>
    </row>
    <row r="717" spans="1:26" ht="12.75" x14ac:dyDescent="0.2">
      <c r="A717" s="206"/>
      <c r="B717" s="206"/>
      <c r="C717" s="206"/>
      <c r="D717" s="206"/>
      <c r="E717" s="206"/>
      <c r="F717" s="206"/>
      <c r="G717" s="206"/>
      <c r="H717" s="206"/>
      <c r="I717" s="206"/>
      <c r="J717" s="206"/>
      <c r="K717" s="206"/>
      <c r="L717" s="206"/>
      <c r="M717" s="288"/>
      <c r="N717" s="288"/>
      <c r="O717" s="289"/>
      <c r="P717" s="289"/>
      <c r="Q717" s="289"/>
      <c r="R717" s="206"/>
      <c r="S717" s="206"/>
      <c r="T717" s="288"/>
      <c r="U717" s="206"/>
      <c r="V717" s="206"/>
      <c r="W717" s="288"/>
      <c r="X717" s="209"/>
      <c r="Y717" s="209"/>
      <c r="Z717" s="209"/>
    </row>
    <row r="718" spans="1:26" ht="12.75" x14ac:dyDescent="0.2">
      <c r="A718" s="206"/>
      <c r="B718" s="206"/>
      <c r="C718" s="206"/>
      <c r="D718" s="206"/>
      <c r="E718" s="206"/>
      <c r="F718" s="206"/>
      <c r="G718" s="206"/>
      <c r="H718" s="206"/>
      <c r="I718" s="206"/>
      <c r="J718" s="206"/>
      <c r="K718" s="206"/>
      <c r="L718" s="206"/>
      <c r="M718" s="288"/>
      <c r="N718" s="288"/>
      <c r="O718" s="289"/>
      <c r="P718" s="289"/>
      <c r="Q718" s="289"/>
      <c r="R718" s="206"/>
      <c r="S718" s="206"/>
      <c r="T718" s="288"/>
      <c r="U718" s="206"/>
      <c r="V718" s="206"/>
      <c r="W718" s="288"/>
      <c r="X718" s="209"/>
      <c r="Y718" s="209"/>
      <c r="Z718" s="209"/>
    </row>
    <row r="719" spans="1:26" ht="12.75" x14ac:dyDescent="0.2">
      <c r="A719" s="206"/>
      <c r="B719" s="206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88"/>
      <c r="N719" s="288"/>
      <c r="O719" s="289"/>
      <c r="P719" s="289"/>
      <c r="Q719" s="289"/>
      <c r="R719" s="206"/>
      <c r="S719" s="206"/>
      <c r="T719" s="288"/>
      <c r="U719" s="206"/>
      <c r="V719" s="206"/>
      <c r="W719" s="288"/>
      <c r="X719" s="209"/>
      <c r="Y719" s="209"/>
      <c r="Z719" s="209"/>
    </row>
    <row r="720" spans="1:26" ht="12.75" x14ac:dyDescent="0.2">
      <c r="A720" s="206"/>
      <c r="B720" s="206"/>
      <c r="C720" s="206"/>
      <c r="D720" s="206"/>
      <c r="E720" s="206"/>
      <c r="F720" s="206"/>
      <c r="G720" s="206"/>
      <c r="H720" s="206"/>
      <c r="I720" s="206"/>
      <c r="J720" s="206"/>
      <c r="K720" s="206"/>
      <c r="L720" s="206"/>
      <c r="M720" s="288"/>
      <c r="N720" s="288"/>
      <c r="O720" s="289"/>
      <c r="P720" s="289"/>
      <c r="Q720" s="289"/>
      <c r="R720" s="206"/>
      <c r="S720" s="206"/>
      <c r="T720" s="288"/>
      <c r="U720" s="206"/>
      <c r="V720" s="206"/>
      <c r="W720" s="288"/>
      <c r="X720" s="209"/>
      <c r="Y720" s="209"/>
      <c r="Z720" s="209"/>
    </row>
    <row r="721" spans="1:26" ht="12.75" x14ac:dyDescent="0.2">
      <c r="A721" s="206"/>
      <c r="B721" s="206"/>
      <c r="C721" s="206"/>
      <c r="D721" s="206"/>
      <c r="E721" s="206"/>
      <c r="F721" s="206"/>
      <c r="G721" s="206"/>
      <c r="H721" s="206"/>
      <c r="I721" s="206"/>
      <c r="J721" s="206"/>
      <c r="K721" s="206"/>
      <c r="L721" s="206"/>
      <c r="M721" s="288"/>
      <c r="N721" s="288"/>
      <c r="O721" s="289"/>
      <c r="P721" s="289"/>
      <c r="Q721" s="289"/>
      <c r="R721" s="206"/>
      <c r="S721" s="206"/>
      <c r="T721" s="288"/>
      <c r="U721" s="206"/>
      <c r="V721" s="206"/>
      <c r="W721" s="288"/>
      <c r="X721" s="209"/>
      <c r="Y721" s="209"/>
      <c r="Z721" s="209"/>
    </row>
    <row r="722" spans="1:26" ht="12.75" x14ac:dyDescent="0.2">
      <c r="A722" s="206"/>
      <c r="B722" s="206"/>
      <c r="C722" s="206"/>
      <c r="D722" s="206"/>
      <c r="E722" s="206"/>
      <c r="F722" s="206"/>
      <c r="G722" s="206"/>
      <c r="H722" s="206"/>
      <c r="I722" s="206"/>
      <c r="J722" s="206"/>
      <c r="K722" s="206"/>
      <c r="L722" s="206"/>
      <c r="M722" s="288"/>
      <c r="N722" s="288"/>
      <c r="O722" s="289"/>
      <c r="P722" s="289"/>
      <c r="Q722" s="289"/>
      <c r="R722" s="206"/>
      <c r="S722" s="206"/>
      <c r="T722" s="288"/>
      <c r="U722" s="206"/>
      <c r="V722" s="206"/>
      <c r="W722" s="288"/>
      <c r="X722" s="209"/>
      <c r="Y722" s="209"/>
      <c r="Z722" s="209"/>
    </row>
    <row r="723" spans="1:26" ht="12.75" x14ac:dyDescent="0.2">
      <c r="A723" s="206"/>
      <c r="B723" s="206"/>
      <c r="C723" s="206"/>
      <c r="D723" s="206"/>
      <c r="E723" s="206"/>
      <c r="F723" s="206"/>
      <c r="G723" s="206"/>
      <c r="H723" s="206"/>
      <c r="I723" s="206"/>
      <c r="J723" s="206"/>
      <c r="K723" s="206"/>
      <c r="L723" s="206"/>
      <c r="M723" s="288"/>
      <c r="N723" s="288"/>
      <c r="O723" s="289"/>
      <c r="P723" s="289"/>
      <c r="Q723" s="289"/>
      <c r="R723" s="206"/>
      <c r="S723" s="206"/>
      <c r="T723" s="288"/>
      <c r="U723" s="206"/>
      <c r="V723" s="206"/>
      <c r="W723" s="288"/>
      <c r="X723" s="209"/>
      <c r="Y723" s="209"/>
      <c r="Z723" s="209"/>
    </row>
    <row r="724" spans="1:26" ht="12.75" x14ac:dyDescent="0.2">
      <c r="A724" s="206"/>
      <c r="B724" s="206"/>
      <c r="C724" s="206"/>
      <c r="D724" s="206"/>
      <c r="E724" s="206"/>
      <c r="F724" s="206"/>
      <c r="G724" s="206"/>
      <c r="H724" s="206"/>
      <c r="I724" s="206"/>
      <c r="J724" s="206"/>
      <c r="K724" s="206"/>
      <c r="L724" s="206"/>
      <c r="M724" s="288"/>
      <c r="N724" s="288"/>
      <c r="O724" s="289"/>
      <c r="P724" s="289"/>
      <c r="Q724" s="289"/>
      <c r="R724" s="206"/>
      <c r="S724" s="206"/>
      <c r="T724" s="288"/>
      <c r="U724" s="206"/>
      <c r="V724" s="206"/>
      <c r="W724" s="288"/>
      <c r="X724" s="209"/>
      <c r="Y724" s="209"/>
      <c r="Z724" s="209"/>
    </row>
    <row r="725" spans="1:26" ht="12.75" x14ac:dyDescent="0.2">
      <c r="A725" s="206"/>
      <c r="B725" s="206"/>
      <c r="C725" s="206"/>
      <c r="D725" s="206"/>
      <c r="E725" s="206"/>
      <c r="F725" s="206"/>
      <c r="G725" s="206"/>
      <c r="H725" s="206"/>
      <c r="I725" s="206"/>
      <c r="J725" s="206"/>
      <c r="K725" s="206"/>
      <c r="L725" s="206"/>
      <c r="M725" s="288"/>
      <c r="N725" s="288"/>
      <c r="O725" s="289"/>
      <c r="P725" s="289"/>
      <c r="Q725" s="289"/>
      <c r="R725" s="206"/>
      <c r="S725" s="206"/>
      <c r="T725" s="288"/>
      <c r="U725" s="206"/>
      <c r="V725" s="206"/>
      <c r="W725" s="288"/>
      <c r="X725" s="209"/>
      <c r="Y725" s="209"/>
      <c r="Z725" s="209"/>
    </row>
    <row r="726" spans="1:26" ht="12.75" x14ac:dyDescent="0.2">
      <c r="A726" s="206"/>
      <c r="B726" s="206"/>
      <c r="C726" s="206"/>
      <c r="D726" s="206"/>
      <c r="E726" s="206"/>
      <c r="F726" s="206"/>
      <c r="G726" s="206"/>
      <c r="H726" s="206"/>
      <c r="I726" s="206"/>
      <c r="J726" s="206"/>
      <c r="K726" s="206"/>
      <c r="L726" s="206"/>
      <c r="M726" s="288"/>
      <c r="N726" s="288"/>
      <c r="O726" s="289"/>
      <c r="P726" s="289"/>
      <c r="Q726" s="289"/>
      <c r="R726" s="206"/>
      <c r="S726" s="206"/>
      <c r="T726" s="288"/>
      <c r="U726" s="206"/>
      <c r="V726" s="206"/>
      <c r="W726" s="288"/>
      <c r="X726" s="209"/>
      <c r="Y726" s="209"/>
      <c r="Z726" s="209"/>
    </row>
    <row r="727" spans="1:26" ht="12.75" x14ac:dyDescent="0.2">
      <c r="A727" s="206"/>
      <c r="B727" s="206"/>
      <c r="C727" s="206"/>
      <c r="D727" s="206"/>
      <c r="E727" s="206"/>
      <c r="F727" s="206"/>
      <c r="G727" s="206"/>
      <c r="H727" s="206"/>
      <c r="I727" s="206"/>
      <c r="J727" s="206"/>
      <c r="K727" s="206"/>
      <c r="L727" s="206"/>
      <c r="M727" s="288"/>
      <c r="N727" s="288"/>
      <c r="O727" s="289"/>
      <c r="P727" s="289"/>
      <c r="Q727" s="289"/>
      <c r="R727" s="206"/>
      <c r="S727" s="206"/>
      <c r="T727" s="288"/>
      <c r="U727" s="206"/>
      <c r="V727" s="206"/>
      <c r="W727" s="288"/>
      <c r="X727" s="209"/>
      <c r="Y727" s="209"/>
      <c r="Z727" s="209"/>
    </row>
    <row r="728" spans="1:26" ht="12.75" x14ac:dyDescent="0.2">
      <c r="A728" s="206"/>
      <c r="B728" s="206"/>
      <c r="C728" s="206"/>
      <c r="D728" s="206"/>
      <c r="E728" s="206"/>
      <c r="F728" s="206"/>
      <c r="G728" s="206"/>
      <c r="H728" s="206"/>
      <c r="I728" s="206"/>
      <c r="J728" s="206"/>
      <c r="K728" s="206"/>
      <c r="L728" s="206"/>
      <c r="M728" s="288"/>
      <c r="N728" s="288"/>
      <c r="O728" s="289"/>
      <c r="P728" s="289"/>
      <c r="Q728" s="289"/>
      <c r="R728" s="206"/>
      <c r="S728" s="206"/>
      <c r="T728" s="288"/>
      <c r="U728" s="206"/>
      <c r="V728" s="206"/>
      <c r="W728" s="288"/>
      <c r="X728" s="209"/>
      <c r="Y728" s="209"/>
      <c r="Z728" s="209"/>
    </row>
    <row r="729" spans="1:26" ht="12.75" x14ac:dyDescent="0.2">
      <c r="A729" s="206"/>
      <c r="B729" s="206"/>
      <c r="C729" s="206"/>
      <c r="D729" s="206"/>
      <c r="E729" s="206"/>
      <c r="F729" s="206"/>
      <c r="G729" s="206"/>
      <c r="H729" s="206"/>
      <c r="I729" s="206"/>
      <c r="J729" s="206"/>
      <c r="K729" s="206"/>
      <c r="L729" s="206"/>
      <c r="M729" s="288"/>
      <c r="N729" s="288"/>
      <c r="O729" s="289"/>
      <c r="P729" s="289"/>
      <c r="Q729" s="289"/>
      <c r="R729" s="206"/>
      <c r="S729" s="206"/>
      <c r="T729" s="288"/>
      <c r="U729" s="206"/>
      <c r="V729" s="206"/>
      <c r="W729" s="288"/>
      <c r="X729" s="209"/>
      <c r="Y729" s="209"/>
      <c r="Z729" s="209"/>
    </row>
    <row r="730" spans="1:26" ht="12.75" x14ac:dyDescent="0.2">
      <c r="A730" s="206"/>
      <c r="B730" s="206"/>
      <c r="C730" s="206"/>
      <c r="D730" s="206"/>
      <c r="E730" s="206"/>
      <c r="F730" s="206"/>
      <c r="G730" s="206"/>
      <c r="H730" s="206"/>
      <c r="I730" s="206"/>
      <c r="J730" s="206"/>
      <c r="K730" s="206"/>
      <c r="L730" s="206"/>
      <c r="M730" s="288"/>
      <c r="N730" s="288"/>
      <c r="O730" s="289"/>
      <c r="P730" s="289"/>
      <c r="Q730" s="289"/>
      <c r="R730" s="206"/>
      <c r="S730" s="206"/>
      <c r="T730" s="288"/>
      <c r="U730" s="206"/>
      <c r="V730" s="206"/>
      <c r="W730" s="288"/>
      <c r="X730" s="209"/>
      <c r="Y730" s="209"/>
      <c r="Z730" s="209"/>
    </row>
    <row r="731" spans="1:26" ht="12.75" x14ac:dyDescent="0.2">
      <c r="A731" s="206"/>
      <c r="B731" s="206"/>
      <c r="C731" s="206"/>
      <c r="D731" s="206"/>
      <c r="E731" s="206"/>
      <c r="F731" s="206"/>
      <c r="G731" s="206"/>
      <c r="H731" s="206"/>
      <c r="I731" s="206"/>
      <c r="J731" s="206"/>
      <c r="K731" s="206"/>
      <c r="L731" s="206"/>
      <c r="M731" s="288"/>
      <c r="N731" s="288"/>
      <c r="O731" s="289"/>
      <c r="P731" s="289"/>
      <c r="Q731" s="289"/>
      <c r="R731" s="206"/>
      <c r="S731" s="206"/>
      <c r="T731" s="288"/>
      <c r="U731" s="206"/>
      <c r="V731" s="206"/>
      <c r="W731" s="288"/>
      <c r="X731" s="209"/>
      <c r="Y731" s="209"/>
      <c r="Z731" s="209"/>
    </row>
    <row r="732" spans="1:26" ht="12.75" x14ac:dyDescent="0.2">
      <c r="A732" s="206"/>
      <c r="B732" s="206"/>
      <c r="C732" s="206"/>
      <c r="D732" s="206"/>
      <c r="E732" s="206"/>
      <c r="F732" s="206"/>
      <c r="G732" s="206"/>
      <c r="H732" s="206"/>
      <c r="I732" s="206"/>
      <c r="J732" s="206"/>
      <c r="K732" s="206"/>
      <c r="L732" s="206"/>
      <c r="M732" s="288"/>
      <c r="N732" s="288"/>
      <c r="O732" s="289"/>
      <c r="P732" s="289"/>
      <c r="Q732" s="289"/>
      <c r="R732" s="206"/>
      <c r="S732" s="206"/>
      <c r="T732" s="288"/>
      <c r="U732" s="206"/>
      <c r="V732" s="206"/>
      <c r="W732" s="288"/>
      <c r="X732" s="209"/>
      <c r="Y732" s="209"/>
      <c r="Z732" s="209"/>
    </row>
    <row r="733" spans="1:26" ht="12.75" x14ac:dyDescent="0.2">
      <c r="A733" s="206"/>
      <c r="B733" s="206"/>
      <c r="C733" s="206"/>
      <c r="D733" s="206"/>
      <c r="E733" s="206"/>
      <c r="F733" s="206"/>
      <c r="G733" s="206"/>
      <c r="H733" s="206"/>
      <c r="I733" s="206"/>
      <c r="J733" s="206"/>
      <c r="K733" s="206"/>
      <c r="L733" s="206"/>
      <c r="M733" s="288"/>
      <c r="N733" s="288"/>
      <c r="O733" s="289"/>
      <c r="P733" s="289"/>
      <c r="Q733" s="289"/>
      <c r="R733" s="206"/>
      <c r="S733" s="206"/>
      <c r="T733" s="288"/>
      <c r="U733" s="206"/>
      <c r="V733" s="206"/>
      <c r="W733" s="288"/>
      <c r="X733" s="209"/>
      <c r="Y733" s="209"/>
      <c r="Z733" s="209"/>
    </row>
    <row r="734" spans="1:26" ht="12.75" x14ac:dyDescent="0.2">
      <c r="A734" s="206"/>
      <c r="B734" s="206"/>
      <c r="C734" s="206"/>
      <c r="D734" s="206"/>
      <c r="E734" s="206"/>
      <c r="F734" s="206"/>
      <c r="G734" s="206"/>
      <c r="H734" s="206"/>
      <c r="I734" s="206"/>
      <c r="J734" s="206"/>
      <c r="K734" s="206"/>
      <c r="L734" s="206"/>
      <c r="M734" s="288"/>
      <c r="N734" s="288"/>
      <c r="O734" s="289"/>
      <c r="P734" s="289"/>
      <c r="Q734" s="289"/>
      <c r="R734" s="206"/>
      <c r="S734" s="206"/>
      <c r="T734" s="288"/>
      <c r="U734" s="206"/>
      <c r="V734" s="206"/>
      <c r="W734" s="288"/>
      <c r="X734" s="209"/>
      <c r="Y734" s="209"/>
      <c r="Z734" s="209"/>
    </row>
    <row r="735" spans="1:26" ht="12.75" x14ac:dyDescent="0.2">
      <c r="A735" s="206"/>
      <c r="B735" s="206"/>
      <c r="C735" s="206"/>
      <c r="D735" s="206"/>
      <c r="E735" s="206"/>
      <c r="F735" s="206"/>
      <c r="G735" s="206"/>
      <c r="H735" s="206"/>
      <c r="I735" s="206"/>
      <c r="J735" s="206"/>
      <c r="K735" s="206"/>
      <c r="L735" s="206"/>
      <c r="M735" s="288"/>
      <c r="N735" s="288"/>
      <c r="O735" s="289"/>
      <c r="P735" s="289"/>
      <c r="Q735" s="289"/>
      <c r="R735" s="206"/>
      <c r="S735" s="206"/>
      <c r="T735" s="288"/>
      <c r="U735" s="206"/>
      <c r="V735" s="206"/>
      <c r="W735" s="288"/>
      <c r="X735" s="209"/>
      <c r="Y735" s="209"/>
      <c r="Z735" s="209"/>
    </row>
    <row r="736" spans="1:26" ht="12.75" x14ac:dyDescent="0.2">
      <c r="A736" s="206"/>
      <c r="B736" s="206"/>
      <c r="C736" s="206"/>
      <c r="D736" s="206"/>
      <c r="E736" s="206"/>
      <c r="F736" s="206"/>
      <c r="G736" s="206"/>
      <c r="H736" s="206"/>
      <c r="I736" s="206"/>
      <c r="J736" s="206"/>
      <c r="K736" s="206"/>
      <c r="L736" s="206"/>
      <c r="M736" s="288"/>
      <c r="N736" s="288"/>
      <c r="O736" s="289"/>
      <c r="P736" s="289"/>
      <c r="Q736" s="289"/>
      <c r="R736" s="206"/>
      <c r="S736" s="206"/>
      <c r="T736" s="288"/>
      <c r="U736" s="206"/>
      <c r="V736" s="206"/>
      <c r="W736" s="288"/>
      <c r="X736" s="209"/>
      <c r="Y736" s="209"/>
      <c r="Z736" s="209"/>
    </row>
    <row r="737" spans="1:26" ht="12.75" x14ac:dyDescent="0.2">
      <c r="A737" s="206"/>
      <c r="B737" s="206"/>
      <c r="C737" s="206"/>
      <c r="D737" s="206"/>
      <c r="E737" s="206"/>
      <c r="F737" s="206"/>
      <c r="G737" s="206"/>
      <c r="H737" s="206"/>
      <c r="I737" s="206"/>
      <c r="J737" s="206"/>
      <c r="K737" s="206"/>
      <c r="L737" s="206"/>
      <c r="M737" s="288"/>
      <c r="N737" s="288"/>
      <c r="O737" s="289"/>
      <c r="P737" s="289"/>
      <c r="Q737" s="289"/>
      <c r="R737" s="206"/>
      <c r="S737" s="206"/>
      <c r="T737" s="288"/>
      <c r="U737" s="206"/>
      <c r="V737" s="206"/>
      <c r="W737" s="288"/>
      <c r="X737" s="209"/>
      <c r="Y737" s="209"/>
      <c r="Z737" s="209"/>
    </row>
    <row r="738" spans="1:26" ht="12.75" x14ac:dyDescent="0.2">
      <c r="A738" s="206"/>
      <c r="B738" s="206"/>
      <c r="C738" s="206"/>
      <c r="D738" s="206"/>
      <c r="E738" s="206"/>
      <c r="F738" s="206"/>
      <c r="G738" s="206"/>
      <c r="H738" s="206"/>
      <c r="I738" s="206"/>
      <c r="J738" s="206"/>
      <c r="K738" s="206"/>
      <c r="L738" s="206"/>
      <c r="M738" s="288"/>
      <c r="N738" s="288"/>
      <c r="O738" s="289"/>
      <c r="P738" s="289"/>
      <c r="Q738" s="289"/>
      <c r="R738" s="206"/>
      <c r="S738" s="206"/>
      <c r="T738" s="288"/>
      <c r="U738" s="206"/>
      <c r="V738" s="206"/>
      <c r="W738" s="288"/>
      <c r="X738" s="209"/>
      <c r="Y738" s="209"/>
      <c r="Z738" s="209"/>
    </row>
    <row r="739" spans="1:26" ht="12.75" x14ac:dyDescent="0.2">
      <c r="A739" s="206"/>
      <c r="B739" s="206"/>
      <c r="C739" s="206"/>
      <c r="D739" s="206"/>
      <c r="E739" s="206"/>
      <c r="F739" s="206"/>
      <c r="G739" s="206"/>
      <c r="H739" s="206"/>
      <c r="I739" s="206"/>
      <c r="J739" s="206"/>
      <c r="K739" s="206"/>
      <c r="L739" s="206"/>
      <c r="M739" s="288"/>
      <c r="N739" s="288"/>
      <c r="O739" s="289"/>
      <c r="P739" s="289"/>
      <c r="Q739" s="289"/>
      <c r="R739" s="206"/>
      <c r="S739" s="206"/>
      <c r="T739" s="288"/>
      <c r="U739" s="206"/>
      <c r="V739" s="206"/>
      <c r="W739" s="288"/>
      <c r="X739" s="209"/>
      <c r="Y739" s="209"/>
      <c r="Z739" s="209"/>
    </row>
    <row r="740" spans="1:26" ht="12.75" x14ac:dyDescent="0.2">
      <c r="A740" s="206"/>
      <c r="B740" s="206"/>
      <c r="C740" s="206"/>
      <c r="D740" s="206"/>
      <c r="E740" s="206"/>
      <c r="F740" s="206"/>
      <c r="G740" s="206"/>
      <c r="H740" s="206"/>
      <c r="I740" s="206"/>
      <c r="J740" s="206"/>
      <c r="K740" s="206"/>
      <c r="L740" s="206"/>
      <c r="M740" s="288"/>
      <c r="N740" s="288"/>
      <c r="O740" s="289"/>
      <c r="P740" s="289"/>
      <c r="Q740" s="289"/>
      <c r="R740" s="206"/>
      <c r="S740" s="206"/>
      <c r="T740" s="288"/>
      <c r="U740" s="206"/>
      <c r="V740" s="206"/>
      <c r="W740" s="288"/>
      <c r="X740" s="209"/>
      <c r="Y740" s="209"/>
      <c r="Z740" s="209"/>
    </row>
    <row r="741" spans="1:26" ht="12.75" x14ac:dyDescent="0.2">
      <c r="A741" s="206"/>
      <c r="B741" s="206"/>
      <c r="C741" s="206"/>
      <c r="D741" s="206"/>
      <c r="E741" s="206"/>
      <c r="F741" s="206"/>
      <c r="G741" s="206"/>
      <c r="H741" s="206"/>
      <c r="I741" s="206"/>
      <c r="J741" s="206"/>
      <c r="K741" s="206"/>
      <c r="L741" s="206"/>
      <c r="M741" s="288"/>
      <c r="N741" s="288"/>
      <c r="O741" s="289"/>
      <c r="P741" s="289"/>
      <c r="Q741" s="289"/>
      <c r="R741" s="206"/>
      <c r="S741" s="206"/>
      <c r="T741" s="288"/>
      <c r="U741" s="206"/>
      <c r="V741" s="206"/>
      <c r="W741" s="288"/>
      <c r="X741" s="209"/>
      <c r="Y741" s="209"/>
      <c r="Z741" s="209"/>
    </row>
    <row r="742" spans="1:26" ht="12.75" x14ac:dyDescent="0.2">
      <c r="A742" s="206"/>
      <c r="B742" s="206"/>
      <c r="C742" s="206"/>
      <c r="D742" s="206"/>
      <c r="E742" s="206"/>
      <c r="F742" s="206"/>
      <c r="G742" s="206"/>
      <c r="H742" s="206"/>
      <c r="I742" s="206"/>
      <c r="J742" s="206"/>
      <c r="K742" s="206"/>
      <c r="L742" s="206"/>
      <c r="M742" s="288"/>
      <c r="N742" s="288"/>
      <c r="O742" s="289"/>
      <c r="P742" s="289"/>
      <c r="Q742" s="289"/>
      <c r="R742" s="206"/>
      <c r="S742" s="206"/>
      <c r="T742" s="288"/>
      <c r="U742" s="206"/>
      <c r="V742" s="206"/>
      <c r="W742" s="288"/>
      <c r="X742" s="209"/>
      <c r="Y742" s="209"/>
      <c r="Z742" s="209"/>
    </row>
    <row r="743" spans="1:26" ht="12.75" x14ac:dyDescent="0.2">
      <c r="A743" s="206"/>
      <c r="B743" s="206"/>
      <c r="C743" s="206"/>
      <c r="D743" s="206"/>
      <c r="E743" s="206"/>
      <c r="F743" s="206"/>
      <c r="G743" s="206"/>
      <c r="H743" s="206"/>
      <c r="I743" s="206"/>
      <c r="J743" s="206"/>
      <c r="K743" s="206"/>
      <c r="L743" s="206"/>
      <c r="M743" s="288"/>
      <c r="N743" s="288"/>
      <c r="O743" s="289"/>
      <c r="P743" s="289"/>
      <c r="Q743" s="289"/>
      <c r="R743" s="206"/>
      <c r="S743" s="206"/>
      <c r="T743" s="288"/>
      <c r="U743" s="206"/>
      <c r="V743" s="206"/>
      <c r="W743" s="288"/>
      <c r="X743" s="209"/>
      <c r="Y743" s="209"/>
      <c r="Z743" s="209"/>
    </row>
    <row r="744" spans="1:26" ht="12.75" x14ac:dyDescent="0.2">
      <c r="A744" s="206"/>
      <c r="B744" s="206"/>
      <c r="C744" s="206"/>
      <c r="D744" s="206"/>
      <c r="E744" s="206"/>
      <c r="F744" s="206"/>
      <c r="G744" s="206"/>
      <c r="H744" s="206"/>
      <c r="I744" s="206"/>
      <c r="J744" s="206"/>
      <c r="K744" s="206"/>
      <c r="L744" s="206"/>
      <c r="M744" s="288"/>
      <c r="N744" s="288"/>
      <c r="O744" s="289"/>
      <c r="P744" s="289"/>
      <c r="Q744" s="289"/>
      <c r="R744" s="206"/>
      <c r="S744" s="206"/>
      <c r="T744" s="288"/>
      <c r="U744" s="206"/>
      <c r="V744" s="206"/>
      <c r="W744" s="288"/>
      <c r="X744" s="209"/>
      <c r="Y744" s="209"/>
      <c r="Z744" s="209"/>
    </row>
    <row r="745" spans="1:26" ht="12.75" x14ac:dyDescent="0.2">
      <c r="A745" s="206"/>
      <c r="B745" s="206"/>
      <c r="C745" s="206"/>
      <c r="D745" s="206"/>
      <c r="E745" s="206"/>
      <c r="F745" s="206"/>
      <c r="G745" s="206"/>
      <c r="H745" s="206"/>
      <c r="I745" s="206"/>
      <c r="J745" s="206"/>
      <c r="K745" s="206"/>
      <c r="L745" s="206"/>
      <c r="M745" s="288"/>
      <c r="N745" s="288"/>
      <c r="O745" s="289"/>
      <c r="P745" s="289"/>
      <c r="Q745" s="289"/>
      <c r="R745" s="206"/>
      <c r="S745" s="206"/>
      <c r="T745" s="288"/>
      <c r="U745" s="206"/>
      <c r="V745" s="206"/>
      <c r="W745" s="288"/>
      <c r="X745" s="209"/>
      <c r="Y745" s="209"/>
      <c r="Z745" s="209"/>
    </row>
    <row r="746" spans="1:26" ht="12.75" x14ac:dyDescent="0.2">
      <c r="A746" s="206"/>
      <c r="B746" s="206"/>
      <c r="C746" s="206"/>
      <c r="D746" s="206"/>
      <c r="E746" s="206"/>
      <c r="F746" s="206"/>
      <c r="G746" s="206"/>
      <c r="H746" s="206"/>
      <c r="I746" s="206"/>
      <c r="J746" s="206"/>
      <c r="K746" s="206"/>
      <c r="L746" s="206"/>
      <c r="M746" s="288"/>
      <c r="N746" s="288"/>
      <c r="O746" s="289"/>
      <c r="P746" s="289"/>
      <c r="Q746" s="289"/>
      <c r="R746" s="206"/>
      <c r="S746" s="206"/>
      <c r="T746" s="288"/>
      <c r="U746" s="206"/>
      <c r="V746" s="206"/>
      <c r="W746" s="288"/>
      <c r="X746" s="209"/>
      <c r="Y746" s="209"/>
      <c r="Z746" s="209"/>
    </row>
    <row r="747" spans="1:26" ht="12.75" x14ac:dyDescent="0.2">
      <c r="A747" s="206"/>
      <c r="B747" s="206"/>
      <c r="C747" s="206"/>
      <c r="D747" s="206"/>
      <c r="E747" s="206"/>
      <c r="F747" s="206"/>
      <c r="G747" s="206"/>
      <c r="H747" s="206"/>
      <c r="I747" s="206"/>
      <c r="J747" s="206"/>
      <c r="K747" s="206"/>
      <c r="L747" s="206"/>
      <c r="M747" s="288"/>
      <c r="N747" s="288"/>
      <c r="O747" s="289"/>
      <c r="P747" s="289"/>
      <c r="Q747" s="289"/>
      <c r="R747" s="206"/>
      <c r="S747" s="206"/>
      <c r="T747" s="288"/>
      <c r="U747" s="206"/>
      <c r="V747" s="206"/>
      <c r="W747" s="288"/>
      <c r="X747" s="209"/>
      <c r="Y747" s="209"/>
      <c r="Z747" s="209"/>
    </row>
    <row r="748" spans="1:26" ht="12.75" x14ac:dyDescent="0.2">
      <c r="A748" s="206"/>
      <c r="B748" s="206"/>
      <c r="C748" s="206"/>
      <c r="D748" s="206"/>
      <c r="E748" s="206"/>
      <c r="F748" s="206"/>
      <c r="G748" s="206"/>
      <c r="H748" s="206"/>
      <c r="I748" s="206"/>
      <c r="J748" s="206"/>
      <c r="K748" s="206"/>
      <c r="L748" s="206"/>
      <c r="M748" s="288"/>
      <c r="N748" s="288"/>
      <c r="O748" s="289"/>
      <c r="P748" s="289"/>
      <c r="Q748" s="289"/>
      <c r="R748" s="206"/>
      <c r="S748" s="206"/>
      <c r="T748" s="288"/>
      <c r="U748" s="206"/>
      <c r="V748" s="206"/>
      <c r="W748" s="288"/>
      <c r="X748" s="209"/>
      <c r="Y748" s="209"/>
      <c r="Z748" s="209"/>
    </row>
    <row r="749" spans="1:26" ht="12.75" x14ac:dyDescent="0.2">
      <c r="A749" s="206"/>
      <c r="B749" s="206"/>
      <c r="C749" s="206"/>
      <c r="D749" s="206"/>
      <c r="E749" s="206"/>
      <c r="F749" s="206"/>
      <c r="G749" s="206"/>
      <c r="H749" s="206"/>
      <c r="I749" s="206"/>
      <c r="J749" s="206"/>
      <c r="K749" s="206"/>
      <c r="L749" s="206"/>
      <c r="M749" s="288"/>
      <c r="N749" s="288"/>
      <c r="O749" s="289"/>
      <c r="P749" s="289"/>
      <c r="Q749" s="289"/>
      <c r="R749" s="206"/>
      <c r="S749" s="206"/>
      <c r="T749" s="288"/>
      <c r="U749" s="206"/>
      <c r="V749" s="206"/>
      <c r="W749" s="288"/>
      <c r="X749" s="209"/>
      <c r="Y749" s="209"/>
      <c r="Z749" s="209"/>
    </row>
    <row r="750" spans="1:26" ht="12.75" x14ac:dyDescent="0.2">
      <c r="A750" s="206"/>
      <c r="B750" s="206"/>
      <c r="C750" s="206"/>
      <c r="D750" s="206"/>
      <c r="E750" s="206"/>
      <c r="F750" s="206"/>
      <c r="G750" s="206"/>
      <c r="H750" s="206"/>
      <c r="I750" s="206"/>
      <c r="J750" s="206"/>
      <c r="K750" s="206"/>
      <c r="L750" s="206"/>
      <c r="M750" s="288"/>
      <c r="N750" s="288"/>
      <c r="O750" s="289"/>
      <c r="P750" s="289"/>
      <c r="Q750" s="289"/>
      <c r="R750" s="206"/>
      <c r="S750" s="206"/>
      <c r="T750" s="288"/>
      <c r="U750" s="206"/>
      <c r="V750" s="206"/>
      <c r="W750" s="288"/>
      <c r="X750" s="209"/>
      <c r="Y750" s="209"/>
      <c r="Z750" s="209"/>
    </row>
    <row r="751" spans="1:26" ht="12.75" x14ac:dyDescent="0.2">
      <c r="A751" s="206"/>
      <c r="B751" s="206"/>
      <c r="C751" s="206"/>
      <c r="D751" s="206"/>
      <c r="E751" s="206"/>
      <c r="F751" s="206"/>
      <c r="G751" s="206"/>
      <c r="H751" s="206"/>
      <c r="I751" s="206"/>
      <c r="J751" s="206"/>
      <c r="K751" s="206"/>
      <c r="L751" s="206"/>
      <c r="M751" s="288"/>
      <c r="N751" s="288"/>
      <c r="O751" s="289"/>
      <c r="P751" s="289"/>
      <c r="Q751" s="289"/>
      <c r="R751" s="206"/>
      <c r="S751" s="206"/>
      <c r="T751" s="288"/>
      <c r="U751" s="206"/>
      <c r="V751" s="206"/>
      <c r="W751" s="288"/>
      <c r="X751" s="209"/>
      <c r="Y751" s="209"/>
      <c r="Z751" s="209"/>
    </row>
    <row r="752" spans="1:26" ht="12.75" x14ac:dyDescent="0.2">
      <c r="A752" s="206"/>
      <c r="B752" s="206"/>
      <c r="C752" s="206"/>
      <c r="D752" s="206"/>
      <c r="E752" s="206"/>
      <c r="F752" s="206"/>
      <c r="G752" s="206"/>
      <c r="H752" s="206"/>
      <c r="I752" s="206"/>
      <c r="J752" s="206"/>
      <c r="K752" s="206"/>
      <c r="L752" s="206"/>
      <c r="M752" s="288"/>
      <c r="N752" s="288"/>
      <c r="O752" s="289"/>
      <c r="P752" s="289"/>
      <c r="Q752" s="289"/>
      <c r="R752" s="206"/>
      <c r="S752" s="206"/>
      <c r="T752" s="288"/>
      <c r="U752" s="206"/>
      <c r="V752" s="206"/>
      <c r="W752" s="288"/>
      <c r="X752" s="209"/>
      <c r="Y752" s="209"/>
      <c r="Z752" s="209"/>
    </row>
    <row r="753" spans="1:26" ht="12.75" x14ac:dyDescent="0.2">
      <c r="A753" s="206"/>
      <c r="B753" s="206"/>
      <c r="C753" s="206"/>
      <c r="D753" s="206"/>
      <c r="E753" s="206"/>
      <c r="F753" s="206"/>
      <c r="G753" s="206"/>
      <c r="H753" s="206"/>
      <c r="I753" s="206"/>
      <c r="J753" s="206"/>
      <c r="K753" s="206"/>
      <c r="L753" s="206"/>
      <c r="M753" s="288"/>
      <c r="N753" s="288"/>
      <c r="O753" s="289"/>
      <c r="P753" s="289"/>
      <c r="Q753" s="289"/>
      <c r="R753" s="206"/>
      <c r="S753" s="206"/>
      <c r="T753" s="288"/>
      <c r="U753" s="206"/>
      <c r="V753" s="206"/>
      <c r="W753" s="288"/>
      <c r="X753" s="209"/>
      <c r="Y753" s="209"/>
      <c r="Z753" s="209"/>
    </row>
    <row r="754" spans="1:26" ht="12.75" x14ac:dyDescent="0.2">
      <c r="A754" s="206"/>
      <c r="B754" s="206"/>
      <c r="C754" s="206"/>
      <c r="D754" s="206"/>
      <c r="E754" s="206"/>
      <c r="F754" s="206"/>
      <c r="G754" s="206"/>
      <c r="H754" s="206"/>
      <c r="I754" s="206"/>
      <c r="J754" s="206"/>
      <c r="K754" s="206"/>
      <c r="L754" s="206"/>
      <c r="M754" s="288"/>
      <c r="N754" s="288"/>
      <c r="O754" s="289"/>
      <c r="P754" s="289"/>
      <c r="Q754" s="289"/>
      <c r="R754" s="206"/>
      <c r="S754" s="206"/>
      <c r="T754" s="288"/>
      <c r="U754" s="206"/>
      <c r="V754" s="206"/>
      <c r="W754" s="288"/>
      <c r="X754" s="209"/>
      <c r="Y754" s="209"/>
      <c r="Z754" s="209"/>
    </row>
    <row r="755" spans="1:26" ht="12.75" x14ac:dyDescent="0.2">
      <c r="A755" s="206"/>
      <c r="B755" s="206"/>
      <c r="C755" s="206"/>
      <c r="D755" s="206"/>
      <c r="E755" s="206"/>
      <c r="F755" s="206"/>
      <c r="G755" s="206"/>
      <c r="H755" s="206"/>
      <c r="I755" s="206"/>
      <c r="J755" s="206"/>
      <c r="K755" s="206"/>
      <c r="L755" s="206"/>
      <c r="M755" s="288"/>
      <c r="N755" s="288"/>
      <c r="O755" s="289"/>
      <c r="P755" s="289"/>
      <c r="Q755" s="289"/>
      <c r="R755" s="206"/>
      <c r="S755" s="206"/>
      <c r="T755" s="288"/>
      <c r="U755" s="206"/>
      <c r="V755" s="206"/>
      <c r="W755" s="288"/>
      <c r="X755" s="209"/>
      <c r="Y755" s="209"/>
      <c r="Z755" s="209"/>
    </row>
    <row r="756" spans="1:26" ht="12.75" x14ac:dyDescent="0.2">
      <c r="A756" s="206"/>
      <c r="B756" s="206"/>
      <c r="C756" s="206"/>
      <c r="D756" s="206"/>
      <c r="E756" s="206"/>
      <c r="F756" s="206"/>
      <c r="G756" s="206"/>
      <c r="H756" s="206"/>
      <c r="I756" s="206"/>
      <c r="J756" s="206"/>
      <c r="K756" s="206"/>
      <c r="L756" s="206"/>
      <c r="M756" s="288"/>
      <c r="N756" s="288"/>
      <c r="O756" s="289"/>
      <c r="P756" s="289"/>
      <c r="Q756" s="289"/>
      <c r="R756" s="206"/>
      <c r="S756" s="206"/>
      <c r="T756" s="288"/>
      <c r="U756" s="206"/>
      <c r="V756" s="206"/>
      <c r="W756" s="288"/>
      <c r="X756" s="209"/>
      <c r="Y756" s="209"/>
      <c r="Z756" s="209"/>
    </row>
    <row r="757" spans="1:26" ht="12.75" x14ac:dyDescent="0.2">
      <c r="A757" s="206"/>
      <c r="B757" s="206"/>
      <c r="C757" s="206"/>
      <c r="D757" s="206"/>
      <c r="E757" s="206"/>
      <c r="F757" s="206"/>
      <c r="G757" s="206"/>
      <c r="H757" s="206"/>
      <c r="I757" s="206"/>
      <c r="J757" s="206"/>
      <c r="K757" s="206"/>
      <c r="L757" s="206"/>
      <c r="M757" s="288"/>
      <c r="N757" s="288"/>
      <c r="O757" s="289"/>
      <c r="P757" s="289"/>
      <c r="Q757" s="289"/>
      <c r="R757" s="206"/>
      <c r="S757" s="206"/>
      <c r="T757" s="288"/>
      <c r="U757" s="206"/>
      <c r="V757" s="206"/>
      <c r="W757" s="288"/>
      <c r="X757" s="209"/>
      <c r="Y757" s="209"/>
      <c r="Z757" s="209"/>
    </row>
    <row r="758" spans="1:26" ht="12.75" x14ac:dyDescent="0.2">
      <c r="A758" s="206"/>
      <c r="B758" s="206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88"/>
      <c r="N758" s="288"/>
      <c r="O758" s="289"/>
      <c r="P758" s="289"/>
      <c r="Q758" s="289"/>
      <c r="R758" s="206"/>
      <c r="S758" s="206"/>
      <c r="T758" s="288"/>
      <c r="U758" s="206"/>
      <c r="V758" s="206"/>
      <c r="W758" s="288"/>
      <c r="X758" s="209"/>
      <c r="Y758" s="209"/>
      <c r="Z758" s="209"/>
    </row>
    <row r="759" spans="1:26" ht="12.75" x14ac:dyDescent="0.2">
      <c r="A759" s="206"/>
      <c r="B759" s="206"/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88"/>
      <c r="N759" s="288"/>
      <c r="O759" s="289"/>
      <c r="P759" s="289"/>
      <c r="Q759" s="289"/>
      <c r="R759" s="206"/>
      <c r="S759" s="206"/>
      <c r="T759" s="288"/>
      <c r="U759" s="206"/>
      <c r="V759" s="206"/>
      <c r="W759" s="288"/>
      <c r="X759" s="209"/>
      <c r="Y759" s="209"/>
      <c r="Z759" s="209"/>
    </row>
    <row r="760" spans="1:26" ht="12.75" x14ac:dyDescent="0.2">
      <c r="A760" s="206"/>
      <c r="B760" s="206"/>
      <c r="C760" s="206"/>
      <c r="D760" s="206"/>
      <c r="E760" s="206"/>
      <c r="F760" s="206"/>
      <c r="G760" s="206"/>
      <c r="H760" s="206"/>
      <c r="I760" s="206"/>
      <c r="J760" s="206"/>
      <c r="K760" s="206"/>
      <c r="L760" s="206"/>
      <c r="M760" s="288"/>
      <c r="N760" s="288"/>
      <c r="O760" s="289"/>
      <c r="P760" s="289"/>
      <c r="Q760" s="289"/>
      <c r="R760" s="206"/>
      <c r="S760" s="206"/>
      <c r="T760" s="288"/>
      <c r="U760" s="206"/>
      <c r="V760" s="206"/>
      <c r="W760" s="288"/>
      <c r="X760" s="209"/>
      <c r="Y760" s="209"/>
      <c r="Z760" s="209"/>
    </row>
    <row r="761" spans="1:26" ht="12.75" x14ac:dyDescent="0.2">
      <c r="A761" s="206"/>
      <c r="B761" s="206"/>
      <c r="C761" s="206"/>
      <c r="D761" s="206"/>
      <c r="E761" s="206"/>
      <c r="F761" s="206"/>
      <c r="G761" s="206"/>
      <c r="H761" s="206"/>
      <c r="I761" s="206"/>
      <c r="J761" s="206"/>
      <c r="K761" s="206"/>
      <c r="L761" s="206"/>
      <c r="M761" s="288"/>
      <c r="N761" s="288"/>
      <c r="O761" s="289"/>
      <c r="P761" s="289"/>
      <c r="Q761" s="289"/>
      <c r="R761" s="206"/>
      <c r="S761" s="206"/>
      <c r="T761" s="288"/>
      <c r="U761" s="206"/>
      <c r="V761" s="206"/>
      <c r="W761" s="288"/>
      <c r="X761" s="209"/>
      <c r="Y761" s="209"/>
      <c r="Z761" s="209"/>
    </row>
    <row r="762" spans="1:26" ht="12.75" x14ac:dyDescent="0.2">
      <c r="A762" s="206"/>
      <c r="B762" s="206"/>
      <c r="C762" s="206"/>
      <c r="D762" s="206"/>
      <c r="E762" s="206"/>
      <c r="F762" s="206"/>
      <c r="G762" s="206"/>
      <c r="H762" s="206"/>
      <c r="I762" s="206"/>
      <c r="J762" s="206"/>
      <c r="K762" s="206"/>
      <c r="L762" s="206"/>
      <c r="M762" s="288"/>
      <c r="N762" s="288"/>
      <c r="O762" s="289"/>
      <c r="P762" s="289"/>
      <c r="Q762" s="289"/>
      <c r="R762" s="206"/>
      <c r="S762" s="206"/>
      <c r="T762" s="288"/>
      <c r="U762" s="206"/>
      <c r="V762" s="206"/>
      <c r="W762" s="288"/>
      <c r="X762" s="209"/>
      <c r="Y762" s="209"/>
      <c r="Z762" s="209"/>
    </row>
    <row r="763" spans="1:26" ht="12.75" x14ac:dyDescent="0.2">
      <c r="A763" s="206"/>
      <c r="B763" s="206"/>
      <c r="C763" s="206"/>
      <c r="D763" s="206"/>
      <c r="E763" s="206"/>
      <c r="F763" s="206"/>
      <c r="G763" s="206"/>
      <c r="H763" s="206"/>
      <c r="I763" s="206"/>
      <c r="J763" s="206"/>
      <c r="K763" s="206"/>
      <c r="L763" s="206"/>
      <c r="M763" s="288"/>
      <c r="N763" s="288"/>
      <c r="O763" s="289"/>
      <c r="P763" s="289"/>
      <c r="Q763" s="289"/>
      <c r="R763" s="206"/>
      <c r="S763" s="206"/>
      <c r="T763" s="288"/>
      <c r="U763" s="206"/>
      <c r="V763" s="206"/>
      <c r="W763" s="288"/>
      <c r="X763" s="209"/>
      <c r="Y763" s="209"/>
      <c r="Z763" s="209"/>
    </row>
    <row r="764" spans="1:26" ht="12.75" x14ac:dyDescent="0.2">
      <c r="A764" s="206"/>
      <c r="B764" s="206"/>
      <c r="C764" s="206"/>
      <c r="D764" s="206"/>
      <c r="E764" s="206"/>
      <c r="F764" s="206"/>
      <c r="G764" s="206"/>
      <c r="H764" s="206"/>
      <c r="I764" s="206"/>
      <c r="J764" s="206"/>
      <c r="K764" s="206"/>
      <c r="L764" s="206"/>
      <c r="M764" s="288"/>
      <c r="N764" s="288"/>
      <c r="O764" s="289"/>
      <c r="P764" s="289"/>
      <c r="Q764" s="289"/>
      <c r="R764" s="206"/>
      <c r="S764" s="206"/>
      <c r="T764" s="288"/>
      <c r="U764" s="206"/>
      <c r="V764" s="206"/>
      <c r="W764" s="288"/>
      <c r="X764" s="209"/>
      <c r="Y764" s="209"/>
      <c r="Z764" s="209"/>
    </row>
    <row r="765" spans="1:26" ht="12.75" x14ac:dyDescent="0.2">
      <c r="A765" s="206"/>
      <c r="B765" s="206"/>
      <c r="C765" s="206"/>
      <c r="D765" s="206"/>
      <c r="E765" s="206"/>
      <c r="F765" s="206"/>
      <c r="G765" s="206"/>
      <c r="H765" s="206"/>
      <c r="I765" s="206"/>
      <c r="J765" s="206"/>
      <c r="K765" s="206"/>
      <c r="L765" s="206"/>
      <c r="M765" s="288"/>
      <c r="N765" s="288"/>
      <c r="O765" s="289"/>
      <c r="P765" s="289"/>
      <c r="Q765" s="289"/>
      <c r="R765" s="206"/>
      <c r="S765" s="206"/>
      <c r="T765" s="288"/>
      <c r="U765" s="206"/>
      <c r="V765" s="206"/>
      <c r="W765" s="288"/>
      <c r="X765" s="209"/>
      <c r="Y765" s="209"/>
      <c r="Z765" s="209"/>
    </row>
    <row r="766" spans="1:26" ht="12.75" x14ac:dyDescent="0.2">
      <c r="A766" s="206"/>
      <c r="B766" s="206"/>
      <c r="C766" s="206"/>
      <c r="D766" s="206"/>
      <c r="E766" s="206"/>
      <c r="F766" s="206"/>
      <c r="G766" s="206"/>
      <c r="H766" s="206"/>
      <c r="I766" s="206"/>
      <c r="J766" s="206"/>
      <c r="K766" s="206"/>
      <c r="L766" s="206"/>
      <c r="M766" s="288"/>
      <c r="N766" s="288"/>
      <c r="O766" s="289"/>
      <c r="P766" s="289"/>
      <c r="Q766" s="289"/>
      <c r="R766" s="206"/>
      <c r="S766" s="206"/>
      <c r="T766" s="288"/>
      <c r="U766" s="206"/>
      <c r="V766" s="206"/>
      <c r="W766" s="288"/>
      <c r="X766" s="209"/>
      <c r="Y766" s="209"/>
      <c r="Z766" s="209"/>
    </row>
    <row r="767" spans="1:26" ht="12.75" x14ac:dyDescent="0.2">
      <c r="A767" s="206"/>
      <c r="B767" s="206"/>
      <c r="C767" s="206"/>
      <c r="D767" s="206"/>
      <c r="E767" s="206"/>
      <c r="F767" s="206"/>
      <c r="G767" s="206"/>
      <c r="H767" s="206"/>
      <c r="I767" s="206"/>
      <c r="J767" s="206"/>
      <c r="K767" s="206"/>
      <c r="L767" s="206"/>
      <c r="M767" s="288"/>
      <c r="N767" s="288"/>
      <c r="O767" s="289"/>
      <c r="P767" s="289"/>
      <c r="Q767" s="289"/>
      <c r="R767" s="206"/>
      <c r="S767" s="206"/>
      <c r="T767" s="288"/>
      <c r="U767" s="206"/>
      <c r="V767" s="206"/>
      <c r="W767" s="288"/>
      <c r="X767" s="209"/>
      <c r="Y767" s="209"/>
      <c r="Z767" s="209"/>
    </row>
    <row r="768" spans="1:26" ht="12.75" x14ac:dyDescent="0.2">
      <c r="A768" s="206"/>
      <c r="B768" s="206"/>
      <c r="C768" s="206"/>
      <c r="D768" s="206"/>
      <c r="E768" s="206"/>
      <c r="F768" s="206"/>
      <c r="G768" s="206"/>
      <c r="H768" s="206"/>
      <c r="I768" s="206"/>
      <c r="J768" s="206"/>
      <c r="K768" s="206"/>
      <c r="L768" s="206"/>
      <c r="M768" s="288"/>
      <c r="N768" s="288"/>
      <c r="O768" s="289"/>
      <c r="P768" s="289"/>
      <c r="Q768" s="289"/>
      <c r="R768" s="206"/>
      <c r="S768" s="206"/>
      <c r="T768" s="288"/>
      <c r="U768" s="206"/>
      <c r="V768" s="206"/>
      <c r="W768" s="288"/>
      <c r="X768" s="209"/>
      <c r="Y768" s="209"/>
      <c r="Z768" s="209"/>
    </row>
    <row r="769" spans="1:26" ht="12.75" x14ac:dyDescent="0.2">
      <c r="A769" s="206"/>
      <c r="B769" s="206"/>
      <c r="C769" s="206"/>
      <c r="D769" s="206"/>
      <c r="E769" s="206"/>
      <c r="F769" s="206"/>
      <c r="G769" s="206"/>
      <c r="H769" s="206"/>
      <c r="I769" s="206"/>
      <c r="J769" s="206"/>
      <c r="K769" s="206"/>
      <c r="L769" s="206"/>
      <c r="M769" s="288"/>
      <c r="N769" s="288"/>
      <c r="O769" s="289"/>
      <c r="P769" s="289"/>
      <c r="Q769" s="289"/>
      <c r="R769" s="206"/>
      <c r="S769" s="206"/>
      <c r="T769" s="288"/>
      <c r="U769" s="206"/>
      <c r="V769" s="206"/>
      <c r="W769" s="288"/>
      <c r="X769" s="209"/>
      <c r="Y769" s="209"/>
      <c r="Z769" s="209"/>
    </row>
    <row r="770" spans="1:26" ht="12.75" x14ac:dyDescent="0.2">
      <c r="A770" s="206"/>
      <c r="B770" s="206"/>
      <c r="C770" s="206"/>
      <c r="D770" s="206"/>
      <c r="E770" s="206"/>
      <c r="F770" s="206"/>
      <c r="G770" s="206"/>
      <c r="H770" s="206"/>
      <c r="I770" s="206"/>
      <c r="J770" s="206"/>
      <c r="K770" s="206"/>
      <c r="L770" s="206"/>
      <c r="M770" s="288"/>
      <c r="N770" s="288"/>
      <c r="O770" s="289"/>
      <c r="P770" s="289"/>
      <c r="Q770" s="289"/>
      <c r="R770" s="206"/>
      <c r="S770" s="206"/>
      <c r="T770" s="288"/>
      <c r="U770" s="206"/>
      <c r="V770" s="206"/>
      <c r="W770" s="288"/>
      <c r="X770" s="209"/>
      <c r="Y770" s="209"/>
      <c r="Z770" s="209"/>
    </row>
    <row r="771" spans="1:26" ht="12.75" x14ac:dyDescent="0.2">
      <c r="A771" s="206"/>
      <c r="B771" s="206"/>
      <c r="C771" s="206"/>
      <c r="D771" s="206"/>
      <c r="E771" s="206"/>
      <c r="F771" s="206"/>
      <c r="G771" s="206"/>
      <c r="H771" s="206"/>
      <c r="I771" s="206"/>
      <c r="J771" s="206"/>
      <c r="K771" s="206"/>
      <c r="L771" s="206"/>
      <c r="M771" s="288"/>
      <c r="N771" s="288"/>
      <c r="O771" s="289"/>
      <c r="P771" s="289"/>
      <c r="Q771" s="289"/>
      <c r="R771" s="206"/>
      <c r="S771" s="206"/>
      <c r="T771" s="288"/>
      <c r="U771" s="206"/>
      <c r="V771" s="206"/>
      <c r="W771" s="288"/>
      <c r="X771" s="209"/>
      <c r="Y771" s="209"/>
      <c r="Z771" s="209"/>
    </row>
    <row r="772" spans="1:26" ht="12.75" x14ac:dyDescent="0.2">
      <c r="A772" s="206"/>
      <c r="B772" s="206"/>
      <c r="C772" s="206"/>
      <c r="D772" s="206"/>
      <c r="E772" s="206"/>
      <c r="F772" s="206"/>
      <c r="G772" s="206"/>
      <c r="H772" s="206"/>
      <c r="I772" s="206"/>
      <c r="J772" s="206"/>
      <c r="K772" s="206"/>
      <c r="L772" s="206"/>
      <c r="M772" s="288"/>
      <c r="N772" s="288"/>
      <c r="O772" s="289"/>
      <c r="P772" s="289"/>
      <c r="Q772" s="289"/>
      <c r="R772" s="206"/>
      <c r="S772" s="206"/>
      <c r="T772" s="288"/>
      <c r="U772" s="206"/>
      <c r="V772" s="206"/>
      <c r="W772" s="288"/>
      <c r="X772" s="209"/>
      <c r="Y772" s="209"/>
      <c r="Z772" s="209"/>
    </row>
    <row r="773" spans="1:26" ht="12.75" x14ac:dyDescent="0.2">
      <c r="A773" s="206"/>
      <c r="B773" s="206"/>
      <c r="C773" s="206"/>
      <c r="D773" s="206"/>
      <c r="E773" s="206"/>
      <c r="F773" s="206"/>
      <c r="G773" s="206"/>
      <c r="H773" s="206"/>
      <c r="I773" s="206"/>
      <c r="J773" s="206"/>
      <c r="K773" s="206"/>
      <c r="L773" s="206"/>
      <c r="M773" s="288"/>
      <c r="N773" s="288"/>
      <c r="O773" s="289"/>
      <c r="P773" s="289"/>
      <c r="Q773" s="289"/>
      <c r="R773" s="206"/>
      <c r="S773" s="206"/>
      <c r="T773" s="288"/>
      <c r="U773" s="206"/>
      <c r="V773" s="206"/>
      <c r="W773" s="288"/>
      <c r="X773" s="209"/>
      <c r="Y773" s="209"/>
      <c r="Z773" s="209"/>
    </row>
    <row r="774" spans="1:26" ht="12.75" x14ac:dyDescent="0.2">
      <c r="A774" s="206"/>
      <c r="B774" s="206"/>
      <c r="C774" s="206"/>
      <c r="D774" s="206"/>
      <c r="E774" s="206"/>
      <c r="F774" s="206"/>
      <c r="G774" s="206"/>
      <c r="H774" s="206"/>
      <c r="I774" s="206"/>
      <c r="J774" s="206"/>
      <c r="K774" s="206"/>
      <c r="L774" s="206"/>
      <c r="M774" s="288"/>
      <c r="N774" s="288"/>
      <c r="O774" s="289"/>
      <c r="P774" s="289"/>
      <c r="Q774" s="289"/>
      <c r="R774" s="206"/>
      <c r="S774" s="206"/>
      <c r="T774" s="288"/>
      <c r="U774" s="206"/>
      <c r="V774" s="206"/>
      <c r="W774" s="288"/>
      <c r="X774" s="209"/>
      <c r="Y774" s="209"/>
      <c r="Z774" s="209"/>
    </row>
    <row r="775" spans="1:26" ht="12.75" x14ac:dyDescent="0.2">
      <c r="A775" s="206"/>
      <c r="B775" s="206"/>
      <c r="C775" s="206"/>
      <c r="D775" s="206"/>
      <c r="E775" s="206"/>
      <c r="F775" s="206"/>
      <c r="G775" s="206"/>
      <c r="H775" s="206"/>
      <c r="I775" s="206"/>
      <c r="J775" s="206"/>
      <c r="K775" s="206"/>
      <c r="L775" s="206"/>
      <c r="M775" s="288"/>
      <c r="N775" s="288"/>
      <c r="O775" s="289"/>
      <c r="P775" s="289"/>
      <c r="Q775" s="289"/>
      <c r="R775" s="206"/>
      <c r="S775" s="206"/>
      <c r="T775" s="288"/>
      <c r="U775" s="206"/>
      <c r="V775" s="206"/>
      <c r="W775" s="288"/>
      <c r="X775" s="209"/>
      <c r="Y775" s="209"/>
      <c r="Z775" s="209"/>
    </row>
    <row r="776" spans="1:26" ht="12.75" x14ac:dyDescent="0.2">
      <c r="A776" s="206"/>
      <c r="B776" s="206"/>
      <c r="C776" s="206"/>
      <c r="D776" s="206"/>
      <c r="E776" s="206"/>
      <c r="F776" s="206"/>
      <c r="G776" s="206"/>
      <c r="H776" s="206"/>
      <c r="I776" s="206"/>
      <c r="J776" s="206"/>
      <c r="K776" s="206"/>
      <c r="L776" s="206"/>
      <c r="M776" s="288"/>
      <c r="N776" s="288"/>
      <c r="O776" s="289"/>
      <c r="P776" s="289"/>
      <c r="Q776" s="289"/>
      <c r="R776" s="206"/>
      <c r="S776" s="206"/>
      <c r="T776" s="288"/>
      <c r="U776" s="206"/>
      <c r="V776" s="206"/>
      <c r="W776" s="288"/>
      <c r="X776" s="209"/>
      <c r="Y776" s="209"/>
      <c r="Z776" s="209"/>
    </row>
    <row r="777" spans="1:26" ht="12.75" x14ac:dyDescent="0.2">
      <c r="A777" s="206"/>
      <c r="B777" s="206"/>
      <c r="C777" s="206"/>
      <c r="D777" s="206"/>
      <c r="E777" s="206"/>
      <c r="F777" s="206"/>
      <c r="G777" s="206"/>
      <c r="H777" s="206"/>
      <c r="I777" s="206"/>
      <c r="J777" s="206"/>
      <c r="K777" s="206"/>
      <c r="L777" s="206"/>
      <c r="M777" s="288"/>
      <c r="N777" s="288"/>
      <c r="O777" s="289"/>
      <c r="P777" s="289"/>
      <c r="Q777" s="289"/>
      <c r="R777" s="206"/>
      <c r="S777" s="206"/>
      <c r="T777" s="288"/>
      <c r="U777" s="206"/>
      <c r="V777" s="206"/>
      <c r="W777" s="288"/>
      <c r="X777" s="209"/>
      <c r="Y777" s="209"/>
      <c r="Z777" s="209"/>
    </row>
    <row r="778" spans="1:26" ht="12.75" x14ac:dyDescent="0.2">
      <c r="A778" s="206"/>
      <c r="B778" s="206"/>
      <c r="C778" s="206"/>
      <c r="D778" s="206"/>
      <c r="E778" s="206"/>
      <c r="F778" s="206"/>
      <c r="G778" s="206"/>
      <c r="H778" s="206"/>
      <c r="I778" s="206"/>
      <c r="J778" s="206"/>
      <c r="K778" s="206"/>
      <c r="L778" s="206"/>
      <c r="M778" s="288"/>
      <c r="N778" s="288"/>
      <c r="O778" s="289"/>
      <c r="P778" s="289"/>
      <c r="Q778" s="289"/>
      <c r="R778" s="206"/>
      <c r="S778" s="206"/>
      <c r="T778" s="288"/>
      <c r="U778" s="206"/>
      <c r="V778" s="206"/>
      <c r="W778" s="288"/>
      <c r="X778" s="209"/>
      <c r="Y778" s="209"/>
      <c r="Z778" s="209"/>
    </row>
    <row r="779" spans="1:26" ht="12.75" x14ac:dyDescent="0.2">
      <c r="A779" s="206"/>
      <c r="B779" s="206"/>
      <c r="C779" s="206"/>
      <c r="D779" s="206"/>
      <c r="E779" s="206"/>
      <c r="F779" s="206"/>
      <c r="G779" s="206"/>
      <c r="H779" s="206"/>
      <c r="I779" s="206"/>
      <c r="J779" s="206"/>
      <c r="K779" s="206"/>
      <c r="L779" s="206"/>
      <c r="M779" s="288"/>
      <c r="N779" s="288"/>
      <c r="O779" s="289"/>
      <c r="P779" s="289"/>
      <c r="Q779" s="289"/>
      <c r="R779" s="206"/>
      <c r="S779" s="206"/>
      <c r="T779" s="288"/>
      <c r="U779" s="206"/>
      <c r="V779" s="206"/>
      <c r="W779" s="288"/>
      <c r="X779" s="209"/>
      <c r="Y779" s="209"/>
      <c r="Z779" s="209"/>
    </row>
    <row r="780" spans="1:26" ht="12.75" x14ac:dyDescent="0.2">
      <c r="A780" s="206"/>
      <c r="B780" s="206"/>
      <c r="C780" s="206"/>
      <c r="D780" s="206"/>
      <c r="E780" s="206"/>
      <c r="F780" s="206"/>
      <c r="G780" s="206"/>
      <c r="H780" s="206"/>
      <c r="I780" s="206"/>
      <c r="J780" s="206"/>
      <c r="K780" s="206"/>
      <c r="L780" s="206"/>
      <c r="M780" s="288"/>
      <c r="N780" s="288"/>
      <c r="O780" s="289"/>
      <c r="P780" s="289"/>
      <c r="Q780" s="289"/>
      <c r="R780" s="206"/>
      <c r="S780" s="206"/>
      <c r="T780" s="288"/>
      <c r="U780" s="206"/>
      <c r="V780" s="206"/>
      <c r="W780" s="288"/>
      <c r="X780" s="209"/>
      <c r="Y780" s="209"/>
      <c r="Z780" s="209"/>
    </row>
    <row r="781" spans="1:26" ht="12.75" x14ac:dyDescent="0.2">
      <c r="A781" s="206"/>
      <c r="B781" s="206"/>
      <c r="C781" s="206"/>
      <c r="D781" s="206"/>
      <c r="E781" s="206"/>
      <c r="F781" s="206"/>
      <c r="G781" s="206"/>
      <c r="H781" s="206"/>
      <c r="I781" s="206"/>
      <c r="J781" s="206"/>
      <c r="K781" s="206"/>
      <c r="L781" s="206"/>
      <c r="M781" s="288"/>
      <c r="N781" s="288"/>
      <c r="O781" s="289"/>
      <c r="P781" s="289"/>
      <c r="Q781" s="289"/>
      <c r="R781" s="206"/>
      <c r="S781" s="206"/>
      <c r="T781" s="288"/>
      <c r="U781" s="206"/>
      <c r="V781" s="206"/>
      <c r="W781" s="288"/>
      <c r="X781" s="209"/>
      <c r="Y781" s="209"/>
      <c r="Z781" s="209"/>
    </row>
    <row r="782" spans="1:26" ht="12.75" x14ac:dyDescent="0.2">
      <c r="A782" s="206"/>
      <c r="B782" s="206"/>
      <c r="C782" s="206"/>
      <c r="D782" s="206"/>
      <c r="E782" s="206"/>
      <c r="F782" s="206"/>
      <c r="G782" s="206"/>
      <c r="H782" s="206"/>
      <c r="I782" s="206"/>
      <c r="J782" s="206"/>
      <c r="K782" s="206"/>
      <c r="L782" s="206"/>
      <c r="M782" s="288"/>
      <c r="N782" s="288"/>
      <c r="O782" s="289"/>
      <c r="P782" s="289"/>
      <c r="Q782" s="289"/>
      <c r="R782" s="206"/>
      <c r="S782" s="206"/>
      <c r="T782" s="288"/>
      <c r="U782" s="206"/>
      <c r="V782" s="206"/>
      <c r="W782" s="288"/>
      <c r="X782" s="209"/>
      <c r="Y782" s="209"/>
      <c r="Z782" s="209"/>
    </row>
    <row r="783" spans="1:26" ht="12.75" x14ac:dyDescent="0.2">
      <c r="A783" s="206"/>
      <c r="B783" s="206"/>
      <c r="C783" s="206"/>
      <c r="D783" s="206"/>
      <c r="E783" s="206"/>
      <c r="F783" s="206"/>
      <c r="G783" s="206"/>
      <c r="H783" s="206"/>
      <c r="I783" s="206"/>
      <c r="J783" s="206"/>
      <c r="K783" s="206"/>
      <c r="L783" s="206"/>
      <c r="M783" s="288"/>
      <c r="N783" s="288"/>
      <c r="O783" s="289"/>
      <c r="P783" s="289"/>
      <c r="Q783" s="289"/>
      <c r="R783" s="206"/>
      <c r="S783" s="206"/>
      <c r="T783" s="288"/>
      <c r="U783" s="206"/>
      <c r="V783" s="206"/>
      <c r="W783" s="288"/>
      <c r="X783" s="209"/>
      <c r="Y783" s="209"/>
      <c r="Z783" s="209"/>
    </row>
    <row r="784" spans="1:26" ht="12.75" x14ac:dyDescent="0.2">
      <c r="A784" s="206"/>
      <c r="B784" s="206"/>
      <c r="C784" s="206"/>
      <c r="D784" s="206"/>
      <c r="E784" s="206"/>
      <c r="F784" s="206"/>
      <c r="G784" s="206"/>
      <c r="H784" s="206"/>
      <c r="I784" s="206"/>
      <c r="J784" s="206"/>
      <c r="K784" s="206"/>
      <c r="L784" s="206"/>
      <c r="M784" s="288"/>
      <c r="N784" s="288"/>
      <c r="O784" s="289"/>
      <c r="P784" s="289"/>
      <c r="Q784" s="289"/>
      <c r="R784" s="206"/>
      <c r="S784" s="206"/>
      <c r="T784" s="288"/>
      <c r="U784" s="206"/>
      <c r="V784" s="206"/>
      <c r="W784" s="288"/>
      <c r="X784" s="209"/>
      <c r="Y784" s="209"/>
      <c r="Z784" s="209"/>
    </row>
    <row r="785" spans="1:26" ht="12.75" x14ac:dyDescent="0.2">
      <c r="A785" s="206"/>
      <c r="B785" s="206"/>
      <c r="C785" s="206"/>
      <c r="D785" s="206"/>
      <c r="E785" s="206"/>
      <c r="F785" s="206"/>
      <c r="G785" s="206"/>
      <c r="H785" s="206"/>
      <c r="I785" s="206"/>
      <c r="J785" s="206"/>
      <c r="K785" s="206"/>
      <c r="L785" s="206"/>
      <c r="M785" s="288"/>
      <c r="N785" s="288"/>
      <c r="O785" s="289"/>
      <c r="P785" s="289"/>
      <c r="Q785" s="289"/>
      <c r="R785" s="206"/>
      <c r="S785" s="206"/>
      <c r="T785" s="288"/>
      <c r="U785" s="206"/>
      <c r="V785" s="206"/>
      <c r="W785" s="288"/>
      <c r="X785" s="209"/>
      <c r="Y785" s="209"/>
      <c r="Z785" s="209"/>
    </row>
    <row r="786" spans="1:26" ht="12.75" x14ac:dyDescent="0.2">
      <c r="A786" s="206"/>
      <c r="B786" s="206"/>
      <c r="C786" s="206"/>
      <c r="D786" s="206"/>
      <c r="E786" s="206"/>
      <c r="F786" s="206"/>
      <c r="G786" s="206"/>
      <c r="H786" s="206"/>
      <c r="I786" s="206"/>
      <c r="J786" s="206"/>
      <c r="K786" s="206"/>
      <c r="L786" s="206"/>
      <c r="M786" s="288"/>
      <c r="N786" s="288"/>
      <c r="O786" s="289"/>
      <c r="P786" s="289"/>
      <c r="Q786" s="289"/>
      <c r="R786" s="206"/>
      <c r="S786" s="206"/>
      <c r="T786" s="288"/>
      <c r="U786" s="206"/>
      <c r="V786" s="206"/>
      <c r="W786" s="288"/>
      <c r="X786" s="209"/>
      <c r="Y786" s="209"/>
      <c r="Z786" s="209"/>
    </row>
    <row r="787" spans="1:26" ht="12.75" x14ac:dyDescent="0.2">
      <c r="A787" s="206"/>
      <c r="B787" s="206"/>
      <c r="C787" s="206"/>
      <c r="D787" s="206"/>
      <c r="E787" s="206"/>
      <c r="F787" s="206"/>
      <c r="G787" s="206"/>
      <c r="H787" s="206"/>
      <c r="I787" s="206"/>
      <c r="J787" s="206"/>
      <c r="K787" s="206"/>
      <c r="L787" s="206"/>
      <c r="M787" s="288"/>
      <c r="N787" s="288"/>
      <c r="O787" s="289"/>
      <c r="P787" s="289"/>
      <c r="Q787" s="289"/>
      <c r="R787" s="206"/>
      <c r="S787" s="206"/>
      <c r="T787" s="288"/>
      <c r="U787" s="206"/>
      <c r="V787" s="206"/>
      <c r="W787" s="288"/>
      <c r="X787" s="209"/>
      <c r="Y787" s="209"/>
      <c r="Z787" s="209"/>
    </row>
    <row r="788" spans="1:26" ht="12.75" x14ac:dyDescent="0.2">
      <c r="A788" s="206"/>
      <c r="B788" s="206"/>
      <c r="C788" s="206"/>
      <c r="D788" s="206"/>
      <c r="E788" s="206"/>
      <c r="F788" s="206"/>
      <c r="G788" s="206"/>
      <c r="H788" s="206"/>
      <c r="I788" s="206"/>
      <c r="J788" s="206"/>
      <c r="K788" s="206"/>
      <c r="L788" s="206"/>
      <c r="M788" s="288"/>
      <c r="N788" s="288"/>
      <c r="O788" s="289"/>
      <c r="P788" s="289"/>
      <c r="Q788" s="289"/>
      <c r="R788" s="206"/>
      <c r="S788" s="206"/>
      <c r="T788" s="288"/>
      <c r="U788" s="206"/>
      <c r="V788" s="206"/>
      <c r="W788" s="288"/>
      <c r="X788" s="209"/>
      <c r="Y788" s="209"/>
      <c r="Z788" s="209"/>
    </row>
    <row r="789" spans="1:26" ht="12.75" x14ac:dyDescent="0.2">
      <c r="A789" s="206"/>
      <c r="B789" s="206"/>
      <c r="C789" s="206"/>
      <c r="D789" s="206"/>
      <c r="E789" s="206"/>
      <c r="F789" s="206"/>
      <c r="G789" s="206"/>
      <c r="H789" s="206"/>
      <c r="I789" s="206"/>
      <c r="J789" s="206"/>
      <c r="K789" s="206"/>
      <c r="L789" s="206"/>
      <c r="M789" s="288"/>
      <c r="N789" s="288"/>
      <c r="O789" s="289"/>
      <c r="P789" s="289"/>
      <c r="Q789" s="289"/>
      <c r="R789" s="206"/>
      <c r="S789" s="206"/>
      <c r="T789" s="288"/>
      <c r="U789" s="206"/>
      <c r="V789" s="206"/>
      <c r="W789" s="288"/>
      <c r="X789" s="209"/>
      <c r="Y789" s="209"/>
      <c r="Z789" s="209"/>
    </row>
    <row r="790" spans="1:26" ht="12.75" x14ac:dyDescent="0.2">
      <c r="A790" s="206"/>
      <c r="B790" s="206"/>
      <c r="C790" s="206"/>
      <c r="D790" s="206"/>
      <c r="E790" s="206"/>
      <c r="F790" s="206"/>
      <c r="G790" s="206"/>
      <c r="H790" s="206"/>
      <c r="I790" s="206"/>
      <c r="J790" s="206"/>
      <c r="K790" s="206"/>
      <c r="L790" s="206"/>
      <c r="M790" s="288"/>
      <c r="N790" s="288"/>
      <c r="O790" s="289"/>
      <c r="P790" s="289"/>
      <c r="Q790" s="289"/>
      <c r="R790" s="206"/>
      <c r="S790" s="206"/>
      <c r="T790" s="288"/>
      <c r="U790" s="206"/>
      <c r="V790" s="206"/>
      <c r="W790" s="288"/>
      <c r="X790" s="209"/>
      <c r="Y790" s="209"/>
      <c r="Z790" s="209"/>
    </row>
    <row r="791" spans="1:26" ht="12.75" x14ac:dyDescent="0.2">
      <c r="A791" s="206"/>
      <c r="B791" s="206"/>
      <c r="C791" s="206"/>
      <c r="D791" s="206"/>
      <c r="E791" s="206"/>
      <c r="F791" s="206"/>
      <c r="G791" s="206"/>
      <c r="H791" s="206"/>
      <c r="I791" s="206"/>
      <c r="J791" s="206"/>
      <c r="K791" s="206"/>
      <c r="L791" s="206"/>
      <c r="M791" s="288"/>
      <c r="N791" s="288"/>
      <c r="O791" s="289"/>
      <c r="P791" s="289"/>
      <c r="Q791" s="289"/>
      <c r="R791" s="206"/>
      <c r="S791" s="206"/>
      <c r="T791" s="288"/>
      <c r="U791" s="206"/>
      <c r="V791" s="206"/>
      <c r="W791" s="288"/>
      <c r="X791" s="209"/>
      <c r="Y791" s="209"/>
      <c r="Z791" s="209"/>
    </row>
    <row r="792" spans="1:26" ht="12.75" x14ac:dyDescent="0.2">
      <c r="A792" s="206"/>
      <c r="B792" s="206"/>
      <c r="C792" s="206"/>
      <c r="D792" s="206"/>
      <c r="E792" s="206"/>
      <c r="F792" s="206"/>
      <c r="G792" s="206"/>
      <c r="H792" s="206"/>
      <c r="I792" s="206"/>
      <c r="J792" s="206"/>
      <c r="K792" s="206"/>
      <c r="L792" s="206"/>
      <c r="M792" s="288"/>
      <c r="N792" s="288"/>
      <c r="O792" s="289"/>
      <c r="P792" s="289"/>
      <c r="Q792" s="289"/>
      <c r="R792" s="206"/>
      <c r="S792" s="206"/>
      <c r="T792" s="288"/>
      <c r="U792" s="206"/>
      <c r="V792" s="206"/>
      <c r="W792" s="288"/>
      <c r="X792" s="209"/>
      <c r="Y792" s="209"/>
      <c r="Z792" s="209"/>
    </row>
    <row r="793" spans="1:26" ht="12.75" x14ac:dyDescent="0.2">
      <c r="A793" s="206"/>
      <c r="B793" s="206"/>
      <c r="C793" s="206"/>
      <c r="D793" s="206"/>
      <c r="E793" s="206"/>
      <c r="F793" s="206"/>
      <c r="G793" s="206"/>
      <c r="H793" s="206"/>
      <c r="I793" s="206"/>
      <c r="J793" s="206"/>
      <c r="K793" s="206"/>
      <c r="L793" s="206"/>
      <c r="M793" s="288"/>
      <c r="N793" s="288"/>
      <c r="O793" s="289"/>
      <c r="P793" s="289"/>
      <c r="Q793" s="289"/>
      <c r="R793" s="206"/>
      <c r="S793" s="206"/>
      <c r="T793" s="288"/>
      <c r="U793" s="206"/>
      <c r="V793" s="206"/>
      <c r="W793" s="288"/>
      <c r="X793" s="209"/>
      <c r="Y793" s="209"/>
      <c r="Z793" s="209"/>
    </row>
    <row r="794" spans="1:26" ht="12.75" x14ac:dyDescent="0.2">
      <c r="A794" s="206"/>
      <c r="B794" s="206"/>
      <c r="C794" s="206"/>
      <c r="D794" s="206"/>
      <c r="E794" s="206"/>
      <c r="F794" s="206"/>
      <c r="G794" s="206"/>
      <c r="H794" s="206"/>
      <c r="I794" s="206"/>
      <c r="J794" s="206"/>
      <c r="K794" s="206"/>
      <c r="L794" s="206"/>
      <c r="M794" s="288"/>
      <c r="N794" s="288"/>
      <c r="O794" s="289"/>
      <c r="P794" s="289"/>
      <c r="Q794" s="289"/>
      <c r="R794" s="206"/>
      <c r="S794" s="206"/>
      <c r="T794" s="288"/>
      <c r="U794" s="206"/>
      <c r="V794" s="206"/>
      <c r="W794" s="288"/>
      <c r="X794" s="209"/>
      <c r="Y794" s="209"/>
      <c r="Z794" s="209"/>
    </row>
    <row r="795" spans="1:26" ht="12.75" x14ac:dyDescent="0.2">
      <c r="A795" s="206"/>
      <c r="B795" s="206"/>
      <c r="C795" s="206"/>
      <c r="D795" s="206"/>
      <c r="E795" s="206"/>
      <c r="F795" s="206"/>
      <c r="G795" s="206"/>
      <c r="H795" s="206"/>
      <c r="I795" s="206"/>
      <c r="J795" s="206"/>
      <c r="K795" s="206"/>
      <c r="L795" s="206"/>
      <c r="M795" s="288"/>
      <c r="N795" s="288"/>
      <c r="O795" s="289"/>
      <c r="P795" s="289"/>
      <c r="Q795" s="289"/>
      <c r="R795" s="206"/>
      <c r="S795" s="206"/>
      <c r="T795" s="288"/>
      <c r="U795" s="206"/>
      <c r="V795" s="206"/>
      <c r="W795" s="288"/>
      <c r="X795" s="209"/>
      <c r="Y795" s="209"/>
      <c r="Z795" s="209"/>
    </row>
    <row r="796" spans="1:26" ht="12.75" x14ac:dyDescent="0.2">
      <c r="A796" s="206"/>
      <c r="B796" s="206"/>
      <c r="C796" s="206"/>
      <c r="D796" s="206"/>
      <c r="E796" s="206"/>
      <c r="F796" s="206"/>
      <c r="G796" s="206"/>
      <c r="H796" s="206"/>
      <c r="I796" s="206"/>
      <c r="J796" s="206"/>
      <c r="K796" s="206"/>
      <c r="L796" s="206"/>
      <c r="M796" s="288"/>
      <c r="N796" s="288"/>
      <c r="O796" s="289"/>
      <c r="P796" s="289"/>
      <c r="Q796" s="289"/>
      <c r="R796" s="206"/>
      <c r="S796" s="206"/>
      <c r="T796" s="288"/>
      <c r="U796" s="206"/>
      <c r="V796" s="206"/>
      <c r="W796" s="288"/>
      <c r="X796" s="209"/>
      <c r="Y796" s="209"/>
      <c r="Z796" s="209"/>
    </row>
    <row r="797" spans="1:26" ht="12.75" x14ac:dyDescent="0.2">
      <c r="A797" s="206"/>
      <c r="B797" s="206"/>
      <c r="C797" s="206"/>
      <c r="D797" s="206"/>
      <c r="E797" s="206"/>
      <c r="F797" s="206"/>
      <c r="G797" s="206"/>
      <c r="H797" s="206"/>
      <c r="I797" s="206"/>
      <c r="J797" s="206"/>
      <c r="K797" s="206"/>
      <c r="L797" s="206"/>
      <c r="M797" s="288"/>
      <c r="N797" s="288"/>
      <c r="O797" s="289"/>
      <c r="P797" s="289"/>
      <c r="Q797" s="289"/>
      <c r="R797" s="206"/>
      <c r="S797" s="206"/>
      <c r="T797" s="288"/>
      <c r="U797" s="206"/>
      <c r="V797" s="206"/>
      <c r="W797" s="288"/>
      <c r="X797" s="209"/>
      <c r="Y797" s="209"/>
      <c r="Z797" s="209"/>
    </row>
    <row r="798" spans="1:26" ht="12.75" x14ac:dyDescent="0.2">
      <c r="A798" s="206"/>
      <c r="B798" s="206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88"/>
      <c r="N798" s="288"/>
      <c r="O798" s="289"/>
      <c r="P798" s="289"/>
      <c r="Q798" s="289"/>
      <c r="R798" s="206"/>
      <c r="S798" s="206"/>
      <c r="T798" s="288"/>
      <c r="U798" s="206"/>
      <c r="V798" s="206"/>
      <c r="W798" s="288"/>
      <c r="X798" s="209"/>
      <c r="Y798" s="209"/>
      <c r="Z798" s="209"/>
    </row>
    <row r="799" spans="1:26" ht="12.75" x14ac:dyDescent="0.2">
      <c r="A799" s="206"/>
      <c r="B799" s="206"/>
      <c r="C799" s="206"/>
      <c r="D799" s="206"/>
      <c r="E799" s="206"/>
      <c r="F799" s="206"/>
      <c r="G799" s="206"/>
      <c r="H799" s="206"/>
      <c r="I799" s="206"/>
      <c r="J799" s="206"/>
      <c r="K799" s="206"/>
      <c r="L799" s="206"/>
      <c r="M799" s="288"/>
      <c r="N799" s="288"/>
      <c r="O799" s="289"/>
      <c r="P799" s="289"/>
      <c r="Q799" s="289"/>
      <c r="R799" s="206"/>
      <c r="S799" s="206"/>
      <c r="T799" s="288"/>
      <c r="U799" s="206"/>
      <c r="V799" s="206"/>
      <c r="W799" s="288"/>
      <c r="X799" s="209"/>
      <c r="Y799" s="209"/>
      <c r="Z799" s="209"/>
    </row>
    <row r="800" spans="1:26" ht="12.75" x14ac:dyDescent="0.2">
      <c r="A800" s="206"/>
      <c r="B800" s="206"/>
      <c r="C800" s="206"/>
      <c r="D800" s="206"/>
      <c r="E800" s="206"/>
      <c r="F800" s="206"/>
      <c r="G800" s="206"/>
      <c r="H800" s="206"/>
      <c r="I800" s="206"/>
      <c r="J800" s="206"/>
      <c r="K800" s="206"/>
      <c r="L800" s="206"/>
      <c r="M800" s="288"/>
      <c r="N800" s="288"/>
      <c r="O800" s="289"/>
      <c r="P800" s="289"/>
      <c r="Q800" s="289"/>
      <c r="R800" s="206"/>
      <c r="S800" s="206"/>
      <c r="T800" s="288"/>
      <c r="U800" s="206"/>
      <c r="V800" s="206"/>
      <c r="W800" s="288"/>
      <c r="X800" s="209"/>
      <c r="Y800" s="209"/>
      <c r="Z800" s="209"/>
    </row>
    <row r="801" spans="1:26" ht="12.75" x14ac:dyDescent="0.2">
      <c r="A801" s="206"/>
      <c r="B801" s="206"/>
      <c r="C801" s="206"/>
      <c r="D801" s="206"/>
      <c r="E801" s="206"/>
      <c r="F801" s="206"/>
      <c r="G801" s="206"/>
      <c r="H801" s="206"/>
      <c r="I801" s="206"/>
      <c r="J801" s="206"/>
      <c r="K801" s="206"/>
      <c r="L801" s="206"/>
      <c r="M801" s="288"/>
      <c r="N801" s="288"/>
      <c r="O801" s="289"/>
      <c r="P801" s="289"/>
      <c r="Q801" s="289"/>
      <c r="R801" s="206"/>
      <c r="S801" s="206"/>
      <c r="T801" s="288"/>
      <c r="U801" s="206"/>
      <c r="V801" s="206"/>
      <c r="W801" s="288"/>
      <c r="X801" s="209"/>
      <c r="Y801" s="209"/>
      <c r="Z801" s="209"/>
    </row>
    <row r="802" spans="1:26" ht="12.75" x14ac:dyDescent="0.2">
      <c r="A802" s="206"/>
      <c r="B802" s="206"/>
      <c r="C802" s="206"/>
      <c r="D802" s="206"/>
      <c r="E802" s="206"/>
      <c r="F802" s="206"/>
      <c r="G802" s="206"/>
      <c r="H802" s="206"/>
      <c r="I802" s="206"/>
      <c r="J802" s="206"/>
      <c r="K802" s="206"/>
      <c r="L802" s="206"/>
      <c r="M802" s="288"/>
      <c r="N802" s="288"/>
      <c r="O802" s="289"/>
      <c r="P802" s="289"/>
      <c r="Q802" s="289"/>
      <c r="R802" s="206"/>
      <c r="S802" s="206"/>
      <c r="T802" s="288"/>
      <c r="U802" s="206"/>
      <c r="V802" s="206"/>
      <c r="W802" s="288"/>
      <c r="X802" s="209"/>
      <c r="Y802" s="209"/>
      <c r="Z802" s="209"/>
    </row>
    <row r="803" spans="1:26" ht="12.75" x14ac:dyDescent="0.2">
      <c r="A803" s="206"/>
      <c r="B803" s="206"/>
      <c r="C803" s="206"/>
      <c r="D803" s="206"/>
      <c r="E803" s="206"/>
      <c r="F803" s="206"/>
      <c r="G803" s="206"/>
      <c r="H803" s="206"/>
      <c r="I803" s="206"/>
      <c r="J803" s="206"/>
      <c r="K803" s="206"/>
      <c r="L803" s="206"/>
      <c r="M803" s="288"/>
      <c r="N803" s="288"/>
      <c r="O803" s="289"/>
      <c r="P803" s="289"/>
      <c r="Q803" s="289"/>
      <c r="R803" s="206"/>
      <c r="S803" s="206"/>
      <c r="T803" s="288"/>
      <c r="U803" s="206"/>
      <c r="V803" s="206"/>
      <c r="W803" s="288"/>
      <c r="X803" s="209"/>
      <c r="Y803" s="209"/>
      <c r="Z803" s="209"/>
    </row>
    <row r="804" spans="1:26" ht="12.75" x14ac:dyDescent="0.2">
      <c r="A804" s="206"/>
      <c r="B804" s="206"/>
      <c r="C804" s="206"/>
      <c r="D804" s="206"/>
      <c r="E804" s="206"/>
      <c r="F804" s="206"/>
      <c r="G804" s="206"/>
      <c r="H804" s="206"/>
      <c r="I804" s="206"/>
      <c r="J804" s="206"/>
      <c r="K804" s="206"/>
      <c r="L804" s="206"/>
      <c r="M804" s="288"/>
      <c r="N804" s="288"/>
      <c r="O804" s="289"/>
      <c r="P804" s="289"/>
      <c r="Q804" s="289"/>
      <c r="R804" s="206"/>
      <c r="S804" s="206"/>
      <c r="T804" s="288"/>
      <c r="U804" s="206"/>
      <c r="V804" s="206"/>
      <c r="W804" s="288"/>
      <c r="X804" s="209"/>
      <c r="Y804" s="209"/>
      <c r="Z804" s="209"/>
    </row>
    <row r="805" spans="1:26" ht="12.75" x14ac:dyDescent="0.2">
      <c r="A805" s="206"/>
      <c r="B805" s="206"/>
      <c r="C805" s="206"/>
      <c r="D805" s="206"/>
      <c r="E805" s="206"/>
      <c r="F805" s="206"/>
      <c r="G805" s="206"/>
      <c r="H805" s="206"/>
      <c r="I805" s="206"/>
      <c r="J805" s="206"/>
      <c r="K805" s="206"/>
      <c r="L805" s="206"/>
      <c r="M805" s="288"/>
      <c r="N805" s="288"/>
      <c r="O805" s="289"/>
      <c r="P805" s="289"/>
      <c r="Q805" s="289"/>
      <c r="R805" s="206"/>
      <c r="S805" s="206"/>
      <c r="T805" s="288"/>
      <c r="U805" s="206"/>
      <c r="V805" s="206"/>
      <c r="W805" s="288"/>
      <c r="X805" s="209"/>
      <c r="Y805" s="209"/>
      <c r="Z805" s="209"/>
    </row>
    <row r="806" spans="1:26" ht="12.75" x14ac:dyDescent="0.2">
      <c r="A806" s="206"/>
      <c r="B806" s="206"/>
      <c r="C806" s="206"/>
      <c r="D806" s="206"/>
      <c r="E806" s="206"/>
      <c r="F806" s="206"/>
      <c r="G806" s="206"/>
      <c r="H806" s="206"/>
      <c r="I806" s="206"/>
      <c r="J806" s="206"/>
      <c r="K806" s="206"/>
      <c r="L806" s="206"/>
      <c r="M806" s="288"/>
      <c r="N806" s="288"/>
      <c r="O806" s="289"/>
      <c r="P806" s="289"/>
      <c r="Q806" s="289"/>
      <c r="R806" s="206"/>
      <c r="S806" s="206"/>
      <c r="T806" s="288"/>
      <c r="U806" s="206"/>
      <c r="V806" s="206"/>
      <c r="W806" s="288"/>
      <c r="X806" s="209"/>
      <c r="Y806" s="209"/>
      <c r="Z806" s="209"/>
    </row>
    <row r="807" spans="1:26" ht="12.75" x14ac:dyDescent="0.2">
      <c r="A807" s="206"/>
      <c r="B807" s="206"/>
      <c r="C807" s="206"/>
      <c r="D807" s="206"/>
      <c r="E807" s="206"/>
      <c r="F807" s="206"/>
      <c r="G807" s="206"/>
      <c r="H807" s="206"/>
      <c r="I807" s="206"/>
      <c r="J807" s="206"/>
      <c r="K807" s="206"/>
      <c r="L807" s="206"/>
      <c r="M807" s="288"/>
      <c r="N807" s="288"/>
      <c r="O807" s="289"/>
      <c r="P807" s="289"/>
      <c r="Q807" s="289"/>
      <c r="R807" s="206"/>
      <c r="S807" s="206"/>
      <c r="T807" s="288"/>
      <c r="U807" s="206"/>
      <c r="V807" s="206"/>
      <c r="W807" s="288"/>
      <c r="X807" s="209"/>
      <c r="Y807" s="209"/>
      <c r="Z807" s="209"/>
    </row>
    <row r="808" spans="1:26" ht="12.75" x14ac:dyDescent="0.2">
      <c r="A808" s="206"/>
      <c r="B808" s="206"/>
      <c r="C808" s="206"/>
      <c r="D808" s="206"/>
      <c r="E808" s="206"/>
      <c r="F808" s="206"/>
      <c r="G808" s="206"/>
      <c r="H808" s="206"/>
      <c r="I808" s="206"/>
      <c r="J808" s="206"/>
      <c r="K808" s="206"/>
      <c r="L808" s="206"/>
      <c r="M808" s="288"/>
      <c r="N808" s="288"/>
      <c r="O808" s="289"/>
      <c r="P808" s="289"/>
      <c r="Q808" s="289"/>
      <c r="R808" s="206"/>
      <c r="S808" s="206"/>
      <c r="T808" s="288"/>
      <c r="U808" s="206"/>
      <c r="V808" s="206"/>
      <c r="W808" s="288"/>
      <c r="X808" s="209"/>
      <c r="Y808" s="209"/>
      <c r="Z808" s="209"/>
    </row>
    <row r="809" spans="1:26" ht="12.75" x14ac:dyDescent="0.2">
      <c r="A809" s="206"/>
      <c r="B809" s="206"/>
      <c r="C809" s="206"/>
      <c r="D809" s="206"/>
      <c r="E809" s="206"/>
      <c r="F809" s="206"/>
      <c r="G809" s="206"/>
      <c r="H809" s="206"/>
      <c r="I809" s="206"/>
      <c r="J809" s="206"/>
      <c r="K809" s="206"/>
      <c r="L809" s="206"/>
      <c r="M809" s="288"/>
      <c r="N809" s="288"/>
      <c r="O809" s="289"/>
      <c r="P809" s="289"/>
      <c r="Q809" s="289"/>
      <c r="R809" s="206"/>
      <c r="S809" s="206"/>
      <c r="T809" s="288"/>
      <c r="U809" s="206"/>
      <c r="V809" s="206"/>
      <c r="W809" s="288"/>
      <c r="X809" s="209"/>
      <c r="Y809" s="209"/>
      <c r="Z809" s="209"/>
    </row>
    <row r="810" spans="1:26" ht="12.75" x14ac:dyDescent="0.2">
      <c r="A810" s="206"/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88"/>
      <c r="N810" s="288"/>
      <c r="O810" s="289"/>
      <c r="P810" s="289"/>
      <c r="Q810" s="289"/>
      <c r="R810" s="206"/>
      <c r="S810" s="206"/>
      <c r="T810" s="288"/>
      <c r="U810" s="206"/>
      <c r="V810" s="206"/>
      <c r="W810" s="288"/>
      <c r="X810" s="209"/>
      <c r="Y810" s="209"/>
      <c r="Z810" s="209"/>
    </row>
    <row r="811" spans="1:26" ht="12.75" x14ac:dyDescent="0.2">
      <c r="A811" s="206"/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88"/>
      <c r="N811" s="288"/>
      <c r="O811" s="289"/>
      <c r="P811" s="289"/>
      <c r="Q811" s="289"/>
      <c r="R811" s="206"/>
      <c r="S811" s="206"/>
      <c r="T811" s="288"/>
      <c r="U811" s="206"/>
      <c r="V811" s="206"/>
      <c r="W811" s="288"/>
      <c r="X811" s="209"/>
      <c r="Y811" s="209"/>
      <c r="Z811" s="209"/>
    </row>
    <row r="812" spans="1:26" ht="12.75" x14ac:dyDescent="0.2">
      <c r="A812" s="206"/>
      <c r="B812" s="206"/>
      <c r="C812" s="206"/>
      <c r="D812" s="206"/>
      <c r="E812" s="206"/>
      <c r="F812" s="206"/>
      <c r="G812" s="206"/>
      <c r="H812" s="206"/>
      <c r="I812" s="206"/>
      <c r="J812" s="206"/>
      <c r="K812" s="206"/>
      <c r="L812" s="206"/>
      <c r="M812" s="288"/>
      <c r="N812" s="288"/>
      <c r="O812" s="289"/>
      <c r="P812" s="289"/>
      <c r="Q812" s="289"/>
      <c r="R812" s="206"/>
      <c r="S812" s="206"/>
      <c r="T812" s="288"/>
      <c r="U812" s="206"/>
      <c r="V812" s="206"/>
      <c r="W812" s="288"/>
      <c r="X812" s="209"/>
      <c r="Y812" s="209"/>
      <c r="Z812" s="209"/>
    </row>
    <row r="813" spans="1:26" ht="12.75" x14ac:dyDescent="0.2">
      <c r="A813" s="206"/>
      <c r="B813" s="206"/>
      <c r="C813" s="206"/>
      <c r="D813" s="206"/>
      <c r="E813" s="206"/>
      <c r="F813" s="206"/>
      <c r="G813" s="206"/>
      <c r="H813" s="206"/>
      <c r="I813" s="206"/>
      <c r="J813" s="206"/>
      <c r="K813" s="206"/>
      <c r="L813" s="206"/>
      <c r="M813" s="288"/>
      <c r="N813" s="288"/>
      <c r="O813" s="289"/>
      <c r="P813" s="289"/>
      <c r="Q813" s="289"/>
      <c r="R813" s="206"/>
      <c r="S813" s="206"/>
      <c r="T813" s="288"/>
      <c r="U813" s="206"/>
      <c r="V813" s="206"/>
      <c r="W813" s="288"/>
      <c r="X813" s="209"/>
      <c r="Y813" s="209"/>
      <c r="Z813" s="209"/>
    </row>
    <row r="814" spans="1:26" ht="12.75" x14ac:dyDescent="0.2">
      <c r="A814" s="206"/>
      <c r="B814" s="206"/>
      <c r="C814" s="206"/>
      <c r="D814" s="206"/>
      <c r="E814" s="206"/>
      <c r="F814" s="206"/>
      <c r="G814" s="206"/>
      <c r="H814" s="206"/>
      <c r="I814" s="206"/>
      <c r="J814" s="206"/>
      <c r="K814" s="206"/>
      <c r="L814" s="206"/>
      <c r="M814" s="288"/>
      <c r="N814" s="288"/>
      <c r="O814" s="289"/>
      <c r="P814" s="289"/>
      <c r="Q814" s="289"/>
      <c r="R814" s="206"/>
      <c r="S814" s="206"/>
      <c r="T814" s="288"/>
      <c r="U814" s="206"/>
      <c r="V814" s="206"/>
      <c r="W814" s="288"/>
      <c r="X814" s="209"/>
      <c r="Y814" s="209"/>
      <c r="Z814" s="209"/>
    </row>
    <row r="815" spans="1:26" ht="12.75" x14ac:dyDescent="0.2">
      <c r="A815" s="206"/>
      <c r="B815" s="206"/>
      <c r="C815" s="206"/>
      <c r="D815" s="206"/>
      <c r="E815" s="206"/>
      <c r="F815" s="206"/>
      <c r="G815" s="206"/>
      <c r="H815" s="206"/>
      <c r="I815" s="206"/>
      <c r="J815" s="206"/>
      <c r="K815" s="206"/>
      <c r="L815" s="206"/>
      <c r="M815" s="288"/>
      <c r="N815" s="288"/>
      <c r="O815" s="289"/>
      <c r="P815" s="289"/>
      <c r="Q815" s="289"/>
      <c r="R815" s="206"/>
      <c r="S815" s="206"/>
      <c r="T815" s="288"/>
      <c r="U815" s="206"/>
      <c r="V815" s="206"/>
      <c r="W815" s="288"/>
      <c r="X815" s="209"/>
      <c r="Y815" s="209"/>
      <c r="Z815" s="209"/>
    </row>
    <row r="816" spans="1:26" ht="12.75" x14ac:dyDescent="0.2">
      <c r="A816" s="206"/>
      <c r="B816" s="206"/>
      <c r="C816" s="206"/>
      <c r="D816" s="206"/>
      <c r="E816" s="206"/>
      <c r="F816" s="206"/>
      <c r="G816" s="206"/>
      <c r="H816" s="206"/>
      <c r="I816" s="206"/>
      <c r="J816" s="206"/>
      <c r="K816" s="206"/>
      <c r="L816" s="206"/>
      <c r="M816" s="288"/>
      <c r="N816" s="288"/>
      <c r="O816" s="289"/>
      <c r="P816" s="289"/>
      <c r="Q816" s="289"/>
      <c r="R816" s="206"/>
      <c r="S816" s="206"/>
      <c r="T816" s="288"/>
      <c r="U816" s="206"/>
      <c r="V816" s="206"/>
      <c r="W816" s="288"/>
      <c r="X816" s="209"/>
      <c r="Y816" s="209"/>
      <c r="Z816" s="209"/>
    </row>
    <row r="817" spans="1:26" ht="12.75" x14ac:dyDescent="0.2">
      <c r="A817" s="206"/>
      <c r="B817" s="206"/>
      <c r="C817" s="206"/>
      <c r="D817" s="206"/>
      <c r="E817" s="206"/>
      <c r="F817" s="206"/>
      <c r="G817" s="206"/>
      <c r="H817" s="206"/>
      <c r="I817" s="206"/>
      <c r="J817" s="206"/>
      <c r="K817" s="206"/>
      <c r="L817" s="206"/>
      <c r="M817" s="288"/>
      <c r="N817" s="288"/>
      <c r="O817" s="289"/>
      <c r="P817" s="289"/>
      <c r="Q817" s="289"/>
      <c r="R817" s="206"/>
      <c r="S817" s="206"/>
      <c r="T817" s="288"/>
      <c r="U817" s="206"/>
      <c r="V817" s="206"/>
      <c r="W817" s="288"/>
      <c r="X817" s="209"/>
      <c r="Y817" s="209"/>
      <c r="Z817" s="209"/>
    </row>
    <row r="818" spans="1:26" ht="12.75" x14ac:dyDescent="0.2">
      <c r="A818" s="206"/>
      <c r="B818" s="206"/>
      <c r="C818" s="206"/>
      <c r="D818" s="206"/>
      <c r="E818" s="206"/>
      <c r="F818" s="206"/>
      <c r="G818" s="206"/>
      <c r="H818" s="206"/>
      <c r="I818" s="206"/>
      <c r="J818" s="206"/>
      <c r="K818" s="206"/>
      <c r="L818" s="206"/>
      <c r="M818" s="288"/>
      <c r="N818" s="288"/>
      <c r="O818" s="289"/>
      <c r="P818" s="289"/>
      <c r="Q818" s="289"/>
      <c r="R818" s="206"/>
      <c r="S818" s="206"/>
      <c r="T818" s="288"/>
      <c r="U818" s="206"/>
      <c r="V818" s="206"/>
      <c r="W818" s="288"/>
      <c r="X818" s="209"/>
      <c r="Y818" s="209"/>
      <c r="Z818" s="209"/>
    </row>
    <row r="819" spans="1:26" ht="12.75" x14ac:dyDescent="0.2">
      <c r="A819" s="206"/>
      <c r="B819" s="206"/>
      <c r="C819" s="206"/>
      <c r="D819" s="206"/>
      <c r="E819" s="206"/>
      <c r="F819" s="206"/>
      <c r="G819" s="206"/>
      <c r="H819" s="206"/>
      <c r="I819" s="206"/>
      <c r="J819" s="206"/>
      <c r="K819" s="206"/>
      <c r="L819" s="206"/>
      <c r="M819" s="288"/>
      <c r="N819" s="288"/>
      <c r="O819" s="289"/>
      <c r="P819" s="289"/>
      <c r="Q819" s="289"/>
      <c r="R819" s="206"/>
      <c r="S819" s="206"/>
      <c r="T819" s="288"/>
      <c r="U819" s="206"/>
      <c r="V819" s="206"/>
      <c r="W819" s="288"/>
      <c r="X819" s="209"/>
      <c r="Y819" s="209"/>
      <c r="Z819" s="209"/>
    </row>
    <row r="820" spans="1:26" ht="12.75" x14ac:dyDescent="0.2">
      <c r="A820" s="206"/>
      <c r="B820" s="206"/>
      <c r="C820" s="206"/>
      <c r="D820" s="206"/>
      <c r="E820" s="206"/>
      <c r="F820" s="206"/>
      <c r="G820" s="206"/>
      <c r="H820" s="206"/>
      <c r="I820" s="206"/>
      <c r="J820" s="206"/>
      <c r="K820" s="206"/>
      <c r="L820" s="206"/>
      <c r="M820" s="288"/>
      <c r="N820" s="288"/>
      <c r="O820" s="289"/>
      <c r="P820" s="289"/>
      <c r="Q820" s="289"/>
      <c r="R820" s="206"/>
      <c r="S820" s="206"/>
      <c r="T820" s="288"/>
      <c r="U820" s="206"/>
      <c r="V820" s="206"/>
      <c r="W820" s="288"/>
      <c r="X820" s="209"/>
      <c r="Y820" s="209"/>
      <c r="Z820" s="209"/>
    </row>
    <row r="821" spans="1:26" ht="12.75" x14ac:dyDescent="0.2">
      <c r="A821" s="206"/>
      <c r="B821" s="206"/>
      <c r="C821" s="206"/>
      <c r="D821" s="206"/>
      <c r="E821" s="206"/>
      <c r="F821" s="206"/>
      <c r="G821" s="206"/>
      <c r="H821" s="206"/>
      <c r="I821" s="206"/>
      <c r="J821" s="206"/>
      <c r="K821" s="206"/>
      <c r="L821" s="206"/>
      <c r="M821" s="288"/>
      <c r="N821" s="288"/>
      <c r="O821" s="289"/>
      <c r="P821" s="289"/>
      <c r="Q821" s="289"/>
      <c r="R821" s="206"/>
      <c r="S821" s="206"/>
      <c r="T821" s="288"/>
      <c r="U821" s="206"/>
      <c r="V821" s="206"/>
      <c r="W821" s="288"/>
      <c r="X821" s="209"/>
      <c r="Y821" s="209"/>
      <c r="Z821" s="209"/>
    </row>
    <row r="822" spans="1:26" ht="12.75" x14ac:dyDescent="0.2">
      <c r="A822" s="206"/>
      <c r="B822" s="206"/>
      <c r="C822" s="206"/>
      <c r="D822" s="206"/>
      <c r="E822" s="206"/>
      <c r="F822" s="206"/>
      <c r="G822" s="206"/>
      <c r="H822" s="206"/>
      <c r="I822" s="206"/>
      <c r="J822" s="206"/>
      <c r="K822" s="206"/>
      <c r="L822" s="206"/>
      <c r="M822" s="288"/>
      <c r="N822" s="288"/>
      <c r="O822" s="289"/>
      <c r="P822" s="289"/>
      <c r="Q822" s="289"/>
      <c r="R822" s="206"/>
      <c r="S822" s="206"/>
      <c r="T822" s="288"/>
      <c r="U822" s="206"/>
      <c r="V822" s="206"/>
      <c r="W822" s="288"/>
      <c r="X822" s="209"/>
      <c r="Y822" s="209"/>
      <c r="Z822" s="209"/>
    </row>
    <row r="823" spans="1:26" ht="12.75" x14ac:dyDescent="0.2">
      <c r="A823" s="206"/>
      <c r="B823" s="206"/>
      <c r="C823" s="206"/>
      <c r="D823" s="206"/>
      <c r="E823" s="206"/>
      <c r="F823" s="206"/>
      <c r="G823" s="206"/>
      <c r="H823" s="206"/>
      <c r="I823" s="206"/>
      <c r="J823" s="206"/>
      <c r="K823" s="206"/>
      <c r="L823" s="206"/>
      <c r="M823" s="288"/>
      <c r="N823" s="288"/>
      <c r="O823" s="289"/>
      <c r="P823" s="289"/>
      <c r="Q823" s="289"/>
      <c r="R823" s="206"/>
      <c r="S823" s="206"/>
      <c r="T823" s="288"/>
      <c r="U823" s="206"/>
      <c r="V823" s="206"/>
      <c r="W823" s="288"/>
      <c r="X823" s="209"/>
      <c r="Y823" s="209"/>
      <c r="Z823" s="209"/>
    </row>
    <row r="824" spans="1:26" ht="12.75" x14ac:dyDescent="0.2">
      <c r="A824" s="206"/>
      <c r="B824" s="206"/>
      <c r="C824" s="206"/>
      <c r="D824" s="206"/>
      <c r="E824" s="206"/>
      <c r="F824" s="206"/>
      <c r="G824" s="206"/>
      <c r="H824" s="206"/>
      <c r="I824" s="206"/>
      <c r="J824" s="206"/>
      <c r="K824" s="206"/>
      <c r="L824" s="206"/>
      <c r="M824" s="288"/>
      <c r="N824" s="288"/>
      <c r="O824" s="289"/>
      <c r="P824" s="289"/>
      <c r="Q824" s="289"/>
      <c r="R824" s="206"/>
      <c r="S824" s="206"/>
      <c r="T824" s="288"/>
      <c r="U824" s="206"/>
      <c r="V824" s="206"/>
      <c r="W824" s="288"/>
      <c r="X824" s="209"/>
      <c r="Y824" s="209"/>
      <c r="Z824" s="209"/>
    </row>
    <row r="825" spans="1:26" ht="12.75" x14ac:dyDescent="0.2">
      <c r="A825" s="206"/>
      <c r="B825" s="206"/>
      <c r="C825" s="206"/>
      <c r="D825" s="206"/>
      <c r="E825" s="206"/>
      <c r="F825" s="206"/>
      <c r="G825" s="206"/>
      <c r="H825" s="206"/>
      <c r="I825" s="206"/>
      <c r="J825" s="206"/>
      <c r="K825" s="206"/>
      <c r="L825" s="206"/>
      <c r="M825" s="288"/>
      <c r="N825" s="288"/>
      <c r="O825" s="289"/>
      <c r="P825" s="289"/>
      <c r="Q825" s="289"/>
      <c r="R825" s="206"/>
      <c r="S825" s="206"/>
      <c r="T825" s="288"/>
      <c r="U825" s="206"/>
      <c r="V825" s="206"/>
      <c r="W825" s="288"/>
      <c r="X825" s="209"/>
      <c r="Y825" s="209"/>
      <c r="Z825" s="209"/>
    </row>
    <row r="826" spans="1:26" ht="12.75" x14ac:dyDescent="0.2">
      <c r="A826" s="206"/>
      <c r="B826" s="206"/>
      <c r="C826" s="206"/>
      <c r="D826" s="206"/>
      <c r="E826" s="206"/>
      <c r="F826" s="206"/>
      <c r="G826" s="206"/>
      <c r="H826" s="206"/>
      <c r="I826" s="206"/>
      <c r="J826" s="206"/>
      <c r="K826" s="206"/>
      <c r="L826" s="206"/>
      <c r="M826" s="288"/>
      <c r="N826" s="288"/>
      <c r="O826" s="289"/>
      <c r="P826" s="289"/>
      <c r="Q826" s="289"/>
      <c r="R826" s="206"/>
      <c r="S826" s="206"/>
      <c r="T826" s="288"/>
      <c r="U826" s="206"/>
      <c r="V826" s="206"/>
      <c r="W826" s="288"/>
      <c r="X826" s="209"/>
      <c r="Y826" s="209"/>
      <c r="Z826" s="209"/>
    </row>
    <row r="827" spans="1:26" ht="12.75" x14ac:dyDescent="0.2">
      <c r="A827" s="206"/>
      <c r="B827" s="206"/>
      <c r="C827" s="206"/>
      <c r="D827" s="206"/>
      <c r="E827" s="206"/>
      <c r="F827" s="206"/>
      <c r="G827" s="206"/>
      <c r="H827" s="206"/>
      <c r="I827" s="206"/>
      <c r="J827" s="206"/>
      <c r="K827" s="206"/>
      <c r="L827" s="206"/>
      <c r="M827" s="288"/>
      <c r="N827" s="288"/>
      <c r="O827" s="289"/>
      <c r="P827" s="289"/>
      <c r="Q827" s="289"/>
      <c r="R827" s="206"/>
      <c r="S827" s="206"/>
      <c r="T827" s="288"/>
      <c r="U827" s="206"/>
      <c r="V827" s="206"/>
      <c r="W827" s="288"/>
      <c r="X827" s="209"/>
      <c r="Y827" s="209"/>
      <c r="Z827" s="209"/>
    </row>
    <row r="828" spans="1:26" ht="12.75" x14ac:dyDescent="0.2">
      <c r="A828" s="206"/>
      <c r="B828" s="206"/>
      <c r="C828" s="206"/>
      <c r="D828" s="206"/>
      <c r="E828" s="206"/>
      <c r="F828" s="206"/>
      <c r="G828" s="206"/>
      <c r="H828" s="206"/>
      <c r="I828" s="206"/>
      <c r="J828" s="206"/>
      <c r="K828" s="206"/>
      <c r="L828" s="206"/>
      <c r="M828" s="288"/>
      <c r="N828" s="288"/>
      <c r="O828" s="289"/>
      <c r="P828" s="289"/>
      <c r="Q828" s="289"/>
      <c r="R828" s="206"/>
      <c r="S828" s="206"/>
      <c r="T828" s="288"/>
      <c r="U828" s="206"/>
      <c r="V828" s="206"/>
      <c r="W828" s="288"/>
      <c r="X828" s="209"/>
      <c r="Y828" s="209"/>
      <c r="Z828" s="209"/>
    </row>
    <row r="829" spans="1:26" ht="12.75" x14ac:dyDescent="0.2">
      <c r="A829" s="206"/>
      <c r="B829" s="206"/>
      <c r="C829" s="206"/>
      <c r="D829" s="206"/>
      <c r="E829" s="206"/>
      <c r="F829" s="206"/>
      <c r="G829" s="206"/>
      <c r="H829" s="206"/>
      <c r="I829" s="206"/>
      <c r="J829" s="206"/>
      <c r="K829" s="206"/>
      <c r="L829" s="206"/>
      <c r="M829" s="288"/>
      <c r="N829" s="288"/>
      <c r="O829" s="289"/>
      <c r="P829" s="289"/>
      <c r="Q829" s="289"/>
      <c r="R829" s="206"/>
      <c r="S829" s="206"/>
      <c r="T829" s="288"/>
      <c r="U829" s="206"/>
      <c r="V829" s="206"/>
      <c r="W829" s="288"/>
      <c r="X829" s="209"/>
      <c r="Y829" s="209"/>
      <c r="Z829" s="209"/>
    </row>
    <row r="830" spans="1:26" ht="12.75" x14ac:dyDescent="0.2">
      <c r="A830" s="206"/>
      <c r="B830" s="206"/>
      <c r="C830" s="206"/>
      <c r="D830" s="206"/>
      <c r="E830" s="206"/>
      <c r="F830" s="206"/>
      <c r="G830" s="206"/>
      <c r="H830" s="206"/>
      <c r="I830" s="206"/>
      <c r="J830" s="206"/>
      <c r="K830" s="206"/>
      <c r="L830" s="206"/>
      <c r="M830" s="288"/>
      <c r="N830" s="288"/>
      <c r="O830" s="289"/>
      <c r="P830" s="289"/>
      <c r="Q830" s="289"/>
      <c r="R830" s="206"/>
      <c r="S830" s="206"/>
      <c r="T830" s="288"/>
      <c r="U830" s="206"/>
      <c r="V830" s="206"/>
      <c r="W830" s="288"/>
      <c r="X830" s="209"/>
      <c r="Y830" s="209"/>
      <c r="Z830" s="209"/>
    </row>
    <row r="831" spans="1:26" ht="12.75" x14ac:dyDescent="0.2">
      <c r="A831" s="206"/>
      <c r="B831" s="206"/>
      <c r="C831" s="206"/>
      <c r="D831" s="206"/>
      <c r="E831" s="206"/>
      <c r="F831" s="206"/>
      <c r="G831" s="206"/>
      <c r="H831" s="206"/>
      <c r="I831" s="206"/>
      <c r="J831" s="206"/>
      <c r="K831" s="206"/>
      <c r="L831" s="206"/>
      <c r="M831" s="288"/>
      <c r="N831" s="288"/>
      <c r="O831" s="289"/>
      <c r="P831" s="289"/>
      <c r="Q831" s="289"/>
      <c r="R831" s="206"/>
      <c r="S831" s="206"/>
      <c r="T831" s="288"/>
      <c r="U831" s="206"/>
      <c r="V831" s="206"/>
      <c r="W831" s="288"/>
      <c r="X831" s="209"/>
      <c r="Y831" s="209"/>
      <c r="Z831" s="209"/>
    </row>
    <row r="832" spans="1:26" ht="12.75" x14ac:dyDescent="0.2">
      <c r="A832" s="206"/>
      <c r="B832" s="206"/>
      <c r="C832" s="206"/>
      <c r="D832" s="206"/>
      <c r="E832" s="206"/>
      <c r="F832" s="206"/>
      <c r="G832" s="206"/>
      <c r="H832" s="206"/>
      <c r="I832" s="206"/>
      <c r="J832" s="206"/>
      <c r="K832" s="206"/>
      <c r="L832" s="206"/>
      <c r="M832" s="288"/>
      <c r="N832" s="288"/>
      <c r="O832" s="289"/>
      <c r="P832" s="289"/>
      <c r="Q832" s="289"/>
      <c r="R832" s="206"/>
      <c r="S832" s="206"/>
      <c r="T832" s="288"/>
      <c r="U832" s="206"/>
      <c r="V832" s="206"/>
      <c r="W832" s="288"/>
      <c r="X832" s="209"/>
      <c r="Y832" s="209"/>
      <c r="Z832" s="209"/>
    </row>
    <row r="833" spans="1:26" ht="12.75" x14ac:dyDescent="0.2">
      <c r="A833" s="206"/>
      <c r="B833" s="206"/>
      <c r="C833" s="206"/>
      <c r="D833" s="206"/>
      <c r="E833" s="206"/>
      <c r="F833" s="206"/>
      <c r="G833" s="206"/>
      <c r="H833" s="206"/>
      <c r="I833" s="206"/>
      <c r="J833" s="206"/>
      <c r="K833" s="206"/>
      <c r="L833" s="206"/>
      <c r="M833" s="288"/>
      <c r="N833" s="288"/>
      <c r="O833" s="289"/>
      <c r="P833" s="289"/>
      <c r="Q833" s="289"/>
      <c r="R833" s="206"/>
      <c r="S833" s="206"/>
      <c r="T833" s="288"/>
      <c r="U833" s="206"/>
      <c r="V833" s="206"/>
      <c r="W833" s="288"/>
      <c r="X833" s="209"/>
      <c r="Y833" s="209"/>
      <c r="Z833" s="209"/>
    </row>
    <row r="834" spans="1:26" ht="12.75" x14ac:dyDescent="0.2">
      <c r="A834" s="206"/>
      <c r="B834" s="206"/>
      <c r="C834" s="206"/>
      <c r="D834" s="206"/>
      <c r="E834" s="206"/>
      <c r="F834" s="206"/>
      <c r="G834" s="206"/>
      <c r="H834" s="206"/>
      <c r="I834" s="206"/>
      <c r="J834" s="206"/>
      <c r="K834" s="206"/>
      <c r="L834" s="206"/>
      <c r="M834" s="288"/>
      <c r="N834" s="288"/>
      <c r="O834" s="289"/>
      <c r="P834" s="289"/>
      <c r="Q834" s="289"/>
      <c r="R834" s="206"/>
      <c r="S834" s="206"/>
      <c r="T834" s="288"/>
      <c r="U834" s="206"/>
      <c r="V834" s="206"/>
      <c r="W834" s="288"/>
      <c r="X834" s="209"/>
      <c r="Y834" s="209"/>
      <c r="Z834" s="209"/>
    </row>
    <row r="835" spans="1:26" ht="12.75" x14ac:dyDescent="0.2">
      <c r="A835" s="206"/>
      <c r="B835" s="206"/>
      <c r="C835" s="206"/>
      <c r="D835" s="206"/>
      <c r="E835" s="206"/>
      <c r="F835" s="206"/>
      <c r="G835" s="206"/>
      <c r="H835" s="206"/>
      <c r="I835" s="206"/>
      <c r="J835" s="206"/>
      <c r="K835" s="206"/>
      <c r="L835" s="206"/>
      <c r="M835" s="288"/>
      <c r="N835" s="288"/>
      <c r="O835" s="289"/>
      <c r="P835" s="289"/>
      <c r="Q835" s="289"/>
      <c r="R835" s="206"/>
      <c r="S835" s="206"/>
      <c r="T835" s="288"/>
      <c r="U835" s="206"/>
      <c r="V835" s="206"/>
      <c r="W835" s="288"/>
      <c r="X835" s="209"/>
      <c r="Y835" s="209"/>
      <c r="Z835" s="209"/>
    </row>
    <row r="836" spans="1:26" ht="12.75" x14ac:dyDescent="0.2">
      <c r="A836" s="206"/>
      <c r="B836" s="206"/>
      <c r="C836" s="206"/>
      <c r="D836" s="206"/>
      <c r="E836" s="206"/>
      <c r="F836" s="206"/>
      <c r="G836" s="206"/>
      <c r="H836" s="206"/>
      <c r="I836" s="206"/>
      <c r="J836" s="206"/>
      <c r="K836" s="206"/>
      <c r="L836" s="206"/>
      <c r="M836" s="288"/>
      <c r="N836" s="288"/>
      <c r="O836" s="289"/>
      <c r="P836" s="289"/>
      <c r="Q836" s="289"/>
      <c r="R836" s="206"/>
      <c r="S836" s="206"/>
      <c r="T836" s="288"/>
      <c r="U836" s="206"/>
      <c r="V836" s="206"/>
      <c r="W836" s="288"/>
      <c r="X836" s="209"/>
      <c r="Y836" s="209"/>
      <c r="Z836" s="209"/>
    </row>
    <row r="837" spans="1:26" ht="12.75" x14ac:dyDescent="0.2">
      <c r="A837" s="206"/>
      <c r="B837" s="206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88"/>
      <c r="N837" s="288"/>
      <c r="O837" s="289"/>
      <c r="P837" s="289"/>
      <c r="Q837" s="289"/>
      <c r="R837" s="206"/>
      <c r="S837" s="206"/>
      <c r="T837" s="288"/>
      <c r="U837" s="206"/>
      <c r="V837" s="206"/>
      <c r="W837" s="288"/>
      <c r="X837" s="209"/>
      <c r="Y837" s="209"/>
      <c r="Z837" s="209"/>
    </row>
    <row r="838" spans="1:26" ht="12.75" x14ac:dyDescent="0.2">
      <c r="A838" s="206"/>
      <c r="B838" s="206"/>
      <c r="C838" s="206"/>
      <c r="D838" s="206"/>
      <c r="E838" s="206"/>
      <c r="F838" s="206"/>
      <c r="G838" s="206"/>
      <c r="H838" s="206"/>
      <c r="I838" s="206"/>
      <c r="J838" s="206"/>
      <c r="K838" s="206"/>
      <c r="L838" s="206"/>
      <c r="M838" s="288"/>
      <c r="N838" s="288"/>
      <c r="O838" s="289"/>
      <c r="P838" s="289"/>
      <c r="Q838" s="289"/>
      <c r="R838" s="206"/>
      <c r="S838" s="206"/>
      <c r="T838" s="288"/>
      <c r="U838" s="206"/>
      <c r="V838" s="206"/>
      <c r="W838" s="288"/>
      <c r="X838" s="209"/>
      <c r="Y838" s="209"/>
      <c r="Z838" s="209"/>
    </row>
    <row r="839" spans="1:26" ht="12.75" x14ac:dyDescent="0.2">
      <c r="A839" s="206"/>
      <c r="B839" s="206"/>
      <c r="C839" s="206"/>
      <c r="D839" s="206"/>
      <c r="E839" s="206"/>
      <c r="F839" s="206"/>
      <c r="G839" s="206"/>
      <c r="H839" s="206"/>
      <c r="I839" s="206"/>
      <c r="J839" s="206"/>
      <c r="K839" s="206"/>
      <c r="L839" s="206"/>
      <c r="M839" s="288"/>
      <c r="N839" s="288"/>
      <c r="O839" s="289"/>
      <c r="P839" s="289"/>
      <c r="Q839" s="289"/>
      <c r="R839" s="206"/>
      <c r="S839" s="206"/>
      <c r="T839" s="288"/>
      <c r="U839" s="206"/>
      <c r="V839" s="206"/>
      <c r="W839" s="288"/>
      <c r="X839" s="209"/>
      <c r="Y839" s="209"/>
      <c r="Z839" s="209"/>
    </row>
    <row r="840" spans="1:26" ht="12.75" x14ac:dyDescent="0.2">
      <c r="A840" s="206"/>
      <c r="B840" s="206"/>
      <c r="C840" s="206"/>
      <c r="D840" s="206"/>
      <c r="E840" s="206"/>
      <c r="F840" s="206"/>
      <c r="G840" s="206"/>
      <c r="H840" s="206"/>
      <c r="I840" s="206"/>
      <c r="J840" s="206"/>
      <c r="K840" s="206"/>
      <c r="L840" s="206"/>
      <c r="M840" s="288"/>
      <c r="N840" s="288"/>
      <c r="O840" s="289"/>
      <c r="P840" s="289"/>
      <c r="Q840" s="289"/>
      <c r="R840" s="206"/>
      <c r="S840" s="206"/>
      <c r="T840" s="288"/>
      <c r="U840" s="206"/>
      <c r="V840" s="206"/>
      <c r="W840" s="288"/>
      <c r="X840" s="209"/>
      <c r="Y840" s="209"/>
      <c r="Z840" s="209"/>
    </row>
    <row r="841" spans="1:26" ht="12.75" x14ac:dyDescent="0.2">
      <c r="A841" s="206"/>
      <c r="B841" s="206"/>
      <c r="C841" s="206"/>
      <c r="D841" s="206"/>
      <c r="E841" s="206"/>
      <c r="F841" s="206"/>
      <c r="G841" s="206"/>
      <c r="H841" s="206"/>
      <c r="I841" s="206"/>
      <c r="J841" s="206"/>
      <c r="K841" s="206"/>
      <c r="L841" s="206"/>
      <c r="M841" s="288"/>
      <c r="N841" s="288"/>
      <c r="O841" s="289"/>
      <c r="P841" s="289"/>
      <c r="Q841" s="289"/>
      <c r="R841" s="206"/>
      <c r="S841" s="206"/>
      <c r="T841" s="288"/>
      <c r="U841" s="206"/>
      <c r="V841" s="206"/>
      <c r="W841" s="288"/>
      <c r="X841" s="209"/>
      <c r="Y841" s="209"/>
      <c r="Z841" s="209"/>
    </row>
    <row r="842" spans="1:26" ht="12.75" x14ac:dyDescent="0.2">
      <c r="A842" s="206"/>
      <c r="B842" s="206"/>
      <c r="C842" s="206"/>
      <c r="D842" s="206"/>
      <c r="E842" s="206"/>
      <c r="F842" s="206"/>
      <c r="G842" s="206"/>
      <c r="H842" s="206"/>
      <c r="I842" s="206"/>
      <c r="J842" s="206"/>
      <c r="K842" s="206"/>
      <c r="L842" s="206"/>
      <c r="M842" s="288"/>
      <c r="N842" s="288"/>
      <c r="O842" s="289"/>
      <c r="P842" s="289"/>
      <c r="Q842" s="289"/>
      <c r="R842" s="206"/>
      <c r="S842" s="206"/>
      <c r="T842" s="288"/>
      <c r="U842" s="206"/>
      <c r="V842" s="206"/>
      <c r="W842" s="288"/>
      <c r="X842" s="209"/>
      <c r="Y842" s="209"/>
      <c r="Z842" s="209"/>
    </row>
    <row r="843" spans="1:26" ht="12.75" x14ac:dyDescent="0.2">
      <c r="A843" s="206"/>
      <c r="B843" s="206"/>
      <c r="C843" s="206"/>
      <c r="D843" s="206"/>
      <c r="E843" s="206"/>
      <c r="F843" s="206"/>
      <c r="G843" s="206"/>
      <c r="H843" s="206"/>
      <c r="I843" s="206"/>
      <c r="J843" s="206"/>
      <c r="K843" s="206"/>
      <c r="L843" s="206"/>
      <c r="M843" s="288"/>
      <c r="N843" s="288"/>
      <c r="O843" s="289"/>
      <c r="P843" s="289"/>
      <c r="Q843" s="289"/>
      <c r="R843" s="206"/>
      <c r="S843" s="206"/>
      <c r="T843" s="288"/>
      <c r="U843" s="206"/>
      <c r="V843" s="206"/>
      <c r="W843" s="288"/>
      <c r="X843" s="209"/>
      <c r="Y843" s="209"/>
      <c r="Z843" s="209"/>
    </row>
    <row r="844" spans="1:26" ht="12.75" x14ac:dyDescent="0.2">
      <c r="A844" s="206"/>
      <c r="B844" s="206"/>
      <c r="C844" s="206"/>
      <c r="D844" s="206"/>
      <c r="E844" s="206"/>
      <c r="F844" s="206"/>
      <c r="G844" s="206"/>
      <c r="H844" s="206"/>
      <c r="I844" s="206"/>
      <c r="J844" s="206"/>
      <c r="K844" s="206"/>
      <c r="L844" s="206"/>
      <c r="M844" s="288"/>
      <c r="N844" s="288"/>
      <c r="O844" s="289"/>
      <c r="P844" s="289"/>
      <c r="Q844" s="289"/>
      <c r="R844" s="206"/>
      <c r="S844" s="206"/>
      <c r="T844" s="288"/>
      <c r="U844" s="206"/>
      <c r="V844" s="206"/>
      <c r="W844" s="288"/>
      <c r="X844" s="209"/>
      <c r="Y844" s="209"/>
      <c r="Z844" s="209"/>
    </row>
    <row r="845" spans="1:26" ht="12.75" x14ac:dyDescent="0.2">
      <c r="A845" s="206"/>
      <c r="B845" s="206"/>
      <c r="C845" s="206"/>
      <c r="D845" s="206"/>
      <c r="E845" s="206"/>
      <c r="F845" s="206"/>
      <c r="G845" s="206"/>
      <c r="H845" s="206"/>
      <c r="I845" s="206"/>
      <c r="J845" s="206"/>
      <c r="K845" s="206"/>
      <c r="L845" s="206"/>
      <c r="M845" s="288"/>
      <c r="N845" s="288"/>
      <c r="O845" s="289"/>
      <c r="P845" s="289"/>
      <c r="Q845" s="289"/>
      <c r="R845" s="206"/>
      <c r="S845" s="206"/>
      <c r="T845" s="288"/>
      <c r="U845" s="206"/>
      <c r="V845" s="206"/>
      <c r="W845" s="288"/>
      <c r="X845" s="209"/>
      <c r="Y845" s="209"/>
      <c r="Z845" s="209"/>
    </row>
    <row r="846" spans="1:26" ht="12.75" x14ac:dyDescent="0.2">
      <c r="A846" s="206"/>
      <c r="B846" s="206"/>
      <c r="C846" s="206"/>
      <c r="D846" s="206"/>
      <c r="E846" s="206"/>
      <c r="F846" s="206"/>
      <c r="G846" s="206"/>
      <c r="H846" s="206"/>
      <c r="I846" s="206"/>
      <c r="J846" s="206"/>
      <c r="K846" s="206"/>
      <c r="L846" s="206"/>
      <c r="M846" s="288"/>
      <c r="N846" s="288"/>
      <c r="O846" s="289"/>
      <c r="P846" s="289"/>
      <c r="Q846" s="289"/>
      <c r="R846" s="206"/>
      <c r="S846" s="206"/>
      <c r="T846" s="288"/>
      <c r="U846" s="206"/>
      <c r="V846" s="206"/>
      <c r="W846" s="288"/>
      <c r="X846" s="209"/>
      <c r="Y846" s="209"/>
      <c r="Z846" s="209"/>
    </row>
    <row r="847" spans="1:26" ht="12.75" x14ac:dyDescent="0.2">
      <c r="A847" s="206"/>
      <c r="B847" s="206"/>
      <c r="C847" s="206"/>
      <c r="D847" s="206"/>
      <c r="E847" s="206"/>
      <c r="F847" s="206"/>
      <c r="G847" s="206"/>
      <c r="H847" s="206"/>
      <c r="I847" s="206"/>
      <c r="J847" s="206"/>
      <c r="K847" s="206"/>
      <c r="L847" s="206"/>
      <c r="M847" s="288"/>
      <c r="N847" s="288"/>
      <c r="O847" s="289"/>
      <c r="P847" s="289"/>
      <c r="Q847" s="289"/>
      <c r="R847" s="206"/>
      <c r="S847" s="206"/>
      <c r="T847" s="288"/>
      <c r="U847" s="206"/>
      <c r="V847" s="206"/>
      <c r="W847" s="288"/>
      <c r="X847" s="209"/>
      <c r="Y847" s="209"/>
      <c r="Z847" s="209"/>
    </row>
    <row r="848" spans="1:26" ht="12.75" x14ac:dyDescent="0.2">
      <c r="A848" s="206"/>
      <c r="B848" s="206"/>
      <c r="C848" s="206"/>
      <c r="D848" s="206"/>
      <c r="E848" s="206"/>
      <c r="F848" s="206"/>
      <c r="G848" s="206"/>
      <c r="H848" s="206"/>
      <c r="I848" s="206"/>
      <c r="J848" s="206"/>
      <c r="K848" s="206"/>
      <c r="L848" s="206"/>
      <c r="M848" s="288"/>
      <c r="N848" s="288"/>
      <c r="O848" s="289"/>
      <c r="P848" s="289"/>
      <c r="Q848" s="289"/>
      <c r="R848" s="206"/>
      <c r="S848" s="206"/>
      <c r="T848" s="288"/>
      <c r="U848" s="206"/>
      <c r="V848" s="206"/>
      <c r="W848" s="288"/>
      <c r="X848" s="209"/>
      <c r="Y848" s="209"/>
      <c r="Z848" s="209"/>
    </row>
    <row r="849" spans="1:26" ht="12.75" x14ac:dyDescent="0.2">
      <c r="A849" s="206"/>
      <c r="B849" s="206"/>
      <c r="C849" s="206"/>
      <c r="D849" s="206"/>
      <c r="E849" s="206"/>
      <c r="F849" s="206"/>
      <c r="G849" s="206"/>
      <c r="H849" s="206"/>
      <c r="I849" s="206"/>
      <c r="J849" s="206"/>
      <c r="K849" s="206"/>
      <c r="L849" s="206"/>
      <c r="M849" s="288"/>
      <c r="N849" s="288"/>
      <c r="O849" s="289"/>
      <c r="P849" s="289"/>
      <c r="Q849" s="289"/>
      <c r="R849" s="206"/>
      <c r="S849" s="206"/>
      <c r="T849" s="288"/>
      <c r="U849" s="206"/>
      <c r="V849" s="206"/>
      <c r="W849" s="288"/>
      <c r="X849" s="209"/>
      <c r="Y849" s="209"/>
      <c r="Z849" s="209"/>
    </row>
    <row r="850" spans="1:26" ht="12.75" x14ac:dyDescent="0.2">
      <c r="A850" s="206"/>
      <c r="B850" s="206"/>
      <c r="C850" s="206"/>
      <c r="D850" s="206"/>
      <c r="E850" s="206"/>
      <c r="F850" s="206"/>
      <c r="G850" s="206"/>
      <c r="H850" s="206"/>
      <c r="I850" s="206"/>
      <c r="J850" s="206"/>
      <c r="K850" s="206"/>
      <c r="L850" s="206"/>
      <c r="M850" s="288"/>
      <c r="N850" s="288"/>
      <c r="O850" s="289"/>
      <c r="P850" s="289"/>
      <c r="Q850" s="289"/>
      <c r="R850" s="206"/>
      <c r="S850" s="206"/>
      <c r="T850" s="288"/>
      <c r="U850" s="206"/>
      <c r="V850" s="206"/>
      <c r="W850" s="288"/>
      <c r="X850" s="209"/>
      <c r="Y850" s="209"/>
      <c r="Z850" s="209"/>
    </row>
    <row r="851" spans="1:26" ht="12.75" x14ac:dyDescent="0.2">
      <c r="A851" s="206"/>
      <c r="B851" s="206"/>
      <c r="C851" s="206"/>
      <c r="D851" s="206"/>
      <c r="E851" s="206"/>
      <c r="F851" s="206"/>
      <c r="G851" s="206"/>
      <c r="H851" s="206"/>
      <c r="I851" s="206"/>
      <c r="J851" s="206"/>
      <c r="K851" s="206"/>
      <c r="L851" s="206"/>
      <c r="M851" s="288"/>
      <c r="N851" s="288"/>
      <c r="O851" s="289"/>
      <c r="P851" s="289"/>
      <c r="Q851" s="289"/>
      <c r="R851" s="206"/>
      <c r="S851" s="206"/>
      <c r="T851" s="288"/>
      <c r="U851" s="206"/>
      <c r="V851" s="206"/>
      <c r="W851" s="288"/>
      <c r="X851" s="209"/>
      <c r="Y851" s="209"/>
      <c r="Z851" s="209"/>
    </row>
    <row r="852" spans="1:26" ht="12.75" x14ac:dyDescent="0.2">
      <c r="A852" s="206"/>
      <c r="B852" s="206"/>
      <c r="C852" s="206"/>
      <c r="D852" s="206"/>
      <c r="E852" s="206"/>
      <c r="F852" s="206"/>
      <c r="G852" s="206"/>
      <c r="H852" s="206"/>
      <c r="I852" s="206"/>
      <c r="J852" s="206"/>
      <c r="K852" s="206"/>
      <c r="L852" s="206"/>
      <c r="M852" s="288"/>
      <c r="N852" s="288"/>
      <c r="O852" s="289"/>
      <c r="P852" s="289"/>
      <c r="Q852" s="289"/>
      <c r="R852" s="206"/>
      <c r="S852" s="206"/>
      <c r="T852" s="288"/>
      <c r="U852" s="206"/>
      <c r="V852" s="206"/>
      <c r="W852" s="288"/>
      <c r="X852" s="209"/>
      <c r="Y852" s="209"/>
      <c r="Z852" s="209"/>
    </row>
    <row r="853" spans="1:26" ht="12.75" x14ac:dyDescent="0.2">
      <c r="A853" s="206"/>
      <c r="B853" s="206"/>
      <c r="C853" s="206"/>
      <c r="D853" s="206"/>
      <c r="E853" s="206"/>
      <c r="F853" s="206"/>
      <c r="G853" s="206"/>
      <c r="H853" s="206"/>
      <c r="I853" s="206"/>
      <c r="J853" s="206"/>
      <c r="K853" s="206"/>
      <c r="L853" s="206"/>
      <c r="M853" s="288"/>
      <c r="N853" s="288"/>
      <c r="O853" s="289"/>
      <c r="P853" s="289"/>
      <c r="Q853" s="289"/>
      <c r="R853" s="206"/>
      <c r="S853" s="206"/>
      <c r="T853" s="288"/>
      <c r="U853" s="206"/>
      <c r="V853" s="206"/>
      <c r="W853" s="288"/>
      <c r="X853" s="209"/>
      <c r="Y853" s="209"/>
      <c r="Z853" s="209"/>
    </row>
    <row r="854" spans="1:26" ht="12.75" x14ac:dyDescent="0.2">
      <c r="A854" s="206"/>
      <c r="B854" s="206"/>
      <c r="C854" s="206"/>
      <c r="D854" s="206"/>
      <c r="E854" s="206"/>
      <c r="F854" s="206"/>
      <c r="G854" s="206"/>
      <c r="H854" s="206"/>
      <c r="I854" s="206"/>
      <c r="J854" s="206"/>
      <c r="K854" s="206"/>
      <c r="L854" s="206"/>
      <c r="M854" s="288"/>
      <c r="N854" s="288"/>
      <c r="O854" s="289"/>
      <c r="P854" s="289"/>
      <c r="Q854" s="289"/>
      <c r="R854" s="206"/>
      <c r="S854" s="206"/>
      <c r="T854" s="288"/>
      <c r="U854" s="206"/>
      <c r="V854" s="206"/>
      <c r="W854" s="288"/>
      <c r="X854" s="209"/>
      <c r="Y854" s="209"/>
      <c r="Z854" s="209"/>
    </row>
    <row r="855" spans="1:26" ht="12.75" x14ac:dyDescent="0.2">
      <c r="A855" s="206"/>
      <c r="B855" s="206"/>
      <c r="C855" s="206"/>
      <c r="D855" s="206"/>
      <c r="E855" s="206"/>
      <c r="F855" s="206"/>
      <c r="G855" s="206"/>
      <c r="H855" s="206"/>
      <c r="I855" s="206"/>
      <c r="J855" s="206"/>
      <c r="K855" s="206"/>
      <c r="L855" s="206"/>
      <c r="M855" s="288"/>
      <c r="N855" s="288"/>
      <c r="O855" s="289"/>
      <c r="P855" s="289"/>
      <c r="Q855" s="289"/>
      <c r="R855" s="206"/>
      <c r="S855" s="206"/>
      <c r="T855" s="288"/>
      <c r="U855" s="206"/>
      <c r="V855" s="206"/>
      <c r="W855" s="288"/>
      <c r="X855" s="209"/>
      <c r="Y855" s="209"/>
      <c r="Z855" s="209"/>
    </row>
    <row r="856" spans="1:26" ht="12.75" x14ac:dyDescent="0.2">
      <c r="A856" s="206"/>
      <c r="B856" s="206"/>
      <c r="C856" s="206"/>
      <c r="D856" s="206"/>
      <c r="E856" s="206"/>
      <c r="F856" s="206"/>
      <c r="G856" s="206"/>
      <c r="H856" s="206"/>
      <c r="I856" s="206"/>
      <c r="J856" s="206"/>
      <c r="K856" s="206"/>
      <c r="L856" s="206"/>
      <c r="M856" s="288"/>
      <c r="N856" s="288"/>
      <c r="O856" s="289"/>
      <c r="P856" s="289"/>
      <c r="Q856" s="289"/>
      <c r="R856" s="206"/>
      <c r="S856" s="206"/>
      <c r="T856" s="288"/>
      <c r="U856" s="206"/>
      <c r="V856" s="206"/>
      <c r="W856" s="288"/>
      <c r="X856" s="209"/>
      <c r="Y856" s="209"/>
      <c r="Z856" s="209"/>
    </row>
    <row r="857" spans="1:26" ht="12.75" x14ac:dyDescent="0.2">
      <c r="A857" s="206"/>
      <c r="B857" s="206"/>
      <c r="C857" s="206"/>
      <c r="D857" s="206"/>
      <c r="E857" s="206"/>
      <c r="F857" s="206"/>
      <c r="G857" s="206"/>
      <c r="H857" s="206"/>
      <c r="I857" s="206"/>
      <c r="J857" s="206"/>
      <c r="K857" s="206"/>
      <c r="L857" s="206"/>
      <c r="M857" s="288"/>
      <c r="N857" s="288"/>
      <c r="O857" s="289"/>
      <c r="P857" s="289"/>
      <c r="Q857" s="289"/>
      <c r="R857" s="206"/>
      <c r="S857" s="206"/>
      <c r="T857" s="288"/>
      <c r="U857" s="206"/>
      <c r="V857" s="206"/>
      <c r="W857" s="288"/>
      <c r="X857" s="209"/>
      <c r="Y857" s="209"/>
      <c r="Z857" s="209"/>
    </row>
    <row r="858" spans="1:26" ht="12.75" x14ac:dyDescent="0.2">
      <c r="A858" s="206"/>
      <c r="B858" s="206"/>
      <c r="C858" s="206"/>
      <c r="D858" s="206"/>
      <c r="E858" s="206"/>
      <c r="F858" s="206"/>
      <c r="G858" s="206"/>
      <c r="H858" s="206"/>
      <c r="I858" s="206"/>
      <c r="J858" s="206"/>
      <c r="K858" s="206"/>
      <c r="L858" s="206"/>
      <c r="M858" s="288"/>
      <c r="N858" s="288"/>
      <c r="O858" s="289"/>
      <c r="P858" s="289"/>
      <c r="Q858" s="289"/>
      <c r="R858" s="206"/>
      <c r="S858" s="206"/>
      <c r="T858" s="288"/>
      <c r="U858" s="206"/>
      <c r="V858" s="206"/>
      <c r="W858" s="288"/>
      <c r="X858" s="209"/>
      <c r="Y858" s="209"/>
      <c r="Z858" s="209"/>
    </row>
    <row r="859" spans="1:26" ht="12.75" x14ac:dyDescent="0.2">
      <c r="A859" s="206"/>
      <c r="B859" s="206"/>
      <c r="C859" s="206"/>
      <c r="D859" s="206"/>
      <c r="E859" s="206"/>
      <c r="F859" s="206"/>
      <c r="G859" s="206"/>
      <c r="H859" s="206"/>
      <c r="I859" s="206"/>
      <c r="J859" s="206"/>
      <c r="K859" s="206"/>
      <c r="L859" s="206"/>
      <c r="M859" s="288"/>
      <c r="N859" s="288"/>
      <c r="O859" s="289"/>
      <c r="P859" s="289"/>
      <c r="Q859" s="289"/>
      <c r="R859" s="206"/>
      <c r="S859" s="206"/>
      <c r="T859" s="288"/>
      <c r="U859" s="206"/>
      <c r="V859" s="206"/>
      <c r="W859" s="288"/>
      <c r="X859" s="209"/>
      <c r="Y859" s="209"/>
      <c r="Z859" s="209"/>
    </row>
    <row r="860" spans="1:26" ht="12.75" x14ac:dyDescent="0.2">
      <c r="A860" s="206"/>
      <c r="B860" s="206"/>
      <c r="C860" s="206"/>
      <c r="D860" s="206"/>
      <c r="E860" s="206"/>
      <c r="F860" s="206"/>
      <c r="G860" s="206"/>
      <c r="H860" s="206"/>
      <c r="I860" s="206"/>
      <c r="J860" s="206"/>
      <c r="K860" s="206"/>
      <c r="L860" s="206"/>
      <c r="M860" s="288"/>
      <c r="N860" s="288"/>
      <c r="O860" s="289"/>
      <c r="P860" s="289"/>
      <c r="Q860" s="289"/>
      <c r="R860" s="206"/>
      <c r="S860" s="206"/>
      <c r="T860" s="288"/>
      <c r="U860" s="206"/>
      <c r="V860" s="206"/>
      <c r="W860" s="288"/>
      <c r="X860" s="209"/>
      <c r="Y860" s="209"/>
      <c r="Z860" s="209"/>
    </row>
    <row r="861" spans="1:26" ht="12.75" x14ac:dyDescent="0.2">
      <c r="A861" s="206"/>
      <c r="B861" s="206"/>
      <c r="C861" s="206"/>
      <c r="D861" s="206"/>
      <c r="E861" s="206"/>
      <c r="F861" s="206"/>
      <c r="G861" s="206"/>
      <c r="H861" s="206"/>
      <c r="I861" s="206"/>
      <c r="J861" s="206"/>
      <c r="K861" s="206"/>
      <c r="L861" s="206"/>
      <c r="M861" s="288"/>
      <c r="N861" s="288"/>
      <c r="O861" s="289"/>
      <c r="P861" s="289"/>
      <c r="Q861" s="289"/>
      <c r="R861" s="206"/>
      <c r="S861" s="206"/>
      <c r="T861" s="288"/>
      <c r="U861" s="206"/>
      <c r="V861" s="206"/>
      <c r="W861" s="288"/>
      <c r="X861" s="209"/>
      <c r="Y861" s="209"/>
      <c r="Z861" s="209"/>
    </row>
    <row r="862" spans="1:26" ht="12.75" x14ac:dyDescent="0.2">
      <c r="A862" s="206"/>
      <c r="B862" s="206"/>
      <c r="C862" s="206"/>
      <c r="D862" s="206"/>
      <c r="E862" s="206"/>
      <c r="F862" s="206"/>
      <c r="G862" s="206"/>
      <c r="H862" s="206"/>
      <c r="I862" s="206"/>
      <c r="J862" s="206"/>
      <c r="K862" s="206"/>
      <c r="L862" s="206"/>
      <c r="M862" s="288"/>
      <c r="N862" s="288"/>
      <c r="O862" s="289"/>
      <c r="P862" s="289"/>
      <c r="Q862" s="289"/>
      <c r="R862" s="206"/>
      <c r="S862" s="206"/>
      <c r="T862" s="288"/>
      <c r="U862" s="206"/>
      <c r="V862" s="206"/>
      <c r="W862" s="288"/>
      <c r="X862" s="209"/>
      <c r="Y862" s="209"/>
      <c r="Z862" s="209"/>
    </row>
    <row r="863" spans="1:26" ht="12.75" x14ac:dyDescent="0.2">
      <c r="A863" s="206"/>
      <c r="B863" s="206"/>
      <c r="C863" s="206"/>
      <c r="D863" s="206"/>
      <c r="E863" s="206"/>
      <c r="F863" s="206"/>
      <c r="G863" s="206"/>
      <c r="H863" s="206"/>
      <c r="I863" s="206"/>
      <c r="J863" s="206"/>
      <c r="K863" s="206"/>
      <c r="L863" s="206"/>
      <c r="M863" s="288"/>
      <c r="N863" s="288"/>
      <c r="O863" s="289"/>
      <c r="P863" s="289"/>
      <c r="Q863" s="289"/>
      <c r="R863" s="206"/>
      <c r="S863" s="206"/>
      <c r="T863" s="288"/>
      <c r="U863" s="206"/>
      <c r="V863" s="206"/>
      <c r="W863" s="288"/>
      <c r="X863" s="209"/>
      <c r="Y863" s="209"/>
      <c r="Z863" s="209"/>
    </row>
    <row r="864" spans="1:26" ht="12.75" x14ac:dyDescent="0.2">
      <c r="A864" s="206"/>
      <c r="B864" s="206"/>
      <c r="C864" s="206"/>
      <c r="D864" s="206"/>
      <c r="E864" s="206"/>
      <c r="F864" s="206"/>
      <c r="G864" s="206"/>
      <c r="H864" s="206"/>
      <c r="I864" s="206"/>
      <c r="J864" s="206"/>
      <c r="K864" s="206"/>
      <c r="L864" s="206"/>
      <c r="M864" s="288"/>
      <c r="N864" s="288"/>
      <c r="O864" s="289"/>
      <c r="P864" s="289"/>
      <c r="Q864" s="289"/>
      <c r="R864" s="206"/>
      <c r="S864" s="206"/>
      <c r="T864" s="288"/>
      <c r="U864" s="206"/>
      <c r="V864" s="206"/>
      <c r="W864" s="288"/>
      <c r="X864" s="209"/>
      <c r="Y864" s="209"/>
      <c r="Z864" s="209"/>
    </row>
    <row r="865" spans="1:26" ht="12.75" x14ac:dyDescent="0.2">
      <c r="A865" s="206"/>
      <c r="B865" s="206"/>
      <c r="C865" s="206"/>
      <c r="D865" s="206"/>
      <c r="E865" s="206"/>
      <c r="F865" s="206"/>
      <c r="G865" s="206"/>
      <c r="H865" s="206"/>
      <c r="I865" s="206"/>
      <c r="J865" s="206"/>
      <c r="K865" s="206"/>
      <c r="L865" s="206"/>
      <c r="M865" s="288"/>
      <c r="N865" s="288"/>
      <c r="O865" s="289"/>
      <c r="P865" s="289"/>
      <c r="Q865" s="289"/>
      <c r="R865" s="206"/>
      <c r="S865" s="206"/>
      <c r="T865" s="288"/>
      <c r="U865" s="206"/>
      <c r="V865" s="206"/>
      <c r="W865" s="288"/>
      <c r="X865" s="209"/>
      <c r="Y865" s="209"/>
      <c r="Z865" s="209"/>
    </row>
    <row r="866" spans="1:26" ht="12.75" x14ac:dyDescent="0.2">
      <c r="A866" s="206"/>
      <c r="B866" s="206"/>
      <c r="C866" s="206"/>
      <c r="D866" s="206"/>
      <c r="E866" s="206"/>
      <c r="F866" s="206"/>
      <c r="G866" s="206"/>
      <c r="H866" s="206"/>
      <c r="I866" s="206"/>
      <c r="J866" s="206"/>
      <c r="K866" s="206"/>
      <c r="L866" s="206"/>
      <c r="M866" s="288"/>
      <c r="N866" s="288"/>
      <c r="O866" s="289"/>
      <c r="P866" s="289"/>
      <c r="Q866" s="289"/>
      <c r="R866" s="206"/>
      <c r="S866" s="206"/>
      <c r="T866" s="288"/>
      <c r="U866" s="206"/>
      <c r="V866" s="206"/>
      <c r="W866" s="288"/>
      <c r="X866" s="209"/>
      <c r="Y866" s="209"/>
      <c r="Z866" s="209"/>
    </row>
    <row r="867" spans="1:26" ht="12.75" x14ac:dyDescent="0.2">
      <c r="A867" s="206"/>
      <c r="B867" s="206"/>
      <c r="C867" s="206"/>
      <c r="D867" s="206"/>
      <c r="E867" s="206"/>
      <c r="F867" s="206"/>
      <c r="G867" s="206"/>
      <c r="H867" s="206"/>
      <c r="I867" s="206"/>
      <c r="J867" s="206"/>
      <c r="K867" s="206"/>
      <c r="L867" s="206"/>
      <c r="M867" s="288"/>
      <c r="N867" s="288"/>
      <c r="O867" s="289"/>
      <c r="P867" s="289"/>
      <c r="Q867" s="289"/>
      <c r="R867" s="206"/>
      <c r="S867" s="206"/>
      <c r="T867" s="288"/>
      <c r="U867" s="206"/>
      <c r="V867" s="206"/>
      <c r="W867" s="288"/>
      <c r="X867" s="209"/>
      <c r="Y867" s="209"/>
      <c r="Z867" s="209"/>
    </row>
    <row r="868" spans="1:26" ht="12.75" x14ac:dyDescent="0.2">
      <c r="A868" s="206"/>
      <c r="B868" s="206"/>
      <c r="C868" s="206"/>
      <c r="D868" s="206"/>
      <c r="E868" s="206"/>
      <c r="F868" s="206"/>
      <c r="G868" s="206"/>
      <c r="H868" s="206"/>
      <c r="I868" s="206"/>
      <c r="J868" s="206"/>
      <c r="K868" s="206"/>
      <c r="L868" s="206"/>
      <c r="M868" s="288"/>
      <c r="N868" s="288"/>
      <c r="O868" s="289"/>
      <c r="P868" s="289"/>
      <c r="Q868" s="289"/>
      <c r="R868" s="206"/>
      <c r="S868" s="206"/>
      <c r="T868" s="288"/>
      <c r="U868" s="206"/>
      <c r="V868" s="206"/>
      <c r="W868" s="288"/>
      <c r="X868" s="209"/>
      <c r="Y868" s="209"/>
      <c r="Z868" s="209"/>
    </row>
    <row r="869" spans="1:26" ht="12.75" x14ac:dyDescent="0.2">
      <c r="A869" s="206"/>
      <c r="B869" s="206"/>
      <c r="C869" s="206"/>
      <c r="D869" s="206"/>
      <c r="E869" s="206"/>
      <c r="F869" s="206"/>
      <c r="G869" s="206"/>
      <c r="H869" s="206"/>
      <c r="I869" s="206"/>
      <c r="J869" s="206"/>
      <c r="K869" s="206"/>
      <c r="L869" s="206"/>
      <c r="M869" s="288"/>
      <c r="N869" s="288"/>
      <c r="O869" s="289"/>
      <c r="P869" s="289"/>
      <c r="Q869" s="289"/>
      <c r="R869" s="206"/>
      <c r="S869" s="206"/>
      <c r="T869" s="288"/>
      <c r="U869" s="206"/>
      <c r="V869" s="206"/>
      <c r="W869" s="288"/>
      <c r="X869" s="209"/>
      <c r="Y869" s="209"/>
      <c r="Z869" s="209"/>
    </row>
    <row r="870" spans="1:26" ht="12.75" x14ac:dyDescent="0.2">
      <c r="A870" s="206"/>
      <c r="B870" s="206"/>
      <c r="C870" s="206"/>
      <c r="D870" s="206"/>
      <c r="E870" s="206"/>
      <c r="F870" s="206"/>
      <c r="G870" s="206"/>
      <c r="H870" s="206"/>
      <c r="I870" s="206"/>
      <c r="J870" s="206"/>
      <c r="K870" s="206"/>
      <c r="L870" s="206"/>
      <c r="M870" s="288"/>
      <c r="N870" s="288"/>
      <c r="O870" s="289"/>
      <c r="P870" s="289"/>
      <c r="Q870" s="289"/>
      <c r="R870" s="206"/>
      <c r="S870" s="206"/>
      <c r="T870" s="288"/>
      <c r="U870" s="206"/>
      <c r="V870" s="206"/>
      <c r="W870" s="288"/>
      <c r="X870" s="209"/>
      <c r="Y870" s="209"/>
      <c r="Z870" s="209"/>
    </row>
    <row r="871" spans="1:26" ht="12.75" x14ac:dyDescent="0.2">
      <c r="A871" s="206"/>
      <c r="B871" s="206"/>
      <c r="C871" s="206"/>
      <c r="D871" s="206"/>
      <c r="E871" s="206"/>
      <c r="F871" s="206"/>
      <c r="G871" s="206"/>
      <c r="H871" s="206"/>
      <c r="I871" s="206"/>
      <c r="J871" s="206"/>
      <c r="K871" s="206"/>
      <c r="L871" s="206"/>
      <c r="M871" s="288"/>
      <c r="N871" s="288"/>
      <c r="O871" s="289"/>
      <c r="P871" s="289"/>
      <c r="Q871" s="289"/>
      <c r="R871" s="206"/>
      <c r="S871" s="206"/>
      <c r="T871" s="288"/>
      <c r="U871" s="206"/>
      <c r="V871" s="206"/>
      <c r="W871" s="288"/>
      <c r="X871" s="209"/>
      <c r="Y871" s="209"/>
      <c r="Z871" s="209"/>
    </row>
    <row r="872" spans="1:26" ht="12.75" x14ac:dyDescent="0.2">
      <c r="A872" s="206"/>
      <c r="B872" s="206"/>
      <c r="C872" s="206"/>
      <c r="D872" s="206"/>
      <c r="E872" s="206"/>
      <c r="F872" s="206"/>
      <c r="G872" s="206"/>
      <c r="H872" s="206"/>
      <c r="I872" s="206"/>
      <c r="J872" s="206"/>
      <c r="K872" s="206"/>
      <c r="L872" s="206"/>
      <c r="M872" s="288"/>
      <c r="N872" s="288"/>
      <c r="O872" s="289"/>
      <c r="P872" s="289"/>
      <c r="Q872" s="289"/>
      <c r="R872" s="206"/>
      <c r="S872" s="206"/>
      <c r="T872" s="288"/>
      <c r="U872" s="206"/>
      <c r="V872" s="206"/>
      <c r="W872" s="288"/>
      <c r="X872" s="209"/>
      <c r="Y872" s="209"/>
      <c r="Z872" s="209"/>
    </row>
    <row r="873" spans="1:26" ht="12.75" x14ac:dyDescent="0.2">
      <c r="A873" s="206"/>
      <c r="B873" s="206"/>
      <c r="C873" s="206"/>
      <c r="D873" s="206"/>
      <c r="E873" s="206"/>
      <c r="F873" s="206"/>
      <c r="G873" s="206"/>
      <c r="H873" s="206"/>
      <c r="I873" s="206"/>
      <c r="J873" s="206"/>
      <c r="K873" s="206"/>
      <c r="L873" s="206"/>
      <c r="M873" s="288"/>
      <c r="N873" s="288"/>
      <c r="O873" s="289"/>
      <c r="P873" s="289"/>
      <c r="Q873" s="289"/>
      <c r="R873" s="206"/>
      <c r="S873" s="206"/>
      <c r="T873" s="288"/>
      <c r="U873" s="206"/>
      <c r="V873" s="206"/>
      <c r="W873" s="288"/>
      <c r="X873" s="209"/>
      <c r="Y873" s="209"/>
      <c r="Z873" s="209"/>
    </row>
    <row r="874" spans="1:26" ht="12.75" x14ac:dyDescent="0.2">
      <c r="A874" s="206"/>
      <c r="B874" s="206"/>
      <c r="C874" s="206"/>
      <c r="D874" s="206"/>
      <c r="E874" s="206"/>
      <c r="F874" s="206"/>
      <c r="G874" s="206"/>
      <c r="H874" s="206"/>
      <c r="I874" s="206"/>
      <c r="J874" s="206"/>
      <c r="K874" s="206"/>
      <c r="L874" s="206"/>
      <c r="M874" s="288"/>
      <c r="N874" s="288"/>
      <c r="O874" s="289"/>
      <c r="P874" s="289"/>
      <c r="Q874" s="289"/>
      <c r="R874" s="206"/>
      <c r="S874" s="206"/>
      <c r="T874" s="288"/>
      <c r="U874" s="206"/>
      <c r="V874" s="206"/>
      <c r="W874" s="288"/>
      <c r="X874" s="209"/>
      <c r="Y874" s="209"/>
      <c r="Z874" s="209"/>
    </row>
    <row r="875" spans="1:26" ht="12.75" x14ac:dyDescent="0.2">
      <c r="A875" s="206"/>
      <c r="B875" s="206"/>
      <c r="C875" s="206"/>
      <c r="D875" s="206"/>
      <c r="E875" s="206"/>
      <c r="F875" s="206"/>
      <c r="G875" s="206"/>
      <c r="H875" s="206"/>
      <c r="I875" s="206"/>
      <c r="J875" s="206"/>
      <c r="K875" s="206"/>
      <c r="L875" s="206"/>
      <c r="M875" s="288"/>
      <c r="N875" s="288"/>
      <c r="O875" s="289"/>
      <c r="P875" s="289"/>
      <c r="Q875" s="289"/>
      <c r="R875" s="206"/>
      <c r="S875" s="206"/>
      <c r="T875" s="288"/>
      <c r="U875" s="206"/>
      <c r="V875" s="206"/>
      <c r="W875" s="288"/>
      <c r="X875" s="209"/>
      <c r="Y875" s="209"/>
      <c r="Z875" s="209"/>
    </row>
    <row r="876" spans="1:26" ht="12.75" x14ac:dyDescent="0.2">
      <c r="A876" s="206"/>
      <c r="B876" s="206"/>
      <c r="C876" s="206"/>
      <c r="D876" s="206"/>
      <c r="E876" s="206"/>
      <c r="F876" s="206"/>
      <c r="G876" s="206"/>
      <c r="H876" s="206"/>
      <c r="I876" s="206"/>
      <c r="J876" s="206"/>
      <c r="K876" s="206"/>
      <c r="L876" s="206"/>
      <c r="M876" s="288"/>
      <c r="N876" s="288"/>
      <c r="O876" s="289"/>
      <c r="P876" s="289"/>
      <c r="Q876" s="289"/>
      <c r="R876" s="206"/>
      <c r="S876" s="206"/>
      <c r="T876" s="288"/>
      <c r="U876" s="206"/>
      <c r="V876" s="206"/>
      <c r="W876" s="288"/>
      <c r="X876" s="209"/>
      <c r="Y876" s="209"/>
      <c r="Z876" s="209"/>
    </row>
    <row r="877" spans="1:26" ht="12.75" x14ac:dyDescent="0.2">
      <c r="A877" s="206"/>
      <c r="B877" s="206"/>
      <c r="C877" s="206"/>
      <c r="D877" s="206"/>
      <c r="E877" s="206"/>
      <c r="F877" s="206"/>
      <c r="G877" s="206"/>
      <c r="H877" s="206"/>
      <c r="I877" s="206"/>
      <c r="J877" s="206"/>
      <c r="K877" s="206"/>
      <c r="L877" s="206"/>
      <c r="M877" s="288"/>
      <c r="N877" s="288"/>
      <c r="O877" s="289"/>
      <c r="P877" s="289"/>
      <c r="Q877" s="289"/>
      <c r="R877" s="206"/>
      <c r="S877" s="206"/>
      <c r="T877" s="288"/>
      <c r="U877" s="206"/>
      <c r="V877" s="206"/>
      <c r="W877" s="288"/>
      <c r="X877" s="209"/>
      <c r="Y877" s="209"/>
      <c r="Z877" s="209"/>
    </row>
    <row r="878" spans="1:26" ht="12.75" x14ac:dyDescent="0.2">
      <c r="A878" s="206"/>
      <c r="B878" s="206"/>
      <c r="C878" s="206"/>
      <c r="D878" s="206"/>
      <c r="E878" s="206"/>
      <c r="F878" s="206"/>
      <c r="G878" s="206"/>
      <c r="H878" s="206"/>
      <c r="I878" s="206"/>
      <c r="J878" s="206"/>
      <c r="K878" s="206"/>
      <c r="L878" s="206"/>
      <c r="M878" s="288"/>
      <c r="N878" s="288"/>
      <c r="O878" s="289"/>
      <c r="P878" s="289"/>
      <c r="Q878" s="289"/>
      <c r="R878" s="206"/>
      <c r="S878" s="206"/>
      <c r="T878" s="288"/>
      <c r="U878" s="206"/>
      <c r="V878" s="206"/>
      <c r="W878" s="288"/>
      <c r="X878" s="209"/>
      <c r="Y878" s="209"/>
      <c r="Z878" s="209"/>
    </row>
    <row r="879" spans="1:26" ht="12.75" x14ac:dyDescent="0.2">
      <c r="A879" s="206"/>
      <c r="B879" s="206"/>
      <c r="C879" s="206"/>
      <c r="D879" s="206"/>
      <c r="E879" s="206"/>
      <c r="F879" s="206"/>
      <c r="G879" s="206"/>
      <c r="H879" s="206"/>
      <c r="I879" s="206"/>
      <c r="J879" s="206"/>
      <c r="K879" s="206"/>
      <c r="L879" s="206"/>
      <c r="M879" s="288"/>
      <c r="N879" s="288"/>
      <c r="O879" s="289"/>
      <c r="P879" s="289"/>
      <c r="Q879" s="289"/>
      <c r="R879" s="206"/>
      <c r="S879" s="206"/>
      <c r="T879" s="288"/>
      <c r="U879" s="206"/>
      <c r="V879" s="206"/>
      <c r="W879" s="288"/>
      <c r="X879" s="209"/>
      <c r="Y879" s="209"/>
      <c r="Z879" s="209"/>
    </row>
    <row r="880" spans="1:26" ht="12.75" x14ac:dyDescent="0.2">
      <c r="A880" s="206"/>
      <c r="B880" s="206"/>
      <c r="C880" s="206"/>
      <c r="D880" s="206"/>
      <c r="E880" s="206"/>
      <c r="F880" s="206"/>
      <c r="G880" s="206"/>
      <c r="H880" s="206"/>
      <c r="I880" s="206"/>
      <c r="J880" s="206"/>
      <c r="K880" s="206"/>
      <c r="L880" s="206"/>
      <c r="M880" s="288"/>
      <c r="N880" s="288"/>
      <c r="O880" s="289"/>
      <c r="P880" s="289"/>
      <c r="Q880" s="289"/>
      <c r="R880" s="206"/>
      <c r="S880" s="206"/>
      <c r="T880" s="288"/>
      <c r="U880" s="206"/>
      <c r="V880" s="206"/>
      <c r="W880" s="288"/>
      <c r="X880" s="209"/>
      <c r="Y880" s="209"/>
      <c r="Z880" s="209"/>
    </row>
    <row r="881" spans="1:26" ht="12.75" x14ac:dyDescent="0.2">
      <c r="A881" s="206"/>
      <c r="B881" s="206"/>
      <c r="C881" s="206"/>
      <c r="D881" s="206"/>
      <c r="E881" s="206"/>
      <c r="F881" s="206"/>
      <c r="G881" s="206"/>
      <c r="H881" s="206"/>
      <c r="I881" s="206"/>
      <c r="J881" s="206"/>
      <c r="K881" s="206"/>
      <c r="L881" s="206"/>
      <c r="M881" s="288"/>
      <c r="N881" s="288"/>
      <c r="O881" s="289"/>
      <c r="P881" s="289"/>
      <c r="Q881" s="289"/>
      <c r="R881" s="206"/>
      <c r="S881" s="206"/>
      <c r="T881" s="288"/>
      <c r="U881" s="206"/>
      <c r="V881" s="206"/>
      <c r="W881" s="288"/>
      <c r="X881" s="209"/>
      <c r="Y881" s="209"/>
      <c r="Z881" s="209"/>
    </row>
    <row r="882" spans="1:26" ht="12.75" x14ac:dyDescent="0.2">
      <c r="A882" s="206"/>
      <c r="B882" s="206"/>
      <c r="C882" s="206"/>
      <c r="D882" s="206"/>
      <c r="E882" s="206"/>
      <c r="F882" s="206"/>
      <c r="G882" s="206"/>
      <c r="H882" s="206"/>
      <c r="I882" s="206"/>
      <c r="J882" s="206"/>
      <c r="K882" s="206"/>
      <c r="L882" s="206"/>
      <c r="M882" s="288"/>
      <c r="N882" s="288"/>
      <c r="O882" s="289"/>
      <c r="P882" s="289"/>
      <c r="Q882" s="289"/>
      <c r="R882" s="206"/>
      <c r="S882" s="206"/>
      <c r="T882" s="288"/>
      <c r="U882" s="206"/>
      <c r="V882" s="206"/>
      <c r="W882" s="288"/>
      <c r="X882" s="209"/>
      <c r="Y882" s="209"/>
      <c r="Z882" s="209"/>
    </row>
    <row r="883" spans="1:26" ht="12.75" x14ac:dyDescent="0.2">
      <c r="A883" s="206"/>
      <c r="B883" s="206"/>
      <c r="C883" s="206"/>
      <c r="D883" s="206"/>
      <c r="E883" s="206"/>
      <c r="F883" s="206"/>
      <c r="G883" s="206"/>
      <c r="H883" s="206"/>
      <c r="I883" s="206"/>
      <c r="J883" s="206"/>
      <c r="K883" s="206"/>
      <c r="L883" s="206"/>
      <c r="M883" s="288"/>
      <c r="N883" s="288"/>
      <c r="O883" s="289"/>
      <c r="P883" s="289"/>
      <c r="Q883" s="289"/>
      <c r="R883" s="206"/>
      <c r="S883" s="206"/>
      <c r="T883" s="288"/>
      <c r="U883" s="206"/>
      <c r="V883" s="206"/>
      <c r="W883" s="288"/>
      <c r="X883" s="209"/>
      <c r="Y883" s="209"/>
      <c r="Z883" s="209"/>
    </row>
    <row r="884" spans="1:26" ht="12.75" x14ac:dyDescent="0.2">
      <c r="A884" s="206"/>
      <c r="B884" s="206"/>
      <c r="C884" s="206"/>
      <c r="D884" s="206"/>
      <c r="E884" s="206"/>
      <c r="F884" s="206"/>
      <c r="G884" s="206"/>
      <c r="H884" s="206"/>
      <c r="I884" s="206"/>
      <c r="J884" s="206"/>
      <c r="K884" s="206"/>
      <c r="L884" s="206"/>
      <c r="M884" s="288"/>
      <c r="N884" s="288"/>
      <c r="O884" s="289"/>
      <c r="P884" s="289"/>
      <c r="Q884" s="289"/>
      <c r="R884" s="206"/>
      <c r="S884" s="206"/>
      <c r="T884" s="288"/>
      <c r="U884" s="206"/>
      <c r="V884" s="206"/>
      <c r="W884" s="288"/>
      <c r="X884" s="209"/>
      <c r="Y884" s="209"/>
      <c r="Z884" s="209"/>
    </row>
    <row r="885" spans="1:26" ht="12.75" x14ac:dyDescent="0.2">
      <c r="A885" s="206"/>
      <c r="B885" s="206"/>
      <c r="C885" s="206"/>
      <c r="D885" s="206"/>
      <c r="E885" s="206"/>
      <c r="F885" s="206"/>
      <c r="G885" s="206"/>
      <c r="H885" s="206"/>
      <c r="I885" s="206"/>
      <c r="J885" s="206"/>
      <c r="K885" s="206"/>
      <c r="L885" s="206"/>
      <c r="M885" s="288"/>
      <c r="N885" s="288"/>
      <c r="O885" s="289"/>
      <c r="P885" s="289"/>
      <c r="Q885" s="289"/>
      <c r="R885" s="206"/>
      <c r="S885" s="206"/>
      <c r="T885" s="288"/>
      <c r="U885" s="206"/>
      <c r="V885" s="206"/>
      <c r="W885" s="288"/>
      <c r="X885" s="209"/>
      <c r="Y885" s="209"/>
      <c r="Z885" s="209"/>
    </row>
    <row r="886" spans="1:26" ht="12.75" x14ac:dyDescent="0.2">
      <c r="A886" s="206"/>
      <c r="B886" s="206"/>
      <c r="C886" s="206"/>
      <c r="D886" s="206"/>
      <c r="E886" s="206"/>
      <c r="F886" s="206"/>
      <c r="G886" s="206"/>
      <c r="H886" s="206"/>
      <c r="I886" s="206"/>
      <c r="J886" s="206"/>
      <c r="K886" s="206"/>
      <c r="L886" s="206"/>
      <c r="M886" s="288"/>
      <c r="N886" s="288"/>
      <c r="O886" s="289"/>
      <c r="P886" s="289"/>
      <c r="Q886" s="289"/>
      <c r="R886" s="206"/>
      <c r="S886" s="206"/>
      <c r="T886" s="288"/>
      <c r="U886" s="206"/>
      <c r="V886" s="206"/>
      <c r="W886" s="288"/>
      <c r="X886" s="209"/>
      <c r="Y886" s="209"/>
      <c r="Z886" s="209"/>
    </row>
    <row r="887" spans="1:26" ht="12.75" x14ac:dyDescent="0.2">
      <c r="A887" s="206"/>
      <c r="B887" s="206"/>
      <c r="C887" s="206"/>
      <c r="D887" s="206"/>
      <c r="E887" s="206"/>
      <c r="F887" s="206"/>
      <c r="G887" s="206"/>
      <c r="H887" s="206"/>
      <c r="I887" s="206"/>
      <c r="J887" s="206"/>
      <c r="K887" s="206"/>
      <c r="L887" s="206"/>
      <c r="M887" s="288"/>
      <c r="N887" s="288"/>
      <c r="O887" s="289"/>
      <c r="P887" s="289"/>
      <c r="Q887" s="289"/>
      <c r="R887" s="206"/>
      <c r="S887" s="206"/>
      <c r="T887" s="288"/>
      <c r="U887" s="206"/>
      <c r="V887" s="206"/>
      <c r="W887" s="288"/>
      <c r="X887" s="209"/>
      <c r="Y887" s="209"/>
      <c r="Z887" s="209"/>
    </row>
    <row r="888" spans="1:26" ht="12.75" x14ac:dyDescent="0.2">
      <c r="A888" s="206"/>
      <c r="B888" s="206"/>
      <c r="C888" s="206"/>
      <c r="D888" s="206"/>
      <c r="E888" s="206"/>
      <c r="F888" s="206"/>
      <c r="G888" s="206"/>
      <c r="H888" s="206"/>
      <c r="I888" s="206"/>
      <c r="J888" s="206"/>
      <c r="K888" s="206"/>
      <c r="L888" s="206"/>
      <c r="M888" s="288"/>
      <c r="N888" s="288"/>
      <c r="O888" s="289"/>
      <c r="P888" s="289"/>
      <c r="Q888" s="289"/>
      <c r="R888" s="206"/>
      <c r="S888" s="206"/>
      <c r="T888" s="288"/>
      <c r="U888" s="206"/>
      <c r="V888" s="206"/>
      <c r="W888" s="288"/>
      <c r="X888" s="209"/>
      <c r="Y888" s="209"/>
      <c r="Z888" s="209"/>
    </row>
    <row r="889" spans="1:26" ht="12.75" x14ac:dyDescent="0.2">
      <c r="A889" s="206"/>
      <c r="B889" s="206"/>
      <c r="C889" s="206"/>
      <c r="D889" s="206"/>
      <c r="E889" s="206"/>
      <c r="F889" s="206"/>
      <c r="G889" s="206"/>
      <c r="H889" s="206"/>
      <c r="I889" s="206"/>
      <c r="J889" s="206"/>
      <c r="K889" s="206"/>
      <c r="L889" s="206"/>
      <c r="M889" s="288"/>
      <c r="N889" s="288"/>
      <c r="O889" s="289"/>
      <c r="P889" s="289"/>
      <c r="Q889" s="289"/>
      <c r="R889" s="206"/>
      <c r="S889" s="206"/>
      <c r="T889" s="288"/>
      <c r="U889" s="206"/>
      <c r="V889" s="206"/>
      <c r="W889" s="288"/>
      <c r="X889" s="209"/>
      <c r="Y889" s="209"/>
      <c r="Z889" s="209"/>
    </row>
    <row r="890" spans="1:26" ht="12.75" x14ac:dyDescent="0.2">
      <c r="A890" s="206"/>
      <c r="B890" s="206"/>
      <c r="C890" s="206"/>
      <c r="D890" s="206"/>
      <c r="E890" s="206"/>
      <c r="F890" s="206"/>
      <c r="G890" s="206"/>
      <c r="H890" s="206"/>
      <c r="I890" s="206"/>
      <c r="J890" s="206"/>
      <c r="K890" s="206"/>
      <c r="L890" s="206"/>
      <c r="M890" s="288"/>
      <c r="N890" s="288"/>
      <c r="O890" s="289"/>
      <c r="P890" s="289"/>
      <c r="Q890" s="289"/>
      <c r="R890" s="206"/>
      <c r="S890" s="206"/>
      <c r="T890" s="288"/>
      <c r="U890" s="206"/>
      <c r="V890" s="206"/>
      <c r="W890" s="288"/>
      <c r="X890" s="209"/>
      <c r="Y890" s="209"/>
      <c r="Z890" s="209"/>
    </row>
    <row r="891" spans="1:26" ht="12.75" x14ac:dyDescent="0.2">
      <c r="A891" s="206"/>
      <c r="B891" s="206"/>
      <c r="C891" s="206"/>
      <c r="D891" s="206"/>
      <c r="E891" s="206"/>
      <c r="F891" s="206"/>
      <c r="G891" s="206"/>
      <c r="H891" s="206"/>
      <c r="I891" s="206"/>
      <c r="J891" s="206"/>
      <c r="K891" s="206"/>
      <c r="L891" s="206"/>
      <c r="M891" s="288"/>
      <c r="N891" s="288"/>
      <c r="O891" s="289"/>
      <c r="P891" s="289"/>
      <c r="Q891" s="289"/>
      <c r="R891" s="206"/>
      <c r="S891" s="206"/>
      <c r="T891" s="288"/>
      <c r="U891" s="206"/>
      <c r="V891" s="206"/>
      <c r="W891" s="288"/>
      <c r="X891" s="209"/>
      <c r="Y891" s="209"/>
      <c r="Z891" s="209"/>
    </row>
    <row r="892" spans="1:26" ht="12.75" x14ac:dyDescent="0.2">
      <c r="A892" s="206"/>
      <c r="B892" s="206"/>
      <c r="C892" s="206"/>
      <c r="D892" s="206"/>
      <c r="E892" s="206"/>
      <c r="F892" s="206"/>
      <c r="G892" s="206"/>
      <c r="H892" s="206"/>
      <c r="I892" s="206"/>
      <c r="J892" s="206"/>
      <c r="K892" s="206"/>
      <c r="L892" s="206"/>
      <c r="M892" s="288"/>
      <c r="N892" s="288"/>
      <c r="O892" s="289"/>
      <c r="P892" s="289"/>
      <c r="Q892" s="289"/>
      <c r="R892" s="206"/>
      <c r="S892" s="206"/>
      <c r="T892" s="288"/>
      <c r="U892" s="206"/>
      <c r="V892" s="206"/>
      <c r="W892" s="288"/>
      <c r="X892" s="209"/>
      <c r="Y892" s="209"/>
      <c r="Z892" s="209"/>
    </row>
    <row r="893" spans="1:26" ht="12.75" x14ac:dyDescent="0.2">
      <c r="A893" s="206"/>
      <c r="B893" s="206"/>
      <c r="C893" s="206"/>
      <c r="D893" s="206"/>
      <c r="E893" s="206"/>
      <c r="F893" s="206"/>
      <c r="G893" s="206"/>
      <c r="H893" s="206"/>
      <c r="I893" s="206"/>
      <c r="J893" s="206"/>
      <c r="K893" s="206"/>
      <c r="L893" s="206"/>
      <c r="M893" s="288"/>
      <c r="N893" s="288"/>
      <c r="O893" s="289"/>
      <c r="P893" s="289"/>
      <c r="Q893" s="289"/>
      <c r="R893" s="206"/>
      <c r="S893" s="206"/>
      <c r="T893" s="288"/>
      <c r="U893" s="206"/>
      <c r="V893" s="206"/>
      <c r="W893" s="288"/>
      <c r="X893" s="209"/>
      <c r="Y893" s="209"/>
      <c r="Z893" s="209"/>
    </row>
    <row r="894" spans="1:26" ht="12.75" x14ac:dyDescent="0.2">
      <c r="A894" s="206"/>
      <c r="B894" s="206"/>
      <c r="C894" s="206"/>
      <c r="D894" s="206"/>
      <c r="E894" s="206"/>
      <c r="F894" s="206"/>
      <c r="G894" s="206"/>
      <c r="H894" s="206"/>
      <c r="I894" s="206"/>
      <c r="J894" s="206"/>
      <c r="K894" s="206"/>
      <c r="L894" s="206"/>
      <c r="M894" s="288"/>
      <c r="N894" s="288"/>
      <c r="O894" s="289"/>
      <c r="P894" s="289"/>
      <c r="Q894" s="289"/>
      <c r="R894" s="206"/>
      <c r="S894" s="206"/>
      <c r="T894" s="288"/>
      <c r="U894" s="206"/>
      <c r="V894" s="206"/>
      <c r="W894" s="288"/>
      <c r="X894" s="209"/>
      <c r="Y894" s="209"/>
      <c r="Z894" s="209"/>
    </row>
    <row r="895" spans="1:26" ht="12.75" x14ac:dyDescent="0.2">
      <c r="A895" s="206"/>
      <c r="B895" s="206"/>
      <c r="C895" s="206"/>
      <c r="D895" s="206"/>
      <c r="E895" s="206"/>
      <c r="F895" s="206"/>
      <c r="G895" s="206"/>
      <c r="H895" s="206"/>
      <c r="I895" s="206"/>
      <c r="J895" s="206"/>
      <c r="K895" s="206"/>
      <c r="L895" s="206"/>
      <c r="M895" s="288"/>
      <c r="N895" s="288"/>
      <c r="O895" s="289"/>
      <c r="P895" s="289"/>
      <c r="Q895" s="289"/>
      <c r="R895" s="206"/>
      <c r="S895" s="206"/>
      <c r="T895" s="288"/>
      <c r="U895" s="206"/>
      <c r="V895" s="206"/>
      <c r="W895" s="288"/>
      <c r="X895" s="209"/>
      <c r="Y895" s="209"/>
      <c r="Z895" s="209"/>
    </row>
    <row r="896" spans="1:26" ht="12.75" x14ac:dyDescent="0.2">
      <c r="A896" s="206"/>
      <c r="B896" s="206"/>
      <c r="C896" s="206"/>
      <c r="D896" s="206"/>
      <c r="E896" s="206"/>
      <c r="F896" s="206"/>
      <c r="G896" s="206"/>
      <c r="H896" s="206"/>
      <c r="I896" s="206"/>
      <c r="J896" s="206"/>
      <c r="K896" s="206"/>
      <c r="L896" s="206"/>
      <c r="M896" s="288"/>
      <c r="N896" s="288"/>
      <c r="O896" s="289"/>
      <c r="P896" s="289"/>
      <c r="Q896" s="289"/>
      <c r="R896" s="206"/>
      <c r="S896" s="206"/>
      <c r="T896" s="288"/>
      <c r="U896" s="206"/>
      <c r="V896" s="206"/>
      <c r="W896" s="288"/>
      <c r="X896" s="209"/>
      <c r="Y896" s="209"/>
      <c r="Z896" s="209"/>
    </row>
    <row r="897" spans="1:26" ht="12.75" x14ac:dyDescent="0.2">
      <c r="A897" s="206"/>
      <c r="B897" s="206"/>
      <c r="C897" s="206"/>
      <c r="D897" s="206"/>
      <c r="E897" s="206"/>
      <c r="F897" s="206"/>
      <c r="G897" s="206"/>
      <c r="H897" s="206"/>
      <c r="I897" s="206"/>
      <c r="J897" s="206"/>
      <c r="K897" s="206"/>
      <c r="L897" s="206"/>
      <c r="M897" s="288"/>
      <c r="N897" s="288"/>
      <c r="O897" s="289"/>
      <c r="P897" s="289"/>
      <c r="Q897" s="289"/>
      <c r="R897" s="206"/>
      <c r="S897" s="206"/>
      <c r="T897" s="288"/>
      <c r="U897" s="206"/>
      <c r="V897" s="206"/>
      <c r="W897" s="288"/>
      <c r="X897" s="209"/>
      <c r="Y897" s="209"/>
      <c r="Z897" s="209"/>
    </row>
    <row r="898" spans="1:26" ht="12.75" x14ac:dyDescent="0.2">
      <c r="A898" s="206"/>
      <c r="B898" s="206"/>
      <c r="C898" s="206"/>
      <c r="D898" s="206"/>
      <c r="E898" s="206"/>
      <c r="F898" s="206"/>
      <c r="G898" s="206"/>
      <c r="H898" s="206"/>
      <c r="I898" s="206"/>
      <c r="J898" s="206"/>
      <c r="K898" s="206"/>
      <c r="L898" s="206"/>
      <c r="M898" s="288"/>
      <c r="N898" s="288"/>
      <c r="O898" s="289"/>
      <c r="P898" s="289"/>
      <c r="Q898" s="289"/>
      <c r="R898" s="206"/>
      <c r="S898" s="206"/>
      <c r="T898" s="288"/>
      <c r="U898" s="206"/>
      <c r="V898" s="206"/>
      <c r="W898" s="288"/>
      <c r="X898" s="209"/>
      <c r="Y898" s="209"/>
      <c r="Z898" s="209"/>
    </row>
    <row r="899" spans="1:26" ht="12.75" x14ac:dyDescent="0.2">
      <c r="A899" s="206"/>
      <c r="B899" s="206"/>
      <c r="C899" s="206"/>
      <c r="D899" s="206"/>
      <c r="E899" s="206"/>
      <c r="F899" s="206"/>
      <c r="G899" s="206"/>
      <c r="H899" s="206"/>
      <c r="I899" s="206"/>
      <c r="J899" s="206"/>
      <c r="K899" s="206"/>
      <c r="L899" s="206"/>
      <c r="M899" s="288"/>
      <c r="N899" s="288"/>
      <c r="O899" s="289"/>
      <c r="P899" s="289"/>
      <c r="Q899" s="289"/>
      <c r="R899" s="206"/>
      <c r="S899" s="206"/>
      <c r="T899" s="288"/>
      <c r="U899" s="206"/>
      <c r="V899" s="206"/>
      <c r="W899" s="288"/>
      <c r="X899" s="209"/>
      <c r="Y899" s="209"/>
      <c r="Z899" s="209"/>
    </row>
    <row r="900" spans="1:26" ht="12.75" x14ac:dyDescent="0.2">
      <c r="A900" s="206"/>
      <c r="B900" s="206"/>
      <c r="C900" s="206"/>
      <c r="D900" s="206"/>
      <c r="E900" s="206"/>
      <c r="F900" s="206"/>
      <c r="G900" s="206"/>
      <c r="H900" s="206"/>
      <c r="I900" s="206"/>
      <c r="J900" s="206"/>
      <c r="K900" s="206"/>
      <c r="L900" s="206"/>
      <c r="M900" s="288"/>
      <c r="N900" s="288"/>
      <c r="O900" s="289"/>
      <c r="P900" s="289"/>
      <c r="Q900" s="289"/>
      <c r="R900" s="206"/>
      <c r="S900" s="206"/>
      <c r="T900" s="288"/>
      <c r="U900" s="206"/>
      <c r="V900" s="206"/>
      <c r="W900" s="288"/>
      <c r="X900" s="209"/>
      <c r="Y900" s="209"/>
      <c r="Z900" s="209"/>
    </row>
    <row r="901" spans="1:26" ht="12.75" x14ac:dyDescent="0.2">
      <c r="A901" s="206"/>
      <c r="B901" s="206"/>
      <c r="C901" s="206"/>
      <c r="D901" s="206"/>
      <c r="E901" s="206"/>
      <c r="F901" s="206"/>
      <c r="G901" s="206"/>
      <c r="H901" s="206"/>
      <c r="I901" s="206"/>
      <c r="J901" s="206"/>
      <c r="K901" s="206"/>
      <c r="L901" s="206"/>
      <c r="M901" s="288"/>
      <c r="N901" s="288"/>
      <c r="O901" s="289"/>
      <c r="P901" s="289"/>
      <c r="Q901" s="289"/>
      <c r="R901" s="206"/>
      <c r="S901" s="206"/>
      <c r="T901" s="288"/>
      <c r="U901" s="206"/>
      <c r="V901" s="206"/>
      <c r="W901" s="288"/>
      <c r="X901" s="209"/>
      <c r="Y901" s="209"/>
      <c r="Z901" s="209"/>
    </row>
    <row r="902" spans="1:26" ht="12.75" x14ac:dyDescent="0.2">
      <c r="A902" s="206"/>
      <c r="B902" s="206"/>
      <c r="C902" s="206"/>
      <c r="D902" s="206"/>
      <c r="E902" s="206"/>
      <c r="F902" s="206"/>
      <c r="G902" s="206"/>
      <c r="H902" s="206"/>
      <c r="I902" s="206"/>
      <c r="J902" s="206"/>
      <c r="K902" s="206"/>
      <c r="L902" s="206"/>
      <c r="M902" s="288"/>
      <c r="N902" s="288"/>
      <c r="O902" s="289"/>
      <c r="P902" s="289"/>
      <c r="Q902" s="289"/>
      <c r="R902" s="206"/>
      <c r="S902" s="206"/>
      <c r="T902" s="288"/>
      <c r="U902" s="206"/>
      <c r="V902" s="206"/>
      <c r="W902" s="288"/>
      <c r="X902" s="209"/>
      <c r="Y902" s="209"/>
      <c r="Z902" s="209"/>
    </row>
    <row r="903" spans="1:26" ht="12.75" x14ac:dyDescent="0.2">
      <c r="A903" s="206"/>
      <c r="B903" s="206"/>
      <c r="C903" s="206"/>
      <c r="D903" s="206"/>
      <c r="E903" s="206"/>
      <c r="F903" s="206"/>
      <c r="G903" s="206"/>
      <c r="H903" s="206"/>
      <c r="I903" s="206"/>
      <c r="J903" s="206"/>
      <c r="K903" s="206"/>
      <c r="L903" s="206"/>
      <c r="M903" s="288"/>
      <c r="N903" s="288"/>
      <c r="O903" s="289"/>
      <c r="P903" s="289"/>
      <c r="Q903" s="289"/>
      <c r="R903" s="206"/>
      <c r="S903" s="206"/>
      <c r="T903" s="288"/>
      <c r="U903" s="206"/>
      <c r="V903" s="206"/>
      <c r="W903" s="288"/>
      <c r="X903" s="209"/>
      <c r="Y903" s="209"/>
      <c r="Z903" s="209"/>
    </row>
    <row r="904" spans="1:26" ht="12.75" x14ac:dyDescent="0.2">
      <c r="A904" s="206"/>
      <c r="B904" s="206"/>
      <c r="C904" s="206"/>
      <c r="D904" s="206"/>
      <c r="E904" s="206"/>
      <c r="F904" s="206"/>
      <c r="G904" s="206"/>
      <c r="H904" s="206"/>
      <c r="I904" s="206"/>
      <c r="J904" s="206"/>
      <c r="K904" s="206"/>
      <c r="L904" s="206"/>
      <c r="M904" s="288"/>
      <c r="N904" s="288"/>
      <c r="O904" s="289"/>
      <c r="P904" s="289"/>
      <c r="Q904" s="289"/>
      <c r="R904" s="206"/>
      <c r="S904" s="206"/>
      <c r="T904" s="288"/>
      <c r="U904" s="206"/>
      <c r="V904" s="206"/>
      <c r="W904" s="288"/>
      <c r="X904" s="209"/>
      <c r="Y904" s="209"/>
      <c r="Z904" s="209"/>
    </row>
    <row r="905" spans="1:26" ht="12.75" x14ac:dyDescent="0.2">
      <c r="A905" s="206"/>
      <c r="B905" s="206"/>
      <c r="C905" s="206"/>
      <c r="D905" s="206"/>
      <c r="E905" s="206"/>
      <c r="F905" s="206"/>
      <c r="G905" s="206"/>
      <c r="H905" s="206"/>
      <c r="I905" s="206"/>
      <c r="J905" s="206"/>
      <c r="K905" s="206"/>
      <c r="L905" s="206"/>
      <c r="M905" s="288"/>
      <c r="N905" s="288"/>
      <c r="O905" s="289"/>
      <c r="P905" s="289"/>
      <c r="Q905" s="289"/>
      <c r="R905" s="206"/>
      <c r="S905" s="206"/>
      <c r="T905" s="288"/>
      <c r="U905" s="206"/>
      <c r="V905" s="206"/>
      <c r="W905" s="288"/>
      <c r="X905" s="209"/>
      <c r="Y905" s="209"/>
      <c r="Z905" s="209"/>
    </row>
    <row r="906" spans="1:26" ht="12.75" x14ac:dyDescent="0.2">
      <c r="A906" s="206"/>
      <c r="B906" s="206"/>
      <c r="C906" s="206"/>
      <c r="D906" s="206"/>
      <c r="E906" s="206"/>
      <c r="F906" s="206"/>
      <c r="G906" s="206"/>
      <c r="H906" s="206"/>
      <c r="I906" s="206"/>
      <c r="J906" s="206"/>
      <c r="K906" s="206"/>
      <c r="L906" s="206"/>
      <c r="M906" s="288"/>
      <c r="N906" s="288"/>
      <c r="O906" s="289"/>
      <c r="P906" s="289"/>
      <c r="Q906" s="289"/>
      <c r="R906" s="206"/>
      <c r="S906" s="206"/>
      <c r="T906" s="288"/>
      <c r="U906" s="206"/>
      <c r="V906" s="206"/>
      <c r="W906" s="288"/>
      <c r="X906" s="209"/>
      <c r="Y906" s="209"/>
      <c r="Z906" s="209"/>
    </row>
    <row r="907" spans="1:26" ht="12.75" x14ac:dyDescent="0.2">
      <c r="A907" s="206"/>
      <c r="B907" s="206"/>
      <c r="C907" s="206"/>
      <c r="D907" s="206"/>
      <c r="E907" s="206"/>
      <c r="F907" s="206"/>
      <c r="G907" s="206"/>
      <c r="H907" s="206"/>
      <c r="I907" s="206"/>
      <c r="J907" s="206"/>
      <c r="K907" s="206"/>
      <c r="L907" s="206"/>
      <c r="M907" s="288"/>
      <c r="N907" s="288"/>
      <c r="O907" s="289"/>
      <c r="P907" s="289"/>
      <c r="Q907" s="289"/>
      <c r="R907" s="206"/>
      <c r="S907" s="206"/>
      <c r="T907" s="288"/>
      <c r="U907" s="206"/>
      <c r="V907" s="206"/>
      <c r="W907" s="288"/>
      <c r="X907" s="209"/>
      <c r="Y907" s="209"/>
      <c r="Z907" s="209"/>
    </row>
    <row r="908" spans="1:26" ht="12.75" x14ac:dyDescent="0.2">
      <c r="A908" s="206"/>
      <c r="B908" s="206"/>
      <c r="C908" s="206"/>
      <c r="D908" s="206"/>
      <c r="E908" s="206"/>
      <c r="F908" s="206"/>
      <c r="G908" s="206"/>
      <c r="H908" s="206"/>
      <c r="I908" s="206"/>
      <c r="J908" s="206"/>
      <c r="K908" s="206"/>
      <c r="L908" s="206"/>
      <c r="M908" s="288"/>
      <c r="N908" s="288"/>
      <c r="O908" s="289"/>
      <c r="P908" s="289"/>
      <c r="Q908" s="289"/>
      <c r="R908" s="206"/>
      <c r="S908" s="206"/>
      <c r="T908" s="288"/>
      <c r="U908" s="206"/>
      <c r="V908" s="206"/>
      <c r="W908" s="288"/>
      <c r="X908" s="209"/>
      <c r="Y908" s="209"/>
      <c r="Z908" s="209"/>
    </row>
    <row r="909" spans="1:26" ht="12.75" x14ac:dyDescent="0.2">
      <c r="A909" s="206"/>
      <c r="B909" s="206"/>
      <c r="C909" s="206"/>
      <c r="D909" s="206"/>
      <c r="E909" s="206"/>
      <c r="F909" s="206"/>
      <c r="G909" s="206"/>
      <c r="H909" s="206"/>
      <c r="I909" s="206"/>
      <c r="J909" s="206"/>
      <c r="K909" s="206"/>
      <c r="L909" s="206"/>
      <c r="M909" s="288"/>
      <c r="N909" s="288"/>
      <c r="O909" s="289"/>
      <c r="P909" s="289"/>
      <c r="Q909" s="289"/>
      <c r="R909" s="206"/>
      <c r="S909" s="206"/>
      <c r="T909" s="288"/>
      <c r="U909" s="206"/>
      <c r="V909" s="206"/>
      <c r="W909" s="288"/>
      <c r="X909" s="209"/>
      <c r="Y909" s="209"/>
      <c r="Z909" s="209"/>
    </row>
    <row r="910" spans="1:26" ht="12.75" x14ac:dyDescent="0.2">
      <c r="A910" s="206"/>
      <c r="B910" s="206"/>
      <c r="C910" s="206"/>
      <c r="D910" s="206"/>
      <c r="E910" s="206"/>
      <c r="F910" s="206"/>
      <c r="G910" s="206"/>
      <c r="H910" s="206"/>
      <c r="I910" s="206"/>
      <c r="J910" s="206"/>
      <c r="K910" s="206"/>
      <c r="L910" s="206"/>
      <c r="M910" s="288"/>
      <c r="N910" s="288"/>
      <c r="O910" s="289"/>
      <c r="P910" s="289"/>
      <c r="Q910" s="289"/>
      <c r="R910" s="206"/>
      <c r="S910" s="206"/>
      <c r="T910" s="288"/>
      <c r="U910" s="206"/>
      <c r="V910" s="206"/>
      <c r="W910" s="288"/>
      <c r="X910" s="209"/>
      <c r="Y910" s="209"/>
      <c r="Z910" s="209"/>
    </row>
    <row r="911" spans="1:26" ht="12.75" x14ac:dyDescent="0.2">
      <c r="A911" s="206"/>
      <c r="B911" s="206"/>
      <c r="C911" s="206"/>
      <c r="D911" s="206"/>
      <c r="E911" s="206"/>
      <c r="F911" s="206"/>
      <c r="G911" s="206"/>
      <c r="H911" s="206"/>
      <c r="I911" s="206"/>
      <c r="J911" s="206"/>
      <c r="K911" s="206"/>
      <c r="L911" s="206"/>
      <c r="M911" s="288"/>
      <c r="N911" s="288"/>
      <c r="O911" s="289"/>
      <c r="P911" s="289"/>
      <c r="Q911" s="289"/>
      <c r="R911" s="206"/>
      <c r="S911" s="206"/>
      <c r="T911" s="288"/>
      <c r="U911" s="206"/>
      <c r="V911" s="206"/>
      <c r="W911" s="288"/>
      <c r="X911" s="209"/>
      <c r="Y911" s="209"/>
      <c r="Z911" s="209"/>
    </row>
    <row r="912" spans="1:26" ht="12.75" x14ac:dyDescent="0.2">
      <c r="A912" s="206"/>
      <c r="B912" s="206"/>
      <c r="C912" s="206"/>
      <c r="D912" s="206"/>
      <c r="E912" s="206"/>
      <c r="F912" s="206"/>
      <c r="G912" s="206"/>
      <c r="H912" s="206"/>
      <c r="I912" s="206"/>
      <c r="J912" s="206"/>
      <c r="K912" s="206"/>
      <c r="L912" s="206"/>
      <c r="M912" s="288"/>
      <c r="N912" s="288"/>
      <c r="O912" s="289"/>
      <c r="P912" s="289"/>
      <c r="Q912" s="289"/>
      <c r="R912" s="206"/>
      <c r="S912" s="206"/>
      <c r="T912" s="288"/>
      <c r="U912" s="206"/>
      <c r="V912" s="206"/>
      <c r="W912" s="288"/>
      <c r="X912" s="209"/>
      <c r="Y912" s="209"/>
      <c r="Z912" s="209"/>
    </row>
    <row r="913" spans="1:26" ht="12.75" x14ac:dyDescent="0.2">
      <c r="A913" s="206"/>
      <c r="B913" s="206"/>
      <c r="C913" s="206"/>
      <c r="D913" s="206"/>
      <c r="E913" s="206"/>
      <c r="F913" s="206"/>
      <c r="G913" s="206"/>
      <c r="H913" s="206"/>
      <c r="I913" s="206"/>
      <c r="J913" s="206"/>
      <c r="K913" s="206"/>
      <c r="L913" s="206"/>
      <c r="M913" s="288"/>
      <c r="N913" s="288"/>
      <c r="O913" s="289"/>
      <c r="P913" s="289"/>
      <c r="Q913" s="289"/>
      <c r="R913" s="206"/>
      <c r="S913" s="206"/>
      <c r="T913" s="288"/>
      <c r="U913" s="206"/>
      <c r="V913" s="206"/>
      <c r="W913" s="288"/>
      <c r="X913" s="209"/>
      <c r="Y913" s="209"/>
      <c r="Z913" s="209"/>
    </row>
    <row r="914" spans="1:26" ht="12.75" x14ac:dyDescent="0.2">
      <c r="A914" s="206"/>
      <c r="B914" s="206"/>
      <c r="C914" s="206"/>
      <c r="D914" s="206"/>
      <c r="E914" s="206"/>
      <c r="F914" s="206"/>
      <c r="G914" s="206"/>
      <c r="H914" s="206"/>
      <c r="I914" s="206"/>
      <c r="J914" s="206"/>
      <c r="K914" s="206"/>
      <c r="L914" s="206"/>
      <c r="M914" s="288"/>
      <c r="N914" s="288"/>
      <c r="O914" s="289"/>
      <c r="P914" s="289"/>
      <c r="Q914" s="289"/>
      <c r="R914" s="206"/>
      <c r="S914" s="206"/>
      <c r="T914" s="288"/>
      <c r="U914" s="206"/>
      <c r="V914" s="206"/>
      <c r="W914" s="288"/>
      <c r="X914" s="209"/>
      <c r="Y914" s="209"/>
      <c r="Z914" s="209"/>
    </row>
    <row r="915" spans="1:26" ht="12.75" x14ac:dyDescent="0.2">
      <c r="A915" s="206"/>
      <c r="B915" s="206"/>
      <c r="C915" s="206"/>
      <c r="D915" s="206"/>
      <c r="E915" s="206"/>
      <c r="F915" s="206"/>
      <c r="G915" s="206"/>
      <c r="H915" s="206"/>
      <c r="I915" s="206"/>
      <c r="J915" s="206"/>
      <c r="K915" s="206"/>
      <c r="L915" s="206"/>
      <c r="M915" s="288"/>
      <c r="N915" s="288"/>
      <c r="O915" s="289"/>
      <c r="P915" s="289"/>
      <c r="Q915" s="289"/>
      <c r="R915" s="206"/>
      <c r="S915" s="206"/>
      <c r="T915" s="288"/>
      <c r="U915" s="206"/>
      <c r="V915" s="206"/>
      <c r="W915" s="288"/>
      <c r="X915" s="209"/>
      <c r="Y915" s="209"/>
      <c r="Z915" s="209"/>
    </row>
    <row r="916" spans="1:26" ht="12.75" x14ac:dyDescent="0.2">
      <c r="A916" s="206"/>
      <c r="B916" s="206"/>
      <c r="C916" s="206"/>
      <c r="D916" s="206"/>
      <c r="E916" s="206"/>
      <c r="F916" s="206"/>
      <c r="G916" s="206"/>
      <c r="H916" s="206"/>
      <c r="I916" s="206"/>
      <c r="J916" s="206"/>
      <c r="K916" s="206"/>
      <c r="L916" s="206"/>
      <c r="M916" s="288"/>
      <c r="N916" s="288"/>
      <c r="O916" s="289"/>
      <c r="P916" s="289"/>
      <c r="Q916" s="289"/>
      <c r="R916" s="206"/>
      <c r="S916" s="206"/>
      <c r="T916" s="288"/>
      <c r="U916" s="206"/>
      <c r="V916" s="206"/>
      <c r="W916" s="288"/>
      <c r="X916" s="209"/>
      <c r="Y916" s="209"/>
      <c r="Z916" s="209"/>
    </row>
    <row r="917" spans="1:26" ht="12.75" x14ac:dyDescent="0.2">
      <c r="A917" s="206"/>
      <c r="B917" s="206"/>
      <c r="C917" s="206"/>
      <c r="D917" s="206"/>
      <c r="E917" s="206"/>
      <c r="F917" s="206"/>
      <c r="G917" s="206"/>
      <c r="H917" s="206"/>
      <c r="I917" s="206"/>
      <c r="J917" s="206"/>
      <c r="K917" s="206"/>
      <c r="L917" s="206"/>
      <c r="M917" s="288"/>
      <c r="N917" s="288"/>
      <c r="O917" s="289"/>
      <c r="P917" s="289"/>
      <c r="Q917" s="289"/>
      <c r="R917" s="206"/>
      <c r="S917" s="206"/>
      <c r="T917" s="288"/>
      <c r="U917" s="206"/>
      <c r="V917" s="206"/>
      <c r="W917" s="288"/>
      <c r="X917" s="209"/>
      <c r="Y917" s="209"/>
      <c r="Z917" s="209"/>
    </row>
    <row r="918" spans="1:26" ht="12.75" x14ac:dyDescent="0.2">
      <c r="A918" s="206"/>
      <c r="B918" s="206"/>
      <c r="C918" s="206"/>
      <c r="D918" s="206"/>
      <c r="E918" s="206"/>
      <c r="F918" s="206"/>
      <c r="G918" s="206"/>
      <c r="H918" s="206"/>
      <c r="I918" s="206"/>
      <c r="J918" s="206"/>
      <c r="K918" s="206"/>
      <c r="L918" s="206"/>
      <c r="M918" s="288"/>
      <c r="N918" s="288"/>
      <c r="O918" s="289"/>
      <c r="P918" s="289"/>
      <c r="Q918" s="289"/>
      <c r="R918" s="206"/>
      <c r="S918" s="206"/>
      <c r="T918" s="288"/>
      <c r="U918" s="206"/>
      <c r="V918" s="206"/>
      <c r="W918" s="288"/>
      <c r="X918" s="209"/>
      <c r="Y918" s="209"/>
      <c r="Z918" s="209"/>
    </row>
    <row r="919" spans="1:26" ht="12.75" x14ac:dyDescent="0.2">
      <c r="A919" s="206"/>
      <c r="B919" s="206"/>
      <c r="C919" s="206"/>
      <c r="D919" s="206"/>
      <c r="E919" s="206"/>
      <c r="F919" s="206"/>
      <c r="G919" s="206"/>
      <c r="H919" s="206"/>
      <c r="I919" s="206"/>
      <c r="J919" s="206"/>
      <c r="K919" s="206"/>
      <c r="L919" s="206"/>
      <c r="M919" s="288"/>
      <c r="N919" s="288"/>
      <c r="O919" s="289"/>
      <c r="P919" s="289"/>
      <c r="Q919" s="289"/>
      <c r="R919" s="206"/>
      <c r="S919" s="206"/>
      <c r="T919" s="288"/>
      <c r="U919" s="206"/>
      <c r="V919" s="206"/>
      <c r="W919" s="288"/>
      <c r="X919" s="209"/>
      <c r="Y919" s="209"/>
      <c r="Z919" s="209"/>
    </row>
    <row r="920" spans="1:26" ht="12.75" x14ac:dyDescent="0.2">
      <c r="A920" s="206"/>
      <c r="B920" s="206"/>
      <c r="C920" s="206"/>
      <c r="D920" s="206"/>
      <c r="E920" s="206"/>
      <c r="F920" s="206"/>
      <c r="G920" s="206"/>
      <c r="H920" s="206"/>
      <c r="I920" s="206"/>
      <c r="J920" s="206"/>
      <c r="K920" s="206"/>
      <c r="L920" s="206"/>
      <c r="M920" s="288"/>
      <c r="N920" s="288"/>
      <c r="O920" s="289"/>
      <c r="P920" s="289"/>
      <c r="Q920" s="289"/>
      <c r="R920" s="206"/>
      <c r="S920" s="206"/>
      <c r="T920" s="288"/>
      <c r="U920" s="206"/>
      <c r="V920" s="206"/>
      <c r="W920" s="288"/>
      <c r="X920" s="209"/>
      <c r="Y920" s="209"/>
      <c r="Z920" s="209"/>
    </row>
    <row r="921" spans="1:26" ht="12.75" x14ac:dyDescent="0.2">
      <c r="A921" s="206"/>
      <c r="B921" s="206"/>
      <c r="C921" s="206"/>
      <c r="D921" s="206"/>
      <c r="E921" s="206"/>
      <c r="F921" s="206"/>
      <c r="G921" s="206"/>
      <c r="H921" s="206"/>
      <c r="I921" s="206"/>
      <c r="J921" s="206"/>
      <c r="K921" s="206"/>
      <c r="L921" s="206"/>
      <c r="M921" s="288"/>
      <c r="N921" s="288"/>
      <c r="O921" s="289"/>
      <c r="P921" s="289"/>
      <c r="Q921" s="289"/>
      <c r="R921" s="206"/>
      <c r="S921" s="206"/>
      <c r="T921" s="288"/>
      <c r="U921" s="206"/>
      <c r="V921" s="206"/>
      <c r="W921" s="288"/>
      <c r="X921" s="209"/>
      <c r="Y921" s="209"/>
      <c r="Z921" s="209"/>
    </row>
    <row r="922" spans="1:26" ht="12.75" x14ac:dyDescent="0.2">
      <c r="A922" s="206"/>
      <c r="B922" s="206"/>
      <c r="C922" s="206"/>
      <c r="D922" s="206"/>
      <c r="E922" s="206"/>
      <c r="F922" s="206"/>
      <c r="G922" s="206"/>
      <c r="H922" s="206"/>
      <c r="I922" s="206"/>
      <c r="J922" s="206"/>
      <c r="K922" s="206"/>
      <c r="L922" s="206"/>
      <c r="M922" s="288"/>
      <c r="N922" s="288"/>
      <c r="O922" s="289"/>
      <c r="P922" s="289"/>
      <c r="Q922" s="289"/>
      <c r="R922" s="206"/>
      <c r="S922" s="206"/>
      <c r="T922" s="288"/>
      <c r="U922" s="206"/>
      <c r="V922" s="206"/>
      <c r="W922" s="288"/>
      <c r="X922" s="209"/>
      <c r="Y922" s="209"/>
      <c r="Z922" s="209"/>
    </row>
    <row r="923" spans="1:26" ht="12.75" x14ac:dyDescent="0.2">
      <c r="A923" s="206"/>
      <c r="B923" s="206"/>
      <c r="C923" s="206"/>
      <c r="D923" s="206"/>
      <c r="E923" s="206"/>
      <c r="F923" s="206"/>
      <c r="G923" s="206"/>
      <c r="H923" s="206"/>
      <c r="I923" s="206"/>
      <c r="J923" s="206"/>
      <c r="K923" s="206"/>
      <c r="L923" s="206"/>
      <c r="M923" s="288"/>
      <c r="N923" s="288"/>
      <c r="O923" s="289"/>
      <c r="P923" s="289"/>
      <c r="Q923" s="289"/>
      <c r="R923" s="206"/>
      <c r="S923" s="206"/>
      <c r="T923" s="288"/>
      <c r="U923" s="206"/>
      <c r="V923" s="206"/>
      <c r="W923" s="288"/>
      <c r="X923" s="209"/>
      <c r="Y923" s="209"/>
      <c r="Z923" s="209"/>
    </row>
    <row r="924" spans="1:26" ht="12.75" x14ac:dyDescent="0.2">
      <c r="A924" s="206"/>
      <c r="B924" s="206"/>
      <c r="C924" s="206"/>
      <c r="D924" s="206"/>
      <c r="E924" s="206"/>
      <c r="F924" s="206"/>
      <c r="G924" s="206"/>
      <c r="H924" s="206"/>
      <c r="I924" s="206"/>
      <c r="J924" s="206"/>
      <c r="K924" s="206"/>
      <c r="L924" s="206"/>
      <c r="M924" s="288"/>
      <c r="N924" s="288"/>
      <c r="O924" s="289"/>
      <c r="P924" s="289"/>
      <c r="Q924" s="289"/>
      <c r="R924" s="206"/>
      <c r="S924" s="206"/>
      <c r="T924" s="288"/>
      <c r="U924" s="206"/>
      <c r="V924" s="206"/>
      <c r="W924" s="288"/>
      <c r="X924" s="209"/>
      <c r="Y924" s="209"/>
      <c r="Z924" s="209"/>
    </row>
    <row r="925" spans="1:26" ht="12.75" x14ac:dyDescent="0.2">
      <c r="A925" s="206"/>
      <c r="B925" s="206"/>
      <c r="C925" s="206"/>
      <c r="D925" s="206"/>
      <c r="E925" s="206"/>
      <c r="F925" s="206"/>
      <c r="G925" s="206"/>
      <c r="H925" s="206"/>
      <c r="I925" s="206"/>
      <c r="J925" s="206"/>
      <c r="K925" s="206"/>
      <c r="L925" s="206"/>
      <c r="M925" s="288"/>
      <c r="N925" s="288"/>
      <c r="O925" s="289"/>
      <c r="P925" s="289"/>
      <c r="Q925" s="289"/>
      <c r="R925" s="206"/>
      <c r="S925" s="206"/>
      <c r="T925" s="288"/>
      <c r="U925" s="206"/>
      <c r="V925" s="206"/>
      <c r="W925" s="288"/>
      <c r="X925" s="209"/>
      <c r="Y925" s="209"/>
      <c r="Z925" s="209"/>
    </row>
    <row r="926" spans="1:26" ht="12.75" x14ac:dyDescent="0.2">
      <c r="A926" s="206"/>
      <c r="B926" s="206"/>
      <c r="C926" s="206"/>
      <c r="D926" s="206"/>
      <c r="E926" s="206"/>
      <c r="F926" s="206"/>
      <c r="G926" s="206"/>
      <c r="H926" s="206"/>
      <c r="I926" s="206"/>
      <c r="J926" s="206"/>
      <c r="K926" s="206"/>
      <c r="L926" s="206"/>
      <c r="M926" s="288"/>
      <c r="N926" s="288"/>
      <c r="O926" s="289"/>
      <c r="P926" s="289"/>
      <c r="Q926" s="289"/>
      <c r="R926" s="206"/>
      <c r="S926" s="206"/>
      <c r="T926" s="288"/>
      <c r="U926" s="206"/>
      <c r="V926" s="206"/>
      <c r="W926" s="288"/>
      <c r="X926" s="209"/>
      <c r="Y926" s="209"/>
      <c r="Z926" s="209"/>
    </row>
    <row r="927" spans="1:26" ht="12.75" x14ac:dyDescent="0.2">
      <c r="A927" s="206"/>
      <c r="B927" s="206"/>
      <c r="C927" s="206"/>
      <c r="D927" s="206"/>
      <c r="E927" s="206"/>
      <c r="F927" s="206"/>
      <c r="G927" s="206"/>
      <c r="H927" s="206"/>
      <c r="I927" s="206"/>
      <c r="J927" s="206"/>
      <c r="K927" s="206"/>
      <c r="L927" s="206"/>
      <c r="M927" s="288"/>
      <c r="N927" s="288"/>
      <c r="O927" s="289"/>
      <c r="P927" s="289"/>
      <c r="Q927" s="289"/>
      <c r="R927" s="206"/>
      <c r="S927" s="206"/>
      <c r="T927" s="288"/>
      <c r="U927" s="206"/>
      <c r="V927" s="206"/>
      <c r="W927" s="288"/>
      <c r="X927" s="209"/>
      <c r="Y927" s="209"/>
      <c r="Z927" s="209"/>
    </row>
    <row r="928" spans="1:26" ht="12.75" x14ac:dyDescent="0.2">
      <c r="A928" s="206"/>
      <c r="B928" s="206"/>
      <c r="C928" s="206"/>
      <c r="D928" s="206"/>
      <c r="E928" s="206"/>
      <c r="F928" s="206"/>
      <c r="G928" s="206"/>
      <c r="H928" s="206"/>
      <c r="I928" s="206"/>
      <c r="J928" s="206"/>
      <c r="K928" s="206"/>
      <c r="L928" s="206"/>
      <c r="M928" s="288"/>
      <c r="N928" s="288"/>
      <c r="O928" s="289"/>
      <c r="P928" s="289"/>
      <c r="Q928" s="289"/>
      <c r="R928" s="206"/>
      <c r="S928" s="206"/>
      <c r="T928" s="288"/>
      <c r="U928" s="206"/>
      <c r="V928" s="206"/>
      <c r="W928" s="288"/>
      <c r="X928" s="209"/>
      <c r="Y928" s="209"/>
      <c r="Z928" s="209"/>
    </row>
    <row r="929" spans="1:26" ht="12.75" x14ac:dyDescent="0.2">
      <c r="A929" s="206"/>
      <c r="B929" s="206"/>
      <c r="C929" s="206"/>
      <c r="D929" s="206"/>
      <c r="E929" s="206"/>
      <c r="F929" s="206"/>
      <c r="G929" s="206"/>
      <c r="H929" s="206"/>
      <c r="I929" s="206"/>
      <c r="J929" s="206"/>
      <c r="K929" s="206"/>
      <c r="L929" s="206"/>
      <c r="M929" s="288"/>
      <c r="N929" s="288"/>
      <c r="O929" s="289"/>
      <c r="P929" s="289"/>
      <c r="Q929" s="289"/>
      <c r="R929" s="206"/>
      <c r="S929" s="206"/>
      <c r="T929" s="288"/>
      <c r="U929" s="206"/>
      <c r="V929" s="206"/>
      <c r="W929" s="288"/>
      <c r="X929" s="209"/>
      <c r="Y929" s="209"/>
      <c r="Z929" s="209"/>
    </row>
    <row r="930" spans="1:26" ht="12.75" x14ac:dyDescent="0.2">
      <c r="A930" s="206"/>
      <c r="B930" s="206"/>
      <c r="C930" s="206"/>
      <c r="D930" s="206"/>
      <c r="E930" s="206"/>
      <c r="F930" s="206"/>
      <c r="G930" s="206"/>
      <c r="H930" s="206"/>
      <c r="I930" s="206"/>
      <c r="J930" s="206"/>
      <c r="K930" s="206"/>
      <c r="L930" s="206"/>
      <c r="M930" s="288"/>
      <c r="N930" s="288"/>
      <c r="O930" s="289"/>
      <c r="P930" s="289"/>
      <c r="Q930" s="289"/>
      <c r="R930" s="206"/>
      <c r="S930" s="206"/>
      <c r="T930" s="288"/>
      <c r="U930" s="206"/>
      <c r="V930" s="206"/>
      <c r="W930" s="288"/>
      <c r="X930" s="209"/>
      <c r="Y930" s="209"/>
      <c r="Z930" s="209"/>
    </row>
    <row r="931" spans="1:26" ht="12.75" x14ac:dyDescent="0.2">
      <c r="A931" s="206"/>
      <c r="B931" s="206"/>
      <c r="C931" s="206"/>
      <c r="D931" s="206"/>
      <c r="E931" s="206"/>
      <c r="F931" s="206"/>
      <c r="G931" s="206"/>
      <c r="H931" s="206"/>
      <c r="I931" s="206"/>
      <c r="J931" s="206"/>
      <c r="K931" s="206"/>
      <c r="L931" s="206"/>
      <c r="M931" s="288"/>
      <c r="N931" s="288"/>
      <c r="O931" s="289"/>
      <c r="P931" s="289"/>
      <c r="Q931" s="289"/>
      <c r="R931" s="206"/>
      <c r="S931" s="206"/>
      <c r="T931" s="288"/>
      <c r="U931" s="206"/>
      <c r="V931" s="206"/>
      <c r="W931" s="288"/>
      <c r="X931" s="209"/>
      <c r="Y931" s="209"/>
      <c r="Z931" s="209"/>
    </row>
    <row r="932" spans="1:26" ht="12.75" x14ac:dyDescent="0.2">
      <c r="A932" s="206"/>
      <c r="B932" s="206"/>
      <c r="C932" s="206"/>
      <c r="D932" s="206"/>
      <c r="E932" s="206"/>
      <c r="F932" s="206"/>
      <c r="G932" s="206"/>
      <c r="H932" s="206"/>
      <c r="I932" s="206"/>
      <c r="J932" s="206"/>
      <c r="K932" s="206"/>
      <c r="L932" s="206"/>
      <c r="M932" s="288"/>
      <c r="N932" s="288"/>
      <c r="O932" s="289"/>
      <c r="P932" s="289"/>
      <c r="Q932" s="289"/>
      <c r="R932" s="206"/>
      <c r="S932" s="206"/>
      <c r="T932" s="288"/>
      <c r="U932" s="206"/>
      <c r="V932" s="206"/>
      <c r="W932" s="288"/>
      <c r="X932" s="209"/>
      <c r="Y932" s="209"/>
      <c r="Z932" s="209"/>
    </row>
    <row r="933" spans="1:26" ht="12.75" x14ac:dyDescent="0.2">
      <c r="A933" s="206"/>
      <c r="B933" s="206"/>
      <c r="C933" s="206"/>
      <c r="D933" s="206"/>
      <c r="E933" s="206"/>
      <c r="F933" s="206"/>
      <c r="G933" s="206"/>
      <c r="H933" s="206"/>
      <c r="I933" s="206"/>
      <c r="J933" s="206"/>
      <c r="K933" s="206"/>
      <c r="L933" s="206"/>
      <c r="M933" s="288"/>
      <c r="N933" s="288"/>
      <c r="O933" s="289"/>
      <c r="P933" s="289"/>
      <c r="Q933" s="289"/>
      <c r="R933" s="206"/>
      <c r="S933" s="206"/>
      <c r="T933" s="288"/>
      <c r="U933" s="206"/>
      <c r="V933" s="206"/>
      <c r="W933" s="288"/>
      <c r="X933" s="209"/>
      <c r="Y933" s="209"/>
      <c r="Z933" s="209"/>
    </row>
    <row r="934" spans="1:26" ht="12.75" x14ac:dyDescent="0.2">
      <c r="A934" s="206"/>
      <c r="B934" s="206"/>
      <c r="C934" s="206"/>
      <c r="D934" s="206"/>
      <c r="E934" s="206"/>
      <c r="F934" s="206"/>
      <c r="G934" s="206"/>
      <c r="H934" s="206"/>
      <c r="I934" s="206"/>
      <c r="J934" s="206"/>
      <c r="K934" s="206"/>
      <c r="L934" s="206"/>
      <c r="M934" s="288"/>
      <c r="N934" s="288"/>
      <c r="O934" s="289"/>
      <c r="P934" s="289"/>
      <c r="Q934" s="289"/>
      <c r="R934" s="206"/>
      <c r="S934" s="206"/>
      <c r="T934" s="288"/>
      <c r="U934" s="206"/>
      <c r="V934" s="206"/>
      <c r="W934" s="288"/>
      <c r="X934" s="209"/>
      <c r="Y934" s="209"/>
      <c r="Z934" s="209"/>
    </row>
    <row r="935" spans="1:26" ht="12.75" x14ac:dyDescent="0.2">
      <c r="A935" s="206"/>
      <c r="B935" s="206"/>
      <c r="C935" s="206"/>
      <c r="D935" s="206"/>
      <c r="E935" s="206"/>
      <c r="F935" s="206"/>
      <c r="G935" s="206"/>
      <c r="H935" s="206"/>
      <c r="I935" s="206"/>
      <c r="J935" s="206"/>
      <c r="K935" s="206"/>
      <c r="L935" s="206"/>
      <c r="M935" s="288"/>
      <c r="N935" s="288"/>
      <c r="O935" s="289"/>
      <c r="P935" s="289"/>
      <c r="Q935" s="289"/>
      <c r="R935" s="206"/>
      <c r="S935" s="206"/>
      <c r="T935" s="288"/>
      <c r="U935" s="206"/>
      <c r="V935" s="206"/>
      <c r="W935" s="288"/>
      <c r="X935" s="209"/>
      <c r="Y935" s="209"/>
      <c r="Z935" s="209"/>
    </row>
    <row r="936" spans="1:26" ht="12.75" x14ac:dyDescent="0.2">
      <c r="A936" s="206"/>
      <c r="B936" s="206"/>
      <c r="C936" s="206"/>
      <c r="D936" s="206"/>
      <c r="E936" s="206"/>
      <c r="F936" s="206"/>
      <c r="G936" s="206"/>
      <c r="H936" s="206"/>
      <c r="I936" s="206"/>
      <c r="J936" s="206"/>
      <c r="K936" s="206"/>
      <c r="L936" s="206"/>
      <c r="M936" s="288"/>
      <c r="N936" s="288"/>
      <c r="O936" s="289"/>
      <c r="P936" s="289"/>
      <c r="Q936" s="289"/>
      <c r="R936" s="206"/>
      <c r="S936" s="206"/>
      <c r="T936" s="288"/>
      <c r="U936" s="206"/>
      <c r="V936" s="206"/>
      <c r="W936" s="288"/>
      <c r="X936" s="209"/>
      <c r="Y936" s="209"/>
      <c r="Z936" s="209"/>
    </row>
    <row r="937" spans="1:26" ht="12.75" x14ac:dyDescent="0.2">
      <c r="A937" s="206"/>
      <c r="B937" s="206"/>
      <c r="C937" s="206"/>
      <c r="D937" s="206"/>
      <c r="E937" s="206"/>
      <c r="F937" s="206"/>
      <c r="G937" s="206"/>
      <c r="H937" s="206"/>
      <c r="I937" s="206"/>
      <c r="J937" s="206"/>
      <c r="K937" s="206"/>
      <c r="L937" s="206"/>
      <c r="M937" s="288"/>
      <c r="N937" s="288"/>
      <c r="O937" s="289"/>
      <c r="P937" s="289"/>
      <c r="Q937" s="289"/>
      <c r="R937" s="206"/>
      <c r="S937" s="206"/>
      <c r="T937" s="288"/>
      <c r="U937" s="206"/>
      <c r="V937" s="206"/>
      <c r="W937" s="288"/>
      <c r="X937" s="209"/>
      <c r="Y937" s="209"/>
      <c r="Z937" s="209"/>
    </row>
    <row r="938" spans="1:26" ht="12.75" x14ac:dyDescent="0.2">
      <c r="A938" s="206"/>
      <c r="B938" s="206"/>
      <c r="C938" s="206"/>
      <c r="D938" s="206"/>
      <c r="E938" s="206"/>
      <c r="F938" s="206"/>
      <c r="G938" s="206"/>
      <c r="H938" s="206"/>
      <c r="I938" s="206"/>
      <c r="J938" s="206"/>
      <c r="K938" s="206"/>
      <c r="L938" s="206"/>
      <c r="M938" s="288"/>
      <c r="N938" s="288"/>
      <c r="O938" s="289"/>
      <c r="P938" s="289"/>
      <c r="Q938" s="289"/>
      <c r="R938" s="206"/>
      <c r="S938" s="206"/>
      <c r="T938" s="288"/>
      <c r="U938" s="206"/>
      <c r="V938" s="206"/>
      <c r="W938" s="288"/>
      <c r="X938" s="209"/>
      <c r="Y938" s="209"/>
      <c r="Z938" s="209"/>
    </row>
    <row r="939" spans="1:26" ht="12.75" x14ac:dyDescent="0.2">
      <c r="A939" s="206"/>
      <c r="B939" s="206"/>
      <c r="C939" s="206"/>
      <c r="D939" s="206"/>
      <c r="E939" s="206"/>
      <c r="F939" s="206"/>
      <c r="G939" s="206"/>
      <c r="H939" s="206"/>
      <c r="I939" s="206"/>
      <c r="J939" s="206"/>
      <c r="K939" s="206"/>
      <c r="L939" s="206"/>
      <c r="M939" s="288"/>
      <c r="N939" s="288"/>
      <c r="O939" s="289"/>
      <c r="P939" s="289"/>
      <c r="Q939" s="289"/>
      <c r="R939" s="206"/>
      <c r="S939" s="206"/>
      <c r="T939" s="288"/>
      <c r="U939" s="206"/>
      <c r="V939" s="206"/>
      <c r="W939" s="288"/>
      <c r="X939" s="209"/>
      <c r="Y939" s="209"/>
      <c r="Z939" s="209"/>
    </row>
    <row r="940" spans="1:26" ht="12.75" x14ac:dyDescent="0.2">
      <c r="A940" s="206"/>
      <c r="B940" s="206"/>
      <c r="C940" s="206"/>
      <c r="D940" s="206"/>
      <c r="E940" s="206"/>
      <c r="F940" s="206"/>
      <c r="G940" s="206"/>
      <c r="H940" s="206"/>
      <c r="I940" s="206"/>
      <c r="J940" s="206"/>
      <c r="K940" s="206"/>
      <c r="L940" s="206"/>
      <c r="M940" s="288"/>
      <c r="N940" s="288"/>
      <c r="O940" s="289"/>
      <c r="P940" s="289"/>
      <c r="Q940" s="289"/>
      <c r="R940" s="206"/>
      <c r="S940" s="206"/>
      <c r="T940" s="288"/>
      <c r="U940" s="206"/>
      <c r="V940" s="206"/>
      <c r="W940" s="288"/>
      <c r="X940" s="209"/>
      <c r="Y940" s="209"/>
      <c r="Z940" s="209"/>
    </row>
    <row r="941" spans="1:26" ht="12.75" x14ac:dyDescent="0.2">
      <c r="A941" s="206"/>
      <c r="B941" s="206"/>
      <c r="C941" s="206"/>
      <c r="D941" s="206"/>
      <c r="E941" s="206"/>
      <c r="F941" s="206"/>
      <c r="G941" s="206"/>
      <c r="H941" s="206"/>
      <c r="I941" s="206"/>
      <c r="J941" s="206"/>
      <c r="K941" s="206"/>
      <c r="L941" s="206"/>
      <c r="M941" s="288"/>
      <c r="N941" s="288"/>
      <c r="O941" s="289"/>
      <c r="P941" s="289"/>
      <c r="Q941" s="289"/>
      <c r="R941" s="206"/>
      <c r="S941" s="206"/>
      <c r="T941" s="288"/>
      <c r="U941" s="206"/>
      <c r="V941" s="206"/>
      <c r="W941" s="288"/>
      <c r="X941" s="209"/>
      <c r="Y941" s="209"/>
      <c r="Z941" s="209"/>
    </row>
    <row r="942" spans="1:26" ht="12.75" x14ac:dyDescent="0.2">
      <c r="A942" s="206"/>
      <c r="B942" s="206"/>
      <c r="C942" s="206"/>
      <c r="D942" s="206"/>
      <c r="E942" s="206"/>
      <c r="F942" s="206"/>
      <c r="G942" s="206"/>
      <c r="H942" s="206"/>
      <c r="I942" s="206"/>
      <c r="J942" s="206"/>
      <c r="K942" s="206"/>
      <c r="L942" s="206"/>
      <c r="M942" s="288"/>
      <c r="N942" s="288"/>
      <c r="O942" s="289"/>
      <c r="P942" s="289"/>
      <c r="Q942" s="289"/>
      <c r="R942" s="206"/>
      <c r="S942" s="206"/>
      <c r="T942" s="288"/>
      <c r="U942" s="206"/>
      <c r="V942" s="206"/>
      <c r="W942" s="288"/>
      <c r="X942" s="209"/>
      <c r="Y942" s="209"/>
      <c r="Z942" s="209"/>
    </row>
    <row r="943" spans="1:26" ht="12.75" x14ac:dyDescent="0.2">
      <c r="A943" s="206"/>
      <c r="B943" s="206"/>
      <c r="C943" s="206"/>
      <c r="D943" s="206"/>
      <c r="E943" s="206"/>
      <c r="F943" s="206"/>
      <c r="G943" s="206"/>
      <c r="H943" s="206"/>
      <c r="I943" s="206"/>
      <c r="J943" s="206"/>
      <c r="K943" s="206"/>
      <c r="L943" s="206"/>
      <c r="M943" s="288"/>
      <c r="N943" s="288"/>
      <c r="O943" s="289"/>
      <c r="P943" s="289"/>
      <c r="Q943" s="289"/>
      <c r="R943" s="206"/>
      <c r="S943" s="206"/>
      <c r="T943" s="288"/>
      <c r="U943" s="206"/>
      <c r="V943" s="206"/>
      <c r="W943" s="288"/>
      <c r="X943" s="209"/>
      <c r="Y943" s="209"/>
      <c r="Z943" s="209"/>
    </row>
    <row r="944" spans="1:26" ht="12.75" x14ac:dyDescent="0.2">
      <c r="A944" s="206"/>
      <c r="B944" s="206"/>
      <c r="C944" s="206"/>
      <c r="D944" s="206"/>
      <c r="E944" s="206"/>
      <c r="F944" s="206"/>
      <c r="G944" s="206"/>
      <c r="H944" s="206"/>
      <c r="I944" s="206"/>
      <c r="J944" s="206"/>
      <c r="K944" s="206"/>
      <c r="L944" s="206"/>
      <c r="M944" s="288"/>
      <c r="N944" s="288"/>
      <c r="O944" s="289"/>
      <c r="P944" s="289"/>
      <c r="Q944" s="289"/>
      <c r="R944" s="206"/>
      <c r="S944" s="206"/>
      <c r="T944" s="288"/>
      <c r="U944" s="206"/>
      <c r="V944" s="206"/>
      <c r="W944" s="288"/>
      <c r="X944" s="209"/>
      <c r="Y944" s="209"/>
      <c r="Z944" s="209"/>
    </row>
    <row r="945" spans="1:26" ht="12.75" x14ac:dyDescent="0.2">
      <c r="A945" s="206"/>
      <c r="B945" s="206"/>
      <c r="C945" s="206"/>
      <c r="D945" s="206"/>
      <c r="E945" s="206"/>
      <c r="F945" s="206"/>
      <c r="G945" s="206"/>
      <c r="H945" s="206"/>
      <c r="I945" s="206"/>
      <c r="J945" s="206"/>
      <c r="K945" s="206"/>
      <c r="L945" s="206"/>
      <c r="M945" s="288"/>
      <c r="N945" s="288"/>
      <c r="O945" s="289"/>
      <c r="P945" s="289"/>
      <c r="Q945" s="289"/>
      <c r="R945" s="206"/>
      <c r="S945" s="206"/>
      <c r="T945" s="288"/>
      <c r="U945" s="206"/>
      <c r="V945" s="206"/>
      <c r="W945" s="288"/>
      <c r="X945" s="209"/>
      <c r="Y945" s="209"/>
      <c r="Z945" s="209"/>
    </row>
    <row r="946" spans="1:26" ht="12.75" x14ac:dyDescent="0.2">
      <c r="A946" s="206"/>
      <c r="B946" s="206"/>
      <c r="C946" s="206"/>
      <c r="D946" s="206"/>
      <c r="E946" s="206"/>
      <c r="F946" s="206"/>
      <c r="G946" s="206"/>
      <c r="H946" s="206"/>
      <c r="I946" s="206"/>
      <c r="J946" s="206"/>
      <c r="K946" s="206"/>
      <c r="L946" s="206"/>
      <c r="M946" s="288"/>
      <c r="N946" s="288"/>
      <c r="O946" s="289"/>
      <c r="P946" s="289"/>
      <c r="Q946" s="289"/>
      <c r="R946" s="206"/>
      <c r="S946" s="206"/>
      <c r="T946" s="288"/>
      <c r="U946" s="206"/>
      <c r="V946" s="206"/>
      <c r="W946" s="288"/>
      <c r="X946" s="209"/>
      <c r="Y946" s="209"/>
      <c r="Z946" s="209"/>
    </row>
    <row r="947" spans="1:26" ht="12.75" x14ac:dyDescent="0.2">
      <c r="A947" s="206"/>
      <c r="B947" s="206"/>
      <c r="C947" s="206"/>
      <c r="D947" s="206"/>
      <c r="E947" s="206"/>
      <c r="F947" s="206"/>
      <c r="G947" s="206"/>
      <c r="H947" s="206"/>
      <c r="I947" s="206"/>
      <c r="J947" s="206"/>
      <c r="K947" s="206"/>
      <c r="L947" s="206"/>
      <c r="M947" s="288"/>
      <c r="N947" s="288"/>
      <c r="O947" s="289"/>
      <c r="P947" s="289"/>
      <c r="Q947" s="289"/>
      <c r="R947" s="206"/>
      <c r="S947" s="206"/>
      <c r="T947" s="288"/>
      <c r="U947" s="206"/>
      <c r="V947" s="206"/>
      <c r="W947" s="288"/>
      <c r="X947" s="209"/>
      <c r="Y947" s="209"/>
      <c r="Z947" s="209"/>
    </row>
    <row r="948" spans="1:26" ht="12.75" x14ac:dyDescent="0.2">
      <c r="A948" s="206"/>
      <c r="B948" s="206"/>
      <c r="C948" s="206"/>
      <c r="D948" s="206"/>
      <c r="E948" s="206"/>
      <c r="F948" s="206"/>
      <c r="G948" s="206"/>
      <c r="H948" s="206"/>
      <c r="I948" s="206"/>
      <c r="J948" s="206"/>
      <c r="K948" s="206"/>
      <c r="L948" s="206"/>
      <c r="M948" s="288"/>
      <c r="N948" s="288"/>
      <c r="O948" s="289"/>
      <c r="P948" s="289"/>
      <c r="Q948" s="289"/>
      <c r="R948" s="206"/>
      <c r="S948" s="206"/>
      <c r="T948" s="288"/>
      <c r="U948" s="206"/>
      <c r="V948" s="206"/>
      <c r="W948" s="288"/>
      <c r="X948" s="209"/>
      <c r="Y948" s="209"/>
      <c r="Z948" s="209"/>
    </row>
    <row r="949" spans="1:26" ht="12.75" x14ac:dyDescent="0.2">
      <c r="A949" s="206"/>
      <c r="B949" s="206"/>
      <c r="C949" s="206"/>
      <c r="D949" s="206"/>
      <c r="E949" s="206"/>
      <c r="F949" s="206"/>
      <c r="G949" s="206"/>
      <c r="H949" s="206"/>
      <c r="I949" s="206"/>
      <c r="J949" s="206"/>
      <c r="K949" s="206"/>
      <c r="L949" s="206"/>
      <c r="M949" s="288"/>
      <c r="N949" s="288"/>
      <c r="O949" s="289"/>
      <c r="P949" s="289"/>
      <c r="Q949" s="289"/>
      <c r="R949" s="206"/>
      <c r="S949" s="206"/>
      <c r="T949" s="288"/>
      <c r="U949" s="206"/>
      <c r="V949" s="206"/>
      <c r="W949" s="288"/>
      <c r="X949" s="209"/>
      <c r="Y949" s="209"/>
      <c r="Z949" s="209"/>
    </row>
    <row r="950" spans="1:26" ht="12.75" x14ac:dyDescent="0.2">
      <c r="A950" s="206"/>
      <c r="B950" s="206"/>
      <c r="C950" s="206"/>
      <c r="D950" s="206"/>
      <c r="E950" s="206"/>
      <c r="F950" s="206"/>
      <c r="G950" s="206"/>
      <c r="H950" s="206"/>
      <c r="I950" s="206"/>
      <c r="J950" s="206"/>
      <c r="K950" s="206"/>
      <c r="L950" s="206"/>
      <c r="M950" s="288"/>
      <c r="N950" s="288"/>
      <c r="O950" s="289"/>
      <c r="P950" s="289"/>
      <c r="Q950" s="289"/>
      <c r="R950" s="206"/>
      <c r="S950" s="206"/>
      <c r="T950" s="288"/>
      <c r="U950" s="206"/>
      <c r="V950" s="206"/>
      <c r="W950" s="288"/>
      <c r="X950" s="209"/>
      <c r="Y950" s="209"/>
      <c r="Z950" s="209"/>
    </row>
    <row r="951" spans="1:26" ht="12.75" x14ac:dyDescent="0.2">
      <c r="A951" s="206"/>
      <c r="B951" s="206"/>
      <c r="C951" s="206"/>
      <c r="D951" s="206"/>
      <c r="E951" s="206"/>
      <c r="F951" s="206"/>
      <c r="G951" s="206"/>
      <c r="H951" s="206"/>
      <c r="I951" s="206"/>
      <c r="J951" s="206"/>
      <c r="K951" s="206"/>
      <c r="L951" s="206"/>
      <c r="M951" s="288"/>
      <c r="N951" s="288"/>
      <c r="O951" s="289"/>
      <c r="P951" s="289"/>
      <c r="Q951" s="289"/>
      <c r="R951" s="206"/>
      <c r="S951" s="206"/>
      <c r="T951" s="288"/>
      <c r="U951" s="206"/>
      <c r="V951" s="206"/>
      <c r="W951" s="288"/>
      <c r="X951" s="209"/>
      <c r="Y951" s="209"/>
      <c r="Z951" s="209"/>
    </row>
    <row r="952" spans="1:26" ht="12.75" x14ac:dyDescent="0.2">
      <c r="A952" s="206"/>
      <c r="B952" s="206"/>
      <c r="C952" s="206"/>
      <c r="D952" s="206"/>
      <c r="E952" s="206"/>
      <c r="F952" s="206"/>
      <c r="G952" s="206"/>
      <c r="H952" s="206"/>
      <c r="I952" s="206"/>
      <c r="J952" s="206"/>
      <c r="K952" s="206"/>
      <c r="L952" s="206"/>
      <c r="M952" s="288"/>
      <c r="N952" s="288"/>
      <c r="O952" s="289"/>
      <c r="P952" s="289"/>
      <c r="Q952" s="289"/>
      <c r="R952" s="206"/>
      <c r="S952" s="206"/>
      <c r="T952" s="288"/>
      <c r="U952" s="206"/>
      <c r="V952" s="206"/>
      <c r="W952" s="288"/>
      <c r="X952" s="209"/>
      <c r="Y952" s="209"/>
      <c r="Z952" s="209"/>
    </row>
    <row r="953" spans="1:26" ht="12.75" x14ac:dyDescent="0.2">
      <c r="A953" s="206"/>
      <c r="B953" s="206"/>
      <c r="C953" s="206"/>
      <c r="D953" s="206"/>
      <c r="E953" s="206"/>
      <c r="F953" s="206"/>
      <c r="G953" s="206"/>
      <c r="H953" s="206"/>
      <c r="I953" s="206"/>
      <c r="J953" s="206"/>
      <c r="K953" s="206"/>
      <c r="L953" s="206"/>
      <c r="M953" s="288"/>
      <c r="N953" s="288"/>
      <c r="O953" s="289"/>
      <c r="P953" s="289"/>
      <c r="Q953" s="289"/>
      <c r="R953" s="206"/>
      <c r="S953" s="206"/>
      <c r="T953" s="288"/>
      <c r="U953" s="206"/>
      <c r="V953" s="206"/>
      <c r="W953" s="288"/>
      <c r="X953" s="209"/>
      <c r="Y953" s="209"/>
      <c r="Z953" s="209"/>
    </row>
    <row r="954" spans="1:26" ht="12.75" x14ac:dyDescent="0.2">
      <c r="A954" s="206"/>
      <c r="B954" s="206"/>
      <c r="C954" s="206"/>
      <c r="D954" s="206"/>
      <c r="E954" s="206"/>
      <c r="F954" s="206"/>
      <c r="G954" s="206"/>
      <c r="H954" s="206"/>
      <c r="I954" s="206"/>
      <c r="J954" s="206"/>
      <c r="K954" s="206"/>
      <c r="L954" s="206"/>
      <c r="M954" s="288"/>
      <c r="N954" s="288"/>
      <c r="O954" s="289"/>
      <c r="P954" s="289"/>
      <c r="Q954" s="289"/>
      <c r="R954" s="206"/>
      <c r="S954" s="206"/>
      <c r="T954" s="288"/>
      <c r="U954" s="206"/>
      <c r="V954" s="206"/>
      <c r="W954" s="288"/>
      <c r="X954" s="209"/>
      <c r="Y954" s="209"/>
      <c r="Z954" s="209"/>
    </row>
    <row r="955" spans="1:26" ht="12.75" x14ac:dyDescent="0.2">
      <c r="A955" s="206"/>
      <c r="B955" s="206"/>
      <c r="C955" s="206"/>
      <c r="D955" s="206"/>
      <c r="E955" s="206"/>
      <c r="F955" s="206"/>
      <c r="G955" s="206"/>
      <c r="H955" s="206"/>
      <c r="I955" s="206"/>
      <c r="J955" s="206"/>
      <c r="K955" s="206"/>
      <c r="L955" s="206"/>
      <c r="M955" s="288"/>
      <c r="N955" s="288"/>
      <c r="O955" s="289"/>
      <c r="P955" s="289"/>
      <c r="Q955" s="289"/>
      <c r="R955" s="206"/>
      <c r="S955" s="206"/>
      <c r="T955" s="288"/>
      <c r="U955" s="206"/>
      <c r="V955" s="206"/>
      <c r="W955" s="288"/>
      <c r="X955" s="209"/>
      <c r="Y955" s="209"/>
      <c r="Z955" s="209"/>
    </row>
    <row r="956" spans="1:26" ht="12.75" x14ac:dyDescent="0.2">
      <c r="A956" s="206"/>
      <c r="B956" s="206"/>
      <c r="C956" s="206"/>
      <c r="D956" s="206"/>
      <c r="E956" s="206"/>
      <c r="F956" s="206"/>
      <c r="G956" s="206"/>
      <c r="H956" s="206"/>
      <c r="I956" s="206"/>
      <c r="J956" s="206"/>
      <c r="K956" s="206"/>
      <c r="L956" s="206"/>
      <c r="M956" s="288"/>
      <c r="N956" s="288"/>
      <c r="O956" s="289"/>
      <c r="P956" s="289"/>
      <c r="Q956" s="289"/>
      <c r="R956" s="206"/>
      <c r="S956" s="206"/>
      <c r="T956" s="288"/>
      <c r="U956" s="206"/>
      <c r="V956" s="206"/>
      <c r="W956" s="288"/>
      <c r="X956" s="209"/>
      <c r="Y956" s="209"/>
      <c r="Z956" s="209"/>
    </row>
    <row r="957" spans="1:26" ht="12.75" x14ac:dyDescent="0.2">
      <c r="A957" s="206"/>
      <c r="B957" s="206"/>
      <c r="C957" s="206"/>
      <c r="D957" s="206"/>
      <c r="E957" s="206"/>
      <c r="F957" s="206"/>
      <c r="G957" s="206"/>
      <c r="H957" s="206"/>
      <c r="I957" s="206"/>
      <c r="J957" s="206"/>
      <c r="K957" s="206"/>
      <c r="L957" s="206"/>
      <c r="M957" s="288"/>
      <c r="N957" s="288"/>
      <c r="O957" s="289"/>
      <c r="P957" s="289"/>
      <c r="Q957" s="289"/>
      <c r="R957" s="206"/>
      <c r="S957" s="206"/>
      <c r="T957" s="288"/>
      <c r="U957" s="206"/>
      <c r="V957" s="206"/>
      <c r="W957" s="288"/>
      <c r="X957" s="209"/>
      <c r="Y957" s="209"/>
      <c r="Z957" s="209"/>
    </row>
    <row r="958" spans="1:26" ht="12.75" x14ac:dyDescent="0.2">
      <c r="A958" s="206"/>
      <c r="B958" s="206"/>
      <c r="C958" s="206"/>
      <c r="D958" s="206"/>
      <c r="E958" s="206"/>
      <c r="F958" s="206"/>
      <c r="G958" s="206"/>
      <c r="H958" s="206"/>
      <c r="I958" s="206"/>
      <c r="J958" s="206"/>
      <c r="K958" s="206"/>
      <c r="L958" s="206"/>
      <c r="M958" s="288"/>
      <c r="N958" s="288"/>
      <c r="O958" s="289"/>
      <c r="P958" s="289"/>
      <c r="Q958" s="289"/>
      <c r="R958" s="206"/>
      <c r="S958" s="206"/>
      <c r="T958" s="288"/>
      <c r="U958" s="206"/>
      <c r="V958" s="206"/>
      <c r="W958" s="288"/>
      <c r="X958" s="209"/>
      <c r="Y958" s="209"/>
      <c r="Z958" s="209"/>
    </row>
    <row r="959" spans="1:26" ht="12.75" x14ac:dyDescent="0.2">
      <c r="A959" s="206"/>
      <c r="B959" s="206"/>
      <c r="C959" s="206"/>
      <c r="D959" s="206"/>
      <c r="E959" s="206"/>
      <c r="F959" s="206"/>
      <c r="G959" s="206"/>
      <c r="H959" s="206"/>
      <c r="I959" s="206"/>
      <c r="J959" s="206"/>
      <c r="K959" s="206"/>
      <c r="L959" s="206"/>
      <c r="M959" s="288"/>
      <c r="N959" s="288"/>
      <c r="O959" s="289"/>
      <c r="P959" s="289"/>
      <c r="Q959" s="289"/>
      <c r="R959" s="206"/>
      <c r="S959" s="206"/>
      <c r="T959" s="288"/>
      <c r="U959" s="206"/>
      <c r="V959" s="206"/>
      <c r="W959" s="288"/>
      <c r="X959" s="209"/>
      <c r="Y959" s="209"/>
      <c r="Z959" s="209"/>
    </row>
    <row r="960" spans="1:26" ht="12.75" x14ac:dyDescent="0.2">
      <c r="A960" s="206"/>
      <c r="B960" s="206"/>
      <c r="C960" s="206"/>
      <c r="D960" s="206"/>
      <c r="E960" s="206"/>
      <c r="F960" s="206"/>
      <c r="G960" s="206"/>
      <c r="H960" s="206"/>
      <c r="I960" s="206"/>
      <c r="J960" s="206"/>
      <c r="K960" s="206"/>
      <c r="L960" s="206"/>
      <c r="M960" s="288"/>
      <c r="N960" s="288"/>
      <c r="O960" s="289"/>
      <c r="P960" s="289"/>
      <c r="Q960" s="289"/>
      <c r="R960" s="206"/>
      <c r="S960" s="206"/>
      <c r="T960" s="288"/>
      <c r="U960" s="206"/>
      <c r="V960" s="206"/>
      <c r="W960" s="288"/>
      <c r="X960" s="209"/>
      <c r="Y960" s="209"/>
      <c r="Z960" s="209"/>
    </row>
    <row r="961" spans="1:26" ht="12.75" x14ac:dyDescent="0.2">
      <c r="A961" s="206"/>
      <c r="B961" s="206"/>
      <c r="C961" s="206"/>
      <c r="D961" s="206"/>
      <c r="E961" s="206"/>
      <c r="F961" s="206"/>
      <c r="G961" s="206"/>
      <c r="H961" s="206"/>
      <c r="I961" s="206"/>
      <c r="J961" s="206"/>
      <c r="K961" s="206"/>
      <c r="L961" s="206"/>
      <c r="M961" s="288"/>
      <c r="N961" s="288"/>
      <c r="O961" s="289"/>
      <c r="P961" s="289"/>
      <c r="Q961" s="289"/>
      <c r="R961" s="206"/>
      <c r="S961" s="206"/>
      <c r="T961" s="288"/>
      <c r="U961" s="206"/>
      <c r="V961" s="206"/>
      <c r="W961" s="288"/>
      <c r="X961" s="209"/>
      <c r="Y961" s="209"/>
      <c r="Z961" s="209"/>
    </row>
    <row r="962" spans="1:26" ht="12.75" x14ac:dyDescent="0.2">
      <c r="A962" s="206"/>
      <c r="B962" s="206"/>
      <c r="C962" s="206"/>
      <c r="D962" s="206"/>
      <c r="E962" s="206"/>
      <c r="F962" s="206"/>
      <c r="G962" s="206"/>
      <c r="H962" s="206"/>
      <c r="I962" s="206"/>
      <c r="J962" s="206"/>
      <c r="K962" s="206"/>
      <c r="L962" s="206"/>
      <c r="M962" s="288"/>
      <c r="N962" s="288"/>
      <c r="O962" s="289"/>
      <c r="P962" s="289"/>
      <c r="Q962" s="289"/>
      <c r="R962" s="206"/>
      <c r="S962" s="206"/>
      <c r="T962" s="288"/>
      <c r="U962" s="206"/>
      <c r="V962" s="206"/>
      <c r="W962" s="288"/>
      <c r="X962" s="209"/>
      <c r="Y962" s="209"/>
      <c r="Z962" s="209"/>
    </row>
    <row r="963" spans="1:26" ht="12.75" x14ac:dyDescent="0.2">
      <c r="A963" s="206"/>
      <c r="B963" s="206"/>
      <c r="C963" s="206"/>
      <c r="D963" s="206"/>
      <c r="E963" s="206"/>
      <c r="F963" s="206"/>
      <c r="G963" s="206"/>
      <c r="H963" s="206"/>
      <c r="I963" s="206"/>
      <c r="J963" s="206"/>
      <c r="K963" s="206"/>
      <c r="L963" s="206"/>
      <c r="M963" s="288"/>
      <c r="N963" s="288"/>
      <c r="O963" s="289"/>
      <c r="P963" s="289"/>
      <c r="Q963" s="289"/>
      <c r="R963" s="206"/>
      <c r="S963" s="206"/>
      <c r="T963" s="288"/>
      <c r="U963" s="206"/>
      <c r="V963" s="206"/>
      <c r="W963" s="288"/>
      <c r="X963" s="209"/>
      <c r="Y963" s="209"/>
      <c r="Z963" s="209"/>
    </row>
    <row r="964" spans="1:26" ht="12.75" x14ac:dyDescent="0.2">
      <c r="A964" s="206"/>
      <c r="B964" s="206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88"/>
      <c r="N964" s="288"/>
      <c r="O964" s="289"/>
      <c r="P964" s="289"/>
      <c r="Q964" s="289"/>
      <c r="R964" s="206"/>
      <c r="S964" s="206"/>
      <c r="T964" s="288"/>
      <c r="U964" s="206"/>
      <c r="V964" s="206"/>
      <c r="W964" s="288"/>
      <c r="X964" s="209"/>
      <c r="Y964" s="209"/>
      <c r="Z964" s="209"/>
    </row>
    <row r="965" spans="1:26" ht="12.75" x14ac:dyDescent="0.2">
      <c r="A965" s="206"/>
      <c r="B965" s="206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88"/>
      <c r="N965" s="288"/>
      <c r="O965" s="289"/>
      <c r="P965" s="289"/>
      <c r="Q965" s="289"/>
      <c r="R965" s="206"/>
      <c r="S965" s="206"/>
      <c r="T965" s="288"/>
      <c r="U965" s="206"/>
      <c r="V965" s="206"/>
      <c r="W965" s="288"/>
      <c r="X965" s="209"/>
      <c r="Y965" s="209"/>
      <c r="Z965" s="209"/>
    </row>
    <row r="966" spans="1:26" ht="12.75" x14ac:dyDescent="0.2">
      <c r="A966" s="206"/>
      <c r="B966" s="206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88"/>
      <c r="N966" s="288"/>
      <c r="O966" s="289"/>
      <c r="P966" s="289"/>
      <c r="Q966" s="289"/>
      <c r="R966" s="206"/>
      <c r="S966" s="206"/>
      <c r="T966" s="288"/>
      <c r="U966" s="206"/>
      <c r="V966" s="206"/>
      <c r="W966" s="288"/>
      <c r="X966" s="209"/>
      <c r="Y966" s="209"/>
      <c r="Z966" s="209"/>
    </row>
    <row r="967" spans="1:26" ht="12.75" x14ac:dyDescent="0.2">
      <c r="A967" s="206"/>
      <c r="B967" s="206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88"/>
      <c r="N967" s="288"/>
      <c r="O967" s="289"/>
      <c r="P967" s="289"/>
      <c r="Q967" s="289"/>
      <c r="R967" s="206"/>
      <c r="S967" s="206"/>
      <c r="T967" s="288"/>
      <c r="U967" s="206"/>
      <c r="V967" s="206"/>
      <c r="W967" s="288"/>
      <c r="X967" s="209"/>
      <c r="Y967" s="209"/>
      <c r="Z967" s="209"/>
    </row>
    <row r="968" spans="1:26" ht="12.75" x14ac:dyDescent="0.2">
      <c r="A968" s="206"/>
      <c r="B968" s="206"/>
      <c r="C968" s="206"/>
      <c r="D968" s="206"/>
      <c r="E968" s="206"/>
      <c r="F968" s="206"/>
      <c r="G968" s="206"/>
      <c r="H968" s="206"/>
      <c r="I968" s="206"/>
      <c r="J968" s="206"/>
      <c r="K968" s="206"/>
      <c r="L968" s="206"/>
      <c r="M968" s="288"/>
      <c r="N968" s="288"/>
      <c r="O968" s="289"/>
      <c r="P968" s="289"/>
      <c r="Q968" s="289"/>
      <c r="R968" s="206"/>
      <c r="S968" s="206"/>
      <c r="T968" s="288"/>
      <c r="U968" s="206"/>
      <c r="V968" s="206"/>
      <c r="W968" s="288"/>
      <c r="X968" s="209"/>
      <c r="Y968" s="209"/>
      <c r="Z968" s="209"/>
    </row>
    <row r="969" spans="1:26" ht="12.75" x14ac:dyDescent="0.2">
      <c r="A969" s="206"/>
      <c r="B969" s="206"/>
      <c r="C969" s="206"/>
      <c r="D969" s="206"/>
      <c r="E969" s="206"/>
      <c r="F969" s="206"/>
      <c r="G969" s="206"/>
      <c r="H969" s="206"/>
      <c r="I969" s="206"/>
      <c r="J969" s="206"/>
      <c r="K969" s="206"/>
      <c r="L969" s="206"/>
      <c r="M969" s="288"/>
      <c r="N969" s="288"/>
      <c r="O969" s="289"/>
      <c r="P969" s="289"/>
      <c r="Q969" s="289"/>
      <c r="R969" s="206"/>
      <c r="S969" s="206"/>
      <c r="T969" s="288"/>
      <c r="U969" s="206"/>
      <c r="V969" s="206"/>
      <c r="W969" s="288"/>
      <c r="X969" s="209"/>
      <c r="Y969" s="209"/>
      <c r="Z969" s="209"/>
    </row>
    <row r="970" spans="1:26" ht="12.75" x14ac:dyDescent="0.2">
      <c r="A970" s="206"/>
      <c r="B970" s="206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88"/>
      <c r="N970" s="288"/>
      <c r="O970" s="289"/>
      <c r="P970" s="289"/>
      <c r="Q970" s="289"/>
      <c r="R970" s="206"/>
      <c r="S970" s="206"/>
      <c r="T970" s="288"/>
      <c r="U970" s="206"/>
      <c r="V970" s="206"/>
      <c r="W970" s="288"/>
      <c r="X970" s="209"/>
      <c r="Y970" s="209"/>
      <c r="Z970" s="209"/>
    </row>
    <row r="971" spans="1:26" ht="12.75" x14ac:dyDescent="0.2">
      <c r="A971" s="206"/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88"/>
      <c r="N971" s="288"/>
      <c r="O971" s="289"/>
      <c r="P971" s="289"/>
      <c r="Q971" s="289"/>
      <c r="R971" s="206"/>
      <c r="S971" s="206"/>
      <c r="T971" s="288"/>
      <c r="U971" s="206"/>
      <c r="V971" s="206"/>
      <c r="W971" s="288"/>
      <c r="X971" s="209"/>
      <c r="Y971" s="209"/>
      <c r="Z971" s="209"/>
    </row>
    <row r="972" spans="1:26" ht="12.75" x14ac:dyDescent="0.2">
      <c r="A972" s="206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88"/>
      <c r="N972" s="288"/>
      <c r="O972" s="289"/>
      <c r="P972" s="289"/>
      <c r="Q972" s="289"/>
      <c r="R972" s="206"/>
      <c r="S972" s="206"/>
      <c r="T972" s="288"/>
      <c r="U972" s="206"/>
      <c r="V972" s="206"/>
      <c r="W972" s="288"/>
      <c r="X972" s="209"/>
      <c r="Y972" s="209"/>
      <c r="Z972" s="209"/>
    </row>
    <row r="973" spans="1:26" ht="12.75" x14ac:dyDescent="0.2">
      <c r="A973" s="206"/>
      <c r="B973" s="206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88"/>
      <c r="N973" s="288"/>
      <c r="O973" s="289"/>
      <c r="P973" s="289"/>
      <c r="Q973" s="289"/>
      <c r="R973" s="206"/>
      <c r="S973" s="206"/>
      <c r="T973" s="288"/>
      <c r="U973" s="206"/>
      <c r="V973" s="206"/>
      <c r="W973" s="288"/>
      <c r="X973" s="209"/>
      <c r="Y973" s="209"/>
      <c r="Z973" s="209"/>
    </row>
    <row r="974" spans="1:26" ht="12.75" x14ac:dyDescent="0.2">
      <c r="A974" s="206"/>
      <c r="B974" s="206"/>
      <c r="C974" s="206"/>
      <c r="D974" s="206"/>
      <c r="E974" s="206"/>
      <c r="F974" s="206"/>
      <c r="G974" s="206"/>
      <c r="H974" s="206"/>
      <c r="I974" s="206"/>
      <c r="J974" s="206"/>
      <c r="K974" s="206"/>
      <c r="L974" s="206"/>
      <c r="M974" s="288"/>
      <c r="N974" s="288"/>
      <c r="O974" s="289"/>
      <c r="P974" s="289"/>
      <c r="Q974" s="289"/>
      <c r="R974" s="206"/>
      <c r="S974" s="206"/>
      <c r="T974" s="288"/>
      <c r="U974" s="206"/>
      <c r="V974" s="206"/>
      <c r="W974" s="288"/>
      <c r="X974" s="209"/>
      <c r="Y974" s="209"/>
      <c r="Z974" s="209"/>
    </row>
    <row r="975" spans="1:26" ht="12.75" x14ac:dyDescent="0.2">
      <c r="A975" s="206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88"/>
      <c r="N975" s="288"/>
      <c r="O975" s="289"/>
      <c r="P975" s="289"/>
      <c r="Q975" s="289"/>
      <c r="R975" s="206"/>
      <c r="S975" s="206"/>
      <c r="T975" s="288"/>
      <c r="U975" s="206"/>
      <c r="V975" s="206"/>
      <c r="W975" s="288"/>
      <c r="X975" s="209"/>
      <c r="Y975" s="209"/>
      <c r="Z975" s="209"/>
    </row>
    <row r="976" spans="1:26" ht="12.75" x14ac:dyDescent="0.2">
      <c r="A976" s="206"/>
      <c r="B976" s="206"/>
      <c r="C976" s="206"/>
      <c r="D976" s="206"/>
      <c r="E976" s="206"/>
      <c r="F976" s="206"/>
      <c r="G976" s="206"/>
      <c r="H976" s="206"/>
      <c r="I976" s="206"/>
      <c r="J976" s="206"/>
      <c r="K976" s="206"/>
      <c r="L976" s="206"/>
      <c r="M976" s="288"/>
      <c r="N976" s="288"/>
      <c r="O976" s="289"/>
      <c r="P976" s="289"/>
      <c r="Q976" s="289"/>
      <c r="R976" s="206"/>
      <c r="S976" s="206"/>
      <c r="T976" s="288"/>
      <c r="U976" s="206"/>
      <c r="V976" s="206"/>
      <c r="W976" s="288"/>
      <c r="X976" s="209"/>
      <c r="Y976" s="209"/>
      <c r="Z976" s="209"/>
    </row>
    <row r="977" spans="1:26" ht="12.75" x14ac:dyDescent="0.2">
      <c r="A977" s="206"/>
      <c r="B977" s="206"/>
      <c r="C977" s="206"/>
      <c r="D977" s="206"/>
      <c r="E977" s="206"/>
      <c r="F977" s="206"/>
      <c r="G977" s="206"/>
      <c r="H977" s="206"/>
      <c r="I977" s="206"/>
      <c r="J977" s="206"/>
      <c r="K977" s="206"/>
      <c r="L977" s="206"/>
      <c r="M977" s="288"/>
      <c r="N977" s="288"/>
      <c r="O977" s="289"/>
      <c r="P977" s="289"/>
      <c r="Q977" s="289"/>
      <c r="R977" s="206"/>
      <c r="S977" s="206"/>
      <c r="T977" s="288"/>
      <c r="U977" s="206"/>
      <c r="V977" s="206"/>
      <c r="W977" s="288"/>
      <c r="X977" s="209"/>
      <c r="Y977" s="209"/>
      <c r="Z977" s="209"/>
    </row>
    <row r="978" spans="1:26" ht="12.75" x14ac:dyDescent="0.2">
      <c r="A978" s="206"/>
      <c r="B978" s="206"/>
      <c r="C978" s="206"/>
      <c r="D978" s="206"/>
      <c r="E978" s="206"/>
      <c r="F978" s="206"/>
      <c r="G978" s="206"/>
      <c r="H978" s="206"/>
      <c r="I978" s="206"/>
      <c r="J978" s="206"/>
      <c r="K978" s="206"/>
      <c r="L978" s="206"/>
      <c r="M978" s="288"/>
      <c r="N978" s="288"/>
      <c r="O978" s="289"/>
      <c r="P978" s="289"/>
      <c r="Q978" s="289"/>
      <c r="R978" s="206"/>
      <c r="S978" s="206"/>
      <c r="T978" s="288"/>
      <c r="U978" s="206"/>
      <c r="V978" s="206"/>
      <c r="W978" s="288"/>
      <c r="X978" s="209"/>
      <c r="Y978" s="209"/>
      <c r="Z978" s="209"/>
    </row>
    <row r="979" spans="1:26" ht="12.75" x14ac:dyDescent="0.2">
      <c r="A979" s="206"/>
      <c r="B979" s="206"/>
      <c r="C979" s="206"/>
      <c r="D979" s="206"/>
      <c r="E979" s="206"/>
      <c r="F979" s="206"/>
      <c r="G979" s="206"/>
      <c r="H979" s="206"/>
      <c r="I979" s="206"/>
      <c r="J979" s="206"/>
      <c r="K979" s="206"/>
      <c r="L979" s="206"/>
      <c r="M979" s="288"/>
      <c r="N979" s="288"/>
      <c r="O979" s="289"/>
      <c r="P979" s="289"/>
      <c r="Q979" s="289"/>
      <c r="R979" s="206"/>
      <c r="S979" s="206"/>
      <c r="T979" s="288"/>
      <c r="U979" s="206"/>
      <c r="V979" s="206"/>
      <c r="W979" s="288"/>
      <c r="X979" s="209"/>
      <c r="Y979" s="209"/>
      <c r="Z979" s="209"/>
    </row>
    <row r="980" spans="1:26" ht="12.75" x14ac:dyDescent="0.2">
      <c r="A980" s="206"/>
      <c r="B980" s="206"/>
      <c r="C980" s="206"/>
      <c r="D980" s="206"/>
      <c r="E980" s="206"/>
      <c r="F980" s="206"/>
      <c r="G980" s="206"/>
      <c r="H980" s="206"/>
      <c r="I980" s="206"/>
      <c r="J980" s="206"/>
      <c r="K980" s="206"/>
      <c r="L980" s="206"/>
      <c r="M980" s="288"/>
      <c r="N980" s="288"/>
      <c r="O980" s="289"/>
      <c r="P980" s="289"/>
      <c r="Q980" s="289"/>
      <c r="R980" s="206"/>
      <c r="S980" s="206"/>
      <c r="T980" s="288"/>
      <c r="U980" s="206"/>
      <c r="V980" s="206"/>
      <c r="W980" s="288"/>
      <c r="X980" s="209"/>
      <c r="Y980" s="209"/>
      <c r="Z980" s="209"/>
    </row>
    <row r="981" spans="1:26" ht="12.75" x14ac:dyDescent="0.2">
      <c r="A981" s="206"/>
      <c r="B981" s="206"/>
      <c r="C981" s="206"/>
      <c r="D981" s="206"/>
      <c r="E981" s="206"/>
      <c r="F981" s="206"/>
      <c r="G981" s="206"/>
      <c r="H981" s="206"/>
      <c r="I981" s="206"/>
      <c r="J981" s="206"/>
      <c r="K981" s="206"/>
      <c r="L981" s="206"/>
      <c r="M981" s="288"/>
      <c r="N981" s="288"/>
      <c r="O981" s="289"/>
      <c r="P981" s="289"/>
      <c r="Q981" s="289"/>
      <c r="R981" s="206"/>
      <c r="S981" s="206"/>
      <c r="T981" s="288"/>
      <c r="U981" s="206"/>
      <c r="V981" s="206"/>
      <c r="W981" s="288"/>
      <c r="X981" s="209"/>
      <c r="Y981" s="209"/>
      <c r="Z981" s="209"/>
    </row>
    <row r="982" spans="1:26" ht="12.75" x14ac:dyDescent="0.2">
      <c r="A982" s="206"/>
      <c r="B982" s="206"/>
      <c r="C982" s="206"/>
      <c r="D982" s="206"/>
      <c r="E982" s="206"/>
      <c r="F982" s="206"/>
      <c r="G982" s="206"/>
      <c r="H982" s="206"/>
      <c r="I982" s="206"/>
      <c r="J982" s="206"/>
      <c r="K982" s="206"/>
      <c r="L982" s="206"/>
      <c r="M982" s="288"/>
      <c r="N982" s="288"/>
      <c r="O982" s="289"/>
      <c r="P982" s="289"/>
      <c r="Q982" s="289"/>
      <c r="R982" s="206"/>
      <c r="S982" s="206"/>
      <c r="T982" s="288"/>
      <c r="U982" s="206"/>
      <c r="V982" s="206"/>
      <c r="W982" s="288"/>
      <c r="X982" s="209"/>
      <c r="Y982" s="209"/>
      <c r="Z982" s="209"/>
    </row>
    <row r="983" spans="1:26" ht="12.75" x14ac:dyDescent="0.2">
      <c r="A983" s="206"/>
      <c r="B983" s="206"/>
      <c r="C983" s="206"/>
      <c r="D983" s="206"/>
      <c r="E983" s="206"/>
      <c r="F983" s="206"/>
      <c r="G983" s="206"/>
      <c r="H983" s="206"/>
      <c r="I983" s="206"/>
      <c r="J983" s="206"/>
      <c r="K983" s="206"/>
      <c r="L983" s="206"/>
      <c r="M983" s="288"/>
      <c r="N983" s="288"/>
      <c r="O983" s="289"/>
      <c r="P983" s="289"/>
      <c r="Q983" s="289"/>
      <c r="R983" s="206"/>
      <c r="S983" s="206"/>
      <c r="T983" s="288"/>
      <c r="U983" s="206"/>
      <c r="V983" s="206"/>
      <c r="W983" s="288"/>
      <c r="X983" s="209"/>
      <c r="Y983" s="209"/>
      <c r="Z983" s="209"/>
    </row>
    <row r="984" spans="1:26" ht="12.75" x14ac:dyDescent="0.2">
      <c r="A984" s="206"/>
      <c r="B984" s="206"/>
      <c r="C984" s="206"/>
      <c r="D984" s="206"/>
      <c r="E984" s="206"/>
      <c r="F984" s="206"/>
      <c r="G984" s="206"/>
      <c r="H984" s="206"/>
      <c r="I984" s="206"/>
      <c r="J984" s="206"/>
      <c r="K984" s="206"/>
      <c r="L984" s="206"/>
      <c r="M984" s="288"/>
      <c r="N984" s="288"/>
      <c r="O984" s="289"/>
      <c r="P984" s="289"/>
      <c r="Q984" s="289"/>
      <c r="R984" s="206"/>
      <c r="S984" s="206"/>
      <c r="T984" s="288"/>
      <c r="U984" s="206"/>
      <c r="V984" s="206"/>
      <c r="W984" s="288"/>
      <c r="X984" s="209"/>
      <c r="Y984" s="209"/>
      <c r="Z984" s="209"/>
    </row>
    <row r="985" spans="1:26" ht="12.75" x14ac:dyDescent="0.2">
      <c r="A985" s="206"/>
      <c r="B985" s="206"/>
      <c r="C985" s="206"/>
      <c r="D985" s="206"/>
      <c r="E985" s="206"/>
      <c r="F985" s="206"/>
      <c r="G985" s="206"/>
      <c r="H985" s="206"/>
      <c r="I985" s="206"/>
      <c r="J985" s="206"/>
      <c r="K985" s="206"/>
      <c r="L985" s="206"/>
      <c r="M985" s="288"/>
      <c r="N985" s="288"/>
      <c r="O985" s="289"/>
      <c r="P985" s="289"/>
      <c r="Q985" s="289"/>
      <c r="R985" s="206"/>
      <c r="S985" s="206"/>
      <c r="T985" s="288"/>
      <c r="U985" s="206"/>
      <c r="V985" s="206"/>
      <c r="W985" s="288"/>
      <c r="X985" s="209"/>
      <c r="Y985" s="209"/>
      <c r="Z985" s="209"/>
    </row>
    <row r="986" spans="1:26" ht="12.75" x14ac:dyDescent="0.2">
      <c r="A986" s="206"/>
      <c r="B986" s="206"/>
      <c r="C986" s="206"/>
      <c r="D986" s="206"/>
      <c r="E986" s="206"/>
      <c r="F986" s="206"/>
      <c r="G986" s="206"/>
      <c r="H986" s="206"/>
      <c r="I986" s="206"/>
      <c r="J986" s="206"/>
      <c r="K986" s="206"/>
      <c r="L986" s="206"/>
      <c r="M986" s="288"/>
      <c r="N986" s="288"/>
      <c r="O986" s="289"/>
      <c r="P986" s="289"/>
      <c r="Q986" s="289"/>
      <c r="R986" s="206"/>
      <c r="S986" s="206"/>
      <c r="T986" s="288"/>
      <c r="U986" s="206"/>
      <c r="V986" s="206"/>
      <c r="W986" s="288"/>
      <c r="X986" s="209"/>
      <c r="Y986" s="209"/>
      <c r="Z986" s="209"/>
    </row>
    <row r="987" spans="1:26" ht="12.75" x14ac:dyDescent="0.2">
      <c r="A987" s="206"/>
      <c r="B987" s="206"/>
      <c r="C987" s="206"/>
      <c r="D987" s="206"/>
      <c r="E987" s="206"/>
      <c r="F987" s="206"/>
      <c r="G987" s="206"/>
      <c r="H987" s="206"/>
      <c r="I987" s="206"/>
      <c r="J987" s="206"/>
      <c r="K987" s="206"/>
      <c r="L987" s="206"/>
      <c r="M987" s="288"/>
      <c r="N987" s="288"/>
      <c r="O987" s="289"/>
      <c r="P987" s="289"/>
      <c r="Q987" s="289"/>
      <c r="R987" s="206"/>
      <c r="S987" s="206"/>
      <c r="T987" s="288"/>
      <c r="U987" s="206"/>
      <c r="V987" s="206"/>
      <c r="W987" s="288"/>
      <c r="X987" s="209"/>
      <c r="Y987" s="209"/>
      <c r="Z987" s="209"/>
    </row>
    <row r="988" spans="1:26" ht="12.75" x14ac:dyDescent="0.2">
      <c r="A988" s="206"/>
      <c r="B988" s="206"/>
      <c r="C988" s="206"/>
      <c r="D988" s="206"/>
      <c r="E988" s="206"/>
      <c r="F988" s="206"/>
      <c r="G988" s="206"/>
      <c r="H988" s="206"/>
      <c r="I988" s="206"/>
      <c r="J988" s="206"/>
      <c r="K988" s="206"/>
      <c r="L988" s="206"/>
      <c r="M988" s="288"/>
      <c r="N988" s="288"/>
      <c r="O988" s="289"/>
      <c r="P988" s="289"/>
      <c r="Q988" s="289"/>
      <c r="R988" s="206"/>
      <c r="S988" s="206"/>
      <c r="T988" s="288"/>
      <c r="U988" s="206"/>
      <c r="V988" s="206"/>
      <c r="W988" s="288"/>
      <c r="X988" s="209"/>
      <c r="Y988" s="209"/>
      <c r="Z988" s="209"/>
    </row>
    <row r="989" spans="1:26" ht="12.75" x14ac:dyDescent="0.2">
      <c r="A989" s="206"/>
      <c r="B989" s="206"/>
      <c r="C989" s="206"/>
      <c r="D989" s="206"/>
      <c r="E989" s="206"/>
      <c r="F989" s="206"/>
      <c r="G989" s="206"/>
      <c r="H989" s="206"/>
      <c r="I989" s="206"/>
      <c r="J989" s="206"/>
      <c r="K989" s="206"/>
      <c r="L989" s="206"/>
      <c r="M989" s="288"/>
      <c r="N989" s="288"/>
      <c r="O989" s="289"/>
      <c r="P989" s="289"/>
      <c r="Q989" s="289"/>
      <c r="R989" s="206"/>
      <c r="S989" s="206"/>
      <c r="T989" s="288"/>
      <c r="U989" s="206"/>
      <c r="V989" s="206"/>
      <c r="W989" s="288"/>
      <c r="X989" s="209"/>
      <c r="Y989" s="209"/>
      <c r="Z989" s="209"/>
    </row>
    <row r="990" spans="1:26" ht="12.75" x14ac:dyDescent="0.2">
      <c r="A990" s="206"/>
      <c r="B990" s="206"/>
      <c r="C990" s="206"/>
      <c r="D990" s="206"/>
      <c r="E990" s="206"/>
      <c r="F990" s="206"/>
      <c r="G990" s="206"/>
      <c r="H990" s="206"/>
      <c r="I990" s="206"/>
      <c r="J990" s="206"/>
      <c r="K990" s="206"/>
      <c r="L990" s="206"/>
      <c r="M990" s="288"/>
      <c r="N990" s="288"/>
      <c r="O990" s="289"/>
      <c r="P990" s="289"/>
      <c r="Q990" s="289"/>
      <c r="R990" s="206"/>
      <c r="S990" s="206"/>
      <c r="T990" s="288"/>
      <c r="U990" s="206"/>
      <c r="V990" s="206"/>
      <c r="W990" s="288"/>
      <c r="X990" s="209"/>
      <c r="Y990" s="209"/>
      <c r="Z990" s="209"/>
    </row>
    <row r="991" spans="1:26" ht="12.75" x14ac:dyDescent="0.2">
      <c r="A991" s="206"/>
      <c r="B991" s="206"/>
      <c r="C991" s="206"/>
      <c r="D991" s="206"/>
      <c r="E991" s="206"/>
      <c r="F991" s="206"/>
      <c r="G991" s="206"/>
      <c r="H991" s="206"/>
      <c r="I991" s="206"/>
      <c r="J991" s="206"/>
      <c r="K991" s="206"/>
      <c r="L991" s="206"/>
      <c r="M991" s="288"/>
      <c r="N991" s="288"/>
      <c r="O991" s="289"/>
      <c r="P991" s="289"/>
      <c r="Q991" s="289"/>
      <c r="R991" s="206"/>
      <c r="S991" s="206"/>
      <c r="T991" s="288"/>
      <c r="U991" s="206"/>
      <c r="V991" s="206"/>
      <c r="W991" s="288"/>
      <c r="X991" s="209"/>
      <c r="Y991" s="209"/>
      <c r="Z991" s="209"/>
    </row>
    <row r="992" spans="1:26" ht="12.75" x14ac:dyDescent="0.2">
      <c r="A992" s="206"/>
      <c r="B992" s="206"/>
      <c r="C992" s="206"/>
      <c r="D992" s="206"/>
      <c r="E992" s="206"/>
      <c r="F992" s="206"/>
      <c r="G992" s="206"/>
      <c r="H992" s="206"/>
      <c r="I992" s="206"/>
      <c r="J992" s="206"/>
      <c r="K992" s="206"/>
      <c r="L992" s="206"/>
      <c r="M992" s="288"/>
      <c r="N992" s="288"/>
      <c r="O992" s="289"/>
      <c r="P992" s="289"/>
      <c r="Q992" s="289"/>
      <c r="R992" s="206"/>
      <c r="S992" s="206"/>
      <c r="T992" s="288"/>
      <c r="U992" s="206"/>
      <c r="V992" s="206"/>
      <c r="W992" s="288"/>
      <c r="X992" s="209"/>
      <c r="Y992" s="209"/>
      <c r="Z992" s="209"/>
    </row>
    <row r="993" spans="1:26" ht="12.75" x14ac:dyDescent="0.2">
      <c r="A993" s="206"/>
      <c r="B993" s="206"/>
      <c r="C993" s="206"/>
      <c r="D993" s="206"/>
      <c r="E993" s="206"/>
      <c r="F993" s="206"/>
      <c r="G993" s="206"/>
      <c r="H993" s="206"/>
      <c r="I993" s="206"/>
      <c r="J993" s="206"/>
      <c r="K993" s="206"/>
      <c r="L993" s="206"/>
      <c r="M993" s="288"/>
      <c r="N993" s="288"/>
      <c r="O993" s="289"/>
      <c r="P993" s="289"/>
      <c r="Q993" s="289"/>
      <c r="R993" s="206"/>
      <c r="S993" s="206"/>
      <c r="T993" s="288"/>
      <c r="U993" s="206"/>
      <c r="V993" s="206"/>
      <c r="W993" s="288"/>
      <c r="X993" s="209"/>
      <c r="Y993" s="209"/>
      <c r="Z993" s="209"/>
    </row>
    <row r="994" spans="1:26" ht="12.75" x14ac:dyDescent="0.2">
      <c r="A994" s="206"/>
      <c r="B994" s="206"/>
      <c r="C994" s="206"/>
      <c r="D994" s="206"/>
      <c r="E994" s="206"/>
      <c r="F994" s="206"/>
      <c r="G994" s="206"/>
      <c r="H994" s="206"/>
      <c r="I994" s="206"/>
      <c r="J994" s="206"/>
      <c r="K994" s="206"/>
      <c r="L994" s="206"/>
      <c r="M994" s="288"/>
      <c r="N994" s="288"/>
      <c r="O994" s="289"/>
      <c r="P994" s="289"/>
      <c r="Q994" s="289"/>
      <c r="R994" s="206"/>
      <c r="S994" s="206"/>
      <c r="T994" s="288"/>
      <c r="U994" s="206"/>
      <c r="V994" s="206"/>
      <c r="W994" s="288"/>
      <c r="X994" s="209"/>
      <c r="Y994" s="209"/>
      <c r="Z994" s="209"/>
    </row>
    <row r="995" spans="1:26" ht="12.75" x14ac:dyDescent="0.2">
      <c r="A995" s="206"/>
      <c r="B995" s="206"/>
      <c r="C995" s="206"/>
      <c r="D995" s="206"/>
      <c r="E995" s="206"/>
      <c r="F995" s="206"/>
      <c r="G995" s="206"/>
      <c r="H995" s="206"/>
      <c r="I995" s="206"/>
      <c r="J995" s="206"/>
      <c r="K995" s="206"/>
      <c r="L995" s="206"/>
      <c r="M995" s="288"/>
      <c r="N995" s="288"/>
      <c r="O995" s="289"/>
      <c r="P995" s="289"/>
      <c r="Q995" s="289"/>
      <c r="R995" s="206"/>
      <c r="S995" s="206"/>
      <c r="T995" s="288"/>
      <c r="U995" s="206"/>
      <c r="V995" s="206"/>
      <c r="W995" s="288"/>
      <c r="X995" s="209"/>
      <c r="Y995" s="209"/>
      <c r="Z995" s="209"/>
    </row>
    <row r="996" spans="1:26" ht="12.75" x14ac:dyDescent="0.2">
      <c r="A996" s="206"/>
      <c r="B996" s="206"/>
      <c r="C996" s="206"/>
      <c r="D996" s="206"/>
      <c r="E996" s="206"/>
      <c r="F996" s="206"/>
      <c r="G996" s="206"/>
      <c r="H996" s="206"/>
      <c r="I996" s="206"/>
      <c r="J996" s="206"/>
      <c r="K996" s="206"/>
      <c r="L996" s="206"/>
      <c r="M996" s="288"/>
      <c r="N996" s="288"/>
      <c r="O996" s="289"/>
      <c r="P996" s="289"/>
      <c r="Q996" s="289"/>
      <c r="R996" s="206"/>
      <c r="S996" s="206"/>
      <c r="T996" s="288"/>
      <c r="U996" s="206"/>
      <c r="V996" s="206"/>
      <c r="W996" s="288"/>
      <c r="X996" s="209"/>
      <c r="Y996" s="209"/>
      <c r="Z996" s="209"/>
    </row>
    <row r="997" spans="1:26" ht="12.75" x14ac:dyDescent="0.2">
      <c r="A997" s="206"/>
      <c r="B997" s="206"/>
      <c r="C997" s="206"/>
      <c r="D997" s="206"/>
      <c r="E997" s="206"/>
      <c r="F997" s="206"/>
      <c r="G997" s="206"/>
      <c r="H997" s="206"/>
      <c r="I997" s="206"/>
      <c r="J997" s="206"/>
      <c r="K997" s="206"/>
      <c r="L997" s="206"/>
      <c r="M997" s="288"/>
      <c r="N997" s="288"/>
      <c r="O997" s="289"/>
      <c r="P997" s="289"/>
      <c r="Q997" s="289"/>
      <c r="R997" s="206"/>
      <c r="S997" s="206"/>
      <c r="T997" s="288"/>
      <c r="U997" s="206"/>
      <c r="V997" s="206"/>
      <c r="W997" s="288"/>
      <c r="X997" s="209"/>
      <c r="Y997" s="209"/>
      <c r="Z997" s="209"/>
    </row>
    <row r="998" spans="1:26" ht="12.75" x14ac:dyDescent="0.2">
      <c r="A998" s="206"/>
      <c r="B998" s="206"/>
      <c r="C998" s="206"/>
      <c r="D998" s="206"/>
      <c r="E998" s="206"/>
      <c r="F998" s="206"/>
      <c r="G998" s="206"/>
      <c r="H998" s="206"/>
      <c r="I998" s="206"/>
      <c r="J998" s="206"/>
      <c r="K998" s="206"/>
      <c r="L998" s="206"/>
      <c r="M998" s="288"/>
      <c r="N998" s="288"/>
      <c r="O998" s="289"/>
      <c r="P998" s="289"/>
      <c r="Q998" s="289"/>
      <c r="R998" s="206"/>
      <c r="S998" s="206"/>
      <c r="T998" s="288"/>
      <c r="U998" s="206"/>
      <c r="V998" s="206"/>
      <c r="W998" s="288"/>
      <c r="X998" s="209"/>
      <c r="Y998" s="209"/>
      <c r="Z998" s="209"/>
    </row>
    <row r="999" spans="1:26" ht="12.75" x14ac:dyDescent="0.2">
      <c r="A999" s="206"/>
      <c r="B999" s="206"/>
      <c r="C999" s="206"/>
      <c r="D999" s="206"/>
      <c r="E999" s="206"/>
      <c r="F999" s="206"/>
      <c r="G999" s="206"/>
      <c r="H999" s="206"/>
      <c r="I999" s="206"/>
      <c r="J999" s="206"/>
      <c r="K999" s="206"/>
      <c r="L999" s="206"/>
      <c r="M999" s="288"/>
      <c r="N999" s="288"/>
      <c r="O999" s="289"/>
      <c r="P999" s="289"/>
      <c r="Q999" s="289"/>
      <c r="R999" s="206"/>
      <c r="S999" s="206"/>
      <c r="T999" s="288"/>
      <c r="U999" s="206"/>
      <c r="V999" s="206"/>
      <c r="W999" s="288"/>
      <c r="X999" s="209"/>
      <c r="Y999" s="209"/>
      <c r="Z999" s="209"/>
    </row>
    <row r="1000" spans="1:26" ht="12.75" x14ac:dyDescent="0.2">
      <c r="A1000" s="209"/>
      <c r="B1000" s="209"/>
      <c r="C1000" s="209"/>
      <c r="D1000" s="209"/>
      <c r="E1000" s="209"/>
      <c r="F1000" s="209"/>
      <c r="G1000" s="209"/>
      <c r="H1000" s="209"/>
      <c r="I1000" s="209"/>
      <c r="J1000" s="209"/>
      <c r="K1000" s="209"/>
      <c r="L1000" s="209"/>
      <c r="M1000" s="209"/>
      <c r="N1000" s="209"/>
      <c r="O1000" s="209"/>
      <c r="P1000" s="209"/>
      <c r="Q1000" s="209"/>
      <c r="R1000" s="209"/>
      <c r="S1000" s="209"/>
      <c r="T1000" s="209"/>
      <c r="U1000" s="209"/>
      <c r="V1000" s="209"/>
      <c r="W1000" s="209"/>
      <c r="X1000" s="209"/>
      <c r="Y1000" s="209"/>
      <c r="Z1000" s="209"/>
    </row>
  </sheetData>
  <mergeCells count="25"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L5:N5"/>
    <mergeCell ref="O5:Q5"/>
    <mergeCell ref="S5:T5"/>
    <mergeCell ref="V5:W5"/>
    <mergeCell ref="A7:B7"/>
    <mergeCell ref="F5:F6"/>
    <mergeCell ref="G5:G6"/>
    <mergeCell ref="J5:K5"/>
    <mergeCell ref="C2:W2"/>
    <mergeCell ref="C3:Q3"/>
    <mergeCell ref="R3:T4"/>
    <mergeCell ref="U3:W4"/>
    <mergeCell ref="C4:G4"/>
    <mergeCell ref="H4:I4"/>
    <mergeCell ref="J4:Q4"/>
  </mergeCells>
  <printOptions horizontalCentered="1"/>
  <pageMargins left="0.23622047244094491" right="0.23622047244094491" top="0.74803149606299213" bottom="0.74803149606299213" header="0" footer="0"/>
  <pageSetup paperSize="9" scale="43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O999"/>
  <sheetViews>
    <sheetView view="pageBreakPreview" zoomScale="60" zoomScaleNormal="100" workbookViewId="0">
      <pane xSplit="2" ySplit="7" topLeftCell="C8" activePane="bottomRight" state="frozen"/>
      <selection activeCell="J17" sqref="J17"/>
      <selection pane="topRight" activeCell="J17" sqref="J17"/>
      <selection pane="bottomLeft" activeCell="J17" sqref="J17"/>
      <selection pane="bottomRight" activeCell="BM17" sqref="BM1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  <col min="21" max="21" width="11.42578125" customWidth="1"/>
    <col min="22" max="22" width="7.5703125" customWidth="1"/>
    <col min="23" max="23" width="10.140625" customWidth="1"/>
    <col min="24" max="24" width="7.5703125" customWidth="1"/>
    <col min="25" max="26" width="10.140625" customWidth="1"/>
    <col min="27" max="27" width="11.42578125" customWidth="1"/>
    <col min="28" max="29" width="10.140625" customWidth="1"/>
    <col min="30" max="30" width="13.85546875" customWidth="1"/>
    <col min="31" max="32" width="10.140625" customWidth="1"/>
    <col min="33" max="33" width="11.42578125" customWidth="1"/>
    <col min="34" max="35" width="10.140625" customWidth="1"/>
    <col min="36" max="36" width="12.5703125" bestFit="1" customWidth="1"/>
    <col min="37" max="38" width="10.140625" customWidth="1"/>
    <col min="39" max="39" width="11.42578125" customWidth="1"/>
    <col min="40" max="43" width="10.140625" customWidth="1"/>
    <col min="44" max="44" width="11.42578125" customWidth="1"/>
    <col min="45" max="46" width="10.140625" customWidth="1"/>
    <col min="47" max="47" width="11.42578125" customWidth="1"/>
    <col min="48" max="49" width="10.140625" customWidth="1"/>
    <col min="50" max="50" width="13.85546875" customWidth="1"/>
    <col min="51" max="58" width="10.140625" customWidth="1"/>
    <col min="59" max="60" width="11.42578125" customWidth="1"/>
    <col min="61" max="61" width="10.140625" customWidth="1"/>
    <col min="62" max="63" width="11.42578125" customWidth="1"/>
    <col min="64" max="64" width="10.140625" customWidth="1"/>
    <col min="65" max="66" width="11.42578125" customWidth="1"/>
    <col min="67" max="67" width="10.140625" customWidth="1"/>
    <col min="68" max="69" width="13.85546875" customWidth="1"/>
    <col min="70" max="70" width="10.140625" customWidth="1"/>
    <col min="71" max="72" width="13.85546875" customWidth="1"/>
    <col min="73" max="76" width="10.140625" customWidth="1"/>
    <col min="77" max="78" width="13.85546875" customWidth="1"/>
    <col min="79" max="79" width="10.140625" customWidth="1"/>
    <col min="80" max="81" width="13.85546875" customWidth="1"/>
    <col min="82" max="82" width="10.140625" customWidth="1"/>
    <col min="83" max="84" width="12.5703125" customWidth="1"/>
    <col min="85" max="85" width="10.140625" customWidth="1"/>
    <col min="86" max="87" width="11.42578125" customWidth="1"/>
    <col min="88" max="93" width="10.140625" customWidth="1"/>
  </cols>
  <sheetData>
    <row r="1" spans="1:9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  <c r="U1" s="2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</row>
    <row r="2" spans="1:93" ht="24" customHeight="1" x14ac:dyDescent="0.2">
      <c r="A2" s="382" t="s">
        <v>1</v>
      </c>
      <c r="B2" s="383"/>
      <c r="C2" s="352" t="s">
        <v>167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4"/>
    </row>
    <row r="3" spans="1:93" ht="30" customHeight="1" x14ac:dyDescent="0.2">
      <c r="A3" s="384"/>
      <c r="B3" s="385"/>
      <c r="C3" s="355" t="s">
        <v>3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414" t="s">
        <v>168</v>
      </c>
      <c r="S3" s="361"/>
      <c r="T3" s="361"/>
      <c r="U3" s="361"/>
      <c r="V3" s="361"/>
      <c r="W3" s="361"/>
      <c r="X3" s="361"/>
      <c r="Y3" s="361"/>
      <c r="Z3" s="362"/>
      <c r="AA3" s="414" t="s">
        <v>169</v>
      </c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2"/>
      <c r="AR3" s="358" t="s">
        <v>170</v>
      </c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9"/>
      <c r="BG3" s="358" t="s">
        <v>171</v>
      </c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9"/>
      <c r="BY3" s="358" t="s">
        <v>172</v>
      </c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9"/>
    </row>
    <row r="4" spans="1:93" ht="60" customHeight="1" x14ac:dyDescent="0.2">
      <c r="A4" s="384"/>
      <c r="B4" s="385"/>
      <c r="C4" s="366" t="s">
        <v>6</v>
      </c>
      <c r="D4" s="356"/>
      <c r="E4" s="356"/>
      <c r="F4" s="356"/>
      <c r="G4" s="359"/>
      <c r="H4" s="367" t="s">
        <v>7</v>
      </c>
      <c r="I4" s="359"/>
      <c r="J4" s="371" t="s">
        <v>8</v>
      </c>
      <c r="K4" s="356"/>
      <c r="L4" s="356"/>
      <c r="M4" s="356"/>
      <c r="N4" s="356"/>
      <c r="O4" s="356"/>
      <c r="P4" s="356"/>
      <c r="Q4" s="359"/>
      <c r="R4" s="358" t="s">
        <v>173</v>
      </c>
      <c r="S4" s="356"/>
      <c r="T4" s="359"/>
      <c r="U4" s="358" t="s">
        <v>174</v>
      </c>
      <c r="V4" s="356"/>
      <c r="W4" s="359"/>
      <c r="X4" s="358" t="s">
        <v>175</v>
      </c>
      <c r="Y4" s="356"/>
      <c r="Z4" s="359"/>
      <c r="AA4" s="358" t="s">
        <v>176</v>
      </c>
      <c r="AB4" s="356"/>
      <c r="AC4" s="359"/>
      <c r="AD4" s="358" t="s">
        <v>177</v>
      </c>
      <c r="AE4" s="356"/>
      <c r="AF4" s="359"/>
      <c r="AG4" s="358" t="s">
        <v>178</v>
      </c>
      <c r="AH4" s="356"/>
      <c r="AI4" s="359"/>
      <c r="AJ4" s="358" t="s">
        <v>179</v>
      </c>
      <c r="AK4" s="356"/>
      <c r="AL4" s="359"/>
      <c r="AM4" s="358" t="s">
        <v>180</v>
      </c>
      <c r="AN4" s="356"/>
      <c r="AO4" s="359"/>
      <c r="AP4" s="358" t="s">
        <v>5</v>
      </c>
      <c r="AQ4" s="359"/>
      <c r="AR4" s="358" t="s">
        <v>176</v>
      </c>
      <c r="AS4" s="356"/>
      <c r="AT4" s="359"/>
      <c r="AU4" s="358" t="s">
        <v>178</v>
      </c>
      <c r="AV4" s="356"/>
      <c r="AW4" s="359"/>
      <c r="AX4" s="358" t="s">
        <v>177</v>
      </c>
      <c r="AY4" s="356"/>
      <c r="AZ4" s="359"/>
      <c r="BA4" s="358" t="s">
        <v>181</v>
      </c>
      <c r="BB4" s="356"/>
      <c r="BC4" s="359"/>
      <c r="BD4" s="358" t="s">
        <v>182</v>
      </c>
      <c r="BE4" s="356"/>
      <c r="BF4" s="359"/>
      <c r="BG4" s="358" t="s">
        <v>176</v>
      </c>
      <c r="BH4" s="356"/>
      <c r="BI4" s="359"/>
      <c r="BJ4" s="358" t="s">
        <v>183</v>
      </c>
      <c r="BK4" s="356"/>
      <c r="BL4" s="359"/>
      <c r="BM4" s="358" t="s">
        <v>177</v>
      </c>
      <c r="BN4" s="356"/>
      <c r="BO4" s="359"/>
      <c r="BP4" s="358" t="s">
        <v>184</v>
      </c>
      <c r="BQ4" s="356"/>
      <c r="BR4" s="359"/>
      <c r="BS4" s="358" t="s">
        <v>185</v>
      </c>
      <c r="BT4" s="356"/>
      <c r="BU4" s="359"/>
      <c r="BV4" s="358" t="s">
        <v>186</v>
      </c>
      <c r="BW4" s="356"/>
      <c r="BX4" s="359"/>
      <c r="BY4" s="358" t="s">
        <v>176</v>
      </c>
      <c r="BZ4" s="356"/>
      <c r="CA4" s="359"/>
      <c r="CB4" s="358" t="s">
        <v>177</v>
      </c>
      <c r="CC4" s="356"/>
      <c r="CD4" s="359"/>
      <c r="CE4" s="358" t="s">
        <v>187</v>
      </c>
      <c r="CF4" s="356"/>
      <c r="CG4" s="359"/>
      <c r="CH4" s="358" t="s">
        <v>179</v>
      </c>
      <c r="CI4" s="356"/>
      <c r="CJ4" s="359"/>
      <c r="CK4" s="358" t="s">
        <v>188</v>
      </c>
      <c r="CL4" s="356"/>
      <c r="CM4" s="359"/>
      <c r="CN4" s="420" t="s">
        <v>5</v>
      </c>
      <c r="CO4" s="404"/>
    </row>
    <row r="5" spans="1:93" ht="24" customHeight="1" x14ac:dyDescent="0.3">
      <c r="A5" s="384"/>
      <c r="B5" s="385"/>
      <c r="C5" s="437" t="s">
        <v>13</v>
      </c>
      <c r="D5" s="438" t="s">
        <v>14</v>
      </c>
      <c r="E5" s="439" t="s">
        <v>15</v>
      </c>
      <c r="F5" s="440" t="s">
        <v>16</v>
      </c>
      <c r="G5" s="441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64"/>
      <c r="N5" s="365"/>
      <c r="O5" s="375" t="s">
        <v>19</v>
      </c>
      <c r="P5" s="364"/>
      <c r="Q5" s="365"/>
      <c r="R5" s="216" t="s">
        <v>189</v>
      </c>
      <c r="S5" s="376" t="s">
        <v>190</v>
      </c>
      <c r="T5" s="359"/>
      <c r="U5" s="216" t="s">
        <v>21</v>
      </c>
      <c r="V5" s="376" t="s">
        <v>22</v>
      </c>
      <c r="W5" s="359"/>
      <c r="X5" s="290" t="s">
        <v>142</v>
      </c>
      <c r="Y5" s="290" t="s">
        <v>191</v>
      </c>
      <c r="Z5" s="290" t="s">
        <v>192</v>
      </c>
      <c r="AA5" s="216" t="s">
        <v>189</v>
      </c>
      <c r="AB5" s="376" t="s">
        <v>190</v>
      </c>
      <c r="AC5" s="359"/>
      <c r="AD5" s="216" t="s">
        <v>189</v>
      </c>
      <c r="AE5" s="376" t="s">
        <v>190</v>
      </c>
      <c r="AF5" s="359"/>
      <c r="AG5" s="216" t="s">
        <v>189</v>
      </c>
      <c r="AH5" s="376" t="s">
        <v>190</v>
      </c>
      <c r="AI5" s="359"/>
      <c r="AJ5" s="216" t="s">
        <v>189</v>
      </c>
      <c r="AK5" s="376" t="s">
        <v>190</v>
      </c>
      <c r="AL5" s="359"/>
      <c r="AM5" s="216" t="s">
        <v>21</v>
      </c>
      <c r="AN5" s="370" t="s">
        <v>22</v>
      </c>
      <c r="AO5" s="359"/>
      <c r="AP5" s="419" t="s">
        <v>22</v>
      </c>
      <c r="AQ5" s="359"/>
      <c r="AR5" s="216" t="s">
        <v>189</v>
      </c>
      <c r="AS5" s="376" t="s">
        <v>190</v>
      </c>
      <c r="AT5" s="359"/>
      <c r="AU5" s="216" t="s">
        <v>189</v>
      </c>
      <c r="AV5" s="376" t="s">
        <v>190</v>
      </c>
      <c r="AW5" s="359"/>
      <c r="AX5" s="216" t="s">
        <v>189</v>
      </c>
      <c r="AY5" s="376" t="s">
        <v>190</v>
      </c>
      <c r="AZ5" s="359"/>
      <c r="BA5" s="216" t="s">
        <v>21</v>
      </c>
      <c r="BB5" s="370" t="s">
        <v>22</v>
      </c>
      <c r="BC5" s="359"/>
      <c r="BD5" s="216" t="s">
        <v>21</v>
      </c>
      <c r="BE5" s="370" t="s">
        <v>22</v>
      </c>
      <c r="BF5" s="359"/>
      <c r="BG5" s="216" t="s">
        <v>189</v>
      </c>
      <c r="BH5" s="376" t="s">
        <v>190</v>
      </c>
      <c r="BI5" s="359"/>
      <c r="BJ5" s="216" t="s">
        <v>189</v>
      </c>
      <c r="BK5" s="376" t="s">
        <v>190</v>
      </c>
      <c r="BL5" s="359"/>
      <c r="BM5" s="216" t="s">
        <v>189</v>
      </c>
      <c r="BN5" s="376" t="s">
        <v>190</v>
      </c>
      <c r="BO5" s="359"/>
      <c r="BP5" s="216" t="s">
        <v>21</v>
      </c>
      <c r="BQ5" s="370" t="s">
        <v>22</v>
      </c>
      <c r="BR5" s="359"/>
      <c r="BS5" s="216" t="s">
        <v>21</v>
      </c>
      <c r="BT5" s="370" t="s">
        <v>22</v>
      </c>
      <c r="BU5" s="359"/>
      <c r="BV5" s="216" t="s">
        <v>21</v>
      </c>
      <c r="BW5" s="370" t="s">
        <v>22</v>
      </c>
      <c r="BX5" s="359"/>
      <c r="BY5" s="216" t="s">
        <v>189</v>
      </c>
      <c r="BZ5" s="376" t="s">
        <v>190</v>
      </c>
      <c r="CA5" s="359"/>
      <c r="CB5" s="216" t="s">
        <v>189</v>
      </c>
      <c r="CC5" s="376" t="s">
        <v>190</v>
      </c>
      <c r="CD5" s="359"/>
      <c r="CE5" s="216" t="s">
        <v>189</v>
      </c>
      <c r="CF5" s="376" t="s">
        <v>190</v>
      </c>
      <c r="CG5" s="359"/>
      <c r="CH5" s="216" t="s">
        <v>189</v>
      </c>
      <c r="CI5" s="376" t="s">
        <v>190</v>
      </c>
      <c r="CJ5" s="359"/>
      <c r="CK5" s="216" t="s">
        <v>21</v>
      </c>
      <c r="CL5" s="370" t="s">
        <v>22</v>
      </c>
      <c r="CM5" s="359"/>
      <c r="CN5" s="291" t="s">
        <v>22</v>
      </c>
      <c r="CO5" s="291" t="s">
        <v>22</v>
      </c>
    </row>
    <row r="6" spans="1:93" ht="36" customHeight="1" x14ac:dyDescent="0.2">
      <c r="A6" s="386"/>
      <c r="B6" s="387"/>
      <c r="C6" s="442"/>
      <c r="D6" s="443"/>
      <c r="E6" s="443"/>
      <c r="F6" s="443"/>
      <c r="G6" s="443"/>
      <c r="H6" s="6"/>
      <c r="I6" s="6"/>
      <c r="J6" s="8" t="s">
        <v>23</v>
      </c>
      <c r="K6" s="9" t="s">
        <v>24</v>
      </c>
      <c r="L6" s="8" t="s">
        <v>23</v>
      </c>
      <c r="M6" s="450" t="s">
        <v>25</v>
      </c>
      <c r="N6" s="451" t="s">
        <v>26</v>
      </c>
      <c r="O6" s="452" t="s">
        <v>23</v>
      </c>
      <c r="P6" s="450" t="s">
        <v>25</v>
      </c>
      <c r="Q6" s="451" t="s">
        <v>26</v>
      </c>
      <c r="R6" s="18" t="s">
        <v>23</v>
      </c>
      <c r="S6" s="217" t="s">
        <v>23</v>
      </c>
      <c r="T6" s="16" t="s">
        <v>24</v>
      </c>
      <c r="U6" s="18" t="s">
        <v>193</v>
      </c>
      <c r="V6" s="217" t="s">
        <v>193</v>
      </c>
      <c r="W6" s="16" t="s">
        <v>24</v>
      </c>
      <c r="X6" s="217" t="s">
        <v>28</v>
      </c>
      <c r="Y6" s="217" t="s">
        <v>28</v>
      </c>
      <c r="Z6" s="217" t="s">
        <v>28</v>
      </c>
      <c r="AA6" s="18" t="s">
        <v>23</v>
      </c>
      <c r="AB6" s="217" t="s">
        <v>23</v>
      </c>
      <c r="AC6" s="16" t="s">
        <v>24</v>
      </c>
      <c r="AD6" s="18" t="s">
        <v>23</v>
      </c>
      <c r="AE6" s="217" t="s">
        <v>23</v>
      </c>
      <c r="AF6" s="16" t="s">
        <v>24</v>
      </c>
      <c r="AG6" s="18" t="s">
        <v>23</v>
      </c>
      <c r="AH6" s="217" t="s">
        <v>23</v>
      </c>
      <c r="AI6" s="16" t="s">
        <v>24</v>
      </c>
      <c r="AJ6" s="18" t="s">
        <v>23</v>
      </c>
      <c r="AK6" s="217" t="s">
        <v>23</v>
      </c>
      <c r="AL6" s="16" t="s">
        <v>24</v>
      </c>
      <c r="AM6" s="292" t="s">
        <v>194</v>
      </c>
      <c r="AN6" s="19" t="s">
        <v>194</v>
      </c>
      <c r="AO6" s="16" t="s">
        <v>24</v>
      </c>
      <c r="AP6" s="19" t="s">
        <v>194</v>
      </c>
      <c r="AQ6" s="16" t="s">
        <v>161</v>
      </c>
      <c r="AR6" s="18" t="s">
        <v>23</v>
      </c>
      <c r="AS6" s="217" t="s">
        <v>23</v>
      </c>
      <c r="AT6" s="16" t="s">
        <v>24</v>
      </c>
      <c r="AU6" s="18" t="s">
        <v>23</v>
      </c>
      <c r="AV6" s="217" t="s">
        <v>23</v>
      </c>
      <c r="AW6" s="16" t="s">
        <v>24</v>
      </c>
      <c r="AX6" s="18" t="s">
        <v>23</v>
      </c>
      <c r="AY6" s="217" t="s">
        <v>23</v>
      </c>
      <c r="AZ6" s="16" t="s">
        <v>24</v>
      </c>
      <c r="BA6" s="293" t="s">
        <v>194</v>
      </c>
      <c r="BB6" s="19" t="s">
        <v>194</v>
      </c>
      <c r="BC6" s="16" t="s">
        <v>24</v>
      </c>
      <c r="BD6" s="293" t="s">
        <v>194</v>
      </c>
      <c r="BE6" s="19" t="s">
        <v>194</v>
      </c>
      <c r="BF6" s="16" t="s">
        <v>24</v>
      </c>
      <c r="BG6" s="18" t="s">
        <v>23</v>
      </c>
      <c r="BH6" s="217" t="s">
        <v>23</v>
      </c>
      <c r="BI6" s="16" t="s">
        <v>24</v>
      </c>
      <c r="BJ6" s="18" t="s">
        <v>23</v>
      </c>
      <c r="BK6" s="217" t="s">
        <v>23</v>
      </c>
      <c r="BL6" s="16" t="s">
        <v>24</v>
      </c>
      <c r="BM6" s="18" t="s">
        <v>23</v>
      </c>
      <c r="BN6" s="217" t="s">
        <v>23</v>
      </c>
      <c r="BO6" s="16" t="s">
        <v>24</v>
      </c>
      <c r="BP6" s="293" t="s">
        <v>195</v>
      </c>
      <c r="BQ6" s="19" t="s">
        <v>195</v>
      </c>
      <c r="BR6" s="16" t="s">
        <v>24</v>
      </c>
      <c r="BS6" s="293" t="s">
        <v>195</v>
      </c>
      <c r="BT6" s="19" t="s">
        <v>195</v>
      </c>
      <c r="BU6" s="16" t="s">
        <v>24</v>
      </c>
      <c r="BV6" s="293" t="s">
        <v>28</v>
      </c>
      <c r="BW6" s="19" t="s">
        <v>28</v>
      </c>
      <c r="BX6" s="16" t="s">
        <v>24</v>
      </c>
      <c r="BY6" s="18" t="s">
        <v>23</v>
      </c>
      <c r="BZ6" s="217" t="s">
        <v>23</v>
      </c>
      <c r="CA6" s="16" t="s">
        <v>24</v>
      </c>
      <c r="CB6" s="18" t="s">
        <v>23</v>
      </c>
      <c r="CC6" s="217" t="s">
        <v>23</v>
      </c>
      <c r="CD6" s="16" t="s">
        <v>24</v>
      </c>
      <c r="CE6" s="18" t="s">
        <v>23</v>
      </c>
      <c r="CF6" s="217" t="s">
        <v>23</v>
      </c>
      <c r="CG6" s="16" t="s">
        <v>24</v>
      </c>
      <c r="CH6" s="18" t="s">
        <v>23</v>
      </c>
      <c r="CI6" s="217" t="s">
        <v>23</v>
      </c>
      <c r="CJ6" s="16" t="s">
        <v>24</v>
      </c>
      <c r="CK6" s="293" t="s">
        <v>28</v>
      </c>
      <c r="CL6" s="19" t="s">
        <v>28</v>
      </c>
      <c r="CM6" s="16" t="s">
        <v>24</v>
      </c>
      <c r="CN6" s="19" t="s">
        <v>28</v>
      </c>
      <c r="CO6" s="19" t="s">
        <v>161</v>
      </c>
    </row>
    <row r="7" spans="1:93" ht="24" customHeight="1" x14ac:dyDescent="0.3">
      <c r="A7" s="389" t="s">
        <v>233</v>
      </c>
      <c r="B7" s="390"/>
      <c r="C7" s="210">
        <f t="shared" ref="C7:C116" ca="1" si="0">D7+G7</f>
        <v>21292200</v>
      </c>
      <c r="D7" s="211">
        <f t="shared" ref="D7:E7" ca="1" si="1">D8+D9+D12</f>
        <v>21292200</v>
      </c>
      <c r="E7" s="23">
        <f t="shared" ca="1" si="1"/>
        <v>9581500</v>
      </c>
      <c r="F7" s="24">
        <f ca="1">F8+F9</f>
        <v>11710700</v>
      </c>
      <c r="G7" s="25">
        <f t="shared" ref="G7:I7" ca="1" si="2">G8+G9+G12</f>
        <v>0</v>
      </c>
      <c r="H7" s="26">
        <f t="shared" ca="1" si="2"/>
        <v>15969100</v>
      </c>
      <c r="I7" s="26">
        <f t="shared" ca="1" si="2"/>
        <v>0</v>
      </c>
      <c r="J7" s="27">
        <f t="shared" ref="J7:J116" ca="1" si="3">L7+O7</f>
        <v>6181796.9900000002</v>
      </c>
      <c r="K7" s="28">
        <f t="shared" ref="K7:K116" ca="1" si="4">IF(C7&gt;0,J7*100/C7,0)</f>
        <v>29.033152938634807</v>
      </c>
      <c r="L7" s="27">
        <f ca="1">L8+L9+L12</f>
        <v>6181796.9900000002</v>
      </c>
      <c r="M7" s="29">
        <f t="shared" ref="M7:M116" ca="1" si="5">IF(D7&gt;0,L7*100/D7,0)</f>
        <v>29.033152938634807</v>
      </c>
      <c r="N7" s="29">
        <f t="shared" ref="N7:N116" ca="1" si="6">IF(H7&gt;0,L7*100/H7,0)</f>
        <v>38.710991790395198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1">
        <f t="shared" ref="R7:S7" ca="1" si="9">R8</f>
        <v>432000</v>
      </c>
      <c r="S7" s="32">
        <f t="shared" ca="1" si="9"/>
        <v>70168.44</v>
      </c>
      <c r="T7" s="33">
        <f t="shared" ref="T7:T8" ca="1" si="10">IF(R7&gt;0,S7*100/R7,0)</f>
        <v>16.242694444444446</v>
      </c>
      <c r="U7" s="31">
        <f t="shared" ref="U7:V7" ca="1" si="11">U8</f>
        <v>288</v>
      </c>
      <c r="V7" s="32">
        <f t="shared" ca="1" si="11"/>
        <v>84</v>
      </c>
      <c r="W7" s="33">
        <f t="shared" ref="W7:W8" ca="1" si="12">IF(U7&gt;0,V7*100/U7,0)</f>
        <v>29.166666666666668</v>
      </c>
      <c r="X7" s="32">
        <f t="shared" ref="X7:AB7" ca="1" si="13">X8</f>
        <v>2806</v>
      </c>
      <c r="Y7" s="32">
        <f t="shared" ca="1" si="13"/>
        <v>2791</v>
      </c>
      <c r="Z7" s="32">
        <f t="shared" ca="1" si="13"/>
        <v>15</v>
      </c>
      <c r="AA7" s="31">
        <f t="shared" ca="1" si="13"/>
        <v>175000</v>
      </c>
      <c r="AB7" s="32">
        <f t="shared" ca="1" si="13"/>
        <v>51513</v>
      </c>
      <c r="AC7" s="33">
        <f t="shared" ref="AC7:AC8" ca="1" si="14">IF(AA7&gt;0,AB7*100/AA7,0)</f>
        <v>29.436</v>
      </c>
      <c r="AD7" s="31">
        <f t="shared" ref="AD7:AE7" ca="1" si="15">AD8</f>
        <v>1400000</v>
      </c>
      <c r="AE7" s="32">
        <f t="shared" ca="1" si="15"/>
        <v>814810</v>
      </c>
      <c r="AF7" s="33">
        <f t="shared" ref="AF7:AF8" ca="1" si="16">IF(AD7&gt;0,AE7*100/AD7,0)</f>
        <v>58.200714285714284</v>
      </c>
      <c r="AG7" s="31">
        <f t="shared" ref="AG7:AH7" ca="1" si="17">AG8</f>
        <v>700000</v>
      </c>
      <c r="AH7" s="32">
        <f t="shared" ca="1" si="17"/>
        <v>8000</v>
      </c>
      <c r="AI7" s="33">
        <f t="shared" ref="AI7:AI8" ca="1" si="18">IF(AG7&gt;0,AH7*100/AG7,0)</f>
        <v>1.1428571428571428</v>
      </c>
      <c r="AJ7" s="31">
        <f t="shared" ref="AJ7:AK7" ca="1" si="19">AJ8</f>
        <v>70000</v>
      </c>
      <c r="AK7" s="32">
        <f t="shared" ca="1" si="19"/>
        <v>0</v>
      </c>
      <c r="AL7" s="33">
        <f t="shared" ref="AL7:AL8" ca="1" si="20">IF(AJ7&gt;0,AK7*100/AJ7,0)</f>
        <v>0</v>
      </c>
      <c r="AM7" s="31">
        <f t="shared" ref="AM7:AN7" ca="1" si="21">AM8</f>
        <v>175</v>
      </c>
      <c r="AN7" s="32">
        <f t="shared" ca="1" si="21"/>
        <v>111</v>
      </c>
      <c r="AO7" s="33">
        <f t="shared" ref="AO7:AO8" ca="1" si="22">IF(AM7&gt;0,AN7*100/AM7,0)</f>
        <v>63.428571428571431</v>
      </c>
      <c r="AP7" s="294">
        <f t="shared" ref="AP7:AS7" ca="1" si="23">AP8</f>
        <v>38</v>
      </c>
      <c r="AQ7" s="294">
        <f t="shared" ca="1" si="23"/>
        <v>41</v>
      </c>
      <c r="AR7" s="31">
        <f t="shared" ca="1" si="23"/>
        <v>58000</v>
      </c>
      <c r="AS7" s="32">
        <f t="shared" ca="1" si="23"/>
        <v>14930</v>
      </c>
      <c r="AT7" s="33">
        <f t="shared" ref="AT7:AT8" ca="1" si="24">IF(AR7&gt;0,AS7*100/AR7,0)</f>
        <v>25.741379310344829</v>
      </c>
      <c r="AU7" s="31">
        <f t="shared" ref="AU7:AV7" ca="1" si="25">AU8</f>
        <v>290000</v>
      </c>
      <c r="AV7" s="32">
        <f t="shared" ca="1" si="25"/>
        <v>4650</v>
      </c>
      <c r="AW7" s="33">
        <f t="shared" ref="AW7:AW8" ca="1" si="26">IF(AU7&gt;0,AV7*100/AU7,0)</f>
        <v>1.603448275862069</v>
      </c>
      <c r="AX7" s="31">
        <f t="shared" ref="AX7:AY7" ca="1" si="27">AX8</f>
        <v>464000</v>
      </c>
      <c r="AY7" s="32">
        <f t="shared" ca="1" si="27"/>
        <v>300385.25</v>
      </c>
      <c r="AZ7" s="33">
        <f t="shared" ref="AZ7:AZ8" ca="1" si="28">IF(AX7&gt;0,AY7*100/AX7,0)</f>
        <v>64.738200431034485</v>
      </c>
      <c r="BA7" s="31">
        <f t="shared" ref="BA7:BB7" ca="1" si="29">BA8</f>
        <v>58</v>
      </c>
      <c r="BB7" s="32">
        <f t="shared" ca="1" si="29"/>
        <v>1</v>
      </c>
      <c r="BC7" s="33">
        <f t="shared" ref="BC7:BC8" ca="1" si="30">IF(BA7&gt;0,BB7*100/BA7,0)</f>
        <v>1.7241379310344827</v>
      </c>
      <c r="BD7" s="31">
        <f t="shared" ref="BD7:BE7" ca="1" si="31">BD8</f>
        <v>58</v>
      </c>
      <c r="BE7" s="32">
        <f t="shared" ca="1" si="31"/>
        <v>38</v>
      </c>
      <c r="BF7" s="33">
        <f t="shared" ref="BF7:BF8" ca="1" si="32">IF(BD7&gt;0,BE7*100/BD7,0)</f>
        <v>65.517241379310349</v>
      </c>
      <c r="BG7" s="31">
        <f t="shared" ref="BG7:BH7" ca="1" si="33">BG8</f>
        <v>296000</v>
      </c>
      <c r="BH7" s="32">
        <f t="shared" ca="1" si="33"/>
        <v>7370</v>
      </c>
      <c r="BI7" s="33">
        <f t="shared" ref="BI7:BI8" ca="1" si="34">IF(BG7&gt;0,BH7*100/BG7,0)</f>
        <v>2.4898648648648649</v>
      </c>
      <c r="BJ7" s="31">
        <f t="shared" ref="BJ7:BK7" ca="1" si="35">BJ8</f>
        <v>697900</v>
      </c>
      <c r="BK7" s="32">
        <f t="shared" ca="1" si="35"/>
        <v>7068</v>
      </c>
      <c r="BL7" s="33">
        <f t="shared" ref="BL7:BL8" ca="1" si="36">IF(BJ7&gt;0,BK7*100/BJ7,0)</f>
        <v>1.0127525433443187</v>
      </c>
      <c r="BM7" s="31">
        <f t="shared" ref="BM7:BN7" ca="1" si="37">BM8</f>
        <v>160000</v>
      </c>
      <c r="BN7" s="32">
        <f t="shared" ca="1" si="37"/>
        <v>82470</v>
      </c>
      <c r="BO7" s="33">
        <f t="shared" ref="BO7:BO8" ca="1" si="38">IF(BM7&gt;0,BN7*100/BM7,0)</f>
        <v>51.543750000000003</v>
      </c>
      <c r="BP7" s="31">
        <f t="shared" ref="BP7:BQ7" ca="1" si="39">BP8</f>
        <v>2569000</v>
      </c>
      <c r="BQ7" s="32">
        <f t="shared" ca="1" si="39"/>
        <v>408000</v>
      </c>
      <c r="BR7" s="33">
        <f t="shared" ref="BR7:BR8" ca="1" si="40">IF(BP7&gt;0,BQ7*100/BP7,0)</f>
        <v>15.8816660179058</v>
      </c>
      <c r="BS7" s="31">
        <f t="shared" ref="BS7:BT7" ca="1" si="41">BS8</f>
        <v>2569000</v>
      </c>
      <c r="BT7" s="32">
        <f t="shared" ca="1" si="41"/>
        <v>0</v>
      </c>
      <c r="BU7" s="33">
        <f t="shared" ref="BU7:BU8" ca="1" si="42">IF(BS7&gt;0,BT7*100/BS7,0)</f>
        <v>0</v>
      </c>
      <c r="BV7" s="31">
        <f t="shared" ref="BV7:BW7" ca="1" si="43">BV8</f>
        <v>160</v>
      </c>
      <c r="BW7" s="32">
        <f t="shared" ca="1" si="43"/>
        <v>100</v>
      </c>
      <c r="BX7" s="33">
        <f t="shared" ref="BX7:BX8" ca="1" si="44">IF(BV7&gt;0,BW7*100/BV7,0)</f>
        <v>62.5</v>
      </c>
      <c r="BY7" s="31">
        <f t="shared" ref="BY7:BZ7" ca="1" si="45">BY8</f>
        <v>2275900</v>
      </c>
      <c r="BZ7" s="32">
        <f t="shared" ca="1" si="45"/>
        <v>573632.4</v>
      </c>
      <c r="CA7" s="33">
        <f t="shared" ref="CA7:CA8" ca="1" si="46">IF(BY7&gt;0,BZ7*100/BY7,0)</f>
        <v>25.204639922667955</v>
      </c>
      <c r="CB7" s="31">
        <f t="shared" ref="CB7:CC7" ca="1" si="47">CB8</f>
        <v>1263830</v>
      </c>
      <c r="CC7" s="32">
        <f t="shared" ca="1" si="47"/>
        <v>558999.27</v>
      </c>
      <c r="CD7" s="33">
        <f t="shared" ref="CD7:CD8" ca="1" si="48">IF(CB7&gt;0,CC7*100/CB7,0)</f>
        <v>44.230574523472299</v>
      </c>
      <c r="CE7" s="31">
        <f t="shared" ref="CE7:CF7" ca="1" si="49">CE8</f>
        <v>357500</v>
      </c>
      <c r="CF7" s="32">
        <f t="shared" ca="1" si="49"/>
        <v>0</v>
      </c>
      <c r="CG7" s="33">
        <f t="shared" ref="CG7:CG8" ca="1" si="50">IF(CE7&gt;0,CF7*100/CE7,0)</f>
        <v>0</v>
      </c>
      <c r="CH7" s="31">
        <f t="shared" ref="CH7:CI7" ca="1" si="51">CH8</f>
        <v>380000</v>
      </c>
      <c r="CI7" s="32">
        <f t="shared" ca="1" si="51"/>
        <v>0</v>
      </c>
      <c r="CJ7" s="33">
        <f t="shared" ref="CJ7:CJ8" ca="1" si="52">IF(CH7&gt;0,CI7*100/CH7,0)</f>
        <v>0</v>
      </c>
      <c r="CK7" s="31">
        <f t="shared" ref="CK7:CL7" ca="1" si="53">CK8</f>
        <v>840</v>
      </c>
      <c r="CL7" s="32">
        <f t="shared" ca="1" si="53"/>
        <v>582</v>
      </c>
      <c r="CM7" s="33">
        <f t="shared" ref="CM7:CM8" ca="1" si="54">IF(CK7&gt;0,CL7*100/CK7,0)</f>
        <v>69.285714285714292</v>
      </c>
      <c r="CN7" s="32">
        <f t="shared" ref="CN7:CO7" ca="1" si="55">CN8</f>
        <v>0</v>
      </c>
      <c r="CO7" s="32">
        <f t="shared" ca="1" si="55"/>
        <v>0</v>
      </c>
    </row>
    <row r="8" spans="1:93" ht="28.5" customHeight="1" x14ac:dyDescent="0.3">
      <c r="A8" s="34" t="s">
        <v>31</v>
      </c>
      <c r="B8" s="35"/>
      <c r="C8" s="36">
        <f t="shared" ca="1" si="0"/>
        <v>15280330</v>
      </c>
      <c r="D8" s="37">
        <f t="shared" ref="D8:I8" ca="1" si="56">+D13+D31+D52+D74</f>
        <v>15280330</v>
      </c>
      <c r="E8" s="38">
        <f t="shared" ca="1" si="56"/>
        <v>6260200</v>
      </c>
      <c r="F8" s="38">
        <f t="shared" ca="1" si="56"/>
        <v>9020130</v>
      </c>
      <c r="G8" s="38">
        <f t="shared" ca="1" si="56"/>
        <v>0</v>
      </c>
      <c r="H8" s="38">
        <f t="shared" ca="1" si="56"/>
        <v>12434530</v>
      </c>
      <c r="I8" s="38">
        <f t="shared" ca="1" si="56"/>
        <v>0</v>
      </c>
      <c r="J8" s="38">
        <f t="shared" ca="1" si="3"/>
        <v>5577540.8500000006</v>
      </c>
      <c r="K8" s="39">
        <f t="shared" ca="1" si="4"/>
        <v>36.501442377226148</v>
      </c>
      <c r="L8" s="38">
        <f ca="1">+L13+L31+L52+L74</f>
        <v>5577540.8500000006</v>
      </c>
      <c r="M8" s="40">
        <f t="shared" ca="1" si="5"/>
        <v>36.501442377226148</v>
      </c>
      <c r="N8" s="40">
        <f t="shared" ca="1" si="6"/>
        <v>44.855260713513097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8">
        <f t="shared" ref="R8:S8" ca="1" si="57">+R13+R31+R52+R74</f>
        <v>432000</v>
      </c>
      <c r="S8" s="38">
        <f t="shared" ca="1" si="57"/>
        <v>70168.44</v>
      </c>
      <c r="T8" s="40">
        <f t="shared" ca="1" si="10"/>
        <v>16.242694444444446</v>
      </c>
      <c r="U8" s="38">
        <f t="shared" ref="U8:V8" ca="1" si="58">+U13+U31+U52+U74</f>
        <v>288</v>
      </c>
      <c r="V8" s="38">
        <f t="shared" ca="1" si="58"/>
        <v>84</v>
      </c>
      <c r="W8" s="40">
        <f t="shared" ca="1" si="12"/>
        <v>29.166666666666668</v>
      </c>
      <c r="X8" s="38">
        <f t="shared" ref="X8:AB8" ca="1" si="59">+X13+X31+X52+X74</f>
        <v>2806</v>
      </c>
      <c r="Y8" s="38">
        <f t="shared" ca="1" si="59"/>
        <v>2791</v>
      </c>
      <c r="Z8" s="38">
        <f t="shared" ca="1" si="59"/>
        <v>15</v>
      </c>
      <c r="AA8" s="38">
        <f t="shared" ca="1" si="59"/>
        <v>175000</v>
      </c>
      <c r="AB8" s="38">
        <f t="shared" ca="1" si="59"/>
        <v>51513</v>
      </c>
      <c r="AC8" s="40">
        <f t="shared" ca="1" si="14"/>
        <v>29.436</v>
      </c>
      <c r="AD8" s="38">
        <f t="shared" ref="AD8:AE8" ca="1" si="60">+AD13+AD31+AD52+AD74</f>
        <v>1400000</v>
      </c>
      <c r="AE8" s="38">
        <f t="shared" ca="1" si="60"/>
        <v>814810</v>
      </c>
      <c r="AF8" s="40">
        <f t="shared" ca="1" si="16"/>
        <v>58.200714285714284</v>
      </c>
      <c r="AG8" s="38">
        <f t="shared" ref="AG8:AH8" ca="1" si="61">+AG13+AG31+AG52+AG74</f>
        <v>700000</v>
      </c>
      <c r="AH8" s="38">
        <f t="shared" ca="1" si="61"/>
        <v>8000</v>
      </c>
      <c r="AI8" s="40">
        <f t="shared" ca="1" si="18"/>
        <v>1.1428571428571428</v>
      </c>
      <c r="AJ8" s="38">
        <f t="shared" ref="AJ8:AK8" ca="1" si="62">+AJ13+AJ31+AJ52+AJ74</f>
        <v>70000</v>
      </c>
      <c r="AK8" s="38">
        <f t="shared" ca="1" si="62"/>
        <v>0</v>
      </c>
      <c r="AL8" s="40">
        <f t="shared" ca="1" si="20"/>
        <v>0</v>
      </c>
      <c r="AM8" s="38">
        <f t="shared" ref="AM8:AN8" ca="1" si="63">+AM13+AM31+AM52+AM74</f>
        <v>175</v>
      </c>
      <c r="AN8" s="38">
        <f t="shared" ca="1" si="63"/>
        <v>111</v>
      </c>
      <c r="AO8" s="40">
        <f t="shared" ca="1" si="22"/>
        <v>63.428571428571431</v>
      </c>
      <c r="AP8" s="295">
        <f t="shared" ref="AP8:AS8" ca="1" si="64">+AP13+AP31+AP52+AP74</f>
        <v>38</v>
      </c>
      <c r="AQ8" s="295">
        <f t="shared" ca="1" si="64"/>
        <v>41</v>
      </c>
      <c r="AR8" s="38">
        <f t="shared" ca="1" si="64"/>
        <v>58000</v>
      </c>
      <c r="AS8" s="38">
        <f t="shared" ca="1" si="64"/>
        <v>14930</v>
      </c>
      <c r="AT8" s="40">
        <f t="shared" ca="1" si="24"/>
        <v>25.741379310344829</v>
      </c>
      <c r="AU8" s="38">
        <f t="shared" ref="AU8:AV8" ca="1" si="65">+AU13+AU31+AU52+AU74</f>
        <v>290000</v>
      </c>
      <c r="AV8" s="38">
        <f t="shared" ca="1" si="65"/>
        <v>4650</v>
      </c>
      <c r="AW8" s="40">
        <f t="shared" ca="1" si="26"/>
        <v>1.603448275862069</v>
      </c>
      <c r="AX8" s="38">
        <f t="shared" ref="AX8:AY8" ca="1" si="66">+AX13+AX31+AX52+AX74</f>
        <v>464000</v>
      </c>
      <c r="AY8" s="38">
        <f t="shared" ca="1" si="66"/>
        <v>300385.25</v>
      </c>
      <c r="AZ8" s="40">
        <f t="shared" ca="1" si="28"/>
        <v>64.738200431034485</v>
      </c>
      <c r="BA8" s="38">
        <f t="shared" ref="BA8:BB8" ca="1" si="67">+BA13+BA31+BA52+BA74</f>
        <v>58</v>
      </c>
      <c r="BB8" s="38">
        <f t="shared" ca="1" si="67"/>
        <v>1</v>
      </c>
      <c r="BC8" s="40">
        <f t="shared" ca="1" si="30"/>
        <v>1.7241379310344827</v>
      </c>
      <c r="BD8" s="38">
        <f t="shared" ref="BD8:BE8" ca="1" si="68">+BD13+BD31+BD52+BD74</f>
        <v>58</v>
      </c>
      <c r="BE8" s="38">
        <f t="shared" ca="1" si="68"/>
        <v>38</v>
      </c>
      <c r="BF8" s="40">
        <f t="shared" ca="1" si="32"/>
        <v>65.517241379310349</v>
      </c>
      <c r="BG8" s="38">
        <f t="shared" ref="BG8:BH8" ca="1" si="69">+BG13+BG31+BG52+BG74</f>
        <v>296000</v>
      </c>
      <c r="BH8" s="38">
        <f t="shared" ca="1" si="69"/>
        <v>7370</v>
      </c>
      <c r="BI8" s="40">
        <f t="shared" ca="1" si="34"/>
        <v>2.4898648648648649</v>
      </c>
      <c r="BJ8" s="38">
        <f t="shared" ref="BJ8:BK8" ca="1" si="70">+BJ13+BJ31+BJ52+BJ74</f>
        <v>697900</v>
      </c>
      <c r="BK8" s="38">
        <f t="shared" ca="1" si="70"/>
        <v>7068</v>
      </c>
      <c r="BL8" s="40">
        <f t="shared" ca="1" si="36"/>
        <v>1.0127525433443187</v>
      </c>
      <c r="BM8" s="38">
        <f t="shared" ref="BM8:BN8" ca="1" si="71">+BM13+BM31+BM52+BM74</f>
        <v>160000</v>
      </c>
      <c r="BN8" s="38">
        <f t="shared" ca="1" si="71"/>
        <v>82470</v>
      </c>
      <c r="BO8" s="40">
        <f t="shared" ca="1" si="38"/>
        <v>51.543750000000003</v>
      </c>
      <c r="BP8" s="38">
        <f t="shared" ref="BP8:BQ8" ca="1" si="72">+BP13+BP31+BP52+BP74</f>
        <v>2569000</v>
      </c>
      <c r="BQ8" s="38">
        <f t="shared" ca="1" si="72"/>
        <v>408000</v>
      </c>
      <c r="BR8" s="40">
        <f t="shared" ca="1" si="40"/>
        <v>15.8816660179058</v>
      </c>
      <c r="BS8" s="38">
        <f t="shared" ref="BS8:BT8" ca="1" si="73">+BS13+BS31+BS52+BS74</f>
        <v>2569000</v>
      </c>
      <c r="BT8" s="38">
        <f t="shared" ca="1" si="73"/>
        <v>0</v>
      </c>
      <c r="BU8" s="40">
        <f t="shared" ca="1" si="42"/>
        <v>0</v>
      </c>
      <c r="BV8" s="38">
        <f t="shared" ref="BV8:BW8" ca="1" si="74">+BV13+BV31+BV52+BV74</f>
        <v>160</v>
      </c>
      <c r="BW8" s="38">
        <f t="shared" ca="1" si="74"/>
        <v>100</v>
      </c>
      <c r="BX8" s="40">
        <f t="shared" ca="1" si="44"/>
        <v>62.5</v>
      </c>
      <c r="BY8" s="38">
        <f t="shared" ref="BY8:BZ8" ca="1" si="75">+BY13+BY31+BY52+BY74</f>
        <v>2275900</v>
      </c>
      <c r="BZ8" s="38">
        <f t="shared" ca="1" si="75"/>
        <v>573632.4</v>
      </c>
      <c r="CA8" s="40">
        <f t="shared" ca="1" si="46"/>
        <v>25.204639922667955</v>
      </c>
      <c r="CB8" s="38">
        <f t="shared" ref="CB8:CC8" ca="1" si="76">+CB13+CB31+CB52+CB74</f>
        <v>1263830</v>
      </c>
      <c r="CC8" s="38">
        <f t="shared" ca="1" si="76"/>
        <v>558999.27</v>
      </c>
      <c r="CD8" s="40">
        <f t="shared" ca="1" si="48"/>
        <v>44.230574523472299</v>
      </c>
      <c r="CE8" s="38">
        <f t="shared" ref="CE8:CF8" ca="1" si="77">+CE13+CE31+CE52+CE74</f>
        <v>357500</v>
      </c>
      <c r="CF8" s="38">
        <f t="shared" ca="1" si="77"/>
        <v>0</v>
      </c>
      <c r="CG8" s="40">
        <f t="shared" ca="1" si="50"/>
        <v>0</v>
      </c>
      <c r="CH8" s="38">
        <f t="shared" ref="CH8:CI8" ca="1" si="78">+CH13+CH31+CH52+CH74</f>
        <v>380000</v>
      </c>
      <c r="CI8" s="38">
        <f t="shared" ca="1" si="78"/>
        <v>0</v>
      </c>
      <c r="CJ8" s="40">
        <f t="shared" ca="1" si="52"/>
        <v>0</v>
      </c>
      <c r="CK8" s="38">
        <f t="shared" ref="CK8:CL8" ca="1" si="79">+CK13+CK31+CK52+CK74</f>
        <v>840</v>
      </c>
      <c r="CL8" s="38">
        <f t="shared" ca="1" si="79"/>
        <v>582</v>
      </c>
      <c r="CM8" s="40">
        <f t="shared" ca="1" si="54"/>
        <v>69.285714285714292</v>
      </c>
      <c r="CN8" s="38">
        <f t="shared" ref="CN8:CO8" ca="1" si="80">+CN13+CN31+CN52+CN74</f>
        <v>0</v>
      </c>
      <c r="CO8" s="38">
        <f t="shared" ca="1" si="80"/>
        <v>0</v>
      </c>
    </row>
    <row r="9" spans="1:93" ht="28.5" customHeight="1" x14ac:dyDescent="0.2">
      <c r="A9" s="44" t="s">
        <v>234</v>
      </c>
      <c r="B9" s="45"/>
      <c r="C9" s="46">
        <f t="shared" ca="1" si="0"/>
        <v>6011870</v>
      </c>
      <c r="D9" s="47">
        <f t="shared" ref="D9:I9" ca="1" si="81">+D10+D11</f>
        <v>6011870</v>
      </c>
      <c r="E9" s="46">
        <f t="shared" ca="1" si="81"/>
        <v>3321300</v>
      </c>
      <c r="F9" s="46">
        <f t="shared" ca="1" si="81"/>
        <v>2690570</v>
      </c>
      <c r="G9" s="46">
        <f t="shared" ca="1" si="81"/>
        <v>0</v>
      </c>
      <c r="H9" s="46">
        <f t="shared" ca="1" si="81"/>
        <v>3534570</v>
      </c>
      <c r="I9" s="46">
        <f t="shared" ca="1" si="81"/>
        <v>0</v>
      </c>
      <c r="J9" s="46">
        <f t="shared" ca="1" si="3"/>
        <v>604256.14</v>
      </c>
      <c r="K9" s="48">
        <f t="shared" ca="1" si="4"/>
        <v>10.051051336772085</v>
      </c>
      <c r="L9" s="46">
        <f ca="1">+L10+L11</f>
        <v>604256.14</v>
      </c>
      <c r="M9" s="49">
        <f t="shared" ca="1" si="5"/>
        <v>10.051051336772085</v>
      </c>
      <c r="N9" s="49">
        <f t="shared" ca="1" si="6"/>
        <v>17.095605406032416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9"/>
      <c r="U9" s="46"/>
      <c r="V9" s="46"/>
      <c r="W9" s="49"/>
      <c r="X9" s="46"/>
      <c r="Y9" s="46"/>
      <c r="Z9" s="46"/>
      <c r="AA9" s="46"/>
      <c r="AB9" s="46"/>
      <c r="AC9" s="49"/>
      <c r="AD9" s="46"/>
      <c r="AE9" s="46"/>
      <c r="AF9" s="49"/>
      <c r="AG9" s="46"/>
      <c r="AH9" s="46"/>
      <c r="AI9" s="49"/>
      <c r="AJ9" s="46"/>
      <c r="AK9" s="46"/>
      <c r="AL9" s="49"/>
      <c r="AM9" s="46"/>
      <c r="AN9" s="46"/>
      <c r="AO9" s="49"/>
      <c r="AP9" s="296"/>
      <c r="AQ9" s="296"/>
      <c r="AR9" s="46"/>
      <c r="AS9" s="46"/>
      <c r="AT9" s="49"/>
      <c r="AU9" s="46"/>
      <c r="AV9" s="46"/>
      <c r="AW9" s="49"/>
      <c r="AX9" s="46"/>
      <c r="AY9" s="46"/>
      <c r="AZ9" s="49"/>
      <c r="BA9" s="46"/>
      <c r="BB9" s="46"/>
      <c r="BC9" s="49"/>
      <c r="BD9" s="46"/>
      <c r="BE9" s="46"/>
      <c r="BF9" s="49"/>
      <c r="BG9" s="46"/>
      <c r="BH9" s="46"/>
      <c r="BI9" s="49"/>
      <c r="BJ9" s="46"/>
      <c r="BK9" s="46"/>
      <c r="BL9" s="49"/>
      <c r="BM9" s="46"/>
      <c r="BN9" s="46"/>
      <c r="BO9" s="49"/>
      <c r="BP9" s="46"/>
      <c r="BQ9" s="46"/>
      <c r="BR9" s="49"/>
      <c r="BS9" s="46"/>
      <c r="BT9" s="46"/>
      <c r="BU9" s="49"/>
      <c r="BV9" s="46"/>
      <c r="BW9" s="46"/>
      <c r="BX9" s="49"/>
      <c r="BY9" s="46"/>
      <c r="BZ9" s="46"/>
      <c r="CA9" s="49"/>
      <c r="CB9" s="46"/>
      <c r="CC9" s="46"/>
      <c r="CD9" s="49"/>
      <c r="CE9" s="46"/>
      <c r="CF9" s="46"/>
      <c r="CG9" s="49"/>
      <c r="CH9" s="46"/>
      <c r="CI9" s="46"/>
      <c r="CJ9" s="49"/>
      <c r="CK9" s="46"/>
      <c r="CL9" s="46"/>
      <c r="CM9" s="49"/>
      <c r="CN9" s="46"/>
      <c r="CO9" s="46"/>
    </row>
    <row r="10" spans="1:93" ht="28.5" hidden="1" customHeight="1" x14ac:dyDescent="0.2">
      <c r="A10" s="44" t="s">
        <v>32</v>
      </c>
      <c r="B10" s="45"/>
      <c r="C10" s="46">
        <f t="shared" ca="1" si="0"/>
        <v>3310370</v>
      </c>
      <c r="D10" s="47">
        <f t="shared" ref="D10:I10" ca="1" si="82">+D89</f>
        <v>3310370</v>
      </c>
      <c r="E10" s="46">
        <f t="shared" ca="1" si="82"/>
        <v>619800</v>
      </c>
      <c r="F10" s="46">
        <f t="shared" ca="1" si="82"/>
        <v>2690570</v>
      </c>
      <c r="G10" s="46">
        <f t="shared" ca="1" si="82"/>
        <v>0</v>
      </c>
      <c r="H10" s="46">
        <f t="shared" ca="1" si="82"/>
        <v>1382820</v>
      </c>
      <c r="I10" s="46">
        <f t="shared" ca="1" si="82"/>
        <v>0</v>
      </c>
      <c r="J10" s="46">
        <f t="shared" ca="1" si="3"/>
        <v>529718.87</v>
      </c>
      <c r="K10" s="48">
        <f t="shared" ca="1" si="4"/>
        <v>16.001802517543357</v>
      </c>
      <c r="L10" s="46">
        <f ca="1">+L89</f>
        <v>529718.87</v>
      </c>
      <c r="M10" s="49">
        <f t="shared" ca="1" si="5"/>
        <v>16.001802517543357</v>
      </c>
      <c r="N10" s="49">
        <f t="shared" ca="1" si="6"/>
        <v>38.307145543165419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9"/>
      <c r="U10" s="46"/>
      <c r="V10" s="46"/>
      <c r="W10" s="49"/>
      <c r="X10" s="46"/>
      <c r="Y10" s="46"/>
      <c r="Z10" s="46"/>
      <c r="AA10" s="46"/>
      <c r="AB10" s="46"/>
      <c r="AC10" s="49"/>
      <c r="AD10" s="46"/>
      <c r="AE10" s="46"/>
      <c r="AF10" s="49"/>
      <c r="AG10" s="46"/>
      <c r="AH10" s="46"/>
      <c r="AI10" s="49"/>
      <c r="AJ10" s="46"/>
      <c r="AK10" s="46"/>
      <c r="AL10" s="49"/>
      <c r="AM10" s="46"/>
      <c r="AN10" s="46"/>
      <c r="AO10" s="49"/>
      <c r="AP10" s="296"/>
      <c r="AQ10" s="296"/>
      <c r="AR10" s="46"/>
      <c r="AS10" s="46"/>
      <c r="AT10" s="49"/>
      <c r="AU10" s="46"/>
      <c r="AV10" s="46"/>
      <c r="AW10" s="49"/>
      <c r="AX10" s="46"/>
      <c r="AY10" s="46"/>
      <c r="AZ10" s="49"/>
      <c r="BA10" s="46"/>
      <c r="BB10" s="46"/>
      <c r="BC10" s="49"/>
      <c r="BD10" s="46"/>
      <c r="BE10" s="46"/>
      <c r="BF10" s="49"/>
      <c r="BG10" s="46"/>
      <c r="BH10" s="46"/>
      <c r="BI10" s="49"/>
      <c r="BJ10" s="46"/>
      <c r="BK10" s="46"/>
      <c r="BL10" s="49"/>
      <c r="BM10" s="46"/>
      <c r="BN10" s="46"/>
      <c r="BO10" s="49"/>
      <c r="BP10" s="46"/>
      <c r="BQ10" s="46"/>
      <c r="BR10" s="49"/>
      <c r="BS10" s="46"/>
      <c r="BT10" s="46"/>
      <c r="BU10" s="49"/>
      <c r="BV10" s="46"/>
      <c r="BW10" s="46"/>
      <c r="BX10" s="49"/>
      <c r="BY10" s="46"/>
      <c r="BZ10" s="46"/>
      <c r="CA10" s="49"/>
      <c r="CB10" s="46"/>
      <c r="CC10" s="46"/>
      <c r="CD10" s="49"/>
      <c r="CE10" s="46"/>
      <c r="CF10" s="46"/>
      <c r="CG10" s="49"/>
      <c r="CH10" s="46"/>
      <c r="CI10" s="46"/>
      <c r="CJ10" s="49"/>
      <c r="CK10" s="46"/>
      <c r="CL10" s="46"/>
      <c r="CM10" s="49"/>
      <c r="CN10" s="46"/>
      <c r="CO10" s="46"/>
    </row>
    <row r="11" spans="1:93" ht="28.5" hidden="1" customHeight="1" x14ac:dyDescent="0.2">
      <c r="A11" s="53" t="s">
        <v>33</v>
      </c>
      <c r="B11" s="45"/>
      <c r="C11" s="46">
        <f t="shared" ca="1" si="0"/>
        <v>2701500</v>
      </c>
      <c r="D11" s="47">
        <f t="shared" ref="D11:I11" ca="1" si="83">+D104</f>
        <v>2701500</v>
      </c>
      <c r="E11" s="46">
        <f t="shared" ca="1" si="83"/>
        <v>2701500</v>
      </c>
      <c r="F11" s="46">
        <f t="shared" ca="1" si="83"/>
        <v>0</v>
      </c>
      <c r="G11" s="46">
        <f t="shared" ca="1" si="83"/>
        <v>0</v>
      </c>
      <c r="H11" s="46">
        <f t="shared" ca="1" si="83"/>
        <v>2151750</v>
      </c>
      <c r="I11" s="46">
        <f t="shared" ca="1" si="83"/>
        <v>0</v>
      </c>
      <c r="J11" s="46">
        <f t="shared" ca="1" si="3"/>
        <v>74537.27</v>
      </c>
      <c r="K11" s="48">
        <f t="shared" ca="1" si="4"/>
        <v>2.7591067925226724</v>
      </c>
      <c r="L11" s="46">
        <f ca="1">+L104</f>
        <v>74537.27</v>
      </c>
      <c r="M11" s="49">
        <f t="shared" ca="1" si="5"/>
        <v>2.7591067925226724</v>
      </c>
      <c r="N11" s="49">
        <f t="shared" ca="1" si="6"/>
        <v>3.4640302079702567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9"/>
      <c r="U11" s="46"/>
      <c r="V11" s="46"/>
      <c r="W11" s="49"/>
      <c r="X11" s="46"/>
      <c r="Y11" s="46"/>
      <c r="Z11" s="46"/>
      <c r="AA11" s="46"/>
      <c r="AB11" s="46"/>
      <c r="AC11" s="49"/>
      <c r="AD11" s="46"/>
      <c r="AE11" s="46"/>
      <c r="AF11" s="49"/>
      <c r="AG11" s="46"/>
      <c r="AH11" s="46"/>
      <c r="AI11" s="49"/>
      <c r="AJ11" s="46"/>
      <c r="AK11" s="46"/>
      <c r="AL11" s="49"/>
      <c r="AM11" s="46"/>
      <c r="AN11" s="46"/>
      <c r="AO11" s="49"/>
      <c r="AP11" s="296"/>
      <c r="AQ11" s="296"/>
      <c r="AR11" s="46"/>
      <c r="AS11" s="46"/>
      <c r="AT11" s="49"/>
      <c r="AU11" s="46"/>
      <c r="AV11" s="46"/>
      <c r="AW11" s="49"/>
      <c r="AX11" s="46"/>
      <c r="AY11" s="46"/>
      <c r="AZ11" s="49"/>
      <c r="BA11" s="46"/>
      <c r="BB11" s="46"/>
      <c r="BC11" s="49"/>
      <c r="BD11" s="46"/>
      <c r="BE11" s="46"/>
      <c r="BF11" s="49"/>
      <c r="BG11" s="46"/>
      <c r="BH11" s="46"/>
      <c r="BI11" s="49"/>
      <c r="BJ11" s="46"/>
      <c r="BK11" s="46"/>
      <c r="BL11" s="49"/>
      <c r="BM11" s="46"/>
      <c r="BN11" s="46"/>
      <c r="BO11" s="49"/>
      <c r="BP11" s="46"/>
      <c r="BQ11" s="46"/>
      <c r="BR11" s="49"/>
      <c r="BS11" s="46"/>
      <c r="BT11" s="46"/>
      <c r="BU11" s="49"/>
      <c r="BV11" s="46"/>
      <c r="BW11" s="46"/>
      <c r="BX11" s="49"/>
      <c r="BY11" s="46"/>
      <c r="BZ11" s="46"/>
      <c r="CA11" s="49"/>
      <c r="CB11" s="46"/>
      <c r="CC11" s="46"/>
      <c r="CD11" s="49"/>
      <c r="CE11" s="46"/>
      <c r="CF11" s="46"/>
      <c r="CG11" s="49"/>
      <c r="CH11" s="46"/>
      <c r="CI11" s="46"/>
      <c r="CJ11" s="49"/>
      <c r="CK11" s="46"/>
      <c r="CL11" s="46"/>
      <c r="CM11" s="49"/>
      <c r="CN11" s="46"/>
      <c r="CO11" s="46"/>
    </row>
    <row r="12" spans="1:93" ht="28.5" hidden="1" customHeight="1" x14ac:dyDescent="0.3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60">
        <f t="shared" ref="T12:T88" si="84">IF(R12&gt;0,S12*100/R12,0)</f>
        <v>0</v>
      </c>
      <c r="U12" s="58">
        <v>0</v>
      </c>
      <c r="V12" s="58">
        <v>0</v>
      </c>
      <c r="W12" s="60">
        <f t="shared" ref="W12:W88" si="85">IF(U12&gt;0,V12*100/U12,0)</f>
        <v>0</v>
      </c>
      <c r="X12" s="58">
        <v>0</v>
      </c>
      <c r="Y12" s="58">
        <v>0</v>
      </c>
      <c r="Z12" s="58">
        <v>0</v>
      </c>
      <c r="AA12" s="58">
        <v>0</v>
      </c>
      <c r="AB12" s="58">
        <v>0</v>
      </c>
      <c r="AC12" s="60">
        <f t="shared" ref="AC12:AC88" si="86">IF(AA12&gt;0,AB12*100/AA12,0)</f>
        <v>0</v>
      </c>
      <c r="AD12" s="58">
        <v>0</v>
      </c>
      <c r="AE12" s="58">
        <v>0</v>
      </c>
      <c r="AF12" s="60">
        <f t="shared" ref="AF12:AF88" si="87">IF(AD12&gt;0,AE12*100/AD12,0)</f>
        <v>0</v>
      </c>
      <c r="AG12" s="58">
        <v>0</v>
      </c>
      <c r="AH12" s="58">
        <v>0</v>
      </c>
      <c r="AI12" s="60">
        <f t="shared" ref="AI12:AI88" si="88">IF(AG12&gt;0,AH12*100/AG12,0)</f>
        <v>0</v>
      </c>
      <c r="AJ12" s="58">
        <v>0</v>
      </c>
      <c r="AK12" s="58">
        <v>0</v>
      </c>
      <c r="AL12" s="60">
        <f t="shared" ref="AL12:AL88" si="89">IF(AJ12&gt;0,AK12*100/AJ12,0)</f>
        <v>0</v>
      </c>
      <c r="AM12" s="58">
        <v>0</v>
      </c>
      <c r="AN12" s="58">
        <v>0</v>
      </c>
      <c r="AO12" s="60">
        <f t="shared" ref="AO12:AO88" si="90">IF(AM12&gt;0,AN12*100/AM12,0)</f>
        <v>0</v>
      </c>
      <c r="AP12" s="297">
        <v>0</v>
      </c>
      <c r="AQ12" s="297">
        <v>0</v>
      </c>
      <c r="AR12" s="58">
        <v>0</v>
      </c>
      <c r="AS12" s="58">
        <v>0</v>
      </c>
      <c r="AT12" s="60">
        <f t="shared" ref="AT12:AT88" si="91">IF(AR12&gt;0,AS12*100/AR12,0)</f>
        <v>0</v>
      </c>
      <c r="AU12" s="58">
        <v>0</v>
      </c>
      <c r="AV12" s="58">
        <v>0</v>
      </c>
      <c r="AW12" s="60">
        <f t="shared" ref="AW12:AW88" si="92">IF(AU12&gt;0,AV12*100/AU12,0)</f>
        <v>0</v>
      </c>
      <c r="AX12" s="58">
        <v>0</v>
      </c>
      <c r="AY12" s="58">
        <v>0</v>
      </c>
      <c r="AZ12" s="60">
        <f t="shared" ref="AZ12:AZ88" si="93">IF(AX12&gt;0,AY12*100/AX12,0)</f>
        <v>0</v>
      </c>
      <c r="BA12" s="58">
        <v>0</v>
      </c>
      <c r="BB12" s="58">
        <v>0</v>
      </c>
      <c r="BC12" s="60">
        <f t="shared" ref="BC12:BC88" si="94">IF(BA12&gt;0,BB12*100/BA12,0)</f>
        <v>0</v>
      </c>
      <c r="BD12" s="58">
        <v>0</v>
      </c>
      <c r="BE12" s="58">
        <v>0</v>
      </c>
      <c r="BF12" s="60">
        <f t="shared" ref="BF12:BF88" si="95">IF(BD12&gt;0,BE12*100/BD12,0)</f>
        <v>0</v>
      </c>
      <c r="BG12" s="58">
        <v>0</v>
      </c>
      <c r="BH12" s="58">
        <v>0</v>
      </c>
      <c r="BI12" s="60">
        <f t="shared" ref="BI12:BI88" si="96">IF(BG12&gt;0,BH12*100/BG12,0)</f>
        <v>0</v>
      </c>
      <c r="BJ12" s="58">
        <v>0</v>
      </c>
      <c r="BK12" s="58">
        <v>0</v>
      </c>
      <c r="BL12" s="60">
        <f t="shared" ref="BL12:BL88" si="97">IF(BJ12&gt;0,BK12*100/BJ12,0)</f>
        <v>0</v>
      </c>
      <c r="BM12" s="58">
        <v>0</v>
      </c>
      <c r="BN12" s="58">
        <v>0</v>
      </c>
      <c r="BO12" s="60">
        <f t="shared" ref="BO12:BO88" si="98">IF(BM12&gt;0,BN12*100/BM12,0)</f>
        <v>0</v>
      </c>
      <c r="BP12" s="58">
        <v>0</v>
      </c>
      <c r="BQ12" s="58">
        <v>0</v>
      </c>
      <c r="BR12" s="60">
        <f t="shared" ref="BR12:BR88" si="99">IF(BP12&gt;0,BQ12*100/BP12,0)</f>
        <v>0</v>
      </c>
      <c r="BS12" s="58">
        <v>0</v>
      </c>
      <c r="BT12" s="58">
        <v>0</v>
      </c>
      <c r="BU12" s="60">
        <f t="shared" ref="BU12:BU88" si="100">IF(BS12&gt;0,BT12*100/BS12,0)</f>
        <v>0</v>
      </c>
      <c r="BV12" s="58">
        <v>0</v>
      </c>
      <c r="BW12" s="58">
        <v>0</v>
      </c>
      <c r="BX12" s="60">
        <f t="shared" ref="BX12:BX88" si="101">IF(BV12&gt;0,BW12*100/BV12,0)</f>
        <v>0</v>
      </c>
      <c r="BY12" s="58">
        <v>0</v>
      </c>
      <c r="BZ12" s="58">
        <v>0</v>
      </c>
      <c r="CA12" s="60">
        <f t="shared" ref="CA12:CA88" si="102">IF(BY12&gt;0,BZ12*100/BY12,0)</f>
        <v>0</v>
      </c>
      <c r="CB12" s="58">
        <v>0</v>
      </c>
      <c r="CC12" s="58">
        <v>0</v>
      </c>
      <c r="CD12" s="60">
        <f t="shared" ref="CD12:CD88" si="103">IF(CB12&gt;0,CC12*100/CB12,0)</f>
        <v>0</v>
      </c>
      <c r="CE12" s="58">
        <v>0</v>
      </c>
      <c r="CF12" s="58">
        <v>0</v>
      </c>
      <c r="CG12" s="60">
        <f t="shared" ref="CG12:CG88" si="104">IF(CE12&gt;0,CF12*100/CE12,0)</f>
        <v>0</v>
      </c>
      <c r="CH12" s="58">
        <v>0</v>
      </c>
      <c r="CI12" s="58">
        <v>0</v>
      </c>
      <c r="CJ12" s="60">
        <f t="shared" ref="CJ12:CJ88" si="105">IF(CH12&gt;0,CI12*100/CH12,0)</f>
        <v>0</v>
      </c>
      <c r="CK12" s="58">
        <v>0</v>
      </c>
      <c r="CL12" s="58">
        <v>0</v>
      </c>
      <c r="CM12" s="60">
        <f t="shared" ref="CM12:CM88" si="106">IF(CK12&gt;0,CL12*100/CK12,0)</f>
        <v>0</v>
      </c>
      <c r="CN12" s="58">
        <v>0</v>
      </c>
      <c r="CO12" s="58">
        <v>0</v>
      </c>
    </row>
    <row r="13" spans="1:93" ht="28.5" customHeight="1" x14ac:dyDescent="0.3">
      <c r="A13" s="377" t="s">
        <v>35</v>
      </c>
      <c r="B13" s="359"/>
      <c r="C13" s="62">
        <f t="shared" ca="1" si="0"/>
        <v>4729330</v>
      </c>
      <c r="D13" s="63">
        <f t="shared" ref="D13:I13" ca="1" si="107">SUM(D14:D30)</f>
        <v>4729330</v>
      </c>
      <c r="E13" s="64">
        <f t="shared" ca="1" si="107"/>
        <v>1609500</v>
      </c>
      <c r="F13" s="64">
        <f t="shared" ca="1" si="107"/>
        <v>3119830</v>
      </c>
      <c r="G13" s="64">
        <f t="shared" ca="1" si="107"/>
        <v>0</v>
      </c>
      <c r="H13" s="64">
        <f t="shared" ca="1" si="107"/>
        <v>3684305</v>
      </c>
      <c r="I13" s="64">
        <f t="shared" ca="1" si="107"/>
        <v>0</v>
      </c>
      <c r="J13" s="64">
        <f t="shared" ca="1" si="3"/>
        <v>1698256.26</v>
      </c>
      <c r="K13" s="65">
        <f t="shared" ca="1" si="4"/>
        <v>35.909024322684189</v>
      </c>
      <c r="L13" s="64">
        <f ca="1">SUM(L14:L30)</f>
        <v>1698256.26</v>
      </c>
      <c r="M13" s="66">
        <f t="shared" ca="1" si="5"/>
        <v>35.909024322684189</v>
      </c>
      <c r="N13" s="66">
        <f t="shared" ca="1" si="6"/>
        <v>46.094345066437228</v>
      </c>
      <c r="O13" s="67">
        <f ca="1">SUM(O14:O30)</f>
        <v>0</v>
      </c>
      <c r="P13" s="67">
        <f t="shared" ref="P13:P116" ca="1" si="108">IF(G13&gt;0,O13*100/G13,0)</f>
        <v>0</v>
      </c>
      <c r="Q13" s="66">
        <f t="shared" ca="1" si="8"/>
        <v>0</v>
      </c>
      <c r="R13" s="64">
        <f t="shared" ref="R13:S13" ca="1" si="109">SUM(R14:R30)</f>
        <v>102000</v>
      </c>
      <c r="S13" s="64">
        <f t="shared" ca="1" si="109"/>
        <v>14652.44</v>
      </c>
      <c r="T13" s="66">
        <f t="shared" ca="1" si="84"/>
        <v>14.365137254901962</v>
      </c>
      <c r="U13" s="64">
        <f t="shared" ref="U13:V13" ca="1" si="110">SUM(U14:U30)</f>
        <v>68</v>
      </c>
      <c r="V13" s="64">
        <f t="shared" ca="1" si="110"/>
        <v>23</v>
      </c>
      <c r="W13" s="66">
        <f t="shared" ca="1" si="85"/>
        <v>33.823529411764703</v>
      </c>
      <c r="X13" s="64">
        <f t="shared" ref="X13:AB13" ca="1" si="111">SUM(X14:X30)</f>
        <v>795</v>
      </c>
      <c r="Y13" s="64">
        <f t="shared" ca="1" si="111"/>
        <v>795</v>
      </c>
      <c r="Z13" s="64">
        <f t="shared" ca="1" si="111"/>
        <v>0</v>
      </c>
      <c r="AA13" s="64">
        <f t="shared" ca="1" si="111"/>
        <v>50000</v>
      </c>
      <c r="AB13" s="64">
        <f t="shared" ca="1" si="111"/>
        <v>8105</v>
      </c>
      <c r="AC13" s="66">
        <f t="shared" ca="1" si="86"/>
        <v>16.21</v>
      </c>
      <c r="AD13" s="64">
        <f t="shared" ref="AD13:AE13" ca="1" si="112">SUM(AD14:AD30)</f>
        <v>400000</v>
      </c>
      <c r="AE13" s="64">
        <f t="shared" ca="1" si="112"/>
        <v>180795</v>
      </c>
      <c r="AF13" s="66">
        <f t="shared" ca="1" si="87"/>
        <v>45.198749999999997</v>
      </c>
      <c r="AG13" s="64">
        <f t="shared" ref="AG13:AH13" ca="1" si="113">SUM(AG14:AG30)</f>
        <v>200000</v>
      </c>
      <c r="AH13" s="64">
        <f t="shared" ca="1" si="113"/>
        <v>0</v>
      </c>
      <c r="AI13" s="66">
        <f t="shared" ca="1" si="88"/>
        <v>0</v>
      </c>
      <c r="AJ13" s="64">
        <f t="shared" ref="AJ13:AK13" ca="1" si="114">SUM(AJ14:AJ30)</f>
        <v>15000</v>
      </c>
      <c r="AK13" s="64">
        <f t="shared" ca="1" si="114"/>
        <v>0</v>
      </c>
      <c r="AL13" s="66">
        <f t="shared" ca="1" si="89"/>
        <v>0</v>
      </c>
      <c r="AM13" s="64">
        <f t="shared" ref="AM13:AN13" ca="1" si="115">SUM(AM14:AM30)</f>
        <v>50</v>
      </c>
      <c r="AN13" s="64">
        <f t="shared" ca="1" si="115"/>
        <v>30</v>
      </c>
      <c r="AO13" s="66">
        <f t="shared" ca="1" si="90"/>
        <v>60</v>
      </c>
      <c r="AP13" s="295">
        <f t="shared" ref="AP13:AS13" ca="1" si="116">SUM(AP14:AP30)</f>
        <v>17</v>
      </c>
      <c r="AQ13" s="295">
        <f t="shared" ca="1" si="116"/>
        <v>0</v>
      </c>
      <c r="AR13" s="64">
        <f t="shared" ca="1" si="116"/>
        <v>4000</v>
      </c>
      <c r="AS13" s="64">
        <f t="shared" ca="1" si="116"/>
        <v>390</v>
      </c>
      <c r="AT13" s="66">
        <f t="shared" ca="1" si="91"/>
        <v>9.75</v>
      </c>
      <c r="AU13" s="64">
        <f t="shared" ref="AU13:AV13" ca="1" si="117">SUM(AU14:AU30)</f>
        <v>20000</v>
      </c>
      <c r="AV13" s="64">
        <f t="shared" ca="1" si="117"/>
        <v>4650</v>
      </c>
      <c r="AW13" s="66">
        <f t="shared" ca="1" si="92"/>
        <v>23.25</v>
      </c>
      <c r="AX13" s="64">
        <f t="shared" ref="AX13:AY13" ca="1" si="118">SUM(AX14:AX30)</f>
        <v>32000</v>
      </c>
      <c r="AY13" s="64">
        <f t="shared" ca="1" si="118"/>
        <v>15080</v>
      </c>
      <c r="AZ13" s="66">
        <f t="shared" ca="1" si="93"/>
        <v>47.125</v>
      </c>
      <c r="BA13" s="64">
        <f t="shared" ref="BA13:BB13" ca="1" si="119">SUM(BA14:BA30)</f>
        <v>4</v>
      </c>
      <c r="BB13" s="64">
        <f t="shared" ca="1" si="119"/>
        <v>1</v>
      </c>
      <c r="BC13" s="66">
        <f t="shared" ca="1" si="94"/>
        <v>25</v>
      </c>
      <c r="BD13" s="64">
        <f t="shared" ref="BD13:BE13" ca="1" si="120">SUM(BD14:BD30)</f>
        <v>4</v>
      </c>
      <c r="BE13" s="64">
        <f t="shared" ca="1" si="120"/>
        <v>1</v>
      </c>
      <c r="BF13" s="66">
        <f t="shared" ca="1" si="95"/>
        <v>25</v>
      </c>
      <c r="BG13" s="64">
        <f t="shared" ref="BG13:BH13" ca="1" si="121">SUM(BG14:BG30)</f>
        <v>87000</v>
      </c>
      <c r="BH13" s="64">
        <f t="shared" ca="1" si="121"/>
        <v>0</v>
      </c>
      <c r="BI13" s="66">
        <f t="shared" ca="1" si="96"/>
        <v>0</v>
      </c>
      <c r="BJ13" s="64">
        <f t="shared" ref="BJ13:BK13" ca="1" si="122">SUM(BJ14:BJ30)</f>
        <v>262300</v>
      </c>
      <c r="BK13" s="64">
        <f t="shared" ca="1" si="122"/>
        <v>0</v>
      </c>
      <c r="BL13" s="66">
        <f t="shared" ca="1" si="97"/>
        <v>0</v>
      </c>
      <c r="BM13" s="64">
        <f t="shared" ref="BM13:BN13" ca="1" si="123">SUM(BM14:BM30)</f>
        <v>40000</v>
      </c>
      <c r="BN13" s="64">
        <f t="shared" ca="1" si="123"/>
        <v>19995</v>
      </c>
      <c r="BO13" s="66">
        <f t="shared" ca="1" si="98"/>
        <v>49.987499999999997</v>
      </c>
      <c r="BP13" s="64">
        <f t="shared" ref="BP13:BQ13" ca="1" si="124">SUM(BP14:BP30)</f>
        <v>1001000</v>
      </c>
      <c r="BQ13" s="64">
        <f t="shared" ca="1" si="124"/>
        <v>228000</v>
      </c>
      <c r="BR13" s="66">
        <f t="shared" ca="1" si="99"/>
        <v>22.777222777222779</v>
      </c>
      <c r="BS13" s="64">
        <f t="shared" ref="BS13:BT13" ca="1" si="125">SUM(BS14:BS30)</f>
        <v>1001000</v>
      </c>
      <c r="BT13" s="64">
        <f t="shared" ca="1" si="125"/>
        <v>0</v>
      </c>
      <c r="BU13" s="66">
        <f t="shared" ca="1" si="100"/>
        <v>0</v>
      </c>
      <c r="BV13" s="64">
        <f t="shared" ref="BV13:BW13" ca="1" si="126">SUM(BV14:BV30)</f>
        <v>40</v>
      </c>
      <c r="BW13" s="64">
        <f t="shared" ca="1" si="126"/>
        <v>30</v>
      </c>
      <c r="BX13" s="66">
        <f t="shared" ca="1" si="101"/>
        <v>75</v>
      </c>
      <c r="BY13" s="64">
        <f t="shared" ref="BY13:BZ13" ca="1" si="127">SUM(BY14:BY30)</f>
        <v>1098900</v>
      </c>
      <c r="BZ13" s="64">
        <f t="shared" ca="1" si="127"/>
        <v>279613</v>
      </c>
      <c r="CA13" s="66">
        <f t="shared" ca="1" si="102"/>
        <v>25.444808444808444</v>
      </c>
      <c r="CB13" s="64">
        <f t="shared" ref="CB13:CC13" ca="1" si="128">SUM(CB14:CB30)</f>
        <v>553630</v>
      </c>
      <c r="CC13" s="64">
        <f t="shared" ca="1" si="128"/>
        <v>298487.27</v>
      </c>
      <c r="CD13" s="66">
        <f t="shared" ca="1" si="103"/>
        <v>53.914576522226035</v>
      </c>
      <c r="CE13" s="64">
        <f t="shared" ref="CE13:CF13" ca="1" si="129">SUM(CE14:CE30)</f>
        <v>85000</v>
      </c>
      <c r="CF13" s="64">
        <f t="shared" ca="1" si="129"/>
        <v>0</v>
      </c>
      <c r="CG13" s="66">
        <f t="shared" ca="1" si="104"/>
        <v>0</v>
      </c>
      <c r="CH13" s="64">
        <f t="shared" ref="CH13:CI13" ca="1" si="130">SUM(CH14:CH30)</f>
        <v>170000</v>
      </c>
      <c r="CI13" s="64">
        <f t="shared" ca="1" si="130"/>
        <v>0</v>
      </c>
      <c r="CJ13" s="66">
        <f t="shared" ca="1" si="105"/>
        <v>0</v>
      </c>
      <c r="CK13" s="64">
        <f t="shared" ref="CK13:CL13" ca="1" si="131">SUM(CK14:CK30)</f>
        <v>320</v>
      </c>
      <c r="CL13" s="64">
        <f t="shared" ca="1" si="131"/>
        <v>250</v>
      </c>
      <c r="CM13" s="66">
        <f t="shared" ca="1" si="106"/>
        <v>78.125</v>
      </c>
      <c r="CN13" s="64">
        <f t="shared" ref="CN13:CO13" ca="1" si="132">SUM(CN14:CN30)</f>
        <v>0</v>
      </c>
      <c r="CO13" s="64">
        <f t="shared" ca="1" si="132"/>
        <v>0</v>
      </c>
    </row>
    <row r="14" spans="1:93" ht="24" customHeight="1" x14ac:dyDescent="0.3">
      <c r="A14" s="68">
        <v>1</v>
      </c>
      <c r="B14" s="69" t="s">
        <v>36</v>
      </c>
      <c r="C14" s="70">
        <f t="shared" ca="1" si="0"/>
        <v>63500</v>
      </c>
      <c r="D14" s="71">
        <f t="shared" ref="D14:D30" ca="1" si="133">+E14+F14</f>
        <v>63500</v>
      </c>
      <c r="E14" s="72">
        <f ca="1">IFERROR(__xludf.DUMMYFUNCTION("IMPORTRANGE(""https://docs.google.com/spreadsheets/d/1MeEWN-I1oV_STSDYn1IFDPWt_1FKiwhDph83XaGc0o0/edit?usp=sharing"",""งบพรบ!CP14"")"),0)</f>
        <v>0</v>
      </c>
      <c r="F14" s="72">
        <f ca="1">IFERROR(__xludf.DUMMYFUNCTION("IMPORTRANGE(""https://docs.google.com/spreadsheets/d/1MeEWN-I1oV_STSDYn1IFDPWt_1FKiwhDph83XaGc0o0/edit?usp=sharing"",""งบพรบ!CQ14"")"),63500)</f>
        <v>63500</v>
      </c>
      <c r="G14" s="73">
        <f ca="1">IFERROR(__xludf.DUMMYFUNCTION("IMPORTRANGE(""https://docs.google.com/spreadsheets/d/1MeEWN-I1oV_STSDYn1IFDPWt_1FKiwhDph83XaGc0o0/edit?usp=sharing"",""งบพรบ!CR14"")"),0)</f>
        <v>0</v>
      </c>
      <c r="H14" s="73">
        <f ca="1">IFERROR(__xludf.DUMMYFUNCTION("IMPORTRANGE(""https://docs.google.com/spreadsheets/d/1MeEWN-I1oV_STSDYn1IFDPWt_1FKiwhDph83XaGc0o0/edit?usp=sharing"",""งบพรบ!CT14"")"),48500)</f>
        <v>48500</v>
      </c>
      <c r="I14" s="73">
        <f ca="1">IFERROR(__xludf.DUMMYFUNCTION("IMPORTRANGE(""https://docs.google.com/spreadsheets/d/1MeEWN-I1oV_STSDYn1IFDPWt_1FKiwhDph83XaGc0o0/edit?usp=sharing"",""งบพรบ!CU14"")"),0)</f>
        <v>0</v>
      </c>
      <c r="J14" s="73">
        <f t="shared" ca="1" si="3"/>
        <v>27000</v>
      </c>
      <c r="K14" s="74">
        <f t="shared" ca="1" si="4"/>
        <v>42.519685039370081</v>
      </c>
      <c r="L14" s="73">
        <f ca="1">IFERROR(__xludf.DUMMYFUNCTION("IMPORTRANGE(""https://docs.google.com/spreadsheets/d/1MeEWN-I1oV_STSDYn1IFDPWt_1FKiwhDph83XaGc0o0/edit?usp=sharing"",""งบพรบ!CV14"")"),27000)</f>
        <v>27000</v>
      </c>
      <c r="M14" s="75">
        <f t="shared" ca="1" si="5"/>
        <v>42.519685039370081</v>
      </c>
      <c r="N14" s="75">
        <f t="shared" ca="1" si="6"/>
        <v>55.670103092783506</v>
      </c>
      <c r="O14" s="76">
        <f ca="1">IFERROR(__xludf.DUMMYFUNCTION("IMPORTRANGE(""https://docs.google.com/spreadsheets/d/1MeEWN-I1oV_STSDYn1IFDPWt_1FKiwhDph83XaGc0o0/edit?usp=sharing"",""งบพรบ!CW14"")"),0)</f>
        <v>0</v>
      </c>
      <c r="P14" s="76">
        <f t="shared" ca="1" si="108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IFERROR(__xludf.DUMMYFUNCTION("IMPORTRANGE(""https://docs.google.com/spreadsheets/d/1KxicF4apzSqm0-jIpmueT4kyZtE-Cwn5zskl7GD4loQ/edit?usp=sharing"",""กำแพงเพชร!L191"")"),6000)</f>
        <v>6000</v>
      </c>
      <c r="S14" s="73">
        <f ca="1">IFERROR(__xludf.DUMMYFUNCTION("IMPORTRANGE(""https://docs.google.com/spreadsheets/d/1KxicF4apzSqm0-jIpmueT4kyZtE-Cwn5zskl7GD4loQ/edit?usp=sharing"",""กำแพงเพชร!N191"")"),0)</f>
        <v>0</v>
      </c>
      <c r="T14" s="77">
        <f t="shared" ca="1" si="84"/>
        <v>0</v>
      </c>
      <c r="U14" s="73">
        <f ca="1">IFERROR(__xludf.DUMMYFUNCTION("IMPORTRANGE(""https://docs.google.com/spreadsheets/d/1KxicF4apzSqm0-jIpmueT4kyZtE-Cwn5zskl7GD4loQ/edit?usp=sharing"",""กำแพงเพชร!I193"")"),4)</f>
        <v>4</v>
      </c>
      <c r="V14" s="73">
        <f ca="1">IFERROR(__xludf.DUMMYFUNCTION("IMPORTRANGE(""https://docs.google.com/spreadsheets/d/1KxicF4apzSqm0-jIpmueT4kyZtE-Cwn5zskl7GD4loQ/edit?usp=sharing"",""กำแพงเพชร!J193"")"),2)</f>
        <v>2</v>
      </c>
      <c r="W14" s="77">
        <f t="shared" ca="1" si="85"/>
        <v>50</v>
      </c>
      <c r="X14" s="73">
        <f t="shared" ref="X14:X30" ca="1" si="134">Y14+Z14</f>
        <v>55</v>
      </c>
      <c r="Y14" s="73">
        <f ca="1">IFERROR(__xludf.DUMMYFUNCTION("IMPORTRANGE(""https://docs.google.com/spreadsheets/d/1KxicF4apzSqm0-jIpmueT4kyZtE-Cwn5zskl7GD4loQ/edit?usp=sharing"",""กำแพงเพชร!J195"")"),55)</f>
        <v>55</v>
      </c>
      <c r="Z14" s="73">
        <f ca="1">IFERROR(__xludf.DUMMYFUNCTION("IMPORTRANGE(""https://docs.google.com/spreadsheets/d/1KxicF4apzSqm0-jIpmueT4kyZtE-Cwn5zskl7GD4loQ/edit?usp=sharing"",""กำแพงเพชร!J196"")"),0)</f>
        <v>0</v>
      </c>
      <c r="AA14" s="73">
        <f ca="1">IFERROR(__xludf.DUMMYFUNCTION("IMPORTRANGE(""https://docs.google.com/spreadsheets/d/1KxicF4apzSqm0-jIpmueT4kyZtE-Cwn5zskl7GD4loQ/edit?usp=sharing"",""กำแพงเพชร!L199"")"),3000)</f>
        <v>3000</v>
      </c>
      <c r="AB14" s="73">
        <f ca="1">IFERROR(__xludf.DUMMYFUNCTION("IMPORTRANGE(""https://docs.google.com/spreadsheets/d/1KxicF4apzSqm0-jIpmueT4kyZtE-Cwn5zskl7GD4loQ/edit?usp=sharing"",""กำแพงเพชร!N199"")"),3000)</f>
        <v>3000</v>
      </c>
      <c r="AC14" s="77">
        <f t="shared" ca="1" si="86"/>
        <v>100</v>
      </c>
      <c r="AD14" s="73">
        <f ca="1">IFERROR(__xludf.DUMMYFUNCTION("IMPORTRANGE(""https://docs.google.com/spreadsheets/d/1KxicF4apzSqm0-jIpmueT4kyZtE-Cwn5zskl7GD4loQ/edit?usp=sharing"",""กำแพงเพชร!L200"")"),24000)</f>
        <v>24000</v>
      </c>
      <c r="AE14" s="73">
        <f ca="1">IFERROR(__xludf.DUMMYFUNCTION("IMPORTRANGE(""https://docs.google.com/spreadsheets/d/1KxicF4apzSqm0-jIpmueT4kyZtE-Cwn5zskl7GD4loQ/edit?usp=sharing"",""กำแพงเพชร!N200"")"),24000)</f>
        <v>24000</v>
      </c>
      <c r="AF14" s="77">
        <f t="shared" ca="1" si="87"/>
        <v>100</v>
      </c>
      <c r="AG14" s="73">
        <f ca="1">IFERROR(__xludf.DUMMYFUNCTION("IMPORTRANGE(""https://docs.google.com/spreadsheets/d/1KxicF4apzSqm0-jIpmueT4kyZtE-Cwn5zskl7GD4loQ/edit?usp=sharing"",""กำแพงเพชร!L201"")"),12000)</f>
        <v>12000</v>
      </c>
      <c r="AH14" s="73">
        <f ca="1">IFERROR(__xludf.DUMMYFUNCTION("IMPORTRANGE(""https://docs.google.com/spreadsheets/d/1KxicF4apzSqm0-jIpmueT4kyZtE-Cwn5zskl7GD4loQ/edit?usp=sharing"",""กำแพงเพชร!N201"")"),0)</f>
        <v>0</v>
      </c>
      <c r="AI14" s="77">
        <f t="shared" ca="1" si="88"/>
        <v>0</v>
      </c>
      <c r="AJ14" s="73">
        <f ca="1">IFERROR(__xludf.DUMMYFUNCTION("IMPORTRANGE(""https://docs.google.com/spreadsheets/d/1KxicF4apzSqm0-jIpmueT4kyZtE-Cwn5zskl7GD4loQ/edit?usp=sharing"",""กำแพงเพชร!L202"")"),0)</f>
        <v>0</v>
      </c>
      <c r="AK14" s="73">
        <f ca="1">IFERROR(__xludf.DUMMYFUNCTION("IMPORTRANGE(""https://docs.google.com/spreadsheets/d/1KxicF4apzSqm0-jIpmueT4kyZtE-Cwn5zskl7GD4loQ/edit?usp=sharing"",""กำแพงเพชร!N202"")"),0)</f>
        <v>0</v>
      </c>
      <c r="AL14" s="77">
        <f t="shared" ca="1" si="89"/>
        <v>0</v>
      </c>
      <c r="AM14" s="73">
        <f ca="1">IFERROR(__xludf.DUMMYFUNCTION("IMPORTRANGE(""https://docs.google.com/spreadsheets/d/1KxicF4apzSqm0-jIpmueT4kyZtE-Cwn5zskl7GD4loQ/edit?usp=sharing"",""กำแพงเพชร!I204"")"),3)</f>
        <v>3</v>
      </c>
      <c r="AN14" s="73">
        <f ca="1">IFERROR(__xludf.DUMMYFUNCTION("IMPORTRANGE(""https://docs.google.com/spreadsheets/d/1KxicF4apzSqm0-jIpmueT4kyZtE-Cwn5zskl7GD4loQ/edit?usp=sharing"",""กำแพงเพชร!J204"")"),3)</f>
        <v>3</v>
      </c>
      <c r="AO14" s="77">
        <f t="shared" ca="1" si="90"/>
        <v>100</v>
      </c>
      <c r="AP14" s="298">
        <f ca="1">IFERROR(__xludf.DUMMYFUNCTION("IMPORTRANGE(""https://docs.google.com/spreadsheets/d/1KxicF4apzSqm0-jIpmueT4kyZtE-Cwn5zskl7GD4loQ/edit?usp=sharing"",""กำแพงเพชร!J206"")"),0)</f>
        <v>0</v>
      </c>
      <c r="AQ14" s="298">
        <f ca="1">IFERROR(__xludf.DUMMYFUNCTION("IMPORTRANGE(""https://docs.google.com/spreadsheets/d/1KxicF4apzSqm0-jIpmueT4kyZtE-Cwn5zskl7GD4loQ/edit?usp=sharing"",""กำแพงเพชร!J207"")"),0)</f>
        <v>0</v>
      </c>
      <c r="AR14" s="73">
        <f ca="1">IFERROR(__xludf.DUMMYFUNCTION("IMPORTRANGE(""https://docs.google.com/spreadsheets/d/1KxicF4apzSqm0-jIpmueT4kyZtE-Cwn5zskl7GD4loQ/edit?usp=sharing"",""กำแพงเพชร!L210"")"),0)</f>
        <v>0</v>
      </c>
      <c r="AS14" s="73">
        <f ca="1">IFERROR(__xludf.DUMMYFUNCTION("IMPORTRANGE(""https://docs.google.com/spreadsheets/d/1KxicF4apzSqm0-jIpmueT4kyZtE-Cwn5zskl7GD4loQ/edit?usp=sharing"",""กำแพงเพชร!N210"")"),0)</f>
        <v>0</v>
      </c>
      <c r="AT14" s="77">
        <f t="shared" ca="1" si="91"/>
        <v>0</v>
      </c>
      <c r="AU14" s="73">
        <f ca="1">IFERROR(__xludf.DUMMYFUNCTION("IMPORTRANGE(""https://docs.google.com/spreadsheets/d/1KxicF4apzSqm0-jIpmueT4kyZtE-Cwn5zskl7GD4loQ/edit?usp=sharing"",""กำแพงเพชร!L211"")"),0)</f>
        <v>0</v>
      </c>
      <c r="AV14" s="73">
        <f ca="1">IFERROR(__xludf.DUMMYFUNCTION("IMPORTRANGE(""https://docs.google.com/spreadsheets/d/1KxicF4apzSqm0-jIpmueT4kyZtE-Cwn5zskl7GD4loQ/edit?usp=sharing"",""กำแพงเพชร!N211"")"),0)</f>
        <v>0</v>
      </c>
      <c r="AW14" s="77">
        <f t="shared" ca="1" si="92"/>
        <v>0</v>
      </c>
      <c r="AX14" s="73">
        <f ca="1">IFERROR(__xludf.DUMMYFUNCTION("IMPORTRANGE(""https://docs.google.com/spreadsheets/d/1KxicF4apzSqm0-jIpmueT4kyZtE-Cwn5zskl7GD4loQ/edit?usp=sharing"",""กำแพงเพชร!L212"")"),0)</f>
        <v>0</v>
      </c>
      <c r="AY14" s="73">
        <f ca="1">IFERROR(__xludf.DUMMYFUNCTION("IMPORTRANGE(""https://docs.google.com/spreadsheets/d/1KxicF4apzSqm0-jIpmueT4kyZtE-Cwn5zskl7GD4loQ/edit?usp=sharing"",""กำแพงเพชร!N212"")"),0)</f>
        <v>0</v>
      </c>
      <c r="AZ14" s="77">
        <f t="shared" ca="1" si="93"/>
        <v>0</v>
      </c>
      <c r="BA14" s="73">
        <f ca="1">IFERROR(__xludf.DUMMYFUNCTION("IMPORTRANGE(""https://docs.google.com/spreadsheets/d/1KxicF4apzSqm0-jIpmueT4kyZtE-Cwn5zskl7GD4loQ/edit?usp=sharing"",""กำแพงเพชร!I214"")"),0)</f>
        <v>0</v>
      </c>
      <c r="BB14" s="73">
        <f ca="1">IFERROR(__xludf.DUMMYFUNCTION("IMPORTRANGE(""https://docs.google.com/spreadsheets/d/1KxicF4apzSqm0-jIpmueT4kyZtE-Cwn5zskl7GD4loQ/edit?usp=sharing"",""กำแพงเพชร!J214"")"),0)</f>
        <v>0</v>
      </c>
      <c r="BC14" s="77">
        <f t="shared" ca="1" si="94"/>
        <v>0</v>
      </c>
      <c r="BD14" s="73">
        <f ca="1">IFERROR(__xludf.DUMMYFUNCTION("IMPORTRANGE(""https://docs.google.com/spreadsheets/d/1KxicF4apzSqm0-jIpmueT4kyZtE-Cwn5zskl7GD4loQ/edit?usp=sharing"",""กำแพงเพชร!I215"")"),0)</f>
        <v>0</v>
      </c>
      <c r="BE14" s="73">
        <f ca="1">IFERROR(__xludf.DUMMYFUNCTION("IMPORTRANGE(""https://docs.google.com/spreadsheets/d/1KxicF4apzSqm0-jIpmueT4kyZtE-Cwn5zskl7GD4loQ/edit?usp=sharing"",""กำแพงเพชร!J215"")"),0)</f>
        <v>0</v>
      </c>
      <c r="BF14" s="77">
        <f t="shared" ca="1" si="95"/>
        <v>0</v>
      </c>
      <c r="BG14" s="73">
        <f ca="1">IFERROR(__xludf.DUMMYFUNCTION("IMPORTRANGE(""https://docs.google.com/spreadsheets/d/1KxicF4apzSqm0-jIpmueT4kyZtE-Cwn5zskl7GD4loQ/edit?usp=sharing"",""กำแพงเพชร!L218"")"),5000)</f>
        <v>5000</v>
      </c>
      <c r="BH14" s="73">
        <f ca="1">IFERROR(__xludf.DUMMYFUNCTION("IMPORTRANGE(""https://docs.google.com/spreadsheets/d/1KxicF4apzSqm0-jIpmueT4kyZtE-Cwn5zskl7GD4loQ/edit?usp=sharing"",""กำแพงเพชร!N218"")"),0)</f>
        <v>0</v>
      </c>
      <c r="BI14" s="77">
        <f t="shared" ca="1" si="96"/>
        <v>0</v>
      </c>
      <c r="BJ14" s="73">
        <f ca="1">IFERROR(__xludf.DUMMYFUNCTION("IMPORTRANGE(""https://docs.google.com/spreadsheets/d/1KxicF4apzSqm0-jIpmueT4kyZtE-Cwn5zskl7GD4loQ/edit?usp=sharing"",""กำแพงเพชร!L219"")"),13500)</f>
        <v>13500</v>
      </c>
      <c r="BK14" s="73">
        <f ca="1">IFERROR(__xludf.DUMMYFUNCTION("IMPORTRANGE(""https://docs.google.com/spreadsheets/d/1KxicF4apzSqm0-jIpmueT4kyZtE-Cwn5zskl7GD4loQ/edit?usp=sharing"",""กำแพงเพชร!N219"")"),0)</f>
        <v>0</v>
      </c>
      <c r="BL14" s="77">
        <f t="shared" ca="1" si="97"/>
        <v>0</v>
      </c>
      <c r="BM14" s="73">
        <f ca="1">IFERROR(__xludf.DUMMYFUNCTION("IMPORTRANGE(""https://docs.google.com/spreadsheets/d/1KxicF4apzSqm0-jIpmueT4kyZtE-Cwn5zskl7GD4loQ/edit?usp=sharing"",""กำแพงเพชร!L220"")"),0)</f>
        <v>0</v>
      </c>
      <c r="BN14" s="73">
        <f ca="1">IFERROR(__xludf.DUMMYFUNCTION("IMPORTRANGE(""https://docs.google.com/spreadsheets/d/1KxicF4apzSqm0-jIpmueT4kyZtE-Cwn5zskl7GD4loQ/edit?usp=sharing"",""กำแพงเพชร!N220"")"),0)</f>
        <v>0</v>
      </c>
      <c r="BO14" s="77">
        <f t="shared" ca="1" si="98"/>
        <v>0</v>
      </c>
      <c r="BP14" s="73">
        <f ca="1">IFERROR(__xludf.DUMMYFUNCTION("IMPORTRANGE(""https://docs.google.com/spreadsheets/d/1KxicF4apzSqm0-jIpmueT4kyZtE-Cwn5zskl7GD4loQ/edit?usp=sharing"",""กำแพงเพชร!I223"")"),50000)</f>
        <v>50000</v>
      </c>
      <c r="BQ14" s="73">
        <f ca="1">IFERROR(__xludf.DUMMYFUNCTION("IMPORTRANGE(""https://docs.google.com/spreadsheets/d/1KxicF4apzSqm0-jIpmueT4kyZtE-Cwn5zskl7GD4loQ/edit?usp=sharing"",""กำแพงเพชร!J223"")"),0)</f>
        <v>0</v>
      </c>
      <c r="BR14" s="77">
        <f t="shared" ca="1" si="99"/>
        <v>0</v>
      </c>
      <c r="BS14" s="73">
        <f ca="1">IFERROR(__xludf.DUMMYFUNCTION("IMPORTRANGE(""https://docs.google.com/spreadsheets/d/1KxicF4apzSqm0-jIpmueT4kyZtE-Cwn5zskl7GD4loQ/edit?usp=sharing"",""กำแพงเพชร!I224"")"),50000)</f>
        <v>50000</v>
      </c>
      <c r="BT14" s="73">
        <f ca="1">IFERROR(__xludf.DUMMYFUNCTION("IMPORTRANGE(""https://docs.google.com/spreadsheets/d/1KxicF4apzSqm0-jIpmueT4kyZtE-Cwn5zskl7GD4loQ/edit?usp=sharing"",""กำแพงเพชร!J224"")"),0)</f>
        <v>0</v>
      </c>
      <c r="BU14" s="77">
        <f t="shared" ca="1" si="100"/>
        <v>0</v>
      </c>
      <c r="BV14" s="73">
        <f ca="1">IFERROR(__xludf.DUMMYFUNCTION("IMPORTRANGE(""https://docs.google.com/spreadsheets/d/1KxicF4apzSqm0-jIpmueT4kyZtE-Cwn5zskl7GD4loQ/edit?usp=sharing"",""กำแพงเพชร!I225"")"),0)</f>
        <v>0</v>
      </c>
      <c r="BW14" s="73">
        <f ca="1">IFERROR(__xludf.DUMMYFUNCTION("IMPORTRANGE(""https://docs.google.com/spreadsheets/d/1KxicF4apzSqm0-jIpmueT4kyZtE-Cwn5zskl7GD4loQ/edit?usp=sharing"",""กำแพงเพชร!J225"")"),0)</f>
        <v>0</v>
      </c>
      <c r="BX14" s="77">
        <f t="shared" ca="1" si="101"/>
        <v>0</v>
      </c>
      <c r="BY14" s="73">
        <f ca="1">IFERROR(__xludf.DUMMYFUNCTION("IMPORTRANGE(""https://docs.google.com/spreadsheets/d/1KxicF4apzSqm0-jIpmueT4kyZtE-Cwn5zskl7GD4loQ/edit?usp=sharing"",""กำแพงเพชร!L228"")"),0)</f>
        <v>0</v>
      </c>
      <c r="BZ14" s="73">
        <f ca="1">IFERROR(__xludf.DUMMYFUNCTION("IMPORTRANGE(""https://docs.google.com/spreadsheets/d/1KxicF4apzSqm0-jIpmueT4kyZtE-Cwn5zskl7GD4loQ/edit?usp=sharing"",""กำแพงเพชร!N228"")"),0)</f>
        <v>0</v>
      </c>
      <c r="CA14" s="77">
        <f t="shared" ca="1" si="102"/>
        <v>0</v>
      </c>
      <c r="CB14" s="73">
        <f ca="1">IFERROR(__xludf.DUMMYFUNCTION("IMPORTRANGE(""https://docs.google.com/spreadsheets/d/1KxicF4apzSqm0-jIpmueT4kyZtE-Cwn5zskl7GD4loQ/edit?usp=sharing"",""กำแพงเพชร!L229"")"),0)</f>
        <v>0</v>
      </c>
      <c r="CC14" s="73">
        <f ca="1">IFERROR(__xludf.DUMMYFUNCTION("IMPORTRANGE(""https://docs.google.com/spreadsheets/d/1KxicF4apzSqm0-jIpmueT4kyZtE-Cwn5zskl7GD4loQ/edit?usp=sharing"",""กำแพงเพชร!N229"")"),0)</f>
        <v>0</v>
      </c>
      <c r="CD14" s="77">
        <f t="shared" ca="1" si="103"/>
        <v>0</v>
      </c>
      <c r="CE14" s="73">
        <f ca="1">IFERROR(__xludf.DUMMYFUNCTION("IMPORTRANGE(""https://docs.google.com/spreadsheets/d/1KxicF4apzSqm0-jIpmueT4kyZtE-Cwn5zskl7GD4loQ/edit?usp=sharing"",""กำแพงเพชร!L230"")"),0)</f>
        <v>0</v>
      </c>
      <c r="CF14" s="73">
        <f ca="1">IFERROR(__xludf.DUMMYFUNCTION("IMPORTRANGE(""https://docs.google.com/spreadsheets/d/1KxicF4apzSqm0-jIpmueT4kyZtE-Cwn5zskl7GD4loQ/edit?usp=sharing"",""กำแพงเพชร!N230"")"),0)</f>
        <v>0</v>
      </c>
      <c r="CG14" s="77">
        <f t="shared" ca="1" si="104"/>
        <v>0</v>
      </c>
      <c r="CH14" s="73">
        <f ca="1">IFERROR(__xludf.DUMMYFUNCTION("IMPORTRANGE(""https://docs.google.com/spreadsheets/d/1KxicF4apzSqm0-jIpmueT4kyZtE-Cwn5zskl7GD4loQ/edit?usp=sharing"",""กำแพงเพชร!L231"")"),0)</f>
        <v>0</v>
      </c>
      <c r="CI14" s="73">
        <f ca="1">IFERROR(__xludf.DUMMYFUNCTION("IMPORTRANGE(""https://docs.google.com/spreadsheets/d/1KxicF4apzSqm0-jIpmueT4kyZtE-Cwn5zskl7GD4loQ/edit?usp=sharing"",""กำแพงเพชร!N231"")"),0)</f>
        <v>0</v>
      </c>
      <c r="CJ14" s="77">
        <f t="shared" ca="1" si="105"/>
        <v>0</v>
      </c>
      <c r="CK14" s="73">
        <f ca="1">IFERROR(__xludf.DUMMYFUNCTION("IMPORTRANGE(""https://docs.google.com/spreadsheets/d/1KxicF4apzSqm0-jIpmueT4kyZtE-Cwn5zskl7GD4loQ/edit?usp=sharing"",""กำแพงเพชร!I233"")"),0)</f>
        <v>0</v>
      </c>
      <c r="CL14" s="73">
        <f ca="1">IFERROR(__xludf.DUMMYFUNCTION("IMPORTRANGE(""https://docs.google.com/spreadsheets/d/1KxicF4apzSqm0-jIpmueT4kyZtE-Cwn5zskl7GD4loQ/edit?usp=sharing"",""กำแพงเพชร!J233"")"),0)</f>
        <v>0</v>
      </c>
      <c r="CM14" s="77">
        <f t="shared" ca="1" si="106"/>
        <v>0</v>
      </c>
      <c r="CN14" s="73">
        <f ca="1">IFERROR(__xludf.DUMMYFUNCTION("IMPORTRANGE(""https://docs.google.com/spreadsheets/d/1KxicF4apzSqm0-jIpmueT4kyZtE-Cwn5zskl7GD4loQ/edit?usp=sharing"",""กำแพงเพชร!J235"")"),0)</f>
        <v>0</v>
      </c>
      <c r="CO14" s="73">
        <f ca="1">IFERROR(__xludf.DUMMYFUNCTION("IMPORTRANGE(""https://docs.google.com/spreadsheets/d/1KxicF4apzSqm0-jIpmueT4kyZtE-Cwn5zskl7GD4loQ/edit?usp=sharing"",""กำแพงเพชร!J236"")"),0)</f>
        <v>0</v>
      </c>
    </row>
    <row r="15" spans="1:93" ht="24" customHeight="1" x14ac:dyDescent="0.3">
      <c r="A15" s="78">
        <v>2</v>
      </c>
      <c r="B15" s="79" t="s">
        <v>37</v>
      </c>
      <c r="C15" s="80">
        <f t="shared" ca="1" si="0"/>
        <v>612200</v>
      </c>
      <c r="D15" s="81">
        <f t="shared" ca="1" si="133"/>
        <v>612200</v>
      </c>
      <c r="E15" s="82">
        <f ca="1">IFERROR(__xludf.DUMMYFUNCTION("IMPORTRANGE(""https://docs.google.com/spreadsheets/d/1MeEWN-I1oV_STSDYn1IFDPWt_1FKiwhDph83XaGc0o0/edit?usp=sharing"",""งบพรบ!CP15"")"),512700)</f>
        <v>512700</v>
      </c>
      <c r="F15" s="82">
        <f ca="1">IFERROR(__xludf.DUMMYFUNCTION("IMPORTRANGE(""https://docs.google.com/spreadsheets/d/1MeEWN-I1oV_STSDYn1IFDPWt_1FKiwhDph83XaGc0o0/edit?usp=sharing"",""งบพรบ!CQ15"")"),99500)</f>
        <v>99500</v>
      </c>
      <c r="G15" s="82">
        <f ca="1">IFERROR(__xludf.DUMMYFUNCTION("IMPORTRANGE(""https://docs.google.com/spreadsheets/d/1MeEWN-I1oV_STSDYn1IFDPWt_1FKiwhDph83XaGc0o0/edit?usp=sharing"",""งบพรบ!CR15"")"),0)</f>
        <v>0</v>
      </c>
      <c r="H15" s="82">
        <f ca="1">IFERROR(__xludf.DUMMYFUNCTION("IMPORTRANGE(""https://docs.google.com/spreadsheets/d/1MeEWN-I1oV_STSDYn1IFDPWt_1FKiwhDph83XaGc0o0/edit?usp=sharing"",""งบพรบ!CT15"")"),469025)</f>
        <v>469025</v>
      </c>
      <c r="I15" s="82">
        <f ca="1">IFERROR(__xludf.DUMMYFUNCTION("IMPORTRANGE(""https://docs.google.com/spreadsheets/d/1MeEWN-I1oV_STSDYn1IFDPWt_1FKiwhDph83XaGc0o0/edit?usp=sharing"",""งบพรบ!CU15"")"),0)</f>
        <v>0</v>
      </c>
      <c r="J15" s="82">
        <f t="shared" ca="1" si="3"/>
        <v>267169.59999999998</v>
      </c>
      <c r="K15" s="83">
        <f t="shared" ca="1" si="4"/>
        <v>43.640901666122176</v>
      </c>
      <c r="L15" s="82">
        <f ca="1">IFERROR(__xludf.DUMMYFUNCTION("IMPORTRANGE(""https://docs.google.com/spreadsheets/d/1MeEWN-I1oV_STSDYn1IFDPWt_1FKiwhDph83XaGc0o0/edit?usp=sharing"",""งบพรบ!CV15"")"),267169.6)</f>
        <v>267169.59999999998</v>
      </c>
      <c r="M15" s="84">
        <f t="shared" ca="1" si="5"/>
        <v>43.640901666122176</v>
      </c>
      <c r="N15" s="84">
        <f t="shared" ca="1" si="6"/>
        <v>56.96276317893502</v>
      </c>
      <c r="O15" s="85">
        <f ca="1">IFERROR(__xludf.DUMMYFUNCTION("IMPORTRANGE(""https://docs.google.com/spreadsheets/d/1MeEWN-I1oV_STSDYn1IFDPWt_1FKiwhDph83XaGc0o0/edit?usp=sharing"",""งบพรบ!CW15"")"),0)</f>
        <v>0</v>
      </c>
      <c r="P15" s="85">
        <f t="shared" ca="1" si="108"/>
        <v>0</v>
      </c>
      <c r="Q15" s="84">
        <f t="shared" ca="1" si="8"/>
        <v>0</v>
      </c>
      <c r="R15" s="86">
        <f ca="1">IFERROR(__xludf.DUMMYFUNCTION("IMPORTRANGE(""https://docs.google.com/spreadsheets/d/1ZNYWeiFoFA1K1U4xKWqRX29MBvEyRHXORjo734Gnq_c/edit?usp=sharing"",""เชียงราย!L191"")"),6000)</f>
        <v>6000</v>
      </c>
      <c r="S15" s="86">
        <f ca="1">IFERROR(__xludf.DUMMYFUNCTION("IMPORTRANGE(""https://docs.google.com/spreadsheets/d/1ZNYWeiFoFA1K1U4xKWqRX29MBvEyRHXORjo734Gnq_c/edit?usp=sharing"",""เชียงราย!N191"")"),120)</f>
        <v>120</v>
      </c>
      <c r="T15" s="87">
        <f t="shared" ca="1" si="84"/>
        <v>2</v>
      </c>
      <c r="U15" s="86">
        <f ca="1">IFERROR(__xludf.DUMMYFUNCTION("IMPORTRANGE(""https://docs.google.com/spreadsheets/d/1ZNYWeiFoFA1K1U4xKWqRX29MBvEyRHXORjo734Gnq_c/edit?usp=sharing"",""เชียงราย!I193"")"),4)</f>
        <v>4</v>
      </c>
      <c r="V15" s="86">
        <f ca="1">IFERROR(__xludf.DUMMYFUNCTION("IMPORTRANGE(""https://docs.google.com/spreadsheets/d/1ZNYWeiFoFA1K1U4xKWqRX29MBvEyRHXORjo734Gnq_c/edit?usp=sharing"",""เชียงราย!J193"")"),1)</f>
        <v>1</v>
      </c>
      <c r="W15" s="87">
        <f t="shared" ca="1" si="85"/>
        <v>25</v>
      </c>
      <c r="X15" s="86">
        <f t="shared" ca="1" si="134"/>
        <v>20</v>
      </c>
      <c r="Y15" s="86">
        <f ca="1">IFERROR(__xludf.DUMMYFUNCTION("IMPORTRANGE(""https://docs.google.com/spreadsheets/d/1ZNYWeiFoFA1K1U4xKWqRX29MBvEyRHXORjo734Gnq_c/edit?usp=sharing"",""เชียงราย!J195"")"),20)</f>
        <v>20</v>
      </c>
      <c r="Z15" s="86">
        <f ca="1">IFERROR(__xludf.DUMMYFUNCTION("IMPORTRANGE(""https://docs.google.com/spreadsheets/d/1ZNYWeiFoFA1K1U4xKWqRX29MBvEyRHXORjo734Gnq_c/edit?usp=sharing"",""เชียงราย!J196"")"),0)</f>
        <v>0</v>
      </c>
      <c r="AA15" s="86">
        <f ca="1">IFERROR(__xludf.DUMMYFUNCTION("IMPORTRANGE(""https://docs.google.com/spreadsheets/d/1ZNYWeiFoFA1K1U4xKWqRX29MBvEyRHXORjo734Gnq_c/edit?usp=sharing"",""เชียงราย!L199"")"),5000)</f>
        <v>5000</v>
      </c>
      <c r="AB15" s="86">
        <f ca="1">IFERROR(__xludf.DUMMYFUNCTION("IMPORTRANGE(""https://docs.google.com/spreadsheets/d/1ZNYWeiFoFA1K1U4xKWqRX29MBvEyRHXORjo734Gnq_c/edit?usp=sharing"",""เชียงราย!N199"")"),0)</f>
        <v>0</v>
      </c>
      <c r="AC15" s="87">
        <f t="shared" ca="1" si="86"/>
        <v>0</v>
      </c>
      <c r="AD15" s="86">
        <f ca="1">IFERROR(__xludf.DUMMYFUNCTION("IMPORTRANGE(""https://docs.google.com/spreadsheets/d/1ZNYWeiFoFA1K1U4xKWqRX29MBvEyRHXORjo734Gnq_c/edit?usp=sharing"",""เชียงราย!L200"")"),40000)</f>
        <v>40000</v>
      </c>
      <c r="AE15" s="86">
        <f ca="1">IFERROR(__xludf.DUMMYFUNCTION("IMPORTRANGE(""https://docs.google.com/spreadsheets/d/1ZNYWeiFoFA1K1U4xKWqRX29MBvEyRHXORjo734Gnq_c/edit?usp=sharing"",""เชียงราย!N200"")"),33670)</f>
        <v>33670</v>
      </c>
      <c r="AF15" s="87">
        <f t="shared" ca="1" si="87"/>
        <v>84.174999999999997</v>
      </c>
      <c r="AG15" s="86">
        <f ca="1">IFERROR(__xludf.DUMMYFUNCTION("IMPORTRANGE(""https://docs.google.com/spreadsheets/d/1ZNYWeiFoFA1K1U4xKWqRX29MBvEyRHXORjo734Gnq_c/edit?usp=sharing"",""เชียงราย!L201"")"),20000)</f>
        <v>20000</v>
      </c>
      <c r="AH15" s="86">
        <f ca="1">IFERROR(__xludf.DUMMYFUNCTION("IMPORTRANGE(""https://docs.google.com/spreadsheets/d/1ZNYWeiFoFA1K1U4xKWqRX29MBvEyRHXORjo734Gnq_c/edit?usp=sharing"",""เชียงราย!N201"")"),0)</f>
        <v>0</v>
      </c>
      <c r="AI15" s="87">
        <f t="shared" ca="1" si="88"/>
        <v>0</v>
      </c>
      <c r="AJ15" s="86">
        <f ca="1">IFERROR(__xludf.DUMMYFUNCTION("IMPORTRANGE(""https://docs.google.com/spreadsheets/d/1ZNYWeiFoFA1K1U4xKWqRX29MBvEyRHXORjo734Gnq_c/edit?usp=sharing"",""เชียงราย!L202"")"),0)</f>
        <v>0</v>
      </c>
      <c r="AK15" s="86">
        <f ca="1">IFERROR(__xludf.DUMMYFUNCTION("IMPORTRANGE(""https://docs.google.com/spreadsheets/d/1ZNYWeiFoFA1K1U4xKWqRX29MBvEyRHXORjo734Gnq_c/edit?usp=sharing"",""เชียงราย!N202"")"),0)</f>
        <v>0</v>
      </c>
      <c r="AL15" s="87">
        <f t="shared" ca="1" si="89"/>
        <v>0</v>
      </c>
      <c r="AM15" s="86">
        <f ca="1">IFERROR(__xludf.DUMMYFUNCTION("IMPORTRANGE(""https://docs.google.com/spreadsheets/d/1ZNYWeiFoFA1K1U4xKWqRX29MBvEyRHXORjo734Gnq_c/edit?usp=sharing"",""เชียงราย!I204"")"),5)</f>
        <v>5</v>
      </c>
      <c r="AN15" s="86">
        <f ca="1">IFERROR(__xludf.DUMMYFUNCTION("IMPORTRANGE(""https://docs.google.com/spreadsheets/d/1ZNYWeiFoFA1K1U4xKWqRX29MBvEyRHXORjo734Gnq_c/edit?usp=sharing"",""เชียงราย!J204"")"),5)</f>
        <v>5</v>
      </c>
      <c r="AO15" s="87">
        <f t="shared" ca="1" si="90"/>
        <v>100</v>
      </c>
      <c r="AP15" s="298">
        <f ca="1">IFERROR(__xludf.DUMMYFUNCTION("IMPORTRANGE(""https://docs.google.com/spreadsheets/d/1ZNYWeiFoFA1K1U4xKWqRX29MBvEyRHXORjo734Gnq_c/edit?usp=sharing"",""เชียงราย!J206"")"),5)</f>
        <v>5</v>
      </c>
      <c r="AQ15" s="298">
        <f ca="1">IFERROR(__xludf.DUMMYFUNCTION("IMPORTRANGE(""https://docs.google.com/spreadsheets/d/1ZNYWeiFoFA1K1U4xKWqRX29MBvEyRHXORjo734Gnq_c/edit?usp=sharing"",""เชียงราย!J207"")"),0)</f>
        <v>0</v>
      </c>
      <c r="AR15" s="86">
        <f ca="1">IFERROR(__xludf.DUMMYFUNCTION("IMPORTRANGE(""https://docs.google.com/spreadsheets/d/1ZNYWeiFoFA1K1U4xKWqRX29MBvEyRHXORjo734Gnq_c/edit?usp=sharing"",""เชียงราย!L210"")"),0)</f>
        <v>0</v>
      </c>
      <c r="AS15" s="86">
        <f ca="1">IFERROR(__xludf.DUMMYFUNCTION("IMPORTRANGE(""https://docs.google.com/spreadsheets/d/1ZNYWeiFoFA1K1U4xKWqRX29MBvEyRHXORjo734Gnq_c/edit?usp=sharing"",""เชียงราย!N210"")"),0)</f>
        <v>0</v>
      </c>
      <c r="AT15" s="87">
        <f t="shared" ca="1" si="91"/>
        <v>0</v>
      </c>
      <c r="AU15" s="86">
        <f ca="1">IFERROR(__xludf.DUMMYFUNCTION("IMPORTRANGE(""https://docs.google.com/spreadsheets/d/1ZNYWeiFoFA1K1U4xKWqRX29MBvEyRHXORjo734Gnq_c/edit?usp=sharing"",""เชียงราย!L211"")"),0)</f>
        <v>0</v>
      </c>
      <c r="AV15" s="86">
        <f ca="1">IFERROR(__xludf.DUMMYFUNCTION("IMPORTRANGE(""https://docs.google.com/spreadsheets/d/1ZNYWeiFoFA1K1U4xKWqRX29MBvEyRHXORjo734Gnq_c/edit?usp=sharing"",""เชียงราย!N211"")"),0)</f>
        <v>0</v>
      </c>
      <c r="AW15" s="87">
        <f t="shared" ca="1" si="92"/>
        <v>0</v>
      </c>
      <c r="AX15" s="86">
        <f ca="1">IFERROR(__xludf.DUMMYFUNCTION("IMPORTRANGE(""https://docs.google.com/spreadsheets/d/1ZNYWeiFoFA1K1U4xKWqRX29MBvEyRHXORjo734Gnq_c/edit?usp=sharing"",""เชียงราย!L212"")"),0)</f>
        <v>0</v>
      </c>
      <c r="AY15" s="86">
        <f ca="1">IFERROR(__xludf.DUMMYFUNCTION("IMPORTRANGE(""https://docs.google.com/spreadsheets/d/1ZNYWeiFoFA1K1U4xKWqRX29MBvEyRHXORjo734Gnq_c/edit?usp=sharing"",""เชียงราย!N212"")"),0)</f>
        <v>0</v>
      </c>
      <c r="AZ15" s="87">
        <f t="shared" ca="1" si="93"/>
        <v>0</v>
      </c>
      <c r="BA15" s="86">
        <f ca="1">IFERROR(__xludf.DUMMYFUNCTION("IMPORTRANGE(""https://docs.google.com/spreadsheets/d/1ZNYWeiFoFA1K1U4xKWqRX29MBvEyRHXORjo734Gnq_c/edit?usp=sharing"",""เชียงราย!I214"")"),0)</f>
        <v>0</v>
      </c>
      <c r="BB15" s="86">
        <f ca="1">IFERROR(__xludf.DUMMYFUNCTION("IMPORTRANGE(""https://docs.google.com/spreadsheets/d/1ZNYWeiFoFA1K1U4xKWqRX29MBvEyRHXORjo734Gnq_c/edit?usp=sharing"",""เชียงราย!J214"")"),0)</f>
        <v>0</v>
      </c>
      <c r="BC15" s="87">
        <f t="shared" ca="1" si="94"/>
        <v>0</v>
      </c>
      <c r="BD15" s="86">
        <f ca="1">IFERROR(__xludf.DUMMYFUNCTION("IMPORTRANGE(""https://docs.google.com/spreadsheets/d/1ZNYWeiFoFA1K1U4xKWqRX29MBvEyRHXORjo734Gnq_c/edit?usp=sharing"",""เชียงราย!I215"")"),0)</f>
        <v>0</v>
      </c>
      <c r="BE15" s="86">
        <f ca="1">IFERROR(__xludf.DUMMYFUNCTION("IMPORTRANGE(""https://docs.google.com/spreadsheets/d/1ZNYWeiFoFA1K1U4xKWqRX29MBvEyRHXORjo734Gnq_c/edit?usp=sharing"",""เชียงราย!J215"")"),0)</f>
        <v>0</v>
      </c>
      <c r="BF15" s="87">
        <f t="shared" ca="1" si="95"/>
        <v>0</v>
      </c>
      <c r="BG15" s="86">
        <f ca="1">IFERROR(__xludf.DUMMYFUNCTION("IMPORTRANGE(""https://docs.google.com/spreadsheets/d/1ZNYWeiFoFA1K1U4xKWqRX29MBvEyRHXORjo734Gnq_c/edit?usp=sharing"",""เชียงราย!L218"")"),5000)</f>
        <v>5000</v>
      </c>
      <c r="BH15" s="86">
        <f ca="1">IFERROR(__xludf.DUMMYFUNCTION("IMPORTRANGE(""https://docs.google.com/spreadsheets/d/1ZNYWeiFoFA1K1U4xKWqRX29MBvEyRHXORjo734Gnq_c/edit?usp=sharing"",""เชียงราย!N218"")"),0)</f>
        <v>0</v>
      </c>
      <c r="BI15" s="87">
        <f t="shared" ca="1" si="96"/>
        <v>0</v>
      </c>
      <c r="BJ15" s="86">
        <f ca="1">IFERROR(__xludf.DUMMYFUNCTION("IMPORTRANGE(""https://docs.google.com/spreadsheets/d/1ZNYWeiFoFA1K1U4xKWqRX29MBvEyRHXORjo734Gnq_c/edit?usp=sharing"",""เชียงราย!L219"")"),13500)</f>
        <v>13500</v>
      </c>
      <c r="BK15" s="86" t="str">
        <f ca="1">IFERROR(__xludf.DUMMYFUNCTION("IMPORTRANGE(""https://docs.google.com/spreadsheets/d/1ZNYWeiFoFA1K1U4xKWqRX29MBvEyRHXORjo734Gnq_c/edit?usp=sharing"",""เชียงราย!N219"")"),"")</f>
        <v/>
      </c>
      <c r="BL15" s="87" t="e">
        <f t="shared" ca="1" si="97"/>
        <v>#VALUE!</v>
      </c>
      <c r="BM15" s="86">
        <f ca="1">IFERROR(__xludf.DUMMYFUNCTION("IMPORTRANGE(""https://docs.google.com/spreadsheets/d/1ZNYWeiFoFA1K1U4xKWqRX29MBvEyRHXORjo734Gnq_c/edit?usp=sharing"",""เชียงราย!L220"")"),10000)</f>
        <v>10000</v>
      </c>
      <c r="BN15" s="86">
        <f ca="1">IFERROR(__xludf.DUMMYFUNCTION("IMPORTRANGE(""https://docs.google.com/spreadsheets/d/1ZNYWeiFoFA1K1U4xKWqRX29MBvEyRHXORjo734Gnq_c/edit?usp=sharing"",""เชียงราย!N220"")"),9995)</f>
        <v>9995</v>
      </c>
      <c r="BO15" s="87">
        <f t="shared" ca="1" si="98"/>
        <v>99.95</v>
      </c>
      <c r="BP15" s="86">
        <f ca="1">IFERROR(__xludf.DUMMYFUNCTION("IMPORTRANGE(""https://docs.google.com/spreadsheets/d/1ZNYWeiFoFA1K1U4xKWqRX29MBvEyRHXORjo734Gnq_c/edit?usp=sharing"",""เชียงราย!I223"")"),50000)</f>
        <v>50000</v>
      </c>
      <c r="BQ15" s="86">
        <f ca="1">IFERROR(__xludf.DUMMYFUNCTION("IMPORTRANGE(""https://docs.google.com/spreadsheets/d/1ZNYWeiFoFA1K1U4xKWqRX29MBvEyRHXORjo734Gnq_c/edit?usp=sharing"",""เชียงราย!J223"")"),0)</f>
        <v>0</v>
      </c>
      <c r="BR15" s="87">
        <f t="shared" ca="1" si="99"/>
        <v>0</v>
      </c>
      <c r="BS15" s="86">
        <f ca="1">IFERROR(__xludf.DUMMYFUNCTION("IMPORTRANGE(""https://docs.google.com/spreadsheets/d/1ZNYWeiFoFA1K1U4xKWqRX29MBvEyRHXORjo734Gnq_c/edit?usp=sharing"",""เชียงราย!I224"")"),50000)</f>
        <v>50000</v>
      </c>
      <c r="BT15" s="86">
        <f ca="1">IFERROR(__xludf.DUMMYFUNCTION("IMPORTRANGE(""https://docs.google.com/spreadsheets/d/1ZNYWeiFoFA1K1U4xKWqRX29MBvEyRHXORjo734Gnq_c/edit?usp=sharing"",""เชียงราย!J224"")"),0)</f>
        <v>0</v>
      </c>
      <c r="BU15" s="87">
        <f t="shared" ca="1" si="100"/>
        <v>0</v>
      </c>
      <c r="BV15" s="86">
        <f ca="1">IFERROR(__xludf.DUMMYFUNCTION("IMPORTRANGE(""https://docs.google.com/spreadsheets/d/1ZNYWeiFoFA1K1U4xKWqRX29MBvEyRHXORjo734Gnq_c/edit?usp=sharing"",""เชียงราย!I225"")"),10)</f>
        <v>10</v>
      </c>
      <c r="BW15" s="86">
        <f ca="1">IFERROR(__xludf.DUMMYFUNCTION("IMPORTRANGE(""https://docs.google.com/spreadsheets/d/1ZNYWeiFoFA1K1U4xKWqRX29MBvEyRHXORjo734Gnq_c/edit?usp=sharing"",""เชียงราย!J225"")"),10)</f>
        <v>10</v>
      </c>
      <c r="BX15" s="87">
        <f t="shared" ca="1" si="101"/>
        <v>100</v>
      </c>
      <c r="BY15" s="86">
        <f ca="1">IFERROR(__xludf.DUMMYFUNCTION("IMPORTRANGE(""https://docs.google.com/spreadsheets/d/1ZNYWeiFoFA1K1U4xKWqRX29MBvEyRHXORjo734Gnq_c/edit?usp=sharing"",""เชียงราย!L228"")"),0)</f>
        <v>0</v>
      </c>
      <c r="BZ15" s="86">
        <f ca="1">IFERROR(__xludf.DUMMYFUNCTION("IMPORTRANGE(""https://docs.google.com/spreadsheets/d/1ZNYWeiFoFA1K1U4xKWqRX29MBvEyRHXORjo734Gnq_c/edit?usp=sharing"",""เชียงราย!N228"")"),0)</f>
        <v>0</v>
      </c>
      <c r="CA15" s="87">
        <f t="shared" ca="1" si="102"/>
        <v>0</v>
      </c>
      <c r="CB15" s="86">
        <f ca="1">IFERROR(__xludf.DUMMYFUNCTION("IMPORTRANGE(""https://docs.google.com/spreadsheets/d/1ZNYWeiFoFA1K1U4xKWqRX29MBvEyRHXORjo734Gnq_c/edit?usp=sharing"",""เชียงราย!L229"")"),0)</f>
        <v>0</v>
      </c>
      <c r="CC15" s="86">
        <f ca="1">IFERROR(__xludf.DUMMYFUNCTION("IMPORTRANGE(""https://docs.google.com/spreadsheets/d/1ZNYWeiFoFA1K1U4xKWqRX29MBvEyRHXORjo734Gnq_c/edit?usp=sharing"",""เชียงราย!N229"")"),0)</f>
        <v>0</v>
      </c>
      <c r="CD15" s="87">
        <f t="shared" ca="1" si="103"/>
        <v>0</v>
      </c>
      <c r="CE15" s="86">
        <f ca="1">IFERROR(__xludf.DUMMYFUNCTION("IMPORTRANGE(""https://docs.google.com/spreadsheets/d/1ZNYWeiFoFA1K1U4xKWqRX29MBvEyRHXORjo734Gnq_c/edit?usp=sharing"",""เชียงราย!L230"")"),0)</f>
        <v>0</v>
      </c>
      <c r="CF15" s="86">
        <f ca="1">IFERROR(__xludf.DUMMYFUNCTION("IMPORTRANGE(""https://docs.google.com/spreadsheets/d/1ZNYWeiFoFA1K1U4xKWqRX29MBvEyRHXORjo734Gnq_c/edit?usp=sharing"",""เชียงราย!N230"")"),0)</f>
        <v>0</v>
      </c>
      <c r="CG15" s="87">
        <f t="shared" ca="1" si="104"/>
        <v>0</v>
      </c>
      <c r="CH15" s="86">
        <f ca="1">IFERROR(__xludf.DUMMYFUNCTION("IMPORTRANGE(""https://docs.google.com/spreadsheets/d/1ZNYWeiFoFA1K1U4xKWqRX29MBvEyRHXORjo734Gnq_c/edit?usp=sharing"",""เชียงราย!L231"")"),0)</f>
        <v>0</v>
      </c>
      <c r="CI15" s="86">
        <f ca="1">IFERROR(__xludf.DUMMYFUNCTION("IMPORTRANGE(""https://docs.google.com/spreadsheets/d/1ZNYWeiFoFA1K1U4xKWqRX29MBvEyRHXORjo734Gnq_c/edit?usp=sharing"",""เชียงราย!N231"")"),0)</f>
        <v>0</v>
      </c>
      <c r="CJ15" s="87">
        <f t="shared" ca="1" si="105"/>
        <v>0</v>
      </c>
      <c r="CK15" s="86">
        <f ca="1">IFERROR(__xludf.DUMMYFUNCTION("IMPORTRANGE(""https://docs.google.com/spreadsheets/d/1ZNYWeiFoFA1K1U4xKWqRX29MBvEyRHXORjo734Gnq_c/edit?usp=sharing"",""เชียงราย!I233"")"),0)</f>
        <v>0</v>
      </c>
      <c r="CL15" s="86">
        <f ca="1">IFERROR(__xludf.DUMMYFUNCTION("IMPORTRANGE(""https://docs.google.com/spreadsheets/d/1ZNYWeiFoFA1K1U4xKWqRX29MBvEyRHXORjo734Gnq_c/edit?usp=sharing"",""เชียงราย!J233"")"),0)</f>
        <v>0</v>
      </c>
      <c r="CM15" s="87">
        <f t="shared" ca="1" si="106"/>
        <v>0</v>
      </c>
      <c r="CN15" s="86">
        <f ca="1">IFERROR(__xludf.DUMMYFUNCTION("IMPORTRANGE(""https://docs.google.com/spreadsheets/d/1ZNYWeiFoFA1K1U4xKWqRX29MBvEyRHXORjo734Gnq_c/edit?usp=sharing"",""เชียงราย!J235"")"),0)</f>
        <v>0</v>
      </c>
      <c r="CO15" s="86">
        <f ca="1">IFERROR(__xludf.DUMMYFUNCTION("IMPORTRANGE(""https://docs.google.com/spreadsheets/d/1ZNYWeiFoFA1K1U4xKWqRX29MBvEyRHXORjo734Gnq_c/edit?usp=sharing"",""เชียงราย!J236"")"),0)</f>
        <v>0</v>
      </c>
    </row>
    <row r="16" spans="1:93" ht="24" customHeight="1" x14ac:dyDescent="0.3">
      <c r="A16" s="78">
        <v>3</v>
      </c>
      <c r="B16" s="79" t="s">
        <v>38</v>
      </c>
      <c r="C16" s="80">
        <f t="shared" ca="1" si="0"/>
        <v>757600</v>
      </c>
      <c r="D16" s="81">
        <f t="shared" ca="1" si="133"/>
        <v>757600</v>
      </c>
      <c r="E16" s="82">
        <f ca="1">IFERROR(__xludf.DUMMYFUNCTION("IMPORTRANGE(""https://docs.google.com/spreadsheets/d/1MeEWN-I1oV_STSDYn1IFDPWt_1FKiwhDph83XaGc0o0/edit?usp=sharing"",""งบพรบ!CP16"")"),170700)</f>
        <v>170700</v>
      </c>
      <c r="F16" s="82">
        <f ca="1">IFERROR(__xludf.DUMMYFUNCTION("IMPORTRANGE(""https://docs.google.com/spreadsheets/d/1MeEWN-I1oV_STSDYn1IFDPWt_1FKiwhDph83XaGc0o0/edit?usp=sharing"",""งบพรบ!CQ16"")"),586900)</f>
        <v>586900</v>
      </c>
      <c r="G16" s="82">
        <f ca="1">IFERROR(__xludf.DUMMYFUNCTION("IMPORTRANGE(""https://docs.google.com/spreadsheets/d/1MeEWN-I1oV_STSDYn1IFDPWt_1FKiwhDph83XaGc0o0/edit?usp=sharing"",""งบพรบ!CR16"")"),0)</f>
        <v>0</v>
      </c>
      <c r="H16" s="82">
        <f ca="1">IFERROR(__xludf.DUMMYFUNCTION("IMPORTRANGE(""https://docs.google.com/spreadsheets/d/1MeEWN-I1oV_STSDYn1IFDPWt_1FKiwhDph83XaGc0o0/edit?usp=sharing"",""งบพรบ!CT16"")"),600525)</f>
        <v>600525</v>
      </c>
      <c r="I16" s="82">
        <f ca="1">IFERROR(__xludf.DUMMYFUNCTION("IMPORTRANGE(""https://docs.google.com/spreadsheets/d/1MeEWN-I1oV_STSDYn1IFDPWt_1FKiwhDph83XaGc0o0/edit?usp=sharing"",""งบพรบ!CU16"")"),0)</f>
        <v>0</v>
      </c>
      <c r="J16" s="82">
        <f t="shared" ca="1" si="3"/>
        <v>350430.21</v>
      </c>
      <c r="K16" s="83">
        <f t="shared" ca="1" si="4"/>
        <v>46.255307550158392</v>
      </c>
      <c r="L16" s="82">
        <f ca="1">IFERROR(__xludf.DUMMYFUNCTION("IMPORTRANGE(""https://docs.google.com/spreadsheets/d/1MeEWN-I1oV_STSDYn1IFDPWt_1FKiwhDph83XaGc0o0/edit?usp=sharing"",""งบพรบ!CV16"")"),350430.21)</f>
        <v>350430.21</v>
      </c>
      <c r="M16" s="84">
        <f t="shared" ca="1" si="5"/>
        <v>46.255307550158392</v>
      </c>
      <c r="N16" s="84">
        <f t="shared" ca="1" si="6"/>
        <v>58.353975271637317</v>
      </c>
      <c r="O16" s="85">
        <f ca="1">IFERROR(__xludf.DUMMYFUNCTION("IMPORTRANGE(""https://docs.google.com/spreadsheets/d/1MeEWN-I1oV_STSDYn1IFDPWt_1FKiwhDph83XaGc0o0/edit?usp=sharing"",""งบพรบ!CW16"")"),0)</f>
        <v>0</v>
      </c>
      <c r="P16" s="85">
        <f t="shared" ca="1" si="108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IFERROR(__xludf.DUMMYFUNCTION("IMPORTRANGE(""https://docs.google.com/spreadsheets/d/1Jgv0Y7YlHDtsiDawwp-uvifEJ8HVaSn0k2aGHG8-hwM/edit?usp=sharing"",""เชียงใหม่!L191"")"),6000)</f>
        <v>6000</v>
      </c>
      <c r="S16" s="86">
        <f ca="1">IFERROR(__xludf.DUMMYFUNCTION("IMPORTRANGE(""https://docs.google.com/spreadsheets/d/1Jgv0Y7YlHDtsiDawwp-uvifEJ8HVaSn0k2aGHG8-hwM/edit?usp=sharing"",""เชียงใหม่!N191"")"),1000)</f>
        <v>1000</v>
      </c>
      <c r="T16" s="87">
        <f t="shared" ca="1" si="84"/>
        <v>16.666666666666668</v>
      </c>
      <c r="U16" s="86">
        <f ca="1">IFERROR(__xludf.DUMMYFUNCTION("IMPORTRANGE(""https://docs.google.com/spreadsheets/d/1Jgv0Y7YlHDtsiDawwp-uvifEJ8HVaSn0k2aGHG8-hwM/edit?usp=sharing"",""เชียงใหม่!I193"")"),4)</f>
        <v>4</v>
      </c>
      <c r="V16" s="86">
        <f ca="1">IFERROR(__xludf.DUMMYFUNCTION("IMPORTRANGE(""https://docs.google.com/spreadsheets/d/1Jgv0Y7YlHDtsiDawwp-uvifEJ8HVaSn0k2aGHG8-hwM/edit?usp=sharing"",""เชียงใหม่!J193"")"),1)</f>
        <v>1</v>
      </c>
      <c r="W16" s="87">
        <f t="shared" ca="1" si="85"/>
        <v>25</v>
      </c>
      <c r="X16" s="86">
        <f t="shared" ca="1" si="134"/>
        <v>35</v>
      </c>
      <c r="Y16" s="86">
        <f ca="1">IFERROR(__xludf.DUMMYFUNCTION("IMPORTRANGE(""https://docs.google.com/spreadsheets/d/1Jgv0Y7YlHDtsiDawwp-uvifEJ8HVaSn0k2aGHG8-hwM/edit?usp=sharing"",""เชียงใหม่!J195"")"),35)</f>
        <v>35</v>
      </c>
      <c r="Z16" s="86">
        <f ca="1">IFERROR(__xludf.DUMMYFUNCTION("IMPORTRANGE(""https://docs.google.com/spreadsheets/d/1Jgv0Y7YlHDtsiDawwp-uvifEJ8HVaSn0k2aGHG8-hwM/edit?usp=sharing"",""เชียงใหม่!J196"")"),0)</f>
        <v>0</v>
      </c>
      <c r="AA16" s="86">
        <f ca="1">IFERROR(__xludf.DUMMYFUNCTION("IMPORTRANGE(""https://docs.google.com/spreadsheets/d/1Jgv0Y7YlHDtsiDawwp-uvifEJ8HVaSn0k2aGHG8-hwM/edit?usp=sharing"",""เชียงใหม่!L199"")"),2000)</f>
        <v>2000</v>
      </c>
      <c r="AB16" s="86">
        <f ca="1">IFERROR(__xludf.DUMMYFUNCTION("IMPORTRANGE(""https://docs.google.com/spreadsheets/d/1Jgv0Y7YlHDtsiDawwp-uvifEJ8HVaSn0k2aGHG8-hwM/edit?usp=sharing"",""เชียงใหม่!N199"")"),2000)</f>
        <v>2000</v>
      </c>
      <c r="AC16" s="87">
        <f t="shared" ca="1" si="86"/>
        <v>100</v>
      </c>
      <c r="AD16" s="86">
        <f ca="1">IFERROR(__xludf.DUMMYFUNCTION("IMPORTRANGE(""https://docs.google.com/spreadsheets/d/1Jgv0Y7YlHDtsiDawwp-uvifEJ8HVaSn0k2aGHG8-hwM/edit?usp=sharing"",""เชียงใหม่!L200"")"),16000)</f>
        <v>16000</v>
      </c>
      <c r="AE16" s="86">
        <f ca="1">IFERROR(__xludf.DUMMYFUNCTION("IMPORTRANGE(""https://docs.google.com/spreadsheets/d/1Jgv0Y7YlHDtsiDawwp-uvifEJ8HVaSn0k2aGHG8-hwM/edit?usp=sharing"",""เชียงใหม่!N200"")"),16000)</f>
        <v>16000</v>
      </c>
      <c r="AF16" s="87">
        <f t="shared" ca="1" si="87"/>
        <v>100</v>
      </c>
      <c r="AG16" s="86">
        <f ca="1">IFERROR(__xludf.DUMMYFUNCTION("IMPORTRANGE(""https://docs.google.com/spreadsheets/d/1Jgv0Y7YlHDtsiDawwp-uvifEJ8HVaSn0k2aGHG8-hwM/edit?usp=sharing"",""เชียงใหม่!L201"")"),8000)</f>
        <v>8000</v>
      </c>
      <c r="AH16" s="86">
        <f ca="1">IFERROR(__xludf.DUMMYFUNCTION("IMPORTRANGE(""https://docs.google.com/spreadsheets/d/1Jgv0Y7YlHDtsiDawwp-uvifEJ8HVaSn0k2aGHG8-hwM/edit?usp=sharing"",""เชียงใหม่!N201"")"),0)</f>
        <v>0</v>
      </c>
      <c r="AI16" s="87">
        <f t="shared" ca="1" si="88"/>
        <v>0</v>
      </c>
      <c r="AJ16" s="86">
        <f ca="1">IFERROR(__xludf.DUMMYFUNCTION("IMPORTRANGE(""https://docs.google.com/spreadsheets/d/1Jgv0Y7YlHDtsiDawwp-uvifEJ8HVaSn0k2aGHG8-hwM/edit?usp=sharing"",""เชียงใหม่!L202"")"),0)</f>
        <v>0</v>
      </c>
      <c r="AK16" s="86">
        <f ca="1">IFERROR(__xludf.DUMMYFUNCTION("IMPORTRANGE(""https://docs.google.com/spreadsheets/d/1Jgv0Y7YlHDtsiDawwp-uvifEJ8HVaSn0k2aGHG8-hwM/edit?usp=sharing"",""เชียงใหม่!N202"")"),0)</f>
        <v>0</v>
      </c>
      <c r="AL16" s="87">
        <f t="shared" ca="1" si="89"/>
        <v>0</v>
      </c>
      <c r="AM16" s="86">
        <f ca="1">IFERROR(__xludf.DUMMYFUNCTION("IMPORTRANGE(""https://docs.google.com/spreadsheets/d/1Jgv0Y7YlHDtsiDawwp-uvifEJ8HVaSn0k2aGHG8-hwM/edit?usp=sharing"",""เชียงใหม่!I204"")"),2)</f>
        <v>2</v>
      </c>
      <c r="AN16" s="86">
        <f ca="1">IFERROR(__xludf.DUMMYFUNCTION("IMPORTRANGE(""https://docs.google.com/spreadsheets/d/1Jgv0Y7YlHDtsiDawwp-uvifEJ8HVaSn0k2aGHG8-hwM/edit?usp=sharing"",""เชียงใหม่!J204"")"),2)</f>
        <v>2</v>
      </c>
      <c r="AO16" s="87">
        <f t="shared" ca="1" si="90"/>
        <v>100</v>
      </c>
      <c r="AP16" s="298">
        <f ca="1">IFERROR(__xludf.DUMMYFUNCTION("IMPORTRANGE(""https://docs.google.com/spreadsheets/d/1Jgv0Y7YlHDtsiDawwp-uvifEJ8HVaSn0k2aGHG8-hwM/edit?usp=sharing"",""เชียงใหม่!J206"")"),2)</f>
        <v>2</v>
      </c>
      <c r="AQ16" s="298">
        <f ca="1">IFERROR(__xludf.DUMMYFUNCTION("IMPORTRANGE(""https://docs.google.com/spreadsheets/d/1Jgv0Y7YlHDtsiDawwp-uvifEJ8HVaSn0k2aGHG8-hwM/edit?usp=sharing"",""เชียงใหม่!J207"")"),0)</f>
        <v>0</v>
      </c>
      <c r="AR16" s="86">
        <f ca="1">IFERROR(__xludf.DUMMYFUNCTION("IMPORTRANGE(""https://docs.google.com/spreadsheets/d/1Jgv0Y7YlHDtsiDawwp-uvifEJ8HVaSn0k2aGHG8-hwM/edit?usp=sharing"",""เชียงใหม่!L210"")"),1000)</f>
        <v>1000</v>
      </c>
      <c r="AS16" s="86">
        <f ca="1">IFERROR(__xludf.DUMMYFUNCTION("IMPORTRANGE(""https://docs.google.com/spreadsheets/d/1Jgv0Y7YlHDtsiDawwp-uvifEJ8HVaSn0k2aGHG8-hwM/edit?usp=sharing"",""เชียงใหม่!N210"")"),0)</f>
        <v>0</v>
      </c>
      <c r="AT16" s="87">
        <f t="shared" ca="1" si="91"/>
        <v>0</v>
      </c>
      <c r="AU16" s="86">
        <f ca="1">IFERROR(__xludf.DUMMYFUNCTION("IMPORTRANGE(""https://docs.google.com/spreadsheets/d/1Jgv0Y7YlHDtsiDawwp-uvifEJ8HVaSn0k2aGHG8-hwM/edit?usp=sharing"",""เชียงใหม่!L211"")"),5000)</f>
        <v>5000</v>
      </c>
      <c r="AV16" s="86">
        <f ca="1">IFERROR(__xludf.DUMMYFUNCTION("IMPORTRANGE(""https://docs.google.com/spreadsheets/d/1Jgv0Y7YlHDtsiDawwp-uvifEJ8HVaSn0k2aGHG8-hwM/edit?usp=sharing"",""เชียงใหม่!N211"")"),0)</f>
        <v>0</v>
      </c>
      <c r="AW16" s="87">
        <f t="shared" ca="1" si="92"/>
        <v>0</v>
      </c>
      <c r="AX16" s="86">
        <f ca="1">IFERROR(__xludf.DUMMYFUNCTION("IMPORTRANGE(""https://docs.google.com/spreadsheets/d/1Jgv0Y7YlHDtsiDawwp-uvifEJ8HVaSn0k2aGHG8-hwM/edit?usp=sharing"",""เชียงใหม่!L212"")"),8000)</f>
        <v>8000</v>
      </c>
      <c r="AY16" s="86">
        <f ca="1">IFERROR(__xludf.DUMMYFUNCTION("IMPORTRANGE(""https://docs.google.com/spreadsheets/d/1Jgv0Y7YlHDtsiDawwp-uvifEJ8HVaSn0k2aGHG8-hwM/edit?usp=sharing"",""เชียงใหม่!N212"")"),7080)</f>
        <v>7080</v>
      </c>
      <c r="AZ16" s="87">
        <f t="shared" ca="1" si="93"/>
        <v>88.5</v>
      </c>
      <c r="BA16" s="86">
        <f ca="1">IFERROR(__xludf.DUMMYFUNCTION("IMPORTRANGE(""https://docs.google.com/spreadsheets/d/1Jgv0Y7YlHDtsiDawwp-uvifEJ8HVaSn0k2aGHG8-hwM/edit?usp=sharing"",""เชียงใหม่!I214"")"),1)</f>
        <v>1</v>
      </c>
      <c r="BB16" s="86">
        <f ca="1">IFERROR(__xludf.DUMMYFUNCTION("IMPORTRANGE(""https://docs.google.com/spreadsheets/d/1Jgv0Y7YlHDtsiDawwp-uvifEJ8HVaSn0k2aGHG8-hwM/edit?usp=sharing"",""เชียงใหม่!J214"")"),0)</f>
        <v>0</v>
      </c>
      <c r="BC16" s="87">
        <f t="shared" ca="1" si="94"/>
        <v>0</v>
      </c>
      <c r="BD16" s="86">
        <f ca="1">IFERROR(__xludf.DUMMYFUNCTION("IMPORTRANGE(""https://docs.google.com/spreadsheets/d/1Jgv0Y7YlHDtsiDawwp-uvifEJ8HVaSn0k2aGHG8-hwM/edit?usp=sharing"",""เชียงใหม่!I215"")"),1)</f>
        <v>1</v>
      </c>
      <c r="BE16" s="86">
        <f ca="1">IFERROR(__xludf.DUMMYFUNCTION("IMPORTRANGE(""https://docs.google.com/spreadsheets/d/1Jgv0Y7YlHDtsiDawwp-uvifEJ8HVaSn0k2aGHG8-hwM/edit?usp=sharing"",""เชียงใหม่!J215"")"),0)</f>
        <v>0</v>
      </c>
      <c r="BF16" s="87">
        <f t="shared" ca="1" si="95"/>
        <v>0</v>
      </c>
      <c r="BG16" s="86">
        <f ca="1">IFERROR(__xludf.DUMMYFUNCTION("IMPORTRANGE(""https://docs.google.com/spreadsheets/d/1Jgv0Y7YlHDtsiDawwp-uvifEJ8HVaSn0k2aGHG8-hwM/edit?usp=sharing"",""เชียงใหม่!L218"")"),3000)</f>
        <v>3000</v>
      </c>
      <c r="BH16" s="86">
        <f ca="1">IFERROR(__xludf.DUMMYFUNCTION("IMPORTRANGE(""https://docs.google.com/spreadsheets/d/1Jgv0Y7YlHDtsiDawwp-uvifEJ8HVaSn0k2aGHG8-hwM/edit?usp=sharing"",""เชียงใหม่!N218"")"),0)</f>
        <v>0</v>
      </c>
      <c r="BI16" s="87">
        <f t="shared" ca="1" si="96"/>
        <v>0</v>
      </c>
      <c r="BJ16" s="86">
        <f ca="1">IFERROR(__xludf.DUMMYFUNCTION("IMPORTRANGE(""https://docs.google.com/spreadsheets/d/1Jgv0Y7YlHDtsiDawwp-uvifEJ8HVaSn0k2aGHG8-hwM/edit?usp=sharing"",""เชียงใหม่!L219"")"),4100)</f>
        <v>4100</v>
      </c>
      <c r="BK16" s="86">
        <f ca="1">IFERROR(__xludf.DUMMYFUNCTION("IMPORTRANGE(""https://docs.google.com/spreadsheets/d/1Jgv0Y7YlHDtsiDawwp-uvifEJ8HVaSn0k2aGHG8-hwM/edit?usp=sharing"",""เชียงใหม่!N219"")"),0)</f>
        <v>0</v>
      </c>
      <c r="BL16" s="87">
        <f t="shared" ca="1" si="97"/>
        <v>0</v>
      </c>
      <c r="BM16" s="86">
        <f ca="1">IFERROR(__xludf.DUMMYFUNCTION("IMPORTRANGE(""https://docs.google.com/spreadsheets/d/1Jgv0Y7YlHDtsiDawwp-uvifEJ8HVaSn0k2aGHG8-hwM/edit?usp=sharing"",""เชียงใหม่!L220"")"),0)</f>
        <v>0</v>
      </c>
      <c r="BN16" s="86">
        <f ca="1">IFERROR(__xludf.DUMMYFUNCTION("IMPORTRANGE(""https://docs.google.com/spreadsheets/d/1Jgv0Y7YlHDtsiDawwp-uvifEJ8HVaSn0k2aGHG8-hwM/edit?usp=sharing"",""เชียงใหม่!N220"")"),0)</f>
        <v>0</v>
      </c>
      <c r="BO16" s="87">
        <f t="shared" ca="1" si="98"/>
        <v>0</v>
      </c>
      <c r="BP16" s="86">
        <f ca="1">IFERROR(__xludf.DUMMYFUNCTION("IMPORTRANGE(""https://docs.google.com/spreadsheets/d/1Jgv0Y7YlHDtsiDawwp-uvifEJ8HVaSn0k2aGHG8-hwM/edit?usp=sharing"",""เชียงใหม่!I223"")"),13000)</f>
        <v>13000</v>
      </c>
      <c r="BQ16" s="86">
        <f ca="1">IFERROR(__xludf.DUMMYFUNCTION("IMPORTRANGE(""https://docs.google.com/spreadsheets/d/1Jgv0Y7YlHDtsiDawwp-uvifEJ8HVaSn0k2aGHG8-hwM/edit?usp=sharing"",""เชียงใหม่!J223"")"),0)</f>
        <v>0</v>
      </c>
      <c r="BR16" s="87">
        <f t="shared" ca="1" si="99"/>
        <v>0</v>
      </c>
      <c r="BS16" s="86">
        <f ca="1">IFERROR(__xludf.DUMMYFUNCTION("IMPORTRANGE(""https://docs.google.com/spreadsheets/d/1Jgv0Y7YlHDtsiDawwp-uvifEJ8HVaSn0k2aGHG8-hwM/edit?usp=sharing"",""เชียงใหม่!I224"")"),13000)</f>
        <v>13000</v>
      </c>
      <c r="BT16" s="86">
        <f ca="1">IFERROR(__xludf.DUMMYFUNCTION("IMPORTRANGE(""https://docs.google.com/spreadsheets/d/1Jgv0Y7YlHDtsiDawwp-uvifEJ8HVaSn0k2aGHG8-hwM/edit?usp=sharing"",""เชียงใหม่!J224"")"),0)</f>
        <v>0</v>
      </c>
      <c r="BU16" s="87">
        <f t="shared" ca="1" si="100"/>
        <v>0</v>
      </c>
      <c r="BV16" s="86">
        <f ca="1">IFERROR(__xludf.DUMMYFUNCTION("IMPORTRANGE(""https://docs.google.com/spreadsheets/d/1Jgv0Y7YlHDtsiDawwp-uvifEJ8HVaSn0k2aGHG8-hwM/edit?usp=sharing"",""เชียงใหม่!I225"")"),0)</f>
        <v>0</v>
      </c>
      <c r="BW16" s="86">
        <f ca="1">IFERROR(__xludf.DUMMYFUNCTION("IMPORTRANGE(""https://docs.google.com/spreadsheets/d/1Jgv0Y7YlHDtsiDawwp-uvifEJ8HVaSn0k2aGHG8-hwM/edit?usp=sharing"",""เชียงใหม่!J225"")"),0)</f>
        <v>0</v>
      </c>
      <c r="BX16" s="87">
        <f t="shared" ca="1" si="101"/>
        <v>0</v>
      </c>
      <c r="BY16" s="86">
        <f ca="1">IFERROR(__xludf.DUMMYFUNCTION("IMPORTRANGE(""https://docs.google.com/spreadsheets/d/1Jgv0Y7YlHDtsiDawwp-uvifEJ8HVaSn0k2aGHG8-hwM/edit?usp=sharing"",""เชียงใหม่!L228"")"),334200)</f>
        <v>334200</v>
      </c>
      <c r="BZ16" s="86">
        <f ca="1">IFERROR(__xludf.DUMMYFUNCTION("IMPORTRANGE(""https://docs.google.com/spreadsheets/d/1Jgv0Y7YlHDtsiDawwp-uvifEJ8HVaSn0k2aGHG8-hwM/edit?usp=sharing"",""เชียงใหม่!N228"")"),92823)</f>
        <v>92823</v>
      </c>
      <c r="CA16" s="87">
        <f t="shared" ca="1" si="102"/>
        <v>27.774685816876122</v>
      </c>
      <c r="CB16" s="86">
        <f ca="1">IFERROR(__xludf.DUMMYFUNCTION("IMPORTRANGE(""https://docs.google.com/spreadsheets/d/1Jgv0Y7YlHDtsiDawwp-uvifEJ8HVaSn0k2aGHG8-hwM/edit?usp=sharing"",""เชียงใหม่!L229"")"),139600)</f>
        <v>139600</v>
      </c>
      <c r="CC16" s="86">
        <f ca="1">IFERROR(__xludf.DUMMYFUNCTION("IMPORTRANGE(""https://docs.google.com/spreadsheets/d/1Jgv0Y7YlHDtsiDawwp-uvifEJ8HVaSn0k2aGHG8-hwM/edit?usp=sharing"",""เชียงใหม่!N229"")"),133300)</f>
        <v>133300</v>
      </c>
      <c r="CD16" s="87">
        <f t="shared" ca="1" si="103"/>
        <v>95.487106017191977</v>
      </c>
      <c r="CE16" s="86">
        <f ca="1">IFERROR(__xludf.DUMMYFUNCTION("IMPORTRANGE(""https://docs.google.com/spreadsheets/d/1Jgv0Y7YlHDtsiDawwp-uvifEJ8HVaSn0k2aGHG8-hwM/edit?usp=sharing"",""เชียงใหม่!L230"")"),0)</f>
        <v>0</v>
      </c>
      <c r="CF16" s="86">
        <f ca="1">IFERROR(__xludf.DUMMYFUNCTION("IMPORTRANGE(""https://docs.google.com/spreadsheets/d/1Jgv0Y7YlHDtsiDawwp-uvifEJ8HVaSn0k2aGHG8-hwM/edit?usp=sharing"",""เชียงใหม่!N230"")"),0)</f>
        <v>0</v>
      </c>
      <c r="CG16" s="87">
        <f t="shared" ca="1" si="104"/>
        <v>0</v>
      </c>
      <c r="CH16" s="86">
        <f ca="1">IFERROR(__xludf.DUMMYFUNCTION("IMPORTRANGE(""https://docs.google.com/spreadsheets/d/1Jgv0Y7YlHDtsiDawwp-uvifEJ8HVaSn0k2aGHG8-hwM/edit?usp=sharing"",""เชียงใหม่!L231"")"),60000)</f>
        <v>60000</v>
      </c>
      <c r="CI16" s="86">
        <f ca="1">IFERROR(__xludf.DUMMYFUNCTION("IMPORTRANGE(""https://docs.google.com/spreadsheets/d/1Jgv0Y7YlHDtsiDawwp-uvifEJ8HVaSn0k2aGHG8-hwM/edit?usp=sharing"",""เชียงใหม่!N231"")"),0)</f>
        <v>0</v>
      </c>
      <c r="CJ16" s="87">
        <f t="shared" ca="1" si="105"/>
        <v>0</v>
      </c>
      <c r="CK16" s="86">
        <f ca="1">IFERROR(__xludf.DUMMYFUNCTION("IMPORTRANGE(""https://docs.google.com/spreadsheets/d/1Jgv0Y7YlHDtsiDawwp-uvifEJ8HVaSn0k2aGHG8-hwM/edit?usp=sharing"",""เชียงใหม่!I233"")"),100)</f>
        <v>100</v>
      </c>
      <c r="CL16" s="86">
        <f ca="1">IFERROR(__xludf.DUMMYFUNCTION("IMPORTRANGE(""https://docs.google.com/spreadsheets/d/1Jgv0Y7YlHDtsiDawwp-uvifEJ8HVaSn0k2aGHG8-hwM/edit?usp=sharing"",""เชียงใหม่!J233"")"),80)</f>
        <v>80</v>
      </c>
      <c r="CM16" s="87">
        <f t="shared" ca="1" si="106"/>
        <v>80</v>
      </c>
      <c r="CN16" s="86">
        <f ca="1">IFERROR(__xludf.DUMMYFUNCTION("IMPORTRANGE(""https://docs.google.com/spreadsheets/d/1Jgv0Y7YlHDtsiDawwp-uvifEJ8HVaSn0k2aGHG8-hwM/edit?usp=sharing"",""เชียงใหม่!J235"")"),0)</f>
        <v>0</v>
      </c>
      <c r="CO16" s="86">
        <f ca="1">IFERROR(__xludf.DUMMYFUNCTION("IMPORTRANGE(""https://docs.google.com/spreadsheets/d/1Jgv0Y7YlHDtsiDawwp-uvifEJ8HVaSn0k2aGHG8-hwM/edit?usp=sharing"",""เชียงใหม่!J236"")"),0)</f>
        <v>0</v>
      </c>
    </row>
    <row r="17" spans="1:93" ht="24" customHeight="1" x14ac:dyDescent="0.3">
      <c r="A17" s="78">
        <v>4</v>
      </c>
      <c r="B17" s="79" t="s">
        <v>39</v>
      </c>
      <c r="C17" s="80">
        <f t="shared" ca="1" si="0"/>
        <v>63500</v>
      </c>
      <c r="D17" s="81">
        <f t="shared" ca="1" si="133"/>
        <v>63500</v>
      </c>
      <c r="E17" s="82">
        <f ca="1">IFERROR(__xludf.DUMMYFUNCTION("IMPORTRANGE(""https://docs.google.com/spreadsheets/d/1MeEWN-I1oV_STSDYn1IFDPWt_1FKiwhDph83XaGc0o0/edit?usp=sharing"",""งบพรบ!CP17"")"),0)</f>
        <v>0</v>
      </c>
      <c r="F17" s="82">
        <f ca="1">IFERROR(__xludf.DUMMYFUNCTION("IMPORTRANGE(""https://docs.google.com/spreadsheets/d/1MeEWN-I1oV_STSDYn1IFDPWt_1FKiwhDph83XaGc0o0/edit?usp=sharing"",""งบพรบ!CQ17"")"),63500)</f>
        <v>63500</v>
      </c>
      <c r="G17" s="82">
        <f ca="1">IFERROR(__xludf.DUMMYFUNCTION("IMPORTRANGE(""https://docs.google.com/spreadsheets/d/1MeEWN-I1oV_STSDYn1IFDPWt_1FKiwhDph83XaGc0o0/edit?usp=sharing"",""งบพรบ!CR17"")"),0)</f>
        <v>0</v>
      </c>
      <c r="H17" s="82">
        <f ca="1">IFERROR(__xludf.DUMMYFUNCTION("IMPORTRANGE(""https://docs.google.com/spreadsheets/d/1MeEWN-I1oV_STSDYn1IFDPWt_1FKiwhDph83XaGc0o0/edit?usp=sharing"",""งบพรบ!CT17"")"),48500)</f>
        <v>48500</v>
      </c>
      <c r="I17" s="82">
        <f ca="1">IFERROR(__xludf.DUMMYFUNCTION("IMPORTRANGE(""https://docs.google.com/spreadsheets/d/1MeEWN-I1oV_STSDYn1IFDPWt_1FKiwhDph83XaGc0o0/edit?usp=sharing"",""งบพรบ!CU17"")"),0)</f>
        <v>0</v>
      </c>
      <c r="J17" s="82">
        <f t="shared" ca="1" si="3"/>
        <v>25555</v>
      </c>
      <c r="K17" s="83">
        <f t="shared" ca="1" si="4"/>
        <v>40.244094488188978</v>
      </c>
      <c r="L17" s="82">
        <f ca="1">IFERROR(__xludf.DUMMYFUNCTION("IMPORTRANGE(""https://docs.google.com/spreadsheets/d/1MeEWN-I1oV_STSDYn1IFDPWt_1FKiwhDph83XaGc0o0/edit?usp=sharing"",""งบพรบ!CV17"")"),25555)</f>
        <v>25555</v>
      </c>
      <c r="M17" s="84">
        <f t="shared" ca="1" si="5"/>
        <v>40.244094488188978</v>
      </c>
      <c r="N17" s="84">
        <f t="shared" ca="1" si="6"/>
        <v>52.690721649484537</v>
      </c>
      <c r="O17" s="85">
        <f ca="1">IFERROR(__xludf.DUMMYFUNCTION("IMPORTRANGE(""https://docs.google.com/spreadsheets/d/1MeEWN-I1oV_STSDYn1IFDPWt_1FKiwhDph83XaGc0o0/edit?usp=sharing"",""งบพรบ!CW17"")"),0)</f>
        <v>0</v>
      </c>
      <c r="P17" s="85">
        <f t="shared" ca="1" si="108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IFERROR(__xludf.DUMMYFUNCTION("IMPORTRANGE(""https://docs.google.com/spreadsheets/d/1JWG2rZePOz9pe-f-ObA-yDr0VoOX2kSb0qIix2mTUo8/edit?usp=sharing"",""ตาก!L191"")"),6000)</f>
        <v>6000</v>
      </c>
      <c r="S17" s="86">
        <f ca="1">IFERROR(__xludf.DUMMYFUNCTION("IMPORTRANGE(""https://docs.google.com/spreadsheets/d/1JWG2rZePOz9pe-f-ObA-yDr0VoOX2kSb0qIix2mTUo8/edit?usp=sharing"",""ตาก!N191"")"),0)</f>
        <v>0</v>
      </c>
      <c r="T17" s="87">
        <f t="shared" ca="1" si="84"/>
        <v>0</v>
      </c>
      <c r="U17" s="86">
        <f ca="1">IFERROR(__xludf.DUMMYFUNCTION("IMPORTRANGE(""https://docs.google.com/spreadsheets/d/1JWG2rZePOz9pe-f-ObA-yDr0VoOX2kSb0qIix2mTUo8/edit?usp=sharing"",""ตาก!I193"")"),4)</f>
        <v>4</v>
      </c>
      <c r="V17" s="86">
        <f ca="1">IFERROR(__xludf.DUMMYFUNCTION("IMPORTRANGE(""https://docs.google.com/spreadsheets/d/1JWG2rZePOz9pe-f-ObA-yDr0VoOX2kSb0qIix2mTUo8/edit?usp=sharing"",""ตาก!J193"")"),1)</f>
        <v>1</v>
      </c>
      <c r="W17" s="87">
        <f t="shared" ca="1" si="85"/>
        <v>25</v>
      </c>
      <c r="X17" s="86">
        <f t="shared" ca="1" si="134"/>
        <v>20</v>
      </c>
      <c r="Y17" s="86">
        <f ca="1">IFERROR(__xludf.DUMMYFUNCTION("IMPORTRANGE(""https://docs.google.com/spreadsheets/d/1JWG2rZePOz9pe-f-ObA-yDr0VoOX2kSb0qIix2mTUo8/edit?usp=sharing"",""ตาก!J195"")"),20)</f>
        <v>20</v>
      </c>
      <c r="Z17" s="86">
        <f ca="1">IFERROR(__xludf.DUMMYFUNCTION("IMPORTRANGE(""https://docs.google.com/spreadsheets/d/1JWG2rZePOz9pe-f-ObA-yDr0VoOX2kSb0qIix2mTUo8/edit?usp=sharing"",""ตาก!J196"")"),0)</f>
        <v>0</v>
      </c>
      <c r="AA17" s="86">
        <f ca="1">IFERROR(__xludf.DUMMYFUNCTION("IMPORTRANGE(""https://docs.google.com/spreadsheets/d/1JWG2rZePOz9pe-f-ObA-yDr0VoOX2kSb0qIix2mTUo8/edit?usp=sharing"",""ตาก!L199"")"),3000)</f>
        <v>3000</v>
      </c>
      <c r="AB17" s="86">
        <f ca="1">IFERROR(__xludf.DUMMYFUNCTION("IMPORTRANGE(""https://docs.google.com/spreadsheets/d/1JWG2rZePOz9pe-f-ObA-yDr0VoOX2kSb0qIix2mTUo8/edit?usp=sharing"",""ตาก!N199"")"),695)</f>
        <v>695</v>
      </c>
      <c r="AC17" s="87">
        <f t="shared" ca="1" si="86"/>
        <v>23.166666666666668</v>
      </c>
      <c r="AD17" s="86">
        <f ca="1">IFERROR(__xludf.DUMMYFUNCTION("IMPORTRANGE(""https://docs.google.com/spreadsheets/d/1JWG2rZePOz9pe-f-ObA-yDr0VoOX2kSb0qIix2mTUo8/edit?usp=sharing"",""ตาก!L200"")"),24000)</f>
        <v>24000</v>
      </c>
      <c r="AE17" s="86">
        <f ca="1">IFERROR(__xludf.DUMMYFUNCTION("IMPORTRANGE(""https://docs.google.com/spreadsheets/d/1JWG2rZePOz9pe-f-ObA-yDr0VoOX2kSb0qIix2mTUo8/edit?usp=sharing"",""ตาก!N200"")"),24000)</f>
        <v>24000</v>
      </c>
      <c r="AF17" s="87">
        <f t="shared" ca="1" si="87"/>
        <v>100</v>
      </c>
      <c r="AG17" s="86">
        <f ca="1">IFERROR(__xludf.DUMMYFUNCTION("IMPORTRANGE(""https://docs.google.com/spreadsheets/d/1JWG2rZePOz9pe-f-ObA-yDr0VoOX2kSb0qIix2mTUo8/edit?usp=sharing"",""ตาก!L201"")"),12000)</f>
        <v>12000</v>
      </c>
      <c r="AH17" s="86">
        <f ca="1">IFERROR(__xludf.DUMMYFUNCTION("IMPORTRANGE(""https://docs.google.com/spreadsheets/d/1JWG2rZePOz9pe-f-ObA-yDr0VoOX2kSb0qIix2mTUo8/edit?usp=sharing"",""ตาก!N201"")"),0)</f>
        <v>0</v>
      </c>
      <c r="AI17" s="87">
        <f t="shared" ca="1" si="88"/>
        <v>0</v>
      </c>
      <c r="AJ17" s="86">
        <f ca="1">IFERROR(__xludf.DUMMYFUNCTION("IMPORTRANGE(""https://docs.google.com/spreadsheets/d/1JWG2rZePOz9pe-f-ObA-yDr0VoOX2kSb0qIix2mTUo8/edit?usp=sharing"",""ตาก!L202"")"),0)</f>
        <v>0</v>
      </c>
      <c r="AK17" s="86">
        <f ca="1">IFERROR(__xludf.DUMMYFUNCTION("IMPORTRANGE(""https://docs.google.com/spreadsheets/d/1JWG2rZePOz9pe-f-ObA-yDr0VoOX2kSb0qIix2mTUo8/edit?usp=sharing"",""ตาก!N202"")"),0)</f>
        <v>0</v>
      </c>
      <c r="AL17" s="87">
        <f t="shared" ca="1" si="89"/>
        <v>0</v>
      </c>
      <c r="AM17" s="86">
        <f ca="1">IFERROR(__xludf.DUMMYFUNCTION("IMPORTRANGE(""https://docs.google.com/spreadsheets/d/1JWG2rZePOz9pe-f-ObA-yDr0VoOX2kSb0qIix2mTUo8/edit?usp=sharing"",""ตาก!I204"")"),3)</f>
        <v>3</v>
      </c>
      <c r="AN17" s="86">
        <f ca="1">IFERROR(__xludf.DUMMYFUNCTION("IMPORTRANGE(""https://docs.google.com/spreadsheets/d/1JWG2rZePOz9pe-f-ObA-yDr0VoOX2kSb0qIix2mTUo8/edit?usp=sharing"",""ตาก!J204"")"),3)</f>
        <v>3</v>
      </c>
      <c r="AO17" s="87">
        <f t="shared" ca="1" si="90"/>
        <v>100</v>
      </c>
      <c r="AP17" s="298">
        <f ca="1">IFERROR(__xludf.DUMMYFUNCTION("IMPORTRANGE(""https://docs.google.com/spreadsheets/d/1JWG2rZePOz9pe-f-ObA-yDr0VoOX2kSb0qIix2mTUo8/edit?usp=sharing"",""ตาก!J206"")"),3)</f>
        <v>3</v>
      </c>
      <c r="AQ17" s="298">
        <f ca="1">IFERROR(__xludf.DUMMYFUNCTION("IMPORTRANGE(""https://docs.google.com/spreadsheets/d/1JWG2rZePOz9pe-f-ObA-yDr0VoOX2kSb0qIix2mTUo8/edit?usp=sharing"",""ตาก!J207"")"),0)</f>
        <v>0</v>
      </c>
      <c r="AR17" s="86">
        <f ca="1">IFERROR(__xludf.DUMMYFUNCTION("IMPORTRANGE(""https://docs.google.com/spreadsheets/d/1JWG2rZePOz9pe-f-ObA-yDr0VoOX2kSb0qIix2mTUo8/edit?usp=sharing"",""ตาก!L210"")"),0)</f>
        <v>0</v>
      </c>
      <c r="AS17" s="86">
        <f ca="1">IFERROR(__xludf.DUMMYFUNCTION("IMPORTRANGE(""https://docs.google.com/spreadsheets/d/1JWG2rZePOz9pe-f-ObA-yDr0VoOX2kSb0qIix2mTUo8/edit?usp=sharing"",""ตาก!N210"")"),0)</f>
        <v>0</v>
      </c>
      <c r="AT17" s="87">
        <f t="shared" ca="1" si="91"/>
        <v>0</v>
      </c>
      <c r="AU17" s="86">
        <f ca="1">IFERROR(__xludf.DUMMYFUNCTION("IMPORTRANGE(""https://docs.google.com/spreadsheets/d/1JWG2rZePOz9pe-f-ObA-yDr0VoOX2kSb0qIix2mTUo8/edit?usp=sharing"",""ตาก!L211"")"),0)</f>
        <v>0</v>
      </c>
      <c r="AV17" s="86">
        <f ca="1">IFERROR(__xludf.DUMMYFUNCTION("IMPORTRANGE(""https://docs.google.com/spreadsheets/d/1JWG2rZePOz9pe-f-ObA-yDr0VoOX2kSb0qIix2mTUo8/edit?usp=sharing"",""ตาก!N211"")"),0)</f>
        <v>0</v>
      </c>
      <c r="AW17" s="87">
        <f t="shared" ca="1" si="92"/>
        <v>0</v>
      </c>
      <c r="AX17" s="86">
        <f ca="1">IFERROR(__xludf.DUMMYFUNCTION("IMPORTRANGE(""https://docs.google.com/spreadsheets/d/1JWG2rZePOz9pe-f-ObA-yDr0VoOX2kSb0qIix2mTUo8/edit?usp=sharing"",""ตาก!L212"")"),0)</f>
        <v>0</v>
      </c>
      <c r="AY17" s="86">
        <f ca="1">IFERROR(__xludf.DUMMYFUNCTION("IMPORTRANGE(""https://docs.google.com/spreadsheets/d/1JWG2rZePOz9pe-f-ObA-yDr0VoOX2kSb0qIix2mTUo8/edit?usp=sharing"",""ตาก!N212"")"),0)</f>
        <v>0</v>
      </c>
      <c r="AZ17" s="87">
        <f t="shared" ca="1" si="93"/>
        <v>0</v>
      </c>
      <c r="BA17" s="86">
        <f ca="1">IFERROR(__xludf.DUMMYFUNCTION("IMPORTRANGE(""https://docs.google.com/spreadsheets/d/1JWG2rZePOz9pe-f-ObA-yDr0VoOX2kSb0qIix2mTUo8/edit?usp=sharing"",""ตาก!I214"")"),0)</f>
        <v>0</v>
      </c>
      <c r="BB17" s="86">
        <f ca="1">IFERROR(__xludf.DUMMYFUNCTION("IMPORTRANGE(""https://docs.google.com/spreadsheets/d/1JWG2rZePOz9pe-f-ObA-yDr0VoOX2kSb0qIix2mTUo8/edit?usp=sharing"",""ตาก!J214"")"),0)</f>
        <v>0</v>
      </c>
      <c r="BC17" s="87">
        <f t="shared" ca="1" si="94"/>
        <v>0</v>
      </c>
      <c r="BD17" s="86">
        <f ca="1">IFERROR(__xludf.DUMMYFUNCTION("IMPORTRANGE(""https://docs.google.com/spreadsheets/d/1JWG2rZePOz9pe-f-ObA-yDr0VoOX2kSb0qIix2mTUo8/edit?usp=sharing"",""ตาก!I215"")"),0)</f>
        <v>0</v>
      </c>
      <c r="BE17" s="86">
        <f ca="1">IFERROR(__xludf.DUMMYFUNCTION("IMPORTRANGE(""https://docs.google.com/spreadsheets/d/1JWG2rZePOz9pe-f-ObA-yDr0VoOX2kSb0qIix2mTUo8/edit?usp=sharing"",""ตาก!J215"")"),0)</f>
        <v>0</v>
      </c>
      <c r="BF17" s="87">
        <f t="shared" ca="1" si="95"/>
        <v>0</v>
      </c>
      <c r="BG17" s="86">
        <f ca="1">IFERROR(__xludf.DUMMYFUNCTION("IMPORTRANGE(""https://docs.google.com/spreadsheets/d/1JWG2rZePOz9pe-f-ObA-yDr0VoOX2kSb0qIix2mTUo8/edit?usp=sharing"",""ตาก!L218"")"),5000)</f>
        <v>5000</v>
      </c>
      <c r="BH17" s="86">
        <f ca="1">IFERROR(__xludf.DUMMYFUNCTION("IMPORTRANGE(""https://docs.google.com/spreadsheets/d/1JWG2rZePOz9pe-f-ObA-yDr0VoOX2kSb0qIix2mTUo8/edit?usp=sharing"",""ตาก!N218"")"),0)</f>
        <v>0</v>
      </c>
      <c r="BI17" s="87">
        <f t="shared" ca="1" si="96"/>
        <v>0</v>
      </c>
      <c r="BJ17" s="86">
        <f ca="1">IFERROR(__xludf.DUMMYFUNCTION("IMPORTRANGE(""https://docs.google.com/spreadsheets/d/1JWG2rZePOz9pe-f-ObA-yDr0VoOX2kSb0qIix2mTUo8/edit?usp=sharing"",""ตาก!L219"")"),13500)</f>
        <v>13500</v>
      </c>
      <c r="BK17" s="86">
        <f ca="1">IFERROR(__xludf.DUMMYFUNCTION("IMPORTRANGE(""https://docs.google.com/spreadsheets/d/1JWG2rZePOz9pe-f-ObA-yDr0VoOX2kSb0qIix2mTUo8/edit?usp=sharing"",""ตาก!N219"")"),0)</f>
        <v>0</v>
      </c>
      <c r="BL17" s="87">
        <f t="shared" ca="1" si="97"/>
        <v>0</v>
      </c>
      <c r="BM17" s="86">
        <f ca="1">IFERROR(__xludf.DUMMYFUNCTION("IMPORTRANGE(""https://docs.google.com/spreadsheets/d/1JWG2rZePOz9pe-f-ObA-yDr0VoOX2kSb0qIix2mTUo8/edit?usp=sharing"",""ตาก!L220"")"),0)</f>
        <v>0</v>
      </c>
      <c r="BN17" s="86">
        <f ca="1">IFERROR(__xludf.DUMMYFUNCTION("IMPORTRANGE(""https://docs.google.com/spreadsheets/d/1JWG2rZePOz9pe-f-ObA-yDr0VoOX2kSb0qIix2mTUo8/edit?usp=sharing"",""ตาก!N220"")"),0)</f>
        <v>0</v>
      </c>
      <c r="BO17" s="87">
        <f t="shared" ca="1" si="98"/>
        <v>0</v>
      </c>
      <c r="BP17" s="86">
        <f ca="1">IFERROR(__xludf.DUMMYFUNCTION("IMPORTRANGE(""https://docs.google.com/spreadsheets/d/1JWG2rZePOz9pe-f-ObA-yDr0VoOX2kSb0qIix2mTUo8/edit?usp=sharing"",""ตาก!I223"")"),50000)</f>
        <v>50000</v>
      </c>
      <c r="BQ17" s="86">
        <f ca="1">IFERROR(__xludf.DUMMYFUNCTION("IMPORTRANGE(""https://docs.google.com/spreadsheets/d/1JWG2rZePOz9pe-f-ObA-yDr0VoOX2kSb0qIix2mTUo8/edit?usp=sharing"",""ตาก!J223"")"),0)</f>
        <v>0</v>
      </c>
      <c r="BR17" s="87">
        <f t="shared" ca="1" si="99"/>
        <v>0</v>
      </c>
      <c r="BS17" s="86">
        <f ca="1">IFERROR(__xludf.DUMMYFUNCTION("IMPORTRANGE(""https://docs.google.com/spreadsheets/d/1JWG2rZePOz9pe-f-ObA-yDr0VoOX2kSb0qIix2mTUo8/edit?usp=sharing"",""ตาก!I224"")"),50000)</f>
        <v>50000</v>
      </c>
      <c r="BT17" s="86">
        <f ca="1">IFERROR(__xludf.DUMMYFUNCTION("IMPORTRANGE(""https://docs.google.com/spreadsheets/d/1JWG2rZePOz9pe-f-ObA-yDr0VoOX2kSb0qIix2mTUo8/edit?usp=sharing"",""ตาก!J224"")"),0)</f>
        <v>0</v>
      </c>
      <c r="BU17" s="87">
        <f t="shared" ca="1" si="100"/>
        <v>0</v>
      </c>
      <c r="BV17" s="86">
        <f ca="1">IFERROR(__xludf.DUMMYFUNCTION("IMPORTRANGE(""https://docs.google.com/spreadsheets/d/1JWG2rZePOz9pe-f-ObA-yDr0VoOX2kSb0qIix2mTUo8/edit?usp=sharing"",""ตาก!I225"")"),0)</f>
        <v>0</v>
      </c>
      <c r="BW17" s="86">
        <f ca="1">IFERROR(__xludf.DUMMYFUNCTION("IMPORTRANGE(""https://docs.google.com/spreadsheets/d/1JWG2rZePOz9pe-f-ObA-yDr0VoOX2kSb0qIix2mTUo8/edit?usp=sharing"",""ตาก!J225"")"),0)</f>
        <v>0</v>
      </c>
      <c r="BX17" s="87">
        <f t="shared" ca="1" si="101"/>
        <v>0</v>
      </c>
      <c r="BY17" s="86">
        <f ca="1">IFERROR(__xludf.DUMMYFUNCTION("IMPORTRANGE(""https://docs.google.com/spreadsheets/d/1JWG2rZePOz9pe-f-ObA-yDr0VoOX2kSb0qIix2mTUo8/edit?usp=sharing"",""ตาก!L228"")"),0)</f>
        <v>0</v>
      </c>
      <c r="BZ17" s="86">
        <f ca="1">IFERROR(__xludf.DUMMYFUNCTION("IMPORTRANGE(""https://docs.google.com/spreadsheets/d/1JWG2rZePOz9pe-f-ObA-yDr0VoOX2kSb0qIix2mTUo8/edit?usp=sharing"",""ตาก!N228"")"),0)</f>
        <v>0</v>
      </c>
      <c r="CA17" s="87">
        <f t="shared" ca="1" si="102"/>
        <v>0</v>
      </c>
      <c r="CB17" s="86">
        <f ca="1">IFERROR(__xludf.DUMMYFUNCTION("IMPORTRANGE(""https://docs.google.com/spreadsheets/d/1JWG2rZePOz9pe-f-ObA-yDr0VoOX2kSb0qIix2mTUo8/edit?usp=sharing"",""ตาก!L229"")"),0)</f>
        <v>0</v>
      </c>
      <c r="CC17" s="86">
        <f ca="1">IFERROR(__xludf.DUMMYFUNCTION("IMPORTRANGE(""https://docs.google.com/spreadsheets/d/1JWG2rZePOz9pe-f-ObA-yDr0VoOX2kSb0qIix2mTUo8/edit?usp=sharing"",""ตาก!N229"")"),0)</f>
        <v>0</v>
      </c>
      <c r="CD17" s="87">
        <f t="shared" ca="1" si="103"/>
        <v>0</v>
      </c>
      <c r="CE17" s="86">
        <f ca="1">IFERROR(__xludf.DUMMYFUNCTION("IMPORTRANGE(""https://docs.google.com/spreadsheets/d/1JWG2rZePOz9pe-f-ObA-yDr0VoOX2kSb0qIix2mTUo8/edit?usp=sharing"",""ตาก!L230"")"),0)</f>
        <v>0</v>
      </c>
      <c r="CF17" s="86">
        <f ca="1">IFERROR(__xludf.DUMMYFUNCTION("IMPORTRANGE(""https://docs.google.com/spreadsheets/d/1JWG2rZePOz9pe-f-ObA-yDr0VoOX2kSb0qIix2mTUo8/edit?usp=sharing"",""ตาก!N230"")"),0)</f>
        <v>0</v>
      </c>
      <c r="CG17" s="87">
        <f t="shared" ca="1" si="104"/>
        <v>0</v>
      </c>
      <c r="CH17" s="86">
        <f ca="1">IFERROR(__xludf.DUMMYFUNCTION("IMPORTRANGE(""https://docs.google.com/spreadsheets/d/1JWG2rZePOz9pe-f-ObA-yDr0VoOX2kSb0qIix2mTUo8/edit?usp=sharing"",""ตาก!L231"")"),0)</f>
        <v>0</v>
      </c>
      <c r="CI17" s="86">
        <f ca="1">IFERROR(__xludf.DUMMYFUNCTION("IMPORTRANGE(""https://docs.google.com/spreadsheets/d/1JWG2rZePOz9pe-f-ObA-yDr0VoOX2kSb0qIix2mTUo8/edit?usp=sharing"",""ตาก!N231"")"),0)</f>
        <v>0</v>
      </c>
      <c r="CJ17" s="87">
        <f t="shared" ca="1" si="105"/>
        <v>0</v>
      </c>
      <c r="CK17" s="86">
        <f ca="1">IFERROR(__xludf.DUMMYFUNCTION("IMPORTRANGE(""https://docs.google.com/spreadsheets/d/1JWG2rZePOz9pe-f-ObA-yDr0VoOX2kSb0qIix2mTUo8/edit?usp=sharing"",""ตาก!I233"")"),0)</f>
        <v>0</v>
      </c>
      <c r="CL17" s="86">
        <f ca="1">IFERROR(__xludf.DUMMYFUNCTION("IMPORTRANGE(""https://docs.google.com/spreadsheets/d/1JWG2rZePOz9pe-f-ObA-yDr0VoOX2kSb0qIix2mTUo8/edit?usp=sharing"",""ตาก!J233"")"),0)</f>
        <v>0</v>
      </c>
      <c r="CM17" s="87">
        <f t="shared" ca="1" si="106"/>
        <v>0</v>
      </c>
      <c r="CN17" s="86">
        <f ca="1">IFERROR(__xludf.DUMMYFUNCTION("IMPORTRANGE(""https://docs.google.com/spreadsheets/d/1JWG2rZePOz9pe-f-ObA-yDr0VoOX2kSb0qIix2mTUo8/edit?usp=sharing"",""ตาก!J235"")"),0)</f>
        <v>0</v>
      </c>
      <c r="CO17" s="86">
        <f ca="1">IFERROR(__xludf.DUMMYFUNCTION("IMPORTRANGE(""https://docs.google.com/spreadsheets/d/1JWG2rZePOz9pe-f-ObA-yDr0VoOX2kSb0qIix2mTUo8/edit?usp=sharing"",""ตาก!J236"")"),0)</f>
        <v>0</v>
      </c>
    </row>
    <row r="18" spans="1:93" ht="24" customHeight="1" x14ac:dyDescent="0.3">
      <c r="A18" s="78">
        <v>5</v>
      </c>
      <c r="B18" s="79" t="s">
        <v>40</v>
      </c>
      <c r="C18" s="80">
        <f t="shared" ca="1" si="0"/>
        <v>107000</v>
      </c>
      <c r="D18" s="81">
        <f t="shared" ca="1" si="133"/>
        <v>107000</v>
      </c>
      <c r="E18" s="82">
        <f ca="1">IFERROR(__xludf.DUMMYFUNCTION("IMPORTRANGE(""https://docs.google.com/spreadsheets/d/1MeEWN-I1oV_STSDYn1IFDPWt_1FKiwhDph83XaGc0o0/edit?usp=sharing"",""งบพรบ!CP18"")"),0)</f>
        <v>0</v>
      </c>
      <c r="F18" s="82">
        <f ca="1">IFERROR(__xludf.DUMMYFUNCTION("IMPORTRANGE(""https://docs.google.com/spreadsheets/d/1MeEWN-I1oV_STSDYn1IFDPWt_1FKiwhDph83XaGc0o0/edit?usp=sharing"",""งบพรบ!CQ18"")"),107000)</f>
        <v>107000</v>
      </c>
      <c r="G18" s="82">
        <f ca="1">IFERROR(__xludf.DUMMYFUNCTION("IMPORTRANGE(""https://docs.google.com/spreadsheets/d/1MeEWN-I1oV_STSDYn1IFDPWt_1FKiwhDph83XaGc0o0/edit?usp=sharing"",""งบพรบ!CR18"")"),0)</f>
        <v>0</v>
      </c>
      <c r="H18" s="82">
        <f ca="1">IFERROR(__xludf.DUMMYFUNCTION("IMPORTRANGE(""https://docs.google.com/spreadsheets/d/1MeEWN-I1oV_STSDYn1IFDPWt_1FKiwhDph83XaGc0o0/edit?usp=sharing"",""งบพรบ!CT18"")"),80500)</f>
        <v>80500</v>
      </c>
      <c r="I18" s="82">
        <f ca="1">IFERROR(__xludf.DUMMYFUNCTION("IMPORTRANGE(""https://docs.google.com/spreadsheets/d/1MeEWN-I1oV_STSDYn1IFDPWt_1FKiwhDph83XaGc0o0/edit?usp=sharing"",""งบพรบ!CU18"")"),0)</f>
        <v>0</v>
      </c>
      <c r="J18" s="82">
        <f t="shared" ca="1" si="3"/>
        <v>2420</v>
      </c>
      <c r="K18" s="83">
        <f t="shared" ca="1" si="4"/>
        <v>2.2616822429906542</v>
      </c>
      <c r="L18" s="82">
        <f ca="1">IFERROR(__xludf.DUMMYFUNCTION("IMPORTRANGE(""https://docs.google.com/spreadsheets/d/1MeEWN-I1oV_STSDYn1IFDPWt_1FKiwhDph83XaGc0o0/edit?usp=sharing"",""งบพรบ!CV18"")"),2420)</f>
        <v>2420</v>
      </c>
      <c r="M18" s="84">
        <f t="shared" ca="1" si="5"/>
        <v>2.2616822429906542</v>
      </c>
      <c r="N18" s="84">
        <f t="shared" ca="1" si="6"/>
        <v>3.0062111801242235</v>
      </c>
      <c r="O18" s="85">
        <f ca="1">IFERROR(__xludf.DUMMYFUNCTION("IMPORTRANGE(""https://docs.google.com/spreadsheets/d/1MeEWN-I1oV_STSDYn1IFDPWt_1FKiwhDph83XaGc0o0/edit?usp=sharing"",""งบพรบ!CW18"")"),0)</f>
        <v>0</v>
      </c>
      <c r="P18" s="85">
        <f t="shared" ca="1" si="108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IFERROR(__xludf.DUMMYFUNCTION("IMPORTRANGE(""https://docs.google.com/spreadsheets/d/10nSRjK08hx8Y6HgSOQKNw81lyY46Zc7U_Cj72hBMp9U/edit?usp=sharing"",""นครสวรรค์!L191"")"),6000)</f>
        <v>6000</v>
      </c>
      <c r="S18" s="86">
        <f ca="1">IFERROR(__xludf.DUMMYFUNCTION("IMPORTRANGE(""https://docs.google.com/spreadsheets/d/10nSRjK08hx8Y6HgSOQKNw81lyY46Zc7U_Cj72hBMp9U/edit?usp=sharing"",""นครสวรรค์!N191"")"),0)</f>
        <v>0</v>
      </c>
      <c r="T18" s="87">
        <f t="shared" ca="1" si="84"/>
        <v>0</v>
      </c>
      <c r="U18" s="86">
        <f ca="1">IFERROR(__xludf.DUMMYFUNCTION("IMPORTRANGE(""https://docs.google.com/spreadsheets/d/10nSRjK08hx8Y6HgSOQKNw81lyY46Zc7U_Cj72hBMp9U/edit?usp=sharing"",""นครสวรรค์!I193"")"),4)</f>
        <v>4</v>
      </c>
      <c r="V18" s="86">
        <f ca="1">IFERROR(__xludf.DUMMYFUNCTION("IMPORTRANGE(""https://docs.google.com/spreadsheets/d/10nSRjK08hx8Y6HgSOQKNw81lyY46Zc7U_Cj72hBMp9U/edit?usp=sharing"",""นครสวรรค์!J193"")"),1)</f>
        <v>1</v>
      </c>
      <c r="W18" s="87">
        <f t="shared" ca="1" si="85"/>
        <v>25</v>
      </c>
      <c r="X18" s="86">
        <f t="shared" ca="1" si="134"/>
        <v>27</v>
      </c>
      <c r="Y18" s="86">
        <f ca="1">IFERROR(__xludf.DUMMYFUNCTION("IMPORTRANGE(""https://docs.google.com/spreadsheets/d/10nSRjK08hx8Y6HgSOQKNw81lyY46Zc7U_Cj72hBMp9U/edit?usp=sharing"",""นครสวรรค์!J195"")"),27)</f>
        <v>27</v>
      </c>
      <c r="Z18" s="86">
        <f ca="1">IFERROR(__xludf.DUMMYFUNCTION("IMPORTRANGE(""https://docs.google.com/spreadsheets/d/10nSRjK08hx8Y6HgSOQKNw81lyY46Zc7U_Cj72hBMp9U/edit?usp=sharing"",""นครสวรรค์!J196"")"),0)</f>
        <v>0</v>
      </c>
      <c r="AA18" s="86">
        <f ca="1">IFERROR(__xludf.DUMMYFUNCTION("IMPORTRANGE(""https://docs.google.com/spreadsheets/d/10nSRjK08hx8Y6HgSOQKNw81lyY46Zc7U_Cj72hBMp9U/edit?usp=sharing"",""นครสวรรค์!L199"")"),5000)</f>
        <v>5000</v>
      </c>
      <c r="AB18" s="86">
        <f ca="1">IFERROR(__xludf.DUMMYFUNCTION("IMPORTRANGE(""https://docs.google.com/spreadsheets/d/10nSRjK08hx8Y6HgSOQKNw81lyY46Zc7U_Cj72hBMp9U/edit?usp=sharing"",""นครสวรรค์!N199"")"),0)</f>
        <v>0</v>
      </c>
      <c r="AC18" s="87">
        <f t="shared" ca="1" si="86"/>
        <v>0</v>
      </c>
      <c r="AD18" s="86">
        <f ca="1">IFERROR(__xludf.DUMMYFUNCTION("IMPORTRANGE(""https://docs.google.com/spreadsheets/d/10nSRjK08hx8Y6HgSOQKNw81lyY46Zc7U_Cj72hBMp9U/edit?usp=sharing"",""นครสวรรค์!L200"")"),40000)</f>
        <v>40000</v>
      </c>
      <c r="AE18" s="86">
        <f ca="1">IFERROR(__xludf.DUMMYFUNCTION("IMPORTRANGE(""https://docs.google.com/spreadsheets/d/10nSRjK08hx8Y6HgSOQKNw81lyY46Zc7U_Cj72hBMp9U/edit?usp=sharing"",""นครสวรรค์!N200"")"),0)</f>
        <v>0</v>
      </c>
      <c r="AF18" s="87">
        <f t="shared" ca="1" si="87"/>
        <v>0</v>
      </c>
      <c r="AG18" s="86">
        <f ca="1">IFERROR(__xludf.DUMMYFUNCTION("IMPORTRANGE(""https://docs.google.com/spreadsheets/d/10nSRjK08hx8Y6HgSOQKNw81lyY46Zc7U_Cj72hBMp9U/edit?usp=sharing"",""นครสวรรค์!L201"")"),20000)</f>
        <v>20000</v>
      </c>
      <c r="AH18" s="86">
        <f ca="1">IFERROR(__xludf.DUMMYFUNCTION("IMPORTRANGE(""https://docs.google.com/spreadsheets/d/10nSRjK08hx8Y6HgSOQKNw81lyY46Zc7U_Cj72hBMp9U/edit?usp=sharing"",""นครสวรรค์!N201"")"),0)</f>
        <v>0</v>
      </c>
      <c r="AI18" s="87">
        <f t="shared" ca="1" si="88"/>
        <v>0</v>
      </c>
      <c r="AJ18" s="86">
        <f ca="1">IFERROR(__xludf.DUMMYFUNCTION("IMPORTRANGE(""https://docs.google.com/spreadsheets/d/10nSRjK08hx8Y6HgSOQKNw81lyY46Zc7U_Cj72hBMp9U/edit?usp=sharing"",""นครสวรรค์!L202"")"),5000)</f>
        <v>5000</v>
      </c>
      <c r="AK18" s="86">
        <f ca="1">IFERROR(__xludf.DUMMYFUNCTION("IMPORTRANGE(""https://docs.google.com/spreadsheets/d/10nSRjK08hx8Y6HgSOQKNw81lyY46Zc7U_Cj72hBMp9U/edit?usp=sharing"",""นครสวรรค์!N202"")"),0)</f>
        <v>0</v>
      </c>
      <c r="AL18" s="87">
        <f t="shared" ca="1" si="89"/>
        <v>0</v>
      </c>
      <c r="AM18" s="86">
        <f ca="1">IFERROR(__xludf.DUMMYFUNCTION("IMPORTRANGE(""https://docs.google.com/spreadsheets/d/10nSRjK08hx8Y6HgSOQKNw81lyY46Zc7U_Cj72hBMp9U/edit?usp=sharing"",""นครสวรรค์!I204"")"),5)</f>
        <v>5</v>
      </c>
      <c r="AN18" s="86">
        <f ca="1">IFERROR(__xludf.DUMMYFUNCTION("IMPORTRANGE(""https://docs.google.com/spreadsheets/d/10nSRjK08hx8Y6HgSOQKNw81lyY46Zc7U_Cj72hBMp9U/edit?usp=sharing"",""นครสวรรค์!J204"")"),0)</f>
        <v>0</v>
      </c>
      <c r="AO18" s="87">
        <f t="shared" ca="1" si="90"/>
        <v>0</v>
      </c>
      <c r="AP18" s="298">
        <f ca="1">IFERROR(__xludf.DUMMYFUNCTION("IMPORTRANGE(""https://docs.google.com/spreadsheets/d/10nSRjK08hx8Y6HgSOQKNw81lyY46Zc7U_Cj72hBMp9U/edit?usp=sharing"",""นครสวรรค์!J206"")"),0)</f>
        <v>0</v>
      </c>
      <c r="AQ18" s="298">
        <f ca="1">IFERROR(__xludf.DUMMYFUNCTION("IMPORTRANGE(""https://docs.google.com/spreadsheets/d/10nSRjK08hx8Y6HgSOQKNw81lyY46Zc7U_Cj72hBMp9U/edit?usp=sharing"",""นครสวรรค์!J207"")"),0)</f>
        <v>0</v>
      </c>
      <c r="AR18" s="86">
        <f ca="1">IFERROR(__xludf.DUMMYFUNCTION("IMPORTRANGE(""https://docs.google.com/spreadsheets/d/10nSRjK08hx8Y6HgSOQKNw81lyY46Zc7U_Cj72hBMp9U/edit?usp=sharing"",""นครสวรรค์!L210"")"),0)</f>
        <v>0</v>
      </c>
      <c r="AS18" s="86">
        <f ca="1">IFERROR(__xludf.DUMMYFUNCTION("IMPORTRANGE(""https://docs.google.com/spreadsheets/d/10nSRjK08hx8Y6HgSOQKNw81lyY46Zc7U_Cj72hBMp9U/edit?usp=sharing"",""นครสวรรค์!N210"")"),0)</f>
        <v>0</v>
      </c>
      <c r="AT18" s="87">
        <f t="shared" ca="1" si="91"/>
        <v>0</v>
      </c>
      <c r="AU18" s="86">
        <f ca="1">IFERROR(__xludf.DUMMYFUNCTION("IMPORTRANGE(""https://docs.google.com/spreadsheets/d/10nSRjK08hx8Y6HgSOQKNw81lyY46Zc7U_Cj72hBMp9U/edit?usp=sharing"",""นครสวรรค์!L211"")"),0)</f>
        <v>0</v>
      </c>
      <c r="AV18" s="86">
        <f ca="1">IFERROR(__xludf.DUMMYFUNCTION("IMPORTRANGE(""https://docs.google.com/spreadsheets/d/10nSRjK08hx8Y6HgSOQKNw81lyY46Zc7U_Cj72hBMp9U/edit?usp=sharing"",""นครสวรรค์!N211"")"),0)</f>
        <v>0</v>
      </c>
      <c r="AW18" s="87">
        <f t="shared" ca="1" si="92"/>
        <v>0</v>
      </c>
      <c r="AX18" s="86">
        <f ca="1">IFERROR(__xludf.DUMMYFUNCTION("IMPORTRANGE(""https://docs.google.com/spreadsheets/d/10nSRjK08hx8Y6HgSOQKNw81lyY46Zc7U_Cj72hBMp9U/edit?usp=sharing"",""นครสวรรค์!L212"")"),0)</f>
        <v>0</v>
      </c>
      <c r="AY18" s="86">
        <f ca="1">IFERROR(__xludf.DUMMYFUNCTION("IMPORTRANGE(""https://docs.google.com/spreadsheets/d/10nSRjK08hx8Y6HgSOQKNw81lyY46Zc7U_Cj72hBMp9U/edit?usp=sharing"",""นครสวรรค์!N212"")"),0)</f>
        <v>0</v>
      </c>
      <c r="AZ18" s="87">
        <f t="shared" ca="1" si="93"/>
        <v>0</v>
      </c>
      <c r="BA18" s="86">
        <f ca="1">IFERROR(__xludf.DUMMYFUNCTION("IMPORTRANGE(""https://docs.google.com/spreadsheets/d/10nSRjK08hx8Y6HgSOQKNw81lyY46Zc7U_Cj72hBMp9U/edit?usp=sharing"",""นครสวรรค์!I214"")"),0)</f>
        <v>0</v>
      </c>
      <c r="BB18" s="86">
        <f ca="1">IFERROR(__xludf.DUMMYFUNCTION("IMPORTRANGE(""https://docs.google.com/spreadsheets/d/10nSRjK08hx8Y6HgSOQKNw81lyY46Zc7U_Cj72hBMp9U/edit?usp=sharing"",""นครสวรรค์!J214"")"),0)</f>
        <v>0</v>
      </c>
      <c r="BC18" s="87">
        <f t="shared" ca="1" si="94"/>
        <v>0</v>
      </c>
      <c r="BD18" s="86">
        <f ca="1">IFERROR(__xludf.DUMMYFUNCTION("IMPORTRANGE(""https://docs.google.com/spreadsheets/d/10nSRjK08hx8Y6HgSOQKNw81lyY46Zc7U_Cj72hBMp9U/edit?usp=sharing"",""นครสวรรค์!I215"")"),0)</f>
        <v>0</v>
      </c>
      <c r="BE18" s="86">
        <f ca="1">IFERROR(__xludf.DUMMYFUNCTION("IMPORTRANGE(""https://docs.google.com/spreadsheets/d/10nSRjK08hx8Y6HgSOQKNw81lyY46Zc7U_Cj72hBMp9U/edit?usp=sharing"",""นครสวรรค์!J215"")"),0)</f>
        <v>0</v>
      </c>
      <c r="BF18" s="87">
        <f t="shared" ca="1" si="95"/>
        <v>0</v>
      </c>
      <c r="BG18" s="86">
        <f ca="1">IFERROR(__xludf.DUMMYFUNCTION("IMPORTRANGE(""https://docs.google.com/spreadsheets/d/10nSRjK08hx8Y6HgSOQKNw81lyY46Zc7U_Cj72hBMp9U/edit?usp=sharing"",""นครสวรรค์!L218"")"),6000)</f>
        <v>6000</v>
      </c>
      <c r="BH18" s="86">
        <f ca="1">IFERROR(__xludf.DUMMYFUNCTION("IMPORTRANGE(""https://docs.google.com/spreadsheets/d/10nSRjK08hx8Y6HgSOQKNw81lyY46Zc7U_Cj72hBMp9U/edit?usp=sharing"",""นครสวรรค์!N218"")"),0)</f>
        <v>0</v>
      </c>
      <c r="BI18" s="87">
        <f t="shared" ca="1" si="96"/>
        <v>0</v>
      </c>
      <c r="BJ18" s="86">
        <f ca="1">IFERROR(__xludf.DUMMYFUNCTION("IMPORTRANGE(""https://docs.google.com/spreadsheets/d/10nSRjK08hx8Y6HgSOQKNw81lyY46Zc7U_Cj72hBMp9U/edit?usp=sharing"",""นครสวรรค์!L219"")"),25000)</f>
        <v>25000</v>
      </c>
      <c r="BK18" s="86">
        <f ca="1">IFERROR(__xludf.DUMMYFUNCTION("IMPORTRANGE(""https://docs.google.com/spreadsheets/d/10nSRjK08hx8Y6HgSOQKNw81lyY46Zc7U_Cj72hBMp9U/edit?usp=sharing"",""นครสวรรค์!N219"")"),0)</f>
        <v>0</v>
      </c>
      <c r="BL18" s="87">
        <f t="shared" ca="1" si="97"/>
        <v>0</v>
      </c>
      <c r="BM18" s="86">
        <f ca="1">IFERROR(__xludf.DUMMYFUNCTION("IMPORTRANGE(""https://docs.google.com/spreadsheets/d/10nSRjK08hx8Y6HgSOQKNw81lyY46Zc7U_Cj72hBMp9U/edit?usp=sharing"",""นครสวรรค์!L220"")"),0)</f>
        <v>0</v>
      </c>
      <c r="BN18" s="86">
        <f ca="1">IFERROR(__xludf.DUMMYFUNCTION("IMPORTRANGE(""https://docs.google.com/spreadsheets/d/10nSRjK08hx8Y6HgSOQKNw81lyY46Zc7U_Cj72hBMp9U/edit?usp=sharing"",""นครสวรรค์!N220"")"),0)</f>
        <v>0</v>
      </c>
      <c r="BO18" s="87">
        <f t="shared" ca="1" si="98"/>
        <v>0</v>
      </c>
      <c r="BP18" s="86">
        <f ca="1">IFERROR(__xludf.DUMMYFUNCTION("IMPORTRANGE(""https://docs.google.com/spreadsheets/d/10nSRjK08hx8Y6HgSOQKNw81lyY46Zc7U_Cj72hBMp9U/edit?usp=sharing"",""นครสวรรค์!I223"")"),100000)</f>
        <v>100000</v>
      </c>
      <c r="BQ18" s="86">
        <f ca="1">IFERROR(__xludf.DUMMYFUNCTION("IMPORTRANGE(""https://docs.google.com/spreadsheets/d/10nSRjK08hx8Y6HgSOQKNw81lyY46Zc7U_Cj72hBMp9U/edit?usp=sharing"",""นครสวรรค์!J223"")"),100000)</f>
        <v>100000</v>
      </c>
      <c r="BR18" s="87">
        <f t="shared" ca="1" si="99"/>
        <v>100</v>
      </c>
      <c r="BS18" s="86">
        <f ca="1">IFERROR(__xludf.DUMMYFUNCTION("IMPORTRANGE(""https://docs.google.com/spreadsheets/d/10nSRjK08hx8Y6HgSOQKNw81lyY46Zc7U_Cj72hBMp9U/edit?usp=sharing"",""นครสวรรค์!I224"")"),100000)</f>
        <v>100000</v>
      </c>
      <c r="BT18" s="86">
        <f ca="1">IFERROR(__xludf.DUMMYFUNCTION("IMPORTRANGE(""https://docs.google.com/spreadsheets/d/10nSRjK08hx8Y6HgSOQKNw81lyY46Zc7U_Cj72hBMp9U/edit?usp=sharing"",""นครสวรรค์!J224"")"),0)</f>
        <v>0</v>
      </c>
      <c r="BU18" s="87">
        <f t="shared" ca="1" si="100"/>
        <v>0</v>
      </c>
      <c r="BV18" s="86">
        <f ca="1">IFERROR(__xludf.DUMMYFUNCTION("IMPORTRANGE(""https://docs.google.com/spreadsheets/d/10nSRjK08hx8Y6HgSOQKNw81lyY46Zc7U_Cj72hBMp9U/edit?usp=sharing"",""นครสวรรค์!I225"")"),0)</f>
        <v>0</v>
      </c>
      <c r="BW18" s="86">
        <f ca="1">IFERROR(__xludf.DUMMYFUNCTION("IMPORTRANGE(""https://docs.google.com/spreadsheets/d/10nSRjK08hx8Y6HgSOQKNw81lyY46Zc7U_Cj72hBMp9U/edit?usp=sharing"",""นครสวรรค์!J225"")"),0)</f>
        <v>0</v>
      </c>
      <c r="BX18" s="87">
        <f t="shared" ca="1" si="101"/>
        <v>0</v>
      </c>
      <c r="BY18" s="86">
        <f ca="1">IFERROR(__xludf.DUMMYFUNCTION("IMPORTRANGE(""https://docs.google.com/spreadsheets/d/10nSRjK08hx8Y6HgSOQKNw81lyY46Zc7U_Cj72hBMp9U/edit?usp=sharing"",""นครสวรรค์!L228"")"),0)</f>
        <v>0</v>
      </c>
      <c r="BZ18" s="86">
        <f ca="1">IFERROR(__xludf.DUMMYFUNCTION("IMPORTRANGE(""https://docs.google.com/spreadsheets/d/10nSRjK08hx8Y6HgSOQKNw81lyY46Zc7U_Cj72hBMp9U/edit?usp=sharing"",""นครสวรรค์!N228"")"),0)</f>
        <v>0</v>
      </c>
      <c r="CA18" s="87">
        <f t="shared" ca="1" si="102"/>
        <v>0</v>
      </c>
      <c r="CB18" s="86">
        <f ca="1">IFERROR(__xludf.DUMMYFUNCTION("IMPORTRANGE(""https://docs.google.com/spreadsheets/d/10nSRjK08hx8Y6HgSOQKNw81lyY46Zc7U_Cj72hBMp9U/edit?usp=sharing"",""นครสวรรค์!L229"")"),0)</f>
        <v>0</v>
      </c>
      <c r="CC18" s="86">
        <f ca="1">IFERROR(__xludf.DUMMYFUNCTION("IMPORTRANGE(""https://docs.google.com/spreadsheets/d/10nSRjK08hx8Y6HgSOQKNw81lyY46Zc7U_Cj72hBMp9U/edit?usp=sharing"",""นครสวรรค์!N229"")"),0)</f>
        <v>0</v>
      </c>
      <c r="CD18" s="87">
        <f t="shared" ca="1" si="103"/>
        <v>0</v>
      </c>
      <c r="CE18" s="86">
        <f ca="1">IFERROR(__xludf.DUMMYFUNCTION("IMPORTRANGE(""https://docs.google.com/spreadsheets/d/10nSRjK08hx8Y6HgSOQKNw81lyY46Zc7U_Cj72hBMp9U/edit?usp=sharing"",""นครสวรรค์!L230"")"),0)</f>
        <v>0</v>
      </c>
      <c r="CF18" s="86">
        <f ca="1">IFERROR(__xludf.DUMMYFUNCTION("IMPORTRANGE(""https://docs.google.com/spreadsheets/d/10nSRjK08hx8Y6HgSOQKNw81lyY46Zc7U_Cj72hBMp9U/edit?usp=sharing"",""นครสวรรค์!N230"")"),0)</f>
        <v>0</v>
      </c>
      <c r="CG18" s="87">
        <f t="shared" ca="1" si="104"/>
        <v>0</v>
      </c>
      <c r="CH18" s="86">
        <f ca="1">IFERROR(__xludf.DUMMYFUNCTION("IMPORTRANGE(""https://docs.google.com/spreadsheets/d/10nSRjK08hx8Y6HgSOQKNw81lyY46Zc7U_Cj72hBMp9U/edit?usp=sharing"",""นครสวรรค์!L231"")"),0)</f>
        <v>0</v>
      </c>
      <c r="CI18" s="86">
        <f ca="1">IFERROR(__xludf.DUMMYFUNCTION("IMPORTRANGE(""https://docs.google.com/spreadsheets/d/10nSRjK08hx8Y6HgSOQKNw81lyY46Zc7U_Cj72hBMp9U/edit?usp=sharing"",""นครสวรรค์!N231"")"),0)</f>
        <v>0</v>
      </c>
      <c r="CJ18" s="87">
        <f t="shared" ca="1" si="105"/>
        <v>0</v>
      </c>
      <c r="CK18" s="86">
        <f ca="1">IFERROR(__xludf.DUMMYFUNCTION("IMPORTRANGE(""https://docs.google.com/spreadsheets/d/10nSRjK08hx8Y6HgSOQKNw81lyY46Zc7U_Cj72hBMp9U/edit?usp=sharing"",""นครสวรรค์!I233"")"),0)</f>
        <v>0</v>
      </c>
      <c r="CL18" s="86">
        <f ca="1">IFERROR(__xludf.DUMMYFUNCTION("IMPORTRANGE(""https://docs.google.com/spreadsheets/d/10nSRjK08hx8Y6HgSOQKNw81lyY46Zc7U_Cj72hBMp9U/edit?usp=sharing"",""นครสวรรค์!J233"")"),0)</f>
        <v>0</v>
      </c>
      <c r="CM18" s="87">
        <f t="shared" ca="1" si="106"/>
        <v>0</v>
      </c>
      <c r="CN18" s="86">
        <f ca="1">IFERROR(__xludf.DUMMYFUNCTION("IMPORTRANGE(""https://docs.google.com/spreadsheets/d/10nSRjK08hx8Y6HgSOQKNw81lyY46Zc7U_Cj72hBMp9U/edit?usp=sharing"",""นครสวรรค์!J235"")"),0)</f>
        <v>0</v>
      </c>
      <c r="CO18" s="86">
        <f ca="1">IFERROR(__xludf.DUMMYFUNCTION("IMPORTRANGE(""https://docs.google.com/spreadsheets/d/10nSRjK08hx8Y6HgSOQKNw81lyY46Zc7U_Cj72hBMp9U/edit?usp=sharing"",""นครสวรรค์!J236"")"),0)</f>
        <v>0</v>
      </c>
    </row>
    <row r="19" spans="1:93" ht="24" customHeight="1" x14ac:dyDescent="0.3">
      <c r="A19" s="78">
        <v>6</v>
      </c>
      <c r="B19" s="79" t="s">
        <v>41</v>
      </c>
      <c r="C19" s="80">
        <f t="shared" ca="1" si="0"/>
        <v>962600</v>
      </c>
      <c r="D19" s="81">
        <f t="shared" ca="1" si="133"/>
        <v>962600</v>
      </c>
      <c r="E19" s="82">
        <f ca="1">IFERROR(__xludf.DUMMYFUNCTION("IMPORTRANGE(""https://docs.google.com/spreadsheets/d/1MeEWN-I1oV_STSDYn1IFDPWt_1FKiwhDph83XaGc0o0/edit?usp=sharing"",""งบพรบ!CP19"")"),499500)</f>
        <v>499500</v>
      </c>
      <c r="F19" s="82">
        <f ca="1">IFERROR(__xludf.DUMMYFUNCTION("IMPORTRANGE(""https://docs.google.com/spreadsheets/d/1MeEWN-I1oV_STSDYn1IFDPWt_1FKiwhDph83XaGc0o0/edit?usp=sharing"",""งบพรบ!CQ19"")"),463100)</f>
        <v>463100</v>
      </c>
      <c r="G19" s="82">
        <f ca="1">IFERROR(__xludf.DUMMYFUNCTION("IMPORTRANGE(""https://docs.google.com/spreadsheets/d/1MeEWN-I1oV_STSDYn1IFDPWt_1FKiwhDph83XaGc0o0/edit?usp=sharing"",""งบพรบ!CR19"")"),0)</f>
        <v>0</v>
      </c>
      <c r="H19" s="82">
        <f ca="1">IFERROR(__xludf.DUMMYFUNCTION("IMPORTRANGE(""https://docs.google.com/spreadsheets/d/1MeEWN-I1oV_STSDYn1IFDPWt_1FKiwhDph83XaGc0o0/edit?usp=sharing"",""งบพรบ!CT19"")"),770725)</f>
        <v>770725</v>
      </c>
      <c r="I19" s="82">
        <f ca="1">IFERROR(__xludf.DUMMYFUNCTION("IMPORTRANGE(""https://docs.google.com/spreadsheets/d/1MeEWN-I1oV_STSDYn1IFDPWt_1FKiwhDph83XaGc0o0/edit?usp=sharing"",""งบพรบ!CU19"")"),0)</f>
        <v>0</v>
      </c>
      <c r="J19" s="82">
        <f t="shared" ca="1" si="3"/>
        <v>342234.69</v>
      </c>
      <c r="K19" s="83">
        <f t="shared" ca="1" si="4"/>
        <v>35.553157074589656</v>
      </c>
      <c r="L19" s="82">
        <f ca="1">IFERROR(__xludf.DUMMYFUNCTION("IMPORTRANGE(""https://docs.google.com/spreadsheets/d/1MeEWN-I1oV_STSDYn1IFDPWt_1FKiwhDph83XaGc0o0/edit?usp=sharing"",""งบพรบ!CV19"")"),342234.69)</f>
        <v>342234.69</v>
      </c>
      <c r="M19" s="84">
        <f t="shared" ca="1" si="5"/>
        <v>35.553157074589656</v>
      </c>
      <c r="N19" s="84">
        <f t="shared" ca="1" si="6"/>
        <v>44.404254435758538</v>
      </c>
      <c r="O19" s="85">
        <f ca="1">IFERROR(__xludf.DUMMYFUNCTION("IMPORTRANGE(""https://docs.google.com/spreadsheets/d/1MeEWN-I1oV_STSDYn1IFDPWt_1FKiwhDph83XaGc0o0/edit?usp=sharing"",""งบพรบ!CW19"")"),0)</f>
        <v>0</v>
      </c>
      <c r="P19" s="85">
        <f t="shared" ca="1" si="108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IFERROR(__xludf.DUMMYFUNCTION("IMPORTRANGE(""https://docs.google.com/spreadsheets/d/1gFVb7qd7amutrIxAAoM7lcy35hllxznovot8lyOfvDo/edit?usp=sharing"",""น่าน!L191"")"),6000)</f>
        <v>6000</v>
      </c>
      <c r="S19" s="86">
        <f ca="1">IFERROR(__xludf.DUMMYFUNCTION("IMPORTRANGE(""https://docs.google.com/spreadsheets/d/1gFVb7qd7amutrIxAAoM7lcy35hllxznovot8lyOfvDo/edit?usp=sharing"",""น่าน!N191"")"),500)</f>
        <v>500</v>
      </c>
      <c r="T19" s="87">
        <f t="shared" ca="1" si="84"/>
        <v>8.3333333333333339</v>
      </c>
      <c r="U19" s="86">
        <f ca="1">IFERROR(__xludf.DUMMYFUNCTION("IMPORTRANGE(""https://docs.google.com/spreadsheets/d/1gFVb7qd7amutrIxAAoM7lcy35hllxznovot8lyOfvDo/edit?usp=sharing"",""น่าน!I193"")"),4)</f>
        <v>4</v>
      </c>
      <c r="V19" s="86">
        <f ca="1">IFERROR(__xludf.DUMMYFUNCTION("IMPORTRANGE(""https://docs.google.com/spreadsheets/d/1gFVb7qd7amutrIxAAoM7lcy35hllxznovot8lyOfvDo/edit?usp=sharing"",""น่าน!J193"")"),1)</f>
        <v>1</v>
      </c>
      <c r="W19" s="87">
        <f t="shared" ca="1" si="85"/>
        <v>25</v>
      </c>
      <c r="X19" s="86">
        <f t="shared" ca="1" si="134"/>
        <v>30</v>
      </c>
      <c r="Y19" s="86">
        <f ca="1">IFERROR(__xludf.DUMMYFUNCTION("IMPORTRANGE(""https://docs.google.com/spreadsheets/d/1gFVb7qd7amutrIxAAoM7lcy35hllxznovot8lyOfvDo/edit?usp=sharing"",""น่าน!J195"")"),30)</f>
        <v>30</v>
      </c>
      <c r="Z19" s="86">
        <f ca="1">IFERROR(__xludf.DUMMYFUNCTION("IMPORTRANGE(""https://docs.google.com/spreadsheets/d/1gFVb7qd7amutrIxAAoM7lcy35hllxznovot8lyOfvDo/edit?usp=sharing"",""น่าน!J196"")"),0)</f>
        <v>0</v>
      </c>
      <c r="AA19" s="86">
        <f ca="1">IFERROR(__xludf.DUMMYFUNCTION("IMPORTRANGE(""https://docs.google.com/spreadsheets/d/1gFVb7qd7amutrIxAAoM7lcy35hllxznovot8lyOfvDo/edit?usp=sharing"",""น่าน!L199"")"),4000)</f>
        <v>4000</v>
      </c>
      <c r="AB19" s="86">
        <f ca="1">IFERROR(__xludf.DUMMYFUNCTION("IMPORTRANGE(""https://docs.google.com/spreadsheets/d/1gFVb7qd7amutrIxAAoM7lcy35hllxznovot8lyOfvDo/edit?usp=sharing"",""น่าน!N199"")"),1500)</f>
        <v>1500</v>
      </c>
      <c r="AC19" s="87">
        <f t="shared" ca="1" si="86"/>
        <v>37.5</v>
      </c>
      <c r="AD19" s="86">
        <f ca="1">IFERROR(__xludf.DUMMYFUNCTION("IMPORTRANGE(""https://docs.google.com/spreadsheets/d/1gFVb7qd7amutrIxAAoM7lcy35hllxznovot8lyOfvDo/edit?usp=sharing"",""น่าน!L200"")"),32000)</f>
        <v>32000</v>
      </c>
      <c r="AE19" s="86">
        <f ca="1">IFERROR(__xludf.DUMMYFUNCTION("IMPORTRANGE(""https://docs.google.com/spreadsheets/d/1gFVb7qd7amutrIxAAoM7lcy35hllxznovot8lyOfvDo/edit?usp=sharing"",""น่าน!N200"")"),31920)</f>
        <v>31920</v>
      </c>
      <c r="AF19" s="87">
        <f t="shared" ca="1" si="87"/>
        <v>99.75</v>
      </c>
      <c r="AG19" s="86">
        <f ca="1">IFERROR(__xludf.DUMMYFUNCTION("IMPORTRANGE(""https://docs.google.com/spreadsheets/d/1gFVb7qd7amutrIxAAoM7lcy35hllxznovot8lyOfvDo/edit?usp=sharing"",""น่าน!L201"")"),16000)</f>
        <v>16000</v>
      </c>
      <c r="AH19" s="86">
        <f ca="1">IFERROR(__xludf.DUMMYFUNCTION("IMPORTRANGE(""https://docs.google.com/spreadsheets/d/1gFVb7qd7amutrIxAAoM7lcy35hllxznovot8lyOfvDo/edit?usp=sharing"",""น่าน!N201"")"),0)</f>
        <v>0</v>
      </c>
      <c r="AI19" s="87">
        <f t="shared" ca="1" si="88"/>
        <v>0</v>
      </c>
      <c r="AJ19" s="86">
        <f ca="1">IFERROR(__xludf.DUMMYFUNCTION("IMPORTRANGE(""https://docs.google.com/spreadsheets/d/1gFVb7qd7amutrIxAAoM7lcy35hllxznovot8lyOfvDo/edit?usp=sharing"",""น่าน!L202"")"),5000)</f>
        <v>5000</v>
      </c>
      <c r="AK19" s="86">
        <f ca="1">IFERROR(__xludf.DUMMYFUNCTION("IMPORTRANGE(""https://docs.google.com/spreadsheets/d/1gFVb7qd7amutrIxAAoM7lcy35hllxznovot8lyOfvDo/edit?usp=sharing"",""น่าน!N202"")"),0)</f>
        <v>0</v>
      </c>
      <c r="AL19" s="87">
        <f t="shared" ca="1" si="89"/>
        <v>0</v>
      </c>
      <c r="AM19" s="86">
        <f ca="1">IFERROR(__xludf.DUMMYFUNCTION("IMPORTRANGE(""https://docs.google.com/spreadsheets/d/1gFVb7qd7amutrIxAAoM7lcy35hllxznovot8lyOfvDo/edit?usp=sharing"",""น่าน!I204"")"),4)</f>
        <v>4</v>
      </c>
      <c r="AN19" s="86">
        <f ca="1">IFERROR(__xludf.DUMMYFUNCTION("IMPORTRANGE(""https://docs.google.com/spreadsheets/d/1gFVb7qd7amutrIxAAoM7lcy35hllxznovot8lyOfvDo/edit?usp=sharing"",""น่าน!J204"")"),4)</f>
        <v>4</v>
      </c>
      <c r="AO19" s="87">
        <f t="shared" ca="1" si="90"/>
        <v>100</v>
      </c>
      <c r="AP19" s="298">
        <f ca="1">IFERROR(__xludf.DUMMYFUNCTION("IMPORTRANGE(""https://docs.google.com/spreadsheets/d/1gFVb7qd7amutrIxAAoM7lcy35hllxznovot8lyOfvDo/edit?usp=sharing"",""น่าน!J206"")"),4)</f>
        <v>4</v>
      </c>
      <c r="AQ19" s="298">
        <f ca="1">IFERROR(__xludf.DUMMYFUNCTION("IMPORTRANGE(""https://docs.google.com/spreadsheets/d/1gFVb7qd7amutrIxAAoM7lcy35hllxznovot8lyOfvDo/edit?usp=sharing"",""น่าน!J207"")"),0)</f>
        <v>0</v>
      </c>
      <c r="AR19" s="86">
        <f ca="1">IFERROR(__xludf.DUMMYFUNCTION("IMPORTRANGE(""https://docs.google.com/spreadsheets/d/1gFVb7qd7amutrIxAAoM7lcy35hllxznovot8lyOfvDo/edit?usp=sharing"",""น่าน!L210"")"),0)</f>
        <v>0</v>
      </c>
      <c r="AS19" s="86">
        <f ca="1">IFERROR(__xludf.DUMMYFUNCTION("IMPORTRANGE(""https://docs.google.com/spreadsheets/d/1gFVb7qd7amutrIxAAoM7lcy35hllxznovot8lyOfvDo/edit?usp=sharing"",""น่าน!N210"")"),0)</f>
        <v>0</v>
      </c>
      <c r="AT19" s="87">
        <f t="shared" ca="1" si="91"/>
        <v>0</v>
      </c>
      <c r="AU19" s="86">
        <f ca="1">IFERROR(__xludf.DUMMYFUNCTION("IMPORTRANGE(""https://docs.google.com/spreadsheets/d/1gFVb7qd7amutrIxAAoM7lcy35hllxznovot8lyOfvDo/edit?usp=sharing"",""น่าน!L211"")"),0)</f>
        <v>0</v>
      </c>
      <c r="AV19" s="86">
        <f ca="1">IFERROR(__xludf.DUMMYFUNCTION("IMPORTRANGE(""https://docs.google.com/spreadsheets/d/1gFVb7qd7amutrIxAAoM7lcy35hllxznovot8lyOfvDo/edit?usp=sharing"",""น่าน!N211"")"),0)</f>
        <v>0</v>
      </c>
      <c r="AW19" s="87">
        <f t="shared" ca="1" si="92"/>
        <v>0</v>
      </c>
      <c r="AX19" s="86">
        <f ca="1">IFERROR(__xludf.DUMMYFUNCTION("IMPORTRANGE(""https://docs.google.com/spreadsheets/d/1gFVb7qd7amutrIxAAoM7lcy35hllxznovot8lyOfvDo/edit?usp=sharing"",""น่าน!L212"")"),0)</f>
        <v>0</v>
      </c>
      <c r="AY19" s="86">
        <f ca="1">IFERROR(__xludf.DUMMYFUNCTION("IMPORTRANGE(""https://docs.google.com/spreadsheets/d/1gFVb7qd7amutrIxAAoM7lcy35hllxznovot8lyOfvDo/edit?usp=sharing"",""น่าน!N212"")"),0)</f>
        <v>0</v>
      </c>
      <c r="AZ19" s="87">
        <f t="shared" ca="1" si="93"/>
        <v>0</v>
      </c>
      <c r="BA19" s="86">
        <f ca="1">IFERROR(__xludf.DUMMYFUNCTION("IMPORTRANGE(""https://docs.google.com/spreadsheets/d/1gFVb7qd7amutrIxAAoM7lcy35hllxznovot8lyOfvDo/edit?usp=sharing"",""น่าน!I214"")"),0)</f>
        <v>0</v>
      </c>
      <c r="BB19" s="86">
        <f ca="1">IFERROR(__xludf.DUMMYFUNCTION("IMPORTRANGE(""https://docs.google.com/spreadsheets/d/1gFVb7qd7amutrIxAAoM7lcy35hllxznovot8lyOfvDo/edit?usp=sharing"",""น่าน!J214"")"),0)</f>
        <v>0</v>
      </c>
      <c r="BC19" s="87">
        <f t="shared" ca="1" si="94"/>
        <v>0</v>
      </c>
      <c r="BD19" s="86">
        <f ca="1">IFERROR(__xludf.DUMMYFUNCTION("IMPORTRANGE(""https://docs.google.com/spreadsheets/d/1gFVb7qd7amutrIxAAoM7lcy35hllxznovot8lyOfvDo/edit?usp=sharing"",""น่าน!I215"")"),0)</f>
        <v>0</v>
      </c>
      <c r="BE19" s="86">
        <f ca="1">IFERROR(__xludf.DUMMYFUNCTION("IMPORTRANGE(""https://docs.google.com/spreadsheets/d/1gFVb7qd7amutrIxAAoM7lcy35hllxznovot8lyOfvDo/edit?usp=sharing"",""น่าน!J215"")"),0)</f>
        <v>0</v>
      </c>
      <c r="BF19" s="87">
        <f t="shared" ca="1" si="95"/>
        <v>0</v>
      </c>
      <c r="BG19" s="86">
        <f ca="1">IFERROR(__xludf.DUMMYFUNCTION("IMPORTRANGE(""https://docs.google.com/spreadsheets/d/1gFVb7qd7amutrIxAAoM7lcy35hllxznovot8lyOfvDo/edit?usp=sharing"",""น่าน!L218"")"),5000)</f>
        <v>5000</v>
      </c>
      <c r="BH19" s="86">
        <f ca="1">IFERROR(__xludf.DUMMYFUNCTION("IMPORTRANGE(""https://docs.google.com/spreadsheets/d/1gFVb7qd7amutrIxAAoM7lcy35hllxznovot8lyOfvDo/edit?usp=sharing"",""น่าน!N218"")"),0)</f>
        <v>0</v>
      </c>
      <c r="BI19" s="87">
        <f t="shared" ca="1" si="96"/>
        <v>0</v>
      </c>
      <c r="BJ19" s="86">
        <f ca="1">IFERROR(__xludf.DUMMYFUNCTION("IMPORTRANGE(""https://docs.google.com/spreadsheets/d/1gFVb7qd7amutrIxAAoM7lcy35hllxznovot8lyOfvDo/edit?usp=sharing"",""น่าน!L219"")"),13500)</f>
        <v>13500</v>
      </c>
      <c r="BK19" s="86">
        <f ca="1">IFERROR(__xludf.DUMMYFUNCTION("IMPORTRANGE(""https://docs.google.com/spreadsheets/d/1gFVb7qd7amutrIxAAoM7lcy35hllxznovot8lyOfvDo/edit?usp=sharing"",""น่าน!N219"")"),0)</f>
        <v>0</v>
      </c>
      <c r="BL19" s="87">
        <f t="shared" ca="1" si="97"/>
        <v>0</v>
      </c>
      <c r="BM19" s="86">
        <f ca="1">IFERROR(__xludf.DUMMYFUNCTION("IMPORTRANGE(""https://docs.google.com/spreadsheets/d/1gFVb7qd7amutrIxAAoM7lcy35hllxznovot8lyOfvDo/edit?usp=sharing"",""น่าน!L220"")"),0)</f>
        <v>0</v>
      </c>
      <c r="BN19" s="86">
        <f ca="1">IFERROR(__xludf.DUMMYFUNCTION("IMPORTRANGE(""https://docs.google.com/spreadsheets/d/1gFVb7qd7amutrIxAAoM7lcy35hllxznovot8lyOfvDo/edit?usp=sharing"",""น่าน!N220"")"),0)</f>
        <v>0</v>
      </c>
      <c r="BO19" s="87">
        <f t="shared" ca="1" si="98"/>
        <v>0</v>
      </c>
      <c r="BP19" s="86">
        <f ca="1">IFERROR(__xludf.DUMMYFUNCTION("IMPORTRANGE(""https://docs.google.com/spreadsheets/d/1gFVb7qd7amutrIxAAoM7lcy35hllxznovot8lyOfvDo/edit?usp=sharing"",""น่าน!I223"")"),50000)</f>
        <v>50000</v>
      </c>
      <c r="BQ19" s="86">
        <f ca="1">IFERROR(__xludf.DUMMYFUNCTION("IMPORTRANGE(""https://docs.google.com/spreadsheets/d/1gFVb7qd7amutrIxAAoM7lcy35hllxznovot8lyOfvDo/edit?usp=sharing"",""น่าน!J223"")"),0)</f>
        <v>0</v>
      </c>
      <c r="BR19" s="87">
        <f t="shared" ca="1" si="99"/>
        <v>0</v>
      </c>
      <c r="BS19" s="86">
        <f ca="1">IFERROR(__xludf.DUMMYFUNCTION("IMPORTRANGE(""https://docs.google.com/spreadsheets/d/1gFVb7qd7amutrIxAAoM7lcy35hllxznovot8lyOfvDo/edit?usp=sharing"",""น่าน!I224"")"),50000)</f>
        <v>50000</v>
      </c>
      <c r="BT19" s="86">
        <f ca="1">IFERROR(__xludf.DUMMYFUNCTION("IMPORTRANGE(""https://docs.google.com/spreadsheets/d/1gFVb7qd7amutrIxAAoM7lcy35hllxznovot8lyOfvDo/edit?usp=sharing"",""น่าน!J224"")"),0)</f>
        <v>0</v>
      </c>
      <c r="BU19" s="87">
        <f t="shared" ca="1" si="100"/>
        <v>0</v>
      </c>
      <c r="BV19" s="86">
        <f ca="1">IFERROR(__xludf.DUMMYFUNCTION("IMPORTRANGE(""https://docs.google.com/spreadsheets/d/1gFVb7qd7amutrIxAAoM7lcy35hllxznovot8lyOfvDo/edit?usp=sharing"",""น่าน!I225"")"),0)</f>
        <v>0</v>
      </c>
      <c r="BW19" s="86">
        <f ca="1">IFERROR(__xludf.DUMMYFUNCTION("IMPORTRANGE(""https://docs.google.com/spreadsheets/d/1gFVb7qd7amutrIxAAoM7lcy35hllxznovot8lyOfvDo/edit?usp=sharing"",""น่าน!J225"")"),0)</f>
        <v>0</v>
      </c>
      <c r="BX19" s="87">
        <f t="shared" ca="1" si="101"/>
        <v>0</v>
      </c>
      <c r="BY19" s="86">
        <f ca="1">IFERROR(__xludf.DUMMYFUNCTION("IMPORTRANGE(""https://docs.google.com/spreadsheets/d/1gFVb7qd7amutrIxAAoM7lcy35hllxznovot8lyOfvDo/edit?usp=sharing"",""น่าน!L228"")"),185000)</f>
        <v>185000</v>
      </c>
      <c r="BZ19" s="86">
        <f ca="1">IFERROR(__xludf.DUMMYFUNCTION("IMPORTRANGE(""https://docs.google.com/spreadsheets/d/1gFVb7qd7amutrIxAAoM7lcy35hllxznovot8lyOfvDo/edit?usp=sharing"",""น่าน!N228"")"),51460)</f>
        <v>51460</v>
      </c>
      <c r="CA19" s="87">
        <f t="shared" ca="1" si="102"/>
        <v>27.816216216216215</v>
      </c>
      <c r="CB19" s="86">
        <f ca="1">IFERROR(__xludf.DUMMYFUNCTION("IMPORTRANGE(""https://docs.google.com/spreadsheets/d/1gFVb7qd7amutrIxAAoM7lcy35hllxznovot8lyOfvDo/edit?usp=sharing"",""น่าน!L229"")"),111600)</f>
        <v>111600</v>
      </c>
      <c r="CC19" s="86">
        <f ca="1">IFERROR(__xludf.DUMMYFUNCTION("IMPORTRANGE(""https://docs.google.com/spreadsheets/d/1gFVb7qd7amutrIxAAoM7lcy35hllxznovot8lyOfvDo/edit?usp=sharing"",""น่าน!N229"")"),55740)</f>
        <v>55740</v>
      </c>
      <c r="CD19" s="87">
        <f t="shared" ca="1" si="103"/>
        <v>49.946236559139784</v>
      </c>
      <c r="CE19" s="86">
        <f ca="1">IFERROR(__xludf.DUMMYFUNCTION("IMPORTRANGE(""https://docs.google.com/spreadsheets/d/1gFVb7qd7amutrIxAAoM7lcy35hllxznovot8lyOfvDo/edit?usp=sharing"",""น่าน!L230"")"),65000)</f>
        <v>65000</v>
      </c>
      <c r="CF19" s="86">
        <f ca="1">IFERROR(__xludf.DUMMYFUNCTION("IMPORTRANGE(""https://docs.google.com/spreadsheets/d/1gFVb7qd7amutrIxAAoM7lcy35hllxznovot8lyOfvDo/edit?usp=sharing"",""น่าน!N230"")"),0)</f>
        <v>0</v>
      </c>
      <c r="CG19" s="87">
        <f t="shared" ca="1" si="104"/>
        <v>0</v>
      </c>
      <c r="CH19" s="86">
        <f ca="1">IFERROR(__xludf.DUMMYFUNCTION("IMPORTRANGE(""https://docs.google.com/spreadsheets/d/1gFVb7qd7amutrIxAAoM7lcy35hllxznovot8lyOfvDo/edit?usp=sharing"",""น่าน!L231"")"),20000)</f>
        <v>20000</v>
      </c>
      <c r="CI19" s="86">
        <f ca="1">IFERROR(__xludf.DUMMYFUNCTION("IMPORTRANGE(""https://docs.google.com/spreadsheets/d/1gFVb7qd7amutrIxAAoM7lcy35hllxznovot8lyOfvDo/edit?usp=sharing"",""น่าน!N231"")"),0)</f>
        <v>0</v>
      </c>
      <c r="CJ19" s="87">
        <f t="shared" ca="1" si="105"/>
        <v>0</v>
      </c>
      <c r="CK19" s="86">
        <f ca="1">IFERROR(__xludf.DUMMYFUNCTION("IMPORTRANGE(""https://docs.google.com/spreadsheets/d/1gFVb7qd7amutrIxAAoM7lcy35hllxznovot8lyOfvDo/edit?usp=sharing"",""น่าน!I233"")"),80)</f>
        <v>80</v>
      </c>
      <c r="CL19" s="86">
        <f ca="1">IFERROR(__xludf.DUMMYFUNCTION("IMPORTRANGE(""https://docs.google.com/spreadsheets/d/1gFVb7qd7amutrIxAAoM7lcy35hllxznovot8lyOfvDo/edit?usp=sharing"",""น่าน!J233"")"),80)</f>
        <v>80</v>
      </c>
      <c r="CM19" s="87">
        <f t="shared" ca="1" si="106"/>
        <v>100</v>
      </c>
      <c r="CN19" s="86">
        <f ca="1">IFERROR(__xludf.DUMMYFUNCTION("IMPORTRANGE(""https://docs.google.com/spreadsheets/d/1gFVb7qd7amutrIxAAoM7lcy35hllxznovot8lyOfvDo/edit?usp=sharing"",""น่าน!J235"")"),0)</f>
        <v>0</v>
      </c>
      <c r="CO19" s="86">
        <f ca="1">IFERROR(__xludf.DUMMYFUNCTION("IMPORTRANGE(""https://docs.google.com/spreadsheets/d/1gFVb7qd7amutrIxAAoM7lcy35hllxznovot8lyOfvDo/edit?usp=sharing"",""น่าน!J236"")"),0)</f>
        <v>0</v>
      </c>
    </row>
    <row r="20" spans="1:93" ht="24" customHeight="1" x14ac:dyDescent="0.3">
      <c r="A20" s="78">
        <v>7</v>
      </c>
      <c r="B20" s="79" t="s">
        <v>42</v>
      </c>
      <c r="C20" s="80">
        <f t="shared" ca="1" si="0"/>
        <v>723180</v>
      </c>
      <c r="D20" s="81">
        <f t="shared" ca="1" si="133"/>
        <v>723180</v>
      </c>
      <c r="E20" s="82">
        <f ca="1">IFERROR(__xludf.DUMMYFUNCTION("IMPORTRANGE(""https://docs.google.com/spreadsheets/d/1MeEWN-I1oV_STSDYn1IFDPWt_1FKiwhDph83XaGc0o0/edit?usp=sharing"",""งบพรบ!CP20"")"),283600)</f>
        <v>283600</v>
      </c>
      <c r="F20" s="82">
        <f ca="1">IFERROR(__xludf.DUMMYFUNCTION("IMPORTRANGE(""https://docs.google.com/spreadsheets/d/1MeEWN-I1oV_STSDYn1IFDPWt_1FKiwhDph83XaGc0o0/edit?usp=sharing"",""งบพรบ!CQ20"")"),439580)</f>
        <v>439580</v>
      </c>
      <c r="G20" s="82">
        <f ca="1">IFERROR(__xludf.DUMMYFUNCTION("IMPORTRANGE(""https://docs.google.com/spreadsheets/d/1MeEWN-I1oV_STSDYn1IFDPWt_1FKiwhDph83XaGc0o0/edit?usp=sharing"",""งบพรบ!CR20"")"),0)</f>
        <v>0</v>
      </c>
      <c r="H20" s="82">
        <f ca="1">IFERROR(__xludf.DUMMYFUNCTION("IMPORTRANGE(""https://docs.google.com/spreadsheets/d/1MeEWN-I1oV_STSDYn1IFDPWt_1FKiwhDph83XaGc0o0/edit?usp=sharing"",""งบพรบ!CT20"")"),593780)</f>
        <v>593780</v>
      </c>
      <c r="I20" s="82">
        <f ca="1">IFERROR(__xludf.DUMMYFUNCTION("IMPORTRANGE(""https://docs.google.com/spreadsheets/d/1MeEWN-I1oV_STSDYn1IFDPWt_1FKiwhDph83XaGc0o0/edit?usp=sharing"",""งบพรบ!CU20"")"),0)</f>
        <v>0</v>
      </c>
      <c r="J20" s="82">
        <f t="shared" ca="1" si="3"/>
        <v>298765.05</v>
      </c>
      <c r="K20" s="83">
        <f t="shared" ca="1" si="4"/>
        <v>41.312681490085453</v>
      </c>
      <c r="L20" s="82">
        <f ca="1">IFERROR(__xludf.DUMMYFUNCTION("IMPORTRANGE(""https://docs.google.com/spreadsheets/d/1MeEWN-I1oV_STSDYn1IFDPWt_1FKiwhDph83XaGc0o0/edit?usp=sharing"",""งบพรบ!CV20"")"),298765.05)</f>
        <v>298765.05</v>
      </c>
      <c r="M20" s="84">
        <f t="shared" ca="1" si="5"/>
        <v>41.312681490085453</v>
      </c>
      <c r="N20" s="84">
        <f t="shared" ca="1" si="6"/>
        <v>50.31578193943885</v>
      </c>
      <c r="O20" s="85">
        <f ca="1">IFERROR(__xludf.DUMMYFUNCTION("IMPORTRANGE(""https://docs.google.com/spreadsheets/d/1MeEWN-I1oV_STSDYn1IFDPWt_1FKiwhDph83XaGc0o0/edit?usp=sharing"",""งบพรบ!CW20"")"),0)</f>
        <v>0</v>
      </c>
      <c r="P20" s="85">
        <f t="shared" ca="1" si="108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IFERROR(__xludf.DUMMYFUNCTION("IMPORTRANGE(""https://docs.google.com/spreadsheets/d/1K0Aa9s-6EuHE5M0FG1F9aHLXRCOV917xvycTdLdct0w/edit?usp=sharing"",""พะเยา!L191"")"),6000)</f>
        <v>6000</v>
      </c>
      <c r="S20" s="86">
        <f ca="1">IFERROR(__xludf.DUMMYFUNCTION("IMPORTRANGE(""https://docs.google.com/spreadsheets/d/1K0Aa9s-6EuHE5M0FG1F9aHLXRCOV917xvycTdLdct0w/edit?usp=sharing"",""พะเยา!N191"")"),220)</f>
        <v>220</v>
      </c>
      <c r="T20" s="87">
        <f t="shared" ca="1" si="84"/>
        <v>3.6666666666666665</v>
      </c>
      <c r="U20" s="86">
        <f ca="1">IFERROR(__xludf.DUMMYFUNCTION("IMPORTRANGE(""https://docs.google.com/spreadsheets/d/1K0Aa9s-6EuHE5M0FG1F9aHLXRCOV917xvycTdLdct0w/edit?usp=sharing"",""พะเยา!I193"")"),4)</f>
        <v>4</v>
      </c>
      <c r="V20" s="86">
        <f ca="1">IFERROR(__xludf.DUMMYFUNCTION("IMPORTRANGE(""https://docs.google.com/spreadsheets/d/1K0Aa9s-6EuHE5M0FG1F9aHLXRCOV917xvycTdLdct0w/edit?usp=sharing"",""พะเยา!J193"")"),1)</f>
        <v>1</v>
      </c>
      <c r="W20" s="87">
        <f t="shared" ca="1" si="85"/>
        <v>25</v>
      </c>
      <c r="X20" s="86">
        <f t="shared" ca="1" si="134"/>
        <v>0</v>
      </c>
      <c r="Y20" s="86">
        <f ca="1">IFERROR(__xludf.DUMMYFUNCTION("IMPORTRANGE(""https://docs.google.com/spreadsheets/d/1K0Aa9s-6EuHE5M0FG1F9aHLXRCOV917xvycTdLdct0w/edit?usp=sharing"",""พะเยา!J195"")"),0)</f>
        <v>0</v>
      </c>
      <c r="Z20" s="86">
        <f ca="1">IFERROR(__xludf.DUMMYFUNCTION("IMPORTRANGE(""https://docs.google.com/spreadsheets/d/1K0Aa9s-6EuHE5M0FG1F9aHLXRCOV917xvycTdLdct0w/edit?usp=sharing"",""พะเยา!J196"")"),0)</f>
        <v>0</v>
      </c>
      <c r="AA20" s="86">
        <f ca="1">IFERROR(__xludf.DUMMYFUNCTION("IMPORTRANGE(""https://docs.google.com/spreadsheets/d/1K0Aa9s-6EuHE5M0FG1F9aHLXRCOV917xvycTdLdct0w/edit?usp=sharing"",""พะเยา!L199"")"),2000)</f>
        <v>2000</v>
      </c>
      <c r="AB20" s="86">
        <f ca="1">IFERROR(__xludf.DUMMYFUNCTION("IMPORTRANGE(""https://docs.google.com/spreadsheets/d/1K0Aa9s-6EuHE5M0FG1F9aHLXRCOV917xvycTdLdct0w/edit?usp=sharing"",""พะเยา!N199"")"),0)</f>
        <v>0</v>
      </c>
      <c r="AC20" s="87">
        <f t="shared" ca="1" si="86"/>
        <v>0</v>
      </c>
      <c r="AD20" s="86">
        <f ca="1">IFERROR(__xludf.DUMMYFUNCTION("IMPORTRANGE(""https://docs.google.com/spreadsheets/d/1K0Aa9s-6EuHE5M0FG1F9aHLXRCOV917xvycTdLdct0w/edit?usp=sharing"",""พะเยา!L200"")"),16000)</f>
        <v>16000</v>
      </c>
      <c r="AE20" s="86">
        <f ca="1">IFERROR(__xludf.DUMMYFUNCTION("IMPORTRANGE(""https://docs.google.com/spreadsheets/d/1K0Aa9s-6EuHE5M0FG1F9aHLXRCOV917xvycTdLdct0w/edit?usp=sharing"",""พะเยา!N200"")"),0)</f>
        <v>0</v>
      </c>
      <c r="AF20" s="87">
        <f t="shared" ca="1" si="87"/>
        <v>0</v>
      </c>
      <c r="AG20" s="86">
        <f ca="1">IFERROR(__xludf.DUMMYFUNCTION("IMPORTRANGE(""https://docs.google.com/spreadsheets/d/1K0Aa9s-6EuHE5M0FG1F9aHLXRCOV917xvycTdLdct0w/edit?usp=sharing"",""พะเยา!L201"")"),8000)</f>
        <v>8000</v>
      </c>
      <c r="AH20" s="86">
        <f ca="1">IFERROR(__xludf.DUMMYFUNCTION("IMPORTRANGE(""https://docs.google.com/spreadsheets/d/1K0Aa9s-6EuHE5M0FG1F9aHLXRCOV917xvycTdLdct0w/edit?usp=sharing"",""พะเยา!N201"")"),0)</f>
        <v>0</v>
      </c>
      <c r="AI20" s="87">
        <f t="shared" ca="1" si="88"/>
        <v>0</v>
      </c>
      <c r="AJ20" s="86">
        <f ca="1">IFERROR(__xludf.DUMMYFUNCTION("IMPORTRANGE(""https://docs.google.com/spreadsheets/d/1K0Aa9s-6EuHE5M0FG1F9aHLXRCOV917xvycTdLdct0w/edit?usp=sharing"",""พะเยา!L202"")"),0)</f>
        <v>0</v>
      </c>
      <c r="AK20" s="86">
        <f ca="1">IFERROR(__xludf.DUMMYFUNCTION("IMPORTRANGE(""https://docs.google.com/spreadsheets/d/1K0Aa9s-6EuHE5M0FG1F9aHLXRCOV917xvycTdLdct0w/edit?usp=sharing"",""พะเยา!N202"")"),0)</f>
        <v>0</v>
      </c>
      <c r="AL20" s="87">
        <f t="shared" ca="1" si="89"/>
        <v>0</v>
      </c>
      <c r="AM20" s="86">
        <f ca="1">IFERROR(__xludf.DUMMYFUNCTION("IMPORTRANGE(""https://docs.google.com/spreadsheets/d/1K0Aa9s-6EuHE5M0FG1F9aHLXRCOV917xvycTdLdct0w/edit?usp=sharing"",""พะเยา!I204"")"),2)</f>
        <v>2</v>
      </c>
      <c r="AN20" s="86">
        <f ca="1">IFERROR(__xludf.DUMMYFUNCTION("IMPORTRANGE(""https://docs.google.com/spreadsheets/d/1K0Aa9s-6EuHE5M0FG1F9aHLXRCOV917xvycTdLdct0w/edit?usp=sharing"",""พะเยา!J204"")"),2)</f>
        <v>2</v>
      </c>
      <c r="AO20" s="87">
        <f t="shared" ca="1" si="90"/>
        <v>100</v>
      </c>
      <c r="AP20" s="298">
        <f ca="1">IFERROR(__xludf.DUMMYFUNCTION("IMPORTRANGE(""https://docs.google.com/spreadsheets/d/1K0Aa9s-6EuHE5M0FG1F9aHLXRCOV917xvycTdLdct0w/edit?usp=sharing"",""พะเยา!J206"")"),0)</f>
        <v>0</v>
      </c>
      <c r="AQ20" s="298">
        <f ca="1">IFERROR(__xludf.DUMMYFUNCTION("IMPORTRANGE(""https://docs.google.com/spreadsheets/d/1K0Aa9s-6EuHE5M0FG1F9aHLXRCOV917xvycTdLdct0w/edit?usp=sharing"",""พะเยา!J207"")"),0)</f>
        <v>0</v>
      </c>
      <c r="AR20" s="86">
        <f ca="1">IFERROR(__xludf.DUMMYFUNCTION("IMPORTRANGE(""https://docs.google.com/spreadsheets/d/1K0Aa9s-6EuHE5M0FG1F9aHLXRCOV917xvycTdLdct0w/edit?usp=sharing"",""พะเยา!L210"")"),0)</f>
        <v>0</v>
      </c>
      <c r="AS20" s="86">
        <f ca="1">IFERROR(__xludf.DUMMYFUNCTION("IMPORTRANGE(""https://docs.google.com/spreadsheets/d/1K0Aa9s-6EuHE5M0FG1F9aHLXRCOV917xvycTdLdct0w/edit?usp=sharing"",""พะเยา!N210"")"),0)</f>
        <v>0</v>
      </c>
      <c r="AT20" s="87">
        <f t="shared" ca="1" si="91"/>
        <v>0</v>
      </c>
      <c r="AU20" s="86">
        <f ca="1">IFERROR(__xludf.DUMMYFUNCTION("IMPORTRANGE(""https://docs.google.com/spreadsheets/d/1K0Aa9s-6EuHE5M0FG1F9aHLXRCOV917xvycTdLdct0w/edit?usp=sharing"",""พะเยา!L211"")"),0)</f>
        <v>0</v>
      </c>
      <c r="AV20" s="86">
        <f ca="1">IFERROR(__xludf.DUMMYFUNCTION("IMPORTRANGE(""https://docs.google.com/spreadsheets/d/1K0Aa9s-6EuHE5M0FG1F9aHLXRCOV917xvycTdLdct0w/edit?usp=sharing"",""พะเยา!N211"")"),0)</f>
        <v>0</v>
      </c>
      <c r="AW20" s="87">
        <f t="shared" ca="1" si="92"/>
        <v>0</v>
      </c>
      <c r="AX20" s="86">
        <f ca="1">IFERROR(__xludf.DUMMYFUNCTION("IMPORTRANGE(""https://docs.google.com/spreadsheets/d/1K0Aa9s-6EuHE5M0FG1F9aHLXRCOV917xvycTdLdct0w/edit?usp=sharing"",""พะเยา!L212"")"),0)</f>
        <v>0</v>
      </c>
      <c r="AY20" s="86">
        <f ca="1">IFERROR(__xludf.DUMMYFUNCTION("IMPORTRANGE(""https://docs.google.com/spreadsheets/d/1K0Aa9s-6EuHE5M0FG1F9aHLXRCOV917xvycTdLdct0w/edit?usp=sharing"",""พะเยา!N212"")"),0)</f>
        <v>0</v>
      </c>
      <c r="AZ20" s="87">
        <f t="shared" ca="1" si="93"/>
        <v>0</v>
      </c>
      <c r="BA20" s="86">
        <f ca="1">IFERROR(__xludf.DUMMYFUNCTION("IMPORTRANGE(""https://docs.google.com/spreadsheets/d/1K0Aa9s-6EuHE5M0FG1F9aHLXRCOV917xvycTdLdct0w/edit?usp=sharing"",""พะเยา!I214"")"),0)</f>
        <v>0</v>
      </c>
      <c r="BB20" s="86">
        <f ca="1">IFERROR(__xludf.DUMMYFUNCTION("IMPORTRANGE(""https://docs.google.com/spreadsheets/d/1K0Aa9s-6EuHE5M0FG1F9aHLXRCOV917xvycTdLdct0w/edit?usp=sharing"",""พะเยา!J214"")"),0)</f>
        <v>0</v>
      </c>
      <c r="BC20" s="87">
        <f t="shared" ca="1" si="94"/>
        <v>0</v>
      </c>
      <c r="BD20" s="86">
        <f ca="1">IFERROR(__xludf.DUMMYFUNCTION("IMPORTRANGE(""https://docs.google.com/spreadsheets/d/1K0Aa9s-6EuHE5M0FG1F9aHLXRCOV917xvycTdLdct0w/edit?usp=sharing"",""พะเยา!I215"")"),0)</f>
        <v>0</v>
      </c>
      <c r="BE20" s="86">
        <f ca="1">IFERROR(__xludf.DUMMYFUNCTION("IMPORTRANGE(""https://docs.google.com/spreadsheets/d/1K0Aa9s-6EuHE5M0FG1F9aHLXRCOV917xvycTdLdct0w/edit?usp=sharing"",""พะเยา!J215"")"),0)</f>
        <v>0</v>
      </c>
      <c r="BF20" s="87">
        <f t="shared" ca="1" si="95"/>
        <v>0</v>
      </c>
      <c r="BG20" s="86">
        <f ca="1">IFERROR(__xludf.DUMMYFUNCTION("IMPORTRANGE(""https://docs.google.com/spreadsheets/d/1K0Aa9s-6EuHE5M0FG1F9aHLXRCOV917xvycTdLdct0w/edit?usp=sharing"",""พะเยา!L218"")"),3000)</f>
        <v>3000</v>
      </c>
      <c r="BH20" s="86">
        <f ca="1">IFERROR(__xludf.DUMMYFUNCTION("IMPORTRANGE(""https://docs.google.com/spreadsheets/d/1K0Aa9s-6EuHE5M0FG1F9aHLXRCOV917xvycTdLdct0w/edit?usp=sharing"",""พะเยา!N218"")"),0)</f>
        <v>0</v>
      </c>
      <c r="BI20" s="87">
        <f t="shared" ca="1" si="96"/>
        <v>0</v>
      </c>
      <c r="BJ20" s="86">
        <f ca="1">IFERROR(__xludf.DUMMYFUNCTION("IMPORTRANGE(""https://docs.google.com/spreadsheets/d/1K0Aa9s-6EuHE5M0FG1F9aHLXRCOV917xvycTdLdct0w/edit?usp=sharing"",""พะเยา!L219"")"),5000)</f>
        <v>5000</v>
      </c>
      <c r="BK20" s="86">
        <f ca="1">IFERROR(__xludf.DUMMYFUNCTION("IMPORTRANGE(""https://docs.google.com/spreadsheets/d/1K0Aa9s-6EuHE5M0FG1F9aHLXRCOV917xvycTdLdct0w/edit?usp=sharing"",""พะเยา!N219"")"),0)</f>
        <v>0</v>
      </c>
      <c r="BL20" s="87">
        <f t="shared" ca="1" si="97"/>
        <v>0</v>
      </c>
      <c r="BM20" s="86">
        <f ca="1">IFERROR(__xludf.DUMMYFUNCTION("IMPORTRANGE(""https://docs.google.com/spreadsheets/d/1K0Aa9s-6EuHE5M0FG1F9aHLXRCOV917xvycTdLdct0w/edit?usp=sharing"",""พะเยา!L220"")"),10000)</f>
        <v>10000</v>
      </c>
      <c r="BN20" s="86">
        <f ca="1">IFERROR(__xludf.DUMMYFUNCTION("IMPORTRANGE(""https://docs.google.com/spreadsheets/d/1K0Aa9s-6EuHE5M0FG1F9aHLXRCOV917xvycTdLdct0w/edit?usp=sharing"",""พะเยา!N220"")"),0)</f>
        <v>0</v>
      </c>
      <c r="BO20" s="87">
        <f t="shared" ca="1" si="98"/>
        <v>0</v>
      </c>
      <c r="BP20" s="86">
        <f ca="1">IFERROR(__xludf.DUMMYFUNCTION("IMPORTRANGE(""https://docs.google.com/spreadsheets/d/1K0Aa9s-6EuHE5M0FG1F9aHLXRCOV917xvycTdLdct0w/edit?usp=sharing"",""พะเยา!I223"")"),20000)</f>
        <v>20000</v>
      </c>
      <c r="BQ20" s="86">
        <f ca="1">IFERROR(__xludf.DUMMYFUNCTION("IMPORTRANGE(""https://docs.google.com/spreadsheets/d/1K0Aa9s-6EuHE5M0FG1F9aHLXRCOV917xvycTdLdct0w/edit?usp=sharing"",""พะเยา!J223"")"),0)</f>
        <v>0</v>
      </c>
      <c r="BR20" s="87">
        <f t="shared" ca="1" si="99"/>
        <v>0</v>
      </c>
      <c r="BS20" s="86">
        <f ca="1">IFERROR(__xludf.DUMMYFUNCTION("IMPORTRANGE(""https://docs.google.com/spreadsheets/d/1K0Aa9s-6EuHE5M0FG1F9aHLXRCOV917xvycTdLdct0w/edit?usp=sharing"",""พะเยา!I224"")"),20000)</f>
        <v>20000</v>
      </c>
      <c r="BT20" s="86">
        <f ca="1">IFERROR(__xludf.DUMMYFUNCTION("IMPORTRANGE(""https://docs.google.com/spreadsheets/d/1K0Aa9s-6EuHE5M0FG1F9aHLXRCOV917xvycTdLdct0w/edit?usp=sharing"",""พะเยา!J224"")"),0)</f>
        <v>0</v>
      </c>
      <c r="BU20" s="87">
        <f t="shared" ca="1" si="100"/>
        <v>0</v>
      </c>
      <c r="BV20" s="86">
        <f ca="1">IFERROR(__xludf.DUMMYFUNCTION("IMPORTRANGE(""https://docs.google.com/spreadsheets/d/1K0Aa9s-6EuHE5M0FG1F9aHLXRCOV917xvycTdLdct0w/edit?usp=sharing"",""พะเยา!I225"")"),10)</f>
        <v>10</v>
      </c>
      <c r="BW20" s="86">
        <f ca="1">IFERROR(__xludf.DUMMYFUNCTION("IMPORTRANGE(""https://docs.google.com/spreadsheets/d/1K0Aa9s-6EuHE5M0FG1F9aHLXRCOV917xvycTdLdct0w/edit?usp=sharing"",""พะเยา!J225"")"),10)</f>
        <v>10</v>
      </c>
      <c r="BX20" s="87">
        <f t="shared" ca="1" si="101"/>
        <v>100</v>
      </c>
      <c r="BY20" s="86">
        <f ca="1">IFERROR(__xludf.DUMMYFUNCTION("IMPORTRANGE(""https://docs.google.com/spreadsheets/d/1K0Aa9s-6EuHE5M0FG1F9aHLXRCOV917xvycTdLdct0w/edit?usp=sharing"",""พะเยา!L228"")"),163000)</f>
        <v>163000</v>
      </c>
      <c r="BZ20" s="86">
        <f ca="1">IFERROR(__xludf.DUMMYFUNCTION("IMPORTRANGE(""https://docs.google.com/spreadsheets/d/1K0Aa9s-6EuHE5M0FG1F9aHLXRCOV917xvycTdLdct0w/edit?usp=sharing"",""พะเยา!N228"")"),26840)</f>
        <v>26840</v>
      </c>
      <c r="CA20" s="87">
        <f t="shared" ca="1" si="102"/>
        <v>16.466257668711656</v>
      </c>
      <c r="CB20" s="86">
        <f ca="1">IFERROR(__xludf.DUMMYFUNCTION("IMPORTRANGE(""https://docs.google.com/spreadsheets/d/1K0Aa9s-6EuHE5M0FG1F9aHLXRCOV917xvycTdLdct0w/edit?usp=sharing"",""พะเยา!L229"")"),166580)</f>
        <v>166580</v>
      </c>
      <c r="CC20" s="86">
        <f ca="1">IFERROR(__xludf.DUMMYFUNCTION("IMPORTRANGE(""https://docs.google.com/spreadsheets/d/1K0Aa9s-6EuHE5M0FG1F9aHLXRCOV917xvycTdLdct0w/edit?usp=sharing"",""พะเยา!N229"")"),15670)</f>
        <v>15670</v>
      </c>
      <c r="CD20" s="87">
        <f t="shared" ca="1" si="103"/>
        <v>9.4068915836234837</v>
      </c>
      <c r="CE20" s="86">
        <f ca="1">IFERROR(__xludf.DUMMYFUNCTION("IMPORTRANGE(""https://docs.google.com/spreadsheets/d/1K0Aa9s-6EuHE5M0FG1F9aHLXRCOV917xvycTdLdct0w/edit?usp=sharing"",""พะเยา!L230"")"),20000)</f>
        <v>20000</v>
      </c>
      <c r="CF20" s="86">
        <f ca="1">IFERROR(__xludf.DUMMYFUNCTION("IMPORTRANGE(""https://docs.google.com/spreadsheets/d/1K0Aa9s-6EuHE5M0FG1F9aHLXRCOV917xvycTdLdct0w/edit?usp=sharing"",""พะเยา!N230"")"),0)</f>
        <v>0</v>
      </c>
      <c r="CG20" s="87">
        <f t="shared" ca="1" si="104"/>
        <v>0</v>
      </c>
      <c r="CH20" s="86">
        <f ca="1">IFERROR(__xludf.DUMMYFUNCTION("IMPORTRANGE(""https://docs.google.com/spreadsheets/d/1K0Aa9s-6EuHE5M0FG1F9aHLXRCOV917xvycTdLdct0w/edit?usp=sharing"",""พะเยา!L231"")"),40000)</f>
        <v>40000</v>
      </c>
      <c r="CI20" s="86">
        <f ca="1">IFERROR(__xludf.DUMMYFUNCTION("IMPORTRANGE(""https://docs.google.com/spreadsheets/d/1K0Aa9s-6EuHE5M0FG1F9aHLXRCOV917xvycTdLdct0w/edit?usp=sharing"",""พะเยา!N231"")"),0)</f>
        <v>0</v>
      </c>
      <c r="CJ20" s="87">
        <f t="shared" ca="1" si="105"/>
        <v>0</v>
      </c>
      <c r="CK20" s="86">
        <f ca="1">IFERROR(__xludf.DUMMYFUNCTION("IMPORTRANGE(""https://docs.google.com/spreadsheets/d/1K0Aa9s-6EuHE5M0FG1F9aHLXRCOV917xvycTdLdct0w/edit?usp=sharing"",""พะเยา!I233"")"),40)</f>
        <v>40</v>
      </c>
      <c r="CL20" s="86">
        <f ca="1">IFERROR(__xludf.DUMMYFUNCTION("IMPORTRANGE(""https://docs.google.com/spreadsheets/d/1K0Aa9s-6EuHE5M0FG1F9aHLXRCOV917xvycTdLdct0w/edit?usp=sharing"",""พะเยา!J233"")"),40)</f>
        <v>40</v>
      </c>
      <c r="CM20" s="87">
        <f t="shared" ca="1" si="106"/>
        <v>100</v>
      </c>
      <c r="CN20" s="86">
        <f ca="1">IFERROR(__xludf.DUMMYFUNCTION("IMPORTRANGE(""https://docs.google.com/spreadsheets/d/1K0Aa9s-6EuHE5M0FG1F9aHLXRCOV917xvycTdLdct0w/edit?usp=sharing"",""พะเยา!J235"")"),0)</f>
        <v>0</v>
      </c>
      <c r="CO20" s="86">
        <f ca="1">IFERROR(__xludf.DUMMYFUNCTION("IMPORTRANGE(""https://docs.google.com/spreadsheets/d/1K0Aa9s-6EuHE5M0FG1F9aHLXRCOV917xvycTdLdct0w/edit?usp=sharing"",""พะเยา!J236"")"),0)</f>
        <v>0</v>
      </c>
    </row>
    <row r="21" spans="1:93" ht="24" customHeight="1" x14ac:dyDescent="0.3">
      <c r="A21" s="78">
        <v>8</v>
      </c>
      <c r="B21" s="79" t="s">
        <v>43</v>
      </c>
      <c r="C21" s="80">
        <f t="shared" ca="1" si="0"/>
        <v>53000</v>
      </c>
      <c r="D21" s="81">
        <f t="shared" ca="1" si="133"/>
        <v>53000</v>
      </c>
      <c r="E21" s="82">
        <f ca="1">IFERROR(__xludf.DUMMYFUNCTION("IMPORTRANGE(""https://docs.google.com/spreadsheets/d/1MeEWN-I1oV_STSDYn1IFDPWt_1FKiwhDph83XaGc0o0/edit?usp=sharing"",""งบพรบ!CP21"")"),0)</f>
        <v>0</v>
      </c>
      <c r="F21" s="82">
        <f ca="1">IFERROR(__xludf.DUMMYFUNCTION("IMPORTRANGE(""https://docs.google.com/spreadsheets/d/1MeEWN-I1oV_STSDYn1IFDPWt_1FKiwhDph83XaGc0o0/edit?usp=sharing"",""งบพรบ!CQ21"")"),53000)</f>
        <v>53000</v>
      </c>
      <c r="G21" s="82">
        <f ca="1">IFERROR(__xludf.DUMMYFUNCTION("IMPORTRANGE(""https://docs.google.com/spreadsheets/d/1MeEWN-I1oV_STSDYn1IFDPWt_1FKiwhDph83XaGc0o0/edit?usp=sharing"",""งบพรบ!CR21"")"),0)</f>
        <v>0</v>
      </c>
      <c r="H21" s="82">
        <f ca="1">IFERROR(__xludf.DUMMYFUNCTION("IMPORTRANGE(""https://docs.google.com/spreadsheets/d/1MeEWN-I1oV_STSDYn1IFDPWt_1FKiwhDph83XaGc0o0/edit?usp=sharing"",""งบพรบ!CT21"")"),46500)</f>
        <v>46500</v>
      </c>
      <c r="I21" s="82">
        <f ca="1">IFERROR(__xludf.DUMMYFUNCTION("IMPORTRANGE(""https://docs.google.com/spreadsheets/d/1MeEWN-I1oV_STSDYn1IFDPWt_1FKiwhDph83XaGc0o0/edit?usp=sharing"",""งบพรบ!CU21"")"),0)</f>
        <v>0</v>
      </c>
      <c r="J21" s="82">
        <f t="shared" ca="1" si="3"/>
        <v>3240</v>
      </c>
      <c r="K21" s="83">
        <f t="shared" ca="1" si="4"/>
        <v>6.1132075471698117</v>
      </c>
      <c r="L21" s="82">
        <f ca="1">IFERROR(__xludf.DUMMYFUNCTION("IMPORTRANGE(""https://docs.google.com/spreadsheets/d/1MeEWN-I1oV_STSDYn1IFDPWt_1FKiwhDph83XaGc0o0/edit?usp=sharing"",""งบพรบ!CV21"")"),3240)</f>
        <v>3240</v>
      </c>
      <c r="M21" s="84">
        <f t="shared" ca="1" si="5"/>
        <v>6.1132075471698117</v>
      </c>
      <c r="N21" s="84">
        <f t="shared" ca="1" si="6"/>
        <v>6.967741935483871</v>
      </c>
      <c r="O21" s="85">
        <f ca="1">IFERROR(__xludf.DUMMYFUNCTION("IMPORTRANGE(""https://docs.google.com/spreadsheets/d/1MeEWN-I1oV_STSDYn1IFDPWt_1FKiwhDph83XaGc0o0/edit?usp=sharing"",""งบพรบ!CW21"")"),0)</f>
        <v>0</v>
      </c>
      <c r="P21" s="85">
        <f t="shared" ca="1" si="108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IFERROR(__xludf.DUMMYFUNCTION("IMPORTRANGE(""https://docs.google.com/spreadsheets/d/1Y9LPKx95PyL5OKy09d-KbKJSuuEZCFdkhYjwC0XQjBA/edit?usp=sharing"",""พิจิตร!L191"")"),6000)</f>
        <v>6000</v>
      </c>
      <c r="S21" s="86">
        <f ca="1">IFERROR(__xludf.DUMMYFUNCTION("IMPORTRANGE(""https://docs.google.com/spreadsheets/d/1Y9LPKx95PyL5OKy09d-KbKJSuuEZCFdkhYjwC0XQjBA/edit?usp=sharing"",""พิจิตร!N191"")"),3000)</f>
        <v>3000</v>
      </c>
      <c r="T21" s="87">
        <f t="shared" ca="1" si="84"/>
        <v>50</v>
      </c>
      <c r="U21" s="86">
        <f ca="1">IFERROR(__xludf.DUMMYFUNCTION("IMPORTRANGE(""https://docs.google.com/spreadsheets/d/1Y9LPKx95PyL5OKy09d-KbKJSuuEZCFdkhYjwC0XQjBA/edit?usp=sharing"",""พิจิตร!I193"")"),4)</f>
        <v>4</v>
      </c>
      <c r="V21" s="86">
        <f ca="1">IFERROR(__xludf.DUMMYFUNCTION("IMPORTRANGE(""https://docs.google.com/spreadsheets/d/1Y9LPKx95PyL5OKy09d-KbKJSuuEZCFdkhYjwC0XQjBA/edit?usp=sharing"",""พิจิตร!J193"")"),2)</f>
        <v>2</v>
      </c>
      <c r="W21" s="87">
        <f t="shared" ca="1" si="85"/>
        <v>50</v>
      </c>
      <c r="X21" s="86">
        <f t="shared" ca="1" si="134"/>
        <v>53</v>
      </c>
      <c r="Y21" s="86">
        <f ca="1">IFERROR(__xludf.DUMMYFUNCTION("IMPORTRANGE(""https://docs.google.com/spreadsheets/d/1Y9LPKx95PyL5OKy09d-KbKJSuuEZCFdkhYjwC0XQjBA/edit?usp=sharing"",""พิจิตร!J195"")"),53)</f>
        <v>53</v>
      </c>
      <c r="Z21" s="86">
        <f ca="1">IFERROR(__xludf.DUMMYFUNCTION("IMPORTRANGE(""https://docs.google.com/spreadsheets/d/1Y9LPKx95PyL5OKy09d-KbKJSuuEZCFdkhYjwC0XQjBA/edit?usp=sharing"",""พิจิตร!J196"")"),0)</f>
        <v>0</v>
      </c>
      <c r="AA21" s="86">
        <f ca="1">IFERROR(__xludf.DUMMYFUNCTION("IMPORTRANGE(""https://docs.google.com/spreadsheets/d/1Y9LPKx95PyL5OKy09d-KbKJSuuEZCFdkhYjwC0XQjBA/edit?usp=sharing"",""พิจิตร!L199"")"),3000)</f>
        <v>3000</v>
      </c>
      <c r="AB21" s="86">
        <f ca="1">IFERROR(__xludf.DUMMYFUNCTION("IMPORTRANGE(""https://docs.google.com/spreadsheets/d/1Y9LPKx95PyL5OKy09d-KbKJSuuEZCFdkhYjwC0XQjBA/edit?usp=sharing"",""พิจิตร!N199"")"),0)</f>
        <v>0</v>
      </c>
      <c r="AC21" s="87">
        <f t="shared" ca="1" si="86"/>
        <v>0</v>
      </c>
      <c r="AD21" s="86">
        <f ca="1">IFERROR(__xludf.DUMMYFUNCTION("IMPORTRANGE(""https://docs.google.com/spreadsheets/d/1Y9LPKx95PyL5OKy09d-KbKJSuuEZCFdkhYjwC0XQjBA/edit?usp=sharing"",""พิจิตร!L200"")"),24000)</f>
        <v>24000</v>
      </c>
      <c r="AE21" s="86">
        <f ca="1">IFERROR(__xludf.DUMMYFUNCTION("IMPORTRANGE(""https://docs.google.com/spreadsheets/d/1Y9LPKx95PyL5OKy09d-KbKJSuuEZCFdkhYjwC0XQjBA/edit?usp=sharing"",""พิจิตร!N200"")"),0)</f>
        <v>0</v>
      </c>
      <c r="AF21" s="87">
        <f t="shared" ca="1" si="87"/>
        <v>0</v>
      </c>
      <c r="AG21" s="86">
        <f ca="1">IFERROR(__xludf.DUMMYFUNCTION("IMPORTRANGE(""https://docs.google.com/spreadsheets/d/1Y9LPKx95PyL5OKy09d-KbKJSuuEZCFdkhYjwC0XQjBA/edit?usp=sharing"",""พิจิตร!L201"")"),12000)</f>
        <v>12000</v>
      </c>
      <c r="AH21" s="86">
        <f ca="1">IFERROR(__xludf.DUMMYFUNCTION("IMPORTRANGE(""https://docs.google.com/spreadsheets/d/1Y9LPKx95PyL5OKy09d-KbKJSuuEZCFdkhYjwC0XQjBA/edit?usp=sharing"",""พิจิตร!N201"")"),0)</f>
        <v>0</v>
      </c>
      <c r="AI21" s="87">
        <f t="shared" ca="1" si="88"/>
        <v>0</v>
      </c>
      <c r="AJ21" s="86">
        <f ca="1">IFERROR(__xludf.DUMMYFUNCTION("IMPORTRANGE(""https://docs.google.com/spreadsheets/d/1Y9LPKx95PyL5OKy09d-KbKJSuuEZCFdkhYjwC0XQjBA/edit?usp=sharing"",""พิจิตร!L202"")"),0)</f>
        <v>0</v>
      </c>
      <c r="AK21" s="86">
        <f ca="1">IFERROR(__xludf.DUMMYFUNCTION("IMPORTRANGE(""https://docs.google.com/spreadsheets/d/1Y9LPKx95PyL5OKy09d-KbKJSuuEZCFdkhYjwC0XQjBA/edit?usp=sharing"",""พิจิตร!N202"")"),0)</f>
        <v>0</v>
      </c>
      <c r="AL21" s="87">
        <f t="shared" ca="1" si="89"/>
        <v>0</v>
      </c>
      <c r="AM21" s="86">
        <f ca="1">IFERROR(__xludf.DUMMYFUNCTION("IMPORTRANGE(""https://docs.google.com/spreadsheets/d/1Y9LPKx95PyL5OKy09d-KbKJSuuEZCFdkhYjwC0XQjBA/edit?usp=sharing"",""พิจิตร!I204"")"),3)</f>
        <v>3</v>
      </c>
      <c r="AN21" s="86">
        <f ca="1">IFERROR(__xludf.DUMMYFUNCTION("IMPORTRANGE(""https://docs.google.com/spreadsheets/d/1Y9LPKx95PyL5OKy09d-KbKJSuuEZCFdkhYjwC0XQjBA/edit?usp=sharing"",""พิจิตร!J204"")"),0)</f>
        <v>0</v>
      </c>
      <c r="AO21" s="87">
        <f t="shared" ca="1" si="90"/>
        <v>0</v>
      </c>
      <c r="AP21" s="298">
        <f ca="1">IFERROR(__xludf.DUMMYFUNCTION("IMPORTRANGE(""https://docs.google.com/spreadsheets/d/1Y9LPKx95PyL5OKy09d-KbKJSuuEZCFdkhYjwC0XQjBA/edit?usp=sharing"",""พิจิตร!J206"")"),0)</f>
        <v>0</v>
      </c>
      <c r="AQ21" s="298">
        <f ca="1">IFERROR(__xludf.DUMMYFUNCTION("IMPORTRANGE(""https://docs.google.com/spreadsheets/d/1Y9LPKx95PyL5OKy09d-KbKJSuuEZCFdkhYjwC0XQjBA/edit?usp=sharing"",""พิจิตร!J207"")"),0)</f>
        <v>0</v>
      </c>
      <c r="AR21" s="86">
        <f ca="1">IFERROR(__xludf.DUMMYFUNCTION("IMPORTRANGE(""https://docs.google.com/spreadsheets/d/1Y9LPKx95PyL5OKy09d-KbKJSuuEZCFdkhYjwC0XQjBA/edit?usp=sharing"",""พิจิตร!L210"")"),0)</f>
        <v>0</v>
      </c>
      <c r="AS21" s="86">
        <f ca="1">IFERROR(__xludf.DUMMYFUNCTION("IMPORTRANGE(""https://docs.google.com/spreadsheets/d/1Y9LPKx95PyL5OKy09d-KbKJSuuEZCFdkhYjwC0XQjBA/edit?usp=sharing"",""พิจิตร!N210"")"),0)</f>
        <v>0</v>
      </c>
      <c r="AT21" s="87">
        <f t="shared" ca="1" si="91"/>
        <v>0</v>
      </c>
      <c r="AU21" s="86">
        <f ca="1">IFERROR(__xludf.DUMMYFUNCTION("IMPORTRANGE(""https://docs.google.com/spreadsheets/d/1Y9LPKx95PyL5OKy09d-KbKJSuuEZCFdkhYjwC0XQjBA/edit?usp=sharing"",""พิจิตร!L211"")"),0)</f>
        <v>0</v>
      </c>
      <c r="AV21" s="86">
        <f ca="1">IFERROR(__xludf.DUMMYFUNCTION("IMPORTRANGE(""https://docs.google.com/spreadsheets/d/1Y9LPKx95PyL5OKy09d-KbKJSuuEZCFdkhYjwC0XQjBA/edit?usp=sharing"",""พิจิตร!N211"")"),0)</f>
        <v>0</v>
      </c>
      <c r="AW21" s="87">
        <f t="shared" ca="1" si="92"/>
        <v>0</v>
      </c>
      <c r="AX21" s="86">
        <f ca="1">IFERROR(__xludf.DUMMYFUNCTION("IMPORTRANGE(""https://docs.google.com/spreadsheets/d/1Y9LPKx95PyL5OKy09d-KbKJSuuEZCFdkhYjwC0XQjBA/edit?usp=sharing"",""พิจิตร!L212"")"),0)</f>
        <v>0</v>
      </c>
      <c r="AY21" s="86">
        <f ca="1">IFERROR(__xludf.DUMMYFUNCTION("IMPORTRANGE(""https://docs.google.com/spreadsheets/d/1Y9LPKx95PyL5OKy09d-KbKJSuuEZCFdkhYjwC0XQjBA/edit?usp=sharing"",""พิจิตร!N212"")"),0)</f>
        <v>0</v>
      </c>
      <c r="AZ21" s="87">
        <f t="shared" ca="1" si="93"/>
        <v>0</v>
      </c>
      <c r="BA21" s="86">
        <f ca="1">IFERROR(__xludf.DUMMYFUNCTION("IMPORTRANGE(""https://docs.google.com/spreadsheets/d/1Y9LPKx95PyL5OKy09d-KbKJSuuEZCFdkhYjwC0XQjBA/edit?usp=sharing"",""พิจิตร!I214"")"),0)</f>
        <v>0</v>
      </c>
      <c r="BB21" s="86">
        <f ca="1">IFERROR(__xludf.DUMMYFUNCTION("IMPORTRANGE(""https://docs.google.com/spreadsheets/d/1Y9LPKx95PyL5OKy09d-KbKJSuuEZCFdkhYjwC0XQjBA/edit?usp=sharing"",""พิจิตร!J214"")"),0)</f>
        <v>0</v>
      </c>
      <c r="BC21" s="87">
        <f t="shared" ca="1" si="94"/>
        <v>0</v>
      </c>
      <c r="BD21" s="86">
        <f ca="1">IFERROR(__xludf.DUMMYFUNCTION("IMPORTRANGE(""https://docs.google.com/spreadsheets/d/1Y9LPKx95PyL5OKy09d-KbKJSuuEZCFdkhYjwC0XQjBA/edit?usp=sharing"",""พิจิตร!I215"")"),0)</f>
        <v>0</v>
      </c>
      <c r="BE21" s="86">
        <f ca="1">IFERROR(__xludf.DUMMYFUNCTION("IMPORTRANGE(""https://docs.google.com/spreadsheets/d/1Y9LPKx95PyL5OKy09d-KbKJSuuEZCFdkhYjwC0XQjBA/edit?usp=sharing"",""พิจิตร!J215"")"),0)</f>
        <v>0</v>
      </c>
      <c r="BF21" s="87">
        <f t="shared" ca="1" si="95"/>
        <v>0</v>
      </c>
      <c r="BG21" s="86">
        <f ca="1">IFERROR(__xludf.DUMMYFUNCTION("IMPORTRANGE(""https://docs.google.com/spreadsheets/d/1Y9LPKx95PyL5OKy09d-KbKJSuuEZCFdkhYjwC0XQjBA/edit?usp=sharing"",""พิจิตร!L218"")"),3000)</f>
        <v>3000</v>
      </c>
      <c r="BH21" s="86">
        <f ca="1">IFERROR(__xludf.DUMMYFUNCTION("IMPORTRANGE(""https://docs.google.com/spreadsheets/d/1Y9LPKx95PyL5OKy09d-KbKJSuuEZCFdkhYjwC0XQjBA/edit?usp=sharing"",""พิจิตร!N218"")"),0)</f>
        <v>0</v>
      </c>
      <c r="BI21" s="87">
        <f t="shared" ca="1" si="96"/>
        <v>0</v>
      </c>
      <c r="BJ21" s="86">
        <f ca="1">IFERROR(__xludf.DUMMYFUNCTION("IMPORTRANGE(""https://docs.google.com/spreadsheets/d/1Y9LPKx95PyL5OKy09d-KbKJSuuEZCFdkhYjwC0XQjBA/edit?usp=sharing"",""พิจิตร!L219"")"),5000)</f>
        <v>5000</v>
      </c>
      <c r="BK21" s="86">
        <f ca="1">IFERROR(__xludf.DUMMYFUNCTION("IMPORTRANGE(""https://docs.google.com/spreadsheets/d/1Y9LPKx95PyL5OKy09d-KbKJSuuEZCFdkhYjwC0XQjBA/edit?usp=sharing"",""พิจิตร!N219"")"),0)</f>
        <v>0</v>
      </c>
      <c r="BL21" s="87">
        <f t="shared" ca="1" si="97"/>
        <v>0</v>
      </c>
      <c r="BM21" s="86">
        <f ca="1">IFERROR(__xludf.DUMMYFUNCTION("IMPORTRANGE(""https://docs.google.com/spreadsheets/d/1Y9LPKx95PyL5OKy09d-KbKJSuuEZCFdkhYjwC0XQjBA/edit?usp=sharing"",""พิจิตร!L220"")"),0)</f>
        <v>0</v>
      </c>
      <c r="BN21" s="86">
        <f ca="1">IFERROR(__xludf.DUMMYFUNCTION("IMPORTRANGE(""https://docs.google.com/spreadsheets/d/1Y9LPKx95PyL5OKy09d-KbKJSuuEZCFdkhYjwC0XQjBA/edit?usp=sharing"",""พิจิตร!N220"")"),0)</f>
        <v>0</v>
      </c>
      <c r="BO21" s="87">
        <f t="shared" ca="1" si="98"/>
        <v>0</v>
      </c>
      <c r="BP21" s="86">
        <f ca="1">IFERROR(__xludf.DUMMYFUNCTION("IMPORTRANGE(""https://docs.google.com/spreadsheets/d/1Y9LPKx95PyL5OKy09d-KbKJSuuEZCFdkhYjwC0XQjBA/edit?usp=sharing"",""พิจิตร!I223"")"),20000)</f>
        <v>20000</v>
      </c>
      <c r="BQ21" s="86">
        <f ca="1">IFERROR(__xludf.DUMMYFUNCTION("IMPORTRANGE(""https://docs.google.com/spreadsheets/d/1Y9LPKx95PyL5OKy09d-KbKJSuuEZCFdkhYjwC0XQjBA/edit?usp=sharing"",""พิจิตร!J223"")"),0)</f>
        <v>0</v>
      </c>
      <c r="BR21" s="87">
        <f t="shared" ca="1" si="99"/>
        <v>0</v>
      </c>
      <c r="BS21" s="86">
        <f ca="1">IFERROR(__xludf.DUMMYFUNCTION("IMPORTRANGE(""https://docs.google.com/spreadsheets/d/1Y9LPKx95PyL5OKy09d-KbKJSuuEZCFdkhYjwC0XQjBA/edit?usp=sharing"",""พิจิตร!I224"")"),20000)</f>
        <v>20000</v>
      </c>
      <c r="BT21" s="86">
        <f ca="1">IFERROR(__xludf.DUMMYFUNCTION("IMPORTRANGE(""https://docs.google.com/spreadsheets/d/1Y9LPKx95PyL5OKy09d-KbKJSuuEZCFdkhYjwC0XQjBA/edit?usp=sharing"",""พิจิตร!J224"")"),0)</f>
        <v>0</v>
      </c>
      <c r="BU21" s="87">
        <f t="shared" ca="1" si="100"/>
        <v>0</v>
      </c>
      <c r="BV21" s="86">
        <f ca="1">IFERROR(__xludf.DUMMYFUNCTION("IMPORTRANGE(""https://docs.google.com/spreadsheets/d/1Y9LPKx95PyL5OKy09d-KbKJSuuEZCFdkhYjwC0XQjBA/edit?usp=sharing"",""พิจิตร!I225"")"),0)</f>
        <v>0</v>
      </c>
      <c r="BW21" s="86">
        <f ca="1">IFERROR(__xludf.DUMMYFUNCTION("IMPORTRANGE(""https://docs.google.com/spreadsheets/d/1Y9LPKx95PyL5OKy09d-KbKJSuuEZCFdkhYjwC0XQjBA/edit?usp=sharing"",""พิจิตร!J225"")"),0)</f>
        <v>0</v>
      </c>
      <c r="BX21" s="87">
        <f t="shared" ca="1" si="101"/>
        <v>0</v>
      </c>
      <c r="BY21" s="86">
        <f ca="1">IFERROR(__xludf.DUMMYFUNCTION("IMPORTRANGE(""https://docs.google.com/spreadsheets/d/1Y9LPKx95PyL5OKy09d-KbKJSuuEZCFdkhYjwC0XQjBA/edit?usp=sharing"",""พิจิตร!L228"")"),0)</f>
        <v>0</v>
      </c>
      <c r="BZ21" s="86">
        <f ca="1">IFERROR(__xludf.DUMMYFUNCTION("IMPORTRANGE(""https://docs.google.com/spreadsheets/d/1Y9LPKx95PyL5OKy09d-KbKJSuuEZCFdkhYjwC0XQjBA/edit?usp=sharing"",""พิจิตร!N228"")"),0)</f>
        <v>0</v>
      </c>
      <c r="CA21" s="87">
        <f t="shared" ca="1" si="102"/>
        <v>0</v>
      </c>
      <c r="CB21" s="86">
        <f ca="1">IFERROR(__xludf.DUMMYFUNCTION("IMPORTRANGE(""https://docs.google.com/spreadsheets/d/1Y9LPKx95PyL5OKy09d-KbKJSuuEZCFdkhYjwC0XQjBA/edit?usp=sharing"",""พิจิตร!L229"")"),0)</f>
        <v>0</v>
      </c>
      <c r="CC21" s="86">
        <f ca="1">IFERROR(__xludf.DUMMYFUNCTION("IMPORTRANGE(""https://docs.google.com/spreadsheets/d/1Y9LPKx95PyL5OKy09d-KbKJSuuEZCFdkhYjwC0XQjBA/edit?usp=sharing"",""พิจิตร!N229"")"),0)</f>
        <v>0</v>
      </c>
      <c r="CD21" s="87">
        <f t="shared" ca="1" si="103"/>
        <v>0</v>
      </c>
      <c r="CE21" s="86">
        <f ca="1">IFERROR(__xludf.DUMMYFUNCTION("IMPORTRANGE(""https://docs.google.com/spreadsheets/d/1Y9LPKx95PyL5OKy09d-KbKJSuuEZCFdkhYjwC0XQjBA/edit?usp=sharing"",""พิจิตร!L230"")"),0)</f>
        <v>0</v>
      </c>
      <c r="CF21" s="86">
        <f ca="1">IFERROR(__xludf.DUMMYFUNCTION("IMPORTRANGE(""https://docs.google.com/spreadsheets/d/1Y9LPKx95PyL5OKy09d-KbKJSuuEZCFdkhYjwC0XQjBA/edit?usp=sharing"",""พิจิตร!N230"")"),0)</f>
        <v>0</v>
      </c>
      <c r="CG21" s="87">
        <f t="shared" ca="1" si="104"/>
        <v>0</v>
      </c>
      <c r="CH21" s="86">
        <f ca="1">IFERROR(__xludf.DUMMYFUNCTION("IMPORTRANGE(""https://docs.google.com/spreadsheets/d/1Y9LPKx95PyL5OKy09d-KbKJSuuEZCFdkhYjwC0XQjBA/edit?usp=sharing"",""พิจิตร!L231"")"),0)</f>
        <v>0</v>
      </c>
      <c r="CI21" s="86">
        <f ca="1">IFERROR(__xludf.DUMMYFUNCTION("IMPORTRANGE(""https://docs.google.com/spreadsheets/d/1Y9LPKx95PyL5OKy09d-KbKJSuuEZCFdkhYjwC0XQjBA/edit?usp=sharing"",""พิจิตร!N231"")"),0)</f>
        <v>0</v>
      </c>
      <c r="CJ21" s="87">
        <f t="shared" ca="1" si="105"/>
        <v>0</v>
      </c>
      <c r="CK21" s="86">
        <f ca="1">IFERROR(__xludf.DUMMYFUNCTION("IMPORTRANGE(""https://docs.google.com/spreadsheets/d/1Y9LPKx95PyL5OKy09d-KbKJSuuEZCFdkhYjwC0XQjBA/edit?usp=sharing"",""พิจิตร!I233"")"),0)</f>
        <v>0</v>
      </c>
      <c r="CL21" s="86">
        <f ca="1">IFERROR(__xludf.DUMMYFUNCTION("IMPORTRANGE(""https://docs.google.com/spreadsheets/d/1Y9LPKx95PyL5OKy09d-KbKJSuuEZCFdkhYjwC0XQjBA/edit?usp=sharing"",""พิจิตร!J233"")"),0)</f>
        <v>0</v>
      </c>
      <c r="CM21" s="87">
        <f t="shared" ca="1" si="106"/>
        <v>0</v>
      </c>
      <c r="CN21" s="86">
        <f ca="1">IFERROR(__xludf.DUMMYFUNCTION("IMPORTRANGE(""https://docs.google.com/spreadsheets/d/1Y9LPKx95PyL5OKy09d-KbKJSuuEZCFdkhYjwC0XQjBA/edit?usp=sharing"",""พิจิตร!J235"")"),0)</f>
        <v>0</v>
      </c>
      <c r="CO21" s="86">
        <f ca="1">IFERROR(__xludf.DUMMYFUNCTION("IMPORTRANGE(""https://docs.google.com/spreadsheets/d/1Y9LPKx95PyL5OKy09d-KbKJSuuEZCFdkhYjwC0XQjBA/edit?usp=sharing"",""พิจิตร!J236"")"),0)</f>
        <v>0</v>
      </c>
    </row>
    <row r="22" spans="1:93" ht="24" customHeight="1" x14ac:dyDescent="0.3">
      <c r="A22" s="78">
        <v>9</v>
      </c>
      <c r="B22" s="79" t="s">
        <v>44</v>
      </c>
      <c r="C22" s="80">
        <f t="shared" ca="1" si="0"/>
        <v>73500</v>
      </c>
      <c r="D22" s="81">
        <f t="shared" ca="1" si="133"/>
        <v>73500</v>
      </c>
      <c r="E22" s="82">
        <f ca="1">IFERROR(__xludf.DUMMYFUNCTION("IMPORTRANGE(""https://docs.google.com/spreadsheets/d/1MeEWN-I1oV_STSDYn1IFDPWt_1FKiwhDph83XaGc0o0/edit?usp=sharing"",""งบพรบ!CP22"")"),0)</f>
        <v>0</v>
      </c>
      <c r="F22" s="82">
        <f ca="1">IFERROR(__xludf.DUMMYFUNCTION("IMPORTRANGE(""https://docs.google.com/spreadsheets/d/1MeEWN-I1oV_STSDYn1IFDPWt_1FKiwhDph83XaGc0o0/edit?usp=sharing"",""งบพรบ!CQ22"")"),73500)</f>
        <v>73500</v>
      </c>
      <c r="G22" s="82">
        <f ca="1">IFERROR(__xludf.DUMMYFUNCTION("IMPORTRANGE(""https://docs.google.com/spreadsheets/d/1MeEWN-I1oV_STSDYn1IFDPWt_1FKiwhDph83XaGc0o0/edit?usp=sharing"",""งบพรบ!CR22"")"),0)</f>
        <v>0</v>
      </c>
      <c r="H22" s="82">
        <f ca="1">IFERROR(__xludf.DUMMYFUNCTION("IMPORTRANGE(""https://docs.google.com/spreadsheets/d/1MeEWN-I1oV_STSDYn1IFDPWt_1FKiwhDph83XaGc0o0/edit?usp=sharing"",""งบพรบ!CT22"")"),58500)</f>
        <v>58500</v>
      </c>
      <c r="I22" s="82">
        <f ca="1">IFERROR(__xludf.DUMMYFUNCTION("IMPORTRANGE(""https://docs.google.com/spreadsheets/d/1MeEWN-I1oV_STSDYn1IFDPWt_1FKiwhDph83XaGc0o0/edit?usp=sharing"",""งบพรบ!CU22"")"),0)</f>
        <v>0</v>
      </c>
      <c r="J22" s="82">
        <f t="shared" ca="1" si="3"/>
        <v>25980</v>
      </c>
      <c r="K22" s="83">
        <f t="shared" ca="1" si="4"/>
        <v>35.346938775510203</v>
      </c>
      <c r="L22" s="82">
        <f ca="1">IFERROR(__xludf.DUMMYFUNCTION("IMPORTRANGE(""https://docs.google.com/spreadsheets/d/1MeEWN-I1oV_STSDYn1IFDPWt_1FKiwhDph83XaGc0o0/edit?usp=sharing"",""งบพรบ!CV22"")"),25980)</f>
        <v>25980</v>
      </c>
      <c r="M22" s="84">
        <f t="shared" ca="1" si="5"/>
        <v>35.346938775510203</v>
      </c>
      <c r="N22" s="84">
        <f t="shared" ca="1" si="6"/>
        <v>44.410256410256409</v>
      </c>
      <c r="O22" s="85">
        <f ca="1">IFERROR(__xludf.DUMMYFUNCTION("IMPORTRANGE(""https://docs.google.com/spreadsheets/d/1MeEWN-I1oV_STSDYn1IFDPWt_1FKiwhDph83XaGc0o0/edit?usp=sharing"",""งบพรบ!CW22"")"),0)</f>
        <v>0</v>
      </c>
      <c r="P22" s="85">
        <f t="shared" ca="1" si="108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IFERROR(__xludf.DUMMYFUNCTION("IMPORTRANGE(""https://docs.google.com/spreadsheets/d/16OMuOwy2eVqZcYWOouQtTpa8X1L23h4660uVHc0C8os/edit?usp=sharing"",""พิษณุโลก!L191"")"),6000)</f>
        <v>6000</v>
      </c>
      <c r="S22" s="86">
        <f ca="1">IFERROR(__xludf.DUMMYFUNCTION("IMPORTRANGE(""https://docs.google.com/spreadsheets/d/16OMuOwy2eVqZcYWOouQtTpa8X1L23h4660uVHc0C8os/edit?usp=sharing"",""พิษณุโลก!N191"")"),3000)</f>
        <v>3000</v>
      </c>
      <c r="T22" s="87">
        <f t="shared" ca="1" si="84"/>
        <v>50</v>
      </c>
      <c r="U22" s="86">
        <f ca="1">IFERROR(__xludf.DUMMYFUNCTION("IMPORTRANGE(""https://docs.google.com/spreadsheets/d/16OMuOwy2eVqZcYWOouQtTpa8X1L23h4660uVHc0C8os/edit?usp=sharing"",""พิษณุโลก!I193"")"),4)</f>
        <v>4</v>
      </c>
      <c r="V22" s="86">
        <f ca="1">IFERROR(__xludf.DUMMYFUNCTION("IMPORTRANGE(""https://docs.google.com/spreadsheets/d/16OMuOwy2eVqZcYWOouQtTpa8X1L23h4660uVHc0C8os/edit?usp=sharing"",""พิษณุโลก!J193"")"),2)</f>
        <v>2</v>
      </c>
      <c r="W22" s="87">
        <f t="shared" ca="1" si="85"/>
        <v>50</v>
      </c>
      <c r="X22" s="86">
        <f t="shared" ca="1" si="134"/>
        <v>221</v>
      </c>
      <c r="Y22" s="86">
        <f ca="1">IFERROR(__xludf.DUMMYFUNCTION("IMPORTRANGE(""https://docs.google.com/spreadsheets/d/16OMuOwy2eVqZcYWOouQtTpa8X1L23h4660uVHc0C8os/edit?usp=sharing"",""พิษณุโลก!J195"")"),221)</f>
        <v>221</v>
      </c>
      <c r="Z22" s="86">
        <f ca="1">IFERROR(__xludf.DUMMYFUNCTION("IMPORTRANGE(""https://docs.google.com/spreadsheets/d/16OMuOwy2eVqZcYWOouQtTpa8X1L23h4660uVHc0C8os/edit?usp=sharing"",""พิษณุโลก!J196"")"),0)</f>
        <v>0</v>
      </c>
      <c r="AA22" s="86">
        <f ca="1">IFERROR(__xludf.DUMMYFUNCTION("IMPORTRANGE(""https://docs.google.com/spreadsheets/d/16OMuOwy2eVqZcYWOouQtTpa8X1L23h4660uVHc0C8os/edit?usp=sharing"",""พิษณุโลก!L199"")"),3000)</f>
        <v>3000</v>
      </c>
      <c r="AB22" s="86">
        <f ca="1">IFERROR(__xludf.DUMMYFUNCTION("IMPORTRANGE(""https://docs.google.com/spreadsheets/d/16OMuOwy2eVqZcYWOouQtTpa8X1L23h4660uVHc0C8os/edit?usp=sharing"",""พิษณุโลก!N199"")"),0)</f>
        <v>0</v>
      </c>
      <c r="AC22" s="87">
        <f t="shared" ca="1" si="86"/>
        <v>0</v>
      </c>
      <c r="AD22" s="86">
        <f ca="1">IFERROR(__xludf.DUMMYFUNCTION("IMPORTRANGE(""https://docs.google.com/spreadsheets/d/16OMuOwy2eVqZcYWOouQtTpa8X1L23h4660uVHc0C8os/edit?usp=sharing"",""พิษณุโลก!L200"")"),24000)</f>
        <v>24000</v>
      </c>
      <c r="AE22" s="86">
        <f ca="1">IFERROR(__xludf.DUMMYFUNCTION("IMPORTRANGE(""https://docs.google.com/spreadsheets/d/16OMuOwy2eVqZcYWOouQtTpa8X1L23h4660uVHc0C8os/edit?usp=sharing"",""พิษณุโลก!N200"")"),22980)</f>
        <v>22980</v>
      </c>
      <c r="AF22" s="87">
        <f t="shared" ca="1" si="87"/>
        <v>95.75</v>
      </c>
      <c r="AG22" s="86">
        <f ca="1">IFERROR(__xludf.DUMMYFUNCTION("IMPORTRANGE(""https://docs.google.com/spreadsheets/d/16OMuOwy2eVqZcYWOouQtTpa8X1L23h4660uVHc0C8os/edit?usp=sharing"",""พิษณุโลก!L201"")"),12000)</f>
        <v>12000</v>
      </c>
      <c r="AH22" s="86">
        <f ca="1">IFERROR(__xludf.DUMMYFUNCTION("IMPORTRANGE(""https://docs.google.com/spreadsheets/d/16OMuOwy2eVqZcYWOouQtTpa8X1L23h4660uVHc0C8os/edit?usp=sharing"",""พิษณุโลก!N201"")"),0)</f>
        <v>0</v>
      </c>
      <c r="AI22" s="87">
        <f t="shared" ca="1" si="88"/>
        <v>0</v>
      </c>
      <c r="AJ22" s="86">
        <f ca="1">IFERROR(__xludf.DUMMYFUNCTION("IMPORTRANGE(""https://docs.google.com/spreadsheets/d/16OMuOwy2eVqZcYWOouQtTpa8X1L23h4660uVHc0C8os/edit?usp=sharing"",""พิษณุโลก!L202"")"),0)</f>
        <v>0</v>
      </c>
      <c r="AK22" s="86">
        <f ca="1">IFERROR(__xludf.DUMMYFUNCTION("IMPORTRANGE(""https://docs.google.com/spreadsheets/d/16OMuOwy2eVqZcYWOouQtTpa8X1L23h4660uVHc0C8os/edit?usp=sharing"",""พิษณุโลก!N202"")"),0)</f>
        <v>0</v>
      </c>
      <c r="AL22" s="87">
        <f t="shared" ca="1" si="89"/>
        <v>0</v>
      </c>
      <c r="AM22" s="86">
        <f ca="1">IFERROR(__xludf.DUMMYFUNCTION("IMPORTRANGE(""https://docs.google.com/spreadsheets/d/16OMuOwy2eVqZcYWOouQtTpa8X1L23h4660uVHc0C8os/edit?usp=sharing"",""พิษณุโลก!I204"")"),3)</f>
        <v>3</v>
      </c>
      <c r="AN22" s="86">
        <f ca="1">IFERROR(__xludf.DUMMYFUNCTION("IMPORTRANGE(""https://docs.google.com/spreadsheets/d/16OMuOwy2eVqZcYWOouQtTpa8X1L23h4660uVHc0C8os/edit?usp=sharing"",""พิษณุโลก!J204"")"),3)</f>
        <v>3</v>
      </c>
      <c r="AO22" s="87">
        <f t="shared" ca="1" si="90"/>
        <v>100</v>
      </c>
      <c r="AP22" s="298">
        <f ca="1">IFERROR(__xludf.DUMMYFUNCTION("IMPORTRANGE(""https://docs.google.com/spreadsheets/d/16OMuOwy2eVqZcYWOouQtTpa8X1L23h4660uVHc0C8os/edit?usp=sharing"",""พิษณุโลก!J206"")"),3)</f>
        <v>3</v>
      </c>
      <c r="AQ22" s="298">
        <f ca="1">IFERROR(__xludf.DUMMYFUNCTION("IMPORTRANGE(""https://docs.google.com/spreadsheets/d/16OMuOwy2eVqZcYWOouQtTpa8X1L23h4660uVHc0C8os/edit?usp=sharing"",""พิษณุโลก!J207"")"),0)</f>
        <v>0</v>
      </c>
      <c r="AR22" s="86">
        <f ca="1">IFERROR(__xludf.DUMMYFUNCTION("IMPORTRANGE(""https://docs.google.com/spreadsheets/d/16OMuOwy2eVqZcYWOouQtTpa8X1L23h4660uVHc0C8os/edit?usp=sharing"",""พิษณุโลก!L210"")"),0)</f>
        <v>0</v>
      </c>
      <c r="AS22" s="86">
        <f ca="1">IFERROR(__xludf.DUMMYFUNCTION("IMPORTRANGE(""https://docs.google.com/spreadsheets/d/16OMuOwy2eVqZcYWOouQtTpa8X1L23h4660uVHc0C8os/edit?usp=sharing"",""พิษณุโลก!N210"")"),0)</f>
        <v>0</v>
      </c>
      <c r="AT22" s="87">
        <f t="shared" ca="1" si="91"/>
        <v>0</v>
      </c>
      <c r="AU22" s="86">
        <f ca="1">IFERROR(__xludf.DUMMYFUNCTION("IMPORTRANGE(""https://docs.google.com/spreadsheets/d/16OMuOwy2eVqZcYWOouQtTpa8X1L23h4660uVHc0C8os/edit?usp=sharing"",""พิษณุโลก!L211"")"),0)</f>
        <v>0</v>
      </c>
      <c r="AV22" s="86">
        <f ca="1">IFERROR(__xludf.DUMMYFUNCTION("IMPORTRANGE(""https://docs.google.com/spreadsheets/d/16OMuOwy2eVqZcYWOouQtTpa8X1L23h4660uVHc0C8os/edit?usp=sharing"",""พิษณุโลก!N211"")"),0)</f>
        <v>0</v>
      </c>
      <c r="AW22" s="87">
        <f t="shared" ca="1" si="92"/>
        <v>0</v>
      </c>
      <c r="AX22" s="86">
        <f ca="1">IFERROR(__xludf.DUMMYFUNCTION("IMPORTRANGE(""https://docs.google.com/spreadsheets/d/16OMuOwy2eVqZcYWOouQtTpa8X1L23h4660uVHc0C8os/edit?usp=sharing"",""พิษณุโลก!L212"")"),0)</f>
        <v>0</v>
      </c>
      <c r="AY22" s="86">
        <f ca="1">IFERROR(__xludf.DUMMYFUNCTION("IMPORTRANGE(""https://docs.google.com/spreadsheets/d/16OMuOwy2eVqZcYWOouQtTpa8X1L23h4660uVHc0C8os/edit?usp=sharing"",""พิษณุโลก!N212"")"),0)</f>
        <v>0</v>
      </c>
      <c r="AZ22" s="87">
        <f t="shared" ca="1" si="93"/>
        <v>0</v>
      </c>
      <c r="BA22" s="86">
        <f ca="1">IFERROR(__xludf.DUMMYFUNCTION("IMPORTRANGE(""https://docs.google.com/spreadsheets/d/16OMuOwy2eVqZcYWOouQtTpa8X1L23h4660uVHc0C8os/edit?usp=sharing"",""พิษณุโลก!I214"")"),0)</f>
        <v>0</v>
      </c>
      <c r="BB22" s="86">
        <f ca="1">IFERROR(__xludf.DUMMYFUNCTION("IMPORTRANGE(""https://docs.google.com/spreadsheets/d/16OMuOwy2eVqZcYWOouQtTpa8X1L23h4660uVHc0C8os/edit?usp=sharing"",""พิษณุโลก!J214"")"),0)</f>
        <v>0</v>
      </c>
      <c r="BC22" s="87">
        <f t="shared" ca="1" si="94"/>
        <v>0</v>
      </c>
      <c r="BD22" s="86">
        <f ca="1">IFERROR(__xludf.DUMMYFUNCTION("IMPORTRANGE(""https://docs.google.com/spreadsheets/d/16OMuOwy2eVqZcYWOouQtTpa8X1L23h4660uVHc0C8os/edit?usp=sharing"",""พิษณุโลก!I215"")"),0)</f>
        <v>0</v>
      </c>
      <c r="BE22" s="86">
        <f ca="1">IFERROR(__xludf.DUMMYFUNCTION("IMPORTRANGE(""https://docs.google.com/spreadsheets/d/16OMuOwy2eVqZcYWOouQtTpa8X1L23h4660uVHc0C8os/edit?usp=sharing"",""พิษณุโลก!J215"")"),0)</f>
        <v>0</v>
      </c>
      <c r="BF22" s="87">
        <f t="shared" ca="1" si="95"/>
        <v>0</v>
      </c>
      <c r="BG22" s="86">
        <f ca="1">IFERROR(__xludf.DUMMYFUNCTION("IMPORTRANGE(""https://docs.google.com/spreadsheets/d/16OMuOwy2eVqZcYWOouQtTpa8X1L23h4660uVHc0C8os/edit?usp=sharing"",""พิษณุโลก!L218"")"),5000)</f>
        <v>5000</v>
      </c>
      <c r="BH22" s="86">
        <f ca="1">IFERROR(__xludf.DUMMYFUNCTION("IMPORTRANGE(""https://docs.google.com/spreadsheets/d/16OMuOwy2eVqZcYWOouQtTpa8X1L23h4660uVHc0C8os/edit?usp=sharing"",""พิษณุโลก!N218"")"),0)</f>
        <v>0</v>
      </c>
      <c r="BI22" s="87">
        <f t="shared" ca="1" si="96"/>
        <v>0</v>
      </c>
      <c r="BJ22" s="86">
        <f ca="1">IFERROR(__xludf.DUMMYFUNCTION("IMPORTRANGE(""https://docs.google.com/spreadsheets/d/16OMuOwy2eVqZcYWOouQtTpa8X1L23h4660uVHc0C8os/edit?usp=sharing"",""พิษณุโลก!L219"")"),13500)</f>
        <v>13500</v>
      </c>
      <c r="BK22" s="86">
        <f ca="1">IFERROR(__xludf.DUMMYFUNCTION("IMPORTRANGE(""https://docs.google.com/spreadsheets/d/16OMuOwy2eVqZcYWOouQtTpa8X1L23h4660uVHc0C8os/edit?usp=sharing"",""พิษณุโลก!N219"")"),0)</f>
        <v>0</v>
      </c>
      <c r="BL22" s="87">
        <f t="shared" ca="1" si="97"/>
        <v>0</v>
      </c>
      <c r="BM22" s="86">
        <f ca="1">IFERROR(__xludf.DUMMYFUNCTION("IMPORTRANGE(""https://docs.google.com/spreadsheets/d/16OMuOwy2eVqZcYWOouQtTpa8X1L23h4660uVHc0C8os/edit?usp=sharing"",""พิษณุโลก!L220"")"),10000)</f>
        <v>10000</v>
      </c>
      <c r="BN22" s="86">
        <f ca="1">IFERROR(__xludf.DUMMYFUNCTION("IMPORTRANGE(""https://docs.google.com/spreadsheets/d/16OMuOwy2eVqZcYWOouQtTpa8X1L23h4660uVHc0C8os/edit?usp=sharing"",""พิษณุโลก!N220"")"),0)</f>
        <v>0</v>
      </c>
      <c r="BO22" s="87">
        <f t="shared" ca="1" si="98"/>
        <v>0</v>
      </c>
      <c r="BP22" s="86">
        <f ca="1">IFERROR(__xludf.DUMMYFUNCTION("IMPORTRANGE(""https://docs.google.com/spreadsheets/d/16OMuOwy2eVqZcYWOouQtTpa8X1L23h4660uVHc0C8os/edit?usp=sharing"",""พิษณุโลก!I223"")"),50000)</f>
        <v>50000</v>
      </c>
      <c r="BQ22" s="86">
        <f ca="1">IFERROR(__xludf.DUMMYFUNCTION("IMPORTRANGE(""https://docs.google.com/spreadsheets/d/16OMuOwy2eVqZcYWOouQtTpa8X1L23h4660uVHc0C8os/edit?usp=sharing"",""พิษณุโลก!J223"")"),0)</f>
        <v>0</v>
      </c>
      <c r="BR22" s="87">
        <f t="shared" ca="1" si="99"/>
        <v>0</v>
      </c>
      <c r="BS22" s="86">
        <f ca="1">IFERROR(__xludf.DUMMYFUNCTION("IMPORTRANGE(""https://docs.google.com/spreadsheets/d/16OMuOwy2eVqZcYWOouQtTpa8X1L23h4660uVHc0C8os/edit?usp=sharing"",""พิษณุโลก!I224"")"),50000)</f>
        <v>50000</v>
      </c>
      <c r="BT22" s="86">
        <f ca="1">IFERROR(__xludf.DUMMYFUNCTION("IMPORTRANGE(""https://docs.google.com/spreadsheets/d/16OMuOwy2eVqZcYWOouQtTpa8X1L23h4660uVHc0C8os/edit?usp=sharing"",""พิษณุโลก!J224"")"),0)</f>
        <v>0</v>
      </c>
      <c r="BU22" s="87">
        <f t="shared" ca="1" si="100"/>
        <v>0</v>
      </c>
      <c r="BV22" s="86">
        <f ca="1">IFERROR(__xludf.DUMMYFUNCTION("IMPORTRANGE(""https://docs.google.com/spreadsheets/d/16OMuOwy2eVqZcYWOouQtTpa8X1L23h4660uVHc0C8os/edit?usp=sharing"",""พิษณุโลก!I225"")"),10)</f>
        <v>10</v>
      </c>
      <c r="BW22" s="86">
        <f ca="1">IFERROR(__xludf.DUMMYFUNCTION("IMPORTRANGE(""https://docs.google.com/spreadsheets/d/16OMuOwy2eVqZcYWOouQtTpa8X1L23h4660uVHc0C8os/edit?usp=sharing"",""พิษณุโลก!J225"")"),0)</f>
        <v>0</v>
      </c>
      <c r="BX22" s="87">
        <f t="shared" ca="1" si="101"/>
        <v>0</v>
      </c>
      <c r="BY22" s="86">
        <f ca="1">IFERROR(__xludf.DUMMYFUNCTION("IMPORTRANGE(""https://docs.google.com/spreadsheets/d/16OMuOwy2eVqZcYWOouQtTpa8X1L23h4660uVHc0C8os/edit?usp=sharing"",""พิษณุโลก!L228"")"),0)</f>
        <v>0</v>
      </c>
      <c r="BZ22" s="86">
        <f ca="1">IFERROR(__xludf.DUMMYFUNCTION("IMPORTRANGE(""https://docs.google.com/spreadsheets/d/16OMuOwy2eVqZcYWOouQtTpa8X1L23h4660uVHc0C8os/edit?usp=sharing"",""พิษณุโลก!N228"")"),0)</f>
        <v>0</v>
      </c>
      <c r="CA22" s="87">
        <f t="shared" ca="1" si="102"/>
        <v>0</v>
      </c>
      <c r="CB22" s="86">
        <f ca="1">IFERROR(__xludf.DUMMYFUNCTION("IMPORTRANGE(""https://docs.google.com/spreadsheets/d/16OMuOwy2eVqZcYWOouQtTpa8X1L23h4660uVHc0C8os/edit?usp=sharing"",""พิษณุโลก!L229"")"),0)</f>
        <v>0</v>
      </c>
      <c r="CC22" s="86">
        <f ca="1">IFERROR(__xludf.DUMMYFUNCTION("IMPORTRANGE(""https://docs.google.com/spreadsheets/d/16OMuOwy2eVqZcYWOouQtTpa8X1L23h4660uVHc0C8os/edit?usp=sharing"",""พิษณุโลก!N229"")"),0)</f>
        <v>0</v>
      </c>
      <c r="CD22" s="87">
        <f t="shared" ca="1" si="103"/>
        <v>0</v>
      </c>
      <c r="CE22" s="86">
        <f ca="1">IFERROR(__xludf.DUMMYFUNCTION("IMPORTRANGE(""https://docs.google.com/spreadsheets/d/16OMuOwy2eVqZcYWOouQtTpa8X1L23h4660uVHc0C8os/edit?usp=sharing"",""พิษณุโลก!L230"")"),0)</f>
        <v>0</v>
      </c>
      <c r="CF22" s="86">
        <f ca="1">IFERROR(__xludf.DUMMYFUNCTION("IMPORTRANGE(""https://docs.google.com/spreadsheets/d/16OMuOwy2eVqZcYWOouQtTpa8X1L23h4660uVHc0C8os/edit?usp=sharing"",""พิษณุโลก!N230"")"),0)</f>
        <v>0</v>
      </c>
      <c r="CG22" s="87">
        <f t="shared" ca="1" si="104"/>
        <v>0</v>
      </c>
      <c r="CH22" s="86">
        <f ca="1">IFERROR(__xludf.DUMMYFUNCTION("IMPORTRANGE(""https://docs.google.com/spreadsheets/d/16OMuOwy2eVqZcYWOouQtTpa8X1L23h4660uVHc0C8os/edit?usp=sharing"",""พิษณุโลก!L231"")"),0)</f>
        <v>0</v>
      </c>
      <c r="CI22" s="86">
        <f ca="1">IFERROR(__xludf.DUMMYFUNCTION("IMPORTRANGE(""https://docs.google.com/spreadsheets/d/16OMuOwy2eVqZcYWOouQtTpa8X1L23h4660uVHc0C8os/edit?usp=sharing"",""พิษณุโลก!N231"")"),0)</f>
        <v>0</v>
      </c>
      <c r="CJ22" s="87">
        <f t="shared" ca="1" si="105"/>
        <v>0</v>
      </c>
      <c r="CK22" s="86">
        <f ca="1">IFERROR(__xludf.DUMMYFUNCTION("IMPORTRANGE(""https://docs.google.com/spreadsheets/d/16OMuOwy2eVqZcYWOouQtTpa8X1L23h4660uVHc0C8os/edit?usp=sharing"",""พิษณุโลก!I233"")"),0)</f>
        <v>0</v>
      </c>
      <c r="CL22" s="86">
        <f ca="1">IFERROR(__xludf.DUMMYFUNCTION("IMPORTRANGE(""https://docs.google.com/spreadsheets/d/16OMuOwy2eVqZcYWOouQtTpa8X1L23h4660uVHc0C8os/edit?usp=sharing"",""พิษณุโลก!J233"")"),0)</f>
        <v>0</v>
      </c>
      <c r="CM22" s="87">
        <f t="shared" ca="1" si="106"/>
        <v>0</v>
      </c>
      <c r="CN22" s="86">
        <f ca="1">IFERROR(__xludf.DUMMYFUNCTION("IMPORTRANGE(""https://docs.google.com/spreadsheets/d/16OMuOwy2eVqZcYWOouQtTpa8X1L23h4660uVHc0C8os/edit?usp=sharing"",""พิษณุโลก!J235"")"),0)</f>
        <v>0</v>
      </c>
      <c r="CO22" s="86">
        <f ca="1">IFERROR(__xludf.DUMMYFUNCTION("IMPORTRANGE(""https://docs.google.com/spreadsheets/d/16OMuOwy2eVqZcYWOouQtTpa8X1L23h4660uVHc0C8os/edit?usp=sharing"",""พิษณุโลก!J236"")"),0)</f>
        <v>0</v>
      </c>
    </row>
    <row r="23" spans="1:93" ht="24" customHeight="1" x14ac:dyDescent="0.3">
      <c r="A23" s="78">
        <v>10</v>
      </c>
      <c r="B23" s="79" t="s">
        <v>45</v>
      </c>
      <c r="C23" s="80">
        <f t="shared" ca="1" si="0"/>
        <v>111200</v>
      </c>
      <c r="D23" s="81">
        <f t="shared" ca="1" si="133"/>
        <v>111200</v>
      </c>
      <c r="E23" s="82">
        <f ca="1">IFERROR(__xludf.DUMMYFUNCTION("IMPORTRANGE(""https://docs.google.com/spreadsheets/d/1MeEWN-I1oV_STSDYn1IFDPWt_1FKiwhDph83XaGc0o0/edit?usp=sharing"",""งบพรบ!CP23"")"),0)</f>
        <v>0</v>
      </c>
      <c r="F23" s="82">
        <f ca="1">IFERROR(__xludf.DUMMYFUNCTION("IMPORTRANGE(""https://docs.google.com/spreadsheets/d/1MeEWN-I1oV_STSDYn1IFDPWt_1FKiwhDph83XaGc0o0/edit?usp=sharing"",""งบพรบ!CQ23"")"),111200)</f>
        <v>111200</v>
      </c>
      <c r="G23" s="82">
        <f ca="1">IFERROR(__xludf.DUMMYFUNCTION("IMPORTRANGE(""https://docs.google.com/spreadsheets/d/1MeEWN-I1oV_STSDYn1IFDPWt_1FKiwhDph83XaGc0o0/edit?usp=sharing"",""งบพรบ!CR23"")"),0)</f>
        <v>0</v>
      </c>
      <c r="H23" s="82">
        <f ca="1">IFERROR(__xludf.DUMMYFUNCTION("IMPORTRANGE(""https://docs.google.com/spreadsheets/d/1MeEWN-I1oV_STSDYn1IFDPWt_1FKiwhDph83XaGc0o0/edit?usp=sharing"",""งบพรบ!CT23"")"),76500)</f>
        <v>76500</v>
      </c>
      <c r="I23" s="82">
        <f ca="1">IFERROR(__xludf.DUMMYFUNCTION("IMPORTRANGE(""https://docs.google.com/spreadsheets/d/1MeEWN-I1oV_STSDYn1IFDPWt_1FKiwhDph83XaGc0o0/edit?usp=sharing"",""งบพรบ!CU23"")"),0)</f>
        <v>0</v>
      </c>
      <c r="J23" s="82">
        <f t="shared" ca="1" si="3"/>
        <v>10000</v>
      </c>
      <c r="K23" s="83">
        <f t="shared" ca="1" si="4"/>
        <v>8.9928057553956826</v>
      </c>
      <c r="L23" s="82">
        <f ca="1">IFERROR(__xludf.DUMMYFUNCTION("IMPORTRANGE(""https://docs.google.com/spreadsheets/d/1MeEWN-I1oV_STSDYn1IFDPWt_1FKiwhDph83XaGc0o0/edit?usp=sharing"",""งบพรบ!CV23"")"),10000)</f>
        <v>10000</v>
      </c>
      <c r="M23" s="84">
        <f t="shared" ca="1" si="5"/>
        <v>8.9928057553956826</v>
      </c>
      <c r="N23" s="84">
        <f t="shared" ca="1" si="6"/>
        <v>13.071895424836601</v>
      </c>
      <c r="O23" s="85">
        <f ca="1">IFERROR(__xludf.DUMMYFUNCTION("IMPORTRANGE(""https://docs.google.com/spreadsheets/d/1MeEWN-I1oV_STSDYn1IFDPWt_1FKiwhDph83XaGc0o0/edit?usp=sharing"",""งบพรบ!CW23"")"),0)</f>
        <v>0</v>
      </c>
      <c r="P23" s="85">
        <f t="shared" ca="1" si="108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IFERROR(__xludf.DUMMYFUNCTION("IMPORTRANGE(""https://docs.google.com/spreadsheets/d/1GfgTldLG6k77HXaMQzaafODklYuucJZQNs_GAPEfZyY/edit?usp=sharing"",""เพชรบูรณ์!L191"")"),6000)</f>
        <v>6000</v>
      </c>
      <c r="S23" s="86">
        <f ca="1">IFERROR(__xludf.DUMMYFUNCTION("IMPORTRANGE(""https://docs.google.com/spreadsheets/d/1GfgTldLG6k77HXaMQzaafODklYuucJZQNs_GAPEfZyY/edit?usp=sharing"",""เพชรบูรณ์!N191"")"),0)</f>
        <v>0</v>
      </c>
      <c r="T23" s="87">
        <f t="shared" ca="1" si="84"/>
        <v>0</v>
      </c>
      <c r="U23" s="86">
        <f ca="1">IFERROR(__xludf.DUMMYFUNCTION("IMPORTRANGE(""https://docs.google.com/spreadsheets/d/1GfgTldLG6k77HXaMQzaafODklYuucJZQNs_GAPEfZyY/edit?usp=sharing"",""เพชรบูรณ์!I193"")"),4)</f>
        <v>4</v>
      </c>
      <c r="V23" s="86">
        <f ca="1">IFERROR(__xludf.DUMMYFUNCTION("IMPORTRANGE(""https://docs.google.com/spreadsheets/d/1GfgTldLG6k77HXaMQzaafODklYuucJZQNs_GAPEfZyY/edit?usp=sharing"",""เพชรบูรณ์!J193"")"),1)</f>
        <v>1</v>
      </c>
      <c r="W23" s="87">
        <f t="shared" ca="1" si="85"/>
        <v>25</v>
      </c>
      <c r="X23" s="86">
        <f t="shared" ca="1" si="134"/>
        <v>50</v>
      </c>
      <c r="Y23" s="86">
        <f ca="1">IFERROR(__xludf.DUMMYFUNCTION("IMPORTRANGE(""https://docs.google.com/spreadsheets/d/1GfgTldLG6k77HXaMQzaafODklYuucJZQNs_GAPEfZyY/edit?usp=sharing"",""เพชรบูรณ์!J195"")"),50)</f>
        <v>50</v>
      </c>
      <c r="Z23" s="86">
        <f ca="1">IFERROR(__xludf.DUMMYFUNCTION("IMPORTRANGE(""https://docs.google.com/spreadsheets/d/1GfgTldLG6k77HXaMQzaafODklYuucJZQNs_GAPEfZyY/edit?usp=sharing"",""เพชรบูรณ์!J196"")"),0)</f>
        <v>0</v>
      </c>
      <c r="AA23" s="86">
        <f ca="1">IFERROR(__xludf.DUMMYFUNCTION("IMPORTRANGE(""https://docs.google.com/spreadsheets/d/1GfgTldLG6k77HXaMQzaafODklYuucJZQNs_GAPEfZyY/edit?usp=sharing"",""เพชรบูรณ์!L199"")"),2000)</f>
        <v>2000</v>
      </c>
      <c r="AB23" s="86">
        <f ca="1">IFERROR(__xludf.DUMMYFUNCTION("IMPORTRANGE(""https://docs.google.com/spreadsheets/d/1GfgTldLG6k77HXaMQzaafODklYuucJZQNs_GAPEfZyY/edit?usp=sharing"",""เพชรบูรณ์!N199"")"),0)</f>
        <v>0</v>
      </c>
      <c r="AC23" s="87">
        <f t="shared" ca="1" si="86"/>
        <v>0</v>
      </c>
      <c r="AD23" s="86">
        <f ca="1">IFERROR(__xludf.DUMMYFUNCTION("IMPORTRANGE(""https://docs.google.com/spreadsheets/d/1GfgTldLG6k77HXaMQzaafODklYuucJZQNs_GAPEfZyY/edit?usp=sharing"",""เพชรบูรณ์!L200"")"),16000)</f>
        <v>16000</v>
      </c>
      <c r="AE23" s="86">
        <f ca="1">IFERROR(__xludf.DUMMYFUNCTION("IMPORTRANGE(""https://docs.google.com/spreadsheets/d/1GfgTldLG6k77HXaMQzaafODklYuucJZQNs_GAPEfZyY/edit?usp=sharing"",""เพชรบูรณ์!N200"")"),0)</f>
        <v>0</v>
      </c>
      <c r="AF23" s="87">
        <f t="shared" ca="1" si="87"/>
        <v>0</v>
      </c>
      <c r="AG23" s="86">
        <f ca="1">IFERROR(__xludf.DUMMYFUNCTION("IMPORTRANGE(""https://docs.google.com/spreadsheets/d/1GfgTldLG6k77HXaMQzaafODklYuucJZQNs_GAPEfZyY/edit?usp=sharing"",""เพชรบูรณ์!L201"")"),8000)</f>
        <v>8000</v>
      </c>
      <c r="AH23" s="86">
        <f ca="1">IFERROR(__xludf.DUMMYFUNCTION("IMPORTRANGE(""https://docs.google.com/spreadsheets/d/1GfgTldLG6k77HXaMQzaafODklYuucJZQNs_GAPEfZyY/edit?usp=sharing"",""เพชรบูรณ์!N201"")"),0)</f>
        <v>0</v>
      </c>
      <c r="AI23" s="87">
        <f t="shared" ca="1" si="88"/>
        <v>0</v>
      </c>
      <c r="AJ23" s="86">
        <f ca="1">IFERROR(__xludf.DUMMYFUNCTION("IMPORTRANGE(""https://docs.google.com/spreadsheets/d/1GfgTldLG6k77HXaMQzaafODklYuucJZQNs_GAPEfZyY/edit?usp=sharing"",""เพชรบูรณ์!L202"")"),0)</f>
        <v>0</v>
      </c>
      <c r="AK23" s="86">
        <f ca="1">IFERROR(__xludf.DUMMYFUNCTION("IMPORTRANGE(""https://docs.google.com/spreadsheets/d/1GfgTldLG6k77HXaMQzaafODklYuucJZQNs_GAPEfZyY/edit?usp=sharing"",""เพชรบูรณ์!N202"")"),0)</f>
        <v>0</v>
      </c>
      <c r="AL23" s="87">
        <f t="shared" ca="1" si="89"/>
        <v>0</v>
      </c>
      <c r="AM23" s="86">
        <f ca="1">IFERROR(__xludf.DUMMYFUNCTION("IMPORTRANGE(""https://docs.google.com/spreadsheets/d/1GfgTldLG6k77HXaMQzaafODklYuucJZQNs_GAPEfZyY/edit?usp=sharing"",""เพชรบูรณ์!I204"")"),2)</f>
        <v>2</v>
      </c>
      <c r="AN23" s="86">
        <f ca="1">IFERROR(__xludf.DUMMYFUNCTION("IMPORTRANGE(""https://docs.google.com/spreadsheets/d/1GfgTldLG6k77HXaMQzaafODklYuucJZQNs_GAPEfZyY/edit?usp=sharing"",""เพชรบูรณ์!J204"")"),0)</f>
        <v>0</v>
      </c>
      <c r="AO23" s="87">
        <f t="shared" ca="1" si="90"/>
        <v>0</v>
      </c>
      <c r="AP23" s="298">
        <f ca="1">IFERROR(__xludf.DUMMYFUNCTION("IMPORTRANGE(""https://docs.google.com/spreadsheets/d/1GfgTldLG6k77HXaMQzaafODklYuucJZQNs_GAPEfZyY/edit?usp=sharing"",""เพชรบูรณ์!J206"")"),0)</f>
        <v>0</v>
      </c>
      <c r="AQ23" s="298">
        <f ca="1">IFERROR(__xludf.DUMMYFUNCTION("IMPORTRANGE(""https://docs.google.com/spreadsheets/d/1GfgTldLG6k77HXaMQzaafODklYuucJZQNs_GAPEfZyY/edit?usp=sharing"",""เพชรบูรณ์!J207"")"),0)</f>
        <v>0</v>
      </c>
      <c r="AR23" s="86">
        <f ca="1">IFERROR(__xludf.DUMMYFUNCTION("IMPORTRANGE(""https://docs.google.com/spreadsheets/d/1GfgTldLG6k77HXaMQzaafODklYuucJZQNs_GAPEfZyY/edit?usp=sharing"",""เพชรบูรณ์!L210"")"),2000)</f>
        <v>2000</v>
      </c>
      <c r="AS23" s="86">
        <f ca="1">IFERROR(__xludf.DUMMYFUNCTION("IMPORTRANGE(""https://docs.google.com/spreadsheets/d/1GfgTldLG6k77HXaMQzaafODklYuucJZQNs_GAPEfZyY/edit?usp=sharing"",""เพชรบูรณ์!N210"")"),0)</f>
        <v>0</v>
      </c>
      <c r="AT23" s="87">
        <f t="shared" ca="1" si="91"/>
        <v>0</v>
      </c>
      <c r="AU23" s="86">
        <f ca="1">IFERROR(__xludf.DUMMYFUNCTION("IMPORTRANGE(""https://docs.google.com/spreadsheets/d/1GfgTldLG6k77HXaMQzaafODklYuucJZQNs_GAPEfZyY/edit?usp=sharing"",""เพชรบูรณ์!L211"")"),10000)</f>
        <v>10000</v>
      </c>
      <c r="AV23" s="86">
        <f ca="1">IFERROR(__xludf.DUMMYFUNCTION("IMPORTRANGE(""https://docs.google.com/spreadsheets/d/1GfgTldLG6k77HXaMQzaafODklYuucJZQNs_GAPEfZyY/edit?usp=sharing"",""เพชรบูรณ์!N211"")"),0)</f>
        <v>0</v>
      </c>
      <c r="AW23" s="87">
        <f t="shared" ca="1" si="92"/>
        <v>0</v>
      </c>
      <c r="AX23" s="86">
        <f ca="1">IFERROR(__xludf.DUMMYFUNCTION("IMPORTRANGE(""https://docs.google.com/spreadsheets/d/1GfgTldLG6k77HXaMQzaafODklYuucJZQNs_GAPEfZyY/edit?usp=sharing"",""เพชรบูรณ์!L212"")"),16000)</f>
        <v>16000</v>
      </c>
      <c r="AY23" s="86">
        <f ca="1">IFERROR(__xludf.DUMMYFUNCTION("IMPORTRANGE(""https://docs.google.com/spreadsheets/d/1GfgTldLG6k77HXaMQzaafODklYuucJZQNs_GAPEfZyY/edit?usp=sharing"",""เพชรบูรณ์!N212"")"),0)</f>
        <v>0</v>
      </c>
      <c r="AZ23" s="87">
        <f t="shared" ca="1" si="93"/>
        <v>0</v>
      </c>
      <c r="BA23" s="86">
        <f ca="1">IFERROR(__xludf.DUMMYFUNCTION("IMPORTRANGE(""https://docs.google.com/spreadsheets/d/1GfgTldLG6k77HXaMQzaafODklYuucJZQNs_GAPEfZyY/edit?usp=sharing"",""เพชรบูรณ์!I214"")"),2)</f>
        <v>2</v>
      </c>
      <c r="BB23" s="86">
        <f ca="1">IFERROR(__xludf.DUMMYFUNCTION("IMPORTRANGE(""https://docs.google.com/spreadsheets/d/1GfgTldLG6k77HXaMQzaafODklYuucJZQNs_GAPEfZyY/edit?usp=sharing"",""เพชรบูรณ์!J214"")"),0)</f>
        <v>0</v>
      </c>
      <c r="BC23" s="87">
        <f t="shared" ca="1" si="94"/>
        <v>0</v>
      </c>
      <c r="BD23" s="86">
        <f ca="1">IFERROR(__xludf.DUMMYFUNCTION("IMPORTRANGE(""https://docs.google.com/spreadsheets/d/1GfgTldLG6k77HXaMQzaafODklYuucJZQNs_GAPEfZyY/edit?usp=sharing"",""เพชรบูรณ์!I215"")"),2)</f>
        <v>2</v>
      </c>
      <c r="BE23" s="86">
        <f ca="1">IFERROR(__xludf.DUMMYFUNCTION("IMPORTRANGE(""https://docs.google.com/spreadsheets/d/1GfgTldLG6k77HXaMQzaafODklYuucJZQNs_GAPEfZyY/edit?usp=sharing"",""เพชรบูรณ์!J215"")"),0)</f>
        <v>0</v>
      </c>
      <c r="BF23" s="87">
        <f t="shared" ca="1" si="95"/>
        <v>0</v>
      </c>
      <c r="BG23" s="86">
        <f ca="1">IFERROR(__xludf.DUMMYFUNCTION("IMPORTRANGE(""https://docs.google.com/spreadsheets/d/1GfgTldLG6k77HXaMQzaafODklYuucJZQNs_GAPEfZyY/edit?usp=sharing"",""เพชรบูรณ์!L218"")"),8000)</f>
        <v>8000</v>
      </c>
      <c r="BH23" s="86">
        <f ca="1">IFERROR(__xludf.DUMMYFUNCTION("IMPORTRANGE(""https://docs.google.com/spreadsheets/d/1GfgTldLG6k77HXaMQzaafODklYuucJZQNs_GAPEfZyY/edit?usp=sharing"",""เพชรบูรณ์!N218"")"),0)</f>
        <v>0</v>
      </c>
      <c r="BI23" s="87">
        <f t="shared" ca="1" si="96"/>
        <v>0</v>
      </c>
      <c r="BJ23" s="86">
        <f ca="1">IFERROR(__xludf.DUMMYFUNCTION("IMPORTRANGE(""https://docs.google.com/spreadsheets/d/1GfgTldLG6k77HXaMQzaafODklYuucJZQNs_GAPEfZyY/edit?usp=sharing"",""เพชรบูรณ์!L219"")"),33200)</f>
        <v>33200</v>
      </c>
      <c r="BK23" s="86">
        <f ca="1">IFERROR(__xludf.DUMMYFUNCTION("IMPORTRANGE(""https://docs.google.com/spreadsheets/d/1GfgTldLG6k77HXaMQzaafODklYuucJZQNs_GAPEfZyY/edit?usp=sharing"",""เพชรบูรณ์!N219"")"),0)</f>
        <v>0</v>
      </c>
      <c r="BL23" s="87">
        <f t="shared" ca="1" si="97"/>
        <v>0</v>
      </c>
      <c r="BM23" s="86">
        <f ca="1">IFERROR(__xludf.DUMMYFUNCTION("IMPORTRANGE(""https://docs.google.com/spreadsheets/d/1GfgTldLG6k77HXaMQzaafODklYuucJZQNs_GAPEfZyY/edit?usp=sharing"",""เพชรบูรณ์!L220"")"),10000)</f>
        <v>10000</v>
      </c>
      <c r="BN23" s="86">
        <f ca="1">IFERROR(__xludf.DUMMYFUNCTION("IMPORTRANGE(""https://docs.google.com/spreadsheets/d/1GfgTldLG6k77HXaMQzaafODklYuucJZQNs_GAPEfZyY/edit?usp=sharing"",""เพชรบูรณ์!N220"")"),10000)</f>
        <v>10000</v>
      </c>
      <c r="BO23" s="87">
        <f t="shared" ca="1" si="98"/>
        <v>100</v>
      </c>
      <c r="BP23" s="86">
        <f ca="1">IFERROR(__xludf.DUMMYFUNCTION("IMPORTRANGE(""https://docs.google.com/spreadsheets/d/1GfgTldLG6k77HXaMQzaafODklYuucJZQNs_GAPEfZyY/edit?usp=sharing"",""เพชรบูรณ์!I223"")"),128000)</f>
        <v>128000</v>
      </c>
      <c r="BQ23" s="86">
        <f ca="1">IFERROR(__xludf.DUMMYFUNCTION("IMPORTRANGE(""https://docs.google.com/spreadsheets/d/1GfgTldLG6k77HXaMQzaafODklYuucJZQNs_GAPEfZyY/edit?usp=sharing"",""เพชรบูรณ์!J223"")"),128000)</f>
        <v>128000</v>
      </c>
      <c r="BR23" s="87">
        <f t="shared" ca="1" si="99"/>
        <v>100</v>
      </c>
      <c r="BS23" s="86">
        <f ca="1">IFERROR(__xludf.DUMMYFUNCTION("IMPORTRANGE(""https://docs.google.com/spreadsheets/d/1GfgTldLG6k77HXaMQzaafODklYuucJZQNs_GAPEfZyY/edit?usp=sharing"",""เพชรบูรณ์!I224"")"),128000)</f>
        <v>128000</v>
      </c>
      <c r="BT23" s="86">
        <f ca="1">IFERROR(__xludf.DUMMYFUNCTION("IMPORTRANGE(""https://docs.google.com/spreadsheets/d/1GfgTldLG6k77HXaMQzaafODklYuucJZQNs_GAPEfZyY/edit?usp=sharing"",""เพชรบูรณ์!J224"")"),0)</f>
        <v>0</v>
      </c>
      <c r="BU23" s="87">
        <f t="shared" ca="1" si="100"/>
        <v>0</v>
      </c>
      <c r="BV23" s="86">
        <f ca="1">IFERROR(__xludf.DUMMYFUNCTION("IMPORTRANGE(""https://docs.google.com/spreadsheets/d/1GfgTldLG6k77HXaMQzaafODklYuucJZQNs_GAPEfZyY/edit?usp=sharing"",""เพชรบูรณ์!I225"")"),10)</f>
        <v>10</v>
      </c>
      <c r="BW23" s="86">
        <f ca="1">IFERROR(__xludf.DUMMYFUNCTION("IMPORTRANGE(""https://docs.google.com/spreadsheets/d/1GfgTldLG6k77HXaMQzaafODklYuucJZQNs_GAPEfZyY/edit?usp=sharing"",""เพชรบูรณ์!J225"")"),10)</f>
        <v>10</v>
      </c>
      <c r="BX23" s="87">
        <f t="shared" ca="1" si="101"/>
        <v>100</v>
      </c>
      <c r="BY23" s="86">
        <f ca="1">IFERROR(__xludf.DUMMYFUNCTION("IMPORTRANGE(""https://docs.google.com/spreadsheets/d/1GfgTldLG6k77HXaMQzaafODklYuucJZQNs_GAPEfZyY/edit?usp=sharing"",""เพชรบูรณ์!L228"")"),0)</f>
        <v>0</v>
      </c>
      <c r="BZ23" s="86">
        <f ca="1">IFERROR(__xludf.DUMMYFUNCTION("IMPORTRANGE(""https://docs.google.com/spreadsheets/d/1GfgTldLG6k77HXaMQzaafODklYuucJZQNs_GAPEfZyY/edit?usp=sharing"",""เพชรบูรณ์!N228"")"),0)</f>
        <v>0</v>
      </c>
      <c r="CA23" s="87">
        <f t="shared" ca="1" si="102"/>
        <v>0</v>
      </c>
      <c r="CB23" s="86">
        <f ca="1">IFERROR(__xludf.DUMMYFUNCTION("IMPORTRANGE(""https://docs.google.com/spreadsheets/d/1GfgTldLG6k77HXaMQzaafODklYuucJZQNs_GAPEfZyY/edit?usp=sharing"",""เพชรบูรณ์!L229"")"),0)</f>
        <v>0</v>
      </c>
      <c r="CC23" s="86">
        <f ca="1">IFERROR(__xludf.DUMMYFUNCTION("IMPORTRANGE(""https://docs.google.com/spreadsheets/d/1GfgTldLG6k77HXaMQzaafODklYuucJZQNs_GAPEfZyY/edit?usp=sharing"",""เพชรบูรณ์!N229"")"),0)</f>
        <v>0</v>
      </c>
      <c r="CD23" s="87">
        <f t="shared" ca="1" si="103"/>
        <v>0</v>
      </c>
      <c r="CE23" s="86">
        <f ca="1">IFERROR(__xludf.DUMMYFUNCTION("IMPORTRANGE(""https://docs.google.com/spreadsheets/d/1GfgTldLG6k77HXaMQzaafODklYuucJZQNs_GAPEfZyY/edit?usp=sharing"",""เพชรบูรณ์!L230"")"),0)</f>
        <v>0</v>
      </c>
      <c r="CF23" s="86">
        <f ca="1">IFERROR(__xludf.DUMMYFUNCTION("IMPORTRANGE(""https://docs.google.com/spreadsheets/d/1GfgTldLG6k77HXaMQzaafODklYuucJZQNs_GAPEfZyY/edit?usp=sharing"",""เพชรบูรณ์!N230"")"),0)</f>
        <v>0</v>
      </c>
      <c r="CG23" s="87">
        <f t="shared" ca="1" si="104"/>
        <v>0</v>
      </c>
      <c r="CH23" s="86">
        <f ca="1">IFERROR(__xludf.DUMMYFUNCTION("IMPORTRANGE(""https://docs.google.com/spreadsheets/d/1GfgTldLG6k77HXaMQzaafODklYuucJZQNs_GAPEfZyY/edit?usp=sharing"",""เพชรบูรณ์!L231"")"),0)</f>
        <v>0</v>
      </c>
      <c r="CI23" s="86">
        <f ca="1">IFERROR(__xludf.DUMMYFUNCTION("IMPORTRANGE(""https://docs.google.com/spreadsheets/d/1GfgTldLG6k77HXaMQzaafODklYuucJZQNs_GAPEfZyY/edit?usp=sharing"",""เพชรบูรณ์!N231"")"),0)</f>
        <v>0</v>
      </c>
      <c r="CJ23" s="87">
        <f t="shared" ca="1" si="105"/>
        <v>0</v>
      </c>
      <c r="CK23" s="86">
        <f ca="1">IFERROR(__xludf.DUMMYFUNCTION("IMPORTRANGE(""https://docs.google.com/spreadsheets/d/1GfgTldLG6k77HXaMQzaafODklYuucJZQNs_GAPEfZyY/edit?usp=sharing"",""เพชรบูรณ์!I233"")"),0)</f>
        <v>0</v>
      </c>
      <c r="CL23" s="86">
        <f ca="1">IFERROR(__xludf.DUMMYFUNCTION("IMPORTRANGE(""https://docs.google.com/spreadsheets/d/1GfgTldLG6k77HXaMQzaafODklYuucJZQNs_GAPEfZyY/edit?usp=sharing"",""เพชรบูรณ์!J233"")"),0)</f>
        <v>0</v>
      </c>
      <c r="CM23" s="87">
        <f t="shared" ca="1" si="106"/>
        <v>0</v>
      </c>
      <c r="CN23" s="86">
        <f ca="1">IFERROR(__xludf.DUMMYFUNCTION("IMPORTRANGE(""https://docs.google.com/spreadsheets/d/1GfgTldLG6k77HXaMQzaafODklYuucJZQNs_GAPEfZyY/edit?usp=sharing"",""เพชรบูรณ์!J235"")"),0)</f>
        <v>0</v>
      </c>
      <c r="CO23" s="86">
        <f ca="1">IFERROR(__xludf.DUMMYFUNCTION("IMPORTRANGE(""https://docs.google.com/spreadsheets/d/1GfgTldLG6k77HXaMQzaafODklYuucJZQNs_GAPEfZyY/edit?usp=sharing"",""เพชรบูรณ์!J236"")"),0)</f>
        <v>0</v>
      </c>
    </row>
    <row r="24" spans="1:93" ht="24" customHeight="1" x14ac:dyDescent="0.3">
      <c r="A24" s="78">
        <v>11</v>
      </c>
      <c r="B24" s="79" t="s">
        <v>46</v>
      </c>
      <c r="C24" s="80">
        <f t="shared" ca="1" si="0"/>
        <v>47000</v>
      </c>
      <c r="D24" s="81">
        <f t="shared" ca="1" si="133"/>
        <v>47000</v>
      </c>
      <c r="E24" s="82">
        <f ca="1">IFERROR(__xludf.DUMMYFUNCTION("IMPORTRANGE(""https://docs.google.com/spreadsheets/d/1MeEWN-I1oV_STSDYn1IFDPWt_1FKiwhDph83XaGc0o0/edit?usp=sharing"",""งบพรบ!CP24"")"),0)</f>
        <v>0</v>
      </c>
      <c r="F24" s="82">
        <f ca="1">IFERROR(__xludf.DUMMYFUNCTION("IMPORTRANGE(""https://docs.google.com/spreadsheets/d/1MeEWN-I1oV_STSDYn1IFDPWt_1FKiwhDph83XaGc0o0/edit?usp=sharing"",""งบพรบ!CQ24"")"),47000)</f>
        <v>47000</v>
      </c>
      <c r="G24" s="82">
        <f ca="1">IFERROR(__xludf.DUMMYFUNCTION("IMPORTRANGE(""https://docs.google.com/spreadsheets/d/1MeEWN-I1oV_STSDYn1IFDPWt_1FKiwhDph83XaGc0o0/edit?usp=sharing"",""งบพรบ!CR24"")"),0)</f>
        <v>0</v>
      </c>
      <c r="H24" s="82">
        <f ca="1">IFERROR(__xludf.DUMMYFUNCTION("IMPORTRANGE(""https://docs.google.com/spreadsheets/d/1MeEWN-I1oV_STSDYn1IFDPWt_1FKiwhDph83XaGc0o0/edit?usp=sharing"",""งบพรบ!CT24"")"),35500)</f>
        <v>35500</v>
      </c>
      <c r="I24" s="82">
        <f ca="1">IFERROR(__xludf.DUMMYFUNCTION("IMPORTRANGE(""https://docs.google.com/spreadsheets/d/1MeEWN-I1oV_STSDYn1IFDPWt_1FKiwhDph83XaGc0o0/edit?usp=sharing"",""งบพรบ!CU24"")"),0)</f>
        <v>0</v>
      </c>
      <c r="J24" s="82">
        <f t="shared" ca="1" si="3"/>
        <v>12672.44</v>
      </c>
      <c r="K24" s="83">
        <f t="shared" ca="1" si="4"/>
        <v>26.962638297872342</v>
      </c>
      <c r="L24" s="82">
        <f ca="1">IFERROR(__xludf.DUMMYFUNCTION("IMPORTRANGE(""https://docs.google.com/spreadsheets/d/1MeEWN-I1oV_STSDYn1IFDPWt_1FKiwhDph83XaGc0o0/edit?usp=sharing"",""งบพรบ!CV24"")"),12672.44)</f>
        <v>12672.44</v>
      </c>
      <c r="M24" s="84">
        <f t="shared" ca="1" si="5"/>
        <v>26.962638297872342</v>
      </c>
      <c r="N24" s="84">
        <f t="shared" ca="1" si="6"/>
        <v>35.697014084507039</v>
      </c>
      <c r="O24" s="85">
        <f ca="1">IFERROR(__xludf.DUMMYFUNCTION("IMPORTRANGE(""https://docs.google.com/spreadsheets/d/1MeEWN-I1oV_STSDYn1IFDPWt_1FKiwhDph83XaGc0o0/edit?usp=sharing"",""งบพรบ!CW24"")"),0)</f>
        <v>0</v>
      </c>
      <c r="P24" s="85">
        <f t="shared" ca="1" si="108"/>
        <v>0</v>
      </c>
      <c r="Q24" s="84">
        <f t="shared" ca="1" si="8"/>
        <v>0</v>
      </c>
      <c r="R24" s="86">
        <f ca="1">IFERROR(__xludf.DUMMYFUNCTION("IMPORTRANGE(""https://docs.google.com/spreadsheets/d/1gvTMYAnm7v1yG1BKWFtr0DnaTsq59oW9dwWvFgq6hs0/edit?usp=sharing"",""แพร่!L191"")"),6000)</f>
        <v>6000</v>
      </c>
      <c r="S24" s="86">
        <f ca="1">IFERROR(__xludf.DUMMYFUNCTION("IMPORTRANGE(""https://docs.google.com/spreadsheets/d/1gvTMYAnm7v1yG1BKWFtr0DnaTsq59oW9dwWvFgq6hs0/edit?usp=sharing"",""แพร่!N191"")"),3832.44)</f>
        <v>3832.44</v>
      </c>
      <c r="T24" s="87">
        <f t="shared" ca="1" si="84"/>
        <v>63.874000000000002</v>
      </c>
      <c r="U24" s="86">
        <f ca="1">IFERROR(__xludf.DUMMYFUNCTION("IMPORTRANGE(""https://docs.google.com/spreadsheets/d/1gvTMYAnm7v1yG1BKWFtr0DnaTsq59oW9dwWvFgq6hs0/edit?usp=sharing"",""แพร่!I193"")"),4)</f>
        <v>4</v>
      </c>
      <c r="V24" s="86">
        <f ca="1">IFERROR(__xludf.DUMMYFUNCTION("IMPORTRANGE(""https://docs.google.com/spreadsheets/d/1gvTMYAnm7v1yG1BKWFtr0DnaTsq59oW9dwWvFgq6hs0/edit?usp=sharing"",""แพร่!J193"")"),1)</f>
        <v>1</v>
      </c>
      <c r="W24" s="87">
        <f t="shared" ca="1" si="85"/>
        <v>25</v>
      </c>
      <c r="X24" s="86">
        <f t="shared" ca="1" si="134"/>
        <v>0</v>
      </c>
      <c r="Y24" s="86">
        <f ca="1">IFERROR(__xludf.DUMMYFUNCTION("IMPORTRANGE(""https://docs.google.com/spreadsheets/d/1gvTMYAnm7v1yG1BKWFtr0DnaTsq59oW9dwWvFgq6hs0/edit?usp=sharing"",""แพร่!J195"")"),0)</f>
        <v>0</v>
      </c>
      <c r="Z24" s="86">
        <f ca="1">IFERROR(__xludf.DUMMYFUNCTION("IMPORTRANGE(""https://docs.google.com/spreadsheets/d/1gvTMYAnm7v1yG1BKWFtr0DnaTsq59oW9dwWvFgq6hs0/edit?usp=sharing"",""แพร่!J196"")"),0)</f>
        <v>0</v>
      </c>
      <c r="AA24" s="86">
        <f ca="1">IFERROR(__xludf.DUMMYFUNCTION("IMPORTRANGE(""https://docs.google.com/spreadsheets/d/1gvTMYAnm7v1yG1BKWFtr0DnaTsq59oW9dwWvFgq6hs0/edit?usp=sharing"",""แพร่!L199"")"),2000)</f>
        <v>2000</v>
      </c>
      <c r="AB24" s="86">
        <f ca="1">IFERROR(__xludf.DUMMYFUNCTION("IMPORTRANGE(""https://docs.google.com/spreadsheets/d/1gvTMYAnm7v1yG1BKWFtr0DnaTsq59oW9dwWvFgq6hs0/edit?usp=sharing"",""แพร่!N199"")"),0)</f>
        <v>0</v>
      </c>
      <c r="AC24" s="87">
        <f t="shared" ca="1" si="86"/>
        <v>0</v>
      </c>
      <c r="AD24" s="86">
        <f ca="1">IFERROR(__xludf.DUMMYFUNCTION("IMPORTRANGE(""https://docs.google.com/spreadsheets/d/1gvTMYAnm7v1yG1BKWFtr0DnaTsq59oW9dwWvFgq6hs0/edit?usp=sharing"",""แพร่!L200"")"),16000)</f>
        <v>16000</v>
      </c>
      <c r="AE24" s="86">
        <f ca="1">IFERROR(__xludf.DUMMYFUNCTION("IMPORTRANGE(""https://docs.google.com/spreadsheets/d/1gvTMYAnm7v1yG1BKWFtr0DnaTsq59oW9dwWvFgq6hs0/edit?usp=sharing"",""แพร่!N200"")"),8840)</f>
        <v>8840</v>
      </c>
      <c r="AF24" s="87">
        <f t="shared" ca="1" si="87"/>
        <v>55.25</v>
      </c>
      <c r="AG24" s="86">
        <f ca="1">IFERROR(__xludf.DUMMYFUNCTION("IMPORTRANGE(""https://docs.google.com/spreadsheets/d/1gvTMYAnm7v1yG1BKWFtr0DnaTsq59oW9dwWvFgq6hs0/edit?usp=sharing"",""แพร่!L201"")"),8000)</f>
        <v>8000</v>
      </c>
      <c r="AH24" s="86">
        <f ca="1">IFERROR(__xludf.DUMMYFUNCTION("IMPORTRANGE(""https://docs.google.com/spreadsheets/d/1gvTMYAnm7v1yG1BKWFtr0DnaTsq59oW9dwWvFgq6hs0/edit?usp=sharing"",""แพร่!N201"")"),0)</f>
        <v>0</v>
      </c>
      <c r="AI24" s="87">
        <f t="shared" ca="1" si="88"/>
        <v>0</v>
      </c>
      <c r="AJ24" s="86">
        <f ca="1">IFERROR(__xludf.DUMMYFUNCTION("IMPORTRANGE(""https://docs.google.com/spreadsheets/d/1gvTMYAnm7v1yG1BKWFtr0DnaTsq59oW9dwWvFgq6hs0/edit?usp=sharing"",""แพร่!L202"")"),0)</f>
        <v>0</v>
      </c>
      <c r="AK24" s="86">
        <f ca="1">IFERROR(__xludf.DUMMYFUNCTION("IMPORTRANGE(""https://docs.google.com/spreadsheets/d/1gvTMYAnm7v1yG1BKWFtr0DnaTsq59oW9dwWvFgq6hs0/edit?usp=sharing"",""แพร่!N202"")"),0)</f>
        <v>0</v>
      </c>
      <c r="AL24" s="87">
        <f t="shared" ca="1" si="89"/>
        <v>0</v>
      </c>
      <c r="AM24" s="86">
        <f ca="1">IFERROR(__xludf.DUMMYFUNCTION("IMPORTRANGE(""https://docs.google.com/spreadsheets/d/1gvTMYAnm7v1yG1BKWFtr0DnaTsq59oW9dwWvFgq6hs0/edit?usp=sharing"",""แพร่!I204"")"),2)</f>
        <v>2</v>
      </c>
      <c r="AN24" s="86">
        <f ca="1">IFERROR(__xludf.DUMMYFUNCTION("IMPORTRANGE(""https://docs.google.com/spreadsheets/d/1gvTMYAnm7v1yG1BKWFtr0DnaTsq59oW9dwWvFgq6hs0/edit?usp=sharing"",""แพร่!J204"")"),2)</f>
        <v>2</v>
      </c>
      <c r="AO24" s="87">
        <f t="shared" ca="1" si="90"/>
        <v>100</v>
      </c>
      <c r="AP24" s="298">
        <f ca="1">IFERROR(__xludf.DUMMYFUNCTION("IMPORTRANGE(""https://docs.google.com/spreadsheets/d/1gvTMYAnm7v1yG1BKWFtr0DnaTsq59oW9dwWvFgq6hs0/edit?usp=sharing"",""แพร่!J206"")"),0)</f>
        <v>0</v>
      </c>
      <c r="AQ24" s="298">
        <f ca="1">IFERROR(__xludf.DUMMYFUNCTION("IMPORTRANGE(""https://docs.google.com/spreadsheets/d/1gvTMYAnm7v1yG1BKWFtr0DnaTsq59oW9dwWvFgq6hs0/edit?usp=sharing"",""แพร่!J207"")"),0)</f>
        <v>0</v>
      </c>
      <c r="AR24" s="86">
        <f ca="1">IFERROR(__xludf.DUMMYFUNCTION("IMPORTRANGE(""https://docs.google.com/spreadsheets/d/1gvTMYAnm7v1yG1BKWFtr0DnaTsq59oW9dwWvFgq6hs0/edit?usp=sharing"",""แพร่!L210"")"),0)</f>
        <v>0</v>
      </c>
      <c r="AS24" s="86">
        <f ca="1">IFERROR(__xludf.DUMMYFUNCTION("IMPORTRANGE(""https://docs.google.com/spreadsheets/d/1gvTMYAnm7v1yG1BKWFtr0DnaTsq59oW9dwWvFgq6hs0/edit?usp=sharing"",""แพร่!N210"")"),0)</f>
        <v>0</v>
      </c>
      <c r="AT24" s="87">
        <f t="shared" ca="1" si="91"/>
        <v>0</v>
      </c>
      <c r="AU24" s="86">
        <f ca="1">IFERROR(__xludf.DUMMYFUNCTION("IMPORTRANGE(""https://docs.google.com/spreadsheets/d/1gvTMYAnm7v1yG1BKWFtr0DnaTsq59oW9dwWvFgq6hs0/edit?usp=sharing"",""แพร่!L211"")"),0)</f>
        <v>0</v>
      </c>
      <c r="AV24" s="86">
        <f ca="1">IFERROR(__xludf.DUMMYFUNCTION("IMPORTRANGE(""https://docs.google.com/spreadsheets/d/1gvTMYAnm7v1yG1BKWFtr0DnaTsq59oW9dwWvFgq6hs0/edit?usp=sharing"",""แพร่!N211"")"),0)</f>
        <v>0</v>
      </c>
      <c r="AW24" s="87">
        <f t="shared" ca="1" si="92"/>
        <v>0</v>
      </c>
      <c r="AX24" s="86">
        <f ca="1">IFERROR(__xludf.DUMMYFUNCTION("IMPORTRANGE(""https://docs.google.com/spreadsheets/d/1gvTMYAnm7v1yG1BKWFtr0DnaTsq59oW9dwWvFgq6hs0/edit?usp=sharing"",""แพร่!L212"")"),0)</f>
        <v>0</v>
      </c>
      <c r="AY24" s="86">
        <f ca="1">IFERROR(__xludf.DUMMYFUNCTION("IMPORTRANGE(""https://docs.google.com/spreadsheets/d/1gvTMYAnm7v1yG1BKWFtr0DnaTsq59oW9dwWvFgq6hs0/edit?usp=sharing"",""แพร่!N212"")"),0)</f>
        <v>0</v>
      </c>
      <c r="AZ24" s="87">
        <f t="shared" ca="1" si="93"/>
        <v>0</v>
      </c>
      <c r="BA24" s="86">
        <f ca="1">IFERROR(__xludf.DUMMYFUNCTION("IMPORTRANGE(""https://docs.google.com/spreadsheets/d/1gvTMYAnm7v1yG1BKWFtr0DnaTsq59oW9dwWvFgq6hs0/edit?usp=sharing"",""แพร่!I214"")"),0)</f>
        <v>0</v>
      </c>
      <c r="BB24" s="86">
        <f ca="1">IFERROR(__xludf.DUMMYFUNCTION("IMPORTRANGE(""https://docs.google.com/spreadsheets/d/1gvTMYAnm7v1yG1BKWFtr0DnaTsq59oW9dwWvFgq6hs0/edit?usp=sharing"",""แพร่!J214"")"),0)</f>
        <v>0</v>
      </c>
      <c r="BC24" s="87">
        <f t="shared" ca="1" si="94"/>
        <v>0</v>
      </c>
      <c r="BD24" s="86">
        <f ca="1">IFERROR(__xludf.DUMMYFUNCTION("IMPORTRANGE(""https://docs.google.com/spreadsheets/d/1gvTMYAnm7v1yG1BKWFtr0DnaTsq59oW9dwWvFgq6hs0/edit?usp=sharing"",""แพร่!I215"")"),0)</f>
        <v>0</v>
      </c>
      <c r="BE24" s="86">
        <f ca="1">IFERROR(__xludf.DUMMYFUNCTION("IMPORTRANGE(""https://docs.google.com/spreadsheets/d/1gvTMYAnm7v1yG1BKWFtr0DnaTsq59oW9dwWvFgq6hs0/edit?usp=sharing"",""แพร่!J215"")"),0)</f>
        <v>0</v>
      </c>
      <c r="BF24" s="87">
        <f t="shared" ca="1" si="95"/>
        <v>0</v>
      </c>
      <c r="BG24" s="86">
        <f ca="1">IFERROR(__xludf.DUMMYFUNCTION("IMPORTRANGE(""https://docs.google.com/spreadsheets/d/1gvTMYAnm7v1yG1BKWFtr0DnaTsq59oW9dwWvFgq6hs0/edit?usp=sharing"",""แพร่!L218"")"),5000)</f>
        <v>5000</v>
      </c>
      <c r="BH24" s="86">
        <f ca="1">IFERROR(__xludf.DUMMYFUNCTION("IMPORTRANGE(""https://docs.google.com/spreadsheets/d/1gvTMYAnm7v1yG1BKWFtr0DnaTsq59oW9dwWvFgq6hs0/edit?usp=sharing"",""แพร่!N218"")"),0)</f>
        <v>0</v>
      </c>
      <c r="BI24" s="87">
        <f t="shared" ca="1" si="96"/>
        <v>0</v>
      </c>
      <c r="BJ24" s="86">
        <f ca="1">IFERROR(__xludf.DUMMYFUNCTION("IMPORTRANGE(""https://docs.google.com/spreadsheets/d/1gvTMYAnm7v1yG1BKWFtr0DnaTsq59oW9dwWvFgq6hs0/edit?usp=sharing"",""แพร่!L219"")"),10000)</f>
        <v>10000</v>
      </c>
      <c r="BK24" s="86">
        <f ca="1">IFERROR(__xludf.DUMMYFUNCTION("IMPORTRANGE(""https://docs.google.com/spreadsheets/d/1gvTMYAnm7v1yG1BKWFtr0DnaTsq59oW9dwWvFgq6hs0/edit?usp=sharing"",""แพร่!N219"")"),0)</f>
        <v>0</v>
      </c>
      <c r="BL24" s="87">
        <f t="shared" ca="1" si="97"/>
        <v>0</v>
      </c>
      <c r="BM24" s="86">
        <f ca="1">IFERROR(__xludf.DUMMYFUNCTION("IMPORTRANGE(""https://docs.google.com/spreadsheets/d/1gvTMYAnm7v1yG1BKWFtr0DnaTsq59oW9dwWvFgq6hs0/edit?usp=sharing"",""แพร่!L220"")"),0)</f>
        <v>0</v>
      </c>
      <c r="BN24" s="86">
        <f ca="1">IFERROR(__xludf.DUMMYFUNCTION("IMPORTRANGE(""https://docs.google.com/spreadsheets/d/1gvTMYAnm7v1yG1BKWFtr0DnaTsq59oW9dwWvFgq6hs0/edit?usp=sharing"",""แพร่!N220"")"),0)</f>
        <v>0</v>
      </c>
      <c r="BO24" s="87">
        <f t="shared" ca="1" si="98"/>
        <v>0</v>
      </c>
      <c r="BP24" s="86">
        <f ca="1">IFERROR(__xludf.DUMMYFUNCTION("IMPORTRANGE(""https://docs.google.com/spreadsheets/d/1gvTMYAnm7v1yG1BKWFtr0DnaTsq59oW9dwWvFgq6hs0/edit?usp=sharing"",""แพร่!I223"")"),40000)</f>
        <v>40000</v>
      </c>
      <c r="BQ24" s="86">
        <f ca="1">IFERROR(__xludf.DUMMYFUNCTION("IMPORTRANGE(""https://docs.google.com/spreadsheets/d/1gvTMYAnm7v1yG1BKWFtr0DnaTsq59oW9dwWvFgq6hs0/edit?usp=sharing"",""แพร่!J223"")"),0)</f>
        <v>0</v>
      </c>
      <c r="BR24" s="87">
        <f t="shared" ca="1" si="99"/>
        <v>0</v>
      </c>
      <c r="BS24" s="86">
        <f ca="1">IFERROR(__xludf.DUMMYFUNCTION("IMPORTRANGE(""https://docs.google.com/spreadsheets/d/1gvTMYAnm7v1yG1BKWFtr0DnaTsq59oW9dwWvFgq6hs0/edit?usp=sharing"",""แพร่!I224"")"),40000)</f>
        <v>40000</v>
      </c>
      <c r="BT24" s="86">
        <f ca="1">IFERROR(__xludf.DUMMYFUNCTION("IMPORTRANGE(""https://docs.google.com/spreadsheets/d/1gvTMYAnm7v1yG1BKWFtr0DnaTsq59oW9dwWvFgq6hs0/edit?usp=sharing"",""แพร่!J224"")"),0)</f>
        <v>0</v>
      </c>
      <c r="BU24" s="87">
        <f t="shared" ca="1" si="100"/>
        <v>0</v>
      </c>
      <c r="BV24" s="86">
        <f ca="1">IFERROR(__xludf.DUMMYFUNCTION("IMPORTRANGE(""https://docs.google.com/spreadsheets/d/1gvTMYAnm7v1yG1BKWFtr0DnaTsq59oW9dwWvFgq6hs0/edit?usp=sharing"",""แพร่!I225"")"),0)</f>
        <v>0</v>
      </c>
      <c r="BW24" s="86">
        <f ca="1">IFERROR(__xludf.DUMMYFUNCTION("IMPORTRANGE(""https://docs.google.com/spreadsheets/d/1gvTMYAnm7v1yG1BKWFtr0DnaTsq59oW9dwWvFgq6hs0/edit?usp=sharing"",""แพร่!J225"")"),0)</f>
        <v>0</v>
      </c>
      <c r="BX24" s="87">
        <f t="shared" ca="1" si="101"/>
        <v>0</v>
      </c>
      <c r="BY24" s="86">
        <f ca="1">IFERROR(__xludf.DUMMYFUNCTION("IMPORTRANGE(""https://docs.google.com/spreadsheets/d/1gvTMYAnm7v1yG1BKWFtr0DnaTsq59oW9dwWvFgq6hs0/edit?usp=sharing"",""แพร่!L228"")"),0)</f>
        <v>0</v>
      </c>
      <c r="BZ24" s="86">
        <f ca="1">IFERROR(__xludf.DUMMYFUNCTION("IMPORTRANGE(""https://docs.google.com/spreadsheets/d/1gvTMYAnm7v1yG1BKWFtr0DnaTsq59oW9dwWvFgq6hs0/edit?usp=sharing"",""แพร่!N228"")"),0)</f>
        <v>0</v>
      </c>
      <c r="CA24" s="87">
        <f t="shared" ca="1" si="102"/>
        <v>0</v>
      </c>
      <c r="CB24" s="86">
        <f ca="1">IFERROR(__xludf.DUMMYFUNCTION("IMPORTRANGE(""https://docs.google.com/spreadsheets/d/1gvTMYAnm7v1yG1BKWFtr0DnaTsq59oW9dwWvFgq6hs0/edit?usp=sharing"",""แพร่!L229"")"),0)</f>
        <v>0</v>
      </c>
      <c r="CC24" s="86">
        <f ca="1">IFERROR(__xludf.DUMMYFUNCTION("IMPORTRANGE(""https://docs.google.com/spreadsheets/d/1gvTMYAnm7v1yG1BKWFtr0DnaTsq59oW9dwWvFgq6hs0/edit?usp=sharing"",""แพร่!N229"")"),0)</f>
        <v>0</v>
      </c>
      <c r="CD24" s="87">
        <f t="shared" ca="1" si="103"/>
        <v>0</v>
      </c>
      <c r="CE24" s="86">
        <f ca="1">IFERROR(__xludf.DUMMYFUNCTION("IMPORTRANGE(""https://docs.google.com/spreadsheets/d/1gvTMYAnm7v1yG1BKWFtr0DnaTsq59oW9dwWvFgq6hs0/edit?usp=sharing"",""แพร่!L230"")"),0)</f>
        <v>0</v>
      </c>
      <c r="CF24" s="86">
        <f ca="1">IFERROR(__xludf.DUMMYFUNCTION("IMPORTRANGE(""https://docs.google.com/spreadsheets/d/1gvTMYAnm7v1yG1BKWFtr0DnaTsq59oW9dwWvFgq6hs0/edit?usp=sharing"",""แพร่!N230"")"),0)</f>
        <v>0</v>
      </c>
      <c r="CG24" s="87">
        <f t="shared" ca="1" si="104"/>
        <v>0</v>
      </c>
      <c r="CH24" s="86">
        <f ca="1">IFERROR(__xludf.DUMMYFUNCTION("IMPORTRANGE(""https://docs.google.com/spreadsheets/d/1gvTMYAnm7v1yG1BKWFtr0DnaTsq59oW9dwWvFgq6hs0/edit?usp=sharing"",""แพร่!L231"")"),0)</f>
        <v>0</v>
      </c>
      <c r="CI24" s="86">
        <f ca="1">IFERROR(__xludf.DUMMYFUNCTION("IMPORTRANGE(""https://docs.google.com/spreadsheets/d/1gvTMYAnm7v1yG1BKWFtr0DnaTsq59oW9dwWvFgq6hs0/edit?usp=sharing"",""แพร่!N231"")"),0)</f>
        <v>0</v>
      </c>
      <c r="CJ24" s="87">
        <f t="shared" ca="1" si="105"/>
        <v>0</v>
      </c>
      <c r="CK24" s="86">
        <f ca="1">IFERROR(__xludf.DUMMYFUNCTION("IMPORTRANGE(""https://docs.google.com/spreadsheets/d/1gvTMYAnm7v1yG1BKWFtr0DnaTsq59oW9dwWvFgq6hs0/edit?usp=sharing"",""แพร่!I233"")"),0)</f>
        <v>0</v>
      </c>
      <c r="CL24" s="86">
        <f ca="1">IFERROR(__xludf.DUMMYFUNCTION("IMPORTRANGE(""https://docs.google.com/spreadsheets/d/1gvTMYAnm7v1yG1BKWFtr0DnaTsq59oW9dwWvFgq6hs0/edit?usp=sharing"",""แพร่!J233"")"),0)</f>
        <v>0</v>
      </c>
      <c r="CM24" s="87">
        <f t="shared" ca="1" si="106"/>
        <v>0</v>
      </c>
      <c r="CN24" s="86">
        <f ca="1">IFERROR(__xludf.DUMMYFUNCTION("IMPORTRANGE(""https://docs.google.com/spreadsheets/d/1gvTMYAnm7v1yG1BKWFtr0DnaTsq59oW9dwWvFgq6hs0/edit?usp=sharing"",""แพร่!J235"")"),0)</f>
        <v>0</v>
      </c>
      <c r="CO24" s="86">
        <f ca="1">IFERROR(__xludf.DUMMYFUNCTION("IMPORTRANGE(""https://docs.google.com/spreadsheets/d/1gvTMYAnm7v1yG1BKWFtr0DnaTsq59oW9dwWvFgq6hs0/edit?usp=sharing"",""แพร่!J236"")"),0)</f>
        <v>0</v>
      </c>
    </row>
    <row r="25" spans="1:93" ht="24" customHeight="1" x14ac:dyDescent="0.3">
      <c r="A25" s="78">
        <v>12</v>
      </c>
      <c r="B25" s="79" t="s">
        <v>47</v>
      </c>
      <c r="C25" s="80">
        <f t="shared" ca="1" si="0"/>
        <v>221500</v>
      </c>
      <c r="D25" s="81">
        <f t="shared" ca="1" si="133"/>
        <v>221500</v>
      </c>
      <c r="E25" s="82">
        <f ca="1">IFERROR(__xludf.DUMMYFUNCTION("IMPORTRANGE(""https://docs.google.com/spreadsheets/d/1MeEWN-I1oV_STSDYn1IFDPWt_1FKiwhDph83XaGc0o0/edit?usp=sharing"",""งบพรบ!CP25"")"),143000)</f>
        <v>143000</v>
      </c>
      <c r="F25" s="82">
        <f ca="1">IFERROR(__xludf.DUMMYFUNCTION("IMPORTRANGE(""https://docs.google.com/spreadsheets/d/1MeEWN-I1oV_STSDYn1IFDPWt_1FKiwhDph83XaGc0o0/edit?usp=sharing"",""งบพรบ!CQ25"")"),78500)</f>
        <v>78500</v>
      </c>
      <c r="G25" s="82">
        <f ca="1">IFERROR(__xludf.DUMMYFUNCTION("IMPORTRANGE(""https://docs.google.com/spreadsheets/d/1MeEWN-I1oV_STSDYn1IFDPWt_1FKiwhDph83XaGc0o0/edit?usp=sharing"",""งบพรบ!CR25"")"),0)</f>
        <v>0</v>
      </c>
      <c r="H25" s="82">
        <f ca="1">IFERROR(__xludf.DUMMYFUNCTION("IMPORTRANGE(""https://docs.google.com/spreadsheets/d/1MeEWN-I1oV_STSDYn1IFDPWt_1FKiwhDph83XaGc0o0/edit?usp=sharing"",""งบพรบ!CT25"")"),142500)</f>
        <v>142500</v>
      </c>
      <c r="I25" s="82">
        <f ca="1">IFERROR(__xludf.DUMMYFUNCTION("IMPORTRANGE(""https://docs.google.com/spreadsheets/d/1MeEWN-I1oV_STSDYn1IFDPWt_1FKiwhDph83XaGc0o0/edit?usp=sharing"",""งบพรบ!CU25"")"),0)</f>
        <v>0</v>
      </c>
      <c r="J25" s="82">
        <f t="shared" ca="1" si="3"/>
        <v>67182</v>
      </c>
      <c r="K25" s="83">
        <f t="shared" ca="1" si="4"/>
        <v>30.330474040632055</v>
      </c>
      <c r="L25" s="82">
        <f ca="1">IFERROR(__xludf.DUMMYFUNCTION("IMPORTRANGE(""https://docs.google.com/spreadsheets/d/1MeEWN-I1oV_STSDYn1IFDPWt_1FKiwhDph83XaGc0o0/edit?usp=sharing"",""งบพรบ!CV25"")"),67182)</f>
        <v>67182</v>
      </c>
      <c r="M25" s="84">
        <f t="shared" ca="1" si="5"/>
        <v>30.330474040632055</v>
      </c>
      <c r="N25" s="84">
        <f t="shared" ca="1" si="6"/>
        <v>47.145263157894739</v>
      </c>
      <c r="O25" s="85">
        <f ca="1">IFERROR(__xludf.DUMMYFUNCTION("IMPORTRANGE(""https://docs.google.com/spreadsheets/d/1MeEWN-I1oV_STSDYn1IFDPWt_1FKiwhDph83XaGc0o0/edit?usp=sharing"",""งบพรบ!CW25"")"),0)</f>
        <v>0</v>
      </c>
      <c r="P25" s="85">
        <f t="shared" ca="1" si="108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IFERROR(__xludf.DUMMYFUNCTION("IMPORTRANGE(""https://docs.google.com/spreadsheets/d/1Wbcosgy-Xa1xXUArJSOenub6EfZHUSzc_bpJFWwQUf0/edit?usp=sharing"",""แม่ฮ่องสอน!L191"")"),6000)</f>
        <v>6000</v>
      </c>
      <c r="S25" s="86">
        <f ca="1">IFERROR(__xludf.DUMMYFUNCTION("IMPORTRANGE(""https://docs.google.com/spreadsheets/d/1Wbcosgy-Xa1xXUArJSOenub6EfZHUSzc_bpJFWwQUf0/edit?usp=sharing"",""แม่ฮ่องสอน!N191"")"),1240)</f>
        <v>1240</v>
      </c>
      <c r="T25" s="87">
        <f t="shared" ca="1" si="84"/>
        <v>20.666666666666668</v>
      </c>
      <c r="U25" s="86">
        <f ca="1">IFERROR(__xludf.DUMMYFUNCTION("IMPORTRANGE(""https://docs.google.com/spreadsheets/d/1Wbcosgy-Xa1xXUArJSOenub6EfZHUSzc_bpJFWwQUf0/edit?usp=sharing"",""แม่ฮ่องสอน!I193"")"),4)</f>
        <v>4</v>
      </c>
      <c r="V25" s="86">
        <f ca="1">IFERROR(__xludf.DUMMYFUNCTION("IMPORTRANGE(""https://docs.google.com/spreadsheets/d/1Wbcosgy-Xa1xXUArJSOenub6EfZHUSzc_bpJFWwQUf0/edit?usp=sharing"",""แม่ฮ่องสอน!J193"")"),1)</f>
        <v>1</v>
      </c>
      <c r="W25" s="87">
        <f t="shared" ca="1" si="85"/>
        <v>25</v>
      </c>
      <c r="X25" s="86">
        <f t="shared" ca="1" si="134"/>
        <v>26</v>
      </c>
      <c r="Y25" s="86">
        <f ca="1">IFERROR(__xludf.DUMMYFUNCTION("IMPORTRANGE(""https://docs.google.com/spreadsheets/d/1Wbcosgy-Xa1xXUArJSOenub6EfZHUSzc_bpJFWwQUf0/edit?usp=sharing"",""แม่ฮ่องสอน!J195"")"),26)</f>
        <v>26</v>
      </c>
      <c r="Z25" s="86">
        <f ca="1">IFERROR(__xludf.DUMMYFUNCTION("IMPORTRANGE(""https://docs.google.com/spreadsheets/d/1Wbcosgy-Xa1xXUArJSOenub6EfZHUSzc_bpJFWwQUf0/edit?usp=sharing"",""แม่ฮ่องสอน!J196"")"),0)</f>
        <v>0</v>
      </c>
      <c r="AA25" s="86">
        <f ca="1">IFERROR(__xludf.DUMMYFUNCTION("IMPORTRANGE(""https://docs.google.com/spreadsheets/d/1Wbcosgy-Xa1xXUArJSOenub6EfZHUSzc_bpJFWwQUf0/edit?usp=sharing"",""แม่ฮ่องสอน!L199"")"),2000)</f>
        <v>2000</v>
      </c>
      <c r="AB25" s="86">
        <f ca="1">IFERROR(__xludf.DUMMYFUNCTION("IMPORTRANGE(""https://docs.google.com/spreadsheets/d/1Wbcosgy-Xa1xXUArJSOenub6EfZHUSzc_bpJFWwQUf0/edit?usp=sharing"",""แม่ฮ่องสอน!N199"")"),910)</f>
        <v>910</v>
      </c>
      <c r="AC25" s="87">
        <f t="shared" ca="1" si="86"/>
        <v>45.5</v>
      </c>
      <c r="AD25" s="86">
        <f ca="1">IFERROR(__xludf.DUMMYFUNCTION("IMPORTRANGE(""https://docs.google.com/spreadsheets/d/1Wbcosgy-Xa1xXUArJSOenub6EfZHUSzc_bpJFWwQUf0/edit?usp=sharing"",""แม่ฮ่องสอน!L200"")"),16000)</f>
        <v>16000</v>
      </c>
      <c r="AE25" s="86">
        <f ca="1">IFERROR(__xludf.DUMMYFUNCTION("IMPORTRANGE(""https://docs.google.com/spreadsheets/d/1Wbcosgy-Xa1xXUArJSOenub6EfZHUSzc_bpJFWwQUf0/edit?usp=sharing"",""แม่ฮ่องสอน!N200"")"),16000)</f>
        <v>16000</v>
      </c>
      <c r="AF25" s="87">
        <f t="shared" ca="1" si="87"/>
        <v>100</v>
      </c>
      <c r="AG25" s="86">
        <f ca="1">IFERROR(__xludf.DUMMYFUNCTION("IMPORTRANGE(""https://docs.google.com/spreadsheets/d/1Wbcosgy-Xa1xXUArJSOenub6EfZHUSzc_bpJFWwQUf0/edit?usp=sharing"",""แม่ฮ่องสอน!L201"")"),8000)</f>
        <v>8000</v>
      </c>
      <c r="AH25" s="86" t="str">
        <f ca="1">IFERROR(__xludf.DUMMYFUNCTION("IMPORTRANGE(""https://docs.google.com/spreadsheets/d/1Wbcosgy-Xa1xXUArJSOenub6EfZHUSzc_bpJFWwQUf0/edit?usp=sharing"",""แม่ฮ่องสอน!N201"")"),"")</f>
        <v/>
      </c>
      <c r="AI25" s="87" t="e">
        <f t="shared" ca="1" si="88"/>
        <v>#VALUE!</v>
      </c>
      <c r="AJ25" s="86">
        <f ca="1">IFERROR(__xludf.DUMMYFUNCTION("IMPORTRANGE(""https://docs.google.com/spreadsheets/d/1Wbcosgy-Xa1xXUArJSOenub6EfZHUSzc_bpJFWwQUf0/edit?usp=sharing"",""แม่ฮ่องสอน!L202"")"),0)</f>
        <v>0</v>
      </c>
      <c r="AK25" s="86">
        <f ca="1">IFERROR(__xludf.DUMMYFUNCTION("IMPORTRANGE(""https://docs.google.com/spreadsheets/d/1Wbcosgy-Xa1xXUArJSOenub6EfZHUSzc_bpJFWwQUf0/edit?usp=sharing"",""แม่ฮ่องสอน!N202"")"),0)</f>
        <v>0</v>
      </c>
      <c r="AL25" s="87">
        <f t="shared" ca="1" si="89"/>
        <v>0</v>
      </c>
      <c r="AM25" s="86">
        <f ca="1">IFERROR(__xludf.DUMMYFUNCTION("IMPORTRANGE(""https://docs.google.com/spreadsheets/d/1Wbcosgy-Xa1xXUArJSOenub6EfZHUSzc_bpJFWwQUf0/edit?usp=sharing"",""แม่ฮ่องสอน!I204"")"),2)</f>
        <v>2</v>
      </c>
      <c r="AN25" s="86">
        <f ca="1">IFERROR(__xludf.DUMMYFUNCTION("IMPORTRANGE(""https://docs.google.com/spreadsheets/d/1Wbcosgy-Xa1xXUArJSOenub6EfZHUSzc_bpJFWwQUf0/edit?usp=sharing"",""แม่ฮ่องสอน!J204"")"),2)</f>
        <v>2</v>
      </c>
      <c r="AO25" s="87">
        <f t="shared" ca="1" si="90"/>
        <v>100</v>
      </c>
      <c r="AP25" s="298">
        <f ca="1">IFERROR(__xludf.DUMMYFUNCTION("IMPORTRANGE(""https://docs.google.com/spreadsheets/d/1Wbcosgy-Xa1xXUArJSOenub6EfZHUSzc_bpJFWwQUf0/edit?usp=sharing"",""แม่ฮ่องสอน!J206"")"),0)</f>
        <v>0</v>
      </c>
      <c r="AQ25" s="298">
        <f ca="1">IFERROR(__xludf.DUMMYFUNCTION("IMPORTRANGE(""https://docs.google.com/spreadsheets/d/1Wbcosgy-Xa1xXUArJSOenub6EfZHUSzc_bpJFWwQUf0/edit?usp=sharing"",""แม่ฮ่องสอน!J207"")"),0)</f>
        <v>0</v>
      </c>
      <c r="AR25" s="86">
        <f ca="1">IFERROR(__xludf.DUMMYFUNCTION("IMPORTRANGE(""https://docs.google.com/spreadsheets/d/1Wbcosgy-Xa1xXUArJSOenub6EfZHUSzc_bpJFWwQUf0/edit?usp=sharing"",""แม่ฮ่องสอน!L210"")"),0)</f>
        <v>0</v>
      </c>
      <c r="AS25" s="86">
        <f ca="1">IFERROR(__xludf.DUMMYFUNCTION("IMPORTRANGE(""https://docs.google.com/spreadsheets/d/1Wbcosgy-Xa1xXUArJSOenub6EfZHUSzc_bpJFWwQUf0/edit?usp=sharing"",""แม่ฮ่องสอน!N210"")"),0)</f>
        <v>0</v>
      </c>
      <c r="AT25" s="87">
        <f t="shared" ca="1" si="91"/>
        <v>0</v>
      </c>
      <c r="AU25" s="86">
        <f ca="1">IFERROR(__xludf.DUMMYFUNCTION("IMPORTRANGE(""https://docs.google.com/spreadsheets/d/1Wbcosgy-Xa1xXUArJSOenub6EfZHUSzc_bpJFWwQUf0/edit?usp=sharing"",""แม่ฮ่องสอน!L211"")"),0)</f>
        <v>0</v>
      </c>
      <c r="AV25" s="86">
        <f ca="1">IFERROR(__xludf.DUMMYFUNCTION("IMPORTRANGE(""https://docs.google.com/spreadsheets/d/1Wbcosgy-Xa1xXUArJSOenub6EfZHUSzc_bpJFWwQUf0/edit?usp=sharing"",""แม่ฮ่องสอน!N211"")"),0)</f>
        <v>0</v>
      </c>
      <c r="AW25" s="87">
        <f t="shared" ca="1" si="92"/>
        <v>0</v>
      </c>
      <c r="AX25" s="86">
        <f ca="1">IFERROR(__xludf.DUMMYFUNCTION("IMPORTRANGE(""https://docs.google.com/spreadsheets/d/1Wbcosgy-Xa1xXUArJSOenub6EfZHUSzc_bpJFWwQUf0/edit?usp=sharing"",""แม่ฮ่องสอน!L212"")"),0)</f>
        <v>0</v>
      </c>
      <c r="AY25" s="86">
        <f ca="1">IFERROR(__xludf.DUMMYFUNCTION("IMPORTRANGE(""https://docs.google.com/spreadsheets/d/1Wbcosgy-Xa1xXUArJSOenub6EfZHUSzc_bpJFWwQUf0/edit?usp=sharing"",""แม่ฮ่องสอน!N212"")"),0)</f>
        <v>0</v>
      </c>
      <c r="AZ25" s="87">
        <f t="shared" ca="1" si="93"/>
        <v>0</v>
      </c>
      <c r="BA25" s="86">
        <f ca="1">IFERROR(__xludf.DUMMYFUNCTION("IMPORTRANGE(""https://docs.google.com/spreadsheets/d/1Wbcosgy-Xa1xXUArJSOenub6EfZHUSzc_bpJFWwQUf0/edit?usp=sharing"",""แม่ฮ่องสอน!I214"")"),0)</f>
        <v>0</v>
      </c>
      <c r="BB25" s="86">
        <f ca="1">IFERROR(__xludf.DUMMYFUNCTION("IMPORTRANGE(""https://docs.google.com/spreadsheets/d/1Wbcosgy-Xa1xXUArJSOenub6EfZHUSzc_bpJFWwQUf0/edit?usp=sharing"",""แม่ฮ่องสอน!J214"")"),0)</f>
        <v>0</v>
      </c>
      <c r="BC25" s="87">
        <f t="shared" ca="1" si="94"/>
        <v>0</v>
      </c>
      <c r="BD25" s="86">
        <f ca="1">IFERROR(__xludf.DUMMYFUNCTION("IMPORTRANGE(""https://docs.google.com/spreadsheets/d/1Wbcosgy-Xa1xXUArJSOenub6EfZHUSzc_bpJFWwQUf0/edit?usp=sharing"",""แม่ฮ่องสอน!I215"")"),0)</f>
        <v>0</v>
      </c>
      <c r="BE25" s="86">
        <f ca="1">IFERROR(__xludf.DUMMYFUNCTION("IMPORTRANGE(""https://docs.google.com/spreadsheets/d/1Wbcosgy-Xa1xXUArJSOenub6EfZHUSzc_bpJFWwQUf0/edit?usp=sharing"",""แม่ฮ่องสอน!J215"")"),0)</f>
        <v>0</v>
      </c>
      <c r="BF25" s="87">
        <f t="shared" ca="1" si="95"/>
        <v>0</v>
      </c>
      <c r="BG25" s="86">
        <f ca="1">IFERROR(__xludf.DUMMYFUNCTION("IMPORTRANGE(""https://docs.google.com/spreadsheets/d/1Wbcosgy-Xa1xXUArJSOenub6EfZHUSzc_bpJFWwQUf0/edit?usp=sharing"",""แม่ฮ่องสอน!L218"")"),8000)</f>
        <v>8000</v>
      </c>
      <c r="BH25" s="86">
        <f ca="1">IFERROR(__xludf.DUMMYFUNCTION("IMPORTRANGE(""https://docs.google.com/spreadsheets/d/1Wbcosgy-Xa1xXUArJSOenub6EfZHUSzc_bpJFWwQUf0/edit?usp=sharing"",""แม่ฮ่องสอน!N218"")"),0)</f>
        <v>0</v>
      </c>
      <c r="BI25" s="87">
        <f t="shared" ca="1" si="96"/>
        <v>0</v>
      </c>
      <c r="BJ25" s="86">
        <f ca="1">IFERROR(__xludf.DUMMYFUNCTION("IMPORTRANGE(""https://docs.google.com/spreadsheets/d/1Wbcosgy-Xa1xXUArJSOenub6EfZHUSzc_bpJFWwQUf0/edit?usp=sharing"",""แม่ฮ่องสอน!L219"")"),38500)</f>
        <v>38500</v>
      </c>
      <c r="BK25" s="86">
        <f ca="1">IFERROR(__xludf.DUMMYFUNCTION("IMPORTRANGE(""https://docs.google.com/spreadsheets/d/1Wbcosgy-Xa1xXUArJSOenub6EfZHUSzc_bpJFWwQUf0/edit?usp=sharing"",""แม่ฮ่องสอน!N219"")"),0)</f>
        <v>0</v>
      </c>
      <c r="BL25" s="87">
        <f t="shared" ca="1" si="97"/>
        <v>0</v>
      </c>
      <c r="BM25" s="86">
        <f ca="1">IFERROR(__xludf.DUMMYFUNCTION("IMPORTRANGE(""https://docs.google.com/spreadsheets/d/1Wbcosgy-Xa1xXUArJSOenub6EfZHUSzc_bpJFWwQUf0/edit?usp=sharing"",""แม่ฮ่องสอน!L220"")"),0)</f>
        <v>0</v>
      </c>
      <c r="BN25" s="86">
        <f ca="1">IFERROR(__xludf.DUMMYFUNCTION("IMPORTRANGE(""https://docs.google.com/spreadsheets/d/1Wbcosgy-Xa1xXUArJSOenub6EfZHUSzc_bpJFWwQUf0/edit?usp=sharing"",""แม่ฮ่องสอน!N220"")"),0)</f>
        <v>0</v>
      </c>
      <c r="BO25" s="87">
        <f t="shared" ca="1" si="98"/>
        <v>0</v>
      </c>
      <c r="BP25" s="86">
        <f ca="1">IFERROR(__xludf.DUMMYFUNCTION("IMPORTRANGE(""https://docs.google.com/spreadsheets/d/1Wbcosgy-Xa1xXUArJSOenub6EfZHUSzc_bpJFWwQUf0/edit?usp=sharing"",""แม่ฮ่องสอน!I223"")"),150000)</f>
        <v>150000</v>
      </c>
      <c r="BQ25" s="86">
        <f ca="1">IFERROR(__xludf.DUMMYFUNCTION("IMPORTRANGE(""https://docs.google.com/spreadsheets/d/1Wbcosgy-Xa1xXUArJSOenub6EfZHUSzc_bpJFWwQUf0/edit?usp=sharing"",""แม่ฮ่องสอน!J223"")"),0)</f>
        <v>0</v>
      </c>
      <c r="BR25" s="87">
        <f t="shared" ca="1" si="99"/>
        <v>0</v>
      </c>
      <c r="BS25" s="86">
        <f ca="1">IFERROR(__xludf.DUMMYFUNCTION("IMPORTRANGE(""https://docs.google.com/spreadsheets/d/1Wbcosgy-Xa1xXUArJSOenub6EfZHUSzc_bpJFWwQUf0/edit?usp=sharing"",""แม่ฮ่องสอน!I224"")"),150000)</f>
        <v>150000</v>
      </c>
      <c r="BT25" s="86">
        <f ca="1">IFERROR(__xludf.DUMMYFUNCTION("IMPORTRANGE(""https://docs.google.com/spreadsheets/d/1Wbcosgy-Xa1xXUArJSOenub6EfZHUSzc_bpJFWwQUf0/edit?usp=sharing"",""แม่ฮ่องสอน!J224"")"),0)</f>
        <v>0</v>
      </c>
      <c r="BU25" s="87">
        <f t="shared" ca="1" si="100"/>
        <v>0</v>
      </c>
      <c r="BV25" s="86">
        <f ca="1">IFERROR(__xludf.DUMMYFUNCTION("IMPORTRANGE(""https://docs.google.com/spreadsheets/d/1Wbcosgy-Xa1xXUArJSOenub6EfZHUSzc_bpJFWwQUf0/edit?usp=sharing"",""แม่ฮ่องสอน!I225"")"),0)</f>
        <v>0</v>
      </c>
      <c r="BW25" s="86">
        <f ca="1">IFERROR(__xludf.DUMMYFUNCTION("IMPORTRANGE(""https://docs.google.com/spreadsheets/d/1Wbcosgy-Xa1xXUArJSOenub6EfZHUSzc_bpJFWwQUf0/edit?usp=sharing"",""แม่ฮ่องสอน!J225"")"),0)</f>
        <v>0</v>
      </c>
      <c r="BX25" s="87">
        <f t="shared" ca="1" si="101"/>
        <v>0</v>
      </c>
      <c r="BY25" s="86">
        <f ca="1">IFERROR(__xludf.DUMMYFUNCTION("IMPORTRANGE(""https://docs.google.com/spreadsheets/d/1Wbcosgy-Xa1xXUArJSOenub6EfZHUSzc_bpJFWwQUf0/edit?usp=sharing"",""แม่ฮ่องสอน!L228"")"),0)</f>
        <v>0</v>
      </c>
      <c r="BZ25" s="86">
        <f ca="1">IFERROR(__xludf.DUMMYFUNCTION("IMPORTRANGE(""https://docs.google.com/spreadsheets/d/1Wbcosgy-Xa1xXUArJSOenub6EfZHUSzc_bpJFWwQUf0/edit?usp=sharing"",""แม่ฮ่องสอน!N228"")"),0)</f>
        <v>0</v>
      </c>
      <c r="CA25" s="87">
        <f t="shared" ca="1" si="102"/>
        <v>0</v>
      </c>
      <c r="CB25" s="86">
        <f ca="1">IFERROR(__xludf.DUMMYFUNCTION("IMPORTRANGE(""https://docs.google.com/spreadsheets/d/1Wbcosgy-Xa1xXUArJSOenub6EfZHUSzc_bpJFWwQUf0/edit?usp=sharing"",""แม่ฮ่องสอน!L229"")"),0)</f>
        <v>0</v>
      </c>
      <c r="CC25" s="86">
        <f ca="1">IFERROR(__xludf.DUMMYFUNCTION("IMPORTRANGE(""https://docs.google.com/spreadsheets/d/1Wbcosgy-Xa1xXUArJSOenub6EfZHUSzc_bpJFWwQUf0/edit?usp=sharing"",""แม่ฮ่องสอน!N229"")"),0)</f>
        <v>0</v>
      </c>
      <c r="CD25" s="87">
        <f t="shared" ca="1" si="103"/>
        <v>0</v>
      </c>
      <c r="CE25" s="86">
        <f ca="1">IFERROR(__xludf.DUMMYFUNCTION("IMPORTRANGE(""https://docs.google.com/spreadsheets/d/1Wbcosgy-Xa1xXUArJSOenub6EfZHUSzc_bpJFWwQUf0/edit?usp=sharing"",""แม่ฮ่องสอน!L230"")"),0)</f>
        <v>0</v>
      </c>
      <c r="CF25" s="86">
        <f ca="1">IFERROR(__xludf.DUMMYFUNCTION("IMPORTRANGE(""https://docs.google.com/spreadsheets/d/1Wbcosgy-Xa1xXUArJSOenub6EfZHUSzc_bpJFWwQUf0/edit?usp=sharing"",""แม่ฮ่องสอน!N230"")"),0)</f>
        <v>0</v>
      </c>
      <c r="CG25" s="87">
        <f t="shared" ca="1" si="104"/>
        <v>0</v>
      </c>
      <c r="CH25" s="86">
        <f ca="1">IFERROR(__xludf.DUMMYFUNCTION("IMPORTRANGE(""https://docs.google.com/spreadsheets/d/1Wbcosgy-Xa1xXUArJSOenub6EfZHUSzc_bpJFWwQUf0/edit?usp=sharing"",""แม่ฮ่องสอน!L231"")"),0)</f>
        <v>0</v>
      </c>
      <c r="CI25" s="86">
        <f ca="1">IFERROR(__xludf.DUMMYFUNCTION("IMPORTRANGE(""https://docs.google.com/spreadsheets/d/1Wbcosgy-Xa1xXUArJSOenub6EfZHUSzc_bpJFWwQUf0/edit?usp=sharing"",""แม่ฮ่องสอน!N231"")"),0)</f>
        <v>0</v>
      </c>
      <c r="CJ25" s="87">
        <f t="shared" ca="1" si="105"/>
        <v>0</v>
      </c>
      <c r="CK25" s="86">
        <f ca="1">IFERROR(__xludf.DUMMYFUNCTION("IMPORTRANGE(""https://docs.google.com/spreadsheets/d/1Wbcosgy-Xa1xXUArJSOenub6EfZHUSzc_bpJFWwQUf0/edit?usp=sharing"",""แม่ฮ่องสอน!I233"")"),0)</f>
        <v>0</v>
      </c>
      <c r="CL25" s="86">
        <f ca="1">IFERROR(__xludf.DUMMYFUNCTION("IMPORTRANGE(""https://docs.google.com/spreadsheets/d/1Wbcosgy-Xa1xXUArJSOenub6EfZHUSzc_bpJFWwQUf0/edit?usp=sharing"",""แม่ฮ่องสอน!J233"")"),0)</f>
        <v>0</v>
      </c>
      <c r="CM25" s="87">
        <f t="shared" ca="1" si="106"/>
        <v>0</v>
      </c>
      <c r="CN25" s="86">
        <f ca="1">IFERROR(__xludf.DUMMYFUNCTION("IMPORTRANGE(""https://docs.google.com/spreadsheets/d/1Wbcosgy-Xa1xXUArJSOenub6EfZHUSzc_bpJFWwQUf0/edit?usp=sharing"",""แม่ฮ่องสอน!J235"")"),0)</f>
        <v>0</v>
      </c>
      <c r="CO25" s="86">
        <f ca="1">IFERROR(__xludf.DUMMYFUNCTION("IMPORTRANGE(""https://docs.google.com/spreadsheets/d/1Wbcosgy-Xa1xXUArJSOenub6EfZHUSzc_bpJFWwQUf0/edit?usp=sharing"",""แม่ฮ่องสอน!J236"")"),0)</f>
        <v>0</v>
      </c>
    </row>
    <row r="26" spans="1:93" ht="24" customHeight="1" x14ac:dyDescent="0.3">
      <c r="A26" s="78">
        <v>13</v>
      </c>
      <c r="B26" s="79" t="s">
        <v>48</v>
      </c>
      <c r="C26" s="80">
        <f t="shared" ca="1" si="0"/>
        <v>55500</v>
      </c>
      <c r="D26" s="81">
        <f t="shared" ca="1" si="133"/>
        <v>55500</v>
      </c>
      <c r="E26" s="82">
        <f ca="1">IFERROR(__xludf.DUMMYFUNCTION("IMPORTRANGE(""https://docs.google.com/spreadsheets/d/1MeEWN-I1oV_STSDYn1IFDPWt_1FKiwhDph83XaGc0o0/edit?usp=sharing"",""งบพรบ!CP26"")"),0)</f>
        <v>0</v>
      </c>
      <c r="F26" s="82">
        <f ca="1">IFERROR(__xludf.DUMMYFUNCTION("IMPORTRANGE(""https://docs.google.com/spreadsheets/d/1MeEWN-I1oV_STSDYn1IFDPWt_1FKiwhDph83XaGc0o0/edit?usp=sharing"",""งบพรบ!CQ26"")"),55500)</f>
        <v>55500</v>
      </c>
      <c r="G26" s="82">
        <f ca="1">IFERROR(__xludf.DUMMYFUNCTION("IMPORTRANGE(""https://docs.google.com/spreadsheets/d/1MeEWN-I1oV_STSDYn1IFDPWt_1FKiwhDph83XaGc0o0/edit?usp=sharing"",""งบพรบ!CR26"")"),0)</f>
        <v>0</v>
      </c>
      <c r="H26" s="82">
        <f ca="1">IFERROR(__xludf.DUMMYFUNCTION("IMPORTRANGE(""https://docs.google.com/spreadsheets/d/1MeEWN-I1oV_STSDYn1IFDPWt_1FKiwhDph83XaGc0o0/edit?usp=sharing"",""งบพรบ!CT26"")"),40500)</f>
        <v>40500</v>
      </c>
      <c r="I26" s="82">
        <f ca="1">IFERROR(__xludf.DUMMYFUNCTION("IMPORTRANGE(""https://docs.google.com/spreadsheets/d/1MeEWN-I1oV_STSDYn1IFDPWt_1FKiwhDph83XaGc0o0/edit?usp=sharing"",""งบพรบ!CU26"")"),0)</f>
        <v>0</v>
      </c>
      <c r="J26" s="82">
        <f t="shared" ca="1" si="3"/>
        <v>500</v>
      </c>
      <c r="K26" s="83">
        <f t="shared" ca="1" si="4"/>
        <v>0.90090090090090091</v>
      </c>
      <c r="L26" s="82">
        <f ca="1">IFERROR(__xludf.DUMMYFUNCTION("IMPORTRANGE(""https://docs.google.com/spreadsheets/d/1MeEWN-I1oV_STSDYn1IFDPWt_1FKiwhDph83XaGc0o0/edit?usp=sharing"",""งบพรบ!CV26"")"),500)</f>
        <v>500</v>
      </c>
      <c r="M26" s="84">
        <f t="shared" ca="1" si="5"/>
        <v>0.90090090090090091</v>
      </c>
      <c r="N26" s="84">
        <f t="shared" ca="1" si="6"/>
        <v>1.2345679012345678</v>
      </c>
      <c r="O26" s="85">
        <f ca="1">IFERROR(__xludf.DUMMYFUNCTION("IMPORTRANGE(""https://docs.google.com/spreadsheets/d/1MeEWN-I1oV_STSDYn1IFDPWt_1FKiwhDph83XaGc0o0/edit?usp=sharing"",""งบพรบ!CW26"")"),0)</f>
        <v>0</v>
      </c>
      <c r="P26" s="85">
        <f t="shared" ca="1" si="108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IFERROR(__xludf.DUMMYFUNCTION("IMPORTRANGE(""https://docs.google.com/spreadsheets/d/1p7ERhsr0qZeSn-KSOdeHS9r0heI-lHtkcn2OH7hP0jQ/edit?usp=sharing"",""ลำปาง!L191"")"),6000)</f>
        <v>6000</v>
      </c>
      <c r="S26" s="86">
        <f ca="1">IFERROR(__xludf.DUMMYFUNCTION("IMPORTRANGE(""https://docs.google.com/spreadsheets/d/1p7ERhsr0qZeSn-KSOdeHS9r0heI-lHtkcn2OH7hP0jQ/edit?usp=sharing"",""ลำปาง!N191"")"),500)</f>
        <v>500</v>
      </c>
      <c r="T26" s="87">
        <f t="shared" ca="1" si="84"/>
        <v>8.3333333333333339</v>
      </c>
      <c r="U26" s="86">
        <f ca="1">IFERROR(__xludf.DUMMYFUNCTION("IMPORTRANGE(""https://docs.google.com/spreadsheets/d/1p7ERhsr0qZeSn-KSOdeHS9r0heI-lHtkcn2OH7hP0jQ/edit?usp=sharing"",""ลำปาง!I193"")"),4)</f>
        <v>4</v>
      </c>
      <c r="V26" s="86">
        <f ca="1">IFERROR(__xludf.DUMMYFUNCTION("IMPORTRANGE(""https://docs.google.com/spreadsheets/d/1p7ERhsr0qZeSn-KSOdeHS9r0heI-lHtkcn2OH7hP0jQ/edit?usp=sharing"",""ลำปาง!J193"")"),2)</f>
        <v>2</v>
      </c>
      <c r="W26" s="87">
        <f t="shared" ca="1" si="85"/>
        <v>50</v>
      </c>
      <c r="X26" s="86">
        <f t="shared" ca="1" si="134"/>
        <v>77</v>
      </c>
      <c r="Y26" s="86">
        <f ca="1">IFERROR(__xludf.DUMMYFUNCTION("IMPORTRANGE(""https://docs.google.com/spreadsheets/d/1p7ERhsr0qZeSn-KSOdeHS9r0heI-lHtkcn2OH7hP0jQ/edit?usp=sharing"",""ลำปาง!J195"")"),77)</f>
        <v>77</v>
      </c>
      <c r="Z26" s="86">
        <f ca="1">IFERROR(__xludf.DUMMYFUNCTION("IMPORTRANGE(""https://docs.google.com/spreadsheets/d/1p7ERhsr0qZeSn-KSOdeHS9r0heI-lHtkcn2OH7hP0jQ/edit?usp=sharing"",""ลำปาง!J196"")"),0)</f>
        <v>0</v>
      </c>
      <c r="AA26" s="86">
        <f ca="1">IFERROR(__xludf.DUMMYFUNCTION("IMPORTRANGE(""https://docs.google.com/spreadsheets/d/1p7ERhsr0qZeSn-KSOdeHS9r0heI-lHtkcn2OH7hP0jQ/edit?usp=sharing"",""ลำปาง!L199"")"),2000)</f>
        <v>2000</v>
      </c>
      <c r="AB26" s="86">
        <f ca="1">IFERROR(__xludf.DUMMYFUNCTION("IMPORTRANGE(""https://docs.google.com/spreadsheets/d/1p7ERhsr0qZeSn-KSOdeHS9r0heI-lHtkcn2OH7hP0jQ/edit?usp=sharing"",""ลำปาง!N199"")"),0)</f>
        <v>0</v>
      </c>
      <c r="AC26" s="87">
        <f t="shared" ca="1" si="86"/>
        <v>0</v>
      </c>
      <c r="AD26" s="86">
        <f ca="1">IFERROR(__xludf.DUMMYFUNCTION("IMPORTRANGE(""https://docs.google.com/spreadsheets/d/1p7ERhsr0qZeSn-KSOdeHS9r0heI-lHtkcn2OH7hP0jQ/edit?usp=sharing"",""ลำปาง!L200"")"),16000)</f>
        <v>16000</v>
      </c>
      <c r="AE26" s="86">
        <f ca="1">IFERROR(__xludf.DUMMYFUNCTION("IMPORTRANGE(""https://docs.google.com/spreadsheets/d/1p7ERhsr0qZeSn-KSOdeHS9r0heI-lHtkcn2OH7hP0jQ/edit?usp=sharing"",""ลำปาง!N200"")"),0)</f>
        <v>0</v>
      </c>
      <c r="AF26" s="87">
        <f t="shared" ca="1" si="87"/>
        <v>0</v>
      </c>
      <c r="AG26" s="86">
        <f ca="1">IFERROR(__xludf.DUMMYFUNCTION("IMPORTRANGE(""https://docs.google.com/spreadsheets/d/1p7ERhsr0qZeSn-KSOdeHS9r0heI-lHtkcn2OH7hP0jQ/edit?usp=sharing"",""ลำปาง!L201"")"),8000)</f>
        <v>8000</v>
      </c>
      <c r="AH26" s="86">
        <f ca="1">IFERROR(__xludf.DUMMYFUNCTION("IMPORTRANGE(""https://docs.google.com/spreadsheets/d/1p7ERhsr0qZeSn-KSOdeHS9r0heI-lHtkcn2OH7hP0jQ/edit?usp=sharing"",""ลำปาง!N201"")"),0)</f>
        <v>0</v>
      </c>
      <c r="AI26" s="87">
        <f t="shared" ca="1" si="88"/>
        <v>0</v>
      </c>
      <c r="AJ26" s="86">
        <f ca="1">IFERROR(__xludf.DUMMYFUNCTION("IMPORTRANGE(""https://docs.google.com/spreadsheets/d/1p7ERhsr0qZeSn-KSOdeHS9r0heI-lHtkcn2OH7hP0jQ/edit?usp=sharing"",""ลำปาง!L202"")"),5000)</f>
        <v>5000</v>
      </c>
      <c r="AK26" s="86">
        <f ca="1">IFERROR(__xludf.DUMMYFUNCTION("IMPORTRANGE(""https://docs.google.com/spreadsheets/d/1p7ERhsr0qZeSn-KSOdeHS9r0heI-lHtkcn2OH7hP0jQ/edit?usp=sharing"",""ลำปาง!N202"")"),0)</f>
        <v>0</v>
      </c>
      <c r="AL26" s="87">
        <f t="shared" ca="1" si="89"/>
        <v>0</v>
      </c>
      <c r="AM26" s="86">
        <f ca="1">IFERROR(__xludf.DUMMYFUNCTION("IMPORTRANGE(""https://docs.google.com/spreadsheets/d/1p7ERhsr0qZeSn-KSOdeHS9r0heI-lHtkcn2OH7hP0jQ/edit?usp=sharing"",""ลำปาง!I204"")"),2)</f>
        <v>2</v>
      </c>
      <c r="AN26" s="86">
        <f ca="1">IFERROR(__xludf.DUMMYFUNCTION("IMPORTRANGE(""https://docs.google.com/spreadsheets/d/1p7ERhsr0qZeSn-KSOdeHS9r0heI-lHtkcn2OH7hP0jQ/edit?usp=sharing"",""ลำปาง!J204"")"),0)</f>
        <v>0</v>
      </c>
      <c r="AO26" s="87">
        <f t="shared" ca="1" si="90"/>
        <v>0</v>
      </c>
      <c r="AP26" s="298">
        <f ca="1">IFERROR(__xludf.DUMMYFUNCTION("IMPORTRANGE(""https://docs.google.com/spreadsheets/d/1p7ERhsr0qZeSn-KSOdeHS9r0heI-lHtkcn2OH7hP0jQ/edit?usp=sharing"",""ลำปาง!J206"")"),0)</f>
        <v>0</v>
      </c>
      <c r="AQ26" s="298">
        <f ca="1">IFERROR(__xludf.DUMMYFUNCTION("IMPORTRANGE(""https://docs.google.com/spreadsheets/d/1p7ERhsr0qZeSn-KSOdeHS9r0heI-lHtkcn2OH7hP0jQ/edit?usp=sharing"",""ลำปาง!J207"")"),0)</f>
        <v>0</v>
      </c>
      <c r="AR26" s="86">
        <f ca="1">IFERROR(__xludf.DUMMYFUNCTION("IMPORTRANGE(""https://docs.google.com/spreadsheets/d/1p7ERhsr0qZeSn-KSOdeHS9r0heI-lHtkcn2OH7hP0jQ/edit?usp=sharing"",""ลำปาง!L210"")"),0)</f>
        <v>0</v>
      </c>
      <c r="AS26" s="86">
        <f ca="1">IFERROR(__xludf.DUMMYFUNCTION("IMPORTRANGE(""https://docs.google.com/spreadsheets/d/1p7ERhsr0qZeSn-KSOdeHS9r0heI-lHtkcn2OH7hP0jQ/edit?usp=sharing"",""ลำปาง!N210"")"),0)</f>
        <v>0</v>
      </c>
      <c r="AT26" s="87">
        <f t="shared" ca="1" si="91"/>
        <v>0</v>
      </c>
      <c r="AU26" s="86">
        <f ca="1">IFERROR(__xludf.DUMMYFUNCTION("IMPORTRANGE(""https://docs.google.com/spreadsheets/d/1p7ERhsr0qZeSn-KSOdeHS9r0heI-lHtkcn2OH7hP0jQ/edit?usp=sharing"",""ลำปาง!L211"")"),0)</f>
        <v>0</v>
      </c>
      <c r="AV26" s="86">
        <f ca="1">IFERROR(__xludf.DUMMYFUNCTION("IMPORTRANGE(""https://docs.google.com/spreadsheets/d/1p7ERhsr0qZeSn-KSOdeHS9r0heI-lHtkcn2OH7hP0jQ/edit?usp=sharing"",""ลำปาง!N211"")"),0)</f>
        <v>0</v>
      </c>
      <c r="AW26" s="87">
        <f t="shared" ca="1" si="92"/>
        <v>0</v>
      </c>
      <c r="AX26" s="86">
        <f ca="1">IFERROR(__xludf.DUMMYFUNCTION("IMPORTRANGE(""https://docs.google.com/spreadsheets/d/1p7ERhsr0qZeSn-KSOdeHS9r0heI-lHtkcn2OH7hP0jQ/edit?usp=sharing"",""ลำปาง!L212"")"),0)</f>
        <v>0</v>
      </c>
      <c r="AY26" s="86">
        <f ca="1">IFERROR(__xludf.DUMMYFUNCTION("IMPORTRANGE(""https://docs.google.com/spreadsheets/d/1p7ERhsr0qZeSn-KSOdeHS9r0heI-lHtkcn2OH7hP0jQ/edit?usp=sharing"",""ลำปาง!N212"")"),0)</f>
        <v>0</v>
      </c>
      <c r="AZ26" s="87">
        <f t="shared" ca="1" si="93"/>
        <v>0</v>
      </c>
      <c r="BA26" s="86">
        <f ca="1">IFERROR(__xludf.DUMMYFUNCTION("IMPORTRANGE(""https://docs.google.com/spreadsheets/d/1p7ERhsr0qZeSn-KSOdeHS9r0heI-lHtkcn2OH7hP0jQ/edit?usp=sharing"",""ลำปาง!I214"")"),0)</f>
        <v>0</v>
      </c>
      <c r="BB26" s="86">
        <f ca="1">IFERROR(__xludf.DUMMYFUNCTION("IMPORTRANGE(""https://docs.google.com/spreadsheets/d/1p7ERhsr0qZeSn-KSOdeHS9r0heI-lHtkcn2OH7hP0jQ/edit?usp=sharing"",""ลำปาง!J214"")"),0)</f>
        <v>0</v>
      </c>
      <c r="BC26" s="87">
        <f t="shared" ca="1" si="94"/>
        <v>0</v>
      </c>
      <c r="BD26" s="86">
        <f ca="1">IFERROR(__xludf.DUMMYFUNCTION("IMPORTRANGE(""https://docs.google.com/spreadsheets/d/1p7ERhsr0qZeSn-KSOdeHS9r0heI-lHtkcn2OH7hP0jQ/edit?usp=sharing"",""ลำปาง!I215"")"),0)</f>
        <v>0</v>
      </c>
      <c r="BE26" s="86">
        <f ca="1">IFERROR(__xludf.DUMMYFUNCTION("IMPORTRANGE(""https://docs.google.com/spreadsheets/d/1p7ERhsr0qZeSn-KSOdeHS9r0heI-lHtkcn2OH7hP0jQ/edit?usp=sharing"",""ลำปาง!J215"")"),0)</f>
        <v>0</v>
      </c>
      <c r="BF26" s="87">
        <f t="shared" ca="1" si="95"/>
        <v>0</v>
      </c>
      <c r="BG26" s="86">
        <f ca="1">IFERROR(__xludf.DUMMYFUNCTION("IMPORTRANGE(""https://docs.google.com/spreadsheets/d/1p7ERhsr0qZeSn-KSOdeHS9r0heI-lHtkcn2OH7hP0jQ/edit?usp=sharing"",""ลำปาง!L218"")"),5000)</f>
        <v>5000</v>
      </c>
      <c r="BH26" s="86">
        <f ca="1">IFERROR(__xludf.DUMMYFUNCTION("IMPORTRANGE(""https://docs.google.com/spreadsheets/d/1p7ERhsr0qZeSn-KSOdeHS9r0heI-lHtkcn2OH7hP0jQ/edit?usp=sharing"",""ลำปาง!N218"")"),0)</f>
        <v>0</v>
      </c>
      <c r="BI26" s="87">
        <f t="shared" ca="1" si="96"/>
        <v>0</v>
      </c>
      <c r="BJ26" s="86">
        <f ca="1">IFERROR(__xludf.DUMMYFUNCTION("IMPORTRANGE(""https://docs.google.com/spreadsheets/d/1p7ERhsr0qZeSn-KSOdeHS9r0heI-lHtkcn2OH7hP0jQ/edit?usp=sharing"",""ลำปาง!L219"")"),13500)</f>
        <v>13500</v>
      </c>
      <c r="BK26" s="86">
        <f ca="1">IFERROR(__xludf.DUMMYFUNCTION("IMPORTRANGE(""https://docs.google.com/spreadsheets/d/1p7ERhsr0qZeSn-KSOdeHS9r0heI-lHtkcn2OH7hP0jQ/edit?usp=sharing"",""ลำปาง!N219"")"),0)</f>
        <v>0</v>
      </c>
      <c r="BL26" s="87">
        <f t="shared" ca="1" si="97"/>
        <v>0</v>
      </c>
      <c r="BM26" s="86">
        <f ca="1">IFERROR(__xludf.DUMMYFUNCTION("IMPORTRANGE(""https://docs.google.com/spreadsheets/d/1p7ERhsr0qZeSn-KSOdeHS9r0heI-lHtkcn2OH7hP0jQ/edit?usp=sharing"",""ลำปาง!L220"")"),0)</f>
        <v>0</v>
      </c>
      <c r="BN26" s="86">
        <f ca="1">IFERROR(__xludf.DUMMYFUNCTION("IMPORTRANGE(""https://docs.google.com/spreadsheets/d/1p7ERhsr0qZeSn-KSOdeHS9r0heI-lHtkcn2OH7hP0jQ/edit?usp=sharing"",""ลำปาง!N220"")"),0)</f>
        <v>0</v>
      </c>
      <c r="BO26" s="87">
        <f t="shared" ca="1" si="98"/>
        <v>0</v>
      </c>
      <c r="BP26" s="86">
        <f ca="1">IFERROR(__xludf.DUMMYFUNCTION("IMPORTRANGE(""https://docs.google.com/spreadsheets/d/1p7ERhsr0qZeSn-KSOdeHS9r0heI-lHtkcn2OH7hP0jQ/edit?usp=sharing"",""ลำปาง!I223"")"),50000)</f>
        <v>50000</v>
      </c>
      <c r="BQ26" s="86">
        <f ca="1">IFERROR(__xludf.DUMMYFUNCTION("IMPORTRANGE(""https://docs.google.com/spreadsheets/d/1p7ERhsr0qZeSn-KSOdeHS9r0heI-lHtkcn2OH7hP0jQ/edit?usp=sharing"",""ลำปาง!J223"")"),0)</f>
        <v>0</v>
      </c>
      <c r="BR26" s="87">
        <f t="shared" ca="1" si="99"/>
        <v>0</v>
      </c>
      <c r="BS26" s="86">
        <f ca="1">IFERROR(__xludf.DUMMYFUNCTION("IMPORTRANGE(""https://docs.google.com/spreadsheets/d/1p7ERhsr0qZeSn-KSOdeHS9r0heI-lHtkcn2OH7hP0jQ/edit?usp=sharing"",""ลำปาง!I224"")"),50000)</f>
        <v>50000</v>
      </c>
      <c r="BT26" s="86">
        <f ca="1">IFERROR(__xludf.DUMMYFUNCTION("IMPORTRANGE(""https://docs.google.com/spreadsheets/d/1p7ERhsr0qZeSn-KSOdeHS9r0heI-lHtkcn2OH7hP0jQ/edit?usp=sharing"",""ลำปาง!J224"")"),0)</f>
        <v>0</v>
      </c>
      <c r="BU26" s="87">
        <f t="shared" ca="1" si="100"/>
        <v>0</v>
      </c>
      <c r="BV26" s="86">
        <f ca="1">IFERROR(__xludf.DUMMYFUNCTION("IMPORTRANGE(""https://docs.google.com/spreadsheets/d/1p7ERhsr0qZeSn-KSOdeHS9r0heI-lHtkcn2OH7hP0jQ/edit?usp=sharing"",""ลำปาง!I225"")"),0)</f>
        <v>0</v>
      </c>
      <c r="BW26" s="86">
        <f ca="1">IFERROR(__xludf.DUMMYFUNCTION("IMPORTRANGE(""https://docs.google.com/spreadsheets/d/1p7ERhsr0qZeSn-KSOdeHS9r0heI-lHtkcn2OH7hP0jQ/edit?usp=sharing"",""ลำปาง!J225"")"),0)</f>
        <v>0</v>
      </c>
      <c r="BX26" s="87">
        <f t="shared" ca="1" si="101"/>
        <v>0</v>
      </c>
      <c r="BY26" s="86">
        <f ca="1">IFERROR(__xludf.DUMMYFUNCTION("IMPORTRANGE(""https://docs.google.com/spreadsheets/d/1p7ERhsr0qZeSn-KSOdeHS9r0heI-lHtkcn2OH7hP0jQ/edit?usp=sharing"",""ลำปาง!L228"")"),0)</f>
        <v>0</v>
      </c>
      <c r="BZ26" s="86">
        <f ca="1">IFERROR(__xludf.DUMMYFUNCTION("IMPORTRANGE(""https://docs.google.com/spreadsheets/d/1p7ERhsr0qZeSn-KSOdeHS9r0heI-lHtkcn2OH7hP0jQ/edit?usp=sharing"",""ลำปาง!N228"")"),0)</f>
        <v>0</v>
      </c>
      <c r="CA26" s="87">
        <f t="shared" ca="1" si="102"/>
        <v>0</v>
      </c>
      <c r="CB26" s="86">
        <f ca="1">IFERROR(__xludf.DUMMYFUNCTION("IMPORTRANGE(""https://docs.google.com/spreadsheets/d/1p7ERhsr0qZeSn-KSOdeHS9r0heI-lHtkcn2OH7hP0jQ/edit?usp=sharing"",""ลำปาง!L229"")"),0)</f>
        <v>0</v>
      </c>
      <c r="CC26" s="86">
        <f ca="1">IFERROR(__xludf.DUMMYFUNCTION("IMPORTRANGE(""https://docs.google.com/spreadsheets/d/1p7ERhsr0qZeSn-KSOdeHS9r0heI-lHtkcn2OH7hP0jQ/edit?usp=sharing"",""ลำปาง!N229"")"),0)</f>
        <v>0</v>
      </c>
      <c r="CD26" s="87">
        <f t="shared" ca="1" si="103"/>
        <v>0</v>
      </c>
      <c r="CE26" s="86">
        <f ca="1">IFERROR(__xludf.DUMMYFUNCTION("IMPORTRANGE(""https://docs.google.com/spreadsheets/d/1p7ERhsr0qZeSn-KSOdeHS9r0heI-lHtkcn2OH7hP0jQ/edit?usp=sharing"",""ลำปาง!L230"")"),0)</f>
        <v>0</v>
      </c>
      <c r="CF26" s="86">
        <f ca="1">IFERROR(__xludf.DUMMYFUNCTION("IMPORTRANGE(""https://docs.google.com/spreadsheets/d/1p7ERhsr0qZeSn-KSOdeHS9r0heI-lHtkcn2OH7hP0jQ/edit?usp=sharing"",""ลำปาง!N230"")"),0)</f>
        <v>0</v>
      </c>
      <c r="CG26" s="87">
        <f t="shared" ca="1" si="104"/>
        <v>0</v>
      </c>
      <c r="CH26" s="86">
        <f ca="1">IFERROR(__xludf.DUMMYFUNCTION("IMPORTRANGE(""https://docs.google.com/spreadsheets/d/1p7ERhsr0qZeSn-KSOdeHS9r0heI-lHtkcn2OH7hP0jQ/edit?usp=sharing"",""ลำปาง!L231"")"),0)</f>
        <v>0</v>
      </c>
      <c r="CI26" s="86">
        <f ca="1">IFERROR(__xludf.DUMMYFUNCTION("IMPORTRANGE(""https://docs.google.com/spreadsheets/d/1p7ERhsr0qZeSn-KSOdeHS9r0heI-lHtkcn2OH7hP0jQ/edit?usp=sharing"",""ลำปาง!N231"")"),0)</f>
        <v>0</v>
      </c>
      <c r="CJ26" s="87">
        <f t="shared" ca="1" si="105"/>
        <v>0</v>
      </c>
      <c r="CK26" s="86">
        <f ca="1">IFERROR(__xludf.DUMMYFUNCTION("IMPORTRANGE(""https://docs.google.com/spreadsheets/d/1p7ERhsr0qZeSn-KSOdeHS9r0heI-lHtkcn2OH7hP0jQ/edit?usp=sharing"",""ลำปาง!I233"")"),0)</f>
        <v>0</v>
      </c>
      <c r="CL26" s="86">
        <f ca="1">IFERROR(__xludf.DUMMYFUNCTION("IMPORTRANGE(""https://docs.google.com/spreadsheets/d/1p7ERhsr0qZeSn-KSOdeHS9r0heI-lHtkcn2OH7hP0jQ/edit?usp=sharing"",""ลำปาง!J233"")"),0)</f>
        <v>0</v>
      </c>
      <c r="CM26" s="87">
        <f t="shared" ca="1" si="106"/>
        <v>0</v>
      </c>
      <c r="CN26" s="86">
        <f ca="1">IFERROR(__xludf.DUMMYFUNCTION("IMPORTRANGE(""https://docs.google.com/spreadsheets/d/1p7ERhsr0qZeSn-KSOdeHS9r0heI-lHtkcn2OH7hP0jQ/edit?usp=sharing"",""ลำปาง!J235"")"),0)</f>
        <v>0</v>
      </c>
      <c r="CO26" s="86">
        <f ca="1">IFERROR(__xludf.DUMMYFUNCTION("IMPORTRANGE(""https://docs.google.com/spreadsheets/d/1p7ERhsr0qZeSn-KSOdeHS9r0heI-lHtkcn2OH7hP0jQ/edit?usp=sharing"",""ลำปาง!J236"")"),0)</f>
        <v>0</v>
      </c>
    </row>
    <row r="27" spans="1:93" ht="24" customHeight="1" x14ac:dyDescent="0.3">
      <c r="A27" s="78">
        <v>14</v>
      </c>
      <c r="B27" s="79" t="s">
        <v>49</v>
      </c>
      <c r="C27" s="80">
        <f t="shared" ca="1" si="0"/>
        <v>665550</v>
      </c>
      <c r="D27" s="81">
        <f t="shared" ca="1" si="133"/>
        <v>665550</v>
      </c>
      <c r="E27" s="82">
        <f ca="1">IFERROR(__xludf.DUMMYFUNCTION("IMPORTRANGE(""https://docs.google.com/spreadsheets/d/1MeEWN-I1oV_STSDYn1IFDPWt_1FKiwhDph83XaGc0o0/edit?usp=sharing"",""งบพรบ!CP27"")"),0)</f>
        <v>0</v>
      </c>
      <c r="F27" s="82">
        <f ca="1">IFERROR(__xludf.DUMMYFUNCTION("IMPORTRANGE(""https://docs.google.com/spreadsheets/d/1MeEWN-I1oV_STSDYn1IFDPWt_1FKiwhDph83XaGc0o0/edit?usp=sharing"",""งบพรบ!CQ27"")"),665550)</f>
        <v>665550</v>
      </c>
      <c r="G27" s="82">
        <f ca="1">IFERROR(__xludf.DUMMYFUNCTION("IMPORTRANGE(""https://docs.google.com/spreadsheets/d/1MeEWN-I1oV_STSDYn1IFDPWt_1FKiwhDph83XaGc0o0/edit?usp=sharing"",""งบพรบ!CR27"")"),0)</f>
        <v>0</v>
      </c>
      <c r="H27" s="82">
        <f ca="1">IFERROR(__xludf.DUMMYFUNCTION("IMPORTRANGE(""https://docs.google.com/spreadsheets/d/1MeEWN-I1oV_STSDYn1IFDPWt_1FKiwhDph83XaGc0o0/edit?usp=sharing"",""งบพรบ!CT27"")"),500250)</f>
        <v>500250</v>
      </c>
      <c r="I27" s="82">
        <f ca="1">IFERROR(__xludf.DUMMYFUNCTION("IMPORTRANGE(""https://docs.google.com/spreadsheets/d/1MeEWN-I1oV_STSDYn1IFDPWt_1FKiwhDph83XaGc0o0/edit?usp=sharing"",""งบพรบ!CU27"")"),0)</f>
        <v>0</v>
      </c>
      <c r="J27" s="82">
        <f t="shared" ca="1" si="3"/>
        <v>202267.27</v>
      </c>
      <c r="K27" s="83">
        <f t="shared" ca="1" si="4"/>
        <v>30.390995417324017</v>
      </c>
      <c r="L27" s="82">
        <f ca="1">IFERROR(__xludf.DUMMYFUNCTION("IMPORTRANGE(""https://docs.google.com/spreadsheets/d/1MeEWN-I1oV_STSDYn1IFDPWt_1FKiwhDph83XaGc0o0/edit?usp=sharing"",""งบพรบ!CV27"")"),202267.27)</f>
        <v>202267.27</v>
      </c>
      <c r="M27" s="84">
        <f t="shared" ca="1" si="5"/>
        <v>30.390995417324017</v>
      </c>
      <c r="N27" s="84">
        <f t="shared" ca="1" si="6"/>
        <v>40.433237381309347</v>
      </c>
      <c r="O27" s="85">
        <f ca="1">IFERROR(__xludf.DUMMYFUNCTION("IMPORTRANGE(""https://docs.google.com/spreadsheets/d/1MeEWN-I1oV_STSDYn1IFDPWt_1FKiwhDph83XaGc0o0/edit?usp=sharing"",""งบพรบ!CW27"")"),0)</f>
        <v>0</v>
      </c>
      <c r="P27" s="85">
        <f t="shared" ca="1" si="108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IFERROR(__xludf.DUMMYFUNCTION("IMPORTRANGE(""https://docs.google.com/spreadsheets/d/1-uUXvimVhiU2U0bMN-xi2te0tS4X7DI2GLPnMjzl8cA/edit?usp=sharing"",""ลำพูน!L191"")"),6000)</f>
        <v>6000</v>
      </c>
      <c r="S27" s="86">
        <f ca="1">IFERROR(__xludf.DUMMYFUNCTION("IMPORTRANGE(""https://docs.google.com/spreadsheets/d/1-uUXvimVhiU2U0bMN-xi2te0tS4X7DI2GLPnMjzl8cA/edit?usp=sharing"",""ลำพูน!N191"")"),0)</f>
        <v>0</v>
      </c>
      <c r="T27" s="87">
        <f t="shared" ca="1" si="84"/>
        <v>0</v>
      </c>
      <c r="U27" s="86">
        <f ca="1">IFERROR(__xludf.DUMMYFUNCTION("IMPORTRANGE(""https://docs.google.com/spreadsheets/d/1-uUXvimVhiU2U0bMN-xi2te0tS4X7DI2GLPnMjzl8cA/edit?usp=sharing"",""ลำพูน!I193"")"),4)</f>
        <v>4</v>
      </c>
      <c r="V27" s="86">
        <f ca="1">IFERROR(__xludf.DUMMYFUNCTION("IMPORTRANGE(""https://docs.google.com/spreadsheets/d/1-uUXvimVhiU2U0bMN-xi2te0tS4X7DI2GLPnMjzl8cA/edit?usp=sharing"",""ลำพูน!J193"")"),1)</f>
        <v>1</v>
      </c>
      <c r="W27" s="87">
        <f t="shared" ca="1" si="85"/>
        <v>25</v>
      </c>
      <c r="X27" s="86">
        <f t="shared" ca="1" si="134"/>
        <v>50</v>
      </c>
      <c r="Y27" s="86">
        <f ca="1">IFERROR(__xludf.DUMMYFUNCTION("IMPORTRANGE(""https://docs.google.com/spreadsheets/d/1-uUXvimVhiU2U0bMN-xi2te0tS4X7DI2GLPnMjzl8cA/edit?usp=sharing"",""ลำพูน!J195"")"),50)</f>
        <v>50</v>
      </c>
      <c r="Z27" s="86">
        <f ca="1">IFERROR(__xludf.DUMMYFUNCTION("IMPORTRANGE(""https://docs.google.com/spreadsheets/d/1-uUXvimVhiU2U0bMN-xi2te0tS4X7DI2GLPnMjzl8cA/edit?usp=sharing"",""ลำพูน!J196"")"),0)</f>
        <v>0</v>
      </c>
      <c r="AA27" s="86">
        <f ca="1">IFERROR(__xludf.DUMMYFUNCTION("IMPORTRANGE(""https://docs.google.com/spreadsheets/d/1-uUXvimVhiU2U0bMN-xi2te0tS4X7DI2GLPnMjzl8cA/edit?usp=sharing"",""ลำพูน!L199"")"),2000)</f>
        <v>2000</v>
      </c>
      <c r="AB27" s="86">
        <f ca="1">IFERROR(__xludf.DUMMYFUNCTION("IMPORTRANGE(""https://docs.google.com/spreadsheets/d/1-uUXvimVhiU2U0bMN-xi2te0tS4X7DI2GLPnMjzl8cA/edit?usp=sharing"",""ลำพูน!N199"")"),0)</f>
        <v>0</v>
      </c>
      <c r="AC27" s="87">
        <f t="shared" ca="1" si="86"/>
        <v>0</v>
      </c>
      <c r="AD27" s="86">
        <f ca="1">IFERROR(__xludf.DUMMYFUNCTION("IMPORTRANGE(""https://docs.google.com/spreadsheets/d/1-uUXvimVhiU2U0bMN-xi2te0tS4X7DI2GLPnMjzl8cA/edit?usp=sharing"",""ลำพูน!L200"")"),16000)</f>
        <v>16000</v>
      </c>
      <c r="AE27" s="86">
        <f ca="1">IFERROR(__xludf.DUMMYFUNCTION("IMPORTRANGE(""https://docs.google.com/spreadsheets/d/1-uUXvimVhiU2U0bMN-xi2te0tS4X7DI2GLPnMjzl8cA/edit?usp=sharing"",""ลำพูน!N200"")"),0)</f>
        <v>0</v>
      </c>
      <c r="AF27" s="87">
        <f t="shared" ca="1" si="87"/>
        <v>0</v>
      </c>
      <c r="AG27" s="86">
        <f ca="1">IFERROR(__xludf.DUMMYFUNCTION("IMPORTRANGE(""https://docs.google.com/spreadsheets/d/1-uUXvimVhiU2U0bMN-xi2te0tS4X7DI2GLPnMjzl8cA/edit?usp=sharing"",""ลำพูน!L201"")"),8000)</f>
        <v>8000</v>
      </c>
      <c r="AH27" s="86">
        <f ca="1">IFERROR(__xludf.DUMMYFUNCTION("IMPORTRANGE(""https://docs.google.com/spreadsheets/d/1-uUXvimVhiU2U0bMN-xi2te0tS4X7DI2GLPnMjzl8cA/edit?usp=sharing"",""ลำพูน!N201"")"),0)</f>
        <v>0</v>
      </c>
      <c r="AI27" s="87">
        <f t="shared" ca="1" si="88"/>
        <v>0</v>
      </c>
      <c r="AJ27" s="86">
        <f ca="1">IFERROR(__xludf.DUMMYFUNCTION("IMPORTRANGE(""https://docs.google.com/spreadsheets/d/1-uUXvimVhiU2U0bMN-xi2te0tS4X7DI2GLPnMjzl8cA/edit?usp=sharing"",""ลำพูน!L202"")"),0)</f>
        <v>0</v>
      </c>
      <c r="AK27" s="86">
        <f ca="1">IFERROR(__xludf.DUMMYFUNCTION("IMPORTRANGE(""https://docs.google.com/spreadsheets/d/1-uUXvimVhiU2U0bMN-xi2te0tS4X7DI2GLPnMjzl8cA/edit?usp=sharing"",""ลำพูน!N202"")"),0)</f>
        <v>0</v>
      </c>
      <c r="AL27" s="87">
        <f t="shared" ca="1" si="89"/>
        <v>0</v>
      </c>
      <c r="AM27" s="86">
        <f ca="1">IFERROR(__xludf.DUMMYFUNCTION("IMPORTRANGE(""https://docs.google.com/spreadsheets/d/1-uUXvimVhiU2U0bMN-xi2te0tS4X7DI2GLPnMjzl8cA/edit?usp=sharing"",""ลำพูน!I204"")"),2)</f>
        <v>2</v>
      </c>
      <c r="AN27" s="86">
        <f ca="1">IFERROR(__xludf.DUMMYFUNCTION("IMPORTRANGE(""https://docs.google.com/spreadsheets/d/1-uUXvimVhiU2U0bMN-xi2te0tS4X7DI2GLPnMjzl8cA/edit?usp=sharing"",""ลำพูน!J204"")"),0)</f>
        <v>0</v>
      </c>
      <c r="AO27" s="87">
        <f t="shared" ca="1" si="90"/>
        <v>0</v>
      </c>
      <c r="AP27" s="298">
        <f ca="1">IFERROR(__xludf.DUMMYFUNCTION("IMPORTRANGE(""https://docs.google.com/spreadsheets/d/1-uUXvimVhiU2U0bMN-xi2te0tS4X7DI2GLPnMjzl8cA/edit?usp=sharing"",""ลำพูน!J206"")"),0)</f>
        <v>0</v>
      </c>
      <c r="AQ27" s="298">
        <f ca="1">IFERROR(__xludf.DUMMYFUNCTION("IMPORTRANGE(""https://docs.google.com/spreadsheets/d/1-uUXvimVhiU2U0bMN-xi2te0tS4X7DI2GLPnMjzl8cA/edit?usp=sharing"",""ลำพูน!J207"")"),0)</f>
        <v>0</v>
      </c>
      <c r="AR27" s="86">
        <f ca="1">IFERROR(__xludf.DUMMYFUNCTION("IMPORTRANGE(""https://docs.google.com/spreadsheets/d/1-uUXvimVhiU2U0bMN-xi2te0tS4X7DI2GLPnMjzl8cA/edit?usp=sharing"",""ลำพูน!L210"")"),0)</f>
        <v>0</v>
      </c>
      <c r="AS27" s="86">
        <f ca="1">IFERROR(__xludf.DUMMYFUNCTION("IMPORTRANGE(""https://docs.google.com/spreadsheets/d/1-uUXvimVhiU2U0bMN-xi2te0tS4X7DI2GLPnMjzl8cA/edit?usp=sharing"",""ลำพูน!N210"")"),0)</f>
        <v>0</v>
      </c>
      <c r="AT27" s="87">
        <f t="shared" ca="1" si="91"/>
        <v>0</v>
      </c>
      <c r="AU27" s="86">
        <f ca="1">IFERROR(__xludf.DUMMYFUNCTION("IMPORTRANGE(""https://docs.google.com/spreadsheets/d/1-uUXvimVhiU2U0bMN-xi2te0tS4X7DI2GLPnMjzl8cA/edit?usp=sharing"",""ลำพูน!L211"")"),0)</f>
        <v>0</v>
      </c>
      <c r="AV27" s="86">
        <f ca="1">IFERROR(__xludf.DUMMYFUNCTION("IMPORTRANGE(""https://docs.google.com/spreadsheets/d/1-uUXvimVhiU2U0bMN-xi2te0tS4X7DI2GLPnMjzl8cA/edit?usp=sharing"",""ลำพูน!N211"")"),0)</f>
        <v>0</v>
      </c>
      <c r="AW27" s="87">
        <f t="shared" ca="1" si="92"/>
        <v>0</v>
      </c>
      <c r="AX27" s="86">
        <f ca="1">IFERROR(__xludf.DUMMYFUNCTION("IMPORTRANGE(""https://docs.google.com/spreadsheets/d/1-uUXvimVhiU2U0bMN-xi2te0tS4X7DI2GLPnMjzl8cA/edit?usp=sharing"",""ลำพูน!L212"")"),0)</f>
        <v>0</v>
      </c>
      <c r="AY27" s="86">
        <f ca="1">IFERROR(__xludf.DUMMYFUNCTION("IMPORTRANGE(""https://docs.google.com/spreadsheets/d/1-uUXvimVhiU2U0bMN-xi2te0tS4X7DI2GLPnMjzl8cA/edit?usp=sharing"",""ลำพูน!N212"")"),0)</f>
        <v>0</v>
      </c>
      <c r="AZ27" s="87">
        <f t="shared" ca="1" si="93"/>
        <v>0</v>
      </c>
      <c r="BA27" s="86">
        <f ca="1">IFERROR(__xludf.DUMMYFUNCTION("IMPORTRANGE(""https://docs.google.com/spreadsheets/d/1-uUXvimVhiU2U0bMN-xi2te0tS4X7DI2GLPnMjzl8cA/edit?usp=sharing"",""ลำพูน!I214"")"),0)</f>
        <v>0</v>
      </c>
      <c r="BB27" s="86">
        <f ca="1">IFERROR(__xludf.DUMMYFUNCTION("IMPORTRANGE(""https://docs.google.com/spreadsheets/d/1-uUXvimVhiU2U0bMN-xi2te0tS4X7DI2GLPnMjzl8cA/edit?usp=sharing"",""ลำพูน!J214"")"),0)</f>
        <v>0</v>
      </c>
      <c r="BC27" s="87">
        <f t="shared" ca="1" si="94"/>
        <v>0</v>
      </c>
      <c r="BD27" s="86">
        <f ca="1">IFERROR(__xludf.DUMMYFUNCTION("IMPORTRANGE(""https://docs.google.com/spreadsheets/d/1-uUXvimVhiU2U0bMN-xi2te0tS4X7DI2GLPnMjzl8cA/edit?usp=sharing"",""ลำพูน!I215"")"),0)</f>
        <v>0</v>
      </c>
      <c r="BE27" s="86">
        <f ca="1">IFERROR(__xludf.DUMMYFUNCTION("IMPORTRANGE(""https://docs.google.com/spreadsheets/d/1-uUXvimVhiU2U0bMN-xi2te0tS4X7DI2GLPnMjzl8cA/edit?usp=sharing"",""ลำพูน!J215"")"),0)</f>
        <v>0</v>
      </c>
      <c r="BF27" s="87">
        <f t="shared" ca="1" si="95"/>
        <v>0</v>
      </c>
      <c r="BG27" s="86">
        <f ca="1">IFERROR(__xludf.DUMMYFUNCTION("IMPORTRANGE(""https://docs.google.com/spreadsheets/d/1-uUXvimVhiU2U0bMN-xi2te0tS4X7DI2GLPnMjzl8cA/edit?usp=sharing"",""ลำพูน!L218"")"),6000)</f>
        <v>6000</v>
      </c>
      <c r="BH27" s="86">
        <f ca="1">IFERROR(__xludf.DUMMYFUNCTION("IMPORTRANGE(""https://docs.google.com/spreadsheets/d/1-uUXvimVhiU2U0bMN-xi2te0tS4X7DI2GLPnMjzl8cA/edit?usp=sharing"",""ลำพูน!N218"")"),0)</f>
        <v>0</v>
      </c>
      <c r="BI27" s="87">
        <f t="shared" ca="1" si="96"/>
        <v>0</v>
      </c>
      <c r="BJ27" s="86">
        <f ca="1">IFERROR(__xludf.DUMMYFUNCTION("IMPORTRANGE(""https://docs.google.com/spreadsheets/d/1-uUXvimVhiU2U0bMN-xi2te0tS4X7DI2GLPnMjzl8cA/edit?usp=sharing"",""ลำพูน!L219"")"),25000)</f>
        <v>25000</v>
      </c>
      <c r="BK27" s="86">
        <f ca="1">IFERROR(__xludf.DUMMYFUNCTION("IMPORTRANGE(""https://docs.google.com/spreadsheets/d/1-uUXvimVhiU2U0bMN-xi2te0tS4X7DI2GLPnMjzl8cA/edit?usp=sharing"",""ลำพูน!N219"")"),0)</f>
        <v>0</v>
      </c>
      <c r="BL27" s="87">
        <f t="shared" ca="1" si="97"/>
        <v>0</v>
      </c>
      <c r="BM27" s="86">
        <f ca="1">IFERROR(__xludf.DUMMYFUNCTION("IMPORTRANGE(""https://docs.google.com/spreadsheets/d/1-uUXvimVhiU2U0bMN-xi2te0tS4X7DI2GLPnMjzl8cA/edit?usp=sharing"",""ลำพูน!L220"")"),0)</f>
        <v>0</v>
      </c>
      <c r="BN27" s="86">
        <f ca="1">IFERROR(__xludf.DUMMYFUNCTION("IMPORTRANGE(""https://docs.google.com/spreadsheets/d/1-uUXvimVhiU2U0bMN-xi2te0tS4X7DI2GLPnMjzl8cA/edit?usp=sharing"",""ลำพูน!N220"")"),0)</f>
        <v>0</v>
      </c>
      <c r="BO27" s="87">
        <f t="shared" ca="1" si="98"/>
        <v>0</v>
      </c>
      <c r="BP27" s="86">
        <f ca="1">IFERROR(__xludf.DUMMYFUNCTION("IMPORTRANGE(""https://docs.google.com/spreadsheets/d/1-uUXvimVhiU2U0bMN-xi2te0tS4X7DI2GLPnMjzl8cA/edit?usp=sharing"",""ลำพูน!I223"")"),100000)</f>
        <v>100000</v>
      </c>
      <c r="BQ27" s="86">
        <f ca="1">IFERROR(__xludf.DUMMYFUNCTION("IMPORTRANGE(""https://docs.google.com/spreadsheets/d/1-uUXvimVhiU2U0bMN-xi2te0tS4X7DI2GLPnMjzl8cA/edit?usp=sharing"",""ลำพูน!J223"")"),0)</f>
        <v>0</v>
      </c>
      <c r="BR27" s="87">
        <f t="shared" ca="1" si="99"/>
        <v>0</v>
      </c>
      <c r="BS27" s="86">
        <f ca="1">IFERROR(__xludf.DUMMYFUNCTION("IMPORTRANGE(""https://docs.google.com/spreadsheets/d/1-uUXvimVhiU2U0bMN-xi2te0tS4X7DI2GLPnMjzl8cA/edit?usp=sharing"",""ลำพูน!I224"")"),100000)</f>
        <v>100000</v>
      </c>
      <c r="BT27" s="86">
        <f ca="1">IFERROR(__xludf.DUMMYFUNCTION("IMPORTRANGE(""https://docs.google.com/spreadsheets/d/1-uUXvimVhiU2U0bMN-xi2te0tS4X7DI2GLPnMjzl8cA/edit?usp=sharing"",""ลำพูน!J224"")"),0)</f>
        <v>0</v>
      </c>
      <c r="BU27" s="87">
        <f t="shared" ca="1" si="100"/>
        <v>0</v>
      </c>
      <c r="BV27" s="86">
        <f ca="1">IFERROR(__xludf.DUMMYFUNCTION("IMPORTRANGE(""https://docs.google.com/spreadsheets/d/1-uUXvimVhiU2U0bMN-xi2te0tS4X7DI2GLPnMjzl8cA/edit?usp=sharing"",""ลำพูน!I225"")"),0)</f>
        <v>0</v>
      </c>
      <c r="BW27" s="86">
        <f ca="1">IFERROR(__xludf.DUMMYFUNCTION("IMPORTRANGE(""https://docs.google.com/spreadsheets/d/1-uUXvimVhiU2U0bMN-xi2te0tS4X7DI2GLPnMjzl8cA/edit?usp=sharing"",""ลำพูน!J225"")"),0)</f>
        <v>0</v>
      </c>
      <c r="BX27" s="87">
        <f t="shared" ca="1" si="101"/>
        <v>0</v>
      </c>
      <c r="BY27" s="86">
        <f ca="1">IFERROR(__xludf.DUMMYFUNCTION("IMPORTRANGE(""https://docs.google.com/spreadsheets/d/1-uUXvimVhiU2U0bMN-xi2te0tS4X7DI2GLPnMjzl8cA/edit?usp=sharing"",""ลำพูน!L228"")"),416700)</f>
        <v>416700</v>
      </c>
      <c r="BZ27" s="86">
        <f ca="1">IFERROR(__xludf.DUMMYFUNCTION("IMPORTRANGE(""https://docs.google.com/spreadsheets/d/1-uUXvimVhiU2U0bMN-xi2te0tS4X7DI2GLPnMjzl8cA/edit?usp=sharing"",""ลำพูน!N228"")"),108490)</f>
        <v>108490</v>
      </c>
      <c r="CA27" s="87">
        <f t="shared" ca="1" si="102"/>
        <v>26.035517158627311</v>
      </c>
      <c r="CB27" s="86">
        <f ca="1">IFERROR(__xludf.DUMMYFUNCTION("IMPORTRANGE(""https://docs.google.com/spreadsheets/d/1-uUXvimVhiU2U0bMN-xi2te0tS4X7DI2GLPnMjzl8cA/edit?usp=sharing"",""ลำพูน!L229"")"),135850)</f>
        <v>135850</v>
      </c>
      <c r="CC27" s="86">
        <f ca="1">IFERROR(__xludf.DUMMYFUNCTION("IMPORTRANGE(""https://docs.google.com/spreadsheets/d/1-uUXvimVhiU2U0bMN-xi2te0tS4X7DI2GLPnMjzl8cA/edit?usp=sharing"",""ลำพูน!N229"")"),93777.27)</f>
        <v>93777.27</v>
      </c>
      <c r="CD27" s="87">
        <f t="shared" ca="1" si="103"/>
        <v>69.030011041589987</v>
      </c>
      <c r="CE27" s="86">
        <f ca="1">IFERROR(__xludf.DUMMYFUNCTION("IMPORTRANGE(""https://docs.google.com/spreadsheets/d/1-uUXvimVhiU2U0bMN-xi2te0tS4X7DI2GLPnMjzl8cA/edit?usp=sharing"",""ลำพูน!L230"")"),0)</f>
        <v>0</v>
      </c>
      <c r="CF27" s="86">
        <f ca="1">IFERROR(__xludf.DUMMYFUNCTION("IMPORTRANGE(""https://docs.google.com/spreadsheets/d/1-uUXvimVhiU2U0bMN-xi2te0tS4X7DI2GLPnMjzl8cA/edit?usp=sharing"",""ลำพูน!N230"")"),0)</f>
        <v>0</v>
      </c>
      <c r="CG27" s="87">
        <f t="shared" ca="1" si="104"/>
        <v>0</v>
      </c>
      <c r="CH27" s="86">
        <f ca="1">IFERROR(__xludf.DUMMYFUNCTION("IMPORTRANGE(""https://docs.google.com/spreadsheets/d/1-uUXvimVhiU2U0bMN-xi2te0tS4X7DI2GLPnMjzl8cA/edit?usp=sharing"",""ลำพูน!L231"")"),50000)</f>
        <v>50000</v>
      </c>
      <c r="CI27" s="86">
        <f ca="1">IFERROR(__xludf.DUMMYFUNCTION("IMPORTRANGE(""https://docs.google.com/spreadsheets/d/1-uUXvimVhiU2U0bMN-xi2te0tS4X7DI2GLPnMjzl8cA/edit?usp=sharing"",""ลำพูน!N231"")"),0)</f>
        <v>0</v>
      </c>
      <c r="CJ27" s="87">
        <f t="shared" ca="1" si="105"/>
        <v>0</v>
      </c>
      <c r="CK27" s="86">
        <f ca="1">IFERROR(__xludf.DUMMYFUNCTION("IMPORTRANGE(""https://docs.google.com/spreadsheets/d/1-uUXvimVhiU2U0bMN-xi2te0tS4X7DI2GLPnMjzl8cA/edit?usp=sharing"",""ลำพูน!I233"")"),100)</f>
        <v>100</v>
      </c>
      <c r="CL27" s="86">
        <f ca="1">IFERROR(__xludf.DUMMYFUNCTION("IMPORTRANGE(""https://docs.google.com/spreadsheets/d/1-uUXvimVhiU2U0bMN-xi2te0tS4X7DI2GLPnMjzl8cA/edit?usp=sharing"",""ลำพูน!J233"")"),50)</f>
        <v>50</v>
      </c>
      <c r="CM27" s="87">
        <f t="shared" ca="1" si="106"/>
        <v>50</v>
      </c>
      <c r="CN27" s="86">
        <f ca="1">IFERROR(__xludf.DUMMYFUNCTION("IMPORTRANGE(""https://docs.google.com/spreadsheets/d/1-uUXvimVhiU2U0bMN-xi2te0tS4X7DI2GLPnMjzl8cA/edit?usp=sharing"",""ลำพูน!J235"")"),0)</f>
        <v>0</v>
      </c>
      <c r="CO27" s="86">
        <f ca="1">IFERROR(__xludf.DUMMYFUNCTION("IMPORTRANGE(""https://docs.google.com/spreadsheets/d/1-uUXvimVhiU2U0bMN-xi2te0tS4X7DI2GLPnMjzl8cA/edit?usp=sharing"",""ลำพูน!J236"")"),0)</f>
        <v>0</v>
      </c>
    </row>
    <row r="28" spans="1:93" ht="24" customHeight="1" x14ac:dyDescent="0.3">
      <c r="A28" s="78">
        <v>15</v>
      </c>
      <c r="B28" s="79" t="s">
        <v>50</v>
      </c>
      <c r="C28" s="80">
        <f t="shared" ca="1" si="0"/>
        <v>76500</v>
      </c>
      <c r="D28" s="81">
        <f t="shared" ca="1" si="133"/>
        <v>76500</v>
      </c>
      <c r="E28" s="82">
        <f ca="1">IFERROR(__xludf.DUMMYFUNCTION("IMPORTRANGE(""https://docs.google.com/spreadsheets/d/1MeEWN-I1oV_STSDYn1IFDPWt_1FKiwhDph83XaGc0o0/edit?usp=sharing"",""งบพรบ!CP28"")"),0)</f>
        <v>0</v>
      </c>
      <c r="F28" s="82">
        <f ca="1">IFERROR(__xludf.DUMMYFUNCTION("IMPORTRANGE(""https://docs.google.com/spreadsheets/d/1MeEWN-I1oV_STSDYn1IFDPWt_1FKiwhDph83XaGc0o0/edit?usp=sharing"",""งบพรบ!CQ28"")"),76500)</f>
        <v>76500</v>
      </c>
      <c r="G28" s="82">
        <f ca="1">IFERROR(__xludf.DUMMYFUNCTION("IMPORTRANGE(""https://docs.google.com/spreadsheets/d/1MeEWN-I1oV_STSDYn1IFDPWt_1FKiwhDph83XaGc0o0/edit?usp=sharing"",""งบพรบ!CR28"")"),0)</f>
        <v>0</v>
      </c>
      <c r="H28" s="82">
        <f ca="1">IFERROR(__xludf.DUMMYFUNCTION("IMPORTRANGE(""https://docs.google.com/spreadsheets/d/1MeEWN-I1oV_STSDYn1IFDPWt_1FKiwhDph83XaGc0o0/edit?usp=sharing"",""งบพรบ!CT28"")"),61500)</f>
        <v>61500</v>
      </c>
      <c r="I28" s="82">
        <f ca="1">IFERROR(__xludf.DUMMYFUNCTION("IMPORTRANGE(""https://docs.google.com/spreadsheets/d/1MeEWN-I1oV_STSDYn1IFDPWt_1FKiwhDph83XaGc0o0/edit?usp=sharing"",""งบพรบ!CU28"")"),0)</f>
        <v>0</v>
      </c>
      <c r="J28" s="82">
        <f t="shared" ca="1" si="3"/>
        <v>24440</v>
      </c>
      <c r="K28" s="83">
        <f t="shared" ca="1" si="4"/>
        <v>31.947712418300654</v>
      </c>
      <c r="L28" s="82">
        <f ca="1">IFERROR(__xludf.DUMMYFUNCTION("IMPORTRANGE(""https://docs.google.com/spreadsheets/d/1MeEWN-I1oV_STSDYn1IFDPWt_1FKiwhDph83XaGc0o0/edit?usp=sharing"",""งบพรบ!CV28"")"),24440)</f>
        <v>24440</v>
      </c>
      <c r="M28" s="84">
        <f t="shared" ca="1" si="5"/>
        <v>31.947712418300654</v>
      </c>
      <c r="N28" s="84">
        <f t="shared" ca="1" si="6"/>
        <v>39.739837398373986</v>
      </c>
      <c r="O28" s="85">
        <f ca="1">IFERROR(__xludf.DUMMYFUNCTION("IMPORTRANGE(""https://docs.google.com/spreadsheets/d/1MeEWN-I1oV_STSDYn1IFDPWt_1FKiwhDph83XaGc0o0/edit?usp=sharing"",""งบพรบ!CW28"")"),0)</f>
        <v>0</v>
      </c>
      <c r="P28" s="85">
        <f t="shared" ca="1" si="108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IFERROR(__xludf.DUMMYFUNCTION("IMPORTRANGE(""https://docs.google.com/spreadsheets/d/17HrOaa5pBUI1onckFfumXB8xlg35qb2uBAFfF1D-Myo/edit?usp=sharing"",""สุโขทัย!L191"")"),6000)</f>
        <v>6000</v>
      </c>
      <c r="S28" s="86">
        <f ca="1">IFERROR(__xludf.DUMMYFUNCTION("IMPORTRANGE(""https://docs.google.com/spreadsheets/d/17HrOaa5pBUI1onckFfumXB8xlg35qb2uBAFfF1D-Myo/edit?usp=sharing"",""สุโขทัย!N191"")"),1240)</f>
        <v>1240</v>
      </c>
      <c r="T28" s="87">
        <f t="shared" ca="1" si="84"/>
        <v>20.666666666666668</v>
      </c>
      <c r="U28" s="86">
        <f ca="1">IFERROR(__xludf.DUMMYFUNCTION("IMPORTRANGE(""https://docs.google.com/spreadsheets/d/17HrOaa5pBUI1onckFfumXB8xlg35qb2uBAFfF1D-Myo/edit?usp=sharing"",""สุโขทัย!I193"")"),4)</f>
        <v>4</v>
      </c>
      <c r="V28" s="86">
        <f ca="1">IFERROR(__xludf.DUMMYFUNCTION("IMPORTRANGE(""https://docs.google.com/spreadsheets/d/17HrOaa5pBUI1onckFfumXB8xlg35qb2uBAFfF1D-Myo/edit?usp=sharing"",""สุโขทัย!J193"")"),2)</f>
        <v>2</v>
      </c>
      <c r="W28" s="87">
        <f t="shared" ca="1" si="85"/>
        <v>50</v>
      </c>
      <c r="X28" s="86">
        <f t="shared" ca="1" si="134"/>
        <v>70</v>
      </c>
      <c r="Y28" s="86">
        <f ca="1">IFERROR(__xludf.DUMMYFUNCTION("IMPORTRANGE(""https://docs.google.com/spreadsheets/d/17HrOaa5pBUI1onckFfumXB8xlg35qb2uBAFfF1D-Myo/edit?usp=sharing"",""สุโขทัย!J195"")"),70)</f>
        <v>70</v>
      </c>
      <c r="Z28" s="86">
        <f ca="1">IFERROR(__xludf.DUMMYFUNCTION("IMPORTRANGE(""https://docs.google.com/spreadsheets/d/17HrOaa5pBUI1onckFfumXB8xlg35qb2uBAFfF1D-Myo/edit?usp=sharing"",""สุโขทัย!J196"")"),0)</f>
        <v>0</v>
      </c>
      <c r="AA28" s="86">
        <f ca="1">IFERROR(__xludf.DUMMYFUNCTION("IMPORTRANGE(""https://docs.google.com/spreadsheets/d/17HrOaa5pBUI1onckFfumXB8xlg35qb2uBAFfF1D-Myo/edit?usp=sharing"",""สุโขทัย!L199"")"),4000)</f>
        <v>4000</v>
      </c>
      <c r="AB28" s="86">
        <f ca="1">IFERROR(__xludf.DUMMYFUNCTION("IMPORTRANGE(""https://docs.google.com/spreadsheets/d/17HrOaa5pBUI1onckFfumXB8xlg35qb2uBAFfF1D-Myo/edit?usp=sharing"",""สุโขทัย!N199"")"),0)</f>
        <v>0</v>
      </c>
      <c r="AC28" s="87">
        <f t="shared" ca="1" si="86"/>
        <v>0</v>
      </c>
      <c r="AD28" s="86">
        <f ca="1">IFERROR(__xludf.DUMMYFUNCTION("IMPORTRANGE(""https://docs.google.com/spreadsheets/d/17HrOaa5pBUI1onckFfumXB8xlg35qb2uBAFfF1D-Myo/edit?usp=sharing"",""สุโขทัย!L200"")"),32000)</f>
        <v>32000</v>
      </c>
      <c r="AE28" s="86">
        <f ca="1">IFERROR(__xludf.DUMMYFUNCTION("IMPORTRANGE(""https://docs.google.com/spreadsheets/d/17HrOaa5pBUI1onckFfumXB8xlg35qb2uBAFfF1D-Myo/edit?usp=sharing"",""สุโขทัย!N200"")"),0)</f>
        <v>0</v>
      </c>
      <c r="AF28" s="87">
        <f t="shared" ca="1" si="87"/>
        <v>0</v>
      </c>
      <c r="AG28" s="86">
        <f ca="1">IFERROR(__xludf.DUMMYFUNCTION("IMPORTRANGE(""https://docs.google.com/spreadsheets/d/17HrOaa5pBUI1onckFfumXB8xlg35qb2uBAFfF1D-Myo/edit?usp=sharing"",""สุโขทัย!L201"")"),16000)</f>
        <v>16000</v>
      </c>
      <c r="AH28" s="86">
        <f ca="1">IFERROR(__xludf.DUMMYFUNCTION("IMPORTRANGE(""https://docs.google.com/spreadsheets/d/17HrOaa5pBUI1onckFfumXB8xlg35qb2uBAFfF1D-Myo/edit?usp=sharing"",""สุโขทัย!N201"")"),0)</f>
        <v>0</v>
      </c>
      <c r="AI28" s="87">
        <f t="shared" ca="1" si="88"/>
        <v>0</v>
      </c>
      <c r="AJ28" s="86">
        <f ca="1">IFERROR(__xludf.DUMMYFUNCTION("IMPORTRANGE(""https://docs.google.com/spreadsheets/d/17HrOaa5pBUI1onckFfumXB8xlg35qb2uBAFfF1D-Myo/edit?usp=sharing"",""สุโขทัย!L202"")"),0)</f>
        <v>0</v>
      </c>
      <c r="AK28" s="86">
        <f ca="1">IFERROR(__xludf.DUMMYFUNCTION("IMPORTRANGE(""https://docs.google.com/spreadsheets/d/17HrOaa5pBUI1onckFfumXB8xlg35qb2uBAFfF1D-Myo/edit?usp=sharing"",""สุโขทัย!N202"")"),0)</f>
        <v>0</v>
      </c>
      <c r="AL28" s="87">
        <f t="shared" ca="1" si="89"/>
        <v>0</v>
      </c>
      <c r="AM28" s="86">
        <f ca="1">IFERROR(__xludf.DUMMYFUNCTION("IMPORTRANGE(""https://docs.google.com/spreadsheets/d/17HrOaa5pBUI1onckFfumXB8xlg35qb2uBAFfF1D-Myo/edit?usp=sharing"",""สุโขทัย!I204"")"),4)</f>
        <v>4</v>
      </c>
      <c r="AN28" s="86">
        <f ca="1">IFERROR(__xludf.DUMMYFUNCTION("IMPORTRANGE(""https://docs.google.com/spreadsheets/d/17HrOaa5pBUI1onckFfumXB8xlg35qb2uBAFfF1D-Myo/edit?usp=sharing"",""สุโขทัย!J204"")"),1)</f>
        <v>1</v>
      </c>
      <c r="AO28" s="87">
        <f t="shared" ca="1" si="90"/>
        <v>25</v>
      </c>
      <c r="AP28" s="298">
        <f ca="1">IFERROR(__xludf.DUMMYFUNCTION("IMPORTRANGE(""https://docs.google.com/spreadsheets/d/17HrOaa5pBUI1onckFfumXB8xlg35qb2uBAFfF1D-Myo/edit?usp=sharing"",""สุโขทัย!J206"")"),0)</f>
        <v>0</v>
      </c>
      <c r="AQ28" s="298">
        <f ca="1">IFERROR(__xludf.DUMMYFUNCTION("IMPORTRANGE(""https://docs.google.com/spreadsheets/d/17HrOaa5pBUI1onckFfumXB8xlg35qb2uBAFfF1D-Myo/edit?usp=sharing"",""สุโขทัย!J207"")"),0)</f>
        <v>0</v>
      </c>
      <c r="AR28" s="86">
        <f ca="1">IFERROR(__xludf.DUMMYFUNCTION("IMPORTRANGE(""https://docs.google.com/spreadsheets/d/17HrOaa5pBUI1onckFfumXB8xlg35qb2uBAFfF1D-Myo/edit?usp=sharing"",""สุโขทัย!L210"")"),0)</f>
        <v>0</v>
      </c>
      <c r="AS28" s="86">
        <f ca="1">IFERROR(__xludf.DUMMYFUNCTION("IMPORTRANGE(""https://docs.google.com/spreadsheets/d/17HrOaa5pBUI1onckFfumXB8xlg35qb2uBAFfF1D-Myo/edit?usp=sharing"",""สุโขทัย!N210"")"),0)</f>
        <v>0</v>
      </c>
      <c r="AT28" s="87">
        <f t="shared" ca="1" si="91"/>
        <v>0</v>
      </c>
      <c r="AU28" s="86">
        <f ca="1">IFERROR(__xludf.DUMMYFUNCTION("IMPORTRANGE(""https://docs.google.com/spreadsheets/d/17HrOaa5pBUI1onckFfumXB8xlg35qb2uBAFfF1D-Myo/edit?usp=sharing"",""สุโขทัย!L211"")"),0)</f>
        <v>0</v>
      </c>
      <c r="AV28" s="86">
        <f ca="1">IFERROR(__xludf.DUMMYFUNCTION("IMPORTRANGE(""https://docs.google.com/spreadsheets/d/17HrOaa5pBUI1onckFfumXB8xlg35qb2uBAFfF1D-Myo/edit?usp=sharing"",""สุโขทัย!N211"")"),0)</f>
        <v>0</v>
      </c>
      <c r="AW28" s="87">
        <f t="shared" ca="1" si="92"/>
        <v>0</v>
      </c>
      <c r="AX28" s="86">
        <f ca="1">IFERROR(__xludf.DUMMYFUNCTION("IMPORTRANGE(""https://docs.google.com/spreadsheets/d/17HrOaa5pBUI1onckFfumXB8xlg35qb2uBAFfF1D-Myo/edit?usp=sharing"",""สุโขทัย!L212"")"),0)</f>
        <v>0</v>
      </c>
      <c r="AY28" s="86">
        <f ca="1">IFERROR(__xludf.DUMMYFUNCTION("IMPORTRANGE(""https://docs.google.com/spreadsheets/d/17HrOaa5pBUI1onckFfumXB8xlg35qb2uBAFfF1D-Myo/edit?usp=sharing"",""สุโขทัย!N212"")"),0)</f>
        <v>0</v>
      </c>
      <c r="AZ28" s="87">
        <f t="shared" ca="1" si="93"/>
        <v>0</v>
      </c>
      <c r="BA28" s="86">
        <f ca="1">IFERROR(__xludf.DUMMYFUNCTION("IMPORTRANGE(""https://docs.google.com/spreadsheets/d/17HrOaa5pBUI1onckFfumXB8xlg35qb2uBAFfF1D-Myo/edit?usp=sharing"",""สุโขทัย!I214"")"),0)</f>
        <v>0</v>
      </c>
      <c r="BB28" s="86">
        <f ca="1">IFERROR(__xludf.DUMMYFUNCTION("IMPORTRANGE(""https://docs.google.com/spreadsheets/d/17HrOaa5pBUI1onckFfumXB8xlg35qb2uBAFfF1D-Myo/edit?usp=sharing"",""สุโขทัย!J214"")"),0)</f>
        <v>0</v>
      </c>
      <c r="BC28" s="87">
        <f t="shared" ca="1" si="94"/>
        <v>0</v>
      </c>
      <c r="BD28" s="86">
        <f ca="1">IFERROR(__xludf.DUMMYFUNCTION("IMPORTRANGE(""https://docs.google.com/spreadsheets/d/17HrOaa5pBUI1onckFfumXB8xlg35qb2uBAFfF1D-Myo/edit?usp=sharing"",""สุโขทัย!I215"")"),0)</f>
        <v>0</v>
      </c>
      <c r="BE28" s="86">
        <f ca="1">IFERROR(__xludf.DUMMYFUNCTION("IMPORTRANGE(""https://docs.google.com/spreadsheets/d/17HrOaa5pBUI1onckFfumXB8xlg35qb2uBAFfF1D-Myo/edit?usp=sharing"",""สุโขทัย!J215"")"),0)</f>
        <v>0</v>
      </c>
      <c r="BF28" s="87">
        <f t="shared" ca="1" si="95"/>
        <v>0</v>
      </c>
      <c r="BG28" s="86">
        <f ca="1">IFERROR(__xludf.DUMMYFUNCTION("IMPORTRANGE(""https://docs.google.com/spreadsheets/d/17HrOaa5pBUI1onckFfumXB8xlg35qb2uBAFfF1D-Myo/edit?usp=sharing"",""สุโขทัย!L218"")"),5000)</f>
        <v>5000</v>
      </c>
      <c r="BH28" s="86">
        <f ca="1">IFERROR(__xludf.DUMMYFUNCTION("IMPORTRANGE(""https://docs.google.com/spreadsheets/d/17HrOaa5pBUI1onckFfumXB8xlg35qb2uBAFfF1D-Myo/edit?usp=sharing"",""สุโขทัย!N218"")"),0)</f>
        <v>0</v>
      </c>
      <c r="BI28" s="87">
        <f t="shared" ca="1" si="96"/>
        <v>0</v>
      </c>
      <c r="BJ28" s="86">
        <f ca="1">IFERROR(__xludf.DUMMYFUNCTION("IMPORTRANGE(""https://docs.google.com/spreadsheets/d/17HrOaa5pBUI1onckFfumXB8xlg35qb2uBAFfF1D-Myo/edit?usp=sharing"",""สุโขทัย!L219"")"),13500)</f>
        <v>13500</v>
      </c>
      <c r="BK28" s="86">
        <f ca="1">IFERROR(__xludf.DUMMYFUNCTION("IMPORTRANGE(""https://docs.google.com/spreadsheets/d/17HrOaa5pBUI1onckFfumXB8xlg35qb2uBAFfF1D-Myo/edit?usp=sharing"",""สุโขทัย!N219"")"),0)</f>
        <v>0</v>
      </c>
      <c r="BL28" s="87">
        <f t="shared" ca="1" si="97"/>
        <v>0</v>
      </c>
      <c r="BM28" s="86">
        <f ca="1">IFERROR(__xludf.DUMMYFUNCTION("IMPORTRANGE(""https://docs.google.com/spreadsheets/d/17HrOaa5pBUI1onckFfumXB8xlg35qb2uBAFfF1D-Myo/edit?usp=sharing"",""สุโขทัย!L220"")"),0)</f>
        <v>0</v>
      </c>
      <c r="BN28" s="86">
        <f ca="1">IFERROR(__xludf.DUMMYFUNCTION("IMPORTRANGE(""https://docs.google.com/spreadsheets/d/17HrOaa5pBUI1onckFfumXB8xlg35qb2uBAFfF1D-Myo/edit?usp=sharing"",""สุโขทัย!N220"")"),0)</f>
        <v>0</v>
      </c>
      <c r="BO28" s="87">
        <f t="shared" ca="1" si="98"/>
        <v>0</v>
      </c>
      <c r="BP28" s="86">
        <f ca="1">IFERROR(__xludf.DUMMYFUNCTION("IMPORTRANGE(""https://docs.google.com/spreadsheets/d/17HrOaa5pBUI1onckFfumXB8xlg35qb2uBAFfF1D-Myo/edit?usp=sharing"",""สุโขทัย!I223"")"),50000)</f>
        <v>50000</v>
      </c>
      <c r="BQ28" s="86">
        <f ca="1">IFERROR(__xludf.DUMMYFUNCTION("IMPORTRANGE(""https://docs.google.com/spreadsheets/d/17HrOaa5pBUI1onckFfumXB8xlg35qb2uBAFfF1D-Myo/edit?usp=sharing"",""สุโขทัย!J223"")"),0)</f>
        <v>0</v>
      </c>
      <c r="BR28" s="87">
        <f t="shared" ca="1" si="99"/>
        <v>0</v>
      </c>
      <c r="BS28" s="86">
        <f ca="1">IFERROR(__xludf.DUMMYFUNCTION("IMPORTRANGE(""https://docs.google.com/spreadsheets/d/17HrOaa5pBUI1onckFfumXB8xlg35qb2uBAFfF1D-Myo/edit?usp=sharing"",""สุโขทัย!I224"")"),50000)</f>
        <v>50000</v>
      </c>
      <c r="BT28" s="86">
        <f ca="1">IFERROR(__xludf.DUMMYFUNCTION("IMPORTRANGE(""https://docs.google.com/spreadsheets/d/17HrOaa5pBUI1onckFfumXB8xlg35qb2uBAFfF1D-Myo/edit?usp=sharing"",""สุโขทัย!J224"")"),0)</f>
        <v>0</v>
      </c>
      <c r="BU28" s="87">
        <f t="shared" ca="1" si="100"/>
        <v>0</v>
      </c>
      <c r="BV28" s="86">
        <f ca="1">IFERROR(__xludf.DUMMYFUNCTION("IMPORTRANGE(""https://docs.google.com/spreadsheets/d/17HrOaa5pBUI1onckFfumXB8xlg35qb2uBAFfF1D-Myo/edit?usp=sharing"",""สุโขทัย!I225"")"),0)</f>
        <v>0</v>
      </c>
      <c r="BW28" s="86">
        <f ca="1">IFERROR(__xludf.DUMMYFUNCTION("IMPORTRANGE(""https://docs.google.com/spreadsheets/d/17HrOaa5pBUI1onckFfumXB8xlg35qb2uBAFfF1D-Myo/edit?usp=sharing"",""สุโขทัย!J225"")"),0)</f>
        <v>0</v>
      </c>
      <c r="BX28" s="87">
        <f t="shared" ca="1" si="101"/>
        <v>0</v>
      </c>
      <c r="BY28" s="86">
        <f ca="1">IFERROR(__xludf.DUMMYFUNCTION("IMPORTRANGE(""https://docs.google.com/spreadsheets/d/17HrOaa5pBUI1onckFfumXB8xlg35qb2uBAFfF1D-Myo/edit?usp=sharing"",""สุโขทัย!L228"")"),0)</f>
        <v>0</v>
      </c>
      <c r="BZ28" s="86">
        <f ca="1">IFERROR(__xludf.DUMMYFUNCTION("IMPORTRANGE(""https://docs.google.com/spreadsheets/d/17HrOaa5pBUI1onckFfumXB8xlg35qb2uBAFfF1D-Myo/edit?usp=sharing"",""สุโขทัย!N228"")"),0)</f>
        <v>0</v>
      </c>
      <c r="CA28" s="87">
        <f t="shared" ca="1" si="102"/>
        <v>0</v>
      </c>
      <c r="CB28" s="86">
        <f ca="1">IFERROR(__xludf.DUMMYFUNCTION("IMPORTRANGE(""https://docs.google.com/spreadsheets/d/17HrOaa5pBUI1onckFfumXB8xlg35qb2uBAFfF1D-Myo/edit?usp=sharing"",""สุโขทัย!L229"")"),0)</f>
        <v>0</v>
      </c>
      <c r="CC28" s="86">
        <f ca="1">IFERROR(__xludf.DUMMYFUNCTION("IMPORTRANGE(""https://docs.google.com/spreadsheets/d/17HrOaa5pBUI1onckFfumXB8xlg35qb2uBAFfF1D-Myo/edit?usp=sharing"",""สุโขทัย!N229"")"),0)</f>
        <v>0</v>
      </c>
      <c r="CD28" s="87">
        <f t="shared" ca="1" si="103"/>
        <v>0</v>
      </c>
      <c r="CE28" s="86">
        <f ca="1">IFERROR(__xludf.DUMMYFUNCTION("IMPORTRANGE(""https://docs.google.com/spreadsheets/d/17HrOaa5pBUI1onckFfumXB8xlg35qb2uBAFfF1D-Myo/edit?usp=sharing"",""สุโขทัย!L230"")"),0)</f>
        <v>0</v>
      </c>
      <c r="CF28" s="86">
        <f ca="1">IFERROR(__xludf.DUMMYFUNCTION("IMPORTRANGE(""https://docs.google.com/spreadsheets/d/17HrOaa5pBUI1onckFfumXB8xlg35qb2uBAFfF1D-Myo/edit?usp=sharing"",""สุโขทัย!N230"")"),0)</f>
        <v>0</v>
      </c>
      <c r="CG28" s="87">
        <f t="shared" ca="1" si="104"/>
        <v>0</v>
      </c>
      <c r="CH28" s="86">
        <f ca="1">IFERROR(__xludf.DUMMYFUNCTION("IMPORTRANGE(""https://docs.google.com/spreadsheets/d/17HrOaa5pBUI1onckFfumXB8xlg35qb2uBAFfF1D-Myo/edit?usp=sharing"",""สุโขทัย!L231"")"),0)</f>
        <v>0</v>
      </c>
      <c r="CI28" s="86">
        <f ca="1">IFERROR(__xludf.DUMMYFUNCTION("IMPORTRANGE(""https://docs.google.com/spreadsheets/d/17HrOaa5pBUI1onckFfumXB8xlg35qb2uBAFfF1D-Myo/edit?usp=sharing"",""สุโขทัย!N231"")"),0)</f>
        <v>0</v>
      </c>
      <c r="CJ28" s="87">
        <f t="shared" ca="1" si="105"/>
        <v>0</v>
      </c>
      <c r="CK28" s="86">
        <f ca="1">IFERROR(__xludf.DUMMYFUNCTION("IMPORTRANGE(""https://docs.google.com/spreadsheets/d/17HrOaa5pBUI1onckFfumXB8xlg35qb2uBAFfF1D-Myo/edit?usp=sharing"",""สุโขทัย!I233"")"),0)</f>
        <v>0</v>
      </c>
      <c r="CL28" s="86">
        <f ca="1">IFERROR(__xludf.DUMMYFUNCTION("IMPORTRANGE(""https://docs.google.com/spreadsheets/d/17HrOaa5pBUI1onckFfumXB8xlg35qb2uBAFfF1D-Myo/edit?usp=sharing"",""สุโขทัย!J233"")"),0)</f>
        <v>0</v>
      </c>
      <c r="CM28" s="87">
        <f t="shared" ca="1" si="106"/>
        <v>0</v>
      </c>
      <c r="CN28" s="86">
        <f ca="1">IFERROR(__xludf.DUMMYFUNCTION("IMPORTRANGE(""https://docs.google.com/spreadsheets/d/17HrOaa5pBUI1onckFfumXB8xlg35qb2uBAFfF1D-Myo/edit?usp=sharing"",""สุโขทัย!J235"")"),0)</f>
        <v>0</v>
      </c>
      <c r="CO28" s="86">
        <f ca="1">IFERROR(__xludf.DUMMYFUNCTION("IMPORTRANGE(""https://docs.google.com/spreadsheets/d/17HrOaa5pBUI1onckFfumXB8xlg35qb2uBAFfF1D-Myo/edit?usp=sharing"",""สุโขทัย!J236"")"),0)</f>
        <v>0</v>
      </c>
    </row>
    <row r="29" spans="1:93" ht="24" customHeight="1" x14ac:dyDescent="0.3">
      <c r="A29" s="78">
        <v>16</v>
      </c>
      <c r="B29" s="79" t="s">
        <v>51</v>
      </c>
      <c r="C29" s="80">
        <f t="shared" ca="1" si="0"/>
        <v>72500</v>
      </c>
      <c r="D29" s="81">
        <f t="shared" ca="1" si="133"/>
        <v>72500</v>
      </c>
      <c r="E29" s="82">
        <f ca="1">IFERROR(__xludf.DUMMYFUNCTION("IMPORTRANGE(""https://docs.google.com/spreadsheets/d/1MeEWN-I1oV_STSDYn1IFDPWt_1FKiwhDph83XaGc0o0/edit?usp=sharing"",""งบพรบ!CP29"")"),0)</f>
        <v>0</v>
      </c>
      <c r="F29" s="82">
        <f ca="1">IFERROR(__xludf.DUMMYFUNCTION("IMPORTRANGE(""https://docs.google.com/spreadsheets/d/1MeEWN-I1oV_STSDYn1IFDPWt_1FKiwhDph83XaGc0o0/edit?usp=sharing"",""งบพรบ!CQ29"")"),72500)</f>
        <v>72500</v>
      </c>
      <c r="G29" s="82">
        <f ca="1">IFERROR(__xludf.DUMMYFUNCTION("IMPORTRANGE(""https://docs.google.com/spreadsheets/d/1MeEWN-I1oV_STSDYn1IFDPWt_1FKiwhDph83XaGc0o0/edit?usp=sharing"",""งบพรบ!CR29"")"),0)</f>
        <v>0</v>
      </c>
      <c r="H29" s="82">
        <f ca="1">IFERROR(__xludf.DUMMYFUNCTION("IMPORTRANGE(""https://docs.google.com/spreadsheets/d/1MeEWN-I1oV_STSDYn1IFDPWt_1FKiwhDph83XaGc0o0/edit?usp=sharing"",""งบพรบ!CT29"")"),62500)</f>
        <v>62500</v>
      </c>
      <c r="I29" s="82">
        <f ca="1">IFERROR(__xludf.DUMMYFUNCTION("IMPORTRANGE(""https://docs.google.com/spreadsheets/d/1MeEWN-I1oV_STSDYn1IFDPWt_1FKiwhDph83XaGc0o0/edit?usp=sharing"",""งบพรบ!CU29"")"),0)</f>
        <v>0</v>
      </c>
      <c r="J29" s="82">
        <f t="shared" ca="1" si="3"/>
        <v>16425</v>
      </c>
      <c r="K29" s="83">
        <f t="shared" ca="1" si="4"/>
        <v>22.655172413793103</v>
      </c>
      <c r="L29" s="82">
        <f ca="1">IFERROR(__xludf.DUMMYFUNCTION("IMPORTRANGE(""https://docs.google.com/spreadsheets/d/1MeEWN-I1oV_STSDYn1IFDPWt_1FKiwhDph83XaGc0o0/edit?usp=sharing"",""งบพรบ!CV29"")"),16425)</f>
        <v>16425</v>
      </c>
      <c r="M29" s="84">
        <f t="shared" ca="1" si="5"/>
        <v>22.655172413793103</v>
      </c>
      <c r="N29" s="84">
        <f t="shared" ca="1" si="6"/>
        <v>26.28</v>
      </c>
      <c r="O29" s="85">
        <f ca="1">IFERROR(__xludf.DUMMYFUNCTION("IMPORTRANGE(""https://docs.google.com/spreadsheets/d/1MeEWN-I1oV_STSDYn1IFDPWt_1FKiwhDph83XaGc0o0/edit?usp=sharing"",""งบพรบ!CW29"")"),0)</f>
        <v>0</v>
      </c>
      <c r="P29" s="85">
        <f t="shared" ca="1" si="108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IFERROR(__xludf.DUMMYFUNCTION("IMPORTRANGE(""https://docs.google.com/spreadsheets/d/1ubs5cl16eYL9gHbdHTJtmtYb9MGzHBs7CAphn8kNCgM/edit?usp=sharing"",""อุตรดิตถ์!L191"")"),6000)</f>
        <v>6000</v>
      </c>
      <c r="S29" s="86">
        <f ca="1">IFERROR(__xludf.DUMMYFUNCTION("IMPORTRANGE(""https://docs.google.com/spreadsheets/d/1ubs5cl16eYL9gHbdHTJtmtYb9MGzHBs7CAphn8kNCgM/edit?usp=sharing"",""อุตรดิตถ์!N191"")"),0)</f>
        <v>0</v>
      </c>
      <c r="T29" s="87">
        <f t="shared" ca="1" si="84"/>
        <v>0</v>
      </c>
      <c r="U29" s="86">
        <f ca="1">IFERROR(__xludf.DUMMYFUNCTION("IMPORTRANGE(""https://docs.google.com/spreadsheets/d/1ubs5cl16eYL9gHbdHTJtmtYb9MGzHBs7CAphn8kNCgM/edit?usp=sharing"",""อุตรดิตถ์!I193"")"),4)</f>
        <v>4</v>
      </c>
      <c r="V29" s="86">
        <f ca="1">IFERROR(__xludf.DUMMYFUNCTION("IMPORTRANGE(""https://docs.google.com/spreadsheets/d/1ubs5cl16eYL9gHbdHTJtmtYb9MGzHBs7CAphn8kNCgM/edit?usp=sharing"",""อุตรดิตถ์!J193"")"),2)</f>
        <v>2</v>
      </c>
      <c r="W29" s="87">
        <f t="shared" ca="1" si="85"/>
        <v>50</v>
      </c>
      <c r="X29" s="86">
        <f t="shared" ca="1" si="134"/>
        <v>46</v>
      </c>
      <c r="Y29" s="86">
        <f ca="1">IFERROR(__xludf.DUMMYFUNCTION("IMPORTRANGE(""https://docs.google.com/spreadsheets/d/1ubs5cl16eYL9gHbdHTJtmtYb9MGzHBs7CAphn8kNCgM/edit?usp=sharing"",""อุตรดิตถ์!J195"")"),46)</f>
        <v>46</v>
      </c>
      <c r="Z29" s="86">
        <f ca="1">IFERROR(__xludf.DUMMYFUNCTION("IMPORTRANGE(""https://docs.google.com/spreadsheets/d/1ubs5cl16eYL9gHbdHTJtmtYb9MGzHBs7CAphn8kNCgM/edit?usp=sharing"",""อุตรดิตถ์!J196"")"),0)</f>
        <v>0</v>
      </c>
      <c r="AA29" s="86">
        <f ca="1">IFERROR(__xludf.DUMMYFUNCTION("IMPORTRANGE(""https://docs.google.com/spreadsheets/d/1ubs5cl16eYL9gHbdHTJtmtYb9MGzHBs7CAphn8kNCgM/edit?usp=sharing"",""อุตรดิตถ์!L199"")"),3000)</f>
        <v>3000</v>
      </c>
      <c r="AB29" s="86">
        <f ca="1">IFERROR(__xludf.DUMMYFUNCTION("IMPORTRANGE(""https://docs.google.com/spreadsheets/d/1ubs5cl16eYL9gHbdHTJtmtYb9MGzHBs7CAphn8kNCgM/edit?usp=sharing"",""อุตรดิตถ์!N199"")"),0)</f>
        <v>0</v>
      </c>
      <c r="AC29" s="87">
        <f t="shared" ca="1" si="86"/>
        <v>0</v>
      </c>
      <c r="AD29" s="86">
        <f ca="1">IFERROR(__xludf.DUMMYFUNCTION("IMPORTRANGE(""https://docs.google.com/spreadsheets/d/1ubs5cl16eYL9gHbdHTJtmtYb9MGzHBs7CAphn8kNCgM/edit?usp=sharing"",""อุตรดิตถ์!L200"")"),24000)</f>
        <v>24000</v>
      </c>
      <c r="AE29" s="86">
        <f ca="1">IFERROR(__xludf.DUMMYFUNCTION("IMPORTRANGE(""https://docs.google.com/spreadsheets/d/1ubs5cl16eYL9gHbdHTJtmtYb9MGzHBs7CAphn8kNCgM/edit?usp=sharing"",""อุตรดิตถ์!N200"")"),3385)</f>
        <v>3385</v>
      </c>
      <c r="AF29" s="87">
        <f t="shared" ca="1" si="87"/>
        <v>14.104166666666666</v>
      </c>
      <c r="AG29" s="86">
        <f ca="1">IFERROR(__xludf.DUMMYFUNCTION("IMPORTRANGE(""https://docs.google.com/spreadsheets/d/1ubs5cl16eYL9gHbdHTJtmtYb9MGzHBs7CAphn8kNCgM/edit?usp=sharing"",""อุตรดิตถ์!L201"")"),12000)</f>
        <v>12000</v>
      </c>
      <c r="AH29" s="86">
        <f ca="1">IFERROR(__xludf.DUMMYFUNCTION("IMPORTRANGE(""https://docs.google.com/spreadsheets/d/1ubs5cl16eYL9gHbdHTJtmtYb9MGzHBs7CAphn8kNCgM/edit?usp=sharing"",""อุตรดิตถ์!N201"")"),0)</f>
        <v>0</v>
      </c>
      <c r="AI29" s="87">
        <f t="shared" ca="1" si="88"/>
        <v>0</v>
      </c>
      <c r="AJ29" s="86">
        <f ca="1">IFERROR(__xludf.DUMMYFUNCTION("IMPORTRANGE(""https://docs.google.com/spreadsheets/d/1ubs5cl16eYL9gHbdHTJtmtYb9MGzHBs7CAphn8kNCgM/edit?usp=sharing"",""อุตรดิตถ์!L202"")"),0)</f>
        <v>0</v>
      </c>
      <c r="AK29" s="86">
        <f ca="1">IFERROR(__xludf.DUMMYFUNCTION("IMPORTRANGE(""https://docs.google.com/spreadsheets/d/1ubs5cl16eYL9gHbdHTJtmtYb9MGzHBs7CAphn8kNCgM/edit?usp=sharing"",""อุตรดิตถ์!N202"")"),0)</f>
        <v>0</v>
      </c>
      <c r="AL29" s="87">
        <f t="shared" ca="1" si="89"/>
        <v>0</v>
      </c>
      <c r="AM29" s="86">
        <f ca="1">IFERROR(__xludf.DUMMYFUNCTION("IMPORTRANGE(""https://docs.google.com/spreadsheets/d/1ubs5cl16eYL9gHbdHTJtmtYb9MGzHBs7CAphn8kNCgM/edit?usp=sharing"",""อุตรดิตถ์!I204"")"),3)</f>
        <v>3</v>
      </c>
      <c r="AN29" s="86">
        <f ca="1">IFERROR(__xludf.DUMMYFUNCTION("IMPORTRANGE(""https://docs.google.com/spreadsheets/d/1ubs5cl16eYL9gHbdHTJtmtYb9MGzHBs7CAphn8kNCgM/edit?usp=sharing"",""อุตรดิตถ์!J204"")"),0)</f>
        <v>0</v>
      </c>
      <c r="AO29" s="87">
        <f t="shared" ca="1" si="90"/>
        <v>0</v>
      </c>
      <c r="AP29" s="298">
        <f ca="1">IFERROR(__xludf.DUMMYFUNCTION("IMPORTRANGE(""https://docs.google.com/spreadsheets/d/1ubs5cl16eYL9gHbdHTJtmtYb9MGzHBs7CAphn8kNCgM/edit?usp=sharing"",""อุตรดิตถ์!J206"")"),0)</f>
        <v>0</v>
      </c>
      <c r="AQ29" s="298">
        <f ca="1">IFERROR(__xludf.DUMMYFUNCTION("IMPORTRANGE(""https://docs.google.com/spreadsheets/d/1ubs5cl16eYL9gHbdHTJtmtYb9MGzHBs7CAphn8kNCgM/edit?usp=sharing"",""อุตรดิตถ์!J207"")"),0)</f>
        <v>0</v>
      </c>
      <c r="AR29" s="86">
        <f ca="1">IFERROR(__xludf.DUMMYFUNCTION("IMPORTRANGE(""https://docs.google.com/spreadsheets/d/1ubs5cl16eYL9gHbdHTJtmtYb9MGzHBs7CAphn8kNCgM/edit?usp=sharing"",""อุตรดิตถ์!L210"")"),1000)</f>
        <v>1000</v>
      </c>
      <c r="AS29" s="86">
        <f ca="1">IFERROR(__xludf.DUMMYFUNCTION("IMPORTRANGE(""https://docs.google.com/spreadsheets/d/1ubs5cl16eYL9gHbdHTJtmtYb9MGzHBs7CAphn8kNCgM/edit?usp=sharing"",""อุตรดิตถ์!N210"")"),390)</f>
        <v>390</v>
      </c>
      <c r="AT29" s="87">
        <f t="shared" ca="1" si="91"/>
        <v>39</v>
      </c>
      <c r="AU29" s="86">
        <f ca="1">IFERROR(__xludf.DUMMYFUNCTION("IMPORTRANGE(""https://docs.google.com/spreadsheets/d/1ubs5cl16eYL9gHbdHTJtmtYb9MGzHBs7CAphn8kNCgM/edit?usp=sharing"",""อุตรดิตถ์!L211"")"),5000)</f>
        <v>5000</v>
      </c>
      <c r="AV29" s="86">
        <f ca="1">IFERROR(__xludf.DUMMYFUNCTION("IMPORTRANGE(""https://docs.google.com/spreadsheets/d/1ubs5cl16eYL9gHbdHTJtmtYb9MGzHBs7CAphn8kNCgM/edit?usp=sharing"",""อุตรดิตถ์!N211"")"),4650)</f>
        <v>4650</v>
      </c>
      <c r="AW29" s="87">
        <f t="shared" ca="1" si="92"/>
        <v>93</v>
      </c>
      <c r="AX29" s="86">
        <f ca="1">IFERROR(__xludf.DUMMYFUNCTION("IMPORTRANGE(""https://docs.google.com/spreadsheets/d/1ubs5cl16eYL9gHbdHTJtmtYb9MGzHBs7CAphn8kNCgM/edit?usp=sharing"",""อุตรดิตถ์!L212"")"),8000)</f>
        <v>8000</v>
      </c>
      <c r="AY29" s="86">
        <f ca="1">IFERROR(__xludf.DUMMYFUNCTION("IMPORTRANGE(""https://docs.google.com/spreadsheets/d/1ubs5cl16eYL9gHbdHTJtmtYb9MGzHBs7CAphn8kNCgM/edit?usp=sharing"",""อุตรดิตถ์!N212"")"),8000)</f>
        <v>8000</v>
      </c>
      <c r="AZ29" s="87">
        <f t="shared" ca="1" si="93"/>
        <v>100</v>
      </c>
      <c r="BA29" s="86">
        <f ca="1">IFERROR(__xludf.DUMMYFUNCTION("IMPORTRANGE(""https://docs.google.com/spreadsheets/d/1ubs5cl16eYL9gHbdHTJtmtYb9MGzHBs7CAphn8kNCgM/edit?usp=sharing"",""อุตรดิตถ์!I214"")"),1)</f>
        <v>1</v>
      </c>
      <c r="BB29" s="86">
        <f ca="1">IFERROR(__xludf.DUMMYFUNCTION("IMPORTRANGE(""https://docs.google.com/spreadsheets/d/1ubs5cl16eYL9gHbdHTJtmtYb9MGzHBs7CAphn8kNCgM/edit?usp=sharing"",""อุตรดิตถ์!J214"")"),1)</f>
        <v>1</v>
      </c>
      <c r="BC29" s="87">
        <f t="shared" ca="1" si="94"/>
        <v>100</v>
      </c>
      <c r="BD29" s="86">
        <f ca="1">IFERROR(__xludf.DUMMYFUNCTION("IMPORTRANGE(""https://docs.google.com/spreadsheets/d/1ubs5cl16eYL9gHbdHTJtmtYb9MGzHBs7CAphn8kNCgM/edit?usp=sharing"",""อุตรดิตถ์!I215"")"),1)</f>
        <v>1</v>
      </c>
      <c r="BE29" s="86">
        <f ca="1">IFERROR(__xludf.DUMMYFUNCTION("IMPORTRANGE(""https://docs.google.com/spreadsheets/d/1ubs5cl16eYL9gHbdHTJtmtYb9MGzHBs7CAphn8kNCgM/edit?usp=sharing"",""อุตรดิตถ์!J215"")"),1)</f>
        <v>1</v>
      </c>
      <c r="BF29" s="87">
        <f t="shared" ca="1" si="95"/>
        <v>100</v>
      </c>
      <c r="BG29" s="86">
        <f ca="1">IFERROR(__xludf.DUMMYFUNCTION("IMPORTRANGE(""https://docs.google.com/spreadsheets/d/1ubs5cl16eYL9gHbdHTJtmtYb9MGzHBs7CAphn8kNCgM/edit?usp=sharing"",""อุตรดิตถ์!L218"")"),5000)</f>
        <v>5000</v>
      </c>
      <c r="BH29" s="86">
        <f ca="1">IFERROR(__xludf.DUMMYFUNCTION("IMPORTRANGE(""https://docs.google.com/spreadsheets/d/1ubs5cl16eYL9gHbdHTJtmtYb9MGzHBs7CAphn8kNCgM/edit?usp=sharing"",""อุตรดิตถ์!N218"")"),0)</f>
        <v>0</v>
      </c>
      <c r="BI29" s="87">
        <f t="shared" ca="1" si="96"/>
        <v>0</v>
      </c>
      <c r="BJ29" s="86">
        <f ca="1">IFERROR(__xludf.DUMMYFUNCTION("IMPORTRANGE(""https://docs.google.com/spreadsheets/d/1ubs5cl16eYL9gHbdHTJtmtYb9MGzHBs7CAphn8kNCgM/edit?usp=sharing"",""อุตรดิตถ์!L219"")"),8500)</f>
        <v>8500</v>
      </c>
      <c r="BK29" s="86">
        <f ca="1">IFERROR(__xludf.DUMMYFUNCTION("IMPORTRANGE(""https://docs.google.com/spreadsheets/d/1ubs5cl16eYL9gHbdHTJtmtYb9MGzHBs7CAphn8kNCgM/edit?usp=sharing"",""อุตรดิตถ์!N219"")"),0)</f>
        <v>0</v>
      </c>
      <c r="BL29" s="87">
        <f t="shared" ca="1" si="97"/>
        <v>0</v>
      </c>
      <c r="BM29" s="86">
        <f ca="1">IFERROR(__xludf.DUMMYFUNCTION("IMPORTRANGE(""https://docs.google.com/spreadsheets/d/1ubs5cl16eYL9gHbdHTJtmtYb9MGzHBs7CAphn8kNCgM/edit?usp=sharing"",""อุตรดิตถ์!L220"")"),0)</f>
        <v>0</v>
      </c>
      <c r="BN29" s="86">
        <f ca="1">IFERROR(__xludf.DUMMYFUNCTION("IMPORTRANGE(""https://docs.google.com/spreadsheets/d/1ubs5cl16eYL9gHbdHTJtmtYb9MGzHBs7CAphn8kNCgM/edit?usp=sharing"",""อุตรดิตถ์!N220"")"),0)</f>
        <v>0</v>
      </c>
      <c r="BO29" s="87">
        <f t="shared" ca="1" si="98"/>
        <v>0</v>
      </c>
      <c r="BP29" s="86">
        <f ca="1">IFERROR(__xludf.DUMMYFUNCTION("IMPORTRANGE(""https://docs.google.com/spreadsheets/d/1ubs5cl16eYL9gHbdHTJtmtYb9MGzHBs7CAphn8kNCgM/edit?usp=sharing"",""อุตรดิตถ์!I223"")"),30000)</f>
        <v>30000</v>
      </c>
      <c r="BQ29" s="86">
        <f ca="1">IFERROR(__xludf.DUMMYFUNCTION("IMPORTRANGE(""https://docs.google.com/spreadsheets/d/1ubs5cl16eYL9gHbdHTJtmtYb9MGzHBs7CAphn8kNCgM/edit?usp=sharing"",""อุตรดิตถ์!J223"")"),0)</f>
        <v>0</v>
      </c>
      <c r="BR29" s="87">
        <f t="shared" ca="1" si="99"/>
        <v>0</v>
      </c>
      <c r="BS29" s="86">
        <f ca="1">IFERROR(__xludf.DUMMYFUNCTION("IMPORTRANGE(""https://docs.google.com/spreadsheets/d/1ubs5cl16eYL9gHbdHTJtmtYb9MGzHBs7CAphn8kNCgM/edit?usp=sharing"",""อุตรดิตถ์!I224"")"),30000)</f>
        <v>30000</v>
      </c>
      <c r="BT29" s="86">
        <f ca="1">IFERROR(__xludf.DUMMYFUNCTION("IMPORTRANGE(""https://docs.google.com/spreadsheets/d/1ubs5cl16eYL9gHbdHTJtmtYb9MGzHBs7CAphn8kNCgM/edit?usp=sharing"",""อุตรดิตถ์!J224"")"),0)</f>
        <v>0</v>
      </c>
      <c r="BU29" s="87">
        <f t="shared" ca="1" si="100"/>
        <v>0</v>
      </c>
      <c r="BV29" s="86">
        <f ca="1">IFERROR(__xludf.DUMMYFUNCTION("IMPORTRANGE(""https://docs.google.com/spreadsheets/d/1ubs5cl16eYL9gHbdHTJtmtYb9MGzHBs7CAphn8kNCgM/edit?usp=sharing"",""อุตรดิตถ์!I225"")"),0)</f>
        <v>0</v>
      </c>
      <c r="BW29" s="86">
        <f ca="1">IFERROR(__xludf.DUMMYFUNCTION("IMPORTRANGE(""https://docs.google.com/spreadsheets/d/1ubs5cl16eYL9gHbdHTJtmtYb9MGzHBs7CAphn8kNCgM/edit?usp=sharing"",""อุตรดิตถ์!J225"")"),0)</f>
        <v>0</v>
      </c>
      <c r="BX29" s="87">
        <f t="shared" ca="1" si="101"/>
        <v>0</v>
      </c>
      <c r="BY29" s="86">
        <f ca="1">IFERROR(__xludf.DUMMYFUNCTION("IMPORTRANGE(""https://docs.google.com/spreadsheets/d/1ubs5cl16eYL9gHbdHTJtmtYb9MGzHBs7CAphn8kNCgM/edit?usp=sharing"",""อุตรดิตถ์!L228"")"),0)</f>
        <v>0</v>
      </c>
      <c r="BZ29" s="86">
        <f ca="1">IFERROR(__xludf.DUMMYFUNCTION("IMPORTRANGE(""https://docs.google.com/spreadsheets/d/1ubs5cl16eYL9gHbdHTJtmtYb9MGzHBs7CAphn8kNCgM/edit?usp=sharing"",""อุตรดิตถ์!N228"")"),0)</f>
        <v>0</v>
      </c>
      <c r="CA29" s="87">
        <f t="shared" ca="1" si="102"/>
        <v>0</v>
      </c>
      <c r="CB29" s="86">
        <f ca="1">IFERROR(__xludf.DUMMYFUNCTION("IMPORTRANGE(""https://docs.google.com/spreadsheets/d/1ubs5cl16eYL9gHbdHTJtmtYb9MGzHBs7CAphn8kNCgM/edit?usp=sharing"",""อุตรดิตถ์!L229"")"),0)</f>
        <v>0</v>
      </c>
      <c r="CC29" s="86">
        <f ca="1">IFERROR(__xludf.DUMMYFUNCTION("IMPORTRANGE(""https://docs.google.com/spreadsheets/d/1ubs5cl16eYL9gHbdHTJtmtYb9MGzHBs7CAphn8kNCgM/edit?usp=sharing"",""อุตรดิตถ์!N229"")"),0)</f>
        <v>0</v>
      </c>
      <c r="CD29" s="87">
        <f t="shared" ca="1" si="103"/>
        <v>0</v>
      </c>
      <c r="CE29" s="86">
        <f ca="1">IFERROR(__xludf.DUMMYFUNCTION("IMPORTRANGE(""https://docs.google.com/spreadsheets/d/1ubs5cl16eYL9gHbdHTJtmtYb9MGzHBs7CAphn8kNCgM/edit?usp=sharing"",""อุตรดิตถ์!L230"")"),0)</f>
        <v>0</v>
      </c>
      <c r="CF29" s="86">
        <f ca="1">IFERROR(__xludf.DUMMYFUNCTION("IMPORTRANGE(""https://docs.google.com/spreadsheets/d/1ubs5cl16eYL9gHbdHTJtmtYb9MGzHBs7CAphn8kNCgM/edit?usp=sharing"",""อุตรดิตถ์!N230"")"),0)</f>
        <v>0</v>
      </c>
      <c r="CG29" s="87">
        <f t="shared" ca="1" si="104"/>
        <v>0</v>
      </c>
      <c r="CH29" s="86">
        <f ca="1">IFERROR(__xludf.DUMMYFUNCTION("IMPORTRANGE(""https://docs.google.com/spreadsheets/d/1ubs5cl16eYL9gHbdHTJtmtYb9MGzHBs7CAphn8kNCgM/edit?usp=sharing"",""อุตรดิตถ์!L231"")"),0)</f>
        <v>0</v>
      </c>
      <c r="CI29" s="86">
        <f ca="1">IFERROR(__xludf.DUMMYFUNCTION("IMPORTRANGE(""https://docs.google.com/spreadsheets/d/1ubs5cl16eYL9gHbdHTJtmtYb9MGzHBs7CAphn8kNCgM/edit?usp=sharing"",""อุตรดิตถ์!N231"")"),0)</f>
        <v>0</v>
      </c>
      <c r="CJ29" s="87">
        <f t="shared" ca="1" si="105"/>
        <v>0</v>
      </c>
      <c r="CK29" s="86">
        <f ca="1">IFERROR(__xludf.DUMMYFUNCTION("IMPORTRANGE(""https://docs.google.com/spreadsheets/d/1ubs5cl16eYL9gHbdHTJtmtYb9MGzHBs7CAphn8kNCgM/edit?usp=sharing"",""อุตรดิตถ์!I233"")"),0)</f>
        <v>0</v>
      </c>
      <c r="CL29" s="86">
        <f ca="1">IFERROR(__xludf.DUMMYFUNCTION("IMPORTRANGE(""https://docs.google.com/spreadsheets/d/1ubs5cl16eYL9gHbdHTJtmtYb9MGzHBs7CAphn8kNCgM/edit?usp=sharing"",""อุตรดิตถ์!J233"")"),0)</f>
        <v>0</v>
      </c>
      <c r="CM29" s="87">
        <f t="shared" ca="1" si="106"/>
        <v>0</v>
      </c>
      <c r="CN29" s="86">
        <f ca="1">IFERROR(__xludf.DUMMYFUNCTION("IMPORTRANGE(""https://docs.google.com/spreadsheets/d/1ubs5cl16eYL9gHbdHTJtmtYb9MGzHBs7CAphn8kNCgM/edit?usp=sharing"",""อุตรดิตถ์!J235"")"),0)</f>
        <v>0</v>
      </c>
      <c r="CO29" s="86">
        <f ca="1">IFERROR(__xludf.DUMMYFUNCTION("IMPORTRANGE(""https://docs.google.com/spreadsheets/d/1ubs5cl16eYL9gHbdHTJtmtYb9MGzHBs7CAphn8kNCgM/edit?usp=sharing"",""อุตรดิตถ์!J236"")"),0)</f>
        <v>0</v>
      </c>
    </row>
    <row r="30" spans="1:93" ht="24" customHeight="1" x14ac:dyDescent="0.3">
      <c r="A30" s="89">
        <v>17</v>
      </c>
      <c r="B30" s="90" t="s">
        <v>52</v>
      </c>
      <c r="C30" s="91">
        <f t="shared" ca="1" si="0"/>
        <v>63500</v>
      </c>
      <c r="D30" s="92">
        <f t="shared" ca="1" si="133"/>
        <v>63500</v>
      </c>
      <c r="E30" s="93">
        <f ca="1">IFERROR(__xludf.DUMMYFUNCTION("IMPORTRANGE(""https://docs.google.com/spreadsheets/d/1MeEWN-I1oV_STSDYn1IFDPWt_1FKiwhDph83XaGc0o0/edit?usp=sharing"",""งบพรบ!CP30"")"),0)</f>
        <v>0</v>
      </c>
      <c r="F30" s="93">
        <f ca="1">IFERROR(__xludf.DUMMYFUNCTION("IMPORTRANGE(""https://docs.google.com/spreadsheets/d/1MeEWN-I1oV_STSDYn1IFDPWt_1FKiwhDph83XaGc0o0/edit?usp=sharing"",""งบพรบ!CQ30"")"),63500)</f>
        <v>63500</v>
      </c>
      <c r="G30" s="93">
        <f ca="1">IFERROR(__xludf.DUMMYFUNCTION("IMPORTRANGE(""https://docs.google.com/spreadsheets/d/1MeEWN-I1oV_STSDYn1IFDPWt_1FKiwhDph83XaGc0o0/edit?usp=sharing"",""งบพรบ!CR30"")"),0)</f>
        <v>0</v>
      </c>
      <c r="H30" s="93">
        <f ca="1">IFERROR(__xludf.DUMMYFUNCTION("IMPORTRANGE(""https://docs.google.com/spreadsheets/d/1MeEWN-I1oV_STSDYn1IFDPWt_1FKiwhDph83XaGc0o0/edit?usp=sharing"",""งบพรบ!CT30"")"),48500)</f>
        <v>48500</v>
      </c>
      <c r="I30" s="93">
        <f ca="1">IFERROR(__xludf.DUMMYFUNCTION("IMPORTRANGE(""https://docs.google.com/spreadsheets/d/1MeEWN-I1oV_STSDYn1IFDPWt_1FKiwhDph83XaGc0o0/edit?usp=sharing"",""งบพรบ!CU30"")"),0)</f>
        <v>0</v>
      </c>
      <c r="J30" s="93">
        <f t="shared" ca="1" si="3"/>
        <v>21975</v>
      </c>
      <c r="K30" s="94">
        <f t="shared" ca="1" si="4"/>
        <v>34.606299212598422</v>
      </c>
      <c r="L30" s="93">
        <f ca="1">IFERROR(__xludf.DUMMYFUNCTION("IMPORTRANGE(""https://docs.google.com/spreadsheets/d/1MeEWN-I1oV_STSDYn1IFDPWt_1FKiwhDph83XaGc0o0/edit?usp=sharing"",""งบพรบ!CV30"")"),21975)</f>
        <v>21975</v>
      </c>
      <c r="M30" s="95">
        <f t="shared" ca="1" si="5"/>
        <v>34.606299212598422</v>
      </c>
      <c r="N30" s="95">
        <f t="shared" ca="1" si="6"/>
        <v>45.309278350515463</v>
      </c>
      <c r="O30" s="96">
        <f ca="1">IFERROR(__xludf.DUMMYFUNCTION("IMPORTRANGE(""https://docs.google.com/spreadsheets/d/1MeEWN-I1oV_STSDYn1IFDPWt_1FKiwhDph83XaGc0o0/edit?usp=sharing"",""งบพรบ!CW30"")"),0)</f>
        <v>0</v>
      </c>
      <c r="P30" s="96">
        <f t="shared" ca="1" si="108"/>
        <v>0</v>
      </c>
      <c r="Q30" s="95">
        <f t="shared" ca="1" si="8"/>
        <v>0</v>
      </c>
      <c r="R30" s="97">
        <f ca="1">IFERROR(__xludf.DUMMYFUNCTION("IMPORTRANGE(""https://docs.google.com/spreadsheets/d/1kII0BjS6CtVrBvI8IrytgPdxDrlyQDyigzMsohRtDMs/edit?usp=sharing"",""อุทัยธานี!L191"")"),6000)</f>
        <v>6000</v>
      </c>
      <c r="S30" s="97">
        <f ca="1">IFERROR(__xludf.DUMMYFUNCTION("IMPORTRANGE(""https://docs.google.com/spreadsheets/d/1kII0BjS6CtVrBvI8IrytgPdxDrlyQDyigzMsohRtDMs/edit?usp=sharing"",""อุทัยธานี!N191"")"),0)</f>
        <v>0</v>
      </c>
      <c r="T30" s="98">
        <f t="shared" ca="1" si="84"/>
        <v>0</v>
      </c>
      <c r="U30" s="97">
        <f ca="1">IFERROR(__xludf.DUMMYFUNCTION("IMPORTRANGE(""https://docs.google.com/spreadsheets/d/1kII0BjS6CtVrBvI8IrytgPdxDrlyQDyigzMsohRtDMs/edit?usp=sharing"",""อุทัยธานี!I193"")"),4)</f>
        <v>4</v>
      </c>
      <c r="V30" s="97">
        <f ca="1">IFERROR(__xludf.DUMMYFUNCTION("IMPORTRANGE(""https://docs.google.com/spreadsheets/d/1kII0BjS6CtVrBvI8IrytgPdxDrlyQDyigzMsohRtDMs/edit?usp=sharing"",""อุทัยธานี!J193"")"),1)</f>
        <v>1</v>
      </c>
      <c r="W30" s="98">
        <f t="shared" ca="1" si="85"/>
        <v>25</v>
      </c>
      <c r="X30" s="97">
        <f t="shared" ca="1" si="134"/>
        <v>15</v>
      </c>
      <c r="Y30" s="97">
        <f ca="1">IFERROR(__xludf.DUMMYFUNCTION("IMPORTRANGE(""https://docs.google.com/spreadsheets/d/1kII0BjS6CtVrBvI8IrytgPdxDrlyQDyigzMsohRtDMs/edit?usp=sharing"",""อุทัยธานี!J195"")"),15)</f>
        <v>15</v>
      </c>
      <c r="Z30" s="97">
        <f ca="1">IFERROR(__xludf.DUMMYFUNCTION("IMPORTRANGE(""https://docs.google.com/spreadsheets/d/1kII0BjS6CtVrBvI8IrytgPdxDrlyQDyigzMsohRtDMs/edit?usp=sharing"",""อุทัยธานี!J196"")"),0)</f>
        <v>0</v>
      </c>
      <c r="AA30" s="97">
        <f ca="1">IFERROR(__xludf.DUMMYFUNCTION("IMPORTRANGE(""https://docs.google.com/spreadsheets/d/1kII0BjS6CtVrBvI8IrytgPdxDrlyQDyigzMsohRtDMs/edit?usp=sharing"",""อุทัยธานี!L199"")"),3000)</f>
        <v>3000</v>
      </c>
      <c r="AB30" s="97">
        <f ca="1">IFERROR(__xludf.DUMMYFUNCTION("IMPORTRANGE(""https://docs.google.com/spreadsheets/d/1kII0BjS6CtVrBvI8IrytgPdxDrlyQDyigzMsohRtDMs/edit?usp=sharing"",""อุทัยธานี!N199"")"),0)</f>
        <v>0</v>
      </c>
      <c r="AC30" s="98">
        <f t="shared" ca="1" si="86"/>
        <v>0</v>
      </c>
      <c r="AD30" s="97">
        <f ca="1">IFERROR(__xludf.DUMMYFUNCTION("IMPORTRANGE(""https://docs.google.com/spreadsheets/d/1kII0BjS6CtVrBvI8IrytgPdxDrlyQDyigzMsohRtDMs/edit?usp=sharing"",""อุทัยธานี!L200"")"),24000)</f>
        <v>24000</v>
      </c>
      <c r="AE30" s="97">
        <f ca="1">IFERROR(__xludf.DUMMYFUNCTION("IMPORTRANGE(""https://docs.google.com/spreadsheets/d/1kII0BjS6CtVrBvI8IrytgPdxDrlyQDyigzMsohRtDMs/edit?usp=sharing"",""อุทัยธานี!N200"")"),0)</f>
        <v>0</v>
      </c>
      <c r="AF30" s="98">
        <f t="shared" ca="1" si="87"/>
        <v>0</v>
      </c>
      <c r="AG30" s="97">
        <f ca="1">IFERROR(__xludf.DUMMYFUNCTION("IMPORTRANGE(""https://docs.google.com/spreadsheets/d/1kII0BjS6CtVrBvI8IrytgPdxDrlyQDyigzMsohRtDMs/edit?usp=sharing"",""อุทัยธานี!L201"")"),12000)</f>
        <v>12000</v>
      </c>
      <c r="AH30" s="97">
        <f ca="1">IFERROR(__xludf.DUMMYFUNCTION("IMPORTRANGE(""https://docs.google.com/spreadsheets/d/1kII0BjS6CtVrBvI8IrytgPdxDrlyQDyigzMsohRtDMs/edit?usp=sharing"",""อุทัยธานี!N201"")"),0)</f>
        <v>0</v>
      </c>
      <c r="AI30" s="98">
        <f t="shared" ca="1" si="88"/>
        <v>0</v>
      </c>
      <c r="AJ30" s="97">
        <f ca="1">IFERROR(__xludf.DUMMYFUNCTION("IMPORTRANGE(""https://docs.google.com/spreadsheets/d/1kII0BjS6CtVrBvI8IrytgPdxDrlyQDyigzMsohRtDMs/edit?usp=sharing"",""อุทัยธานี!L202"")"),0)</f>
        <v>0</v>
      </c>
      <c r="AK30" s="97">
        <f ca="1">IFERROR(__xludf.DUMMYFUNCTION("IMPORTRANGE(""https://docs.google.com/spreadsheets/d/1kII0BjS6CtVrBvI8IrytgPdxDrlyQDyigzMsohRtDMs/edit?usp=sharing"",""อุทัยธานี!N202"")"),0)</f>
        <v>0</v>
      </c>
      <c r="AL30" s="98">
        <f t="shared" ca="1" si="89"/>
        <v>0</v>
      </c>
      <c r="AM30" s="97">
        <f ca="1">IFERROR(__xludf.DUMMYFUNCTION("IMPORTRANGE(""https://docs.google.com/spreadsheets/d/1kII0BjS6CtVrBvI8IrytgPdxDrlyQDyigzMsohRtDMs/edit?usp=sharing"",""อุทัยธานี!I204"")"),3)</f>
        <v>3</v>
      </c>
      <c r="AN30" s="97">
        <f ca="1">IFERROR(__xludf.DUMMYFUNCTION("IMPORTRANGE(""https://docs.google.com/spreadsheets/d/1kII0BjS6CtVrBvI8IrytgPdxDrlyQDyigzMsohRtDMs/edit?usp=sharing"",""อุทัยธานี!J204"")"),3)</f>
        <v>3</v>
      </c>
      <c r="AO30" s="98">
        <f t="shared" ca="1" si="90"/>
        <v>100</v>
      </c>
      <c r="AP30" s="299" t="str">
        <f ca="1">IFERROR(__xludf.DUMMYFUNCTION("IMPORTRANGE(""https://docs.google.com/spreadsheets/d/1kII0BjS6CtVrBvI8IrytgPdxDrlyQDyigzMsohRtDMs/edit?usp=sharing"",""อุทัยธานี!J206"")"),"")</f>
        <v/>
      </c>
      <c r="AQ30" s="299">
        <f ca="1">IFERROR(__xludf.DUMMYFUNCTION("IMPORTRANGE(""https://docs.google.com/spreadsheets/d/1kII0BjS6CtVrBvI8IrytgPdxDrlyQDyigzMsohRtDMs/edit?usp=sharing"",""อุทัยธานี!J207"")"),0)</f>
        <v>0</v>
      </c>
      <c r="AR30" s="97">
        <f ca="1">IFERROR(__xludf.DUMMYFUNCTION("IMPORTRANGE(""https://docs.google.com/spreadsheets/d/1kII0BjS6CtVrBvI8IrytgPdxDrlyQDyigzMsohRtDMs/edit?usp=sharing"",""อุทัยธานี!L210"")"),0)</f>
        <v>0</v>
      </c>
      <c r="AS30" s="97">
        <f ca="1">IFERROR(__xludf.DUMMYFUNCTION("IMPORTRANGE(""https://docs.google.com/spreadsheets/d/1kII0BjS6CtVrBvI8IrytgPdxDrlyQDyigzMsohRtDMs/edit?usp=sharing"",""อุทัยธานี!N210"")"),0)</f>
        <v>0</v>
      </c>
      <c r="AT30" s="98">
        <f t="shared" ca="1" si="91"/>
        <v>0</v>
      </c>
      <c r="AU30" s="97">
        <f ca="1">IFERROR(__xludf.DUMMYFUNCTION("IMPORTRANGE(""https://docs.google.com/spreadsheets/d/1kII0BjS6CtVrBvI8IrytgPdxDrlyQDyigzMsohRtDMs/edit?usp=sharing"",""อุทัยธานี!L211"")"),0)</f>
        <v>0</v>
      </c>
      <c r="AV30" s="97">
        <f ca="1">IFERROR(__xludf.DUMMYFUNCTION("IMPORTRANGE(""https://docs.google.com/spreadsheets/d/1kII0BjS6CtVrBvI8IrytgPdxDrlyQDyigzMsohRtDMs/edit?usp=sharing"",""อุทัยธานี!N211"")"),0)</f>
        <v>0</v>
      </c>
      <c r="AW30" s="98">
        <f t="shared" ca="1" si="92"/>
        <v>0</v>
      </c>
      <c r="AX30" s="97">
        <f ca="1">IFERROR(__xludf.DUMMYFUNCTION("IMPORTRANGE(""https://docs.google.com/spreadsheets/d/1kII0BjS6CtVrBvI8IrytgPdxDrlyQDyigzMsohRtDMs/edit?usp=sharing"",""อุทัยธานี!L212"")"),0)</f>
        <v>0</v>
      </c>
      <c r="AY30" s="97">
        <f ca="1">IFERROR(__xludf.DUMMYFUNCTION("IMPORTRANGE(""https://docs.google.com/spreadsheets/d/1kII0BjS6CtVrBvI8IrytgPdxDrlyQDyigzMsohRtDMs/edit?usp=sharing"",""อุทัยธานี!N212"")"),0)</f>
        <v>0</v>
      </c>
      <c r="AZ30" s="98">
        <f t="shared" ca="1" si="93"/>
        <v>0</v>
      </c>
      <c r="BA30" s="97">
        <f ca="1">IFERROR(__xludf.DUMMYFUNCTION("IMPORTRANGE(""https://docs.google.com/spreadsheets/d/1kII0BjS6CtVrBvI8IrytgPdxDrlyQDyigzMsohRtDMs/edit?usp=sharing"",""อุทัยธานี!I214"")"),0)</f>
        <v>0</v>
      </c>
      <c r="BB30" s="97">
        <f ca="1">IFERROR(__xludf.DUMMYFUNCTION("IMPORTRANGE(""https://docs.google.com/spreadsheets/d/1kII0BjS6CtVrBvI8IrytgPdxDrlyQDyigzMsohRtDMs/edit?usp=sharing"",""อุทัยธานี!J214"")"),0)</f>
        <v>0</v>
      </c>
      <c r="BC30" s="98">
        <f t="shared" ca="1" si="94"/>
        <v>0</v>
      </c>
      <c r="BD30" s="97">
        <f ca="1">IFERROR(__xludf.DUMMYFUNCTION("IMPORTRANGE(""https://docs.google.com/spreadsheets/d/1kII0BjS6CtVrBvI8IrytgPdxDrlyQDyigzMsohRtDMs/edit?usp=sharing"",""อุทัยธานี!I215"")"),0)</f>
        <v>0</v>
      </c>
      <c r="BE30" s="97">
        <f ca="1">IFERROR(__xludf.DUMMYFUNCTION("IMPORTRANGE(""https://docs.google.com/spreadsheets/d/1kII0BjS6CtVrBvI8IrytgPdxDrlyQDyigzMsohRtDMs/edit?usp=sharing"",""อุทัยธานี!J215"")"),0)</f>
        <v>0</v>
      </c>
      <c r="BF30" s="98">
        <f t="shared" ca="1" si="95"/>
        <v>0</v>
      </c>
      <c r="BG30" s="97">
        <f ca="1">IFERROR(__xludf.DUMMYFUNCTION("IMPORTRANGE(""https://docs.google.com/spreadsheets/d/1kII0BjS6CtVrBvI8IrytgPdxDrlyQDyigzMsohRtDMs/edit?usp=sharing"",""อุทัยธานี!L218"")"),5000)</f>
        <v>5000</v>
      </c>
      <c r="BH30" s="97">
        <f ca="1">IFERROR(__xludf.DUMMYFUNCTION("IMPORTRANGE(""https://docs.google.com/spreadsheets/d/1kII0BjS6CtVrBvI8IrytgPdxDrlyQDyigzMsohRtDMs/edit?usp=sharing"",""อุทัยธานี!N218"")"),0)</f>
        <v>0</v>
      </c>
      <c r="BI30" s="98">
        <f t="shared" ca="1" si="96"/>
        <v>0</v>
      </c>
      <c r="BJ30" s="97">
        <f ca="1">IFERROR(__xludf.DUMMYFUNCTION("IMPORTRANGE(""https://docs.google.com/spreadsheets/d/1kII0BjS6CtVrBvI8IrytgPdxDrlyQDyigzMsohRtDMs/edit?usp=sharing"",""อุทัยธานี!L219"")"),13500)</f>
        <v>13500</v>
      </c>
      <c r="BK30" s="97">
        <f ca="1">IFERROR(__xludf.DUMMYFUNCTION("IMPORTRANGE(""https://docs.google.com/spreadsheets/d/1kII0BjS6CtVrBvI8IrytgPdxDrlyQDyigzMsohRtDMs/edit?usp=sharing"",""อุทัยธานี!N219"")"),0)</f>
        <v>0</v>
      </c>
      <c r="BL30" s="98">
        <f t="shared" ca="1" si="97"/>
        <v>0</v>
      </c>
      <c r="BM30" s="97">
        <f ca="1">IFERROR(__xludf.DUMMYFUNCTION("IMPORTRANGE(""https://docs.google.com/spreadsheets/d/1kII0BjS6CtVrBvI8IrytgPdxDrlyQDyigzMsohRtDMs/edit?usp=sharing"",""อุทัยธานี!L220"")"),0)</f>
        <v>0</v>
      </c>
      <c r="BN30" s="97">
        <f ca="1">IFERROR(__xludf.DUMMYFUNCTION("IMPORTRANGE(""https://docs.google.com/spreadsheets/d/1kII0BjS6CtVrBvI8IrytgPdxDrlyQDyigzMsohRtDMs/edit?usp=sharing"",""อุทัยธานี!N220"")"),0)</f>
        <v>0</v>
      </c>
      <c r="BO30" s="98">
        <f t="shared" ca="1" si="98"/>
        <v>0</v>
      </c>
      <c r="BP30" s="97">
        <f ca="1">IFERROR(__xludf.DUMMYFUNCTION("IMPORTRANGE(""https://docs.google.com/spreadsheets/d/1kII0BjS6CtVrBvI8IrytgPdxDrlyQDyigzMsohRtDMs/edit?usp=sharing"",""อุทัยธานี!I223"")"),50000)</f>
        <v>50000</v>
      </c>
      <c r="BQ30" s="97">
        <f ca="1">IFERROR(__xludf.DUMMYFUNCTION("IMPORTRANGE(""https://docs.google.com/spreadsheets/d/1kII0BjS6CtVrBvI8IrytgPdxDrlyQDyigzMsohRtDMs/edit?usp=sharing"",""อุทัยธานี!J223"")"),0)</f>
        <v>0</v>
      </c>
      <c r="BR30" s="98">
        <f t="shared" ca="1" si="99"/>
        <v>0</v>
      </c>
      <c r="BS30" s="97">
        <f ca="1">IFERROR(__xludf.DUMMYFUNCTION("IMPORTRANGE(""https://docs.google.com/spreadsheets/d/1kII0BjS6CtVrBvI8IrytgPdxDrlyQDyigzMsohRtDMs/edit?usp=sharing"",""อุทัยธานี!I224"")"),50000)</f>
        <v>50000</v>
      </c>
      <c r="BT30" s="97">
        <f ca="1">IFERROR(__xludf.DUMMYFUNCTION("IMPORTRANGE(""https://docs.google.com/spreadsheets/d/1kII0BjS6CtVrBvI8IrytgPdxDrlyQDyigzMsohRtDMs/edit?usp=sharing"",""อุทัยธานี!J224"")"),0)</f>
        <v>0</v>
      </c>
      <c r="BU30" s="98">
        <f t="shared" ca="1" si="100"/>
        <v>0</v>
      </c>
      <c r="BV30" s="97">
        <f ca="1">IFERROR(__xludf.DUMMYFUNCTION("IMPORTRANGE(""https://docs.google.com/spreadsheets/d/1kII0BjS6CtVrBvI8IrytgPdxDrlyQDyigzMsohRtDMs/edit?usp=sharing"",""อุทัยธานี!I225"")"),0)</f>
        <v>0</v>
      </c>
      <c r="BW30" s="97">
        <f ca="1">IFERROR(__xludf.DUMMYFUNCTION("IMPORTRANGE(""https://docs.google.com/spreadsheets/d/1kII0BjS6CtVrBvI8IrytgPdxDrlyQDyigzMsohRtDMs/edit?usp=sharing"",""อุทัยธานี!J225"")"),0)</f>
        <v>0</v>
      </c>
      <c r="BX30" s="98">
        <f t="shared" ca="1" si="101"/>
        <v>0</v>
      </c>
      <c r="BY30" s="97">
        <f ca="1">IFERROR(__xludf.DUMMYFUNCTION("IMPORTRANGE(""https://docs.google.com/spreadsheets/d/1kII0BjS6CtVrBvI8IrytgPdxDrlyQDyigzMsohRtDMs/edit?usp=sharing"",""อุทัยธานี!L228"")"),0)</f>
        <v>0</v>
      </c>
      <c r="BZ30" s="97">
        <f ca="1">IFERROR(__xludf.DUMMYFUNCTION("IMPORTRANGE(""https://docs.google.com/spreadsheets/d/1kII0BjS6CtVrBvI8IrytgPdxDrlyQDyigzMsohRtDMs/edit?usp=sharing"",""อุทัยธานี!N228"")"),0)</f>
        <v>0</v>
      </c>
      <c r="CA30" s="98">
        <f t="shared" ca="1" si="102"/>
        <v>0</v>
      </c>
      <c r="CB30" s="97">
        <f ca="1">IFERROR(__xludf.DUMMYFUNCTION("IMPORTRANGE(""https://docs.google.com/spreadsheets/d/1kII0BjS6CtVrBvI8IrytgPdxDrlyQDyigzMsohRtDMs/edit?usp=sharing"",""อุทัยธานี!L229"")"),0)</f>
        <v>0</v>
      </c>
      <c r="CC30" s="97">
        <f ca="1">IFERROR(__xludf.DUMMYFUNCTION("IMPORTRANGE(""https://docs.google.com/spreadsheets/d/1kII0BjS6CtVrBvI8IrytgPdxDrlyQDyigzMsohRtDMs/edit?usp=sharing"",""อุทัยธานี!N229"")"),0)</f>
        <v>0</v>
      </c>
      <c r="CD30" s="98">
        <f t="shared" ca="1" si="103"/>
        <v>0</v>
      </c>
      <c r="CE30" s="97">
        <f ca="1">IFERROR(__xludf.DUMMYFUNCTION("IMPORTRANGE(""https://docs.google.com/spreadsheets/d/1kII0BjS6CtVrBvI8IrytgPdxDrlyQDyigzMsohRtDMs/edit?usp=sharing"",""อุทัยธานี!L230"")"),0)</f>
        <v>0</v>
      </c>
      <c r="CF30" s="97">
        <f ca="1">IFERROR(__xludf.DUMMYFUNCTION("IMPORTRANGE(""https://docs.google.com/spreadsheets/d/1kII0BjS6CtVrBvI8IrytgPdxDrlyQDyigzMsohRtDMs/edit?usp=sharing"",""อุทัยธานี!N230"")"),0)</f>
        <v>0</v>
      </c>
      <c r="CG30" s="98">
        <f t="shared" ca="1" si="104"/>
        <v>0</v>
      </c>
      <c r="CH30" s="97">
        <f ca="1">IFERROR(__xludf.DUMMYFUNCTION("IMPORTRANGE(""https://docs.google.com/spreadsheets/d/1kII0BjS6CtVrBvI8IrytgPdxDrlyQDyigzMsohRtDMs/edit?usp=sharing"",""อุทัยธานี!L231"")"),0)</f>
        <v>0</v>
      </c>
      <c r="CI30" s="97">
        <f ca="1">IFERROR(__xludf.DUMMYFUNCTION("IMPORTRANGE(""https://docs.google.com/spreadsheets/d/1kII0BjS6CtVrBvI8IrytgPdxDrlyQDyigzMsohRtDMs/edit?usp=sharing"",""อุทัยธานี!N231"")"),0)</f>
        <v>0</v>
      </c>
      <c r="CJ30" s="98">
        <f t="shared" ca="1" si="105"/>
        <v>0</v>
      </c>
      <c r="CK30" s="97">
        <f ca="1">IFERROR(__xludf.DUMMYFUNCTION("IMPORTRANGE(""https://docs.google.com/spreadsheets/d/1kII0BjS6CtVrBvI8IrytgPdxDrlyQDyigzMsohRtDMs/edit?usp=sharing"",""อุทัยธานี!I233"")"),0)</f>
        <v>0</v>
      </c>
      <c r="CL30" s="97">
        <f ca="1">IFERROR(__xludf.DUMMYFUNCTION("IMPORTRANGE(""https://docs.google.com/spreadsheets/d/1kII0BjS6CtVrBvI8IrytgPdxDrlyQDyigzMsohRtDMs/edit?usp=sharing"",""อุทัยธานี!J233"")"),0)</f>
        <v>0</v>
      </c>
      <c r="CM30" s="98">
        <f t="shared" ca="1" si="106"/>
        <v>0</v>
      </c>
      <c r="CN30" s="97">
        <f ca="1">IFERROR(__xludf.DUMMYFUNCTION("IMPORTRANGE(""https://docs.google.com/spreadsheets/d/1kII0BjS6CtVrBvI8IrytgPdxDrlyQDyigzMsohRtDMs/edit?usp=sharing"",""อุทัยธานี!J235"")"),0)</f>
        <v>0</v>
      </c>
      <c r="CO30" s="97">
        <f ca="1">IFERROR(__xludf.DUMMYFUNCTION("IMPORTRANGE(""https://docs.google.com/spreadsheets/d/1kII0BjS6CtVrBvI8IrytgPdxDrlyQDyigzMsohRtDMs/edit?usp=sharing"",""อุทัยธานี!J236"")"),0)</f>
        <v>0</v>
      </c>
    </row>
    <row r="31" spans="1:93" ht="21" customHeight="1" x14ac:dyDescent="0.3">
      <c r="A31" s="378" t="s">
        <v>53</v>
      </c>
      <c r="B31" s="379"/>
      <c r="C31" s="99">
        <f t="shared" ca="1" si="0"/>
        <v>3671300</v>
      </c>
      <c r="D31" s="62">
        <f t="shared" ref="D31:I31" ca="1" si="135">SUM(D32:D51)</f>
        <v>3671300</v>
      </c>
      <c r="E31" s="62">
        <f t="shared" ca="1" si="135"/>
        <v>1465000</v>
      </c>
      <c r="F31" s="62">
        <f t="shared" ca="1" si="135"/>
        <v>2206300</v>
      </c>
      <c r="G31" s="62">
        <f t="shared" ca="1" si="135"/>
        <v>0</v>
      </c>
      <c r="H31" s="62">
        <f t="shared" ca="1" si="135"/>
        <v>3046800</v>
      </c>
      <c r="I31" s="62">
        <f t="shared" ca="1" si="135"/>
        <v>0</v>
      </c>
      <c r="J31" s="62">
        <f t="shared" ca="1" si="3"/>
        <v>1320029.8299999998</v>
      </c>
      <c r="K31" s="100">
        <f t="shared" ca="1" si="4"/>
        <v>35.955379021055208</v>
      </c>
      <c r="L31" s="62">
        <f ca="1">SUM(L32:L51)</f>
        <v>1320029.8299999998</v>
      </c>
      <c r="M31" s="101">
        <f t="shared" ca="1" si="5"/>
        <v>35.955379021055208</v>
      </c>
      <c r="N31" s="101">
        <f t="shared" ca="1" si="6"/>
        <v>43.325122423526317</v>
      </c>
      <c r="O31" s="102">
        <f ca="1">SUM(O32:O51)</f>
        <v>0</v>
      </c>
      <c r="P31" s="102">
        <f t="shared" ca="1" si="108"/>
        <v>0</v>
      </c>
      <c r="Q31" s="101">
        <f t="shared" ca="1" si="8"/>
        <v>0</v>
      </c>
      <c r="R31" s="62">
        <f t="shared" ref="R31:S31" ca="1" si="136">SUM(R32:R51)</f>
        <v>120000</v>
      </c>
      <c r="S31" s="62">
        <f t="shared" ca="1" si="136"/>
        <v>12395</v>
      </c>
      <c r="T31" s="101">
        <f t="shared" ca="1" si="84"/>
        <v>10.329166666666667</v>
      </c>
      <c r="U31" s="62">
        <f t="shared" ref="U31:V31" ca="1" si="137">SUM(U32:U51)</f>
        <v>80</v>
      </c>
      <c r="V31" s="62">
        <f t="shared" ca="1" si="137"/>
        <v>24</v>
      </c>
      <c r="W31" s="101">
        <f t="shared" ca="1" si="85"/>
        <v>30</v>
      </c>
      <c r="X31" s="62">
        <f t="shared" ref="X31:AB31" ca="1" si="138">SUM(X32:X51)</f>
        <v>651</v>
      </c>
      <c r="Y31" s="62">
        <f t="shared" ca="1" si="138"/>
        <v>636</v>
      </c>
      <c r="Z31" s="62">
        <f t="shared" ca="1" si="138"/>
        <v>15</v>
      </c>
      <c r="AA31" s="62">
        <f t="shared" ca="1" si="138"/>
        <v>58000</v>
      </c>
      <c r="AB31" s="62">
        <f t="shared" ca="1" si="138"/>
        <v>21488</v>
      </c>
      <c r="AC31" s="101">
        <f t="shared" ca="1" si="86"/>
        <v>37.048275862068962</v>
      </c>
      <c r="AD31" s="62">
        <f t="shared" ref="AD31:AE31" ca="1" si="139">SUM(AD32:AD51)</f>
        <v>464000</v>
      </c>
      <c r="AE31" s="62">
        <f t="shared" ca="1" si="139"/>
        <v>287470</v>
      </c>
      <c r="AF31" s="101">
        <f t="shared" ca="1" si="87"/>
        <v>61.954741379310342</v>
      </c>
      <c r="AG31" s="62">
        <f t="shared" ref="AG31:AH31" ca="1" si="140">SUM(AG32:AG51)</f>
        <v>232000</v>
      </c>
      <c r="AH31" s="62">
        <f t="shared" ca="1" si="140"/>
        <v>0</v>
      </c>
      <c r="AI31" s="101">
        <f t="shared" ca="1" si="88"/>
        <v>0</v>
      </c>
      <c r="AJ31" s="62">
        <f t="shared" ref="AJ31:AK31" ca="1" si="141">SUM(AJ32:AJ51)</f>
        <v>35000</v>
      </c>
      <c r="AK31" s="62">
        <f t="shared" ca="1" si="141"/>
        <v>0</v>
      </c>
      <c r="AL31" s="101">
        <f t="shared" ca="1" si="89"/>
        <v>0</v>
      </c>
      <c r="AM31" s="62">
        <f t="shared" ref="AM31:AN31" ca="1" si="142">SUM(AM32:AM51)</f>
        <v>58</v>
      </c>
      <c r="AN31" s="62">
        <f t="shared" ca="1" si="142"/>
        <v>36</v>
      </c>
      <c r="AO31" s="101">
        <f t="shared" ca="1" si="90"/>
        <v>62.068965517241381</v>
      </c>
      <c r="AP31" s="295">
        <f t="shared" ref="AP31:AS31" ca="1" si="143">SUM(AP32:AP51)</f>
        <v>9</v>
      </c>
      <c r="AQ31" s="295">
        <f t="shared" ca="1" si="143"/>
        <v>1</v>
      </c>
      <c r="AR31" s="62">
        <f t="shared" ca="1" si="143"/>
        <v>27000</v>
      </c>
      <c r="AS31" s="62">
        <f t="shared" ca="1" si="143"/>
        <v>7140</v>
      </c>
      <c r="AT31" s="101">
        <f t="shared" ca="1" si="91"/>
        <v>26.444444444444443</v>
      </c>
      <c r="AU31" s="62">
        <f t="shared" ref="AU31:AV31" ca="1" si="144">SUM(AU32:AU51)</f>
        <v>135000</v>
      </c>
      <c r="AV31" s="62">
        <f t="shared" ca="1" si="144"/>
        <v>0</v>
      </c>
      <c r="AW31" s="101">
        <f t="shared" ca="1" si="92"/>
        <v>0</v>
      </c>
      <c r="AX31" s="62">
        <f t="shared" ref="AX31:AY31" ca="1" si="145">SUM(AX32:AX51)</f>
        <v>216000</v>
      </c>
      <c r="AY31" s="62">
        <f t="shared" ca="1" si="145"/>
        <v>127085.25</v>
      </c>
      <c r="AZ31" s="101">
        <f t="shared" ca="1" si="93"/>
        <v>58.835763888888891</v>
      </c>
      <c r="BA31" s="62">
        <f t="shared" ref="BA31:BB31" ca="1" si="146">SUM(BA32:BA51)</f>
        <v>27</v>
      </c>
      <c r="BB31" s="62">
        <f t="shared" ca="1" si="146"/>
        <v>0</v>
      </c>
      <c r="BC31" s="101">
        <f t="shared" ca="1" si="94"/>
        <v>0</v>
      </c>
      <c r="BD31" s="62">
        <f t="shared" ref="BD31:BE31" ca="1" si="147">SUM(BD32:BD51)</f>
        <v>27</v>
      </c>
      <c r="BE31" s="62">
        <f t="shared" ca="1" si="147"/>
        <v>17</v>
      </c>
      <c r="BF31" s="101">
        <f t="shared" ca="1" si="95"/>
        <v>62.962962962962962</v>
      </c>
      <c r="BG31" s="62">
        <f t="shared" ref="BG31:BH31" ca="1" si="148">SUM(BG32:BG51)</f>
        <v>90000</v>
      </c>
      <c r="BH31" s="62">
        <f t="shared" ca="1" si="148"/>
        <v>5000</v>
      </c>
      <c r="BI31" s="101">
        <f t="shared" ca="1" si="96"/>
        <v>5.5555555555555554</v>
      </c>
      <c r="BJ31" s="62">
        <f t="shared" ref="BJ31:BK31" ca="1" si="149">SUM(BJ32:BJ51)</f>
        <v>233300</v>
      </c>
      <c r="BK31" s="62">
        <f t="shared" ca="1" si="149"/>
        <v>7068</v>
      </c>
      <c r="BL31" s="101">
        <f t="shared" ca="1" si="97"/>
        <v>3.0295756536648093</v>
      </c>
      <c r="BM31" s="62">
        <f t="shared" ref="BM31:BN31" ca="1" si="150">SUM(BM32:BM51)</f>
        <v>40000</v>
      </c>
      <c r="BN31" s="62">
        <f t="shared" ca="1" si="150"/>
        <v>13195</v>
      </c>
      <c r="BO31" s="101">
        <f t="shared" ca="1" si="98"/>
        <v>32.987499999999997</v>
      </c>
      <c r="BP31" s="62">
        <f t="shared" ref="BP31:BQ31" ca="1" si="151">SUM(BP32:BP51)</f>
        <v>858800</v>
      </c>
      <c r="BQ31" s="62">
        <f t="shared" ca="1" si="151"/>
        <v>80000</v>
      </c>
      <c r="BR31" s="101">
        <f t="shared" ca="1" si="99"/>
        <v>9.3153237074988358</v>
      </c>
      <c r="BS31" s="62">
        <f t="shared" ref="BS31:BT31" ca="1" si="152">SUM(BS32:BS51)</f>
        <v>858800</v>
      </c>
      <c r="BT31" s="62">
        <f t="shared" ca="1" si="152"/>
        <v>0</v>
      </c>
      <c r="BU31" s="101">
        <f t="shared" ca="1" si="100"/>
        <v>0</v>
      </c>
      <c r="BV31" s="62">
        <f t="shared" ref="BV31:BW31" ca="1" si="153">SUM(BV32:BV51)</f>
        <v>40</v>
      </c>
      <c r="BW31" s="62">
        <f t="shared" ca="1" si="153"/>
        <v>20</v>
      </c>
      <c r="BX31" s="101">
        <f t="shared" ca="1" si="101"/>
        <v>50</v>
      </c>
      <c r="BY31" s="62">
        <f t="shared" ref="BY31:BZ31" ca="1" si="154">SUM(BY32:BY51)</f>
        <v>326000</v>
      </c>
      <c r="BZ31" s="62">
        <f t="shared" ca="1" si="154"/>
        <v>52080</v>
      </c>
      <c r="CA31" s="101">
        <f t="shared" ca="1" si="102"/>
        <v>15.975460122699387</v>
      </c>
      <c r="CB31" s="62">
        <f t="shared" ref="CB31:CC31" ca="1" si="155">SUM(CB32:CB51)</f>
        <v>190000</v>
      </c>
      <c r="CC31" s="62">
        <f t="shared" ca="1" si="155"/>
        <v>44000</v>
      </c>
      <c r="CD31" s="101">
        <f t="shared" ca="1" si="103"/>
        <v>23.157894736842106</v>
      </c>
      <c r="CE31" s="62">
        <f t="shared" ref="CE31:CF31" ca="1" si="156">SUM(CE32:CE51)</f>
        <v>20000</v>
      </c>
      <c r="CF31" s="62">
        <f t="shared" ca="1" si="156"/>
        <v>0</v>
      </c>
      <c r="CG31" s="101">
        <f t="shared" ca="1" si="104"/>
        <v>0</v>
      </c>
      <c r="CH31" s="62">
        <f t="shared" ref="CH31:CI31" ca="1" si="157">SUM(CH32:CH51)</f>
        <v>20000</v>
      </c>
      <c r="CI31" s="62">
        <f t="shared" ca="1" si="157"/>
        <v>0</v>
      </c>
      <c r="CJ31" s="101">
        <f t="shared" ca="1" si="105"/>
        <v>0</v>
      </c>
      <c r="CK31" s="62">
        <f t="shared" ref="CK31:CL31" ca="1" si="158">SUM(CK32:CK51)</f>
        <v>80</v>
      </c>
      <c r="CL31" s="62">
        <f t="shared" ca="1" si="158"/>
        <v>80</v>
      </c>
      <c r="CM31" s="101">
        <f t="shared" ca="1" si="106"/>
        <v>100</v>
      </c>
      <c r="CN31" s="62">
        <f t="shared" ref="CN31:CO31" ca="1" si="159">SUM(CN32:CN51)</f>
        <v>0</v>
      </c>
      <c r="CO31" s="62">
        <f t="shared" ca="1" si="159"/>
        <v>0</v>
      </c>
    </row>
    <row r="32" spans="1:93" ht="21" customHeight="1" x14ac:dyDescent="0.3">
      <c r="A32" s="68">
        <v>1</v>
      </c>
      <c r="B32" s="69" t="s">
        <v>54</v>
      </c>
      <c r="C32" s="103">
        <f t="shared" ca="1" si="0"/>
        <v>67900</v>
      </c>
      <c r="D32" s="71">
        <f t="shared" ref="D32:D51" ca="1" si="160">+E32+F32</f>
        <v>67900</v>
      </c>
      <c r="E32" s="72">
        <f ca="1">IFERROR(__xludf.DUMMYFUNCTION("IMPORTRANGE(""https://docs.google.com/spreadsheets/d/1MeEWN-I1oV_STSDYn1IFDPWt_1FKiwhDph83XaGc0o0/edit?usp=sharing"",""งบพรบ!CP32"")"),0)</f>
        <v>0</v>
      </c>
      <c r="F32" s="72">
        <f ca="1">IFERROR(__xludf.DUMMYFUNCTION("IMPORTRANGE(""https://docs.google.com/spreadsheets/d/1MeEWN-I1oV_STSDYn1IFDPWt_1FKiwhDph83XaGc0o0/edit?usp=sharing"",""งบพรบ!CQ32"")"),67900)</f>
        <v>67900</v>
      </c>
      <c r="G32" s="73">
        <f ca="1">IFERROR(__xludf.DUMMYFUNCTION("IMPORTRANGE(""https://docs.google.com/spreadsheets/d/1MeEWN-I1oV_STSDYn1IFDPWt_1FKiwhDph83XaGc0o0/edit?usp=sharing"",""งบพรบ!CR32"")"),0)</f>
        <v>0</v>
      </c>
      <c r="H32" s="73">
        <f ca="1">IFERROR(__xludf.DUMMYFUNCTION("IMPORTRANGE(""https://docs.google.com/spreadsheets/d/1MeEWN-I1oV_STSDYn1IFDPWt_1FKiwhDph83XaGc0o0/edit?usp=sharing"",""งบพรบ!CT32"")"),48500)</f>
        <v>48500</v>
      </c>
      <c r="I32" s="73">
        <f ca="1">IFERROR(__xludf.DUMMYFUNCTION("IMPORTRANGE(""https://docs.google.com/spreadsheets/d/1MeEWN-I1oV_STSDYn1IFDPWt_1FKiwhDph83XaGc0o0/edit?usp=sharing"",""งบพรบ!CU32"")"),0)</f>
        <v>0</v>
      </c>
      <c r="J32" s="73">
        <f t="shared" ca="1" si="3"/>
        <v>26288</v>
      </c>
      <c r="K32" s="74">
        <f t="shared" ca="1" si="4"/>
        <v>38.715758468335785</v>
      </c>
      <c r="L32" s="73">
        <f ca="1">IFERROR(__xludf.DUMMYFUNCTION("IMPORTRANGE(""https://docs.google.com/spreadsheets/d/1MeEWN-I1oV_STSDYn1IFDPWt_1FKiwhDph83XaGc0o0/edit?usp=sharing"",""งบพรบ!CV32"")"),26288)</f>
        <v>26288</v>
      </c>
      <c r="M32" s="75">
        <f t="shared" ca="1" si="5"/>
        <v>38.715758468335785</v>
      </c>
      <c r="N32" s="75">
        <f t="shared" ca="1" si="6"/>
        <v>54.202061855670102</v>
      </c>
      <c r="O32" s="76">
        <f ca="1">IFERROR(__xludf.DUMMYFUNCTION("IMPORTRANGE(""https://docs.google.com/spreadsheets/d/1MeEWN-I1oV_STSDYn1IFDPWt_1FKiwhDph83XaGc0o0/edit?usp=sharing"",""งบพรบ!CW32"")"),0)</f>
        <v>0</v>
      </c>
      <c r="P32" s="76">
        <f t="shared" ca="1" si="108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IFERROR(__xludf.DUMMYFUNCTION("IMPORTRANGE(""https://docs.google.com/spreadsheets/d/1fb2B9NLcpJgjIieIJvenUTNPn0TimZDUi0OtYeiSQ_s/edit?usp=sharing"",""กาฬสินธุ์!L191"")"),6000)</f>
        <v>6000</v>
      </c>
      <c r="S32" s="73">
        <f ca="1">IFERROR(__xludf.DUMMYFUNCTION("IMPORTRANGE(""https://docs.google.com/spreadsheets/d/1fb2B9NLcpJgjIieIJvenUTNPn0TimZDUi0OtYeiSQ_s/edit?usp=sharing"",""กาฬสินธุ์!N191"")"),0)</f>
        <v>0</v>
      </c>
      <c r="T32" s="77">
        <f t="shared" ca="1" si="84"/>
        <v>0</v>
      </c>
      <c r="U32" s="73">
        <f ca="1">IFERROR(__xludf.DUMMYFUNCTION("IMPORTRANGE(""https://docs.google.com/spreadsheets/d/1fb2B9NLcpJgjIieIJvenUTNPn0TimZDUi0OtYeiSQ_s/edit?usp=sharing"",""กาฬสินธุ์!I193"")"),4)</f>
        <v>4</v>
      </c>
      <c r="V32" s="73">
        <f ca="1">IFERROR(__xludf.DUMMYFUNCTION("IMPORTRANGE(""https://docs.google.com/spreadsheets/d/1fb2B9NLcpJgjIieIJvenUTNPn0TimZDUi0OtYeiSQ_s/edit?usp=sharing"",""กาฬสินธุ์!J193"")"),1)</f>
        <v>1</v>
      </c>
      <c r="W32" s="77">
        <f t="shared" ca="1" si="85"/>
        <v>25</v>
      </c>
      <c r="X32" s="73">
        <f t="shared" ref="X32:X51" ca="1" si="161">Y32+Z32</f>
        <v>0</v>
      </c>
      <c r="Y32" s="73">
        <f ca="1">IFERROR(__xludf.DUMMYFUNCTION("IMPORTRANGE(""https://docs.google.com/spreadsheets/d/1fb2B9NLcpJgjIieIJvenUTNPn0TimZDUi0OtYeiSQ_s/edit?usp=sharing"",""กาฬสินธุ์!J195"")"),0)</f>
        <v>0</v>
      </c>
      <c r="Z32" s="73">
        <f ca="1">IFERROR(__xludf.DUMMYFUNCTION("IMPORTRANGE(""https://docs.google.com/spreadsheets/d/1fb2B9NLcpJgjIieIJvenUTNPn0TimZDUi0OtYeiSQ_s/edit?usp=sharing"",""กาฬสินธุ์!J196"")"),0)</f>
        <v>0</v>
      </c>
      <c r="AA32" s="73">
        <f ca="1">IFERROR(__xludf.DUMMYFUNCTION("IMPORTRANGE(""https://docs.google.com/spreadsheets/d/1fb2B9NLcpJgjIieIJvenUTNPn0TimZDUi0OtYeiSQ_s/edit?usp=sharing"",""กาฬสินธุ์!L199"")"),3000)</f>
        <v>3000</v>
      </c>
      <c r="AB32" s="73">
        <f ca="1">IFERROR(__xludf.DUMMYFUNCTION("IMPORTRANGE(""https://docs.google.com/spreadsheets/d/1fb2B9NLcpJgjIieIJvenUTNPn0TimZDUi0OtYeiSQ_s/edit?usp=sharing"",""กาฬสินธุ์!N199"")"),2288)</f>
        <v>2288</v>
      </c>
      <c r="AC32" s="77">
        <f t="shared" ca="1" si="86"/>
        <v>76.266666666666666</v>
      </c>
      <c r="AD32" s="73">
        <f ca="1">IFERROR(__xludf.DUMMYFUNCTION("IMPORTRANGE(""https://docs.google.com/spreadsheets/d/1fb2B9NLcpJgjIieIJvenUTNPn0TimZDUi0OtYeiSQ_s/edit?usp=sharing"",""กาฬสินธุ์!L200"")"),24000)</f>
        <v>24000</v>
      </c>
      <c r="AE32" s="73">
        <f ca="1">IFERROR(__xludf.DUMMYFUNCTION("IMPORTRANGE(""https://docs.google.com/spreadsheets/d/1fb2B9NLcpJgjIieIJvenUTNPn0TimZDUi0OtYeiSQ_s/edit?usp=sharing"",""กาฬสินธุ์!N200"")"),24000)</f>
        <v>24000</v>
      </c>
      <c r="AF32" s="77">
        <f t="shared" ca="1" si="87"/>
        <v>100</v>
      </c>
      <c r="AG32" s="73">
        <f ca="1">IFERROR(__xludf.DUMMYFUNCTION("IMPORTRANGE(""https://docs.google.com/spreadsheets/d/1fb2B9NLcpJgjIieIJvenUTNPn0TimZDUi0OtYeiSQ_s/edit?usp=sharing"",""กาฬสินธุ์!L201"")"),12000)</f>
        <v>12000</v>
      </c>
      <c r="AH32" s="73">
        <f ca="1">IFERROR(__xludf.DUMMYFUNCTION("IMPORTRANGE(""https://docs.google.com/spreadsheets/d/1fb2B9NLcpJgjIieIJvenUTNPn0TimZDUi0OtYeiSQ_s/edit?usp=sharing"",""กาฬสินธุ์!N201"")"),0)</f>
        <v>0</v>
      </c>
      <c r="AI32" s="77">
        <f t="shared" ca="1" si="88"/>
        <v>0</v>
      </c>
      <c r="AJ32" s="73">
        <f ca="1">IFERROR(__xludf.DUMMYFUNCTION("IMPORTRANGE(""https://docs.google.com/spreadsheets/d/1fb2B9NLcpJgjIieIJvenUTNPn0TimZDUi0OtYeiSQ_s/edit?usp=sharing"",""กาฬสินธุ์!L202"")"),0)</f>
        <v>0</v>
      </c>
      <c r="AK32" s="73">
        <f ca="1">IFERROR(__xludf.DUMMYFUNCTION("IMPORTRANGE(""https://docs.google.com/spreadsheets/d/1fb2B9NLcpJgjIieIJvenUTNPn0TimZDUi0OtYeiSQ_s/edit?usp=sharing"",""กาฬสินธุ์!N202"")"),0)</f>
        <v>0</v>
      </c>
      <c r="AL32" s="77">
        <f t="shared" ca="1" si="89"/>
        <v>0</v>
      </c>
      <c r="AM32" s="73">
        <f ca="1">IFERROR(__xludf.DUMMYFUNCTION("IMPORTRANGE(""https://docs.google.com/spreadsheets/d/1fb2B9NLcpJgjIieIJvenUTNPn0TimZDUi0OtYeiSQ_s/edit?usp=sharing"",""กาฬสินธุ์!I204"")"),3)</f>
        <v>3</v>
      </c>
      <c r="AN32" s="73">
        <f ca="1">IFERROR(__xludf.DUMMYFUNCTION("IMPORTRANGE(""https://docs.google.com/spreadsheets/d/1fb2B9NLcpJgjIieIJvenUTNPn0TimZDUi0OtYeiSQ_s/edit?usp=sharing"",""กาฬสินธุ์!J204"")"),3)</f>
        <v>3</v>
      </c>
      <c r="AO32" s="77">
        <f t="shared" ca="1" si="90"/>
        <v>100</v>
      </c>
      <c r="AP32" s="298">
        <f ca="1">IFERROR(__xludf.DUMMYFUNCTION("IMPORTRANGE(""https://docs.google.com/spreadsheets/d/1fb2B9NLcpJgjIieIJvenUTNPn0TimZDUi0OtYeiSQ_s/edit?usp=sharing"",""กาฬสินธุ์!J206"")"),0)</f>
        <v>0</v>
      </c>
      <c r="AQ32" s="298">
        <f ca="1">IFERROR(__xludf.DUMMYFUNCTION("IMPORTRANGE(""https://docs.google.com/spreadsheets/d/1fb2B9NLcpJgjIieIJvenUTNPn0TimZDUi0OtYeiSQ_s/edit?usp=sharing"",""กาฬสินธุ์!J207"")"),0)</f>
        <v>0</v>
      </c>
      <c r="AR32" s="73">
        <f ca="1">IFERROR(__xludf.DUMMYFUNCTION("IMPORTRANGE(""https://docs.google.com/spreadsheets/d/1fb2B9NLcpJgjIieIJvenUTNPn0TimZDUi0OtYeiSQ_s/edit?usp=sharing"",""กาฬสินธุ์!L210"")"),0)</f>
        <v>0</v>
      </c>
      <c r="AS32" s="73">
        <f ca="1">IFERROR(__xludf.DUMMYFUNCTION("IMPORTRANGE(""https://docs.google.com/spreadsheets/d/1fb2B9NLcpJgjIieIJvenUTNPn0TimZDUi0OtYeiSQ_s/edit?usp=sharing"",""กาฬสินธุ์!N210"")"),0)</f>
        <v>0</v>
      </c>
      <c r="AT32" s="77">
        <f t="shared" ca="1" si="91"/>
        <v>0</v>
      </c>
      <c r="AU32" s="73">
        <f ca="1">IFERROR(__xludf.DUMMYFUNCTION("IMPORTRANGE(""https://docs.google.com/spreadsheets/d/1fb2B9NLcpJgjIieIJvenUTNPn0TimZDUi0OtYeiSQ_s/edit?usp=sharing"",""กาฬสินธุ์!L211"")"),0)</f>
        <v>0</v>
      </c>
      <c r="AV32" s="73">
        <f ca="1">IFERROR(__xludf.DUMMYFUNCTION("IMPORTRANGE(""https://docs.google.com/spreadsheets/d/1fb2B9NLcpJgjIieIJvenUTNPn0TimZDUi0OtYeiSQ_s/edit?usp=sharing"",""กาฬสินธุ์!N211"")"),0)</f>
        <v>0</v>
      </c>
      <c r="AW32" s="77">
        <f t="shared" ca="1" si="92"/>
        <v>0</v>
      </c>
      <c r="AX32" s="73">
        <f ca="1">IFERROR(__xludf.DUMMYFUNCTION("IMPORTRANGE(""https://docs.google.com/spreadsheets/d/1fb2B9NLcpJgjIieIJvenUTNPn0TimZDUi0OtYeiSQ_s/edit?usp=sharing"",""กาฬสินธุ์!L212"")"),0)</f>
        <v>0</v>
      </c>
      <c r="AY32" s="73">
        <f ca="1">IFERROR(__xludf.DUMMYFUNCTION("IMPORTRANGE(""https://docs.google.com/spreadsheets/d/1fb2B9NLcpJgjIieIJvenUTNPn0TimZDUi0OtYeiSQ_s/edit?usp=sharing"",""กาฬสินธุ์!N212"")"),0)</f>
        <v>0</v>
      </c>
      <c r="AZ32" s="77">
        <f t="shared" ca="1" si="93"/>
        <v>0</v>
      </c>
      <c r="BA32" s="73">
        <f ca="1">IFERROR(__xludf.DUMMYFUNCTION("IMPORTRANGE(""https://docs.google.com/spreadsheets/d/1fb2B9NLcpJgjIieIJvenUTNPn0TimZDUi0OtYeiSQ_s/edit?usp=sharing"",""กาฬสินธุ์!I214"")"),0)</f>
        <v>0</v>
      </c>
      <c r="BB32" s="73">
        <f ca="1">IFERROR(__xludf.DUMMYFUNCTION("IMPORTRANGE(""https://docs.google.com/spreadsheets/d/1fb2B9NLcpJgjIieIJvenUTNPn0TimZDUi0OtYeiSQ_s/edit?usp=sharing"",""กาฬสินธุ์!J214"")"),0)</f>
        <v>0</v>
      </c>
      <c r="BC32" s="77">
        <f t="shared" ca="1" si="94"/>
        <v>0</v>
      </c>
      <c r="BD32" s="73">
        <f ca="1">IFERROR(__xludf.DUMMYFUNCTION("IMPORTRANGE(""https://docs.google.com/spreadsheets/d/1fb2B9NLcpJgjIieIJvenUTNPn0TimZDUi0OtYeiSQ_s/edit?usp=sharing"",""กาฬสินธุ์!I215"")"),0)</f>
        <v>0</v>
      </c>
      <c r="BE32" s="73">
        <f ca="1">IFERROR(__xludf.DUMMYFUNCTION("IMPORTRANGE(""https://docs.google.com/spreadsheets/d/1fb2B9NLcpJgjIieIJvenUTNPn0TimZDUi0OtYeiSQ_s/edit?usp=sharing"",""กาฬสินธุ์!J215"")"),0)</f>
        <v>0</v>
      </c>
      <c r="BF32" s="77">
        <f t="shared" ca="1" si="95"/>
        <v>0</v>
      </c>
      <c r="BG32" s="73">
        <f ca="1">IFERROR(__xludf.DUMMYFUNCTION("IMPORTRANGE(""https://docs.google.com/spreadsheets/d/1fb2B9NLcpJgjIieIJvenUTNPn0TimZDUi0OtYeiSQ_s/edit?usp=sharing"",""กาฬสินธุ์!L218"")"),5000)</f>
        <v>5000</v>
      </c>
      <c r="BH32" s="73">
        <f ca="1">IFERROR(__xludf.DUMMYFUNCTION("IMPORTRANGE(""https://docs.google.com/spreadsheets/d/1fb2B9NLcpJgjIieIJvenUTNPn0TimZDUi0OtYeiSQ_s/edit?usp=sharing"",""กาฬสินธุ์!N218"")"),0)</f>
        <v>0</v>
      </c>
      <c r="BI32" s="77">
        <f t="shared" ca="1" si="96"/>
        <v>0</v>
      </c>
      <c r="BJ32" s="73">
        <f ca="1">IFERROR(__xludf.DUMMYFUNCTION("IMPORTRANGE(""https://docs.google.com/spreadsheets/d/1fb2B9NLcpJgjIieIJvenUTNPn0TimZDUi0OtYeiSQ_s/edit?usp=sharing"",""กาฬสินธุ์!L219"")"),17900)</f>
        <v>17900</v>
      </c>
      <c r="BK32" s="73">
        <f ca="1">IFERROR(__xludf.DUMMYFUNCTION("IMPORTRANGE(""https://docs.google.com/spreadsheets/d/1fb2B9NLcpJgjIieIJvenUTNPn0TimZDUi0OtYeiSQ_s/edit?usp=sharing"",""กาฬสินธุ์!N219"")"),0)</f>
        <v>0</v>
      </c>
      <c r="BL32" s="77">
        <f t="shared" ca="1" si="97"/>
        <v>0</v>
      </c>
      <c r="BM32" s="73">
        <f ca="1">IFERROR(__xludf.DUMMYFUNCTION("IMPORTRANGE(""https://docs.google.com/spreadsheets/d/1fb2B9NLcpJgjIieIJvenUTNPn0TimZDUi0OtYeiSQ_s/edit?usp=sharing"",""กาฬสินธุ์!L220"")"),0)</f>
        <v>0</v>
      </c>
      <c r="BN32" s="73">
        <f ca="1">IFERROR(__xludf.DUMMYFUNCTION("IMPORTRANGE(""https://docs.google.com/spreadsheets/d/1fb2B9NLcpJgjIieIJvenUTNPn0TimZDUi0OtYeiSQ_s/edit?usp=sharing"",""กาฬสินธุ์!N220"")"),0)</f>
        <v>0</v>
      </c>
      <c r="BO32" s="77">
        <f t="shared" ca="1" si="98"/>
        <v>0</v>
      </c>
      <c r="BP32" s="73">
        <f ca="1">IFERROR(__xludf.DUMMYFUNCTION("IMPORTRANGE(""https://docs.google.com/spreadsheets/d/1fb2B9NLcpJgjIieIJvenUTNPn0TimZDUi0OtYeiSQ_s/edit?usp=sharing"",""กาฬสินธุ์!I223"")"),65000)</f>
        <v>65000</v>
      </c>
      <c r="BQ32" s="73">
        <f ca="1">IFERROR(__xludf.DUMMYFUNCTION("IMPORTRANGE(""https://docs.google.com/spreadsheets/d/1fb2B9NLcpJgjIieIJvenUTNPn0TimZDUi0OtYeiSQ_s/edit?usp=sharing"",""กาฬสินธุ์!J223"")"),0)</f>
        <v>0</v>
      </c>
      <c r="BR32" s="77">
        <f t="shared" ca="1" si="99"/>
        <v>0</v>
      </c>
      <c r="BS32" s="73">
        <f ca="1">IFERROR(__xludf.DUMMYFUNCTION("IMPORTRANGE(""https://docs.google.com/spreadsheets/d/1fb2B9NLcpJgjIieIJvenUTNPn0TimZDUi0OtYeiSQ_s/edit?usp=sharing"",""กาฬสินธุ์!I224"")"),65000)</f>
        <v>65000</v>
      </c>
      <c r="BT32" s="73">
        <f ca="1">IFERROR(__xludf.DUMMYFUNCTION("IMPORTRANGE(""https://docs.google.com/spreadsheets/d/1fb2B9NLcpJgjIieIJvenUTNPn0TimZDUi0OtYeiSQ_s/edit?usp=sharing"",""กาฬสินธุ์!J224"")"),0)</f>
        <v>0</v>
      </c>
      <c r="BU32" s="77">
        <f t="shared" ca="1" si="100"/>
        <v>0</v>
      </c>
      <c r="BV32" s="73">
        <f ca="1">IFERROR(__xludf.DUMMYFUNCTION("IMPORTRANGE(""https://docs.google.com/spreadsheets/d/1fb2B9NLcpJgjIieIJvenUTNPn0TimZDUi0OtYeiSQ_s/edit?usp=sharing"",""กาฬสินธุ์!I225"")"),0)</f>
        <v>0</v>
      </c>
      <c r="BW32" s="73">
        <f ca="1">IFERROR(__xludf.DUMMYFUNCTION("IMPORTRANGE(""https://docs.google.com/spreadsheets/d/1fb2B9NLcpJgjIieIJvenUTNPn0TimZDUi0OtYeiSQ_s/edit?usp=sharing"",""กาฬสินธุ์!J225"")"),0)</f>
        <v>0</v>
      </c>
      <c r="BX32" s="77">
        <f t="shared" ca="1" si="101"/>
        <v>0</v>
      </c>
      <c r="BY32" s="73">
        <f ca="1">IFERROR(__xludf.DUMMYFUNCTION("IMPORTRANGE(""https://docs.google.com/spreadsheets/d/1fb2B9NLcpJgjIieIJvenUTNPn0TimZDUi0OtYeiSQ_s/edit?usp=sharing"",""กาฬสินธุ์!L228"")"),0)</f>
        <v>0</v>
      </c>
      <c r="BZ32" s="73">
        <f ca="1">IFERROR(__xludf.DUMMYFUNCTION("IMPORTRANGE(""https://docs.google.com/spreadsheets/d/1fb2B9NLcpJgjIieIJvenUTNPn0TimZDUi0OtYeiSQ_s/edit?usp=sharing"",""กาฬสินธุ์!N228"")"),0)</f>
        <v>0</v>
      </c>
      <c r="CA32" s="77">
        <f t="shared" ca="1" si="102"/>
        <v>0</v>
      </c>
      <c r="CB32" s="73">
        <f ca="1">IFERROR(__xludf.DUMMYFUNCTION("IMPORTRANGE(""https://docs.google.com/spreadsheets/d/1fb2B9NLcpJgjIieIJvenUTNPn0TimZDUi0OtYeiSQ_s/edit?usp=sharing"",""กาฬสินธุ์!L229"")"),0)</f>
        <v>0</v>
      </c>
      <c r="CC32" s="73">
        <f ca="1">IFERROR(__xludf.DUMMYFUNCTION("IMPORTRANGE(""https://docs.google.com/spreadsheets/d/1fb2B9NLcpJgjIieIJvenUTNPn0TimZDUi0OtYeiSQ_s/edit?usp=sharing"",""กาฬสินธุ์!N229"")"),0)</f>
        <v>0</v>
      </c>
      <c r="CD32" s="77">
        <f t="shared" ca="1" si="103"/>
        <v>0</v>
      </c>
      <c r="CE32" s="73">
        <f ca="1">IFERROR(__xludf.DUMMYFUNCTION("IMPORTRANGE(""https://docs.google.com/spreadsheets/d/1fb2B9NLcpJgjIieIJvenUTNPn0TimZDUi0OtYeiSQ_s/edit?usp=sharing"",""กาฬสินธุ์!L230"")"),0)</f>
        <v>0</v>
      </c>
      <c r="CF32" s="73">
        <f ca="1">IFERROR(__xludf.DUMMYFUNCTION("IMPORTRANGE(""https://docs.google.com/spreadsheets/d/1fb2B9NLcpJgjIieIJvenUTNPn0TimZDUi0OtYeiSQ_s/edit?usp=sharing"",""กาฬสินธุ์!N230"")"),0)</f>
        <v>0</v>
      </c>
      <c r="CG32" s="77">
        <f t="shared" ca="1" si="104"/>
        <v>0</v>
      </c>
      <c r="CH32" s="73">
        <f ca="1">IFERROR(__xludf.DUMMYFUNCTION("IMPORTRANGE(""https://docs.google.com/spreadsheets/d/1fb2B9NLcpJgjIieIJvenUTNPn0TimZDUi0OtYeiSQ_s/edit?usp=sharing"",""กาฬสินธุ์!L231"")"),0)</f>
        <v>0</v>
      </c>
      <c r="CI32" s="73">
        <f ca="1">IFERROR(__xludf.DUMMYFUNCTION("IMPORTRANGE(""https://docs.google.com/spreadsheets/d/1fb2B9NLcpJgjIieIJvenUTNPn0TimZDUi0OtYeiSQ_s/edit?usp=sharing"",""กาฬสินธุ์!N231"")"),0)</f>
        <v>0</v>
      </c>
      <c r="CJ32" s="77">
        <f t="shared" ca="1" si="105"/>
        <v>0</v>
      </c>
      <c r="CK32" s="73">
        <f ca="1">IFERROR(__xludf.DUMMYFUNCTION("IMPORTRANGE(""https://docs.google.com/spreadsheets/d/1fb2B9NLcpJgjIieIJvenUTNPn0TimZDUi0OtYeiSQ_s/edit?usp=sharing"",""กาฬสินธุ์!I233"")"),0)</f>
        <v>0</v>
      </c>
      <c r="CL32" s="73">
        <f ca="1">IFERROR(__xludf.DUMMYFUNCTION("IMPORTRANGE(""https://docs.google.com/spreadsheets/d/1fb2B9NLcpJgjIieIJvenUTNPn0TimZDUi0OtYeiSQ_s/edit?usp=sharing"",""กาฬสินธุ์!J233"")"),0)</f>
        <v>0</v>
      </c>
      <c r="CM32" s="77">
        <f t="shared" ca="1" si="106"/>
        <v>0</v>
      </c>
      <c r="CN32" s="73">
        <f ca="1">IFERROR(__xludf.DUMMYFUNCTION("IMPORTRANGE(""https://docs.google.com/spreadsheets/d/1fb2B9NLcpJgjIieIJvenUTNPn0TimZDUi0OtYeiSQ_s/edit?usp=sharing"",""กาฬสินธุ์!J235"")"),0)</f>
        <v>0</v>
      </c>
      <c r="CO32" s="73">
        <f ca="1">IFERROR(__xludf.DUMMYFUNCTION("IMPORTRANGE(""https://docs.google.com/spreadsheets/d/1fb2B9NLcpJgjIieIJvenUTNPn0TimZDUi0OtYeiSQ_s/edit?usp=sharing"",""กาฬสินธุ์!J236"")"),0)</f>
        <v>0</v>
      </c>
    </row>
    <row r="33" spans="1:93" ht="21" customHeight="1" x14ac:dyDescent="0.3">
      <c r="A33" s="78">
        <v>2</v>
      </c>
      <c r="B33" s="79" t="s">
        <v>55</v>
      </c>
      <c r="C33" s="80">
        <f t="shared" ca="1" si="0"/>
        <v>63500</v>
      </c>
      <c r="D33" s="81">
        <f t="shared" ca="1" si="160"/>
        <v>63500</v>
      </c>
      <c r="E33" s="82">
        <f ca="1">IFERROR(__xludf.DUMMYFUNCTION("IMPORTRANGE(""https://docs.google.com/spreadsheets/d/1MeEWN-I1oV_STSDYn1IFDPWt_1FKiwhDph83XaGc0o0/edit?usp=sharing"",""งบพรบ!CP33"")"),0)</f>
        <v>0</v>
      </c>
      <c r="F33" s="82">
        <f ca="1">IFERROR(__xludf.DUMMYFUNCTION("IMPORTRANGE(""https://docs.google.com/spreadsheets/d/1MeEWN-I1oV_STSDYn1IFDPWt_1FKiwhDph83XaGc0o0/edit?usp=sharing"",""งบพรบ!CQ33"")"),63500)</f>
        <v>63500</v>
      </c>
      <c r="G33" s="82">
        <f ca="1">IFERROR(__xludf.DUMMYFUNCTION("IMPORTRANGE(""https://docs.google.com/spreadsheets/d/1MeEWN-I1oV_STSDYn1IFDPWt_1FKiwhDph83XaGc0o0/edit?usp=sharing"",""งบพรบ!CR33"")"),0)</f>
        <v>0</v>
      </c>
      <c r="H33" s="82">
        <f ca="1">IFERROR(__xludf.DUMMYFUNCTION("IMPORTRANGE(""https://docs.google.com/spreadsheets/d/1MeEWN-I1oV_STSDYn1IFDPWt_1FKiwhDph83XaGc0o0/edit?usp=sharing"",""งบพรบ!CT33"")"),81300)</f>
        <v>81300</v>
      </c>
      <c r="I33" s="82">
        <f ca="1">IFERROR(__xludf.DUMMYFUNCTION("IMPORTRANGE(""https://docs.google.com/spreadsheets/d/1MeEWN-I1oV_STSDYn1IFDPWt_1FKiwhDph83XaGc0o0/edit?usp=sharing"",""งบพรบ!CU33"")"),0)</f>
        <v>0</v>
      </c>
      <c r="J33" s="82">
        <f t="shared" ca="1" si="3"/>
        <v>32800</v>
      </c>
      <c r="K33" s="83">
        <f t="shared" ca="1" si="4"/>
        <v>51.653543307086615</v>
      </c>
      <c r="L33" s="82">
        <f ca="1">IFERROR(__xludf.DUMMYFUNCTION("IMPORTRANGE(""https://docs.google.com/spreadsheets/d/1MeEWN-I1oV_STSDYn1IFDPWt_1FKiwhDph83XaGc0o0/edit?usp=sharing"",""งบพรบ!CV33"")"),32800)</f>
        <v>32800</v>
      </c>
      <c r="M33" s="84">
        <f t="shared" ca="1" si="5"/>
        <v>51.653543307086615</v>
      </c>
      <c r="N33" s="84">
        <f t="shared" ca="1" si="6"/>
        <v>40.344403444034441</v>
      </c>
      <c r="O33" s="85">
        <f ca="1">IFERROR(__xludf.DUMMYFUNCTION("IMPORTRANGE(""https://docs.google.com/spreadsheets/d/1MeEWN-I1oV_STSDYn1IFDPWt_1FKiwhDph83XaGc0o0/edit?usp=sharing"",""งบพรบ!CW33"")"),0)</f>
        <v>0</v>
      </c>
      <c r="P33" s="85">
        <f t="shared" ca="1" si="108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IFERROR(__xludf.DUMMYFUNCTION("IMPORTRANGE(""https://docs.google.com/spreadsheets/d/1SaMnqrwRGmFYNR0MhpWmHuL5niYUd5E7vDq8X7whAlI/edit?usp=sharing"",""ขอนแก่น!L191"")"),6000)</f>
        <v>6000</v>
      </c>
      <c r="S33" s="86">
        <f ca="1">IFERROR(__xludf.DUMMYFUNCTION("IMPORTRANGE(""https://docs.google.com/spreadsheets/d/1SaMnqrwRGmFYNR0MhpWmHuL5niYUd5E7vDq8X7whAlI/edit?usp=sharing"",""ขอนแก่น!N191"")"),0)</f>
        <v>0</v>
      </c>
      <c r="T33" s="87">
        <f t="shared" ca="1" si="84"/>
        <v>0</v>
      </c>
      <c r="U33" s="86">
        <f ca="1">IFERROR(__xludf.DUMMYFUNCTION("IMPORTRANGE(""https://docs.google.com/spreadsheets/d/1SaMnqrwRGmFYNR0MhpWmHuL5niYUd5E7vDq8X7whAlI/edit?usp=sharing"",""ขอนแก่น!I193"")"),4)</f>
        <v>4</v>
      </c>
      <c r="V33" s="86">
        <f ca="1">IFERROR(__xludf.DUMMYFUNCTION("IMPORTRANGE(""https://docs.google.com/spreadsheets/d/1SaMnqrwRGmFYNR0MhpWmHuL5niYUd5E7vDq8X7whAlI/edit?usp=sharing"",""ขอนแก่น!J193"")"),1)</f>
        <v>1</v>
      </c>
      <c r="W33" s="87">
        <f t="shared" ca="1" si="85"/>
        <v>25</v>
      </c>
      <c r="X33" s="86">
        <f t="shared" ca="1" si="161"/>
        <v>5</v>
      </c>
      <c r="Y33" s="86">
        <f ca="1">IFERROR(__xludf.DUMMYFUNCTION("IMPORTRANGE(""https://docs.google.com/spreadsheets/d/1SaMnqrwRGmFYNR0MhpWmHuL5niYUd5E7vDq8X7whAlI/edit?usp=sharing"",""ขอนแก่น!J195"")"),5)</f>
        <v>5</v>
      </c>
      <c r="Z33" s="86">
        <f ca="1">IFERROR(__xludf.DUMMYFUNCTION("IMPORTRANGE(""https://docs.google.com/spreadsheets/d/1SaMnqrwRGmFYNR0MhpWmHuL5niYUd5E7vDq8X7whAlI/edit?usp=sharing"",""ขอนแก่น!J196"")"),0)</f>
        <v>0</v>
      </c>
      <c r="AA33" s="86">
        <f ca="1">IFERROR(__xludf.DUMMYFUNCTION("IMPORTRANGE(""https://docs.google.com/spreadsheets/d/1SaMnqrwRGmFYNR0MhpWmHuL5niYUd5E7vDq8X7whAlI/edit?usp=sharing"",""ขอนแก่น!L199"")"),3000)</f>
        <v>3000</v>
      </c>
      <c r="AB33" s="86">
        <f ca="1">IFERROR(__xludf.DUMMYFUNCTION("IMPORTRANGE(""https://docs.google.com/spreadsheets/d/1SaMnqrwRGmFYNR0MhpWmHuL5niYUd5E7vDq8X7whAlI/edit?usp=sharing"",""ขอนแก่น!N199"")"),0)</f>
        <v>0</v>
      </c>
      <c r="AC33" s="87">
        <f t="shared" ca="1" si="86"/>
        <v>0</v>
      </c>
      <c r="AD33" s="86">
        <f ca="1">IFERROR(__xludf.DUMMYFUNCTION("IMPORTRANGE(""https://docs.google.com/spreadsheets/d/1SaMnqrwRGmFYNR0MhpWmHuL5niYUd5E7vDq8X7whAlI/edit?usp=sharing"",""ขอนแก่น!L200"")"),24000)</f>
        <v>24000</v>
      </c>
      <c r="AE33" s="86">
        <f ca="1">IFERROR(__xludf.DUMMYFUNCTION("IMPORTRANGE(""https://docs.google.com/spreadsheets/d/1SaMnqrwRGmFYNR0MhpWmHuL5niYUd5E7vDq8X7whAlI/edit?usp=sharing"",""ขอนแก่น!N200"")"),0)</f>
        <v>0</v>
      </c>
      <c r="AF33" s="87">
        <f t="shared" ca="1" si="87"/>
        <v>0</v>
      </c>
      <c r="AG33" s="86">
        <f ca="1">IFERROR(__xludf.DUMMYFUNCTION("IMPORTRANGE(""https://docs.google.com/spreadsheets/d/1SaMnqrwRGmFYNR0MhpWmHuL5niYUd5E7vDq8X7whAlI/edit?usp=sharing"",""ขอนแก่น!L201"")"),12000)</f>
        <v>12000</v>
      </c>
      <c r="AH33" s="86">
        <f ca="1">IFERROR(__xludf.DUMMYFUNCTION("IMPORTRANGE(""https://docs.google.com/spreadsheets/d/1SaMnqrwRGmFYNR0MhpWmHuL5niYUd5E7vDq8X7whAlI/edit?usp=sharing"",""ขอนแก่น!N201"")"),0)</f>
        <v>0</v>
      </c>
      <c r="AI33" s="87">
        <f t="shared" ca="1" si="88"/>
        <v>0</v>
      </c>
      <c r="AJ33" s="86">
        <f ca="1">IFERROR(__xludf.DUMMYFUNCTION("IMPORTRANGE(""https://docs.google.com/spreadsheets/d/1SaMnqrwRGmFYNR0MhpWmHuL5niYUd5E7vDq8X7whAlI/edit?usp=sharing"",""ขอนแก่น!L202"")"),0)</f>
        <v>0</v>
      </c>
      <c r="AK33" s="86">
        <f ca="1">IFERROR(__xludf.DUMMYFUNCTION("IMPORTRANGE(""https://docs.google.com/spreadsheets/d/1SaMnqrwRGmFYNR0MhpWmHuL5niYUd5E7vDq8X7whAlI/edit?usp=sharing"",""ขอนแก่น!N202"")"),0)</f>
        <v>0</v>
      </c>
      <c r="AL33" s="87">
        <f t="shared" ca="1" si="89"/>
        <v>0</v>
      </c>
      <c r="AM33" s="86">
        <f ca="1">IFERROR(__xludf.DUMMYFUNCTION("IMPORTRANGE(""https://docs.google.com/spreadsheets/d/1SaMnqrwRGmFYNR0MhpWmHuL5niYUd5E7vDq8X7whAlI/edit?usp=sharing"",""ขอนแก่น!I204"")"),3)</f>
        <v>3</v>
      </c>
      <c r="AN33" s="86">
        <f ca="1">IFERROR(__xludf.DUMMYFUNCTION("IMPORTRANGE(""https://docs.google.com/spreadsheets/d/1SaMnqrwRGmFYNR0MhpWmHuL5niYUd5E7vDq8X7whAlI/edit?usp=sharing"",""ขอนแก่น!J204"")"),0)</f>
        <v>0</v>
      </c>
      <c r="AO33" s="87">
        <f t="shared" ca="1" si="90"/>
        <v>0</v>
      </c>
      <c r="AP33" s="298">
        <f ca="1">IFERROR(__xludf.DUMMYFUNCTION("IMPORTRANGE(""https://docs.google.com/spreadsheets/d/1SaMnqrwRGmFYNR0MhpWmHuL5niYUd5E7vDq8X7whAlI/edit?usp=sharing"",""ขอนแก่น!J206"")"),0)</f>
        <v>0</v>
      </c>
      <c r="AQ33" s="298">
        <f ca="1">IFERROR(__xludf.DUMMYFUNCTION("IMPORTRANGE(""https://docs.google.com/spreadsheets/d/1SaMnqrwRGmFYNR0MhpWmHuL5niYUd5E7vDq8X7whAlI/edit?usp=sharing"",""ขอนแก่น!J207"")"),0)</f>
        <v>0</v>
      </c>
      <c r="AR33" s="86">
        <f ca="1">IFERROR(__xludf.DUMMYFUNCTION("IMPORTRANGE(""https://docs.google.com/spreadsheets/d/1SaMnqrwRGmFYNR0MhpWmHuL5niYUd5E7vDq8X7whAlI/edit?usp=sharing"",""ขอนแก่น!L210"")"),0)</f>
        <v>0</v>
      </c>
      <c r="AS33" s="86">
        <f ca="1">IFERROR(__xludf.DUMMYFUNCTION("IMPORTRANGE(""https://docs.google.com/spreadsheets/d/1SaMnqrwRGmFYNR0MhpWmHuL5niYUd5E7vDq8X7whAlI/edit?usp=sharing"",""ขอนแก่น!N210"")"),0)</f>
        <v>0</v>
      </c>
      <c r="AT33" s="87">
        <f t="shared" ca="1" si="91"/>
        <v>0</v>
      </c>
      <c r="AU33" s="86">
        <f ca="1">IFERROR(__xludf.DUMMYFUNCTION("IMPORTRANGE(""https://docs.google.com/spreadsheets/d/1SaMnqrwRGmFYNR0MhpWmHuL5niYUd5E7vDq8X7whAlI/edit?usp=sharing"",""ขอนแก่น!L211"")"),0)</f>
        <v>0</v>
      </c>
      <c r="AV33" s="86">
        <f ca="1">IFERROR(__xludf.DUMMYFUNCTION("IMPORTRANGE(""https://docs.google.com/spreadsheets/d/1SaMnqrwRGmFYNR0MhpWmHuL5niYUd5E7vDq8X7whAlI/edit?usp=sharing"",""ขอนแก่น!N211"")"),0)</f>
        <v>0</v>
      </c>
      <c r="AW33" s="87">
        <f t="shared" ca="1" si="92"/>
        <v>0</v>
      </c>
      <c r="AX33" s="86">
        <f ca="1">IFERROR(__xludf.DUMMYFUNCTION("IMPORTRANGE(""https://docs.google.com/spreadsheets/d/1SaMnqrwRGmFYNR0MhpWmHuL5niYUd5E7vDq8X7whAlI/edit?usp=sharing"",""ขอนแก่น!L212"")"),0)</f>
        <v>0</v>
      </c>
      <c r="AY33" s="86">
        <f ca="1">IFERROR(__xludf.DUMMYFUNCTION("IMPORTRANGE(""https://docs.google.com/spreadsheets/d/1SaMnqrwRGmFYNR0MhpWmHuL5niYUd5E7vDq8X7whAlI/edit?usp=sharing"",""ขอนแก่น!N212"")"),0)</f>
        <v>0</v>
      </c>
      <c r="AZ33" s="87">
        <f t="shared" ca="1" si="93"/>
        <v>0</v>
      </c>
      <c r="BA33" s="86">
        <f ca="1">IFERROR(__xludf.DUMMYFUNCTION("IMPORTRANGE(""https://docs.google.com/spreadsheets/d/1SaMnqrwRGmFYNR0MhpWmHuL5niYUd5E7vDq8X7whAlI/edit?usp=sharing"",""ขอนแก่น!I214"")"),0)</f>
        <v>0</v>
      </c>
      <c r="BB33" s="86">
        <f ca="1">IFERROR(__xludf.DUMMYFUNCTION("IMPORTRANGE(""https://docs.google.com/spreadsheets/d/1SaMnqrwRGmFYNR0MhpWmHuL5niYUd5E7vDq8X7whAlI/edit?usp=sharing"",""ขอนแก่น!J214"")"),0)</f>
        <v>0</v>
      </c>
      <c r="BC33" s="87">
        <f t="shared" ca="1" si="94"/>
        <v>0</v>
      </c>
      <c r="BD33" s="86">
        <f ca="1">IFERROR(__xludf.DUMMYFUNCTION("IMPORTRANGE(""https://docs.google.com/spreadsheets/d/1SaMnqrwRGmFYNR0MhpWmHuL5niYUd5E7vDq8X7whAlI/edit?usp=sharing"",""ขอนแก่น!I215"")"),0)</f>
        <v>0</v>
      </c>
      <c r="BE33" s="86">
        <f ca="1">IFERROR(__xludf.DUMMYFUNCTION("IMPORTRANGE(""https://docs.google.com/spreadsheets/d/1SaMnqrwRGmFYNR0MhpWmHuL5niYUd5E7vDq8X7whAlI/edit?usp=sharing"",""ขอนแก่น!J215"")"),0)</f>
        <v>0</v>
      </c>
      <c r="BF33" s="87">
        <f t="shared" ca="1" si="95"/>
        <v>0</v>
      </c>
      <c r="BG33" s="86">
        <f ca="1">IFERROR(__xludf.DUMMYFUNCTION("IMPORTRANGE(""https://docs.google.com/spreadsheets/d/1SaMnqrwRGmFYNR0MhpWmHuL5niYUd5E7vDq8X7whAlI/edit?usp=sharing"",""ขอนแก่น!L218"")"),5000)</f>
        <v>5000</v>
      </c>
      <c r="BH33" s="86">
        <f ca="1">IFERROR(__xludf.DUMMYFUNCTION("IMPORTRANGE(""https://docs.google.com/spreadsheets/d/1SaMnqrwRGmFYNR0MhpWmHuL5niYUd5E7vDq8X7whAlI/edit?usp=sharing"",""ขอนแก่น!N218"")"),0)</f>
        <v>0</v>
      </c>
      <c r="BI33" s="87">
        <f t="shared" ca="1" si="96"/>
        <v>0</v>
      </c>
      <c r="BJ33" s="86">
        <f ca="1">IFERROR(__xludf.DUMMYFUNCTION("IMPORTRANGE(""https://docs.google.com/spreadsheets/d/1SaMnqrwRGmFYNR0MhpWmHuL5niYUd5E7vDq8X7whAlI/edit?usp=sharing"",""ขอนแก่น!L219"")"),13500)</f>
        <v>13500</v>
      </c>
      <c r="BK33" s="86">
        <f ca="1">IFERROR(__xludf.DUMMYFUNCTION("IMPORTRANGE(""https://docs.google.com/spreadsheets/d/1SaMnqrwRGmFYNR0MhpWmHuL5niYUd5E7vDq8X7whAlI/edit?usp=sharing"",""ขอนแก่น!N219"")"),0)</f>
        <v>0</v>
      </c>
      <c r="BL33" s="87">
        <f t="shared" ca="1" si="97"/>
        <v>0</v>
      </c>
      <c r="BM33" s="86">
        <f ca="1">IFERROR(__xludf.DUMMYFUNCTION("IMPORTRANGE(""https://docs.google.com/spreadsheets/d/1SaMnqrwRGmFYNR0MhpWmHuL5niYUd5E7vDq8X7whAlI/edit?usp=sharing"",""ขอนแก่น!L220"")"),0)</f>
        <v>0</v>
      </c>
      <c r="BN33" s="86">
        <f ca="1">IFERROR(__xludf.DUMMYFUNCTION("IMPORTRANGE(""https://docs.google.com/spreadsheets/d/1SaMnqrwRGmFYNR0MhpWmHuL5niYUd5E7vDq8X7whAlI/edit?usp=sharing"",""ขอนแก่น!N220"")"),0)</f>
        <v>0</v>
      </c>
      <c r="BO33" s="87">
        <f t="shared" ca="1" si="98"/>
        <v>0</v>
      </c>
      <c r="BP33" s="86">
        <f ca="1">IFERROR(__xludf.DUMMYFUNCTION("IMPORTRANGE(""https://docs.google.com/spreadsheets/d/1SaMnqrwRGmFYNR0MhpWmHuL5niYUd5E7vDq8X7whAlI/edit?usp=sharing"",""ขอนแก่น!I223"")"),50000)</f>
        <v>50000</v>
      </c>
      <c r="BQ33" s="86">
        <f ca="1">IFERROR(__xludf.DUMMYFUNCTION("IMPORTRANGE(""https://docs.google.com/spreadsheets/d/1SaMnqrwRGmFYNR0MhpWmHuL5niYUd5E7vDq8X7whAlI/edit?usp=sharing"",""ขอนแก่น!J223"")"),0)</f>
        <v>0</v>
      </c>
      <c r="BR33" s="87">
        <f t="shared" ca="1" si="99"/>
        <v>0</v>
      </c>
      <c r="BS33" s="86">
        <f ca="1">IFERROR(__xludf.DUMMYFUNCTION("IMPORTRANGE(""https://docs.google.com/spreadsheets/d/1SaMnqrwRGmFYNR0MhpWmHuL5niYUd5E7vDq8X7whAlI/edit?usp=sharing"",""ขอนแก่น!I224"")"),50000)</f>
        <v>50000</v>
      </c>
      <c r="BT33" s="86">
        <f ca="1">IFERROR(__xludf.DUMMYFUNCTION("IMPORTRANGE(""https://docs.google.com/spreadsheets/d/1SaMnqrwRGmFYNR0MhpWmHuL5niYUd5E7vDq8X7whAlI/edit?usp=sharing"",""ขอนแก่น!J224"")"),0)</f>
        <v>0</v>
      </c>
      <c r="BU33" s="87">
        <f t="shared" ca="1" si="100"/>
        <v>0</v>
      </c>
      <c r="BV33" s="86">
        <f ca="1">IFERROR(__xludf.DUMMYFUNCTION("IMPORTRANGE(""https://docs.google.com/spreadsheets/d/1SaMnqrwRGmFYNR0MhpWmHuL5niYUd5E7vDq8X7whAlI/edit?usp=sharing"",""ขอนแก่น!I225"")"),0)</f>
        <v>0</v>
      </c>
      <c r="BW33" s="86">
        <f ca="1">IFERROR(__xludf.DUMMYFUNCTION("IMPORTRANGE(""https://docs.google.com/spreadsheets/d/1SaMnqrwRGmFYNR0MhpWmHuL5niYUd5E7vDq8X7whAlI/edit?usp=sharing"",""ขอนแก่น!J225"")"),0)</f>
        <v>0</v>
      </c>
      <c r="BX33" s="87">
        <f t="shared" ca="1" si="101"/>
        <v>0</v>
      </c>
      <c r="BY33" s="86">
        <f ca="1">IFERROR(__xludf.DUMMYFUNCTION("IMPORTRANGE(""https://docs.google.com/spreadsheets/d/1SaMnqrwRGmFYNR0MhpWmHuL5niYUd5E7vDq8X7whAlI/edit?usp=sharing"",""ขอนแก่น!L228"")"),0)</f>
        <v>0</v>
      </c>
      <c r="BZ33" s="86">
        <f ca="1">IFERROR(__xludf.DUMMYFUNCTION("IMPORTRANGE(""https://docs.google.com/spreadsheets/d/1SaMnqrwRGmFYNR0MhpWmHuL5niYUd5E7vDq8X7whAlI/edit?usp=sharing"",""ขอนแก่น!N228"")"),0)</f>
        <v>0</v>
      </c>
      <c r="CA33" s="87">
        <f t="shared" ca="1" si="102"/>
        <v>0</v>
      </c>
      <c r="CB33" s="86">
        <f ca="1">IFERROR(__xludf.DUMMYFUNCTION("IMPORTRANGE(""https://docs.google.com/spreadsheets/d/1SaMnqrwRGmFYNR0MhpWmHuL5niYUd5E7vDq8X7whAlI/edit?usp=sharing"",""ขอนแก่น!L229"")"),0)</f>
        <v>0</v>
      </c>
      <c r="CC33" s="86">
        <f ca="1">IFERROR(__xludf.DUMMYFUNCTION("IMPORTRANGE(""https://docs.google.com/spreadsheets/d/1SaMnqrwRGmFYNR0MhpWmHuL5niYUd5E7vDq8X7whAlI/edit?usp=sharing"",""ขอนแก่น!N229"")"),0)</f>
        <v>0</v>
      </c>
      <c r="CD33" s="87">
        <f t="shared" ca="1" si="103"/>
        <v>0</v>
      </c>
      <c r="CE33" s="86">
        <f ca="1">IFERROR(__xludf.DUMMYFUNCTION("IMPORTRANGE(""https://docs.google.com/spreadsheets/d/1SaMnqrwRGmFYNR0MhpWmHuL5niYUd5E7vDq8X7whAlI/edit?usp=sharing"",""ขอนแก่น!L230"")"),0)</f>
        <v>0</v>
      </c>
      <c r="CF33" s="86">
        <f ca="1">IFERROR(__xludf.DUMMYFUNCTION("IMPORTRANGE(""https://docs.google.com/spreadsheets/d/1SaMnqrwRGmFYNR0MhpWmHuL5niYUd5E7vDq8X7whAlI/edit?usp=sharing"",""ขอนแก่น!N230"")"),0)</f>
        <v>0</v>
      </c>
      <c r="CG33" s="87">
        <f t="shared" ca="1" si="104"/>
        <v>0</v>
      </c>
      <c r="CH33" s="86">
        <f ca="1">IFERROR(__xludf.DUMMYFUNCTION("IMPORTRANGE(""https://docs.google.com/spreadsheets/d/1SaMnqrwRGmFYNR0MhpWmHuL5niYUd5E7vDq8X7whAlI/edit?usp=sharing"",""ขอนแก่น!L231"")"),0)</f>
        <v>0</v>
      </c>
      <c r="CI33" s="86">
        <f ca="1">IFERROR(__xludf.DUMMYFUNCTION("IMPORTRANGE(""https://docs.google.com/spreadsheets/d/1SaMnqrwRGmFYNR0MhpWmHuL5niYUd5E7vDq8X7whAlI/edit?usp=sharing"",""ขอนแก่น!N231"")"),0)</f>
        <v>0</v>
      </c>
      <c r="CJ33" s="87">
        <f t="shared" ca="1" si="105"/>
        <v>0</v>
      </c>
      <c r="CK33" s="86">
        <f ca="1">IFERROR(__xludf.DUMMYFUNCTION("IMPORTRANGE(""https://docs.google.com/spreadsheets/d/1SaMnqrwRGmFYNR0MhpWmHuL5niYUd5E7vDq8X7whAlI/edit?usp=sharing"",""ขอนแก่น!I233"")"),0)</f>
        <v>0</v>
      </c>
      <c r="CL33" s="86">
        <f ca="1">IFERROR(__xludf.DUMMYFUNCTION("IMPORTRANGE(""https://docs.google.com/spreadsheets/d/1SaMnqrwRGmFYNR0MhpWmHuL5niYUd5E7vDq8X7whAlI/edit?usp=sharing"",""ขอนแก่น!J233"")"),0)</f>
        <v>0</v>
      </c>
      <c r="CM33" s="87">
        <f t="shared" ca="1" si="106"/>
        <v>0</v>
      </c>
      <c r="CN33" s="86">
        <f ca="1">IFERROR(__xludf.DUMMYFUNCTION("IMPORTRANGE(""https://docs.google.com/spreadsheets/d/1SaMnqrwRGmFYNR0MhpWmHuL5niYUd5E7vDq8X7whAlI/edit?usp=sharing"",""ขอนแก่น!J235"")"),0)</f>
        <v>0</v>
      </c>
      <c r="CO33" s="86">
        <f ca="1">IFERROR(__xludf.DUMMYFUNCTION("IMPORTRANGE(""https://docs.google.com/spreadsheets/d/1SaMnqrwRGmFYNR0MhpWmHuL5niYUd5E7vDq8X7whAlI/edit?usp=sharing"",""ขอนแก่น!J236"")"),0)</f>
        <v>0</v>
      </c>
    </row>
    <row r="34" spans="1:93" ht="21" customHeight="1" x14ac:dyDescent="0.3">
      <c r="A34" s="78">
        <v>3</v>
      </c>
      <c r="B34" s="79" t="s">
        <v>56</v>
      </c>
      <c r="C34" s="80">
        <f t="shared" ca="1" si="0"/>
        <v>362500</v>
      </c>
      <c r="D34" s="81">
        <f t="shared" ca="1" si="160"/>
        <v>362500</v>
      </c>
      <c r="E34" s="82">
        <f ca="1">IFERROR(__xludf.DUMMYFUNCTION("IMPORTRANGE(""https://docs.google.com/spreadsheets/d/1MeEWN-I1oV_STSDYn1IFDPWt_1FKiwhDph83XaGc0o0/edit?usp=sharing"",""งบพรบ!CP34"")"),286000)</f>
        <v>286000</v>
      </c>
      <c r="F34" s="82">
        <f ca="1">IFERROR(__xludf.DUMMYFUNCTION("IMPORTRANGE(""https://docs.google.com/spreadsheets/d/1MeEWN-I1oV_STSDYn1IFDPWt_1FKiwhDph83XaGc0o0/edit?usp=sharing"",""งบพรบ!CQ34"")"),76500)</f>
        <v>76500</v>
      </c>
      <c r="G34" s="82">
        <f ca="1">IFERROR(__xludf.DUMMYFUNCTION("IMPORTRANGE(""https://docs.google.com/spreadsheets/d/1MeEWN-I1oV_STSDYn1IFDPWt_1FKiwhDph83XaGc0o0/edit?usp=sharing"",""งบพรบ!CR34"")"),0)</f>
        <v>0</v>
      </c>
      <c r="H34" s="82">
        <f ca="1">IFERROR(__xludf.DUMMYFUNCTION("IMPORTRANGE(""https://docs.google.com/spreadsheets/d/1MeEWN-I1oV_STSDYn1IFDPWt_1FKiwhDph83XaGc0o0/edit?usp=sharing"",""งบพรบ!CT34"")"),269500)</f>
        <v>269500</v>
      </c>
      <c r="I34" s="82">
        <f ca="1">IFERROR(__xludf.DUMMYFUNCTION("IMPORTRANGE(""https://docs.google.com/spreadsheets/d/1MeEWN-I1oV_STSDYn1IFDPWt_1FKiwhDph83XaGc0o0/edit?usp=sharing"",""งบพรบ!CU34"")"),0)</f>
        <v>0</v>
      </c>
      <c r="J34" s="82">
        <f t="shared" ca="1" si="3"/>
        <v>71293</v>
      </c>
      <c r="K34" s="83">
        <f t="shared" ca="1" si="4"/>
        <v>19.66703448275862</v>
      </c>
      <c r="L34" s="82">
        <f ca="1">IFERROR(__xludf.DUMMYFUNCTION("IMPORTRANGE(""https://docs.google.com/spreadsheets/d/1MeEWN-I1oV_STSDYn1IFDPWt_1FKiwhDph83XaGc0o0/edit?usp=sharing"",""งบพรบ!CV34"")"),71293)</f>
        <v>71293</v>
      </c>
      <c r="M34" s="84">
        <f t="shared" ca="1" si="5"/>
        <v>19.66703448275862</v>
      </c>
      <c r="N34" s="84">
        <f t="shared" ca="1" si="6"/>
        <v>26.453803339517624</v>
      </c>
      <c r="O34" s="85">
        <f ca="1">IFERROR(__xludf.DUMMYFUNCTION("IMPORTRANGE(""https://docs.google.com/spreadsheets/d/1MeEWN-I1oV_STSDYn1IFDPWt_1FKiwhDph83XaGc0o0/edit?usp=sharing"",""งบพรบ!CW34"")"),0)</f>
        <v>0</v>
      </c>
      <c r="P34" s="85">
        <f t="shared" ca="1" si="108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IFERROR(__xludf.DUMMYFUNCTION("IMPORTRANGE(""https://docs.google.com/spreadsheets/d/1xQzEtGHhTTgxHh6YUkKY1P4dRyjVhS74dGswLfAASA4/edit?usp=sharing"",""ชัยภูมิ!L191"")"),6000)</f>
        <v>6000</v>
      </c>
      <c r="S34" s="86">
        <f ca="1">IFERROR(__xludf.DUMMYFUNCTION("IMPORTRANGE(""https://docs.google.com/spreadsheets/d/1xQzEtGHhTTgxHh6YUkKY1P4dRyjVhS74dGswLfAASA4/edit?usp=sharing"",""ชัยภูมิ!N191"")"),1960)</f>
        <v>1960</v>
      </c>
      <c r="T34" s="87">
        <f t="shared" ca="1" si="84"/>
        <v>32.666666666666664</v>
      </c>
      <c r="U34" s="86">
        <f ca="1">IFERROR(__xludf.DUMMYFUNCTION("IMPORTRANGE(""https://docs.google.com/spreadsheets/d/1xQzEtGHhTTgxHh6YUkKY1P4dRyjVhS74dGswLfAASA4/edit?usp=sharing"",""ชัยภูมิ!I193"")"),4)</f>
        <v>4</v>
      </c>
      <c r="V34" s="86">
        <f ca="1">IFERROR(__xludf.DUMMYFUNCTION("IMPORTRANGE(""https://docs.google.com/spreadsheets/d/1xQzEtGHhTTgxHh6YUkKY1P4dRyjVhS74dGswLfAASA4/edit?usp=sharing"",""ชัยภูมิ!J193"")"),1)</f>
        <v>1</v>
      </c>
      <c r="W34" s="87">
        <f t="shared" ca="1" si="85"/>
        <v>25</v>
      </c>
      <c r="X34" s="86">
        <f t="shared" ca="1" si="161"/>
        <v>50</v>
      </c>
      <c r="Y34" s="86">
        <f ca="1">IFERROR(__xludf.DUMMYFUNCTION("IMPORTRANGE(""https://docs.google.com/spreadsheets/d/1xQzEtGHhTTgxHh6YUkKY1P4dRyjVhS74dGswLfAASA4/edit?usp=sharing"",""ชัยภูมิ!J195"")"),50)</f>
        <v>50</v>
      </c>
      <c r="Z34" s="86">
        <f ca="1">IFERROR(__xludf.DUMMYFUNCTION("IMPORTRANGE(""https://docs.google.com/spreadsheets/d/1xQzEtGHhTTgxHh6YUkKY1P4dRyjVhS74dGswLfAASA4/edit?usp=sharing"",""ชัยภูมิ!J196"")"),0)</f>
        <v>0</v>
      </c>
      <c r="AA34" s="86">
        <f ca="1">IFERROR(__xludf.DUMMYFUNCTION("IMPORTRANGE(""https://docs.google.com/spreadsheets/d/1xQzEtGHhTTgxHh6YUkKY1P4dRyjVhS74dGswLfAASA4/edit?usp=sharing"",""ชัยภูมิ!L199"")"),4000)</f>
        <v>4000</v>
      </c>
      <c r="AB34" s="86">
        <f ca="1">IFERROR(__xludf.DUMMYFUNCTION("IMPORTRANGE(""https://docs.google.com/spreadsheets/d/1xQzEtGHhTTgxHh6YUkKY1P4dRyjVhS74dGswLfAASA4/edit?usp=sharing"",""ชัยภูมิ!N199"")"),0)</f>
        <v>0</v>
      </c>
      <c r="AC34" s="87">
        <f t="shared" ca="1" si="86"/>
        <v>0</v>
      </c>
      <c r="AD34" s="86">
        <f ca="1">IFERROR(__xludf.DUMMYFUNCTION("IMPORTRANGE(""https://docs.google.com/spreadsheets/d/1xQzEtGHhTTgxHh6YUkKY1P4dRyjVhS74dGswLfAASA4/edit?usp=sharing"",""ชัยภูมิ!L200"")"),32000)</f>
        <v>32000</v>
      </c>
      <c r="AE34" s="86">
        <f ca="1">IFERROR(__xludf.DUMMYFUNCTION("IMPORTRANGE(""https://docs.google.com/spreadsheets/d/1xQzEtGHhTTgxHh6YUkKY1P4dRyjVhS74dGswLfAASA4/edit?usp=sharing"",""ชัยภูมิ!N200"")"),0)</f>
        <v>0</v>
      </c>
      <c r="AF34" s="87">
        <f t="shared" ca="1" si="87"/>
        <v>0</v>
      </c>
      <c r="AG34" s="86">
        <f ca="1">IFERROR(__xludf.DUMMYFUNCTION("IMPORTRANGE(""https://docs.google.com/spreadsheets/d/1xQzEtGHhTTgxHh6YUkKY1P4dRyjVhS74dGswLfAASA4/edit?usp=sharing"",""ชัยภูมิ!L201"")"),16000)</f>
        <v>16000</v>
      </c>
      <c r="AH34" s="86">
        <f ca="1">IFERROR(__xludf.DUMMYFUNCTION("IMPORTRANGE(""https://docs.google.com/spreadsheets/d/1xQzEtGHhTTgxHh6YUkKY1P4dRyjVhS74dGswLfAASA4/edit?usp=sharing"",""ชัยภูมิ!N201"")"),0)</f>
        <v>0</v>
      </c>
      <c r="AI34" s="87">
        <f t="shared" ca="1" si="88"/>
        <v>0</v>
      </c>
      <c r="AJ34" s="86">
        <f ca="1">IFERROR(__xludf.DUMMYFUNCTION("IMPORTRANGE(""https://docs.google.com/spreadsheets/d/1xQzEtGHhTTgxHh6YUkKY1P4dRyjVhS74dGswLfAASA4/edit?usp=sharing"",""ชัยภูมิ!L202"")"),0)</f>
        <v>0</v>
      </c>
      <c r="AK34" s="86">
        <f ca="1">IFERROR(__xludf.DUMMYFUNCTION("IMPORTRANGE(""https://docs.google.com/spreadsheets/d/1xQzEtGHhTTgxHh6YUkKY1P4dRyjVhS74dGswLfAASA4/edit?usp=sharing"",""ชัยภูมิ!N202"")"),0)</f>
        <v>0</v>
      </c>
      <c r="AL34" s="87">
        <f t="shared" ca="1" si="89"/>
        <v>0</v>
      </c>
      <c r="AM34" s="86">
        <f ca="1">IFERROR(__xludf.DUMMYFUNCTION("IMPORTRANGE(""https://docs.google.com/spreadsheets/d/1xQzEtGHhTTgxHh6YUkKY1P4dRyjVhS74dGswLfAASA4/edit?usp=sharing"",""ชัยภูมิ!I204"")"),4)</f>
        <v>4</v>
      </c>
      <c r="AN34" s="86">
        <f ca="1">IFERROR(__xludf.DUMMYFUNCTION("IMPORTRANGE(""https://docs.google.com/spreadsheets/d/1xQzEtGHhTTgxHh6YUkKY1P4dRyjVhS74dGswLfAASA4/edit?usp=sharing"",""ชัยภูมิ!J204"")"),0)</f>
        <v>0</v>
      </c>
      <c r="AO34" s="87">
        <f t="shared" ca="1" si="90"/>
        <v>0</v>
      </c>
      <c r="AP34" s="298">
        <f ca="1">IFERROR(__xludf.DUMMYFUNCTION("IMPORTRANGE(""https://docs.google.com/spreadsheets/d/1xQzEtGHhTTgxHh6YUkKY1P4dRyjVhS74dGswLfAASA4/edit?usp=sharing"",""ชัยภูมิ!J206"")"),0)</f>
        <v>0</v>
      </c>
      <c r="AQ34" s="298">
        <f ca="1">IFERROR(__xludf.DUMMYFUNCTION("IMPORTRANGE(""https://docs.google.com/spreadsheets/d/1xQzEtGHhTTgxHh6YUkKY1P4dRyjVhS74dGswLfAASA4/edit?usp=sharing"",""ชัยภูมิ!J207"")"),0)</f>
        <v>0</v>
      </c>
      <c r="AR34" s="86">
        <f ca="1">IFERROR(__xludf.DUMMYFUNCTION("IMPORTRANGE(""https://docs.google.com/spreadsheets/d/1xQzEtGHhTTgxHh6YUkKY1P4dRyjVhS74dGswLfAASA4/edit?usp=sharing"",""ชัยภูมิ!L210"")"),0)</f>
        <v>0</v>
      </c>
      <c r="AS34" s="86">
        <f ca="1">IFERROR(__xludf.DUMMYFUNCTION("IMPORTRANGE(""https://docs.google.com/spreadsheets/d/1xQzEtGHhTTgxHh6YUkKY1P4dRyjVhS74dGswLfAASA4/edit?usp=sharing"",""ชัยภูมิ!N210"")"),0)</f>
        <v>0</v>
      </c>
      <c r="AT34" s="87">
        <f t="shared" ca="1" si="91"/>
        <v>0</v>
      </c>
      <c r="AU34" s="86">
        <f ca="1">IFERROR(__xludf.DUMMYFUNCTION("IMPORTRANGE(""https://docs.google.com/spreadsheets/d/1xQzEtGHhTTgxHh6YUkKY1P4dRyjVhS74dGswLfAASA4/edit?usp=sharing"",""ชัยภูมิ!L211"")"),0)</f>
        <v>0</v>
      </c>
      <c r="AV34" s="86">
        <f ca="1">IFERROR(__xludf.DUMMYFUNCTION("IMPORTRANGE(""https://docs.google.com/spreadsheets/d/1xQzEtGHhTTgxHh6YUkKY1P4dRyjVhS74dGswLfAASA4/edit?usp=sharing"",""ชัยภูมิ!N211"")"),0)</f>
        <v>0</v>
      </c>
      <c r="AW34" s="87">
        <f t="shared" ca="1" si="92"/>
        <v>0</v>
      </c>
      <c r="AX34" s="86">
        <f ca="1">IFERROR(__xludf.DUMMYFUNCTION("IMPORTRANGE(""https://docs.google.com/spreadsheets/d/1xQzEtGHhTTgxHh6YUkKY1P4dRyjVhS74dGswLfAASA4/edit?usp=sharing"",""ชัยภูมิ!L212"")"),0)</f>
        <v>0</v>
      </c>
      <c r="AY34" s="86">
        <f ca="1">IFERROR(__xludf.DUMMYFUNCTION("IMPORTRANGE(""https://docs.google.com/spreadsheets/d/1xQzEtGHhTTgxHh6YUkKY1P4dRyjVhS74dGswLfAASA4/edit?usp=sharing"",""ชัยภูมิ!N212"")"),0)</f>
        <v>0</v>
      </c>
      <c r="AZ34" s="87">
        <f t="shared" ca="1" si="93"/>
        <v>0</v>
      </c>
      <c r="BA34" s="86">
        <f ca="1">IFERROR(__xludf.DUMMYFUNCTION("IMPORTRANGE(""https://docs.google.com/spreadsheets/d/1xQzEtGHhTTgxHh6YUkKY1P4dRyjVhS74dGswLfAASA4/edit?usp=sharing"",""ชัยภูมิ!I214"")"),0)</f>
        <v>0</v>
      </c>
      <c r="BB34" s="86">
        <f ca="1">IFERROR(__xludf.DUMMYFUNCTION("IMPORTRANGE(""https://docs.google.com/spreadsheets/d/1xQzEtGHhTTgxHh6YUkKY1P4dRyjVhS74dGswLfAASA4/edit?usp=sharing"",""ชัยภูมิ!J214"")"),0)</f>
        <v>0</v>
      </c>
      <c r="BC34" s="87">
        <f t="shared" ca="1" si="94"/>
        <v>0</v>
      </c>
      <c r="BD34" s="86">
        <f ca="1">IFERROR(__xludf.DUMMYFUNCTION("IMPORTRANGE(""https://docs.google.com/spreadsheets/d/1xQzEtGHhTTgxHh6YUkKY1P4dRyjVhS74dGswLfAASA4/edit?usp=sharing"",""ชัยภูมิ!I215"")"),0)</f>
        <v>0</v>
      </c>
      <c r="BE34" s="86">
        <f ca="1">IFERROR(__xludf.DUMMYFUNCTION("IMPORTRANGE(""https://docs.google.com/spreadsheets/d/1xQzEtGHhTTgxHh6YUkKY1P4dRyjVhS74dGswLfAASA4/edit?usp=sharing"",""ชัยภูมิ!J215"")"),0)</f>
        <v>0</v>
      </c>
      <c r="BF34" s="87">
        <f t="shared" ca="1" si="95"/>
        <v>0</v>
      </c>
      <c r="BG34" s="86">
        <f ca="1">IFERROR(__xludf.DUMMYFUNCTION("IMPORTRANGE(""https://docs.google.com/spreadsheets/d/1xQzEtGHhTTgxHh6YUkKY1P4dRyjVhS74dGswLfAASA4/edit?usp=sharing"",""ชัยภูมิ!L218"")"),5000)</f>
        <v>5000</v>
      </c>
      <c r="BH34" s="86">
        <f ca="1">IFERROR(__xludf.DUMMYFUNCTION("IMPORTRANGE(""https://docs.google.com/spreadsheets/d/1xQzEtGHhTTgxHh6YUkKY1P4dRyjVhS74dGswLfAASA4/edit?usp=sharing"",""ชัยภูมิ!N218"")"),0)</f>
        <v>0</v>
      </c>
      <c r="BI34" s="87">
        <f t="shared" ca="1" si="96"/>
        <v>0</v>
      </c>
      <c r="BJ34" s="86">
        <f ca="1">IFERROR(__xludf.DUMMYFUNCTION("IMPORTRANGE(""https://docs.google.com/spreadsheets/d/1xQzEtGHhTTgxHh6YUkKY1P4dRyjVhS74dGswLfAASA4/edit?usp=sharing"",""ชัยภูมิ!L219"")"),13500)</f>
        <v>13500</v>
      </c>
      <c r="BK34" s="86">
        <f ca="1">IFERROR(__xludf.DUMMYFUNCTION("IMPORTRANGE(""https://docs.google.com/spreadsheets/d/1xQzEtGHhTTgxHh6YUkKY1P4dRyjVhS74dGswLfAASA4/edit?usp=sharing"",""ชัยภูมิ!N219"")"),0)</f>
        <v>0</v>
      </c>
      <c r="BL34" s="87">
        <f t="shared" ca="1" si="97"/>
        <v>0</v>
      </c>
      <c r="BM34" s="86">
        <f ca="1">IFERROR(__xludf.DUMMYFUNCTION("IMPORTRANGE(""https://docs.google.com/spreadsheets/d/1xQzEtGHhTTgxHh6YUkKY1P4dRyjVhS74dGswLfAASA4/edit?usp=sharing"",""ชัยภูมิ!L220"")"),0)</f>
        <v>0</v>
      </c>
      <c r="BN34" s="86">
        <f ca="1">IFERROR(__xludf.DUMMYFUNCTION("IMPORTRANGE(""https://docs.google.com/spreadsheets/d/1xQzEtGHhTTgxHh6YUkKY1P4dRyjVhS74dGswLfAASA4/edit?usp=sharing"",""ชัยภูมิ!N220"")"),0)</f>
        <v>0</v>
      </c>
      <c r="BO34" s="87">
        <f t="shared" ca="1" si="98"/>
        <v>0</v>
      </c>
      <c r="BP34" s="86">
        <f ca="1">IFERROR(__xludf.DUMMYFUNCTION("IMPORTRANGE(""https://docs.google.com/spreadsheets/d/1xQzEtGHhTTgxHh6YUkKY1P4dRyjVhS74dGswLfAASA4/edit?usp=sharing"",""ชัยภูมิ!I223"")"),50000)</f>
        <v>50000</v>
      </c>
      <c r="BQ34" s="86">
        <f ca="1">IFERROR(__xludf.DUMMYFUNCTION("IMPORTRANGE(""https://docs.google.com/spreadsheets/d/1xQzEtGHhTTgxHh6YUkKY1P4dRyjVhS74dGswLfAASA4/edit?usp=sharing"",""ชัยภูมิ!J223"")"),0)</f>
        <v>0</v>
      </c>
      <c r="BR34" s="87">
        <f t="shared" ca="1" si="99"/>
        <v>0</v>
      </c>
      <c r="BS34" s="86">
        <f ca="1">IFERROR(__xludf.DUMMYFUNCTION("IMPORTRANGE(""https://docs.google.com/spreadsheets/d/1xQzEtGHhTTgxHh6YUkKY1P4dRyjVhS74dGswLfAASA4/edit?usp=sharing"",""ชัยภูมิ!I224"")"),50000)</f>
        <v>50000</v>
      </c>
      <c r="BT34" s="86">
        <f ca="1">IFERROR(__xludf.DUMMYFUNCTION("IMPORTRANGE(""https://docs.google.com/spreadsheets/d/1xQzEtGHhTTgxHh6YUkKY1P4dRyjVhS74dGswLfAASA4/edit?usp=sharing"",""ชัยภูมิ!J224"")"),0)</f>
        <v>0</v>
      </c>
      <c r="BU34" s="87">
        <f t="shared" ca="1" si="100"/>
        <v>0</v>
      </c>
      <c r="BV34" s="86">
        <f ca="1">IFERROR(__xludf.DUMMYFUNCTION("IMPORTRANGE(""https://docs.google.com/spreadsheets/d/1xQzEtGHhTTgxHh6YUkKY1P4dRyjVhS74dGswLfAASA4/edit?usp=sharing"",""ชัยภูมิ!I225"")"),0)</f>
        <v>0</v>
      </c>
      <c r="BW34" s="86">
        <f ca="1">IFERROR(__xludf.DUMMYFUNCTION("IMPORTRANGE(""https://docs.google.com/spreadsheets/d/1xQzEtGHhTTgxHh6YUkKY1P4dRyjVhS74dGswLfAASA4/edit?usp=sharing"",""ชัยภูมิ!J225"")"),0)</f>
        <v>0</v>
      </c>
      <c r="BX34" s="87">
        <f t="shared" ca="1" si="101"/>
        <v>0</v>
      </c>
      <c r="BY34" s="86">
        <f ca="1">IFERROR(__xludf.DUMMYFUNCTION("IMPORTRANGE(""https://docs.google.com/spreadsheets/d/1xQzEtGHhTTgxHh6YUkKY1P4dRyjVhS74dGswLfAASA4/edit?usp=sharing"",""ชัยภูมิ!L228"")"),0)</f>
        <v>0</v>
      </c>
      <c r="BZ34" s="86">
        <f ca="1">IFERROR(__xludf.DUMMYFUNCTION("IMPORTRANGE(""https://docs.google.com/spreadsheets/d/1xQzEtGHhTTgxHh6YUkKY1P4dRyjVhS74dGswLfAASA4/edit?usp=sharing"",""ชัยภูมิ!N228"")"),0)</f>
        <v>0</v>
      </c>
      <c r="CA34" s="87">
        <f t="shared" ca="1" si="102"/>
        <v>0</v>
      </c>
      <c r="CB34" s="86">
        <f ca="1">IFERROR(__xludf.DUMMYFUNCTION("IMPORTRANGE(""https://docs.google.com/spreadsheets/d/1xQzEtGHhTTgxHh6YUkKY1P4dRyjVhS74dGswLfAASA4/edit?usp=sharing"",""ชัยภูมิ!L229"")"),0)</f>
        <v>0</v>
      </c>
      <c r="CC34" s="86">
        <f ca="1">IFERROR(__xludf.DUMMYFUNCTION("IMPORTRANGE(""https://docs.google.com/spreadsheets/d/1xQzEtGHhTTgxHh6YUkKY1P4dRyjVhS74dGswLfAASA4/edit?usp=sharing"",""ชัยภูมิ!N229"")"),0)</f>
        <v>0</v>
      </c>
      <c r="CD34" s="87">
        <f t="shared" ca="1" si="103"/>
        <v>0</v>
      </c>
      <c r="CE34" s="86">
        <f ca="1">IFERROR(__xludf.DUMMYFUNCTION("IMPORTRANGE(""https://docs.google.com/spreadsheets/d/1xQzEtGHhTTgxHh6YUkKY1P4dRyjVhS74dGswLfAASA4/edit?usp=sharing"",""ชัยภูมิ!L230"")"),0)</f>
        <v>0</v>
      </c>
      <c r="CF34" s="86">
        <f ca="1">IFERROR(__xludf.DUMMYFUNCTION("IMPORTRANGE(""https://docs.google.com/spreadsheets/d/1xQzEtGHhTTgxHh6YUkKY1P4dRyjVhS74dGswLfAASA4/edit?usp=sharing"",""ชัยภูมิ!N230"")"),0)</f>
        <v>0</v>
      </c>
      <c r="CG34" s="87">
        <f t="shared" ca="1" si="104"/>
        <v>0</v>
      </c>
      <c r="CH34" s="86">
        <f ca="1">IFERROR(__xludf.DUMMYFUNCTION("IMPORTRANGE(""https://docs.google.com/spreadsheets/d/1xQzEtGHhTTgxHh6YUkKY1P4dRyjVhS74dGswLfAASA4/edit?usp=sharing"",""ชัยภูมิ!L231"")"),0)</f>
        <v>0</v>
      </c>
      <c r="CI34" s="86">
        <f ca="1">IFERROR(__xludf.DUMMYFUNCTION("IMPORTRANGE(""https://docs.google.com/spreadsheets/d/1xQzEtGHhTTgxHh6YUkKY1P4dRyjVhS74dGswLfAASA4/edit?usp=sharing"",""ชัยภูมิ!N231"")"),0)</f>
        <v>0</v>
      </c>
      <c r="CJ34" s="87">
        <f t="shared" ca="1" si="105"/>
        <v>0</v>
      </c>
      <c r="CK34" s="86">
        <f ca="1">IFERROR(__xludf.DUMMYFUNCTION("IMPORTRANGE(""https://docs.google.com/spreadsheets/d/1xQzEtGHhTTgxHh6YUkKY1P4dRyjVhS74dGswLfAASA4/edit?usp=sharing"",""ชัยภูมิ!I233"")"),0)</f>
        <v>0</v>
      </c>
      <c r="CL34" s="86">
        <f ca="1">IFERROR(__xludf.DUMMYFUNCTION("IMPORTRANGE(""https://docs.google.com/spreadsheets/d/1xQzEtGHhTTgxHh6YUkKY1P4dRyjVhS74dGswLfAASA4/edit?usp=sharing"",""ชัยภูมิ!J233"")"),0)</f>
        <v>0</v>
      </c>
      <c r="CM34" s="87">
        <f t="shared" ca="1" si="106"/>
        <v>0</v>
      </c>
      <c r="CN34" s="86">
        <f ca="1">IFERROR(__xludf.DUMMYFUNCTION("IMPORTRANGE(""https://docs.google.com/spreadsheets/d/1xQzEtGHhTTgxHh6YUkKY1P4dRyjVhS74dGswLfAASA4/edit?usp=sharing"",""ชัยภูมิ!J235"")"),0)</f>
        <v>0</v>
      </c>
      <c r="CO34" s="86">
        <f ca="1">IFERROR(__xludf.DUMMYFUNCTION("IMPORTRANGE(""https://docs.google.com/spreadsheets/d/1xQzEtGHhTTgxHh6YUkKY1P4dRyjVhS74dGswLfAASA4/edit?usp=sharing"",""ชัยภูมิ!J236"")"),0)</f>
        <v>0</v>
      </c>
    </row>
    <row r="35" spans="1:93" ht="21" customHeight="1" x14ac:dyDescent="0.3">
      <c r="A35" s="78">
        <v>4</v>
      </c>
      <c r="B35" s="79" t="s">
        <v>57</v>
      </c>
      <c r="C35" s="80">
        <f t="shared" ca="1" si="0"/>
        <v>65500</v>
      </c>
      <c r="D35" s="81">
        <f t="shared" ca="1" si="160"/>
        <v>65500</v>
      </c>
      <c r="E35" s="82">
        <f ca="1">IFERROR(__xludf.DUMMYFUNCTION("IMPORTRANGE(""https://docs.google.com/spreadsheets/d/1MeEWN-I1oV_STSDYn1IFDPWt_1FKiwhDph83XaGc0o0/edit?usp=sharing"",""งบพรบ!CP35"")"),0)</f>
        <v>0</v>
      </c>
      <c r="F35" s="82">
        <f ca="1">IFERROR(__xludf.DUMMYFUNCTION("IMPORTRANGE(""https://docs.google.com/spreadsheets/d/1MeEWN-I1oV_STSDYn1IFDPWt_1FKiwhDph83XaGc0o0/edit?usp=sharing"",""งบพรบ!CQ35"")"),65500)</f>
        <v>65500</v>
      </c>
      <c r="G35" s="82">
        <f ca="1">IFERROR(__xludf.DUMMYFUNCTION("IMPORTRANGE(""https://docs.google.com/spreadsheets/d/1MeEWN-I1oV_STSDYn1IFDPWt_1FKiwhDph83XaGc0o0/edit?usp=sharing"",""งบพรบ!CR35"")"),0)</f>
        <v>0</v>
      </c>
      <c r="H35" s="82">
        <f ca="1">IFERROR(__xludf.DUMMYFUNCTION("IMPORTRANGE(""https://docs.google.com/spreadsheets/d/1MeEWN-I1oV_STSDYn1IFDPWt_1FKiwhDph83XaGc0o0/edit?usp=sharing"",""งบพรบ!CT35"")"),60500)</f>
        <v>60500</v>
      </c>
      <c r="I35" s="82">
        <f ca="1">IFERROR(__xludf.DUMMYFUNCTION("IMPORTRANGE(""https://docs.google.com/spreadsheets/d/1MeEWN-I1oV_STSDYn1IFDPWt_1FKiwhDph83XaGc0o0/edit?usp=sharing"",""งบพรบ!CU35"")"),0)</f>
        <v>0</v>
      </c>
      <c r="J35" s="82">
        <f t="shared" ca="1" si="3"/>
        <v>32000</v>
      </c>
      <c r="K35" s="83">
        <f t="shared" ca="1" si="4"/>
        <v>48.854961832061072</v>
      </c>
      <c r="L35" s="82">
        <f ca="1">IFERROR(__xludf.DUMMYFUNCTION("IMPORTRANGE(""https://docs.google.com/spreadsheets/d/1MeEWN-I1oV_STSDYn1IFDPWt_1FKiwhDph83XaGc0o0/edit?usp=sharing"",""งบพรบ!CV35"")"),32000)</f>
        <v>32000</v>
      </c>
      <c r="M35" s="84">
        <f t="shared" ca="1" si="5"/>
        <v>48.854961832061072</v>
      </c>
      <c r="N35" s="84">
        <f t="shared" ca="1" si="6"/>
        <v>52.892561983471076</v>
      </c>
      <c r="O35" s="85">
        <f ca="1">IFERROR(__xludf.DUMMYFUNCTION("IMPORTRANGE(""https://docs.google.com/spreadsheets/d/1MeEWN-I1oV_STSDYn1IFDPWt_1FKiwhDph83XaGc0o0/edit?usp=sharing"",""งบพรบ!CW35"")"),0)</f>
        <v>0</v>
      </c>
      <c r="P35" s="85">
        <f t="shared" ca="1" si="108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IFERROR(__xludf.DUMMYFUNCTION("IMPORTRANGE(""https://docs.google.com/spreadsheets/d/1EXMBoBxU3OFbjT2TRpneM33qFjqDzrKmn9ydcflfI0o/edit?usp=sharing"",""นครพนม!L191"")"),6000)</f>
        <v>6000</v>
      </c>
      <c r="S35" s="86">
        <f ca="1">IFERROR(__xludf.DUMMYFUNCTION("IMPORTRANGE(""https://docs.google.com/spreadsheets/d/1EXMBoBxU3OFbjT2TRpneM33qFjqDzrKmn9ydcflfI0o/edit?usp=sharing"",""นครพนม!N191"")"),0)</f>
        <v>0</v>
      </c>
      <c r="T35" s="87">
        <f t="shared" ca="1" si="84"/>
        <v>0</v>
      </c>
      <c r="U35" s="86">
        <f ca="1">IFERROR(__xludf.DUMMYFUNCTION("IMPORTRANGE(""https://docs.google.com/spreadsheets/d/1EXMBoBxU3OFbjT2TRpneM33qFjqDzrKmn9ydcflfI0o/edit?usp=sharing"",""นครพนม!I193"")"),4)</f>
        <v>4</v>
      </c>
      <c r="V35" s="86">
        <f ca="1">IFERROR(__xludf.DUMMYFUNCTION("IMPORTRANGE(""https://docs.google.com/spreadsheets/d/1EXMBoBxU3OFbjT2TRpneM33qFjqDzrKmn9ydcflfI0o/edit?usp=sharing"",""นครพนม!J193"")"),1)</f>
        <v>1</v>
      </c>
      <c r="W35" s="87">
        <f t="shared" ca="1" si="85"/>
        <v>25</v>
      </c>
      <c r="X35" s="86">
        <f t="shared" ca="1" si="161"/>
        <v>0</v>
      </c>
      <c r="Y35" s="86">
        <f ca="1">IFERROR(__xludf.DUMMYFUNCTION("IMPORTRANGE(""https://docs.google.com/spreadsheets/d/1EXMBoBxU3OFbjT2TRpneM33qFjqDzrKmn9ydcflfI0o/edit?usp=sharing"",""นครพนม!J195"")"),0)</f>
        <v>0</v>
      </c>
      <c r="Z35" s="86">
        <f ca="1">IFERROR(__xludf.DUMMYFUNCTION("IMPORTRANGE(""https://docs.google.com/spreadsheets/d/1EXMBoBxU3OFbjT2TRpneM33qFjqDzrKmn9ydcflfI0o/edit?usp=sharing"",""นครพนม!J196"")"),0)</f>
        <v>0</v>
      </c>
      <c r="AA35" s="86">
        <f ca="1">IFERROR(__xludf.DUMMYFUNCTION("IMPORTRANGE(""https://docs.google.com/spreadsheets/d/1EXMBoBxU3OFbjT2TRpneM33qFjqDzrKmn9ydcflfI0o/edit?usp=sharing"",""นครพนม!L199"")"),3000)</f>
        <v>3000</v>
      </c>
      <c r="AB35" s="86">
        <f ca="1">IFERROR(__xludf.DUMMYFUNCTION("IMPORTRANGE(""https://docs.google.com/spreadsheets/d/1EXMBoBxU3OFbjT2TRpneM33qFjqDzrKmn9ydcflfI0o/edit?usp=sharing"",""นครพนม!N199"")"),0)</f>
        <v>0</v>
      </c>
      <c r="AC35" s="87">
        <f t="shared" ca="1" si="86"/>
        <v>0</v>
      </c>
      <c r="AD35" s="86">
        <f ca="1">IFERROR(__xludf.DUMMYFUNCTION("IMPORTRANGE(""https://docs.google.com/spreadsheets/d/1EXMBoBxU3OFbjT2TRpneM33qFjqDzrKmn9ydcflfI0o/edit?usp=sharing"",""นครพนม!L200"")"),24000)</f>
        <v>24000</v>
      </c>
      <c r="AE35" s="86">
        <f ca="1">IFERROR(__xludf.DUMMYFUNCTION("IMPORTRANGE(""https://docs.google.com/spreadsheets/d/1EXMBoBxU3OFbjT2TRpneM33qFjqDzrKmn9ydcflfI0o/edit?usp=sharing"",""นครพนม!N200"")"),24000)</f>
        <v>24000</v>
      </c>
      <c r="AF35" s="87">
        <f t="shared" ca="1" si="87"/>
        <v>100</v>
      </c>
      <c r="AG35" s="86">
        <f ca="1">IFERROR(__xludf.DUMMYFUNCTION("IMPORTRANGE(""https://docs.google.com/spreadsheets/d/1EXMBoBxU3OFbjT2TRpneM33qFjqDzrKmn9ydcflfI0o/edit?usp=sharing"",""นครพนม!L201"")"),12000)</f>
        <v>12000</v>
      </c>
      <c r="AH35" s="86">
        <f ca="1">IFERROR(__xludf.DUMMYFUNCTION("IMPORTRANGE(""https://docs.google.com/spreadsheets/d/1EXMBoBxU3OFbjT2TRpneM33qFjqDzrKmn9ydcflfI0o/edit?usp=sharing"",""นครพนม!N201"")"),0)</f>
        <v>0</v>
      </c>
      <c r="AI35" s="87">
        <f t="shared" ca="1" si="88"/>
        <v>0</v>
      </c>
      <c r="AJ35" s="86">
        <f ca="1">IFERROR(__xludf.DUMMYFUNCTION("IMPORTRANGE(""https://docs.google.com/spreadsheets/d/1EXMBoBxU3OFbjT2TRpneM33qFjqDzrKmn9ydcflfI0o/edit?usp=sharing"",""นครพนม!L202"")"),0)</f>
        <v>0</v>
      </c>
      <c r="AK35" s="86">
        <f ca="1">IFERROR(__xludf.DUMMYFUNCTION("IMPORTRANGE(""https://docs.google.com/spreadsheets/d/1EXMBoBxU3OFbjT2TRpneM33qFjqDzrKmn9ydcflfI0o/edit?usp=sharing"",""นครพนม!N202"")"),0)</f>
        <v>0</v>
      </c>
      <c r="AL35" s="87">
        <f t="shared" ca="1" si="89"/>
        <v>0</v>
      </c>
      <c r="AM35" s="86">
        <f ca="1">IFERROR(__xludf.DUMMYFUNCTION("IMPORTRANGE(""https://docs.google.com/spreadsheets/d/1EXMBoBxU3OFbjT2TRpneM33qFjqDzrKmn9ydcflfI0o/edit?usp=sharing"",""นครพนม!I204"")"),3)</f>
        <v>3</v>
      </c>
      <c r="AN35" s="86">
        <f ca="1">IFERROR(__xludf.DUMMYFUNCTION("IMPORTRANGE(""https://docs.google.com/spreadsheets/d/1EXMBoBxU3OFbjT2TRpneM33qFjqDzrKmn9ydcflfI0o/edit?usp=sharing"",""นครพนม!J204"")"),3)</f>
        <v>3</v>
      </c>
      <c r="AO35" s="87">
        <f t="shared" ca="1" si="90"/>
        <v>100</v>
      </c>
      <c r="AP35" s="298">
        <f ca="1">IFERROR(__xludf.DUMMYFUNCTION("IMPORTRANGE(""https://docs.google.com/spreadsheets/d/1EXMBoBxU3OFbjT2TRpneM33qFjqDzrKmn9ydcflfI0o/edit?usp=sharing"",""นครพนม!J206"")"),0)</f>
        <v>0</v>
      </c>
      <c r="AQ35" s="298">
        <f ca="1">IFERROR(__xludf.DUMMYFUNCTION("IMPORTRANGE(""https://docs.google.com/spreadsheets/d/1EXMBoBxU3OFbjT2TRpneM33qFjqDzrKmn9ydcflfI0o/edit?usp=sharing"",""นครพนม!J207"")"),0)</f>
        <v>0</v>
      </c>
      <c r="AR35" s="86">
        <f ca="1">IFERROR(__xludf.DUMMYFUNCTION("IMPORTRANGE(""https://docs.google.com/spreadsheets/d/1EXMBoBxU3OFbjT2TRpneM33qFjqDzrKmn9ydcflfI0o/edit?usp=sharing"",""นครพนม!L210"")"),1000)</f>
        <v>1000</v>
      </c>
      <c r="AS35" s="86">
        <f ca="1">IFERROR(__xludf.DUMMYFUNCTION("IMPORTRANGE(""https://docs.google.com/spreadsheets/d/1EXMBoBxU3OFbjT2TRpneM33qFjqDzrKmn9ydcflfI0o/edit?usp=sharing"",""นครพนม!N210"")"),0)</f>
        <v>0</v>
      </c>
      <c r="AT35" s="87">
        <f t="shared" ca="1" si="91"/>
        <v>0</v>
      </c>
      <c r="AU35" s="86">
        <f ca="1">IFERROR(__xludf.DUMMYFUNCTION("IMPORTRANGE(""https://docs.google.com/spreadsheets/d/1EXMBoBxU3OFbjT2TRpneM33qFjqDzrKmn9ydcflfI0o/edit?usp=sharing"",""นครพนม!L211"")"),5000)</f>
        <v>5000</v>
      </c>
      <c r="AV35" s="86">
        <f ca="1">IFERROR(__xludf.DUMMYFUNCTION("IMPORTRANGE(""https://docs.google.com/spreadsheets/d/1EXMBoBxU3OFbjT2TRpneM33qFjqDzrKmn9ydcflfI0o/edit?usp=sharing"",""นครพนม!N211"")"),0)</f>
        <v>0</v>
      </c>
      <c r="AW35" s="87">
        <f t="shared" ca="1" si="92"/>
        <v>0</v>
      </c>
      <c r="AX35" s="86">
        <f ca="1">IFERROR(__xludf.DUMMYFUNCTION("IMPORTRANGE(""https://docs.google.com/spreadsheets/d/1EXMBoBxU3OFbjT2TRpneM33qFjqDzrKmn9ydcflfI0o/edit?usp=sharing"",""นครพนม!L212"")"),8000)</f>
        <v>8000</v>
      </c>
      <c r="AY35" s="86">
        <f ca="1">IFERROR(__xludf.DUMMYFUNCTION("IMPORTRANGE(""https://docs.google.com/spreadsheets/d/1EXMBoBxU3OFbjT2TRpneM33qFjqDzrKmn9ydcflfI0o/edit?usp=sharing"",""นครพนม!N212"")"),8000)</f>
        <v>8000</v>
      </c>
      <c r="AZ35" s="87">
        <f t="shared" ca="1" si="93"/>
        <v>100</v>
      </c>
      <c r="BA35" s="86">
        <f ca="1">IFERROR(__xludf.DUMMYFUNCTION("IMPORTRANGE(""https://docs.google.com/spreadsheets/d/1EXMBoBxU3OFbjT2TRpneM33qFjqDzrKmn9ydcflfI0o/edit?usp=sharing"",""นครพนม!I214"")"),1)</f>
        <v>1</v>
      </c>
      <c r="BB35" s="86">
        <f ca="1">IFERROR(__xludf.DUMMYFUNCTION("IMPORTRANGE(""https://docs.google.com/spreadsheets/d/1EXMBoBxU3OFbjT2TRpneM33qFjqDzrKmn9ydcflfI0o/edit?usp=sharing"",""นครพนม!J214"")"),0)</f>
        <v>0</v>
      </c>
      <c r="BC35" s="87">
        <f t="shared" ca="1" si="94"/>
        <v>0</v>
      </c>
      <c r="BD35" s="86">
        <f ca="1">IFERROR(__xludf.DUMMYFUNCTION("IMPORTRANGE(""https://docs.google.com/spreadsheets/d/1EXMBoBxU3OFbjT2TRpneM33qFjqDzrKmn9ydcflfI0o/edit?usp=sharing"",""นครพนม!I215"")"),1)</f>
        <v>1</v>
      </c>
      <c r="BE35" s="86">
        <f ca="1">IFERROR(__xludf.DUMMYFUNCTION("IMPORTRANGE(""https://docs.google.com/spreadsheets/d/1EXMBoBxU3OFbjT2TRpneM33qFjqDzrKmn9ydcflfI0o/edit?usp=sharing"",""นครพนม!J215"")"),1)</f>
        <v>1</v>
      </c>
      <c r="BF35" s="87">
        <f t="shared" ca="1" si="95"/>
        <v>100</v>
      </c>
      <c r="BG35" s="86">
        <f ca="1">IFERROR(__xludf.DUMMYFUNCTION("IMPORTRANGE(""https://docs.google.com/spreadsheets/d/1EXMBoBxU3OFbjT2TRpneM33qFjqDzrKmn9ydcflfI0o/edit?usp=sharing"",""นครพนม!L218"")"),3000)</f>
        <v>3000</v>
      </c>
      <c r="BH35" s="86">
        <f ca="1">IFERROR(__xludf.DUMMYFUNCTION("IMPORTRANGE(""https://docs.google.com/spreadsheets/d/1EXMBoBxU3OFbjT2TRpneM33qFjqDzrKmn9ydcflfI0o/edit?usp=sharing"",""นครพนม!N218"")"),0)</f>
        <v>0</v>
      </c>
      <c r="BI35" s="87">
        <f t="shared" ca="1" si="96"/>
        <v>0</v>
      </c>
      <c r="BJ35" s="86">
        <f ca="1">IFERROR(__xludf.DUMMYFUNCTION("IMPORTRANGE(""https://docs.google.com/spreadsheets/d/1EXMBoBxU3OFbjT2TRpneM33qFjqDzrKmn9ydcflfI0o/edit?usp=sharing"",""นครพนม!L219"")"),3500)</f>
        <v>3500</v>
      </c>
      <c r="BK35" s="86">
        <f ca="1">IFERROR(__xludf.DUMMYFUNCTION("IMPORTRANGE(""https://docs.google.com/spreadsheets/d/1EXMBoBxU3OFbjT2TRpneM33qFjqDzrKmn9ydcflfI0o/edit?usp=sharing"",""นครพนม!N219"")"),0)</f>
        <v>0</v>
      </c>
      <c r="BL35" s="87">
        <f t="shared" ca="1" si="97"/>
        <v>0</v>
      </c>
      <c r="BM35" s="86">
        <f ca="1">IFERROR(__xludf.DUMMYFUNCTION("IMPORTRANGE(""https://docs.google.com/spreadsheets/d/1EXMBoBxU3OFbjT2TRpneM33qFjqDzrKmn9ydcflfI0o/edit?usp=sharing"",""นครพนม!L220"")"),0)</f>
        <v>0</v>
      </c>
      <c r="BN35" s="86">
        <f ca="1">IFERROR(__xludf.DUMMYFUNCTION("IMPORTRANGE(""https://docs.google.com/spreadsheets/d/1EXMBoBxU3OFbjT2TRpneM33qFjqDzrKmn9ydcflfI0o/edit?usp=sharing"",""นครพนม!N220"")"),0)</f>
        <v>0</v>
      </c>
      <c r="BO35" s="87">
        <f t="shared" ca="1" si="98"/>
        <v>0</v>
      </c>
      <c r="BP35" s="86">
        <f ca="1">IFERROR(__xludf.DUMMYFUNCTION("IMPORTRANGE(""https://docs.google.com/spreadsheets/d/1EXMBoBxU3OFbjT2TRpneM33qFjqDzrKmn9ydcflfI0o/edit?usp=sharing"",""นครพนม!I223"")"),10000)</f>
        <v>10000</v>
      </c>
      <c r="BQ35" s="86">
        <f ca="1">IFERROR(__xludf.DUMMYFUNCTION("IMPORTRANGE(""https://docs.google.com/spreadsheets/d/1EXMBoBxU3OFbjT2TRpneM33qFjqDzrKmn9ydcflfI0o/edit?usp=sharing"",""นครพนม!J223"")"),0)</f>
        <v>0</v>
      </c>
      <c r="BR35" s="87">
        <f t="shared" ca="1" si="99"/>
        <v>0</v>
      </c>
      <c r="BS35" s="86">
        <f ca="1">IFERROR(__xludf.DUMMYFUNCTION("IMPORTRANGE(""https://docs.google.com/spreadsheets/d/1EXMBoBxU3OFbjT2TRpneM33qFjqDzrKmn9ydcflfI0o/edit?usp=sharing"",""นครพนม!I224"")"),10000)</f>
        <v>10000</v>
      </c>
      <c r="BT35" s="86">
        <f ca="1">IFERROR(__xludf.DUMMYFUNCTION("IMPORTRANGE(""https://docs.google.com/spreadsheets/d/1EXMBoBxU3OFbjT2TRpneM33qFjqDzrKmn9ydcflfI0o/edit?usp=sharing"",""นครพนม!J224"")"),0)</f>
        <v>0</v>
      </c>
      <c r="BU35" s="87">
        <f t="shared" ca="1" si="100"/>
        <v>0</v>
      </c>
      <c r="BV35" s="86">
        <f ca="1">IFERROR(__xludf.DUMMYFUNCTION("IMPORTRANGE(""https://docs.google.com/spreadsheets/d/1EXMBoBxU3OFbjT2TRpneM33qFjqDzrKmn9ydcflfI0o/edit?usp=sharing"",""นครพนม!I225"")"),0)</f>
        <v>0</v>
      </c>
      <c r="BW35" s="86">
        <f ca="1">IFERROR(__xludf.DUMMYFUNCTION("IMPORTRANGE(""https://docs.google.com/spreadsheets/d/1EXMBoBxU3OFbjT2TRpneM33qFjqDzrKmn9ydcflfI0o/edit?usp=sharing"",""นครพนม!J225"")"),0)</f>
        <v>0</v>
      </c>
      <c r="BX35" s="87">
        <f t="shared" ca="1" si="101"/>
        <v>0</v>
      </c>
      <c r="BY35" s="86">
        <f ca="1">IFERROR(__xludf.DUMMYFUNCTION("IMPORTRANGE(""https://docs.google.com/spreadsheets/d/1EXMBoBxU3OFbjT2TRpneM33qFjqDzrKmn9ydcflfI0o/edit?usp=sharing"",""นครพนม!L228"")"),0)</f>
        <v>0</v>
      </c>
      <c r="BZ35" s="86">
        <f ca="1">IFERROR(__xludf.DUMMYFUNCTION("IMPORTRANGE(""https://docs.google.com/spreadsheets/d/1EXMBoBxU3OFbjT2TRpneM33qFjqDzrKmn9ydcflfI0o/edit?usp=sharing"",""นครพนม!N228"")"),0)</f>
        <v>0</v>
      </c>
      <c r="CA35" s="87">
        <f t="shared" ca="1" si="102"/>
        <v>0</v>
      </c>
      <c r="CB35" s="86">
        <f ca="1">IFERROR(__xludf.DUMMYFUNCTION("IMPORTRANGE(""https://docs.google.com/spreadsheets/d/1EXMBoBxU3OFbjT2TRpneM33qFjqDzrKmn9ydcflfI0o/edit?usp=sharing"",""นครพนม!L229"")"),0)</f>
        <v>0</v>
      </c>
      <c r="CC35" s="86">
        <f ca="1">IFERROR(__xludf.DUMMYFUNCTION("IMPORTRANGE(""https://docs.google.com/spreadsheets/d/1EXMBoBxU3OFbjT2TRpneM33qFjqDzrKmn9ydcflfI0o/edit?usp=sharing"",""นครพนม!N229"")"),0)</f>
        <v>0</v>
      </c>
      <c r="CD35" s="87">
        <f t="shared" ca="1" si="103"/>
        <v>0</v>
      </c>
      <c r="CE35" s="86">
        <f ca="1">IFERROR(__xludf.DUMMYFUNCTION("IMPORTRANGE(""https://docs.google.com/spreadsheets/d/1EXMBoBxU3OFbjT2TRpneM33qFjqDzrKmn9ydcflfI0o/edit?usp=sharing"",""นครพนม!L230"")"),0)</f>
        <v>0</v>
      </c>
      <c r="CF35" s="86">
        <f ca="1">IFERROR(__xludf.DUMMYFUNCTION("IMPORTRANGE(""https://docs.google.com/spreadsheets/d/1EXMBoBxU3OFbjT2TRpneM33qFjqDzrKmn9ydcflfI0o/edit?usp=sharing"",""นครพนม!N230"")"),0)</f>
        <v>0</v>
      </c>
      <c r="CG35" s="87">
        <f t="shared" ca="1" si="104"/>
        <v>0</v>
      </c>
      <c r="CH35" s="86">
        <f ca="1">IFERROR(__xludf.DUMMYFUNCTION("IMPORTRANGE(""https://docs.google.com/spreadsheets/d/1EXMBoBxU3OFbjT2TRpneM33qFjqDzrKmn9ydcflfI0o/edit?usp=sharing"",""นครพนม!L231"")"),0)</f>
        <v>0</v>
      </c>
      <c r="CI35" s="86">
        <f ca="1">IFERROR(__xludf.DUMMYFUNCTION("IMPORTRANGE(""https://docs.google.com/spreadsheets/d/1EXMBoBxU3OFbjT2TRpneM33qFjqDzrKmn9ydcflfI0o/edit?usp=sharing"",""นครพนม!N231"")"),0)</f>
        <v>0</v>
      </c>
      <c r="CJ35" s="87">
        <f t="shared" ca="1" si="105"/>
        <v>0</v>
      </c>
      <c r="CK35" s="86">
        <f ca="1">IFERROR(__xludf.DUMMYFUNCTION("IMPORTRANGE(""https://docs.google.com/spreadsheets/d/1EXMBoBxU3OFbjT2TRpneM33qFjqDzrKmn9ydcflfI0o/edit?usp=sharing"",""นครพนม!I233"")"),0)</f>
        <v>0</v>
      </c>
      <c r="CL35" s="86">
        <f ca="1">IFERROR(__xludf.DUMMYFUNCTION("IMPORTRANGE(""https://docs.google.com/spreadsheets/d/1EXMBoBxU3OFbjT2TRpneM33qFjqDzrKmn9ydcflfI0o/edit?usp=sharing"",""นครพนม!J233"")"),0)</f>
        <v>0</v>
      </c>
      <c r="CM35" s="87">
        <f t="shared" ca="1" si="106"/>
        <v>0</v>
      </c>
      <c r="CN35" s="86">
        <f ca="1">IFERROR(__xludf.DUMMYFUNCTION("IMPORTRANGE(""https://docs.google.com/spreadsheets/d/1EXMBoBxU3OFbjT2TRpneM33qFjqDzrKmn9ydcflfI0o/edit?usp=sharing"",""นครพนม!J235"")"),0)</f>
        <v>0</v>
      </c>
      <c r="CO35" s="86">
        <f ca="1">IFERROR(__xludf.DUMMYFUNCTION("IMPORTRANGE(""https://docs.google.com/spreadsheets/d/1EXMBoBxU3OFbjT2TRpneM33qFjqDzrKmn9ydcflfI0o/edit?usp=sharing"",""นครพนม!J236"")"),0)</f>
        <v>0</v>
      </c>
    </row>
    <row r="36" spans="1:93" ht="21" customHeight="1" x14ac:dyDescent="0.3">
      <c r="A36" s="78">
        <v>5</v>
      </c>
      <c r="B36" s="79" t="s">
        <v>58</v>
      </c>
      <c r="C36" s="80">
        <f t="shared" ca="1" si="0"/>
        <v>583500</v>
      </c>
      <c r="D36" s="81">
        <f t="shared" ca="1" si="160"/>
        <v>583500</v>
      </c>
      <c r="E36" s="82">
        <f ca="1">IFERROR(__xludf.DUMMYFUNCTION("IMPORTRANGE(""https://docs.google.com/spreadsheets/d/1MeEWN-I1oV_STSDYn1IFDPWt_1FKiwhDph83XaGc0o0/edit?usp=sharing"",""งบพรบ!CP36"")"),518000)</f>
        <v>518000</v>
      </c>
      <c r="F36" s="82">
        <f ca="1">IFERROR(__xludf.DUMMYFUNCTION("IMPORTRANGE(""https://docs.google.com/spreadsheets/d/1MeEWN-I1oV_STSDYn1IFDPWt_1FKiwhDph83XaGc0o0/edit?usp=sharing"",""งบพรบ!CQ36"")"),65500)</f>
        <v>65500</v>
      </c>
      <c r="G36" s="82">
        <f ca="1">IFERROR(__xludf.DUMMYFUNCTION("IMPORTRANGE(""https://docs.google.com/spreadsheets/d/1MeEWN-I1oV_STSDYn1IFDPWt_1FKiwhDph83XaGc0o0/edit?usp=sharing"",""งบพรบ!CR36"")"),0)</f>
        <v>0</v>
      </c>
      <c r="H36" s="82">
        <f ca="1">IFERROR(__xludf.DUMMYFUNCTION("IMPORTRANGE(""https://docs.google.com/spreadsheets/d/1MeEWN-I1oV_STSDYn1IFDPWt_1FKiwhDph83XaGc0o0/edit?usp=sharing"",""งบพรบ!CT36"")"),434000)</f>
        <v>434000</v>
      </c>
      <c r="I36" s="82">
        <f ca="1">IFERROR(__xludf.DUMMYFUNCTION("IMPORTRANGE(""https://docs.google.com/spreadsheets/d/1MeEWN-I1oV_STSDYn1IFDPWt_1FKiwhDph83XaGc0o0/edit?usp=sharing"",""งบพรบ!CU36"")"),0)</f>
        <v>0</v>
      </c>
      <c r="J36" s="82">
        <f t="shared" ca="1" si="3"/>
        <v>175668.1</v>
      </c>
      <c r="K36" s="83">
        <f t="shared" ca="1" si="4"/>
        <v>30.105929734361609</v>
      </c>
      <c r="L36" s="82">
        <f ca="1">IFERROR(__xludf.DUMMYFUNCTION("IMPORTRANGE(""https://docs.google.com/spreadsheets/d/1MeEWN-I1oV_STSDYn1IFDPWt_1FKiwhDph83XaGc0o0/edit?usp=sharing"",""งบพรบ!CV36"")"),175668.1)</f>
        <v>175668.1</v>
      </c>
      <c r="M36" s="84">
        <f t="shared" ca="1" si="5"/>
        <v>30.105929734361609</v>
      </c>
      <c r="N36" s="84">
        <f t="shared" ca="1" si="6"/>
        <v>40.476520737327192</v>
      </c>
      <c r="O36" s="85">
        <f ca="1">IFERROR(__xludf.DUMMYFUNCTION("IMPORTRANGE(""https://docs.google.com/spreadsheets/d/1MeEWN-I1oV_STSDYn1IFDPWt_1FKiwhDph83XaGc0o0/edit?usp=sharing"",""งบพรบ!CW36"")"),0)</f>
        <v>0</v>
      </c>
      <c r="P36" s="85">
        <f t="shared" ca="1" si="108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IFERROR(__xludf.DUMMYFUNCTION("IMPORTRANGE(""https://docs.google.com/spreadsheets/d/1bDQrolntRWtHumK8W-x-HXKntwxB9S3sF5aDeRS66Ko/edit?usp=sharing"",""นครราชสีมา!L191"")"),6000)</f>
        <v>6000</v>
      </c>
      <c r="S36" s="86">
        <f ca="1">IFERROR(__xludf.DUMMYFUNCTION("IMPORTRANGE(""https://docs.google.com/spreadsheets/d/1bDQrolntRWtHumK8W-x-HXKntwxB9S3sF5aDeRS66Ko/edit?usp=sharing"",""นครราชสีมา!N191"")"),0)</f>
        <v>0</v>
      </c>
      <c r="T36" s="87">
        <f t="shared" ca="1" si="84"/>
        <v>0</v>
      </c>
      <c r="U36" s="86">
        <f ca="1">IFERROR(__xludf.DUMMYFUNCTION("IMPORTRANGE(""https://docs.google.com/spreadsheets/d/1bDQrolntRWtHumK8W-x-HXKntwxB9S3sF5aDeRS66Ko/edit?usp=sharing"",""นครราชสีมา!I193"")"),4)</f>
        <v>4</v>
      </c>
      <c r="V36" s="86">
        <f ca="1">IFERROR(__xludf.DUMMYFUNCTION("IMPORTRANGE(""https://docs.google.com/spreadsheets/d/1bDQrolntRWtHumK8W-x-HXKntwxB9S3sF5aDeRS66Ko/edit?usp=sharing"",""นครราชสีมา!J193"")"),1)</f>
        <v>1</v>
      </c>
      <c r="W36" s="87">
        <f t="shared" ca="1" si="85"/>
        <v>25</v>
      </c>
      <c r="X36" s="86">
        <f t="shared" ca="1" si="161"/>
        <v>132</v>
      </c>
      <c r="Y36" s="86">
        <f ca="1">IFERROR(__xludf.DUMMYFUNCTION("IMPORTRANGE(""https://docs.google.com/spreadsheets/d/1bDQrolntRWtHumK8W-x-HXKntwxB9S3sF5aDeRS66Ko/edit?usp=sharing"",""นครราชสีมา!J195"")"),132)</f>
        <v>132</v>
      </c>
      <c r="Z36" s="86">
        <f ca="1">IFERROR(__xludf.DUMMYFUNCTION("IMPORTRANGE(""https://docs.google.com/spreadsheets/d/1bDQrolntRWtHumK8W-x-HXKntwxB9S3sF5aDeRS66Ko/edit?usp=sharing"",""นครราชสีมา!J196"")"),0)</f>
        <v>0</v>
      </c>
      <c r="AA36" s="86">
        <f ca="1">IFERROR(__xludf.DUMMYFUNCTION("IMPORTRANGE(""https://docs.google.com/spreadsheets/d/1bDQrolntRWtHumK8W-x-HXKntwxB9S3sF5aDeRS66Ko/edit?usp=sharing"",""นครราชสีมา!L199"")"),2000)</f>
        <v>2000</v>
      </c>
      <c r="AB36" s="86">
        <f ca="1">IFERROR(__xludf.DUMMYFUNCTION("IMPORTRANGE(""https://docs.google.com/spreadsheets/d/1bDQrolntRWtHumK8W-x-HXKntwxB9S3sF5aDeRS66Ko/edit?usp=sharing"",""นครราชสีมา!N199"")"),0)</f>
        <v>0</v>
      </c>
      <c r="AC36" s="87">
        <f t="shared" ca="1" si="86"/>
        <v>0</v>
      </c>
      <c r="AD36" s="86">
        <f ca="1">IFERROR(__xludf.DUMMYFUNCTION("IMPORTRANGE(""https://docs.google.com/spreadsheets/d/1bDQrolntRWtHumK8W-x-HXKntwxB9S3sF5aDeRS66Ko/edit?usp=sharing"",""นครราชสีมา!L200"")"),16000)</f>
        <v>16000</v>
      </c>
      <c r="AE36" s="86">
        <f ca="1">IFERROR(__xludf.DUMMYFUNCTION("IMPORTRANGE(""https://docs.google.com/spreadsheets/d/1bDQrolntRWtHumK8W-x-HXKntwxB9S3sF5aDeRS66Ko/edit?usp=sharing"",""นครราชสีมา!N200"")"),1780)</f>
        <v>1780</v>
      </c>
      <c r="AF36" s="87">
        <f t="shared" ca="1" si="87"/>
        <v>11.125</v>
      </c>
      <c r="AG36" s="86">
        <f ca="1">IFERROR(__xludf.DUMMYFUNCTION("IMPORTRANGE(""https://docs.google.com/spreadsheets/d/1bDQrolntRWtHumK8W-x-HXKntwxB9S3sF5aDeRS66Ko/edit?usp=sharing"",""นครราชสีมา!L201"")"),8000)</f>
        <v>8000</v>
      </c>
      <c r="AH36" s="86">
        <f ca="1">IFERROR(__xludf.DUMMYFUNCTION("IMPORTRANGE(""https://docs.google.com/spreadsheets/d/1bDQrolntRWtHumK8W-x-HXKntwxB9S3sF5aDeRS66Ko/edit?usp=sharing"",""นครราชสีมา!N201"")"),0)</f>
        <v>0</v>
      </c>
      <c r="AI36" s="87">
        <f t="shared" ca="1" si="88"/>
        <v>0</v>
      </c>
      <c r="AJ36" s="86">
        <f ca="1">IFERROR(__xludf.DUMMYFUNCTION("IMPORTRANGE(""https://docs.google.com/spreadsheets/d/1bDQrolntRWtHumK8W-x-HXKntwxB9S3sF5aDeRS66Ko/edit?usp=sharing"",""นครราชสีมา!L202"")"),0)</f>
        <v>0</v>
      </c>
      <c r="AK36" s="86">
        <f ca="1">IFERROR(__xludf.DUMMYFUNCTION("IMPORTRANGE(""https://docs.google.com/spreadsheets/d/1bDQrolntRWtHumK8W-x-HXKntwxB9S3sF5aDeRS66Ko/edit?usp=sharing"",""นครราชสีมา!N202"")"),0)</f>
        <v>0</v>
      </c>
      <c r="AL36" s="87">
        <f t="shared" ca="1" si="89"/>
        <v>0</v>
      </c>
      <c r="AM36" s="86">
        <f ca="1">IFERROR(__xludf.DUMMYFUNCTION("IMPORTRANGE(""https://docs.google.com/spreadsheets/d/1bDQrolntRWtHumK8W-x-HXKntwxB9S3sF5aDeRS66Ko/edit?usp=sharing"",""นครราชสีมา!I204"")"),2)</f>
        <v>2</v>
      </c>
      <c r="AN36" s="86">
        <f ca="1">IFERROR(__xludf.DUMMYFUNCTION("IMPORTRANGE(""https://docs.google.com/spreadsheets/d/1bDQrolntRWtHumK8W-x-HXKntwxB9S3sF5aDeRS66Ko/edit?usp=sharing"",""นครราชสีมา!J204"")"),1)</f>
        <v>1</v>
      </c>
      <c r="AO36" s="87">
        <f t="shared" ca="1" si="90"/>
        <v>50</v>
      </c>
      <c r="AP36" s="298">
        <f ca="1">IFERROR(__xludf.DUMMYFUNCTION("IMPORTRANGE(""https://docs.google.com/spreadsheets/d/1bDQrolntRWtHumK8W-x-HXKntwxB9S3sF5aDeRS66Ko/edit?usp=sharing"",""นครราชสีมา!J206"")"),1)</f>
        <v>1</v>
      </c>
      <c r="AQ36" s="298">
        <f ca="1">IFERROR(__xludf.DUMMYFUNCTION("IMPORTRANGE(""https://docs.google.com/spreadsheets/d/1bDQrolntRWtHumK8W-x-HXKntwxB9S3sF5aDeRS66Ko/edit?usp=sharing"",""นครราชสีมา!J207"")"),0)</f>
        <v>0</v>
      </c>
      <c r="AR36" s="86">
        <f ca="1">IFERROR(__xludf.DUMMYFUNCTION("IMPORTRANGE(""https://docs.google.com/spreadsheets/d/1bDQrolntRWtHumK8W-x-HXKntwxB9S3sF5aDeRS66Ko/edit?usp=sharing"",""นครราชสีมา!L210"")"),0)</f>
        <v>0</v>
      </c>
      <c r="AS36" s="86">
        <f ca="1">IFERROR(__xludf.DUMMYFUNCTION("IMPORTRANGE(""https://docs.google.com/spreadsheets/d/1bDQrolntRWtHumK8W-x-HXKntwxB9S3sF5aDeRS66Ko/edit?usp=sharing"",""นครราชสีมา!N210"")"),0)</f>
        <v>0</v>
      </c>
      <c r="AT36" s="87">
        <f t="shared" ca="1" si="91"/>
        <v>0</v>
      </c>
      <c r="AU36" s="86">
        <f ca="1">IFERROR(__xludf.DUMMYFUNCTION("IMPORTRANGE(""https://docs.google.com/spreadsheets/d/1bDQrolntRWtHumK8W-x-HXKntwxB9S3sF5aDeRS66Ko/edit?usp=sharing"",""นครราชสีมา!L211"")"),0)</f>
        <v>0</v>
      </c>
      <c r="AV36" s="86">
        <f ca="1">IFERROR(__xludf.DUMMYFUNCTION("IMPORTRANGE(""https://docs.google.com/spreadsheets/d/1bDQrolntRWtHumK8W-x-HXKntwxB9S3sF5aDeRS66Ko/edit?usp=sharing"",""นครราชสีมา!N211"")"),0)</f>
        <v>0</v>
      </c>
      <c r="AW36" s="87">
        <f t="shared" ca="1" si="92"/>
        <v>0</v>
      </c>
      <c r="AX36" s="86">
        <f ca="1">IFERROR(__xludf.DUMMYFUNCTION("IMPORTRANGE(""https://docs.google.com/spreadsheets/d/1bDQrolntRWtHumK8W-x-HXKntwxB9S3sF5aDeRS66Ko/edit?usp=sharing"",""นครราชสีมา!L212"")"),0)</f>
        <v>0</v>
      </c>
      <c r="AY36" s="86">
        <f ca="1">IFERROR(__xludf.DUMMYFUNCTION("IMPORTRANGE(""https://docs.google.com/spreadsheets/d/1bDQrolntRWtHumK8W-x-HXKntwxB9S3sF5aDeRS66Ko/edit?usp=sharing"",""นครราชสีมา!N212"")"),0)</f>
        <v>0</v>
      </c>
      <c r="AZ36" s="87">
        <f t="shared" ca="1" si="93"/>
        <v>0</v>
      </c>
      <c r="BA36" s="86">
        <f ca="1">IFERROR(__xludf.DUMMYFUNCTION("IMPORTRANGE(""https://docs.google.com/spreadsheets/d/1bDQrolntRWtHumK8W-x-HXKntwxB9S3sF5aDeRS66Ko/edit?usp=sharing"",""นครราชสีมา!I214"")"),0)</f>
        <v>0</v>
      </c>
      <c r="BB36" s="86">
        <f ca="1">IFERROR(__xludf.DUMMYFUNCTION("IMPORTRANGE(""https://docs.google.com/spreadsheets/d/1bDQrolntRWtHumK8W-x-HXKntwxB9S3sF5aDeRS66Ko/edit?usp=sharing"",""นครราชสีมา!J214"")"),0)</f>
        <v>0</v>
      </c>
      <c r="BC36" s="87">
        <f t="shared" ca="1" si="94"/>
        <v>0</v>
      </c>
      <c r="BD36" s="86">
        <f ca="1">IFERROR(__xludf.DUMMYFUNCTION("IMPORTRANGE(""https://docs.google.com/spreadsheets/d/1bDQrolntRWtHumK8W-x-HXKntwxB9S3sF5aDeRS66Ko/edit?usp=sharing"",""นครราชสีมา!I215"")"),0)</f>
        <v>0</v>
      </c>
      <c r="BE36" s="86">
        <f ca="1">IFERROR(__xludf.DUMMYFUNCTION("IMPORTRANGE(""https://docs.google.com/spreadsheets/d/1bDQrolntRWtHumK8W-x-HXKntwxB9S3sF5aDeRS66Ko/edit?usp=sharing"",""นครราชสีมา!J215"")"),0)</f>
        <v>0</v>
      </c>
      <c r="BF36" s="87">
        <f t="shared" ca="1" si="95"/>
        <v>0</v>
      </c>
      <c r="BG36" s="86">
        <f ca="1">IFERROR(__xludf.DUMMYFUNCTION("IMPORTRANGE(""https://docs.google.com/spreadsheets/d/1bDQrolntRWtHumK8W-x-HXKntwxB9S3sF5aDeRS66Ko/edit?usp=sharing"",""นครราชสีมา!L218"")"),5000)</f>
        <v>5000</v>
      </c>
      <c r="BH36" s="86">
        <f ca="1">IFERROR(__xludf.DUMMYFUNCTION("IMPORTRANGE(""https://docs.google.com/spreadsheets/d/1bDQrolntRWtHumK8W-x-HXKntwxB9S3sF5aDeRS66Ko/edit?usp=sharing"",""นครราชสีมา!N218"")"),0)</f>
        <v>0</v>
      </c>
      <c r="BI36" s="87">
        <f t="shared" ca="1" si="96"/>
        <v>0</v>
      </c>
      <c r="BJ36" s="86">
        <f ca="1">IFERROR(__xludf.DUMMYFUNCTION("IMPORTRANGE(""https://docs.google.com/spreadsheets/d/1bDQrolntRWtHumK8W-x-HXKntwxB9S3sF5aDeRS66Ko/edit?usp=sharing"",""นครราชสีมา!L219"")"),18500)</f>
        <v>18500</v>
      </c>
      <c r="BK36" s="86">
        <f ca="1">IFERROR(__xludf.DUMMYFUNCTION("IMPORTRANGE(""https://docs.google.com/spreadsheets/d/1bDQrolntRWtHumK8W-x-HXKntwxB9S3sF5aDeRS66Ko/edit?usp=sharing"",""นครราชสีมา!N219"")"),0)</f>
        <v>0</v>
      </c>
      <c r="BL36" s="87">
        <f t="shared" ca="1" si="97"/>
        <v>0</v>
      </c>
      <c r="BM36" s="86">
        <f ca="1">IFERROR(__xludf.DUMMYFUNCTION("IMPORTRANGE(""https://docs.google.com/spreadsheets/d/1bDQrolntRWtHumK8W-x-HXKntwxB9S3sF5aDeRS66Ko/edit?usp=sharing"",""นครราชสีมา!L220"")"),10000)</f>
        <v>10000</v>
      </c>
      <c r="BN36" s="86">
        <f ca="1">IFERROR(__xludf.DUMMYFUNCTION("IMPORTRANGE(""https://docs.google.com/spreadsheets/d/1bDQrolntRWtHumK8W-x-HXKntwxB9S3sF5aDeRS66Ko/edit?usp=sharing"",""นครราชสีมา!N220"")"),10595)</f>
        <v>10595</v>
      </c>
      <c r="BO36" s="87">
        <f t="shared" ca="1" si="98"/>
        <v>105.95</v>
      </c>
      <c r="BP36" s="86">
        <f ca="1">IFERROR(__xludf.DUMMYFUNCTION("IMPORTRANGE(""https://docs.google.com/spreadsheets/d/1bDQrolntRWtHumK8W-x-HXKntwxB9S3sF5aDeRS66Ko/edit?usp=sharing"",""นครราชสีมา!I223"")"),70000)</f>
        <v>70000</v>
      </c>
      <c r="BQ36" s="86">
        <f ca="1">IFERROR(__xludf.DUMMYFUNCTION("IMPORTRANGE(""https://docs.google.com/spreadsheets/d/1bDQrolntRWtHumK8W-x-HXKntwxB9S3sF5aDeRS66Ko/edit?usp=sharing"",""นครราชสีมา!J223"")"),0)</f>
        <v>0</v>
      </c>
      <c r="BR36" s="87">
        <f t="shared" ca="1" si="99"/>
        <v>0</v>
      </c>
      <c r="BS36" s="86">
        <f ca="1">IFERROR(__xludf.DUMMYFUNCTION("IMPORTRANGE(""https://docs.google.com/spreadsheets/d/1bDQrolntRWtHumK8W-x-HXKntwxB9S3sF5aDeRS66Ko/edit?usp=sharing"",""นครราชสีมา!I224"")"),70000)</f>
        <v>70000</v>
      </c>
      <c r="BT36" s="86">
        <f ca="1">IFERROR(__xludf.DUMMYFUNCTION("IMPORTRANGE(""https://docs.google.com/spreadsheets/d/1bDQrolntRWtHumK8W-x-HXKntwxB9S3sF5aDeRS66Ko/edit?usp=sharing"",""นครราชสีมา!J224"")"),0)</f>
        <v>0</v>
      </c>
      <c r="BU36" s="87">
        <f t="shared" ca="1" si="100"/>
        <v>0</v>
      </c>
      <c r="BV36" s="86">
        <f ca="1">IFERROR(__xludf.DUMMYFUNCTION("IMPORTRANGE(""https://docs.google.com/spreadsheets/d/1bDQrolntRWtHumK8W-x-HXKntwxB9S3sF5aDeRS66Ko/edit?usp=sharing"",""นครราชสีมา!I225"")"),10)</f>
        <v>10</v>
      </c>
      <c r="BW36" s="86">
        <f ca="1">IFERROR(__xludf.DUMMYFUNCTION("IMPORTRANGE(""https://docs.google.com/spreadsheets/d/1bDQrolntRWtHumK8W-x-HXKntwxB9S3sF5aDeRS66Ko/edit?usp=sharing"",""นครราชสีมา!J225"")"),10)</f>
        <v>10</v>
      </c>
      <c r="BX36" s="87">
        <f t="shared" ca="1" si="101"/>
        <v>100</v>
      </c>
      <c r="BY36" s="86">
        <f ca="1">IFERROR(__xludf.DUMMYFUNCTION("IMPORTRANGE(""https://docs.google.com/spreadsheets/d/1bDQrolntRWtHumK8W-x-HXKntwxB9S3sF5aDeRS66Ko/edit?usp=sharing"",""นครราชสีมา!L228"")"),0)</f>
        <v>0</v>
      </c>
      <c r="BZ36" s="86">
        <f ca="1">IFERROR(__xludf.DUMMYFUNCTION("IMPORTRANGE(""https://docs.google.com/spreadsheets/d/1bDQrolntRWtHumK8W-x-HXKntwxB9S3sF5aDeRS66Ko/edit?usp=sharing"",""นครราชสีมา!N228"")"),0)</f>
        <v>0</v>
      </c>
      <c r="CA36" s="87">
        <f t="shared" ca="1" si="102"/>
        <v>0</v>
      </c>
      <c r="CB36" s="86">
        <f ca="1">IFERROR(__xludf.DUMMYFUNCTION("IMPORTRANGE(""https://docs.google.com/spreadsheets/d/1bDQrolntRWtHumK8W-x-HXKntwxB9S3sF5aDeRS66Ko/edit?usp=sharing"",""นครราชสีมา!L229"")"),0)</f>
        <v>0</v>
      </c>
      <c r="CC36" s="86">
        <f ca="1">IFERROR(__xludf.DUMMYFUNCTION("IMPORTRANGE(""https://docs.google.com/spreadsheets/d/1bDQrolntRWtHumK8W-x-HXKntwxB9S3sF5aDeRS66Ko/edit?usp=sharing"",""นครราชสีมา!N229"")"),0)</f>
        <v>0</v>
      </c>
      <c r="CD36" s="87">
        <f t="shared" ca="1" si="103"/>
        <v>0</v>
      </c>
      <c r="CE36" s="86">
        <f ca="1">IFERROR(__xludf.DUMMYFUNCTION("IMPORTRANGE(""https://docs.google.com/spreadsheets/d/1bDQrolntRWtHumK8W-x-HXKntwxB9S3sF5aDeRS66Ko/edit?usp=sharing"",""นครราชสีมา!L230"")"),0)</f>
        <v>0</v>
      </c>
      <c r="CF36" s="86">
        <f ca="1">IFERROR(__xludf.DUMMYFUNCTION("IMPORTRANGE(""https://docs.google.com/spreadsheets/d/1bDQrolntRWtHumK8W-x-HXKntwxB9S3sF5aDeRS66Ko/edit?usp=sharing"",""นครราชสีมา!N230"")"),0)</f>
        <v>0</v>
      </c>
      <c r="CG36" s="87">
        <f t="shared" ca="1" si="104"/>
        <v>0</v>
      </c>
      <c r="CH36" s="86">
        <f ca="1">IFERROR(__xludf.DUMMYFUNCTION("IMPORTRANGE(""https://docs.google.com/spreadsheets/d/1bDQrolntRWtHumK8W-x-HXKntwxB9S3sF5aDeRS66Ko/edit?usp=sharing"",""นครราชสีมา!L231"")"),0)</f>
        <v>0</v>
      </c>
      <c r="CI36" s="86">
        <f ca="1">IFERROR(__xludf.DUMMYFUNCTION("IMPORTRANGE(""https://docs.google.com/spreadsheets/d/1bDQrolntRWtHumK8W-x-HXKntwxB9S3sF5aDeRS66Ko/edit?usp=sharing"",""นครราชสีมา!N231"")"),0)</f>
        <v>0</v>
      </c>
      <c r="CJ36" s="87">
        <f t="shared" ca="1" si="105"/>
        <v>0</v>
      </c>
      <c r="CK36" s="86">
        <f ca="1">IFERROR(__xludf.DUMMYFUNCTION("IMPORTRANGE(""https://docs.google.com/spreadsheets/d/1bDQrolntRWtHumK8W-x-HXKntwxB9S3sF5aDeRS66Ko/edit?usp=sharing"",""นครราชสีมา!I233"")"),0)</f>
        <v>0</v>
      </c>
      <c r="CL36" s="86">
        <f ca="1">IFERROR(__xludf.DUMMYFUNCTION("IMPORTRANGE(""https://docs.google.com/spreadsheets/d/1bDQrolntRWtHumK8W-x-HXKntwxB9S3sF5aDeRS66Ko/edit?usp=sharing"",""นครราชสีมา!J233"")"),0)</f>
        <v>0</v>
      </c>
      <c r="CM36" s="87">
        <f t="shared" ca="1" si="106"/>
        <v>0</v>
      </c>
      <c r="CN36" s="86">
        <f ca="1">IFERROR(__xludf.DUMMYFUNCTION("IMPORTRANGE(""https://docs.google.com/spreadsheets/d/1bDQrolntRWtHumK8W-x-HXKntwxB9S3sF5aDeRS66Ko/edit?usp=sharing"",""นครราชสีมา!J235"")"),0)</f>
        <v>0</v>
      </c>
      <c r="CO36" s="86">
        <f ca="1">IFERROR(__xludf.DUMMYFUNCTION("IMPORTRANGE(""https://docs.google.com/spreadsheets/d/1bDQrolntRWtHumK8W-x-HXKntwxB9S3sF5aDeRS66Ko/edit?usp=sharing"",""นครราชสีมา!J236"")"),0)</f>
        <v>0</v>
      </c>
    </row>
    <row r="37" spans="1:93" ht="21" customHeight="1" x14ac:dyDescent="0.3">
      <c r="A37" s="78">
        <v>6</v>
      </c>
      <c r="B37" s="79" t="s">
        <v>59</v>
      </c>
      <c r="C37" s="80">
        <f t="shared" ca="1" si="0"/>
        <v>134000</v>
      </c>
      <c r="D37" s="81">
        <f t="shared" ca="1" si="160"/>
        <v>134000</v>
      </c>
      <c r="E37" s="82">
        <f ca="1">IFERROR(__xludf.DUMMYFUNCTION("IMPORTRANGE(""https://docs.google.com/spreadsheets/d/1MeEWN-I1oV_STSDYn1IFDPWt_1FKiwhDph83XaGc0o0/edit?usp=sharing"",""งบพรบ!CP37"")"),0)</f>
        <v>0</v>
      </c>
      <c r="F37" s="82">
        <f ca="1">IFERROR(__xludf.DUMMYFUNCTION("IMPORTRANGE(""https://docs.google.com/spreadsheets/d/1MeEWN-I1oV_STSDYn1IFDPWt_1FKiwhDph83XaGc0o0/edit?usp=sharing"",""งบพรบ!CQ37"")"),134000)</f>
        <v>134000</v>
      </c>
      <c r="G37" s="82">
        <f ca="1">IFERROR(__xludf.DUMMYFUNCTION("IMPORTRANGE(""https://docs.google.com/spreadsheets/d/1MeEWN-I1oV_STSDYn1IFDPWt_1FKiwhDph83XaGc0o0/edit?usp=sharing"",""งบพรบ!CR37"")"),0)</f>
        <v>0</v>
      </c>
      <c r="H37" s="82">
        <f ca="1">IFERROR(__xludf.DUMMYFUNCTION("IMPORTRANGE(""https://docs.google.com/spreadsheets/d/1MeEWN-I1oV_STSDYn1IFDPWt_1FKiwhDph83XaGc0o0/edit?usp=sharing"",""งบพรบ!CT37"")"),213500)</f>
        <v>213500</v>
      </c>
      <c r="I37" s="82">
        <f ca="1">IFERROR(__xludf.DUMMYFUNCTION("IMPORTRANGE(""https://docs.google.com/spreadsheets/d/1MeEWN-I1oV_STSDYn1IFDPWt_1FKiwhDph83XaGc0o0/edit?usp=sharing"",""งบพรบ!CU37"")"),0)</f>
        <v>0</v>
      </c>
      <c r="J37" s="82">
        <f t="shared" ca="1" si="3"/>
        <v>97205</v>
      </c>
      <c r="K37" s="83">
        <f t="shared" ca="1" si="4"/>
        <v>72.541044776119406</v>
      </c>
      <c r="L37" s="82">
        <f ca="1">IFERROR(__xludf.DUMMYFUNCTION("IMPORTRANGE(""https://docs.google.com/spreadsheets/d/1MeEWN-I1oV_STSDYn1IFDPWt_1FKiwhDph83XaGc0o0/edit?usp=sharing"",""งบพรบ!CV37"")"),97205)</f>
        <v>97205</v>
      </c>
      <c r="M37" s="84">
        <f t="shared" ca="1" si="5"/>
        <v>72.541044776119406</v>
      </c>
      <c r="N37" s="84">
        <f t="shared" ca="1" si="6"/>
        <v>45.529274004683842</v>
      </c>
      <c r="O37" s="85">
        <f ca="1">IFERROR(__xludf.DUMMYFUNCTION("IMPORTRANGE(""https://docs.google.com/spreadsheets/d/1MeEWN-I1oV_STSDYn1IFDPWt_1FKiwhDph83XaGc0o0/edit?usp=sharing"",""งบพรบ!CW37"")"),0)</f>
        <v>0</v>
      </c>
      <c r="P37" s="85">
        <f t="shared" ca="1" si="108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IFERROR(__xludf.DUMMYFUNCTION("IMPORTRANGE(""https://docs.google.com/spreadsheets/d/1_MzZ-2gVPiCW-d2VcafoCmFJQTSrZ6SQyFcMqRRQQ2w/edit?usp=sharing"",""บึงกาฬ!L191"")"),6000)</f>
        <v>6000</v>
      </c>
      <c r="S37" s="86">
        <f ca="1">IFERROR(__xludf.DUMMYFUNCTION("IMPORTRANGE(""https://docs.google.com/spreadsheets/d/1_MzZ-2gVPiCW-d2VcafoCmFJQTSrZ6SQyFcMqRRQQ2w/edit?usp=sharing"",""บึงกาฬ!N191"")"),0)</f>
        <v>0</v>
      </c>
      <c r="T37" s="87">
        <f t="shared" ca="1" si="84"/>
        <v>0</v>
      </c>
      <c r="U37" s="86">
        <f ca="1">IFERROR(__xludf.DUMMYFUNCTION("IMPORTRANGE(""https://docs.google.com/spreadsheets/d/1_MzZ-2gVPiCW-d2VcafoCmFJQTSrZ6SQyFcMqRRQQ2w/edit?usp=sharing"",""บึงกาฬ!I193"")"),4)</f>
        <v>4</v>
      </c>
      <c r="V37" s="86">
        <f ca="1">IFERROR(__xludf.DUMMYFUNCTION("IMPORTRANGE(""https://docs.google.com/spreadsheets/d/1_MzZ-2gVPiCW-d2VcafoCmFJQTSrZ6SQyFcMqRRQQ2w/edit?usp=sharing"",""บึงกาฬ!J193"")"),1)</f>
        <v>1</v>
      </c>
      <c r="W37" s="87">
        <f t="shared" ca="1" si="85"/>
        <v>25</v>
      </c>
      <c r="X37" s="86">
        <f t="shared" ca="1" si="161"/>
        <v>0</v>
      </c>
      <c r="Y37" s="86">
        <f ca="1">IFERROR(__xludf.DUMMYFUNCTION("IMPORTRANGE(""https://docs.google.com/spreadsheets/d/1_MzZ-2gVPiCW-d2VcafoCmFJQTSrZ6SQyFcMqRRQQ2w/edit?usp=sharing"",""บึงกาฬ!J195"")"),0)</f>
        <v>0</v>
      </c>
      <c r="Z37" s="86">
        <f ca="1">IFERROR(__xludf.DUMMYFUNCTION("IMPORTRANGE(""https://docs.google.com/spreadsheets/d/1_MzZ-2gVPiCW-d2VcafoCmFJQTSrZ6SQyFcMqRRQQ2w/edit?usp=sharing"",""บึงกาฬ!J196"")"),0)</f>
        <v>0</v>
      </c>
      <c r="AA37" s="86">
        <f ca="1">IFERROR(__xludf.DUMMYFUNCTION("IMPORTRANGE(""https://docs.google.com/spreadsheets/d/1_MzZ-2gVPiCW-d2VcafoCmFJQTSrZ6SQyFcMqRRQQ2w/edit?usp=sharing"",""บึงกาฬ!L199"")"),2000)</f>
        <v>2000</v>
      </c>
      <c r="AB37" s="86">
        <f ca="1">IFERROR(__xludf.DUMMYFUNCTION("IMPORTRANGE(""https://docs.google.com/spreadsheets/d/1_MzZ-2gVPiCW-d2VcafoCmFJQTSrZ6SQyFcMqRRQQ2w/edit?usp=sharing"",""บึงกาฬ!N199"")"),2000)</f>
        <v>2000</v>
      </c>
      <c r="AC37" s="87">
        <f t="shared" ca="1" si="86"/>
        <v>100</v>
      </c>
      <c r="AD37" s="86">
        <f ca="1">IFERROR(__xludf.DUMMYFUNCTION("IMPORTRANGE(""https://docs.google.com/spreadsheets/d/1_MzZ-2gVPiCW-d2VcafoCmFJQTSrZ6SQyFcMqRRQQ2w/edit?usp=sharing"",""บึงกาฬ!L200"")"),16000)</f>
        <v>16000</v>
      </c>
      <c r="AE37" s="86">
        <f ca="1">IFERROR(__xludf.DUMMYFUNCTION("IMPORTRANGE(""https://docs.google.com/spreadsheets/d/1_MzZ-2gVPiCW-d2VcafoCmFJQTSrZ6SQyFcMqRRQQ2w/edit?usp=sharing"",""บึงกาฬ!N200"")"),16000)</f>
        <v>16000</v>
      </c>
      <c r="AF37" s="87">
        <f t="shared" ca="1" si="87"/>
        <v>100</v>
      </c>
      <c r="AG37" s="86">
        <f ca="1">IFERROR(__xludf.DUMMYFUNCTION("IMPORTRANGE(""https://docs.google.com/spreadsheets/d/1_MzZ-2gVPiCW-d2VcafoCmFJQTSrZ6SQyFcMqRRQQ2w/edit?usp=sharing"",""บึงกาฬ!L201"")"),8000)</f>
        <v>8000</v>
      </c>
      <c r="AH37" s="86">
        <f ca="1">IFERROR(__xludf.DUMMYFUNCTION("IMPORTRANGE(""https://docs.google.com/spreadsheets/d/1_MzZ-2gVPiCW-d2VcafoCmFJQTSrZ6SQyFcMqRRQQ2w/edit?usp=sharing"",""บึงกาฬ!N201"")"),0)</f>
        <v>0</v>
      </c>
      <c r="AI37" s="87">
        <f t="shared" ca="1" si="88"/>
        <v>0</v>
      </c>
      <c r="AJ37" s="86">
        <f ca="1">IFERROR(__xludf.DUMMYFUNCTION("IMPORTRANGE(""https://docs.google.com/spreadsheets/d/1_MzZ-2gVPiCW-d2VcafoCmFJQTSrZ6SQyFcMqRRQQ2w/edit?usp=sharing"",""บึงกาฬ!L202"")"),10000)</f>
        <v>10000</v>
      </c>
      <c r="AK37" s="86">
        <f ca="1">IFERROR(__xludf.DUMMYFUNCTION("IMPORTRANGE(""https://docs.google.com/spreadsheets/d/1_MzZ-2gVPiCW-d2VcafoCmFJQTSrZ6SQyFcMqRRQQ2w/edit?usp=sharing"",""บึงกาฬ!N202"")"),0)</f>
        <v>0</v>
      </c>
      <c r="AL37" s="87">
        <f t="shared" ca="1" si="89"/>
        <v>0</v>
      </c>
      <c r="AM37" s="86">
        <f ca="1">IFERROR(__xludf.DUMMYFUNCTION("IMPORTRANGE(""https://docs.google.com/spreadsheets/d/1_MzZ-2gVPiCW-d2VcafoCmFJQTSrZ6SQyFcMqRRQQ2w/edit?usp=sharing"",""บึงกาฬ!I204"")"),2)</f>
        <v>2</v>
      </c>
      <c r="AN37" s="86">
        <f ca="1">IFERROR(__xludf.DUMMYFUNCTION("IMPORTRANGE(""https://docs.google.com/spreadsheets/d/1_MzZ-2gVPiCW-d2VcafoCmFJQTSrZ6SQyFcMqRRQQ2w/edit?usp=sharing"",""บึงกาฬ!J204"")"),2)</f>
        <v>2</v>
      </c>
      <c r="AO37" s="87">
        <f t="shared" ca="1" si="90"/>
        <v>100</v>
      </c>
      <c r="AP37" s="298">
        <f ca="1">IFERROR(__xludf.DUMMYFUNCTION("IMPORTRANGE(""https://docs.google.com/spreadsheets/d/1_MzZ-2gVPiCW-d2VcafoCmFJQTSrZ6SQyFcMqRRQQ2w/edit?usp=sharing"",""บึงกาฬ!J206"")"),0)</f>
        <v>0</v>
      </c>
      <c r="AQ37" s="298">
        <f ca="1">IFERROR(__xludf.DUMMYFUNCTION("IMPORTRANGE(""https://docs.google.com/spreadsheets/d/1_MzZ-2gVPiCW-d2VcafoCmFJQTSrZ6SQyFcMqRRQQ2w/edit?usp=sharing"",""บึงกาฬ!J207"")"),0)</f>
        <v>0</v>
      </c>
      <c r="AR37" s="86">
        <f ca="1">IFERROR(__xludf.DUMMYFUNCTION("IMPORTRANGE(""https://docs.google.com/spreadsheets/d/1_MzZ-2gVPiCW-d2VcafoCmFJQTSrZ6SQyFcMqRRQQ2w/edit?usp=sharing"",""บึงกาฬ!L210"")"),6000)</f>
        <v>6000</v>
      </c>
      <c r="AS37" s="86">
        <f ca="1">IFERROR(__xludf.DUMMYFUNCTION("IMPORTRANGE(""https://docs.google.com/spreadsheets/d/1_MzZ-2gVPiCW-d2VcafoCmFJQTSrZ6SQyFcMqRRQQ2w/edit?usp=sharing"",""บึงกาฬ!N210"")"),0)</f>
        <v>0</v>
      </c>
      <c r="AT37" s="87">
        <f t="shared" ca="1" si="91"/>
        <v>0</v>
      </c>
      <c r="AU37" s="86">
        <f ca="1">IFERROR(__xludf.DUMMYFUNCTION("IMPORTRANGE(""https://docs.google.com/spreadsheets/d/1_MzZ-2gVPiCW-d2VcafoCmFJQTSrZ6SQyFcMqRRQQ2w/edit?usp=sharing"",""บึงกาฬ!L211"")"),30000)</f>
        <v>30000</v>
      </c>
      <c r="AV37" s="86">
        <f ca="1">IFERROR(__xludf.DUMMYFUNCTION("IMPORTRANGE(""https://docs.google.com/spreadsheets/d/1_MzZ-2gVPiCW-d2VcafoCmFJQTSrZ6SQyFcMqRRQQ2w/edit?usp=sharing"",""บึงกาฬ!N211"")"),0)</f>
        <v>0</v>
      </c>
      <c r="AW37" s="87">
        <f t="shared" ca="1" si="92"/>
        <v>0</v>
      </c>
      <c r="AX37" s="86">
        <f ca="1">IFERROR(__xludf.DUMMYFUNCTION("IMPORTRANGE(""https://docs.google.com/spreadsheets/d/1_MzZ-2gVPiCW-d2VcafoCmFJQTSrZ6SQyFcMqRRQQ2w/edit?usp=sharing"",""บึงกาฬ!L212"")"),48000)</f>
        <v>48000</v>
      </c>
      <c r="AY37" s="86">
        <f ca="1">IFERROR(__xludf.DUMMYFUNCTION("IMPORTRANGE(""https://docs.google.com/spreadsheets/d/1_MzZ-2gVPiCW-d2VcafoCmFJQTSrZ6SQyFcMqRRQQ2w/edit?usp=sharing"",""บึงกาฬ!N212"")"),0)</f>
        <v>0</v>
      </c>
      <c r="AZ37" s="87">
        <f t="shared" ca="1" si="93"/>
        <v>0</v>
      </c>
      <c r="BA37" s="86">
        <f ca="1">IFERROR(__xludf.DUMMYFUNCTION("IMPORTRANGE(""https://docs.google.com/spreadsheets/d/1_MzZ-2gVPiCW-d2VcafoCmFJQTSrZ6SQyFcMqRRQQ2w/edit?usp=sharing"",""บึงกาฬ!I214"")"),6)</f>
        <v>6</v>
      </c>
      <c r="BB37" s="86">
        <f ca="1">IFERROR(__xludf.DUMMYFUNCTION("IMPORTRANGE(""https://docs.google.com/spreadsheets/d/1_MzZ-2gVPiCW-d2VcafoCmFJQTSrZ6SQyFcMqRRQQ2w/edit?usp=sharing"",""บึงกาฬ!J214"")"),0)</f>
        <v>0</v>
      </c>
      <c r="BC37" s="87">
        <f t="shared" ca="1" si="94"/>
        <v>0</v>
      </c>
      <c r="BD37" s="86">
        <f ca="1">IFERROR(__xludf.DUMMYFUNCTION("IMPORTRANGE(""https://docs.google.com/spreadsheets/d/1_MzZ-2gVPiCW-d2VcafoCmFJQTSrZ6SQyFcMqRRQQ2w/edit?usp=sharing"",""บึงกาฬ!I215"")"),6)</f>
        <v>6</v>
      </c>
      <c r="BE37" s="86">
        <f ca="1">IFERROR(__xludf.DUMMYFUNCTION("IMPORTRANGE(""https://docs.google.com/spreadsheets/d/1_MzZ-2gVPiCW-d2VcafoCmFJQTSrZ6SQyFcMqRRQQ2w/edit?usp=sharing"",""บึงกาฬ!J215"")"),0)</f>
        <v>0</v>
      </c>
      <c r="BF37" s="87">
        <f t="shared" ca="1" si="95"/>
        <v>0</v>
      </c>
      <c r="BG37" s="86">
        <f ca="1">IFERROR(__xludf.DUMMYFUNCTION("IMPORTRANGE(""https://docs.google.com/spreadsheets/d/1_MzZ-2gVPiCW-d2VcafoCmFJQTSrZ6SQyFcMqRRQQ2w/edit?usp=sharing"",""บึงกาฬ!L218"")"),3000)</f>
        <v>3000</v>
      </c>
      <c r="BH37" s="86">
        <f ca="1">IFERROR(__xludf.DUMMYFUNCTION("IMPORTRANGE(""https://docs.google.com/spreadsheets/d/1_MzZ-2gVPiCW-d2VcafoCmFJQTSrZ6SQyFcMqRRQQ2w/edit?usp=sharing"",""บึงกาฬ!N218"")"),0)</f>
        <v>0</v>
      </c>
      <c r="BI37" s="87">
        <f t="shared" ca="1" si="96"/>
        <v>0</v>
      </c>
      <c r="BJ37" s="86">
        <f ca="1">IFERROR(__xludf.DUMMYFUNCTION("IMPORTRANGE(""https://docs.google.com/spreadsheets/d/1_MzZ-2gVPiCW-d2VcafoCmFJQTSrZ6SQyFcMqRRQQ2w/edit?usp=sharing"",""บึงกาฬ!L219"")"),5000)</f>
        <v>5000</v>
      </c>
      <c r="BK37" s="86">
        <f ca="1">IFERROR(__xludf.DUMMYFUNCTION("IMPORTRANGE(""https://docs.google.com/spreadsheets/d/1_MzZ-2gVPiCW-d2VcafoCmFJQTSrZ6SQyFcMqRRQQ2w/edit?usp=sharing"",""บึงกาฬ!N219"")"),0)</f>
        <v>0</v>
      </c>
      <c r="BL37" s="87">
        <f t="shared" ca="1" si="97"/>
        <v>0</v>
      </c>
      <c r="BM37" s="86">
        <f ca="1">IFERROR(__xludf.DUMMYFUNCTION("IMPORTRANGE(""https://docs.google.com/spreadsheets/d/1_MzZ-2gVPiCW-d2VcafoCmFJQTSrZ6SQyFcMqRRQQ2w/edit?usp=sharing"",""บึงกาฬ!L220"")"),0)</f>
        <v>0</v>
      </c>
      <c r="BN37" s="86">
        <f ca="1">IFERROR(__xludf.DUMMYFUNCTION("IMPORTRANGE(""https://docs.google.com/spreadsheets/d/1_MzZ-2gVPiCW-d2VcafoCmFJQTSrZ6SQyFcMqRRQQ2w/edit?usp=sharing"",""บึงกาฬ!N220"")"),0)</f>
        <v>0</v>
      </c>
      <c r="BO37" s="87">
        <f t="shared" ca="1" si="98"/>
        <v>0</v>
      </c>
      <c r="BP37" s="86">
        <f ca="1">IFERROR(__xludf.DUMMYFUNCTION("IMPORTRANGE(""https://docs.google.com/spreadsheets/d/1_MzZ-2gVPiCW-d2VcafoCmFJQTSrZ6SQyFcMqRRQQ2w/edit?usp=sharing"",""บึงกาฬ!I223"")"),20000)</f>
        <v>20000</v>
      </c>
      <c r="BQ37" s="86">
        <f ca="1">IFERROR(__xludf.DUMMYFUNCTION("IMPORTRANGE(""https://docs.google.com/spreadsheets/d/1_MzZ-2gVPiCW-d2VcafoCmFJQTSrZ6SQyFcMqRRQQ2w/edit?usp=sharing"",""บึงกาฬ!J223"")"),0)</f>
        <v>0</v>
      </c>
      <c r="BR37" s="87">
        <f t="shared" ca="1" si="99"/>
        <v>0</v>
      </c>
      <c r="BS37" s="86">
        <f ca="1">IFERROR(__xludf.DUMMYFUNCTION("IMPORTRANGE(""https://docs.google.com/spreadsheets/d/1_MzZ-2gVPiCW-d2VcafoCmFJQTSrZ6SQyFcMqRRQQ2w/edit?usp=sharing"",""บึงกาฬ!I224"")"),20000)</f>
        <v>20000</v>
      </c>
      <c r="BT37" s="86">
        <f ca="1">IFERROR(__xludf.DUMMYFUNCTION("IMPORTRANGE(""https://docs.google.com/spreadsheets/d/1_MzZ-2gVPiCW-d2VcafoCmFJQTSrZ6SQyFcMqRRQQ2w/edit?usp=sharing"",""บึงกาฬ!J224"")"),0)</f>
        <v>0</v>
      </c>
      <c r="BU37" s="87">
        <f t="shared" ca="1" si="100"/>
        <v>0</v>
      </c>
      <c r="BV37" s="86">
        <f ca="1">IFERROR(__xludf.DUMMYFUNCTION("IMPORTRANGE(""https://docs.google.com/spreadsheets/d/1_MzZ-2gVPiCW-d2VcafoCmFJQTSrZ6SQyFcMqRRQQ2w/edit?usp=sharing"",""บึงกาฬ!I225"")"),0)</f>
        <v>0</v>
      </c>
      <c r="BW37" s="86">
        <f ca="1">IFERROR(__xludf.DUMMYFUNCTION("IMPORTRANGE(""https://docs.google.com/spreadsheets/d/1_MzZ-2gVPiCW-d2VcafoCmFJQTSrZ6SQyFcMqRRQQ2w/edit?usp=sharing"",""บึงกาฬ!J225"")"),0)</f>
        <v>0</v>
      </c>
      <c r="BX37" s="87">
        <f t="shared" ca="1" si="101"/>
        <v>0</v>
      </c>
      <c r="BY37" s="86">
        <f ca="1">IFERROR(__xludf.DUMMYFUNCTION("IMPORTRANGE(""https://docs.google.com/spreadsheets/d/1_MzZ-2gVPiCW-d2VcafoCmFJQTSrZ6SQyFcMqRRQQ2w/edit?usp=sharing"",""บึงกาฬ!L228"")"),0)</f>
        <v>0</v>
      </c>
      <c r="BZ37" s="86">
        <f ca="1">IFERROR(__xludf.DUMMYFUNCTION("IMPORTRANGE(""https://docs.google.com/spreadsheets/d/1_MzZ-2gVPiCW-d2VcafoCmFJQTSrZ6SQyFcMqRRQQ2w/edit?usp=sharing"",""บึงกาฬ!N228"")"),0)</f>
        <v>0</v>
      </c>
      <c r="CA37" s="87">
        <f t="shared" ca="1" si="102"/>
        <v>0</v>
      </c>
      <c r="CB37" s="86">
        <f ca="1">IFERROR(__xludf.DUMMYFUNCTION("IMPORTRANGE(""https://docs.google.com/spreadsheets/d/1_MzZ-2gVPiCW-d2VcafoCmFJQTSrZ6SQyFcMqRRQQ2w/edit?usp=sharing"",""บึงกาฬ!L229"")"),0)</f>
        <v>0</v>
      </c>
      <c r="CC37" s="86">
        <f ca="1">IFERROR(__xludf.DUMMYFUNCTION("IMPORTRANGE(""https://docs.google.com/spreadsheets/d/1_MzZ-2gVPiCW-d2VcafoCmFJQTSrZ6SQyFcMqRRQQ2w/edit?usp=sharing"",""บึงกาฬ!N229"")"),0)</f>
        <v>0</v>
      </c>
      <c r="CD37" s="87">
        <f t="shared" ca="1" si="103"/>
        <v>0</v>
      </c>
      <c r="CE37" s="86">
        <f ca="1">IFERROR(__xludf.DUMMYFUNCTION("IMPORTRANGE(""https://docs.google.com/spreadsheets/d/1_MzZ-2gVPiCW-d2VcafoCmFJQTSrZ6SQyFcMqRRQQ2w/edit?usp=sharing"",""บึงกาฬ!L230"")"),0)</f>
        <v>0</v>
      </c>
      <c r="CF37" s="86">
        <f ca="1">IFERROR(__xludf.DUMMYFUNCTION("IMPORTRANGE(""https://docs.google.com/spreadsheets/d/1_MzZ-2gVPiCW-d2VcafoCmFJQTSrZ6SQyFcMqRRQQ2w/edit?usp=sharing"",""บึงกาฬ!N230"")"),0)</f>
        <v>0</v>
      </c>
      <c r="CG37" s="87">
        <f t="shared" ca="1" si="104"/>
        <v>0</v>
      </c>
      <c r="CH37" s="86">
        <f ca="1">IFERROR(__xludf.DUMMYFUNCTION("IMPORTRANGE(""https://docs.google.com/spreadsheets/d/1_MzZ-2gVPiCW-d2VcafoCmFJQTSrZ6SQyFcMqRRQQ2w/edit?usp=sharing"",""บึงกาฬ!L231"")"),0)</f>
        <v>0</v>
      </c>
      <c r="CI37" s="86">
        <f ca="1">IFERROR(__xludf.DUMMYFUNCTION("IMPORTRANGE(""https://docs.google.com/spreadsheets/d/1_MzZ-2gVPiCW-d2VcafoCmFJQTSrZ6SQyFcMqRRQQ2w/edit?usp=sharing"",""บึงกาฬ!N231"")"),0)</f>
        <v>0</v>
      </c>
      <c r="CJ37" s="87">
        <f t="shared" ca="1" si="105"/>
        <v>0</v>
      </c>
      <c r="CK37" s="86">
        <f ca="1">IFERROR(__xludf.DUMMYFUNCTION("IMPORTRANGE(""https://docs.google.com/spreadsheets/d/1_MzZ-2gVPiCW-d2VcafoCmFJQTSrZ6SQyFcMqRRQQ2w/edit?usp=sharing"",""บึงกาฬ!I233"")"),0)</f>
        <v>0</v>
      </c>
      <c r="CL37" s="86">
        <f ca="1">IFERROR(__xludf.DUMMYFUNCTION("IMPORTRANGE(""https://docs.google.com/spreadsheets/d/1_MzZ-2gVPiCW-d2VcafoCmFJQTSrZ6SQyFcMqRRQQ2w/edit?usp=sharing"",""บึงกาฬ!J233"")"),0)</f>
        <v>0</v>
      </c>
      <c r="CM37" s="87">
        <f t="shared" ca="1" si="106"/>
        <v>0</v>
      </c>
      <c r="CN37" s="86">
        <f ca="1">IFERROR(__xludf.DUMMYFUNCTION("IMPORTRANGE(""https://docs.google.com/spreadsheets/d/1_MzZ-2gVPiCW-d2VcafoCmFJQTSrZ6SQyFcMqRRQQ2w/edit?usp=sharing"",""บึงกาฬ!J235"")"),0)</f>
        <v>0</v>
      </c>
      <c r="CO37" s="86">
        <f ca="1">IFERROR(__xludf.DUMMYFUNCTION("IMPORTRANGE(""https://docs.google.com/spreadsheets/d/1_MzZ-2gVPiCW-d2VcafoCmFJQTSrZ6SQyFcMqRRQQ2w/edit?usp=sharing"",""บึงกาฬ!J236"")"),0)</f>
        <v>0</v>
      </c>
    </row>
    <row r="38" spans="1:93" ht="21" customHeight="1" x14ac:dyDescent="0.3">
      <c r="A38" s="78">
        <v>7</v>
      </c>
      <c r="B38" s="79" t="s">
        <v>60</v>
      </c>
      <c r="C38" s="80">
        <f t="shared" ca="1" si="0"/>
        <v>90000</v>
      </c>
      <c r="D38" s="81">
        <f t="shared" ca="1" si="160"/>
        <v>90000</v>
      </c>
      <c r="E38" s="82">
        <f ca="1">IFERROR(__xludf.DUMMYFUNCTION("IMPORTRANGE(""https://docs.google.com/spreadsheets/d/1MeEWN-I1oV_STSDYn1IFDPWt_1FKiwhDph83XaGc0o0/edit?usp=sharing"",""งบพรบ!CP38"")"),0)</f>
        <v>0</v>
      </c>
      <c r="F38" s="82">
        <f ca="1">IFERROR(__xludf.DUMMYFUNCTION("IMPORTRANGE(""https://docs.google.com/spreadsheets/d/1MeEWN-I1oV_STSDYn1IFDPWt_1FKiwhDph83XaGc0o0/edit?usp=sharing"",""งบพรบ!CQ38"")"),90000)</f>
        <v>90000</v>
      </c>
      <c r="G38" s="82">
        <f ca="1">IFERROR(__xludf.DUMMYFUNCTION("IMPORTRANGE(""https://docs.google.com/spreadsheets/d/1MeEWN-I1oV_STSDYn1IFDPWt_1FKiwhDph83XaGc0o0/edit?usp=sharing"",""งบพรบ!CR38"")"),0)</f>
        <v>0</v>
      </c>
      <c r="H38" s="82">
        <f ca="1">IFERROR(__xludf.DUMMYFUNCTION("IMPORTRANGE(""https://docs.google.com/spreadsheets/d/1MeEWN-I1oV_STSDYn1IFDPWt_1FKiwhDph83XaGc0o0/edit?usp=sharing"",""งบพรบ!CT38"")"),63500)</f>
        <v>63500</v>
      </c>
      <c r="I38" s="82">
        <f ca="1">IFERROR(__xludf.DUMMYFUNCTION("IMPORTRANGE(""https://docs.google.com/spreadsheets/d/1MeEWN-I1oV_STSDYn1IFDPWt_1FKiwhDph83XaGc0o0/edit?usp=sharing"",""งบพรบ!CU38"")"),0)</f>
        <v>0</v>
      </c>
      <c r="J38" s="82">
        <f t="shared" ca="1" si="3"/>
        <v>36040</v>
      </c>
      <c r="K38" s="83">
        <f t="shared" ca="1" si="4"/>
        <v>40.044444444444444</v>
      </c>
      <c r="L38" s="82">
        <f ca="1">IFERROR(__xludf.DUMMYFUNCTION("IMPORTRANGE(""https://docs.google.com/spreadsheets/d/1MeEWN-I1oV_STSDYn1IFDPWt_1FKiwhDph83XaGc0o0/edit?usp=sharing"",""งบพรบ!CV38"")"),36040)</f>
        <v>36040</v>
      </c>
      <c r="M38" s="84">
        <f t="shared" ca="1" si="5"/>
        <v>40.044444444444444</v>
      </c>
      <c r="N38" s="84">
        <f t="shared" ca="1" si="6"/>
        <v>56.755905511811022</v>
      </c>
      <c r="O38" s="85">
        <f ca="1">IFERROR(__xludf.DUMMYFUNCTION("IMPORTRANGE(""https://docs.google.com/spreadsheets/d/1MeEWN-I1oV_STSDYn1IFDPWt_1FKiwhDph83XaGc0o0/edit?usp=sharing"",""งบพรบ!CW38"")"),0)</f>
        <v>0</v>
      </c>
      <c r="P38" s="85">
        <f t="shared" ca="1" si="108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IFERROR(__xludf.DUMMYFUNCTION("IMPORTRANGE(""https://docs.google.com/spreadsheets/d/1B3lPpzOuaNwVItLwLEZYl_qEblfcx7dRnbRkAw0l-pE/edit?usp=sharing"",""บุรีรัมย์!L191"")"),6000)</f>
        <v>6000</v>
      </c>
      <c r="S38" s="86">
        <f ca="1">IFERROR(__xludf.DUMMYFUNCTION("IMPORTRANGE(""https://docs.google.com/spreadsheets/d/1B3lPpzOuaNwVItLwLEZYl_qEblfcx7dRnbRkAw0l-pE/edit?usp=sharing"",""บุรีรัมย์!N191"")"),1200)</f>
        <v>1200</v>
      </c>
      <c r="T38" s="87">
        <f t="shared" ca="1" si="84"/>
        <v>20</v>
      </c>
      <c r="U38" s="86">
        <f ca="1">IFERROR(__xludf.DUMMYFUNCTION("IMPORTRANGE(""https://docs.google.com/spreadsheets/d/1B3lPpzOuaNwVItLwLEZYl_qEblfcx7dRnbRkAw0l-pE/edit?usp=sharing"",""บุรีรัมย์!I193"")"),4)</f>
        <v>4</v>
      </c>
      <c r="V38" s="86">
        <f ca="1">IFERROR(__xludf.DUMMYFUNCTION("IMPORTRANGE(""https://docs.google.com/spreadsheets/d/1B3lPpzOuaNwVItLwLEZYl_qEblfcx7dRnbRkAw0l-pE/edit?usp=sharing"",""บุรีรัมย์!J193"")"),1)</f>
        <v>1</v>
      </c>
      <c r="W38" s="87">
        <f t="shared" ca="1" si="85"/>
        <v>25</v>
      </c>
      <c r="X38" s="86">
        <f t="shared" ca="1" si="161"/>
        <v>30</v>
      </c>
      <c r="Y38" s="86">
        <f ca="1">IFERROR(__xludf.DUMMYFUNCTION("IMPORTRANGE(""https://docs.google.com/spreadsheets/d/1B3lPpzOuaNwVItLwLEZYl_qEblfcx7dRnbRkAw0l-pE/edit?usp=sharing"",""บุรีรัมย์!J195"")"),30)</f>
        <v>30</v>
      </c>
      <c r="Z38" s="86">
        <f ca="1">IFERROR(__xludf.DUMMYFUNCTION("IMPORTRANGE(""https://docs.google.com/spreadsheets/d/1B3lPpzOuaNwVItLwLEZYl_qEblfcx7dRnbRkAw0l-pE/edit?usp=sharing"",""บุรีรัมย์!J196"")"),0)</f>
        <v>0</v>
      </c>
      <c r="AA38" s="86">
        <f ca="1">IFERROR(__xludf.DUMMYFUNCTION("IMPORTRANGE(""https://docs.google.com/spreadsheets/d/1B3lPpzOuaNwVItLwLEZYl_qEblfcx7dRnbRkAw0l-pE/edit?usp=sharing"",""บุรีรัมย์!L199"")"),3000)</f>
        <v>3000</v>
      </c>
      <c r="AB38" s="86">
        <f ca="1">IFERROR(__xludf.DUMMYFUNCTION("IMPORTRANGE(""https://docs.google.com/spreadsheets/d/1B3lPpzOuaNwVItLwLEZYl_qEblfcx7dRnbRkAw0l-pE/edit?usp=sharing"",""บุรีรัมย์!N199"")"),0)</f>
        <v>0</v>
      </c>
      <c r="AC38" s="87">
        <f t="shared" ca="1" si="86"/>
        <v>0</v>
      </c>
      <c r="AD38" s="86">
        <f ca="1">IFERROR(__xludf.DUMMYFUNCTION("IMPORTRANGE(""https://docs.google.com/spreadsheets/d/1B3lPpzOuaNwVItLwLEZYl_qEblfcx7dRnbRkAw0l-pE/edit?usp=sharing"",""บุรีรัมย์!L200"")"),24000)</f>
        <v>24000</v>
      </c>
      <c r="AE38" s="86">
        <f ca="1">IFERROR(__xludf.DUMMYFUNCTION("IMPORTRANGE(""https://docs.google.com/spreadsheets/d/1B3lPpzOuaNwVItLwLEZYl_qEblfcx7dRnbRkAw0l-pE/edit?usp=sharing"",""บุรีรัมย์!N200"")"),22040)</f>
        <v>22040</v>
      </c>
      <c r="AF38" s="87">
        <f t="shared" ca="1" si="87"/>
        <v>91.833333333333329</v>
      </c>
      <c r="AG38" s="86">
        <f ca="1">IFERROR(__xludf.DUMMYFUNCTION("IMPORTRANGE(""https://docs.google.com/spreadsheets/d/1B3lPpzOuaNwVItLwLEZYl_qEblfcx7dRnbRkAw0l-pE/edit?usp=sharing"",""บุรีรัมย์!L201"")"),12000)</f>
        <v>12000</v>
      </c>
      <c r="AH38" s="86">
        <f ca="1">IFERROR(__xludf.DUMMYFUNCTION("IMPORTRANGE(""https://docs.google.com/spreadsheets/d/1B3lPpzOuaNwVItLwLEZYl_qEblfcx7dRnbRkAw0l-pE/edit?usp=sharing"",""บุรีรัมย์!N201"")"),0)</f>
        <v>0</v>
      </c>
      <c r="AI38" s="87">
        <f t="shared" ca="1" si="88"/>
        <v>0</v>
      </c>
      <c r="AJ38" s="86">
        <f ca="1">IFERROR(__xludf.DUMMYFUNCTION("IMPORTRANGE(""https://docs.google.com/spreadsheets/d/1B3lPpzOuaNwVItLwLEZYl_qEblfcx7dRnbRkAw0l-pE/edit?usp=sharing"",""บุรีรัมย์!L202"")"),0)</f>
        <v>0</v>
      </c>
      <c r="AK38" s="86">
        <f ca="1">IFERROR(__xludf.DUMMYFUNCTION("IMPORTRANGE(""https://docs.google.com/spreadsheets/d/1B3lPpzOuaNwVItLwLEZYl_qEblfcx7dRnbRkAw0l-pE/edit?usp=sharing"",""บุรีรัมย์!N202"")"),0)</f>
        <v>0</v>
      </c>
      <c r="AL38" s="87">
        <f t="shared" ca="1" si="89"/>
        <v>0</v>
      </c>
      <c r="AM38" s="86">
        <f ca="1">IFERROR(__xludf.DUMMYFUNCTION("IMPORTRANGE(""https://docs.google.com/spreadsheets/d/1B3lPpzOuaNwVItLwLEZYl_qEblfcx7dRnbRkAw0l-pE/edit?usp=sharing"",""บุรีรัมย์!I204"")"),3)</f>
        <v>3</v>
      </c>
      <c r="AN38" s="86">
        <f ca="1">IFERROR(__xludf.DUMMYFUNCTION("IMPORTRANGE(""https://docs.google.com/spreadsheets/d/1B3lPpzOuaNwVItLwLEZYl_qEblfcx7dRnbRkAw0l-pE/edit?usp=sharing"",""บุรีรัมย์!J204"")"),3)</f>
        <v>3</v>
      </c>
      <c r="AO38" s="87">
        <f t="shared" ca="1" si="90"/>
        <v>100</v>
      </c>
      <c r="AP38" s="298">
        <f ca="1">IFERROR(__xludf.DUMMYFUNCTION("IMPORTRANGE(""https://docs.google.com/spreadsheets/d/1B3lPpzOuaNwVItLwLEZYl_qEblfcx7dRnbRkAw0l-pE/edit?usp=sharing"",""บุรีรัมย์!J206"")"),0)</f>
        <v>0</v>
      </c>
      <c r="AQ38" s="298">
        <f ca="1">IFERROR(__xludf.DUMMYFUNCTION("IMPORTRANGE(""https://docs.google.com/spreadsheets/d/1B3lPpzOuaNwVItLwLEZYl_qEblfcx7dRnbRkAw0l-pE/edit?usp=sharing"",""บุรีรัมย์!J207"")"),0)</f>
        <v>0</v>
      </c>
      <c r="AR38" s="86">
        <f ca="1">IFERROR(__xludf.DUMMYFUNCTION("IMPORTRANGE(""https://docs.google.com/spreadsheets/d/1B3lPpzOuaNwVItLwLEZYl_qEblfcx7dRnbRkAw0l-pE/edit?usp=sharing"",""บุรีรัมย์!L210"")"),1000)</f>
        <v>1000</v>
      </c>
      <c r="AS38" s="86">
        <f ca="1">IFERROR(__xludf.DUMMYFUNCTION("IMPORTRANGE(""https://docs.google.com/spreadsheets/d/1B3lPpzOuaNwVItLwLEZYl_qEblfcx7dRnbRkAw0l-pE/edit?usp=sharing"",""บุรีรัมย์!N210"")"),0)</f>
        <v>0</v>
      </c>
      <c r="AT38" s="87">
        <f t="shared" ca="1" si="91"/>
        <v>0</v>
      </c>
      <c r="AU38" s="86">
        <f ca="1">IFERROR(__xludf.DUMMYFUNCTION("IMPORTRANGE(""https://docs.google.com/spreadsheets/d/1B3lPpzOuaNwVItLwLEZYl_qEblfcx7dRnbRkAw0l-pE/edit?usp=sharing"",""บุรีรัมย์!L211"")"),5000)</f>
        <v>5000</v>
      </c>
      <c r="AV38" s="86">
        <f ca="1">IFERROR(__xludf.DUMMYFUNCTION("IMPORTRANGE(""https://docs.google.com/spreadsheets/d/1B3lPpzOuaNwVItLwLEZYl_qEblfcx7dRnbRkAw0l-pE/edit?usp=sharing"",""บุรีรัมย์!N211"")"),0)</f>
        <v>0</v>
      </c>
      <c r="AW38" s="87">
        <f t="shared" ca="1" si="92"/>
        <v>0</v>
      </c>
      <c r="AX38" s="86">
        <f ca="1">IFERROR(__xludf.DUMMYFUNCTION("IMPORTRANGE(""https://docs.google.com/spreadsheets/d/1B3lPpzOuaNwVItLwLEZYl_qEblfcx7dRnbRkAw0l-pE/edit?usp=sharing"",""บุรีรัมย์!L212"")"),8000)</f>
        <v>8000</v>
      </c>
      <c r="AY38" s="86">
        <f ca="1">IFERROR(__xludf.DUMMYFUNCTION("IMPORTRANGE(""https://docs.google.com/spreadsheets/d/1B3lPpzOuaNwVItLwLEZYl_qEblfcx7dRnbRkAw0l-pE/edit?usp=sharing"",""บุรีรัมย์!N212"")"),8000)</f>
        <v>8000</v>
      </c>
      <c r="AZ38" s="87">
        <f t="shared" ca="1" si="93"/>
        <v>100</v>
      </c>
      <c r="BA38" s="86">
        <f ca="1">IFERROR(__xludf.DUMMYFUNCTION("IMPORTRANGE(""https://docs.google.com/spreadsheets/d/1B3lPpzOuaNwVItLwLEZYl_qEblfcx7dRnbRkAw0l-pE/edit?usp=sharing"",""บุรีรัมย์!I214"")"),1)</f>
        <v>1</v>
      </c>
      <c r="BB38" s="86">
        <f ca="1">IFERROR(__xludf.DUMMYFUNCTION("IMPORTRANGE(""https://docs.google.com/spreadsheets/d/1B3lPpzOuaNwVItLwLEZYl_qEblfcx7dRnbRkAw0l-pE/edit?usp=sharing"",""บุรีรัมย์!J214"")"),0)</f>
        <v>0</v>
      </c>
      <c r="BC38" s="87">
        <f t="shared" ca="1" si="94"/>
        <v>0</v>
      </c>
      <c r="BD38" s="86">
        <f ca="1">IFERROR(__xludf.DUMMYFUNCTION("IMPORTRANGE(""https://docs.google.com/spreadsheets/d/1B3lPpzOuaNwVItLwLEZYl_qEblfcx7dRnbRkAw0l-pE/edit?usp=sharing"",""บุรีรัมย์!I215"")"),1)</f>
        <v>1</v>
      </c>
      <c r="BE38" s="86">
        <f ca="1">IFERROR(__xludf.DUMMYFUNCTION("IMPORTRANGE(""https://docs.google.com/spreadsheets/d/1B3lPpzOuaNwVItLwLEZYl_qEblfcx7dRnbRkAw0l-pE/edit?usp=sharing"",""บุรีรัมย์!J215"")"),1)</f>
        <v>1</v>
      </c>
      <c r="BF38" s="87">
        <f t="shared" ca="1" si="95"/>
        <v>100</v>
      </c>
      <c r="BG38" s="86">
        <f ca="1">IFERROR(__xludf.DUMMYFUNCTION("IMPORTRANGE(""https://docs.google.com/spreadsheets/d/1B3lPpzOuaNwVItLwLEZYl_qEblfcx7dRnbRkAw0l-pE/edit?usp=sharing"",""บุรีรัมย์!L218"")"),6000)</f>
        <v>6000</v>
      </c>
      <c r="BH38" s="86">
        <f ca="1">IFERROR(__xludf.DUMMYFUNCTION("IMPORTRANGE(""https://docs.google.com/spreadsheets/d/1B3lPpzOuaNwVItLwLEZYl_qEblfcx7dRnbRkAw0l-pE/edit?usp=sharing"",""บุรีรัมย์!N218"")"),0)</f>
        <v>0</v>
      </c>
      <c r="BI38" s="87">
        <f t="shared" ca="1" si="96"/>
        <v>0</v>
      </c>
      <c r="BJ38" s="86">
        <f ca="1">IFERROR(__xludf.DUMMYFUNCTION("IMPORTRANGE(""https://docs.google.com/spreadsheets/d/1B3lPpzOuaNwVItLwLEZYl_qEblfcx7dRnbRkAw0l-pE/edit?usp=sharing"",""บุรีรัมย์!L219"")"),25000)</f>
        <v>25000</v>
      </c>
      <c r="BK38" s="86">
        <f ca="1">IFERROR(__xludf.DUMMYFUNCTION("IMPORTRANGE(""https://docs.google.com/spreadsheets/d/1B3lPpzOuaNwVItLwLEZYl_qEblfcx7dRnbRkAw0l-pE/edit?usp=sharing"",""บุรีรัมย์!N219"")"),0)</f>
        <v>0</v>
      </c>
      <c r="BL38" s="87">
        <f t="shared" ca="1" si="97"/>
        <v>0</v>
      </c>
      <c r="BM38" s="86">
        <f ca="1">IFERROR(__xludf.DUMMYFUNCTION("IMPORTRANGE(""https://docs.google.com/spreadsheets/d/1B3lPpzOuaNwVItLwLEZYl_qEblfcx7dRnbRkAw0l-pE/edit?usp=sharing"",""บุรีรัมย์!L220"")"),0)</f>
        <v>0</v>
      </c>
      <c r="BN38" s="86">
        <f ca="1">IFERROR(__xludf.DUMMYFUNCTION("IMPORTRANGE(""https://docs.google.com/spreadsheets/d/1B3lPpzOuaNwVItLwLEZYl_qEblfcx7dRnbRkAw0l-pE/edit?usp=sharing"",""บุรีรัมย์!N220"")"),0)</f>
        <v>0</v>
      </c>
      <c r="BO38" s="87">
        <f t="shared" ca="1" si="98"/>
        <v>0</v>
      </c>
      <c r="BP38" s="86">
        <f ca="1">IFERROR(__xludf.DUMMYFUNCTION("IMPORTRANGE(""https://docs.google.com/spreadsheets/d/1B3lPpzOuaNwVItLwLEZYl_qEblfcx7dRnbRkAw0l-pE/edit?usp=sharing"",""บุรีรัมย์!I223"")"),100000)</f>
        <v>100000</v>
      </c>
      <c r="BQ38" s="86">
        <f ca="1">IFERROR(__xludf.DUMMYFUNCTION("IMPORTRANGE(""https://docs.google.com/spreadsheets/d/1B3lPpzOuaNwVItLwLEZYl_qEblfcx7dRnbRkAw0l-pE/edit?usp=sharing"",""บุรีรัมย์!J223"")"),0)</f>
        <v>0</v>
      </c>
      <c r="BR38" s="87">
        <f t="shared" ca="1" si="99"/>
        <v>0</v>
      </c>
      <c r="BS38" s="86">
        <f ca="1">IFERROR(__xludf.DUMMYFUNCTION("IMPORTRANGE(""https://docs.google.com/spreadsheets/d/1B3lPpzOuaNwVItLwLEZYl_qEblfcx7dRnbRkAw0l-pE/edit?usp=sharing"",""บุรีรัมย์!I224"")"),100000)</f>
        <v>100000</v>
      </c>
      <c r="BT38" s="86">
        <f ca="1">IFERROR(__xludf.DUMMYFUNCTION("IMPORTRANGE(""https://docs.google.com/spreadsheets/d/1B3lPpzOuaNwVItLwLEZYl_qEblfcx7dRnbRkAw0l-pE/edit?usp=sharing"",""บุรีรัมย์!J224"")"),0)</f>
        <v>0</v>
      </c>
      <c r="BU38" s="87">
        <f t="shared" ca="1" si="100"/>
        <v>0</v>
      </c>
      <c r="BV38" s="86">
        <f ca="1">IFERROR(__xludf.DUMMYFUNCTION("IMPORTRANGE(""https://docs.google.com/spreadsheets/d/1B3lPpzOuaNwVItLwLEZYl_qEblfcx7dRnbRkAw0l-pE/edit?usp=sharing"",""บุรีรัมย์!I225"")"),0)</f>
        <v>0</v>
      </c>
      <c r="BW38" s="86">
        <f ca="1">IFERROR(__xludf.DUMMYFUNCTION("IMPORTRANGE(""https://docs.google.com/spreadsheets/d/1B3lPpzOuaNwVItLwLEZYl_qEblfcx7dRnbRkAw0l-pE/edit?usp=sharing"",""บุรีรัมย์!J225"")"),0)</f>
        <v>0</v>
      </c>
      <c r="BX38" s="87">
        <f t="shared" ca="1" si="101"/>
        <v>0</v>
      </c>
      <c r="BY38" s="86">
        <f ca="1">IFERROR(__xludf.DUMMYFUNCTION("IMPORTRANGE(""https://docs.google.com/spreadsheets/d/1B3lPpzOuaNwVItLwLEZYl_qEblfcx7dRnbRkAw0l-pE/edit?usp=sharing"",""บุรีรัมย์!L228"")"),0)</f>
        <v>0</v>
      </c>
      <c r="BZ38" s="86">
        <f ca="1">IFERROR(__xludf.DUMMYFUNCTION("IMPORTRANGE(""https://docs.google.com/spreadsheets/d/1B3lPpzOuaNwVItLwLEZYl_qEblfcx7dRnbRkAw0l-pE/edit?usp=sharing"",""บุรีรัมย์!N228"")"),0)</f>
        <v>0</v>
      </c>
      <c r="CA38" s="87">
        <f t="shared" ca="1" si="102"/>
        <v>0</v>
      </c>
      <c r="CB38" s="86">
        <f ca="1">IFERROR(__xludf.DUMMYFUNCTION("IMPORTRANGE(""https://docs.google.com/spreadsheets/d/1B3lPpzOuaNwVItLwLEZYl_qEblfcx7dRnbRkAw0l-pE/edit?usp=sharing"",""บุรีรัมย์!L229"")"),0)</f>
        <v>0</v>
      </c>
      <c r="CC38" s="86">
        <f ca="1">IFERROR(__xludf.DUMMYFUNCTION("IMPORTRANGE(""https://docs.google.com/spreadsheets/d/1B3lPpzOuaNwVItLwLEZYl_qEblfcx7dRnbRkAw0l-pE/edit?usp=sharing"",""บุรีรัมย์!N229"")"),0)</f>
        <v>0</v>
      </c>
      <c r="CD38" s="87">
        <f t="shared" ca="1" si="103"/>
        <v>0</v>
      </c>
      <c r="CE38" s="86">
        <f ca="1">IFERROR(__xludf.DUMMYFUNCTION("IMPORTRANGE(""https://docs.google.com/spreadsheets/d/1B3lPpzOuaNwVItLwLEZYl_qEblfcx7dRnbRkAw0l-pE/edit?usp=sharing"",""บุรีรัมย์!L230"")"),0)</f>
        <v>0</v>
      </c>
      <c r="CF38" s="86">
        <f ca="1">IFERROR(__xludf.DUMMYFUNCTION("IMPORTRANGE(""https://docs.google.com/spreadsheets/d/1B3lPpzOuaNwVItLwLEZYl_qEblfcx7dRnbRkAw0l-pE/edit?usp=sharing"",""บุรีรัมย์!N230"")"),0)</f>
        <v>0</v>
      </c>
      <c r="CG38" s="87">
        <f t="shared" ca="1" si="104"/>
        <v>0</v>
      </c>
      <c r="CH38" s="86">
        <f ca="1">IFERROR(__xludf.DUMMYFUNCTION("IMPORTRANGE(""https://docs.google.com/spreadsheets/d/1B3lPpzOuaNwVItLwLEZYl_qEblfcx7dRnbRkAw0l-pE/edit?usp=sharing"",""บุรีรัมย์!L231"")"),0)</f>
        <v>0</v>
      </c>
      <c r="CI38" s="86">
        <f ca="1">IFERROR(__xludf.DUMMYFUNCTION("IMPORTRANGE(""https://docs.google.com/spreadsheets/d/1B3lPpzOuaNwVItLwLEZYl_qEblfcx7dRnbRkAw0l-pE/edit?usp=sharing"",""บุรีรัมย์!N231"")"),0)</f>
        <v>0</v>
      </c>
      <c r="CJ38" s="87">
        <f t="shared" ca="1" si="105"/>
        <v>0</v>
      </c>
      <c r="CK38" s="86">
        <f ca="1">IFERROR(__xludf.DUMMYFUNCTION("IMPORTRANGE(""https://docs.google.com/spreadsheets/d/1B3lPpzOuaNwVItLwLEZYl_qEblfcx7dRnbRkAw0l-pE/edit?usp=sharing"",""บุรีรัมย์!I233"")"),0)</f>
        <v>0</v>
      </c>
      <c r="CL38" s="86">
        <f ca="1">IFERROR(__xludf.DUMMYFUNCTION("IMPORTRANGE(""https://docs.google.com/spreadsheets/d/1B3lPpzOuaNwVItLwLEZYl_qEblfcx7dRnbRkAw0l-pE/edit?usp=sharing"",""บุรีรัมย์!J233"")"),0)</f>
        <v>0</v>
      </c>
      <c r="CM38" s="87">
        <f t="shared" ca="1" si="106"/>
        <v>0</v>
      </c>
      <c r="CN38" s="86">
        <f ca="1">IFERROR(__xludf.DUMMYFUNCTION("IMPORTRANGE(""https://docs.google.com/spreadsheets/d/1B3lPpzOuaNwVItLwLEZYl_qEblfcx7dRnbRkAw0l-pE/edit?usp=sharing"",""บุรีรัมย์!J235"")"),0)</f>
        <v>0</v>
      </c>
      <c r="CO38" s="86">
        <f ca="1">IFERROR(__xludf.DUMMYFUNCTION("IMPORTRANGE(""https://docs.google.com/spreadsheets/d/1B3lPpzOuaNwVItLwLEZYl_qEblfcx7dRnbRkAw0l-pE/edit?usp=sharing"",""บุรีรัมย์!J236"")"),0)</f>
        <v>0</v>
      </c>
    </row>
    <row r="39" spans="1:93" ht="21" customHeight="1" x14ac:dyDescent="0.3">
      <c r="A39" s="78">
        <v>8</v>
      </c>
      <c r="B39" s="79" t="s">
        <v>61</v>
      </c>
      <c r="C39" s="80">
        <f t="shared" ca="1" si="0"/>
        <v>55500</v>
      </c>
      <c r="D39" s="81">
        <f t="shared" ca="1" si="160"/>
        <v>55500</v>
      </c>
      <c r="E39" s="82">
        <f ca="1">IFERROR(__xludf.DUMMYFUNCTION("IMPORTRANGE(""https://docs.google.com/spreadsheets/d/1MeEWN-I1oV_STSDYn1IFDPWt_1FKiwhDph83XaGc0o0/edit?usp=sharing"",""งบพรบ!CP39"")"),0)</f>
        <v>0</v>
      </c>
      <c r="F39" s="82">
        <f ca="1">IFERROR(__xludf.DUMMYFUNCTION("IMPORTRANGE(""https://docs.google.com/spreadsheets/d/1MeEWN-I1oV_STSDYn1IFDPWt_1FKiwhDph83XaGc0o0/edit?usp=sharing"",""งบพรบ!CQ39"")"),55500)</f>
        <v>55500</v>
      </c>
      <c r="G39" s="82">
        <f ca="1">IFERROR(__xludf.DUMMYFUNCTION("IMPORTRANGE(""https://docs.google.com/spreadsheets/d/1MeEWN-I1oV_STSDYn1IFDPWt_1FKiwhDph83XaGc0o0/edit?usp=sharing"",""งบพรบ!CR39"")"),0)</f>
        <v>0</v>
      </c>
      <c r="H39" s="82">
        <f ca="1">IFERROR(__xludf.DUMMYFUNCTION("IMPORTRANGE(""https://docs.google.com/spreadsheets/d/1MeEWN-I1oV_STSDYn1IFDPWt_1FKiwhDph83XaGc0o0/edit?usp=sharing"",""งบพรบ!CT39"")"),40500)</f>
        <v>40500</v>
      </c>
      <c r="I39" s="82">
        <f ca="1">IFERROR(__xludf.DUMMYFUNCTION("IMPORTRANGE(""https://docs.google.com/spreadsheets/d/1MeEWN-I1oV_STSDYn1IFDPWt_1FKiwhDph83XaGc0o0/edit?usp=sharing"",""งบพรบ!CU39"")"),0)</f>
        <v>0</v>
      </c>
      <c r="J39" s="82">
        <f t="shared" ca="1" si="3"/>
        <v>20500</v>
      </c>
      <c r="K39" s="83">
        <f t="shared" ca="1" si="4"/>
        <v>36.936936936936938</v>
      </c>
      <c r="L39" s="82">
        <f ca="1">IFERROR(__xludf.DUMMYFUNCTION("IMPORTRANGE(""https://docs.google.com/spreadsheets/d/1MeEWN-I1oV_STSDYn1IFDPWt_1FKiwhDph83XaGc0o0/edit?usp=sharing"",""งบพรบ!CV39"")"),20500)</f>
        <v>20500</v>
      </c>
      <c r="M39" s="84">
        <f t="shared" ca="1" si="5"/>
        <v>36.936936936936938</v>
      </c>
      <c r="N39" s="84">
        <f t="shared" ca="1" si="6"/>
        <v>50.617283950617285</v>
      </c>
      <c r="O39" s="85">
        <f ca="1">IFERROR(__xludf.DUMMYFUNCTION("IMPORTRANGE(""https://docs.google.com/spreadsheets/d/1MeEWN-I1oV_STSDYn1IFDPWt_1FKiwhDph83XaGc0o0/edit?usp=sharing"",""งบพรบ!CW39"")"),0)</f>
        <v>0</v>
      </c>
      <c r="P39" s="85">
        <f t="shared" ca="1" si="108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IFERROR(__xludf.DUMMYFUNCTION("IMPORTRANGE(""https://docs.google.com/spreadsheets/d/19GOkiOqnzYbevLYWrMk4qFOXe3rX14BkSA8X-mq-a40/edit?usp=sharing"",""มหาสารคาม!L191"")"),6000)</f>
        <v>6000</v>
      </c>
      <c r="S39" s="86">
        <f ca="1">IFERROR(__xludf.DUMMYFUNCTION("IMPORTRANGE(""https://docs.google.com/spreadsheets/d/19GOkiOqnzYbevLYWrMk4qFOXe3rX14BkSA8X-mq-a40/edit?usp=sharing"",""มหาสารคาม!N191"")"),1915)</f>
        <v>1915</v>
      </c>
      <c r="T39" s="87">
        <f t="shared" ca="1" si="84"/>
        <v>31.916666666666668</v>
      </c>
      <c r="U39" s="86">
        <f ca="1">IFERROR(__xludf.DUMMYFUNCTION("IMPORTRANGE(""https://docs.google.com/spreadsheets/d/19GOkiOqnzYbevLYWrMk4qFOXe3rX14BkSA8X-mq-a40/edit?usp=sharing"",""มหาสารคาม!I193"")"),4)</f>
        <v>4</v>
      </c>
      <c r="V39" s="86">
        <f ca="1">IFERROR(__xludf.DUMMYFUNCTION("IMPORTRANGE(""https://docs.google.com/spreadsheets/d/19GOkiOqnzYbevLYWrMk4qFOXe3rX14BkSA8X-mq-a40/edit?usp=sharing"",""มหาสารคาม!J193"")"),1)</f>
        <v>1</v>
      </c>
      <c r="W39" s="87">
        <f t="shared" ca="1" si="85"/>
        <v>25</v>
      </c>
      <c r="X39" s="86">
        <f t="shared" ca="1" si="161"/>
        <v>1</v>
      </c>
      <c r="Y39" s="86">
        <f ca="1">IFERROR(__xludf.DUMMYFUNCTION("IMPORTRANGE(""https://docs.google.com/spreadsheets/d/19GOkiOqnzYbevLYWrMk4qFOXe3rX14BkSA8X-mq-a40/edit?usp=sharing"",""มหาสารคาม!J195"")"),1)</f>
        <v>1</v>
      </c>
      <c r="Z39" s="86">
        <f ca="1">IFERROR(__xludf.DUMMYFUNCTION("IMPORTRANGE(""https://docs.google.com/spreadsheets/d/19GOkiOqnzYbevLYWrMk4qFOXe3rX14BkSA8X-mq-a40/edit?usp=sharing"",""มหาสารคาม!J196"")"),0)</f>
        <v>0</v>
      </c>
      <c r="AA39" s="86">
        <f ca="1">IFERROR(__xludf.DUMMYFUNCTION("IMPORTRANGE(""https://docs.google.com/spreadsheets/d/19GOkiOqnzYbevLYWrMk4qFOXe3rX14BkSA8X-mq-a40/edit?usp=sharing"",""มหาสารคาม!L199"")"),2000)</f>
        <v>2000</v>
      </c>
      <c r="AB39" s="86">
        <f ca="1">IFERROR(__xludf.DUMMYFUNCTION("IMPORTRANGE(""https://docs.google.com/spreadsheets/d/19GOkiOqnzYbevLYWrMk4qFOXe3rX14BkSA8X-mq-a40/edit?usp=sharing"",""มหาสารคาม!N199"")"),1200)</f>
        <v>1200</v>
      </c>
      <c r="AC39" s="87">
        <f t="shared" ca="1" si="86"/>
        <v>60</v>
      </c>
      <c r="AD39" s="86">
        <f ca="1">IFERROR(__xludf.DUMMYFUNCTION("IMPORTRANGE(""https://docs.google.com/spreadsheets/d/19GOkiOqnzYbevLYWrMk4qFOXe3rX14BkSA8X-mq-a40/edit?usp=sharing"",""มหาสารคาม!L200"")"),16000)</f>
        <v>16000</v>
      </c>
      <c r="AE39" s="86">
        <f ca="1">IFERROR(__xludf.DUMMYFUNCTION("IMPORTRANGE(""https://docs.google.com/spreadsheets/d/19GOkiOqnzYbevLYWrMk4qFOXe3rX14BkSA8X-mq-a40/edit?usp=sharing"",""มหาสารคาม!N200"")"),16000)</f>
        <v>16000</v>
      </c>
      <c r="AF39" s="87">
        <f t="shared" ca="1" si="87"/>
        <v>100</v>
      </c>
      <c r="AG39" s="86">
        <f ca="1">IFERROR(__xludf.DUMMYFUNCTION("IMPORTRANGE(""https://docs.google.com/spreadsheets/d/19GOkiOqnzYbevLYWrMk4qFOXe3rX14BkSA8X-mq-a40/edit?usp=sharing"",""มหาสารคาม!L201"")"),8000)</f>
        <v>8000</v>
      </c>
      <c r="AH39" s="86">
        <f ca="1">IFERROR(__xludf.DUMMYFUNCTION("IMPORTRANGE(""https://docs.google.com/spreadsheets/d/19GOkiOqnzYbevLYWrMk4qFOXe3rX14BkSA8X-mq-a40/edit?usp=sharing"",""มหาสารคาม!N201"")"),0)</f>
        <v>0</v>
      </c>
      <c r="AI39" s="87">
        <f t="shared" ca="1" si="88"/>
        <v>0</v>
      </c>
      <c r="AJ39" s="86">
        <f ca="1">IFERROR(__xludf.DUMMYFUNCTION("IMPORTRANGE(""https://docs.google.com/spreadsheets/d/19GOkiOqnzYbevLYWrMk4qFOXe3rX14BkSA8X-mq-a40/edit?usp=sharing"",""มหาสารคาม!L202"")"),5000)</f>
        <v>5000</v>
      </c>
      <c r="AK39" s="86">
        <f ca="1">IFERROR(__xludf.DUMMYFUNCTION("IMPORTRANGE(""https://docs.google.com/spreadsheets/d/19GOkiOqnzYbevLYWrMk4qFOXe3rX14BkSA8X-mq-a40/edit?usp=sharing"",""มหาสารคาม!N202"")"),0)</f>
        <v>0</v>
      </c>
      <c r="AL39" s="87">
        <f t="shared" ca="1" si="89"/>
        <v>0</v>
      </c>
      <c r="AM39" s="86">
        <f ca="1">IFERROR(__xludf.DUMMYFUNCTION("IMPORTRANGE(""https://docs.google.com/spreadsheets/d/19GOkiOqnzYbevLYWrMk4qFOXe3rX14BkSA8X-mq-a40/edit?usp=sharing"",""มหาสารคาม!I204"")"),2)</f>
        <v>2</v>
      </c>
      <c r="AN39" s="86">
        <f ca="1">IFERROR(__xludf.DUMMYFUNCTION("IMPORTRANGE(""https://docs.google.com/spreadsheets/d/19GOkiOqnzYbevLYWrMk4qFOXe3rX14BkSA8X-mq-a40/edit?usp=sharing"",""มหาสารคาม!J204"")"),1)</f>
        <v>1</v>
      </c>
      <c r="AO39" s="87">
        <f t="shared" ca="1" si="90"/>
        <v>50</v>
      </c>
      <c r="AP39" s="298">
        <f ca="1">IFERROR(__xludf.DUMMYFUNCTION("IMPORTRANGE(""https://docs.google.com/spreadsheets/d/19GOkiOqnzYbevLYWrMk4qFOXe3rX14BkSA8X-mq-a40/edit?usp=sharing"",""มหาสารคาม!J206"")"),0)</f>
        <v>0</v>
      </c>
      <c r="AQ39" s="298">
        <f ca="1">IFERROR(__xludf.DUMMYFUNCTION("IMPORTRANGE(""https://docs.google.com/spreadsheets/d/19GOkiOqnzYbevLYWrMk4qFOXe3rX14BkSA8X-mq-a40/edit?usp=sharing"",""มหาสารคาม!J207"")"),0)</f>
        <v>0</v>
      </c>
      <c r="AR39" s="86">
        <f ca="1">IFERROR(__xludf.DUMMYFUNCTION("IMPORTRANGE(""https://docs.google.com/spreadsheets/d/19GOkiOqnzYbevLYWrMk4qFOXe3rX14BkSA8X-mq-a40/edit?usp=sharing"",""มหาสารคาม!L210"")"),0)</f>
        <v>0</v>
      </c>
      <c r="AS39" s="86">
        <f ca="1">IFERROR(__xludf.DUMMYFUNCTION("IMPORTRANGE(""https://docs.google.com/spreadsheets/d/19GOkiOqnzYbevLYWrMk4qFOXe3rX14BkSA8X-mq-a40/edit?usp=sharing"",""มหาสารคาม!N210"")"),0)</f>
        <v>0</v>
      </c>
      <c r="AT39" s="87">
        <f t="shared" ca="1" si="91"/>
        <v>0</v>
      </c>
      <c r="AU39" s="86">
        <f ca="1">IFERROR(__xludf.DUMMYFUNCTION("IMPORTRANGE(""https://docs.google.com/spreadsheets/d/19GOkiOqnzYbevLYWrMk4qFOXe3rX14BkSA8X-mq-a40/edit?usp=sharing"",""มหาสารคาม!L211"")"),0)</f>
        <v>0</v>
      </c>
      <c r="AV39" s="86">
        <f ca="1">IFERROR(__xludf.DUMMYFUNCTION("IMPORTRANGE(""https://docs.google.com/spreadsheets/d/19GOkiOqnzYbevLYWrMk4qFOXe3rX14BkSA8X-mq-a40/edit?usp=sharing"",""มหาสารคาม!N211"")"),0)</f>
        <v>0</v>
      </c>
      <c r="AW39" s="87">
        <f t="shared" ca="1" si="92"/>
        <v>0</v>
      </c>
      <c r="AX39" s="86">
        <f ca="1">IFERROR(__xludf.DUMMYFUNCTION("IMPORTRANGE(""https://docs.google.com/spreadsheets/d/19GOkiOqnzYbevLYWrMk4qFOXe3rX14BkSA8X-mq-a40/edit?usp=sharing"",""มหาสารคาม!L212"")"),0)</f>
        <v>0</v>
      </c>
      <c r="AY39" s="86">
        <f ca="1">IFERROR(__xludf.DUMMYFUNCTION("IMPORTRANGE(""https://docs.google.com/spreadsheets/d/19GOkiOqnzYbevLYWrMk4qFOXe3rX14BkSA8X-mq-a40/edit?usp=sharing"",""มหาสารคาม!N212"")"),0)</f>
        <v>0</v>
      </c>
      <c r="AZ39" s="87">
        <f t="shared" ca="1" si="93"/>
        <v>0</v>
      </c>
      <c r="BA39" s="86">
        <f ca="1">IFERROR(__xludf.DUMMYFUNCTION("IMPORTRANGE(""https://docs.google.com/spreadsheets/d/19GOkiOqnzYbevLYWrMk4qFOXe3rX14BkSA8X-mq-a40/edit?usp=sharing"",""มหาสารคาม!I214"")"),0)</f>
        <v>0</v>
      </c>
      <c r="BB39" s="86">
        <f ca="1">IFERROR(__xludf.DUMMYFUNCTION("IMPORTRANGE(""https://docs.google.com/spreadsheets/d/19GOkiOqnzYbevLYWrMk4qFOXe3rX14BkSA8X-mq-a40/edit?usp=sharing"",""มหาสารคาม!J214"")"),0)</f>
        <v>0</v>
      </c>
      <c r="BC39" s="87">
        <f t="shared" ca="1" si="94"/>
        <v>0</v>
      </c>
      <c r="BD39" s="86">
        <f ca="1">IFERROR(__xludf.DUMMYFUNCTION("IMPORTRANGE(""https://docs.google.com/spreadsheets/d/19GOkiOqnzYbevLYWrMk4qFOXe3rX14BkSA8X-mq-a40/edit?usp=sharing"",""มหาสารคาม!I215"")"),0)</f>
        <v>0</v>
      </c>
      <c r="BE39" s="86">
        <f ca="1">IFERROR(__xludf.DUMMYFUNCTION("IMPORTRANGE(""https://docs.google.com/spreadsheets/d/19GOkiOqnzYbevLYWrMk4qFOXe3rX14BkSA8X-mq-a40/edit?usp=sharing"",""มหาสารคาม!J215"")"),0)</f>
        <v>0</v>
      </c>
      <c r="BF39" s="87">
        <f t="shared" ca="1" si="95"/>
        <v>0</v>
      </c>
      <c r="BG39" s="86">
        <f ca="1">IFERROR(__xludf.DUMMYFUNCTION("IMPORTRANGE(""https://docs.google.com/spreadsheets/d/19GOkiOqnzYbevLYWrMk4qFOXe3rX14BkSA8X-mq-a40/edit?usp=sharing"",""มหาสารคาม!L218"")"),5000)</f>
        <v>5000</v>
      </c>
      <c r="BH39" s="86">
        <f ca="1">IFERROR(__xludf.DUMMYFUNCTION("IMPORTRANGE(""https://docs.google.com/spreadsheets/d/19GOkiOqnzYbevLYWrMk4qFOXe3rX14BkSA8X-mq-a40/edit?usp=sharing"",""มหาสารคาม!N218"")"),0)</f>
        <v>0</v>
      </c>
      <c r="BI39" s="87">
        <f t="shared" ca="1" si="96"/>
        <v>0</v>
      </c>
      <c r="BJ39" s="86">
        <f ca="1">IFERROR(__xludf.DUMMYFUNCTION("IMPORTRANGE(""https://docs.google.com/spreadsheets/d/19GOkiOqnzYbevLYWrMk4qFOXe3rX14BkSA8X-mq-a40/edit?usp=sharing"",""มหาสารคาม!L219"")"),13500)</f>
        <v>13500</v>
      </c>
      <c r="BK39" s="86">
        <f ca="1">IFERROR(__xludf.DUMMYFUNCTION("IMPORTRANGE(""https://docs.google.com/spreadsheets/d/19GOkiOqnzYbevLYWrMk4qFOXe3rX14BkSA8X-mq-a40/edit?usp=sharing"",""มหาสารคาม!N219"")"),0)</f>
        <v>0</v>
      </c>
      <c r="BL39" s="87">
        <f t="shared" ca="1" si="97"/>
        <v>0</v>
      </c>
      <c r="BM39" s="86">
        <f ca="1">IFERROR(__xludf.DUMMYFUNCTION("IMPORTRANGE(""https://docs.google.com/spreadsheets/d/19GOkiOqnzYbevLYWrMk4qFOXe3rX14BkSA8X-mq-a40/edit?usp=sharing"",""มหาสารคาม!L220"")"),0)</f>
        <v>0</v>
      </c>
      <c r="BN39" s="86">
        <f ca="1">IFERROR(__xludf.DUMMYFUNCTION("IMPORTRANGE(""https://docs.google.com/spreadsheets/d/19GOkiOqnzYbevLYWrMk4qFOXe3rX14BkSA8X-mq-a40/edit?usp=sharing"",""มหาสารคาม!N220"")"),0)</f>
        <v>0</v>
      </c>
      <c r="BO39" s="87">
        <f t="shared" ca="1" si="98"/>
        <v>0</v>
      </c>
      <c r="BP39" s="86">
        <f ca="1">IFERROR(__xludf.DUMMYFUNCTION("IMPORTRANGE(""https://docs.google.com/spreadsheets/d/19GOkiOqnzYbevLYWrMk4qFOXe3rX14BkSA8X-mq-a40/edit?usp=sharing"",""มหาสารคาม!I223"")"),50000)</f>
        <v>50000</v>
      </c>
      <c r="BQ39" s="86">
        <f ca="1">IFERROR(__xludf.DUMMYFUNCTION("IMPORTRANGE(""https://docs.google.com/spreadsheets/d/19GOkiOqnzYbevLYWrMk4qFOXe3rX14BkSA8X-mq-a40/edit?usp=sharing"",""มหาสารคาม!J223"")"),0)</f>
        <v>0</v>
      </c>
      <c r="BR39" s="87">
        <f t="shared" ca="1" si="99"/>
        <v>0</v>
      </c>
      <c r="BS39" s="86">
        <f ca="1">IFERROR(__xludf.DUMMYFUNCTION("IMPORTRANGE(""https://docs.google.com/spreadsheets/d/19GOkiOqnzYbevLYWrMk4qFOXe3rX14BkSA8X-mq-a40/edit?usp=sharing"",""มหาสารคาม!I224"")"),50000)</f>
        <v>50000</v>
      </c>
      <c r="BT39" s="86">
        <f ca="1">IFERROR(__xludf.DUMMYFUNCTION("IMPORTRANGE(""https://docs.google.com/spreadsheets/d/19GOkiOqnzYbevLYWrMk4qFOXe3rX14BkSA8X-mq-a40/edit?usp=sharing"",""มหาสารคาม!J224"")"),0)</f>
        <v>0</v>
      </c>
      <c r="BU39" s="87">
        <f t="shared" ca="1" si="100"/>
        <v>0</v>
      </c>
      <c r="BV39" s="86">
        <f ca="1">IFERROR(__xludf.DUMMYFUNCTION("IMPORTRANGE(""https://docs.google.com/spreadsheets/d/19GOkiOqnzYbevLYWrMk4qFOXe3rX14BkSA8X-mq-a40/edit?usp=sharing"",""มหาสารคาม!I225"")"),0)</f>
        <v>0</v>
      </c>
      <c r="BW39" s="86">
        <f ca="1">IFERROR(__xludf.DUMMYFUNCTION("IMPORTRANGE(""https://docs.google.com/spreadsheets/d/19GOkiOqnzYbevLYWrMk4qFOXe3rX14BkSA8X-mq-a40/edit?usp=sharing"",""มหาสารคาม!J225"")"),0)</f>
        <v>0</v>
      </c>
      <c r="BX39" s="87">
        <f t="shared" ca="1" si="101"/>
        <v>0</v>
      </c>
      <c r="BY39" s="86">
        <f ca="1">IFERROR(__xludf.DUMMYFUNCTION("IMPORTRANGE(""https://docs.google.com/spreadsheets/d/19GOkiOqnzYbevLYWrMk4qFOXe3rX14BkSA8X-mq-a40/edit?usp=sharing"",""มหาสารคาม!L228"")"),0)</f>
        <v>0</v>
      </c>
      <c r="BZ39" s="86">
        <f ca="1">IFERROR(__xludf.DUMMYFUNCTION("IMPORTRANGE(""https://docs.google.com/spreadsheets/d/19GOkiOqnzYbevLYWrMk4qFOXe3rX14BkSA8X-mq-a40/edit?usp=sharing"",""มหาสารคาม!N228"")"),0)</f>
        <v>0</v>
      </c>
      <c r="CA39" s="87">
        <f t="shared" ca="1" si="102"/>
        <v>0</v>
      </c>
      <c r="CB39" s="86">
        <f ca="1">IFERROR(__xludf.DUMMYFUNCTION("IMPORTRANGE(""https://docs.google.com/spreadsheets/d/19GOkiOqnzYbevLYWrMk4qFOXe3rX14BkSA8X-mq-a40/edit?usp=sharing"",""มหาสารคาม!L229"")"),0)</f>
        <v>0</v>
      </c>
      <c r="CC39" s="86">
        <f ca="1">IFERROR(__xludf.DUMMYFUNCTION("IMPORTRANGE(""https://docs.google.com/spreadsheets/d/19GOkiOqnzYbevLYWrMk4qFOXe3rX14BkSA8X-mq-a40/edit?usp=sharing"",""มหาสารคาม!N229"")"),0)</f>
        <v>0</v>
      </c>
      <c r="CD39" s="87">
        <f t="shared" ca="1" si="103"/>
        <v>0</v>
      </c>
      <c r="CE39" s="86">
        <f ca="1">IFERROR(__xludf.DUMMYFUNCTION("IMPORTRANGE(""https://docs.google.com/spreadsheets/d/19GOkiOqnzYbevLYWrMk4qFOXe3rX14BkSA8X-mq-a40/edit?usp=sharing"",""มหาสารคาม!L230"")"),0)</f>
        <v>0</v>
      </c>
      <c r="CF39" s="86">
        <f ca="1">IFERROR(__xludf.DUMMYFUNCTION("IMPORTRANGE(""https://docs.google.com/spreadsheets/d/19GOkiOqnzYbevLYWrMk4qFOXe3rX14BkSA8X-mq-a40/edit?usp=sharing"",""มหาสารคาม!N230"")"),0)</f>
        <v>0</v>
      </c>
      <c r="CG39" s="87">
        <f t="shared" ca="1" si="104"/>
        <v>0</v>
      </c>
      <c r="CH39" s="86">
        <f ca="1">IFERROR(__xludf.DUMMYFUNCTION("IMPORTRANGE(""https://docs.google.com/spreadsheets/d/19GOkiOqnzYbevLYWrMk4qFOXe3rX14BkSA8X-mq-a40/edit?usp=sharing"",""มหาสารคาม!L231"")"),0)</f>
        <v>0</v>
      </c>
      <c r="CI39" s="86">
        <f ca="1">IFERROR(__xludf.DUMMYFUNCTION("IMPORTRANGE(""https://docs.google.com/spreadsheets/d/19GOkiOqnzYbevLYWrMk4qFOXe3rX14BkSA8X-mq-a40/edit?usp=sharing"",""มหาสารคาม!N231"")"),0)</f>
        <v>0</v>
      </c>
      <c r="CJ39" s="87">
        <f t="shared" ca="1" si="105"/>
        <v>0</v>
      </c>
      <c r="CK39" s="86">
        <f ca="1">IFERROR(__xludf.DUMMYFUNCTION("IMPORTRANGE(""https://docs.google.com/spreadsheets/d/19GOkiOqnzYbevLYWrMk4qFOXe3rX14BkSA8X-mq-a40/edit?usp=sharing"",""มหาสารคาม!I233"")"),0)</f>
        <v>0</v>
      </c>
      <c r="CL39" s="86">
        <f ca="1">IFERROR(__xludf.DUMMYFUNCTION("IMPORTRANGE(""https://docs.google.com/spreadsheets/d/19GOkiOqnzYbevLYWrMk4qFOXe3rX14BkSA8X-mq-a40/edit?usp=sharing"",""มหาสารคาม!J233"")"),0)</f>
        <v>0</v>
      </c>
      <c r="CM39" s="87">
        <f t="shared" ca="1" si="106"/>
        <v>0</v>
      </c>
      <c r="CN39" s="86">
        <f ca="1">IFERROR(__xludf.DUMMYFUNCTION("IMPORTRANGE(""https://docs.google.com/spreadsheets/d/19GOkiOqnzYbevLYWrMk4qFOXe3rX14BkSA8X-mq-a40/edit?usp=sharing"",""มหาสารคาม!J235"")"),0)</f>
        <v>0</v>
      </c>
      <c r="CO39" s="86">
        <f ca="1">IFERROR(__xludf.DUMMYFUNCTION("IMPORTRANGE(""https://docs.google.com/spreadsheets/d/19GOkiOqnzYbevLYWrMk4qFOXe3rX14BkSA8X-mq-a40/edit?usp=sharing"",""มหาสารคาม!J236"")"),0)</f>
        <v>0</v>
      </c>
    </row>
    <row r="40" spans="1:93" ht="21" customHeight="1" x14ac:dyDescent="0.3">
      <c r="A40" s="78">
        <v>9</v>
      </c>
      <c r="B40" s="79" t="s">
        <v>62</v>
      </c>
      <c r="C40" s="80">
        <f t="shared" ca="1" si="0"/>
        <v>84000</v>
      </c>
      <c r="D40" s="81">
        <f t="shared" ca="1" si="160"/>
        <v>84000</v>
      </c>
      <c r="E40" s="82">
        <f ca="1">IFERROR(__xludf.DUMMYFUNCTION("IMPORTRANGE(""https://docs.google.com/spreadsheets/d/1MeEWN-I1oV_STSDYn1IFDPWt_1FKiwhDph83XaGc0o0/edit?usp=sharing"",""งบพรบ!CP40"")"),0)</f>
        <v>0</v>
      </c>
      <c r="F40" s="82">
        <f ca="1">IFERROR(__xludf.DUMMYFUNCTION("IMPORTRANGE(""https://docs.google.com/spreadsheets/d/1MeEWN-I1oV_STSDYn1IFDPWt_1FKiwhDph83XaGc0o0/edit?usp=sharing"",""งบพรบ!CQ40"")"),84000)</f>
        <v>84000</v>
      </c>
      <c r="G40" s="82">
        <f ca="1">IFERROR(__xludf.DUMMYFUNCTION("IMPORTRANGE(""https://docs.google.com/spreadsheets/d/1MeEWN-I1oV_STSDYn1IFDPWt_1FKiwhDph83XaGc0o0/edit?usp=sharing"",""งบพรบ!CR40"")"),0)</f>
        <v>0</v>
      </c>
      <c r="H40" s="82">
        <f ca="1">IFERROR(__xludf.DUMMYFUNCTION("IMPORTRANGE(""https://docs.google.com/spreadsheets/d/1MeEWN-I1oV_STSDYn1IFDPWt_1FKiwhDph83XaGc0o0/edit?usp=sharing"",""งบพรบ!CT40"")"),72500)</f>
        <v>72500</v>
      </c>
      <c r="I40" s="82">
        <f ca="1">IFERROR(__xludf.DUMMYFUNCTION("IMPORTRANGE(""https://docs.google.com/spreadsheets/d/1MeEWN-I1oV_STSDYn1IFDPWt_1FKiwhDph83XaGc0o0/edit?usp=sharing"",""งบพรบ!CU40"")"),0)</f>
        <v>0</v>
      </c>
      <c r="J40" s="82">
        <f t="shared" ca="1" si="3"/>
        <v>41668</v>
      </c>
      <c r="K40" s="83">
        <f t="shared" ca="1" si="4"/>
        <v>49.604761904761908</v>
      </c>
      <c r="L40" s="82">
        <f ca="1">IFERROR(__xludf.DUMMYFUNCTION("IMPORTRANGE(""https://docs.google.com/spreadsheets/d/1MeEWN-I1oV_STSDYn1IFDPWt_1FKiwhDph83XaGc0o0/edit?usp=sharing"",""งบพรบ!CV40"")"),41668)</f>
        <v>41668</v>
      </c>
      <c r="M40" s="84">
        <f t="shared" ca="1" si="5"/>
        <v>49.604761904761908</v>
      </c>
      <c r="N40" s="84">
        <f t="shared" ca="1" si="6"/>
        <v>57.473103448275864</v>
      </c>
      <c r="O40" s="85">
        <f ca="1">IFERROR(__xludf.DUMMYFUNCTION("IMPORTRANGE(""https://docs.google.com/spreadsheets/d/1MeEWN-I1oV_STSDYn1IFDPWt_1FKiwhDph83XaGc0o0/edit?usp=sharing"",""งบพรบ!CW40"")"),0)</f>
        <v>0</v>
      </c>
      <c r="P40" s="85">
        <f t="shared" ca="1" si="108"/>
        <v>0</v>
      </c>
      <c r="Q40" s="84">
        <f t="shared" ca="1" si="8"/>
        <v>0</v>
      </c>
      <c r="R40" s="86">
        <f ca="1">IFERROR(__xludf.DUMMYFUNCTION("IMPORTRANGE(""https://docs.google.com/spreadsheets/d/1uMKqWwuNQ-TCKboGA3Bb1qXb5uj2-faACNUINCz8PN4/edit?usp=sharing"",""มุกดาหาร!L191"")"),6000)</f>
        <v>6000</v>
      </c>
      <c r="S40" s="86">
        <f ca="1">IFERROR(__xludf.DUMMYFUNCTION("IMPORTRANGE(""https://docs.google.com/spreadsheets/d/1uMKqWwuNQ-TCKboGA3Bb1qXb5uj2-faACNUINCz8PN4/edit?usp=sharing"",""มุกดาหาร!N191"")"),0)</f>
        <v>0</v>
      </c>
      <c r="T40" s="87">
        <f t="shared" ca="1" si="84"/>
        <v>0</v>
      </c>
      <c r="U40" s="86">
        <f ca="1">IFERROR(__xludf.DUMMYFUNCTION("IMPORTRANGE(""https://docs.google.com/spreadsheets/d/1uMKqWwuNQ-TCKboGA3Bb1qXb5uj2-faACNUINCz8PN4/edit?usp=sharing"",""มุกดาหาร!I193"")"),4)</f>
        <v>4</v>
      </c>
      <c r="V40" s="86">
        <f ca="1">IFERROR(__xludf.DUMMYFUNCTION("IMPORTRANGE(""https://docs.google.com/spreadsheets/d/1uMKqWwuNQ-TCKboGA3Bb1qXb5uj2-faACNUINCz8PN4/edit?usp=sharing"",""มุกดาหาร!J193"")"),1)</f>
        <v>1</v>
      </c>
      <c r="W40" s="87">
        <f t="shared" ca="1" si="85"/>
        <v>25</v>
      </c>
      <c r="X40" s="86">
        <f t="shared" ca="1" si="161"/>
        <v>21</v>
      </c>
      <c r="Y40" s="86">
        <f ca="1">IFERROR(__xludf.DUMMYFUNCTION("IMPORTRANGE(""https://docs.google.com/spreadsheets/d/1uMKqWwuNQ-TCKboGA3Bb1qXb5uj2-faACNUINCz8PN4/edit?usp=sharing"",""มุกดาหาร!J195"")"),21)</f>
        <v>21</v>
      </c>
      <c r="Z40" s="86">
        <f ca="1">IFERROR(__xludf.DUMMYFUNCTION("IMPORTRANGE(""https://docs.google.com/spreadsheets/d/1uMKqWwuNQ-TCKboGA3Bb1qXb5uj2-faACNUINCz8PN4/edit?usp=sharing"",""มุกดาหาร!J196"")"),0)</f>
        <v>0</v>
      </c>
      <c r="AA40" s="86">
        <f ca="1">IFERROR(__xludf.DUMMYFUNCTION("IMPORTRANGE(""https://docs.google.com/spreadsheets/d/1uMKqWwuNQ-TCKboGA3Bb1qXb5uj2-faACNUINCz8PN4/edit?usp=sharing"",""มุกดาหาร!L199"")"),3000)</f>
        <v>3000</v>
      </c>
      <c r="AB40" s="86">
        <f ca="1">IFERROR(__xludf.DUMMYFUNCTION("IMPORTRANGE(""https://docs.google.com/spreadsheets/d/1uMKqWwuNQ-TCKboGA3Bb1qXb5uj2-faACNUINCz8PN4/edit?usp=sharing"",""มุกดาหาร!N199"")"),3000)</f>
        <v>3000</v>
      </c>
      <c r="AC40" s="87">
        <f t="shared" ca="1" si="86"/>
        <v>100</v>
      </c>
      <c r="AD40" s="86">
        <f ca="1">IFERROR(__xludf.DUMMYFUNCTION("IMPORTRANGE(""https://docs.google.com/spreadsheets/d/1uMKqWwuNQ-TCKboGA3Bb1qXb5uj2-faACNUINCz8PN4/edit?usp=sharing"",""มุกดาหาร!L200"")"),24000)</f>
        <v>24000</v>
      </c>
      <c r="AE40" s="86">
        <f ca="1">IFERROR(__xludf.DUMMYFUNCTION("IMPORTRANGE(""https://docs.google.com/spreadsheets/d/1uMKqWwuNQ-TCKboGA3Bb1qXb5uj2-faACNUINCz8PN4/edit?usp=sharing"",""มุกดาหาร!N200"")"),24000)</f>
        <v>24000</v>
      </c>
      <c r="AF40" s="87">
        <f t="shared" ca="1" si="87"/>
        <v>100</v>
      </c>
      <c r="AG40" s="86">
        <f ca="1">IFERROR(__xludf.DUMMYFUNCTION("IMPORTRANGE(""https://docs.google.com/spreadsheets/d/1uMKqWwuNQ-TCKboGA3Bb1qXb5uj2-faACNUINCz8PN4/edit?usp=sharing"",""มุกดาหาร!L201"")"),12000)</f>
        <v>12000</v>
      </c>
      <c r="AH40" s="86">
        <f ca="1">IFERROR(__xludf.DUMMYFUNCTION("IMPORTRANGE(""https://docs.google.com/spreadsheets/d/1uMKqWwuNQ-TCKboGA3Bb1qXb5uj2-faACNUINCz8PN4/edit?usp=sharing"",""มุกดาหาร!N201"")"),0)</f>
        <v>0</v>
      </c>
      <c r="AI40" s="87">
        <f t="shared" ca="1" si="88"/>
        <v>0</v>
      </c>
      <c r="AJ40" s="86">
        <f ca="1">IFERROR(__xludf.DUMMYFUNCTION("IMPORTRANGE(""https://docs.google.com/spreadsheets/d/1uMKqWwuNQ-TCKboGA3Bb1qXb5uj2-faACNUINCz8PN4/edit?usp=sharing"",""มุกดาหาร!L202"")"),0)</f>
        <v>0</v>
      </c>
      <c r="AK40" s="86">
        <f ca="1">IFERROR(__xludf.DUMMYFUNCTION("IMPORTRANGE(""https://docs.google.com/spreadsheets/d/1uMKqWwuNQ-TCKboGA3Bb1qXb5uj2-faACNUINCz8PN4/edit?usp=sharing"",""มุกดาหาร!N202"")"),0)</f>
        <v>0</v>
      </c>
      <c r="AL40" s="87">
        <f t="shared" ca="1" si="89"/>
        <v>0</v>
      </c>
      <c r="AM40" s="86">
        <f ca="1">IFERROR(__xludf.DUMMYFUNCTION("IMPORTRANGE(""https://docs.google.com/spreadsheets/d/1uMKqWwuNQ-TCKboGA3Bb1qXb5uj2-faACNUINCz8PN4/edit?usp=sharing"",""มุกดาหาร!I204"")"),3)</f>
        <v>3</v>
      </c>
      <c r="AN40" s="86">
        <f ca="1">IFERROR(__xludf.DUMMYFUNCTION("IMPORTRANGE(""https://docs.google.com/spreadsheets/d/1uMKqWwuNQ-TCKboGA3Bb1qXb5uj2-faACNUINCz8PN4/edit?usp=sharing"",""มุกดาหาร!J204"")"),3)</f>
        <v>3</v>
      </c>
      <c r="AO40" s="87">
        <f t="shared" ca="1" si="90"/>
        <v>100</v>
      </c>
      <c r="AP40" s="298">
        <f ca="1">IFERROR(__xludf.DUMMYFUNCTION("IMPORTRANGE(""https://docs.google.com/spreadsheets/d/1uMKqWwuNQ-TCKboGA3Bb1qXb5uj2-faACNUINCz8PN4/edit?usp=sharing"",""มุกดาหาร!J206"")"),3)</f>
        <v>3</v>
      </c>
      <c r="AQ40" s="298">
        <f ca="1">IFERROR(__xludf.DUMMYFUNCTION("IMPORTRANGE(""https://docs.google.com/spreadsheets/d/1uMKqWwuNQ-TCKboGA3Bb1qXb5uj2-faACNUINCz8PN4/edit?usp=sharing"",""มุกดาหาร!J207"")"),0)</f>
        <v>0</v>
      </c>
      <c r="AR40" s="86">
        <f ca="1">IFERROR(__xludf.DUMMYFUNCTION("IMPORTRANGE(""https://docs.google.com/spreadsheets/d/1uMKqWwuNQ-TCKboGA3Bb1qXb5uj2-faACNUINCz8PN4/edit?usp=sharing"",""มุกดาหาร!L210"")"),1000)</f>
        <v>1000</v>
      </c>
      <c r="AS40" s="86">
        <f ca="1">IFERROR(__xludf.DUMMYFUNCTION("IMPORTRANGE(""https://docs.google.com/spreadsheets/d/1uMKqWwuNQ-TCKboGA3Bb1qXb5uj2-faACNUINCz8PN4/edit?usp=sharing"",""มุกดาหาร!N210"")"),0)</f>
        <v>0</v>
      </c>
      <c r="AT40" s="87">
        <f t="shared" ca="1" si="91"/>
        <v>0</v>
      </c>
      <c r="AU40" s="86">
        <f ca="1">IFERROR(__xludf.DUMMYFUNCTION("IMPORTRANGE(""https://docs.google.com/spreadsheets/d/1uMKqWwuNQ-TCKboGA3Bb1qXb5uj2-faACNUINCz8PN4/edit?usp=sharing"",""มุกดาหาร!L211"")"),5000)</f>
        <v>5000</v>
      </c>
      <c r="AV40" s="86">
        <f ca="1">IFERROR(__xludf.DUMMYFUNCTION("IMPORTRANGE(""https://docs.google.com/spreadsheets/d/1uMKqWwuNQ-TCKboGA3Bb1qXb5uj2-faACNUINCz8PN4/edit?usp=sharing"",""มุกดาหาร!N211"")"),0)</f>
        <v>0</v>
      </c>
      <c r="AW40" s="87">
        <f t="shared" ca="1" si="92"/>
        <v>0</v>
      </c>
      <c r="AX40" s="86">
        <f ca="1">IFERROR(__xludf.DUMMYFUNCTION("IMPORTRANGE(""https://docs.google.com/spreadsheets/d/1uMKqWwuNQ-TCKboGA3Bb1qXb5uj2-faACNUINCz8PN4/edit?usp=sharing"",""มุกดาหาร!L212"")"),8000)</f>
        <v>8000</v>
      </c>
      <c r="AY40" s="86">
        <f ca="1">IFERROR(__xludf.DUMMYFUNCTION("IMPORTRANGE(""https://docs.google.com/spreadsheets/d/1uMKqWwuNQ-TCKboGA3Bb1qXb5uj2-faACNUINCz8PN4/edit?usp=sharing"",""มุกดาหาร!N212"")"),0)</f>
        <v>0</v>
      </c>
      <c r="AZ40" s="87">
        <f t="shared" ca="1" si="93"/>
        <v>0</v>
      </c>
      <c r="BA40" s="86">
        <f ca="1">IFERROR(__xludf.DUMMYFUNCTION("IMPORTRANGE(""https://docs.google.com/spreadsheets/d/1uMKqWwuNQ-TCKboGA3Bb1qXb5uj2-faACNUINCz8PN4/edit?usp=sharing"",""มุกดาหาร!I214"")"),1)</f>
        <v>1</v>
      </c>
      <c r="BB40" s="86">
        <f ca="1">IFERROR(__xludf.DUMMYFUNCTION("IMPORTRANGE(""https://docs.google.com/spreadsheets/d/1uMKqWwuNQ-TCKboGA3Bb1qXb5uj2-faACNUINCz8PN4/edit?usp=sharing"",""มุกดาหาร!J214"")"),0)</f>
        <v>0</v>
      </c>
      <c r="BC40" s="87">
        <f t="shared" ca="1" si="94"/>
        <v>0</v>
      </c>
      <c r="BD40" s="86">
        <f ca="1">IFERROR(__xludf.DUMMYFUNCTION("IMPORTRANGE(""https://docs.google.com/spreadsheets/d/1uMKqWwuNQ-TCKboGA3Bb1qXb5uj2-faACNUINCz8PN4/edit?usp=sharing"",""มุกดาหาร!I215"")"),1)</f>
        <v>1</v>
      </c>
      <c r="BE40" s="86">
        <f ca="1">IFERROR(__xludf.DUMMYFUNCTION("IMPORTRANGE(""https://docs.google.com/spreadsheets/d/1uMKqWwuNQ-TCKboGA3Bb1qXb5uj2-faACNUINCz8PN4/edit?usp=sharing"",""มุกดาหาร!J215"")"),0)</f>
        <v>0</v>
      </c>
      <c r="BF40" s="87">
        <f t="shared" ca="1" si="95"/>
        <v>0</v>
      </c>
      <c r="BG40" s="86">
        <f ca="1">IFERROR(__xludf.DUMMYFUNCTION("IMPORTRANGE(""https://docs.google.com/spreadsheets/d/1uMKqWwuNQ-TCKboGA3Bb1qXb5uj2-faACNUINCz8PN4/edit?usp=sharing"",""มุกดาหาร!L218"")"),5000)</f>
        <v>5000</v>
      </c>
      <c r="BH40" s="86">
        <f ca="1">IFERROR(__xludf.DUMMYFUNCTION("IMPORTRANGE(""https://docs.google.com/spreadsheets/d/1uMKqWwuNQ-TCKboGA3Bb1qXb5uj2-faACNUINCz8PN4/edit?usp=sharing"",""มุกดาหาร!N218"")"),5000)</f>
        <v>5000</v>
      </c>
      <c r="BI40" s="87">
        <f t="shared" ca="1" si="96"/>
        <v>100</v>
      </c>
      <c r="BJ40" s="86">
        <f ca="1">IFERROR(__xludf.DUMMYFUNCTION("IMPORTRANGE(""https://docs.google.com/spreadsheets/d/1uMKqWwuNQ-TCKboGA3Bb1qXb5uj2-faACNUINCz8PN4/edit?usp=sharing"",""มุกดาหาร!L219"")"),10000)</f>
        <v>10000</v>
      </c>
      <c r="BK40" s="86">
        <f ca="1">IFERROR(__xludf.DUMMYFUNCTION("IMPORTRANGE(""https://docs.google.com/spreadsheets/d/1uMKqWwuNQ-TCKboGA3Bb1qXb5uj2-faACNUINCz8PN4/edit?usp=sharing"",""มุกดาหาร!N219"")"),7068)</f>
        <v>7068</v>
      </c>
      <c r="BL40" s="87">
        <f t="shared" ca="1" si="97"/>
        <v>70.680000000000007</v>
      </c>
      <c r="BM40" s="86">
        <f ca="1">IFERROR(__xludf.DUMMYFUNCTION("IMPORTRANGE(""https://docs.google.com/spreadsheets/d/1uMKqWwuNQ-TCKboGA3Bb1qXb5uj2-faACNUINCz8PN4/edit?usp=sharing"",""มุกดาหาร!L220"")"),10000)</f>
        <v>10000</v>
      </c>
      <c r="BN40" s="86">
        <f ca="1">IFERROR(__xludf.DUMMYFUNCTION("IMPORTRANGE(""https://docs.google.com/spreadsheets/d/1uMKqWwuNQ-TCKboGA3Bb1qXb5uj2-faACNUINCz8PN4/edit?usp=sharing"",""มุกดาหาร!N220"")"),2600)</f>
        <v>2600</v>
      </c>
      <c r="BO40" s="87">
        <f t="shared" ca="1" si="98"/>
        <v>26</v>
      </c>
      <c r="BP40" s="86">
        <f ca="1">IFERROR(__xludf.DUMMYFUNCTION("IMPORTRANGE(""https://docs.google.com/spreadsheets/d/1uMKqWwuNQ-TCKboGA3Bb1qXb5uj2-faACNUINCz8PN4/edit?usp=sharing"",""มุกดาหาร!I223"")"),40000)</f>
        <v>40000</v>
      </c>
      <c r="BQ40" s="86">
        <f ca="1">IFERROR(__xludf.DUMMYFUNCTION("IMPORTRANGE(""https://docs.google.com/spreadsheets/d/1uMKqWwuNQ-TCKboGA3Bb1qXb5uj2-faACNUINCz8PN4/edit?usp=sharing"",""มุกดาหาร!J223"")"),40000)</f>
        <v>40000</v>
      </c>
      <c r="BR40" s="87">
        <f t="shared" ca="1" si="99"/>
        <v>100</v>
      </c>
      <c r="BS40" s="86">
        <f ca="1">IFERROR(__xludf.DUMMYFUNCTION("IMPORTRANGE(""https://docs.google.com/spreadsheets/d/1uMKqWwuNQ-TCKboGA3Bb1qXb5uj2-faACNUINCz8PN4/edit?usp=sharing"",""มุกดาหาร!I224"")"),40000)</f>
        <v>40000</v>
      </c>
      <c r="BT40" s="86">
        <f ca="1">IFERROR(__xludf.DUMMYFUNCTION("IMPORTRANGE(""https://docs.google.com/spreadsheets/d/1uMKqWwuNQ-TCKboGA3Bb1qXb5uj2-faACNUINCz8PN4/edit?usp=sharing"",""มุกดาหาร!J224"")"),0)</f>
        <v>0</v>
      </c>
      <c r="BU40" s="87">
        <f t="shared" ca="1" si="100"/>
        <v>0</v>
      </c>
      <c r="BV40" s="86">
        <f ca="1">IFERROR(__xludf.DUMMYFUNCTION("IMPORTRANGE(""https://docs.google.com/spreadsheets/d/1uMKqWwuNQ-TCKboGA3Bb1qXb5uj2-faACNUINCz8PN4/edit?usp=sharing"",""มุกดาหาร!I225"")"),10)</f>
        <v>10</v>
      </c>
      <c r="BW40" s="86">
        <f ca="1">IFERROR(__xludf.DUMMYFUNCTION("IMPORTRANGE(""https://docs.google.com/spreadsheets/d/1uMKqWwuNQ-TCKboGA3Bb1qXb5uj2-faACNUINCz8PN4/edit?usp=sharing"",""มุกดาหาร!J225"")"),10)</f>
        <v>10</v>
      </c>
      <c r="BX40" s="87">
        <f t="shared" ca="1" si="101"/>
        <v>100</v>
      </c>
      <c r="BY40" s="86">
        <f ca="1">IFERROR(__xludf.DUMMYFUNCTION("IMPORTRANGE(""https://docs.google.com/spreadsheets/d/1uMKqWwuNQ-TCKboGA3Bb1qXb5uj2-faACNUINCz8PN4/edit?usp=sharing"",""มุกดาหาร!L228"")"),0)</f>
        <v>0</v>
      </c>
      <c r="BZ40" s="86">
        <f ca="1">IFERROR(__xludf.DUMMYFUNCTION("IMPORTRANGE(""https://docs.google.com/spreadsheets/d/1uMKqWwuNQ-TCKboGA3Bb1qXb5uj2-faACNUINCz8PN4/edit?usp=sharing"",""มุกดาหาร!N228"")"),0)</f>
        <v>0</v>
      </c>
      <c r="CA40" s="87">
        <f t="shared" ca="1" si="102"/>
        <v>0</v>
      </c>
      <c r="CB40" s="86">
        <f ca="1">IFERROR(__xludf.DUMMYFUNCTION("IMPORTRANGE(""https://docs.google.com/spreadsheets/d/1uMKqWwuNQ-TCKboGA3Bb1qXb5uj2-faACNUINCz8PN4/edit?usp=sharing"",""มุกดาหาร!L229"")"),0)</f>
        <v>0</v>
      </c>
      <c r="CC40" s="86">
        <f ca="1">IFERROR(__xludf.DUMMYFUNCTION("IMPORTRANGE(""https://docs.google.com/spreadsheets/d/1uMKqWwuNQ-TCKboGA3Bb1qXb5uj2-faACNUINCz8PN4/edit?usp=sharing"",""มุกดาหาร!N229"")"),0)</f>
        <v>0</v>
      </c>
      <c r="CD40" s="87">
        <f t="shared" ca="1" si="103"/>
        <v>0</v>
      </c>
      <c r="CE40" s="86">
        <f ca="1">IFERROR(__xludf.DUMMYFUNCTION("IMPORTRANGE(""https://docs.google.com/spreadsheets/d/1uMKqWwuNQ-TCKboGA3Bb1qXb5uj2-faACNUINCz8PN4/edit?usp=sharing"",""มุกดาหาร!L230"")"),0)</f>
        <v>0</v>
      </c>
      <c r="CF40" s="86">
        <f ca="1">IFERROR(__xludf.DUMMYFUNCTION("IMPORTRANGE(""https://docs.google.com/spreadsheets/d/1uMKqWwuNQ-TCKboGA3Bb1qXb5uj2-faACNUINCz8PN4/edit?usp=sharing"",""มุกดาหาร!N230"")"),0)</f>
        <v>0</v>
      </c>
      <c r="CG40" s="87">
        <f t="shared" ca="1" si="104"/>
        <v>0</v>
      </c>
      <c r="CH40" s="86">
        <f ca="1">IFERROR(__xludf.DUMMYFUNCTION("IMPORTRANGE(""https://docs.google.com/spreadsheets/d/1uMKqWwuNQ-TCKboGA3Bb1qXb5uj2-faACNUINCz8PN4/edit?usp=sharing"",""มุกดาหาร!L231"")"),0)</f>
        <v>0</v>
      </c>
      <c r="CI40" s="86">
        <f ca="1">IFERROR(__xludf.DUMMYFUNCTION("IMPORTRANGE(""https://docs.google.com/spreadsheets/d/1uMKqWwuNQ-TCKboGA3Bb1qXb5uj2-faACNUINCz8PN4/edit?usp=sharing"",""มุกดาหาร!N231"")"),0)</f>
        <v>0</v>
      </c>
      <c r="CJ40" s="87">
        <f t="shared" ca="1" si="105"/>
        <v>0</v>
      </c>
      <c r="CK40" s="86">
        <f ca="1">IFERROR(__xludf.DUMMYFUNCTION("IMPORTRANGE(""https://docs.google.com/spreadsheets/d/1uMKqWwuNQ-TCKboGA3Bb1qXb5uj2-faACNUINCz8PN4/edit?usp=sharing"",""มุกดาหาร!I233"")"),0)</f>
        <v>0</v>
      </c>
      <c r="CL40" s="86">
        <f ca="1">IFERROR(__xludf.DUMMYFUNCTION("IMPORTRANGE(""https://docs.google.com/spreadsheets/d/1uMKqWwuNQ-TCKboGA3Bb1qXb5uj2-faACNUINCz8PN4/edit?usp=sharing"",""มุกดาหาร!J233"")"),0)</f>
        <v>0</v>
      </c>
      <c r="CM40" s="87">
        <f t="shared" ca="1" si="106"/>
        <v>0</v>
      </c>
      <c r="CN40" s="86">
        <f ca="1">IFERROR(__xludf.DUMMYFUNCTION("IMPORTRANGE(""https://docs.google.com/spreadsheets/d/1uMKqWwuNQ-TCKboGA3Bb1qXb5uj2-faACNUINCz8PN4/edit?usp=sharing"",""มุกดาหาร!J235"")"),0)</f>
        <v>0</v>
      </c>
      <c r="CO40" s="86">
        <f ca="1">IFERROR(__xludf.DUMMYFUNCTION("IMPORTRANGE(""https://docs.google.com/spreadsheets/d/1uMKqWwuNQ-TCKboGA3Bb1qXb5uj2-faACNUINCz8PN4/edit?usp=sharing"",""มุกดาหาร!J236"")"),0)</f>
        <v>0</v>
      </c>
    </row>
    <row r="41" spans="1:93" ht="21" customHeight="1" x14ac:dyDescent="0.3">
      <c r="A41" s="78">
        <v>10</v>
      </c>
      <c r="B41" s="79" t="s">
        <v>63</v>
      </c>
      <c r="C41" s="80">
        <f t="shared" ca="1" si="0"/>
        <v>72500</v>
      </c>
      <c r="D41" s="81">
        <f t="shared" ca="1" si="160"/>
        <v>72500</v>
      </c>
      <c r="E41" s="82">
        <f ca="1">IFERROR(__xludf.DUMMYFUNCTION("IMPORTRANGE(""https://docs.google.com/spreadsheets/d/1MeEWN-I1oV_STSDYn1IFDPWt_1FKiwhDph83XaGc0o0/edit?usp=sharing"",""งบพรบ!CP41"")"),0)</f>
        <v>0</v>
      </c>
      <c r="F41" s="82">
        <f ca="1">IFERROR(__xludf.DUMMYFUNCTION("IMPORTRANGE(""https://docs.google.com/spreadsheets/d/1MeEWN-I1oV_STSDYn1IFDPWt_1FKiwhDph83XaGc0o0/edit?usp=sharing"",""งบพรบ!CQ41"")"),72500)</f>
        <v>72500</v>
      </c>
      <c r="G41" s="82">
        <f ca="1">IFERROR(__xludf.DUMMYFUNCTION("IMPORTRANGE(""https://docs.google.com/spreadsheets/d/1MeEWN-I1oV_STSDYn1IFDPWt_1FKiwhDph83XaGc0o0/edit?usp=sharing"",""งบพรบ!CR41"")"),0)</f>
        <v>0</v>
      </c>
      <c r="H41" s="82">
        <f ca="1">IFERROR(__xludf.DUMMYFUNCTION("IMPORTRANGE(""https://docs.google.com/spreadsheets/d/1MeEWN-I1oV_STSDYn1IFDPWt_1FKiwhDph83XaGc0o0/edit?usp=sharing"",""งบพรบ!CT41"")"),62500)</f>
        <v>62500</v>
      </c>
      <c r="I41" s="82">
        <f ca="1">IFERROR(__xludf.DUMMYFUNCTION("IMPORTRANGE(""https://docs.google.com/spreadsheets/d/1MeEWN-I1oV_STSDYn1IFDPWt_1FKiwhDph83XaGc0o0/edit?usp=sharing"",""งบพรบ!CU41"")"),0)</f>
        <v>0</v>
      </c>
      <c r="J41" s="82">
        <f t="shared" ca="1" si="3"/>
        <v>35000</v>
      </c>
      <c r="K41" s="83">
        <f t="shared" ca="1" si="4"/>
        <v>48.275862068965516</v>
      </c>
      <c r="L41" s="82">
        <f ca="1">IFERROR(__xludf.DUMMYFUNCTION("IMPORTRANGE(""https://docs.google.com/spreadsheets/d/1MeEWN-I1oV_STSDYn1IFDPWt_1FKiwhDph83XaGc0o0/edit?usp=sharing"",""งบพรบ!CV41"")"),35000)</f>
        <v>35000</v>
      </c>
      <c r="M41" s="84">
        <f t="shared" ca="1" si="5"/>
        <v>48.275862068965516</v>
      </c>
      <c r="N41" s="84">
        <f t="shared" ca="1" si="6"/>
        <v>56</v>
      </c>
      <c r="O41" s="85">
        <f ca="1">IFERROR(__xludf.DUMMYFUNCTION("IMPORTRANGE(""https://docs.google.com/spreadsheets/d/1MeEWN-I1oV_STSDYn1IFDPWt_1FKiwhDph83XaGc0o0/edit?usp=sharing"",""งบพรบ!CW41"")"),0)</f>
        <v>0</v>
      </c>
      <c r="P41" s="85">
        <f t="shared" ca="1" si="108"/>
        <v>0</v>
      </c>
      <c r="Q41" s="84">
        <f t="shared" ca="1" si="8"/>
        <v>0</v>
      </c>
      <c r="R41" s="86">
        <f ca="1">IFERROR(__xludf.DUMMYFUNCTION("IMPORTRANGE(""https://docs.google.com/spreadsheets/d/1oKaccgDdQABndOzGr688Dbfxb_V3YcF67VqEPBtdzsc/edit?usp=sharing"",""ยโสธร!L191"")"),6000)</f>
        <v>6000</v>
      </c>
      <c r="S41" s="86">
        <f ca="1">IFERROR(__xludf.DUMMYFUNCTION("IMPORTRANGE(""https://docs.google.com/spreadsheets/d/1oKaccgDdQABndOzGr688Dbfxb_V3YcF67VqEPBtdzsc/edit?usp=sharing"",""ยโสธร!N191"")"),0)</f>
        <v>0</v>
      </c>
      <c r="T41" s="87">
        <f t="shared" ca="1" si="84"/>
        <v>0</v>
      </c>
      <c r="U41" s="86">
        <f ca="1">IFERROR(__xludf.DUMMYFUNCTION("IMPORTRANGE(""https://docs.google.com/spreadsheets/d/1oKaccgDdQABndOzGr688Dbfxb_V3YcF67VqEPBtdzsc/edit?usp=sharing"",""ยโสธร!I193"")"),4)</f>
        <v>4</v>
      </c>
      <c r="V41" s="86">
        <f ca="1">IFERROR(__xludf.DUMMYFUNCTION("IMPORTRANGE(""https://docs.google.com/spreadsheets/d/1oKaccgDdQABndOzGr688Dbfxb_V3YcF67VqEPBtdzsc/edit?usp=sharing"",""ยโสธร!J193"")"),1)</f>
        <v>1</v>
      </c>
      <c r="W41" s="87">
        <f t="shared" ca="1" si="85"/>
        <v>25</v>
      </c>
      <c r="X41" s="86">
        <f t="shared" ca="1" si="161"/>
        <v>10</v>
      </c>
      <c r="Y41" s="86">
        <f ca="1">IFERROR(__xludf.DUMMYFUNCTION("IMPORTRANGE(""https://docs.google.com/spreadsheets/d/1oKaccgDdQABndOzGr688Dbfxb_V3YcF67VqEPBtdzsc/edit?usp=sharing"",""ยโสธร!J195"")"),10)</f>
        <v>10</v>
      </c>
      <c r="Z41" s="86">
        <f ca="1">IFERROR(__xludf.DUMMYFUNCTION("IMPORTRANGE(""https://docs.google.com/spreadsheets/d/1oKaccgDdQABndOzGr688Dbfxb_V3YcF67VqEPBtdzsc/edit?usp=sharing"",""ยโสธร!J196"")"),0)</f>
        <v>0</v>
      </c>
      <c r="AA41" s="86">
        <f ca="1">IFERROR(__xludf.DUMMYFUNCTION("IMPORTRANGE(""https://docs.google.com/spreadsheets/d/1oKaccgDdQABndOzGr688Dbfxb_V3YcF67VqEPBtdzsc/edit?usp=sharing"",""ยโสธร!L199"")"),3000)</f>
        <v>3000</v>
      </c>
      <c r="AB41" s="86">
        <f ca="1">IFERROR(__xludf.DUMMYFUNCTION("IMPORTRANGE(""https://docs.google.com/spreadsheets/d/1oKaccgDdQABndOzGr688Dbfxb_V3YcF67VqEPBtdzsc/edit?usp=sharing"",""ยโสธร!N199"")"),3000)</f>
        <v>3000</v>
      </c>
      <c r="AC41" s="87">
        <f t="shared" ca="1" si="86"/>
        <v>100</v>
      </c>
      <c r="AD41" s="86">
        <f ca="1">IFERROR(__xludf.DUMMYFUNCTION("IMPORTRANGE(""https://docs.google.com/spreadsheets/d/1oKaccgDdQABndOzGr688Dbfxb_V3YcF67VqEPBtdzsc/edit?usp=sharing"",""ยโสธร!L200"")"),24000)</f>
        <v>24000</v>
      </c>
      <c r="AE41" s="86">
        <f ca="1">IFERROR(__xludf.DUMMYFUNCTION("IMPORTRANGE(""https://docs.google.com/spreadsheets/d/1oKaccgDdQABndOzGr688Dbfxb_V3YcF67VqEPBtdzsc/edit?usp=sharing"",""ยโสธร!N200"")"),24000)</f>
        <v>24000</v>
      </c>
      <c r="AF41" s="87">
        <f t="shared" ca="1" si="87"/>
        <v>100</v>
      </c>
      <c r="AG41" s="86">
        <f ca="1">IFERROR(__xludf.DUMMYFUNCTION("IMPORTRANGE(""https://docs.google.com/spreadsheets/d/1oKaccgDdQABndOzGr688Dbfxb_V3YcF67VqEPBtdzsc/edit?usp=sharing"",""ยโสธร!L201"")"),12000)</f>
        <v>12000</v>
      </c>
      <c r="AH41" s="86">
        <f ca="1">IFERROR(__xludf.DUMMYFUNCTION("IMPORTRANGE(""https://docs.google.com/spreadsheets/d/1oKaccgDdQABndOzGr688Dbfxb_V3YcF67VqEPBtdzsc/edit?usp=sharing"",""ยโสธร!N201"")"),0)</f>
        <v>0</v>
      </c>
      <c r="AI41" s="87">
        <f t="shared" ca="1" si="88"/>
        <v>0</v>
      </c>
      <c r="AJ41" s="86">
        <f ca="1">IFERROR(__xludf.DUMMYFUNCTION("IMPORTRANGE(""https://docs.google.com/spreadsheets/d/1oKaccgDdQABndOzGr688Dbfxb_V3YcF67VqEPBtdzsc/edit?usp=sharing"",""ยโสธร!L202"")"),0)</f>
        <v>0</v>
      </c>
      <c r="AK41" s="86">
        <f ca="1">IFERROR(__xludf.DUMMYFUNCTION("IMPORTRANGE(""https://docs.google.com/spreadsheets/d/1oKaccgDdQABndOzGr688Dbfxb_V3YcF67VqEPBtdzsc/edit?usp=sharing"",""ยโสธร!N202"")"),0)</f>
        <v>0</v>
      </c>
      <c r="AL41" s="87">
        <f t="shared" ca="1" si="89"/>
        <v>0</v>
      </c>
      <c r="AM41" s="86">
        <f ca="1">IFERROR(__xludf.DUMMYFUNCTION("IMPORTRANGE(""https://docs.google.com/spreadsheets/d/1oKaccgDdQABndOzGr688Dbfxb_V3YcF67VqEPBtdzsc/edit?usp=sharing"",""ยโสธร!I204"")"),3)</f>
        <v>3</v>
      </c>
      <c r="AN41" s="86">
        <f ca="1">IFERROR(__xludf.DUMMYFUNCTION("IMPORTRANGE(""https://docs.google.com/spreadsheets/d/1oKaccgDdQABndOzGr688Dbfxb_V3YcF67VqEPBtdzsc/edit?usp=sharing"",""ยโสธร!J204"")"),3)</f>
        <v>3</v>
      </c>
      <c r="AO41" s="87">
        <f t="shared" ca="1" si="90"/>
        <v>100</v>
      </c>
      <c r="AP41" s="298">
        <f ca="1">IFERROR(__xludf.DUMMYFUNCTION("IMPORTRANGE(""https://docs.google.com/spreadsheets/d/1oKaccgDdQABndOzGr688Dbfxb_V3YcF67VqEPBtdzsc/edit?usp=sharing"",""ยโสธร!J206"")"),0)</f>
        <v>0</v>
      </c>
      <c r="AQ41" s="298">
        <f ca="1">IFERROR(__xludf.DUMMYFUNCTION("IMPORTRANGE(""https://docs.google.com/spreadsheets/d/1oKaccgDdQABndOzGr688Dbfxb_V3YcF67VqEPBtdzsc/edit?usp=sharing"",""ยโสธร!J207"")"),0)</f>
        <v>0</v>
      </c>
      <c r="AR41" s="86">
        <f ca="1">IFERROR(__xludf.DUMMYFUNCTION("IMPORTRANGE(""https://docs.google.com/spreadsheets/d/1oKaccgDdQABndOzGr688Dbfxb_V3YcF67VqEPBtdzsc/edit?usp=sharing"",""ยโสธร!L210"")"),1000)</f>
        <v>1000</v>
      </c>
      <c r="AS41" s="86">
        <f ca="1">IFERROR(__xludf.DUMMYFUNCTION("IMPORTRANGE(""https://docs.google.com/spreadsheets/d/1oKaccgDdQABndOzGr688Dbfxb_V3YcF67VqEPBtdzsc/edit?usp=sharing"",""ยโสธร!N210"")"),0)</f>
        <v>0</v>
      </c>
      <c r="AT41" s="87">
        <f t="shared" ca="1" si="91"/>
        <v>0</v>
      </c>
      <c r="AU41" s="86">
        <f ca="1">IFERROR(__xludf.DUMMYFUNCTION("IMPORTRANGE(""https://docs.google.com/spreadsheets/d/1oKaccgDdQABndOzGr688Dbfxb_V3YcF67VqEPBtdzsc/edit?usp=sharing"",""ยโสธร!L211"")"),5000)</f>
        <v>5000</v>
      </c>
      <c r="AV41" s="86">
        <f ca="1">IFERROR(__xludf.DUMMYFUNCTION("IMPORTRANGE(""https://docs.google.com/spreadsheets/d/1oKaccgDdQABndOzGr688Dbfxb_V3YcF67VqEPBtdzsc/edit?usp=sharing"",""ยโสธร!N211"")"),0)</f>
        <v>0</v>
      </c>
      <c r="AW41" s="87">
        <f t="shared" ca="1" si="92"/>
        <v>0</v>
      </c>
      <c r="AX41" s="86">
        <f ca="1">IFERROR(__xludf.DUMMYFUNCTION("IMPORTRANGE(""https://docs.google.com/spreadsheets/d/1oKaccgDdQABndOzGr688Dbfxb_V3YcF67VqEPBtdzsc/edit?usp=sharing"",""ยโสธร!L212"")"),8000)</f>
        <v>8000</v>
      </c>
      <c r="AY41" s="86">
        <f ca="1">IFERROR(__xludf.DUMMYFUNCTION("IMPORTRANGE(""https://docs.google.com/spreadsheets/d/1oKaccgDdQABndOzGr688Dbfxb_V3YcF67VqEPBtdzsc/edit?usp=sharing"",""ยโสธร!N212"")"),8000)</f>
        <v>8000</v>
      </c>
      <c r="AZ41" s="87">
        <f t="shared" ca="1" si="93"/>
        <v>100</v>
      </c>
      <c r="BA41" s="86">
        <f ca="1">IFERROR(__xludf.DUMMYFUNCTION("IMPORTRANGE(""https://docs.google.com/spreadsheets/d/1oKaccgDdQABndOzGr688Dbfxb_V3YcF67VqEPBtdzsc/edit?usp=sharing"",""ยโสธร!I214"")"),1)</f>
        <v>1</v>
      </c>
      <c r="BB41" s="86">
        <f ca="1">IFERROR(__xludf.DUMMYFUNCTION("IMPORTRANGE(""https://docs.google.com/spreadsheets/d/1oKaccgDdQABndOzGr688Dbfxb_V3YcF67VqEPBtdzsc/edit?usp=sharing"",""ยโสธร!J214"")"),0)</f>
        <v>0</v>
      </c>
      <c r="BC41" s="87">
        <f t="shared" ca="1" si="94"/>
        <v>0</v>
      </c>
      <c r="BD41" s="86">
        <f ca="1">IFERROR(__xludf.DUMMYFUNCTION("IMPORTRANGE(""https://docs.google.com/spreadsheets/d/1oKaccgDdQABndOzGr688Dbfxb_V3YcF67VqEPBtdzsc/edit?usp=sharing"",""ยโสธร!I215"")"),1)</f>
        <v>1</v>
      </c>
      <c r="BE41" s="86">
        <f ca="1">IFERROR(__xludf.DUMMYFUNCTION("IMPORTRANGE(""https://docs.google.com/spreadsheets/d/1oKaccgDdQABndOzGr688Dbfxb_V3YcF67VqEPBtdzsc/edit?usp=sharing"",""ยโสธร!J215"")"),1)</f>
        <v>1</v>
      </c>
      <c r="BF41" s="87">
        <f t="shared" ca="1" si="95"/>
        <v>100</v>
      </c>
      <c r="BG41" s="86">
        <f ca="1">IFERROR(__xludf.DUMMYFUNCTION("IMPORTRANGE(""https://docs.google.com/spreadsheets/d/1oKaccgDdQABndOzGr688Dbfxb_V3YcF67VqEPBtdzsc/edit?usp=sharing"",""ยโสธร!L218"")"),5000)</f>
        <v>5000</v>
      </c>
      <c r="BH41" s="86">
        <f ca="1">IFERROR(__xludf.DUMMYFUNCTION("IMPORTRANGE(""https://docs.google.com/spreadsheets/d/1oKaccgDdQABndOzGr688Dbfxb_V3YcF67VqEPBtdzsc/edit?usp=sharing"",""ยโสธร!N218"")"),0)</f>
        <v>0</v>
      </c>
      <c r="BI41" s="87">
        <f t="shared" ca="1" si="96"/>
        <v>0</v>
      </c>
      <c r="BJ41" s="86">
        <f ca="1">IFERROR(__xludf.DUMMYFUNCTION("IMPORTRANGE(""https://docs.google.com/spreadsheets/d/1oKaccgDdQABndOzGr688Dbfxb_V3YcF67VqEPBtdzsc/edit?usp=sharing"",""ยโสธร!L219"")"),8500)</f>
        <v>8500</v>
      </c>
      <c r="BK41" s="86">
        <f ca="1">IFERROR(__xludf.DUMMYFUNCTION("IMPORTRANGE(""https://docs.google.com/spreadsheets/d/1oKaccgDdQABndOzGr688Dbfxb_V3YcF67VqEPBtdzsc/edit?usp=sharing"",""ยโสธร!N219"")"),0)</f>
        <v>0</v>
      </c>
      <c r="BL41" s="87">
        <f t="shared" ca="1" si="97"/>
        <v>0</v>
      </c>
      <c r="BM41" s="86">
        <f ca="1">IFERROR(__xludf.DUMMYFUNCTION("IMPORTRANGE(""https://docs.google.com/spreadsheets/d/1oKaccgDdQABndOzGr688Dbfxb_V3YcF67VqEPBtdzsc/edit?usp=sharing"",""ยโสธร!L220"")"),0)</f>
        <v>0</v>
      </c>
      <c r="BN41" s="86">
        <f ca="1">IFERROR(__xludf.DUMMYFUNCTION("IMPORTRANGE(""https://docs.google.com/spreadsheets/d/1oKaccgDdQABndOzGr688Dbfxb_V3YcF67VqEPBtdzsc/edit?usp=sharing"",""ยโสธร!N220"")"),0)</f>
        <v>0</v>
      </c>
      <c r="BO41" s="87">
        <f t="shared" ca="1" si="98"/>
        <v>0</v>
      </c>
      <c r="BP41" s="86">
        <f ca="1">IFERROR(__xludf.DUMMYFUNCTION("IMPORTRANGE(""https://docs.google.com/spreadsheets/d/1oKaccgDdQABndOzGr688Dbfxb_V3YcF67VqEPBtdzsc/edit?usp=sharing"",""ยโสธร!I223"")"),30000)</f>
        <v>30000</v>
      </c>
      <c r="BQ41" s="86">
        <f ca="1">IFERROR(__xludf.DUMMYFUNCTION("IMPORTRANGE(""https://docs.google.com/spreadsheets/d/1oKaccgDdQABndOzGr688Dbfxb_V3YcF67VqEPBtdzsc/edit?usp=sharing"",""ยโสธร!J223"")"),0)</f>
        <v>0</v>
      </c>
      <c r="BR41" s="87">
        <f t="shared" ca="1" si="99"/>
        <v>0</v>
      </c>
      <c r="BS41" s="86">
        <f ca="1">IFERROR(__xludf.DUMMYFUNCTION("IMPORTRANGE(""https://docs.google.com/spreadsheets/d/1oKaccgDdQABndOzGr688Dbfxb_V3YcF67VqEPBtdzsc/edit?usp=sharing"",""ยโสธร!I224"")"),30000)</f>
        <v>30000</v>
      </c>
      <c r="BT41" s="86">
        <f ca="1">IFERROR(__xludf.DUMMYFUNCTION("IMPORTRANGE(""https://docs.google.com/spreadsheets/d/1oKaccgDdQABndOzGr688Dbfxb_V3YcF67VqEPBtdzsc/edit?usp=sharing"",""ยโสธร!J224"")"),0)</f>
        <v>0</v>
      </c>
      <c r="BU41" s="87">
        <f t="shared" ca="1" si="100"/>
        <v>0</v>
      </c>
      <c r="BV41" s="86">
        <f ca="1">IFERROR(__xludf.DUMMYFUNCTION("IMPORTRANGE(""https://docs.google.com/spreadsheets/d/1oKaccgDdQABndOzGr688Dbfxb_V3YcF67VqEPBtdzsc/edit?usp=sharing"",""ยโสธร!I225"")"),0)</f>
        <v>0</v>
      </c>
      <c r="BW41" s="86">
        <f ca="1">IFERROR(__xludf.DUMMYFUNCTION("IMPORTRANGE(""https://docs.google.com/spreadsheets/d/1oKaccgDdQABndOzGr688Dbfxb_V3YcF67VqEPBtdzsc/edit?usp=sharing"",""ยโสธร!J225"")"),0)</f>
        <v>0</v>
      </c>
      <c r="BX41" s="87">
        <f t="shared" ca="1" si="101"/>
        <v>0</v>
      </c>
      <c r="BY41" s="86">
        <f ca="1">IFERROR(__xludf.DUMMYFUNCTION("IMPORTRANGE(""https://docs.google.com/spreadsheets/d/1oKaccgDdQABndOzGr688Dbfxb_V3YcF67VqEPBtdzsc/edit?usp=sharing"",""ยโสธร!L228"")"),0)</f>
        <v>0</v>
      </c>
      <c r="BZ41" s="86">
        <f ca="1">IFERROR(__xludf.DUMMYFUNCTION("IMPORTRANGE(""https://docs.google.com/spreadsheets/d/1oKaccgDdQABndOzGr688Dbfxb_V3YcF67VqEPBtdzsc/edit?usp=sharing"",""ยโสธร!N228"")"),0)</f>
        <v>0</v>
      </c>
      <c r="CA41" s="87">
        <f t="shared" ca="1" si="102"/>
        <v>0</v>
      </c>
      <c r="CB41" s="86">
        <f ca="1">IFERROR(__xludf.DUMMYFUNCTION("IMPORTRANGE(""https://docs.google.com/spreadsheets/d/1oKaccgDdQABndOzGr688Dbfxb_V3YcF67VqEPBtdzsc/edit?usp=sharing"",""ยโสธร!L229"")"),0)</f>
        <v>0</v>
      </c>
      <c r="CC41" s="86">
        <f ca="1">IFERROR(__xludf.DUMMYFUNCTION("IMPORTRANGE(""https://docs.google.com/spreadsheets/d/1oKaccgDdQABndOzGr688Dbfxb_V3YcF67VqEPBtdzsc/edit?usp=sharing"",""ยโสธร!N229"")"),0)</f>
        <v>0</v>
      </c>
      <c r="CD41" s="87">
        <f t="shared" ca="1" si="103"/>
        <v>0</v>
      </c>
      <c r="CE41" s="86">
        <f ca="1">IFERROR(__xludf.DUMMYFUNCTION("IMPORTRANGE(""https://docs.google.com/spreadsheets/d/1oKaccgDdQABndOzGr688Dbfxb_V3YcF67VqEPBtdzsc/edit?usp=sharing"",""ยโสธร!L230"")"),0)</f>
        <v>0</v>
      </c>
      <c r="CF41" s="86">
        <f ca="1">IFERROR(__xludf.DUMMYFUNCTION("IMPORTRANGE(""https://docs.google.com/spreadsheets/d/1oKaccgDdQABndOzGr688Dbfxb_V3YcF67VqEPBtdzsc/edit?usp=sharing"",""ยโสธร!N230"")"),0)</f>
        <v>0</v>
      </c>
      <c r="CG41" s="87">
        <f t="shared" ca="1" si="104"/>
        <v>0</v>
      </c>
      <c r="CH41" s="86">
        <f ca="1">IFERROR(__xludf.DUMMYFUNCTION("IMPORTRANGE(""https://docs.google.com/spreadsheets/d/1oKaccgDdQABndOzGr688Dbfxb_V3YcF67VqEPBtdzsc/edit?usp=sharing"",""ยโสธร!L231"")"),0)</f>
        <v>0</v>
      </c>
      <c r="CI41" s="86">
        <f ca="1">IFERROR(__xludf.DUMMYFUNCTION("IMPORTRANGE(""https://docs.google.com/spreadsheets/d/1oKaccgDdQABndOzGr688Dbfxb_V3YcF67VqEPBtdzsc/edit?usp=sharing"",""ยโสธร!N231"")"),0)</f>
        <v>0</v>
      </c>
      <c r="CJ41" s="87">
        <f t="shared" ca="1" si="105"/>
        <v>0</v>
      </c>
      <c r="CK41" s="86">
        <f ca="1">IFERROR(__xludf.DUMMYFUNCTION("IMPORTRANGE(""https://docs.google.com/spreadsheets/d/1oKaccgDdQABndOzGr688Dbfxb_V3YcF67VqEPBtdzsc/edit?usp=sharing"",""ยโสธร!I233"")"),0)</f>
        <v>0</v>
      </c>
      <c r="CL41" s="86">
        <f ca="1">IFERROR(__xludf.DUMMYFUNCTION("IMPORTRANGE(""https://docs.google.com/spreadsheets/d/1oKaccgDdQABndOzGr688Dbfxb_V3YcF67VqEPBtdzsc/edit?usp=sharing"",""ยโสธร!J233"")"),0)</f>
        <v>0</v>
      </c>
      <c r="CM41" s="87">
        <f t="shared" ca="1" si="106"/>
        <v>0</v>
      </c>
      <c r="CN41" s="86">
        <f ca="1">IFERROR(__xludf.DUMMYFUNCTION("IMPORTRANGE(""https://docs.google.com/spreadsheets/d/1oKaccgDdQABndOzGr688Dbfxb_V3YcF67VqEPBtdzsc/edit?usp=sharing"",""ยโสธร!J235"")"),0)</f>
        <v>0</v>
      </c>
      <c r="CO41" s="86">
        <f ca="1">IFERROR(__xludf.DUMMYFUNCTION("IMPORTRANGE(""https://docs.google.com/spreadsheets/d/1oKaccgDdQABndOzGr688Dbfxb_V3YcF67VqEPBtdzsc/edit?usp=sharing"",""ยโสธร!J236"")"),0)</f>
        <v>0</v>
      </c>
    </row>
    <row r="42" spans="1:93" ht="21" customHeight="1" x14ac:dyDescent="0.3">
      <c r="A42" s="78">
        <v>11</v>
      </c>
      <c r="B42" s="79" t="s">
        <v>64</v>
      </c>
      <c r="C42" s="80">
        <f t="shared" ca="1" si="0"/>
        <v>67600</v>
      </c>
      <c r="D42" s="81">
        <f t="shared" ca="1" si="160"/>
        <v>67600</v>
      </c>
      <c r="E42" s="82">
        <f ca="1">IFERROR(__xludf.DUMMYFUNCTION("IMPORTRANGE(""https://docs.google.com/spreadsheets/d/1MeEWN-I1oV_STSDYn1IFDPWt_1FKiwhDph83XaGc0o0/edit?usp=sharing"",""งบพรบ!CP42"")"),0)</f>
        <v>0</v>
      </c>
      <c r="F42" s="82">
        <f ca="1">IFERROR(__xludf.DUMMYFUNCTION("IMPORTRANGE(""https://docs.google.com/spreadsheets/d/1MeEWN-I1oV_STSDYn1IFDPWt_1FKiwhDph83XaGc0o0/edit?usp=sharing"",""งบพรบ!CQ42"")"),67600)</f>
        <v>67600</v>
      </c>
      <c r="G42" s="82">
        <f ca="1">IFERROR(__xludf.DUMMYFUNCTION("IMPORTRANGE(""https://docs.google.com/spreadsheets/d/1MeEWN-I1oV_STSDYn1IFDPWt_1FKiwhDph83XaGc0o0/edit?usp=sharing"",""งบพรบ!CR42"")"),0)</f>
        <v>0</v>
      </c>
      <c r="H42" s="82">
        <f ca="1">IFERROR(__xludf.DUMMYFUNCTION("IMPORTRANGE(""https://docs.google.com/spreadsheets/d/1MeEWN-I1oV_STSDYn1IFDPWt_1FKiwhDph83XaGc0o0/edit?usp=sharing"",""งบพรบ!CT42"")"),48500)</f>
        <v>48500</v>
      </c>
      <c r="I42" s="82">
        <f ca="1">IFERROR(__xludf.DUMMYFUNCTION("IMPORTRANGE(""https://docs.google.com/spreadsheets/d/1MeEWN-I1oV_STSDYn1IFDPWt_1FKiwhDph83XaGc0o0/edit?usp=sharing"",""งบพรบ!CU42"")"),0)</f>
        <v>0</v>
      </c>
      <c r="J42" s="82">
        <f t="shared" ca="1" si="3"/>
        <v>28650</v>
      </c>
      <c r="K42" s="83">
        <f t="shared" ca="1" si="4"/>
        <v>42.38165680473373</v>
      </c>
      <c r="L42" s="82">
        <f ca="1">IFERROR(__xludf.DUMMYFUNCTION("IMPORTRANGE(""https://docs.google.com/spreadsheets/d/1MeEWN-I1oV_STSDYn1IFDPWt_1FKiwhDph83XaGc0o0/edit?usp=sharing"",""งบพรบ!CV42"")"),28650)</f>
        <v>28650</v>
      </c>
      <c r="M42" s="84">
        <f t="shared" ca="1" si="5"/>
        <v>42.38165680473373</v>
      </c>
      <c r="N42" s="84">
        <f t="shared" ca="1" si="6"/>
        <v>59.072164948453612</v>
      </c>
      <c r="O42" s="85">
        <f ca="1">IFERROR(__xludf.DUMMYFUNCTION("IMPORTRANGE(""https://docs.google.com/spreadsheets/d/1MeEWN-I1oV_STSDYn1IFDPWt_1FKiwhDph83XaGc0o0/edit?usp=sharing"",""งบพรบ!CW42"")"),0)</f>
        <v>0</v>
      </c>
      <c r="P42" s="85">
        <f t="shared" ca="1" si="108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IFERROR(__xludf.DUMMYFUNCTION("IMPORTRANGE(""https://docs.google.com/spreadsheets/d/1BRgc8xKpxZ0PX-gauieMVkV_IOxKSotf0yW8MabGprQ/edit?usp=sharing"",""ร้อยเอ็ด!L191"")"),6000)</f>
        <v>6000</v>
      </c>
      <c r="S42" s="86">
        <f ca="1">IFERROR(__xludf.DUMMYFUNCTION("IMPORTRANGE(""https://docs.google.com/spreadsheets/d/1BRgc8xKpxZ0PX-gauieMVkV_IOxKSotf0yW8MabGprQ/edit?usp=sharing"",""ร้อยเอ็ด!N191"")"),0)</f>
        <v>0</v>
      </c>
      <c r="T42" s="87">
        <f t="shared" ca="1" si="84"/>
        <v>0</v>
      </c>
      <c r="U42" s="86">
        <f ca="1">IFERROR(__xludf.DUMMYFUNCTION("IMPORTRANGE(""https://docs.google.com/spreadsheets/d/1BRgc8xKpxZ0PX-gauieMVkV_IOxKSotf0yW8MabGprQ/edit?usp=sharing"",""ร้อยเอ็ด!I193"")"),4)</f>
        <v>4</v>
      </c>
      <c r="V42" s="86">
        <f ca="1">IFERROR(__xludf.DUMMYFUNCTION("IMPORTRANGE(""https://docs.google.com/spreadsheets/d/1BRgc8xKpxZ0PX-gauieMVkV_IOxKSotf0yW8MabGprQ/edit?usp=sharing"",""ร้อยเอ็ด!J193"")"),1)</f>
        <v>1</v>
      </c>
      <c r="W42" s="87">
        <f t="shared" ca="1" si="85"/>
        <v>25</v>
      </c>
      <c r="X42" s="86">
        <f t="shared" ca="1" si="161"/>
        <v>5</v>
      </c>
      <c r="Y42" s="86">
        <f ca="1">IFERROR(__xludf.DUMMYFUNCTION("IMPORTRANGE(""https://docs.google.com/spreadsheets/d/1BRgc8xKpxZ0PX-gauieMVkV_IOxKSotf0yW8MabGprQ/edit?usp=sharing"",""ร้อยเอ็ด!J195"")"),5)</f>
        <v>5</v>
      </c>
      <c r="Z42" s="86">
        <f ca="1">IFERROR(__xludf.DUMMYFUNCTION("IMPORTRANGE(""https://docs.google.com/spreadsheets/d/1BRgc8xKpxZ0PX-gauieMVkV_IOxKSotf0yW8MabGprQ/edit?usp=sharing"",""ร้อยเอ็ด!J196"")"),0)</f>
        <v>0</v>
      </c>
      <c r="AA42" s="86">
        <f ca="1">IFERROR(__xludf.DUMMYFUNCTION("IMPORTRANGE(""https://docs.google.com/spreadsheets/d/1BRgc8xKpxZ0PX-gauieMVkV_IOxKSotf0yW8MabGprQ/edit?usp=sharing"",""ร้อยเอ็ด!L199"")"),3000)</f>
        <v>3000</v>
      </c>
      <c r="AB42" s="86">
        <f ca="1">IFERROR(__xludf.DUMMYFUNCTION("IMPORTRANGE(""https://docs.google.com/spreadsheets/d/1BRgc8xKpxZ0PX-gauieMVkV_IOxKSotf0yW8MabGprQ/edit?usp=sharing"",""ร้อยเอ็ด!N199"")"),0)</f>
        <v>0</v>
      </c>
      <c r="AC42" s="87">
        <f t="shared" ca="1" si="86"/>
        <v>0</v>
      </c>
      <c r="AD42" s="86">
        <f ca="1">IFERROR(__xludf.DUMMYFUNCTION("IMPORTRANGE(""https://docs.google.com/spreadsheets/d/1BRgc8xKpxZ0PX-gauieMVkV_IOxKSotf0yW8MabGprQ/edit?usp=sharing"",""ร้อยเอ็ด!L200"")"),24000)</f>
        <v>24000</v>
      </c>
      <c r="AE42" s="86">
        <f ca="1">IFERROR(__xludf.DUMMYFUNCTION("IMPORTRANGE(""https://docs.google.com/spreadsheets/d/1BRgc8xKpxZ0PX-gauieMVkV_IOxKSotf0yW8MabGprQ/edit?usp=sharing"",""ร้อยเอ็ด!N200"")"),0)</f>
        <v>0</v>
      </c>
      <c r="AF42" s="87">
        <f t="shared" ca="1" si="87"/>
        <v>0</v>
      </c>
      <c r="AG42" s="86">
        <f ca="1">IFERROR(__xludf.DUMMYFUNCTION("IMPORTRANGE(""https://docs.google.com/spreadsheets/d/1BRgc8xKpxZ0PX-gauieMVkV_IOxKSotf0yW8MabGprQ/edit?usp=sharing"",""ร้อยเอ็ด!L201"")"),12000)</f>
        <v>12000</v>
      </c>
      <c r="AH42" s="86">
        <f ca="1">IFERROR(__xludf.DUMMYFUNCTION("IMPORTRANGE(""https://docs.google.com/spreadsheets/d/1BRgc8xKpxZ0PX-gauieMVkV_IOxKSotf0yW8MabGprQ/edit?usp=sharing"",""ร้อยเอ็ด!N201"")"),0)</f>
        <v>0</v>
      </c>
      <c r="AI42" s="87">
        <f t="shared" ca="1" si="88"/>
        <v>0</v>
      </c>
      <c r="AJ42" s="86">
        <f ca="1">IFERROR(__xludf.DUMMYFUNCTION("IMPORTRANGE(""https://docs.google.com/spreadsheets/d/1BRgc8xKpxZ0PX-gauieMVkV_IOxKSotf0yW8MabGprQ/edit?usp=sharing"",""ร้อยเอ็ด!L202"")"),0)</f>
        <v>0</v>
      </c>
      <c r="AK42" s="86">
        <f ca="1">IFERROR(__xludf.DUMMYFUNCTION("IMPORTRANGE(""https://docs.google.com/spreadsheets/d/1BRgc8xKpxZ0PX-gauieMVkV_IOxKSotf0yW8MabGprQ/edit?usp=sharing"",""ร้อยเอ็ด!N202"")"),0)</f>
        <v>0</v>
      </c>
      <c r="AL42" s="87">
        <f t="shared" ca="1" si="89"/>
        <v>0</v>
      </c>
      <c r="AM42" s="86">
        <f ca="1">IFERROR(__xludf.DUMMYFUNCTION("IMPORTRANGE(""https://docs.google.com/spreadsheets/d/1BRgc8xKpxZ0PX-gauieMVkV_IOxKSotf0yW8MabGprQ/edit?usp=sharing"",""ร้อยเอ็ด!I204"")"),3)</f>
        <v>3</v>
      </c>
      <c r="AN42" s="86">
        <f ca="1">IFERROR(__xludf.DUMMYFUNCTION("IMPORTRANGE(""https://docs.google.com/spreadsheets/d/1BRgc8xKpxZ0PX-gauieMVkV_IOxKSotf0yW8MabGprQ/edit?usp=sharing"",""ร้อยเอ็ด!J204"")"),0)</f>
        <v>0</v>
      </c>
      <c r="AO42" s="87">
        <f t="shared" ca="1" si="90"/>
        <v>0</v>
      </c>
      <c r="AP42" s="298">
        <f ca="1">IFERROR(__xludf.DUMMYFUNCTION("IMPORTRANGE(""https://docs.google.com/spreadsheets/d/1BRgc8xKpxZ0PX-gauieMVkV_IOxKSotf0yW8MabGprQ/edit?usp=sharing"",""ร้อยเอ็ด!J206"")"),0)</f>
        <v>0</v>
      </c>
      <c r="AQ42" s="298">
        <f ca="1">IFERROR(__xludf.DUMMYFUNCTION("IMPORTRANGE(""https://docs.google.com/spreadsheets/d/1BRgc8xKpxZ0PX-gauieMVkV_IOxKSotf0yW8MabGprQ/edit?usp=sharing"",""ร้อยเอ็ด!J207"")"),0)</f>
        <v>0</v>
      </c>
      <c r="AR42" s="86">
        <f ca="1">IFERROR(__xludf.DUMMYFUNCTION("IMPORTRANGE(""https://docs.google.com/spreadsheets/d/1BRgc8xKpxZ0PX-gauieMVkV_IOxKSotf0yW8MabGprQ/edit?usp=sharing"",""ร้อยเอ็ด!L210"")"),0)</f>
        <v>0</v>
      </c>
      <c r="AS42" s="86">
        <f ca="1">IFERROR(__xludf.DUMMYFUNCTION("IMPORTRANGE(""https://docs.google.com/spreadsheets/d/1BRgc8xKpxZ0PX-gauieMVkV_IOxKSotf0yW8MabGprQ/edit?usp=sharing"",""ร้อยเอ็ด!N210"")"),0)</f>
        <v>0</v>
      </c>
      <c r="AT42" s="87">
        <f t="shared" ca="1" si="91"/>
        <v>0</v>
      </c>
      <c r="AU42" s="86">
        <f ca="1">IFERROR(__xludf.DUMMYFUNCTION("IMPORTRANGE(""https://docs.google.com/spreadsheets/d/1BRgc8xKpxZ0PX-gauieMVkV_IOxKSotf0yW8MabGprQ/edit?usp=sharing"",""ร้อยเอ็ด!L211"")"),0)</f>
        <v>0</v>
      </c>
      <c r="AV42" s="86">
        <f ca="1">IFERROR(__xludf.DUMMYFUNCTION("IMPORTRANGE(""https://docs.google.com/spreadsheets/d/1BRgc8xKpxZ0PX-gauieMVkV_IOxKSotf0yW8MabGprQ/edit?usp=sharing"",""ร้อยเอ็ด!N211"")"),0)</f>
        <v>0</v>
      </c>
      <c r="AW42" s="87">
        <f t="shared" ca="1" si="92"/>
        <v>0</v>
      </c>
      <c r="AX42" s="86">
        <f ca="1">IFERROR(__xludf.DUMMYFUNCTION("IMPORTRANGE(""https://docs.google.com/spreadsheets/d/1BRgc8xKpxZ0PX-gauieMVkV_IOxKSotf0yW8MabGprQ/edit?usp=sharing"",""ร้อยเอ็ด!L212"")"),0)</f>
        <v>0</v>
      </c>
      <c r="AY42" s="86">
        <f ca="1">IFERROR(__xludf.DUMMYFUNCTION("IMPORTRANGE(""https://docs.google.com/spreadsheets/d/1BRgc8xKpxZ0PX-gauieMVkV_IOxKSotf0yW8MabGprQ/edit?usp=sharing"",""ร้อยเอ็ด!N212"")"),0)</f>
        <v>0</v>
      </c>
      <c r="AZ42" s="87">
        <f t="shared" ca="1" si="93"/>
        <v>0</v>
      </c>
      <c r="BA42" s="86">
        <f ca="1">IFERROR(__xludf.DUMMYFUNCTION("IMPORTRANGE(""https://docs.google.com/spreadsheets/d/1BRgc8xKpxZ0PX-gauieMVkV_IOxKSotf0yW8MabGprQ/edit?usp=sharing"",""ร้อยเอ็ด!I214"")"),0)</f>
        <v>0</v>
      </c>
      <c r="BB42" s="86">
        <f ca="1">IFERROR(__xludf.DUMMYFUNCTION("IMPORTRANGE(""https://docs.google.com/spreadsheets/d/1BRgc8xKpxZ0PX-gauieMVkV_IOxKSotf0yW8MabGprQ/edit?usp=sharing"",""ร้อยเอ็ด!J214"")"),0)</f>
        <v>0</v>
      </c>
      <c r="BC42" s="87">
        <f t="shared" ca="1" si="94"/>
        <v>0</v>
      </c>
      <c r="BD42" s="86">
        <f ca="1">IFERROR(__xludf.DUMMYFUNCTION("IMPORTRANGE(""https://docs.google.com/spreadsheets/d/1BRgc8xKpxZ0PX-gauieMVkV_IOxKSotf0yW8MabGprQ/edit?usp=sharing"",""ร้อยเอ็ด!I215"")"),0)</f>
        <v>0</v>
      </c>
      <c r="BE42" s="86">
        <f ca="1">IFERROR(__xludf.DUMMYFUNCTION("IMPORTRANGE(""https://docs.google.com/spreadsheets/d/1BRgc8xKpxZ0PX-gauieMVkV_IOxKSotf0yW8MabGprQ/edit?usp=sharing"",""ร้อยเอ็ด!J215"")"),0)</f>
        <v>0</v>
      </c>
      <c r="BF42" s="87">
        <f t="shared" ca="1" si="95"/>
        <v>0</v>
      </c>
      <c r="BG42" s="86">
        <f ca="1">IFERROR(__xludf.DUMMYFUNCTION("IMPORTRANGE(""https://docs.google.com/spreadsheets/d/1BRgc8xKpxZ0PX-gauieMVkV_IOxKSotf0yW8MabGprQ/edit?usp=sharing"",""ร้อยเอ็ด!L218"")"),5000)</f>
        <v>5000</v>
      </c>
      <c r="BH42" s="86">
        <f ca="1">IFERROR(__xludf.DUMMYFUNCTION("IMPORTRANGE(""https://docs.google.com/spreadsheets/d/1BRgc8xKpxZ0PX-gauieMVkV_IOxKSotf0yW8MabGprQ/edit?usp=sharing"",""ร้อยเอ็ด!N218"")"),0)</f>
        <v>0</v>
      </c>
      <c r="BI42" s="87">
        <f t="shared" ca="1" si="96"/>
        <v>0</v>
      </c>
      <c r="BJ42" s="86">
        <f ca="1">IFERROR(__xludf.DUMMYFUNCTION("IMPORTRANGE(""https://docs.google.com/spreadsheets/d/1BRgc8xKpxZ0PX-gauieMVkV_IOxKSotf0yW8MabGprQ/edit?usp=sharing"",""ร้อยเอ็ด!L219"")"),17600)</f>
        <v>17600</v>
      </c>
      <c r="BK42" s="86">
        <f ca="1">IFERROR(__xludf.DUMMYFUNCTION("IMPORTRANGE(""https://docs.google.com/spreadsheets/d/1BRgc8xKpxZ0PX-gauieMVkV_IOxKSotf0yW8MabGprQ/edit?usp=sharing"",""ร้อยเอ็ด!N219"")"),0)</f>
        <v>0</v>
      </c>
      <c r="BL42" s="87">
        <f t="shared" ca="1" si="97"/>
        <v>0</v>
      </c>
      <c r="BM42" s="86">
        <f ca="1">IFERROR(__xludf.DUMMYFUNCTION("IMPORTRANGE(""https://docs.google.com/spreadsheets/d/1BRgc8xKpxZ0PX-gauieMVkV_IOxKSotf0yW8MabGprQ/edit?usp=sharing"",""ร้อยเอ็ด!L220"")"),0)</f>
        <v>0</v>
      </c>
      <c r="BN42" s="86">
        <f ca="1">IFERROR(__xludf.DUMMYFUNCTION("IMPORTRANGE(""https://docs.google.com/spreadsheets/d/1BRgc8xKpxZ0PX-gauieMVkV_IOxKSotf0yW8MabGprQ/edit?usp=sharing"",""ร้อยเอ็ด!N220"")"),0)</f>
        <v>0</v>
      </c>
      <c r="BO42" s="87">
        <f t="shared" ca="1" si="98"/>
        <v>0</v>
      </c>
      <c r="BP42" s="86">
        <f ca="1">IFERROR(__xludf.DUMMYFUNCTION("IMPORTRANGE(""https://docs.google.com/spreadsheets/d/1BRgc8xKpxZ0PX-gauieMVkV_IOxKSotf0yW8MabGprQ/edit?usp=sharing"",""ร้อยเอ็ด!I223"")"),64000)</f>
        <v>64000</v>
      </c>
      <c r="BQ42" s="86">
        <f ca="1">IFERROR(__xludf.DUMMYFUNCTION("IMPORTRANGE(""https://docs.google.com/spreadsheets/d/1BRgc8xKpxZ0PX-gauieMVkV_IOxKSotf0yW8MabGprQ/edit?usp=sharing"",""ร้อยเอ็ด!J223"")"),0)</f>
        <v>0</v>
      </c>
      <c r="BR42" s="87">
        <f t="shared" ca="1" si="99"/>
        <v>0</v>
      </c>
      <c r="BS42" s="86">
        <f ca="1">IFERROR(__xludf.DUMMYFUNCTION("IMPORTRANGE(""https://docs.google.com/spreadsheets/d/1BRgc8xKpxZ0PX-gauieMVkV_IOxKSotf0yW8MabGprQ/edit?usp=sharing"",""ร้อยเอ็ด!I224"")"),64000)</f>
        <v>64000</v>
      </c>
      <c r="BT42" s="86">
        <f ca="1">IFERROR(__xludf.DUMMYFUNCTION("IMPORTRANGE(""https://docs.google.com/spreadsheets/d/1BRgc8xKpxZ0PX-gauieMVkV_IOxKSotf0yW8MabGprQ/edit?usp=sharing"",""ร้อยเอ็ด!J224"")"),0)</f>
        <v>0</v>
      </c>
      <c r="BU42" s="87">
        <f t="shared" ca="1" si="100"/>
        <v>0</v>
      </c>
      <c r="BV42" s="86">
        <f ca="1">IFERROR(__xludf.DUMMYFUNCTION("IMPORTRANGE(""https://docs.google.com/spreadsheets/d/1BRgc8xKpxZ0PX-gauieMVkV_IOxKSotf0yW8MabGprQ/edit?usp=sharing"",""ร้อยเอ็ด!I225"")"),0)</f>
        <v>0</v>
      </c>
      <c r="BW42" s="86">
        <f ca="1">IFERROR(__xludf.DUMMYFUNCTION("IMPORTRANGE(""https://docs.google.com/spreadsheets/d/1BRgc8xKpxZ0PX-gauieMVkV_IOxKSotf0yW8MabGprQ/edit?usp=sharing"",""ร้อยเอ็ด!J225"")"),0)</f>
        <v>0</v>
      </c>
      <c r="BX42" s="87">
        <f t="shared" ca="1" si="101"/>
        <v>0</v>
      </c>
      <c r="BY42" s="86">
        <f ca="1">IFERROR(__xludf.DUMMYFUNCTION("IMPORTRANGE(""https://docs.google.com/spreadsheets/d/1BRgc8xKpxZ0PX-gauieMVkV_IOxKSotf0yW8MabGprQ/edit?usp=sharing"",""ร้อยเอ็ด!L228"")"),0)</f>
        <v>0</v>
      </c>
      <c r="BZ42" s="86">
        <f ca="1">IFERROR(__xludf.DUMMYFUNCTION("IMPORTRANGE(""https://docs.google.com/spreadsheets/d/1BRgc8xKpxZ0PX-gauieMVkV_IOxKSotf0yW8MabGprQ/edit?usp=sharing"",""ร้อยเอ็ด!N228"")"),0)</f>
        <v>0</v>
      </c>
      <c r="CA42" s="87">
        <f t="shared" ca="1" si="102"/>
        <v>0</v>
      </c>
      <c r="CB42" s="86">
        <f ca="1">IFERROR(__xludf.DUMMYFUNCTION("IMPORTRANGE(""https://docs.google.com/spreadsheets/d/1BRgc8xKpxZ0PX-gauieMVkV_IOxKSotf0yW8MabGprQ/edit?usp=sharing"",""ร้อยเอ็ด!L229"")"),0)</f>
        <v>0</v>
      </c>
      <c r="CC42" s="86">
        <f ca="1">IFERROR(__xludf.DUMMYFUNCTION("IMPORTRANGE(""https://docs.google.com/spreadsheets/d/1BRgc8xKpxZ0PX-gauieMVkV_IOxKSotf0yW8MabGprQ/edit?usp=sharing"",""ร้อยเอ็ด!N229"")"),0)</f>
        <v>0</v>
      </c>
      <c r="CD42" s="87">
        <f t="shared" ca="1" si="103"/>
        <v>0</v>
      </c>
      <c r="CE42" s="86">
        <f ca="1">IFERROR(__xludf.DUMMYFUNCTION("IMPORTRANGE(""https://docs.google.com/spreadsheets/d/1BRgc8xKpxZ0PX-gauieMVkV_IOxKSotf0yW8MabGprQ/edit?usp=sharing"",""ร้อยเอ็ด!L230"")"),0)</f>
        <v>0</v>
      </c>
      <c r="CF42" s="86">
        <f ca="1">IFERROR(__xludf.DUMMYFUNCTION("IMPORTRANGE(""https://docs.google.com/spreadsheets/d/1BRgc8xKpxZ0PX-gauieMVkV_IOxKSotf0yW8MabGprQ/edit?usp=sharing"",""ร้อยเอ็ด!N230"")"),0)</f>
        <v>0</v>
      </c>
      <c r="CG42" s="87">
        <f t="shared" ca="1" si="104"/>
        <v>0</v>
      </c>
      <c r="CH42" s="86">
        <f ca="1">IFERROR(__xludf.DUMMYFUNCTION("IMPORTRANGE(""https://docs.google.com/spreadsheets/d/1BRgc8xKpxZ0PX-gauieMVkV_IOxKSotf0yW8MabGprQ/edit?usp=sharing"",""ร้อยเอ็ด!L231"")"),0)</f>
        <v>0</v>
      </c>
      <c r="CI42" s="86">
        <f ca="1">IFERROR(__xludf.DUMMYFUNCTION("IMPORTRANGE(""https://docs.google.com/spreadsheets/d/1BRgc8xKpxZ0PX-gauieMVkV_IOxKSotf0yW8MabGprQ/edit?usp=sharing"",""ร้อยเอ็ด!N231"")"),0)</f>
        <v>0</v>
      </c>
      <c r="CJ42" s="87">
        <f t="shared" ca="1" si="105"/>
        <v>0</v>
      </c>
      <c r="CK42" s="86">
        <f ca="1">IFERROR(__xludf.DUMMYFUNCTION("IMPORTRANGE(""https://docs.google.com/spreadsheets/d/1BRgc8xKpxZ0PX-gauieMVkV_IOxKSotf0yW8MabGprQ/edit?usp=sharing"",""ร้อยเอ็ด!I233"")"),0)</f>
        <v>0</v>
      </c>
      <c r="CL42" s="86">
        <f ca="1">IFERROR(__xludf.DUMMYFUNCTION("IMPORTRANGE(""https://docs.google.com/spreadsheets/d/1BRgc8xKpxZ0PX-gauieMVkV_IOxKSotf0yW8MabGprQ/edit?usp=sharing"",""ร้อยเอ็ด!J233"")"),0)</f>
        <v>0</v>
      </c>
      <c r="CM42" s="87">
        <f t="shared" ca="1" si="106"/>
        <v>0</v>
      </c>
      <c r="CN42" s="86">
        <f ca="1">IFERROR(__xludf.DUMMYFUNCTION("IMPORTRANGE(""https://docs.google.com/spreadsheets/d/1BRgc8xKpxZ0PX-gauieMVkV_IOxKSotf0yW8MabGprQ/edit?usp=sharing"",""ร้อยเอ็ด!J235"")"),0)</f>
        <v>0</v>
      </c>
      <c r="CO42" s="86">
        <f ca="1">IFERROR(__xludf.DUMMYFUNCTION("IMPORTRANGE(""https://docs.google.com/spreadsheets/d/1BRgc8xKpxZ0PX-gauieMVkV_IOxKSotf0yW8MabGprQ/edit?usp=sharing"",""ร้อยเอ็ด!J236"")"),0)</f>
        <v>0</v>
      </c>
    </row>
    <row r="43" spans="1:93" ht="21" customHeight="1" x14ac:dyDescent="0.3">
      <c r="A43" s="78">
        <v>12</v>
      </c>
      <c r="B43" s="79" t="s">
        <v>65</v>
      </c>
      <c r="C43" s="80">
        <f t="shared" ca="1" si="0"/>
        <v>116200</v>
      </c>
      <c r="D43" s="81">
        <f t="shared" ca="1" si="160"/>
        <v>116200</v>
      </c>
      <c r="E43" s="82">
        <f ca="1">IFERROR(__xludf.DUMMYFUNCTION("IMPORTRANGE(""https://docs.google.com/spreadsheets/d/1MeEWN-I1oV_STSDYn1IFDPWt_1FKiwhDph83XaGc0o0/edit?usp=sharing"",""งบพรบ!CP43"")"),0)</f>
        <v>0</v>
      </c>
      <c r="F43" s="82">
        <f ca="1">IFERROR(__xludf.DUMMYFUNCTION("IMPORTRANGE(""https://docs.google.com/spreadsheets/d/1MeEWN-I1oV_STSDYn1IFDPWt_1FKiwhDph83XaGc0o0/edit?usp=sharing"",""งบพรบ!CQ43"")"),116200)</f>
        <v>116200</v>
      </c>
      <c r="G43" s="82">
        <f ca="1">IFERROR(__xludf.DUMMYFUNCTION("IMPORTRANGE(""https://docs.google.com/spreadsheets/d/1MeEWN-I1oV_STSDYn1IFDPWt_1FKiwhDph83XaGc0o0/edit?usp=sharing"",""งบพรบ!CR43"")"),0)</f>
        <v>0</v>
      </c>
      <c r="H43" s="82">
        <f ca="1">IFERROR(__xludf.DUMMYFUNCTION("IMPORTRANGE(""https://docs.google.com/spreadsheets/d/1MeEWN-I1oV_STSDYn1IFDPWt_1FKiwhDph83XaGc0o0/edit?usp=sharing"",""งบพรบ!CT43"")"),81500)</f>
        <v>81500</v>
      </c>
      <c r="I43" s="82">
        <f ca="1">IFERROR(__xludf.DUMMYFUNCTION("IMPORTRANGE(""https://docs.google.com/spreadsheets/d/1MeEWN-I1oV_STSDYn1IFDPWt_1FKiwhDph83XaGc0o0/edit?usp=sharing"",""งบพรบ!CU43"")"),0)</f>
        <v>0</v>
      </c>
      <c r="J43" s="82">
        <f t="shared" ca="1" si="3"/>
        <v>58015</v>
      </c>
      <c r="K43" s="83">
        <f t="shared" ca="1" si="4"/>
        <v>49.926850258175563</v>
      </c>
      <c r="L43" s="82">
        <f ca="1">IFERROR(__xludf.DUMMYFUNCTION("IMPORTRANGE(""https://docs.google.com/spreadsheets/d/1MeEWN-I1oV_STSDYn1IFDPWt_1FKiwhDph83XaGc0o0/edit?usp=sharing"",""งบพรบ!CV43"")"),58015)</f>
        <v>58015</v>
      </c>
      <c r="M43" s="84">
        <f t="shared" ca="1" si="5"/>
        <v>49.926850258175563</v>
      </c>
      <c r="N43" s="84">
        <f t="shared" ca="1" si="6"/>
        <v>71.184049079754601</v>
      </c>
      <c r="O43" s="85">
        <f ca="1">IFERROR(__xludf.DUMMYFUNCTION("IMPORTRANGE(""https://docs.google.com/spreadsheets/d/1MeEWN-I1oV_STSDYn1IFDPWt_1FKiwhDph83XaGc0o0/edit?usp=sharing"",""งบพรบ!CW43"")"),0)</f>
        <v>0</v>
      </c>
      <c r="P43" s="85">
        <f t="shared" ca="1" si="108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IFERROR(__xludf.DUMMYFUNCTION("IMPORTRANGE(""https://docs.google.com/spreadsheets/d/1IdolZc-dfdgMwAm_KZxYJl1sUOcIgnbGQzbWOlddedo/edit?usp=sharing"",""เลย!L191"")"),6000)</f>
        <v>6000</v>
      </c>
      <c r="S43" s="86">
        <f ca="1">IFERROR(__xludf.DUMMYFUNCTION("IMPORTRANGE(""https://docs.google.com/spreadsheets/d/1IdolZc-dfdgMwAm_KZxYJl1sUOcIgnbGQzbWOlddedo/edit?usp=sharing"",""เลย!N191"")"),500)</f>
        <v>500</v>
      </c>
      <c r="T43" s="87">
        <f t="shared" ca="1" si="84"/>
        <v>8.3333333333333339</v>
      </c>
      <c r="U43" s="86">
        <f ca="1">IFERROR(__xludf.DUMMYFUNCTION("IMPORTRANGE(""https://docs.google.com/spreadsheets/d/1IdolZc-dfdgMwAm_KZxYJl1sUOcIgnbGQzbWOlddedo/edit?usp=sharing"",""เลย!I193"")"),4)</f>
        <v>4</v>
      </c>
      <c r="V43" s="86">
        <f ca="1">IFERROR(__xludf.DUMMYFUNCTION("IMPORTRANGE(""https://docs.google.com/spreadsheets/d/1IdolZc-dfdgMwAm_KZxYJl1sUOcIgnbGQzbWOlddedo/edit?usp=sharing"",""เลย!J193"")"),1)</f>
        <v>1</v>
      </c>
      <c r="W43" s="87">
        <f t="shared" ca="1" si="85"/>
        <v>25</v>
      </c>
      <c r="X43" s="86">
        <f t="shared" ca="1" si="161"/>
        <v>68</v>
      </c>
      <c r="Y43" s="86">
        <f ca="1">IFERROR(__xludf.DUMMYFUNCTION("IMPORTRANGE(""https://docs.google.com/spreadsheets/d/1IdolZc-dfdgMwAm_KZxYJl1sUOcIgnbGQzbWOlddedo/edit?usp=sharing"",""เลย!J195"")"),68)</f>
        <v>68</v>
      </c>
      <c r="Z43" s="86">
        <f ca="1">IFERROR(__xludf.DUMMYFUNCTION("IMPORTRANGE(""https://docs.google.com/spreadsheets/d/1IdolZc-dfdgMwAm_KZxYJl1sUOcIgnbGQzbWOlddedo/edit?usp=sharing"",""เลย!J196"")"),0)</f>
        <v>0</v>
      </c>
      <c r="AA43" s="86">
        <f ca="1">IFERROR(__xludf.DUMMYFUNCTION("IMPORTRANGE(""https://docs.google.com/spreadsheets/d/1IdolZc-dfdgMwAm_KZxYJl1sUOcIgnbGQzbWOlddedo/edit?usp=sharing"",""เลย!L199"")"),2000)</f>
        <v>2000</v>
      </c>
      <c r="AB43" s="86">
        <f ca="1">IFERROR(__xludf.DUMMYFUNCTION("IMPORTRANGE(""https://docs.google.com/spreadsheets/d/1IdolZc-dfdgMwAm_KZxYJl1sUOcIgnbGQzbWOlddedo/edit?usp=sharing"",""เลย!N199"")"),2000)</f>
        <v>2000</v>
      </c>
      <c r="AC43" s="87">
        <f t="shared" ca="1" si="86"/>
        <v>100</v>
      </c>
      <c r="AD43" s="86">
        <f ca="1">IFERROR(__xludf.DUMMYFUNCTION("IMPORTRANGE(""https://docs.google.com/spreadsheets/d/1IdolZc-dfdgMwAm_KZxYJl1sUOcIgnbGQzbWOlddedo/edit?usp=sharing"",""เลย!L200"")"),16000)</f>
        <v>16000</v>
      </c>
      <c r="AE43" s="86">
        <f ca="1">IFERROR(__xludf.DUMMYFUNCTION("IMPORTRANGE(""https://docs.google.com/spreadsheets/d/1IdolZc-dfdgMwAm_KZxYJl1sUOcIgnbGQzbWOlddedo/edit?usp=sharing"",""เลย!N200"")"),16000)</f>
        <v>16000</v>
      </c>
      <c r="AF43" s="87">
        <f t="shared" ca="1" si="87"/>
        <v>100</v>
      </c>
      <c r="AG43" s="86">
        <f ca="1">IFERROR(__xludf.DUMMYFUNCTION("IMPORTRANGE(""https://docs.google.com/spreadsheets/d/1IdolZc-dfdgMwAm_KZxYJl1sUOcIgnbGQzbWOlddedo/edit?usp=sharing"",""เลย!L201"")"),8000)</f>
        <v>8000</v>
      </c>
      <c r="AH43" s="86">
        <f ca="1">IFERROR(__xludf.DUMMYFUNCTION("IMPORTRANGE(""https://docs.google.com/spreadsheets/d/1IdolZc-dfdgMwAm_KZxYJl1sUOcIgnbGQzbWOlddedo/edit?usp=sharing"",""เลย!N201"")"),0)</f>
        <v>0</v>
      </c>
      <c r="AI43" s="87">
        <f t="shared" ca="1" si="88"/>
        <v>0</v>
      </c>
      <c r="AJ43" s="86">
        <f ca="1">IFERROR(__xludf.DUMMYFUNCTION("IMPORTRANGE(""https://docs.google.com/spreadsheets/d/1IdolZc-dfdgMwAm_KZxYJl1sUOcIgnbGQzbWOlddedo/edit?usp=sharing"",""เลย!L202"")"),5000)</f>
        <v>5000</v>
      </c>
      <c r="AK43" s="86">
        <f ca="1">IFERROR(__xludf.DUMMYFUNCTION("IMPORTRANGE(""https://docs.google.com/spreadsheets/d/1IdolZc-dfdgMwAm_KZxYJl1sUOcIgnbGQzbWOlddedo/edit?usp=sharing"",""เลย!N202"")"),0)</f>
        <v>0</v>
      </c>
      <c r="AL43" s="87">
        <f t="shared" ca="1" si="89"/>
        <v>0</v>
      </c>
      <c r="AM43" s="86">
        <f ca="1">IFERROR(__xludf.DUMMYFUNCTION("IMPORTRANGE(""https://docs.google.com/spreadsheets/d/1IdolZc-dfdgMwAm_KZxYJl1sUOcIgnbGQzbWOlddedo/edit?usp=sharing"",""เลย!I204"")"),2)</f>
        <v>2</v>
      </c>
      <c r="AN43" s="86">
        <f ca="1">IFERROR(__xludf.DUMMYFUNCTION("IMPORTRANGE(""https://docs.google.com/spreadsheets/d/1IdolZc-dfdgMwAm_KZxYJl1sUOcIgnbGQzbWOlddedo/edit?usp=sharing"",""เลย!J204"")"),2)</f>
        <v>2</v>
      </c>
      <c r="AO43" s="87">
        <f t="shared" ca="1" si="90"/>
        <v>100</v>
      </c>
      <c r="AP43" s="298">
        <f ca="1">IFERROR(__xludf.DUMMYFUNCTION("IMPORTRANGE(""https://docs.google.com/spreadsheets/d/1IdolZc-dfdgMwAm_KZxYJl1sUOcIgnbGQzbWOlddedo/edit?usp=sharing"",""เลย!J206"")"),0)</f>
        <v>0</v>
      </c>
      <c r="AQ43" s="298">
        <f ca="1">IFERROR(__xludf.DUMMYFUNCTION("IMPORTRANGE(""https://docs.google.com/spreadsheets/d/1IdolZc-dfdgMwAm_KZxYJl1sUOcIgnbGQzbWOlddedo/edit?usp=sharing"",""เลย!J207"")"),0)</f>
        <v>0</v>
      </c>
      <c r="AR43" s="86">
        <f ca="1">IFERROR(__xludf.DUMMYFUNCTION("IMPORTRANGE(""https://docs.google.com/spreadsheets/d/1IdolZc-dfdgMwAm_KZxYJl1sUOcIgnbGQzbWOlddedo/edit?usp=sharing"",""เลย!L210"")"),2000)</f>
        <v>2000</v>
      </c>
      <c r="AS43" s="86">
        <f ca="1">IFERROR(__xludf.DUMMYFUNCTION("IMPORTRANGE(""https://docs.google.com/spreadsheets/d/1IdolZc-dfdgMwAm_KZxYJl1sUOcIgnbGQzbWOlddedo/edit?usp=sharing"",""เลย!N210"")"),1460)</f>
        <v>1460</v>
      </c>
      <c r="AT43" s="87">
        <f t="shared" ca="1" si="91"/>
        <v>73</v>
      </c>
      <c r="AU43" s="86">
        <f ca="1">IFERROR(__xludf.DUMMYFUNCTION("IMPORTRANGE(""https://docs.google.com/spreadsheets/d/1IdolZc-dfdgMwAm_KZxYJl1sUOcIgnbGQzbWOlddedo/edit?usp=sharing"",""เลย!L211"")"),10000)</f>
        <v>10000</v>
      </c>
      <c r="AV43" s="86">
        <f ca="1">IFERROR(__xludf.DUMMYFUNCTION("IMPORTRANGE(""https://docs.google.com/spreadsheets/d/1IdolZc-dfdgMwAm_KZxYJl1sUOcIgnbGQzbWOlddedo/edit?usp=sharing"",""เลย!N211"")"),0)</f>
        <v>0</v>
      </c>
      <c r="AW43" s="87">
        <f t="shared" ca="1" si="92"/>
        <v>0</v>
      </c>
      <c r="AX43" s="86">
        <f ca="1">IFERROR(__xludf.DUMMYFUNCTION("IMPORTRANGE(""https://docs.google.com/spreadsheets/d/1IdolZc-dfdgMwAm_KZxYJl1sUOcIgnbGQzbWOlddedo/edit?usp=sharing"",""เลย!L212"")"),16000)</f>
        <v>16000</v>
      </c>
      <c r="AY43" s="86">
        <f ca="1">IFERROR(__xludf.DUMMYFUNCTION("IMPORTRANGE(""https://docs.google.com/spreadsheets/d/1IdolZc-dfdgMwAm_KZxYJl1sUOcIgnbGQzbWOlddedo/edit?usp=sharing"",""เลย!N212"")"),16000)</f>
        <v>16000</v>
      </c>
      <c r="AZ43" s="87">
        <f t="shared" ca="1" si="93"/>
        <v>100</v>
      </c>
      <c r="BA43" s="86">
        <f ca="1">IFERROR(__xludf.DUMMYFUNCTION("IMPORTRANGE(""https://docs.google.com/spreadsheets/d/1IdolZc-dfdgMwAm_KZxYJl1sUOcIgnbGQzbWOlddedo/edit?usp=sharing"",""เลย!I214"")"),2)</f>
        <v>2</v>
      </c>
      <c r="BB43" s="86">
        <f ca="1">IFERROR(__xludf.DUMMYFUNCTION("IMPORTRANGE(""https://docs.google.com/spreadsheets/d/1IdolZc-dfdgMwAm_KZxYJl1sUOcIgnbGQzbWOlddedo/edit?usp=sharing"",""เลย!J214"")"),0)</f>
        <v>0</v>
      </c>
      <c r="BC43" s="87">
        <f t="shared" ca="1" si="94"/>
        <v>0</v>
      </c>
      <c r="BD43" s="86">
        <f ca="1">IFERROR(__xludf.DUMMYFUNCTION("IMPORTRANGE(""https://docs.google.com/spreadsheets/d/1IdolZc-dfdgMwAm_KZxYJl1sUOcIgnbGQzbWOlddedo/edit?usp=sharing"",""เลย!I215"")"),2)</f>
        <v>2</v>
      </c>
      <c r="BE43" s="86">
        <f ca="1">IFERROR(__xludf.DUMMYFUNCTION("IMPORTRANGE(""https://docs.google.com/spreadsheets/d/1IdolZc-dfdgMwAm_KZxYJl1sUOcIgnbGQzbWOlddedo/edit?usp=sharing"",""เลย!J215"")"),2)</f>
        <v>2</v>
      </c>
      <c r="BF43" s="87">
        <f t="shared" ca="1" si="95"/>
        <v>100</v>
      </c>
      <c r="BG43" s="86">
        <f ca="1">IFERROR(__xludf.DUMMYFUNCTION("IMPORTRANGE(""https://docs.google.com/spreadsheets/d/1IdolZc-dfdgMwAm_KZxYJl1sUOcIgnbGQzbWOlddedo/edit?usp=sharing"",""เลย!L218"")"),8000)</f>
        <v>8000</v>
      </c>
      <c r="BH43" s="86">
        <f ca="1">IFERROR(__xludf.DUMMYFUNCTION("IMPORTRANGE(""https://docs.google.com/spreadsheets/d/1IdolZc-dfdgMwAm_KZxYJl1sUOcIgnbGQzbWOlddedo/edit?usp=sharing"",""เลย!N218"")"),0)</f>
        <v>0</v>
      </c>
      <c r="BI43" s="87">
        <f t="shared" ca="1" si="96"/>
        <v>0</v>
      </c>
      <c r="BJ43" s="86">
        <f ca="1">IFERROR(__xludf.DUMMYFUNCTION("IMPORTRANGE(""https://docs.google.com/spreadsheets/d/1IdolZc-dfdgMwAm_KZxYJl1sUOcIgnbGQzbWOlddedo/edit?usp=sharing"",""เลย!L219"")"),33200)</f>
        <v>33200</v>
      </c>
      <c r="BK43" s="86">
        <f ca="1">IFERROR(__xludf.DUMMYFUNCTION("IMPORTRANGE(""https://docs.google.com/spreadsheets/d/1IdolZc-dfdgMwAm_KZxYJl1sUOcIgnbGQzbWOlddedo/edit?usp=sharing"",""เลย!N219"")"),0)</f>
        <v>0</v>
      </c>
      <c r="BL43" s="87">
        <f t="shared" ca="1" si="97"/>
        <v>0</v>
      </c>
      <c r="BM43" s="86">
        <f ca="1">IFERROR(__xludf.DUMMYFUNCTION("IMPORTRANGE(""https://docs.google.com/spreadsheets/d/1IdolZc-dfdgMwAm_KZxYJl1sUOcIgnbGQzbWOlddedo/edit?usp=sharing"",""เลย!L220"")"),10000)</f>
        <v>10000</v>
      </c>
      <c r="BN43" s="86">
        <f ca="1">IFERROR(__xludf.DUMMYFUNCTION("IMPORTRANGE(""https://docs.google.com/spreadsheets/d/1IdolZc-dfdgMwAm_KZxYJl1sUOcIgnbGQzbWOlddedo/edit?usp=sharing"",""เลย!N220"")"),0)</f>
        <v>0</v>
      </c>
      <c r="BO43" s="87">
        <f t="shared" ca="1" si="98"/>
        <v>0</v>
      </c>
      <c r="BP43" s="86">
        <f ca="1">IFERROR(__xludf.DUMMYFUNCTION("IMPORTRANGE(""https://docs.google.com/spreadsheets/d/1IdolZc-dfdgMwAm_KZxYJl1sUOcIgnbGQzbWOlddedo/edit?usp=sharing"",""เลย!I223"")"),128000)</f>
        <v>128000</v>
      </c>
      <c r="BQ43" s="86">
        <f ca="1">IFERROR(__xludf.DUMMYFUNCTION("IMPORTRANGE(""https://docs.google.com/spreadsheets/d/1IdolZc-dfdgMwAm_KZxYJl1sUOcIgnbGQzbWOlddedo/edit?usp=sharing"",""เลย!J223"")"),0)</f>
        <v>0</v>
      </c>
      <c r="BR43" s="87">
        <f t="shared" ca="1" si="99"/>
        <v>0</v>
      </c>
      <c r="BS43" s="86">
        <f ca="1">IFERROR(__xludf.DUMMYFUNCTION("IMPORTRANGE(""https://docs.google.com/spreadsheets/d/1IdolZc-dfdgMwAm_KZxYJl1sUOcIgnbGQzbWOlddedo/edit?usp=sharing"",""เลย!I224"")"),128000)</f>
        <v>128000</v>
      </c>
      <c r="BT43" s="86">
        <f ca="1">IFERROR(__xludf.DUMMYFUNCTION("IMPORTRANGE(""https://docs.google.com/spreadsheets/d/1IdolZc-dfdgMwAm_KZxYJl1sUOcIgnbGQzbWOlddedo/edit?usp=sharing"",""เลย!J224"")"),0)</f>
        <v>0</v>
      </c>
      <c r="BU43" s="87">
        <f t="shared" ca="1" si="100"/>
        <v>0</v>
      </c>
      <c r="BV43" s="86">
        <f ca="1">IFERROR(__xludf.DUMMYFUNCTION("IMPORTRANGE(""https://docs.google.com/spreadsheets/d/1IdolZc-dfdgMwAm_KZxYJl1sUOcIgnbGQzbWOlddedo/edit?usp=sharing"",""เลย!I225"")"),10)</f>
        <v>10</v>
      </c>
      <c r="BW43" s="86">
        <f ca="1">IFERROR(__xludf.DUMMYFUNCTION("IMPORTRANGE(""https://docs.google.com/spreadsheets/d/1IdolZc-dfdgMwAm_KZxYJl1sUOcIgnbGQzbWOlddedo/edit?usp=sharing"",""เลย!J225"")"),0)</f>
        <v>0</v>
      </c>
      <c r="BX43" s="87">
        <f t="shared" ca="1" si="101"/>
        <v>0</v>
      </c>
      <c r="BY43" s="86">
        <f ca="1">IFERROR(__xludf.DUMMYFUNCTION("IMPORTRANGE(""https://docs.google.com/spreadsheets/d/1IdolZc-dfdgMwAm_KZxYJl1sUOcIgnbGQzbWOlddedo/edit?usp=sharing"",""เลย!L228"")"),0)</f>
        <v>0</v>
      </c>
      <c r="BZ43" s="86">
        <f ca="1">IFERROR(__xludf.DUMMYFUNCTION("IMPORTRANGE(""https://docs.google.com/spreadsheets/d/1IdolZc-dfdgMwAm_KZxYJl1sUOcIgnbGQzbWOlddedo/edit?usp=sharing"",""เลย!N228"")"),0)</f>
        <v>0</v>
      </c>
      <c r="CA43" s="87">
        <f t="shared" ca="1" si="102"/>
        <v>0</v>
      </c>
      <c r="CB43" s="86">
        <f ca="1">IFERROR(__xludf.DUMMYFUNCTION("IMPORTRANGE(""https://docs.google.com/spreadsheets/d/1IdolZc-dfdgMwAm_KZxYJl1sUOcIgnbGQzbWOlddedo/edit?usp=sharing"",""เลย!L229"")"),0)</f>
        <v>0</v>
      </c>
      <c r="CC43" s="86">
        <f ca="1">IFERROR(__xludf.DUMMYFUNCTION("IMPORTRANGE(""https://docs.google.com/spreadsheets/d/1IdolZc-dfdgMwAm_KZxYJl1sUOcIgnbGQzbWOlddedo/edit?usp=sharing"",""เลย!N229"")"),0)</f>
        <v>0</v>
      </c>
      <c r="CD43" s="87">
        <f t="shared" ca="1" si="103"/>
        <v>0</v>
      </c>
      <c r="CE43" s="86">
        <f ca="1">IFERROR(__xludf.DUMMYFUNCTION("IMPORTRANGE(""https://docs.google.com/spreadsheets/d/1IdolZc-dfdgMwAm_KZxYJl1sUOcIgnbGQzbWOlddedo/edit?usp=sharing"",""เลย!L230"")"),0)</f>
        <v>0</v>
      </c>
      <c r="CF43" s="86">
        <f ca="1">IFERROR(__xludf.DUMMYFUNCTION("IMPORTRANGE(""https://docs.google.com/spreadsheets/d/1IdolZc-dfdgMwAm_KZxYJl1sUOcIgnbGQzbWOlddedo/edit?usp=sharing"",""เลย!N230"")"),0)</f>
        <v>0</v>
      </c>
      <c r="CG43" s="87">
        <f t="shared" ca="1" si="104"/>
        <v>0</v>
      </c>
      <c r="CH43" s="86">
        <f ca="1">IFERROR(__xludf.DUMMYFUNCTION("IMPORTRANGE(""https://docs.google.com/spreadsheets/d/1IdolZc-dfdgMwAm_KZxYJl1sUOcIgnbGQzbWOlddedo/edit?usp=sharing"",""เลย!L231"")"),0)</f>
        <v>0</v>
      </c>
      <c r="CI43" s="86">
        <f ca="1">IFERROR(__xludf.DUMMYFUNCTION("IMPORTRANGE(""https://docs.google.com/spreadsheets/d/1IdolZc-dfdgMwAm_KZxYJl1sUOcIgnbGQzbWOlddedo/edit?usp=sharing"",""เลย!N231"")"),0)</f>
        <v>0</v>
      </c>
      <c r="CJ43" s="87">
        <f t="shared" ca="1" si="105"/>
        <v>0</v>
      </c>
      <c r="CK43" s="86">
        <f ca="1">IFERROR(__xludf.DUMMYFUNCTION("IMPORTRANGE(""https://docs.google.com/spreadsheets/d/1IdolZc-dfdgMwAm_KZxYJl1sUOcIgnbGQzbWOlddedo/edit?usp=sharing"",""เลย!I233"")"),0)</f>
        <v>0</v>
      </c>
      <c r="CL43" s="86">
        <f ca="1">IFERROR(__xludf.DUMMYFUNCTION("IMPORTRANGE(""https://docs.google.com/spreadsheets/d/1IdolZc-dfdgMwAm_KZxYJl1sUOcIgnbGQzbWOlddedo/edit?usp=sharing"",""เลย!J233"")"),0)</f>
        <v>0</v>
      </c>
      <c r="CM43" s="87">
        <f t="shared" ca="1" si="106"/>
        <v>0</v>
      </c>
      <c r="CN43" s="86">
        <f ca="1">IFERROR(__xludf.DUMMYFUNCTION("IMPORTRANGE(""https://docs.google.com/spreadsheets/d/1IdolZc-dfdgMwAm_KZxYJl1sUOcIgnbGQzbWOlddedo/edit?usp=sharing"",""เลย!J235"")"),0)</f>
        <v>0</v>
      </c>
      <c r="CO43" s="86">
        <f ca="1">IFERROR(__xludf.DUMMYFUNCTION("IMPORTRANGE(""https://docs.google.com/spreadsheets/d/1IdolZc-dfdgMwAm_KZxYJl1sUOcIgnbGQzbWOlddedo/edit?usp=sharing"",""เลย!J236"")"),0)</f>
        <v>0</v>
      </c>
    </row>
    <row r="44" spans="1:93" ht="21" customHeight="1" x14ac:dyDescent="0.3">
      <c r="A44" s="78">
        <v>13</v>
      </c>
      <c r="B44" s="79" t="s">
        <v>66</v>
      </c>
      <c r="C44" s="80">
        <f t="shared" ca="1" si="0"/>
        <v>78500</v>
      </c>
      <c r="D44" s="81">
        <f t="shared" ca="1" si="160"/>
        <v>78500</v>
      </c>
      <c r="E44" s="82">
        <f ca="1">IFERROR(__xludf.DUMMYFUNCTION("IMPORTRANGE(""https://docs.google.com/spreadsheets/d/1MeEWN-I1oV_STSDYn1IFDPWt_1FKiwhDph83XaGc0o0/edit?usp=sharing"",""งบพรบ!CP44"")"),0)</f>
        <v>0</v>
      </c>
      <c r="F44" s="82">
        <f ca="1">IFERROR(__xludf.DUMMYFUNCTION("IMPORTRANGE(""https://docs.google.com/spreadsheets/d/1MeEWN-I1oV_STSDYn1IFDPWt_1FKiwhDph83XaGc0o0/edit?usp=sharing"",""งบพรบ!CQ44"")"),78500)</f>
        <v>78500</v>
      </c>
      <c r="G44" s="82">
        <f ca="1">IFERROR(__xludf.DUMMYFUNCTION("IMPORTRANGE(""https://docs.google.com/spreadsheets/d/1MeEWN-I1oV_STSDYn1IFDPWt_1FKiwhDph83XaGc0o0/edit?usp=sharing"",""งบพรบ!CR44"")"),0)</f>
        <v>0</v>
      </c>
      <c r="H44" s="82">
        <f ca="1">IFERROR(__xludf.DUMMYFUNCTION("IMPORTRANGE(""https://docs.google.com/spreadsheets/d/1MeEWN-I1oV_STSDYn1IFDPWt_1FKiwhDph83XaGc0o0/edit?usp=sharing"",""งบพรบ!CT44"")"),73500)</f>
        <v>73500</v>
      </c>
      <c r="I44" s="82">
        <f ca="1">IFERROR(__xludf.DUMMYFUNCTION("IMPORTRANGE(""https://docs.google.com/spreadsheets/d/1MeEWN-I1oV_STSDYn1IFDPWt_1FKiwhDph83XaGc0o0/edit?usp=sharing"",""งบพรบ!CU44"")"),0)</f>
        <v>0</v>
      </c>
      <c r="J44" s="82">
        <f t="shared" ca="1" si="3"/>
        <v>11202</v>
      </c>
      <c r="K44" s="83">
        <f t="shared" ca="1" si="4"/>
        <v>14.270063694267517</v>
      </c>
      <c r="L44" s="82">
        <f ca="1">IFERROR(__xludf.DUMMYFUNCTION("IMPORTRANGE(""https://docs.google.com/spreadsheets/d/1MeEWN-I1oV_STSDYn1IFDPWt_1FKiwhDph83XaGc0o0/edit?usp=sharing"",""งบพรบ!CV44"")"),11202)</f>
        <v>11202</v>
      </c>
      <c r="M44" s="84">
        <f t="shared" ca="1" si="5"/>
        <v>14.270063694267517</v>
      </c>
      <c r="N44" s="84">
        <f t="shared" ca="1" si="6"/>
        <v>15.240816326530613</v>
      </c>
      <c r="O44" s="85">
        <f ca="1">IFERROR(__xludf.DUMMYFUNCTION("IMPORTRANGE(""https://docs.google.com/spreadsheets/d/1MeEWN-I1oV_STSDYn1IFDPWt_1FKiwhDph83XaGc0o0/edit?usp=sharing"",""งบพรบ!CW44"")"),0)</f>
        <v>0</v>
      </c>
      <c r="P44" s="85">
        <f t="shared" ca="1" si="108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IFERROR(__xludf.DUMMYFUNCTION("IMPORTRANGE(""https://docs.google.com/spreadsheets/d/1tZ0nmtGuIRCaGAMXHlQU8EpR9LOAJvyKfc4f7EFmE34/edit?usp=sharing"",""ศรีสะเกษ!L191"")"),6000)</f>
        <v>6000</v>
      </c>
      <c r="S44" s="86">
        <f ca="1">IFERROR(__xludf.DUMMYFUNCTION("IMPORTRANGE(""https://docs.google.com/spreadsheets/d/1tZ0nmtGuIRCaGAMXHlQU8EpR9LOAJvyKfc4f7EFmE34/edit?usp=sharing"",""ศรีสะเกษ!N191"")"),3000)</f>
        <v>3000</v>
      </c>
      <c r="T44" s="87">
        <f t="shared" ca="1" si="84"/>
        <v>50</v>
      </c>
      <c r="U44" s="86">
        <f ca="1">IFERROR(__xludf.DUMMYFUNCTION("IMPORTRANGE(""https://docs.google.com/spreadsheets/d/1tZ0nmtGuIRCaGAMXHlQU8EpR9LOAJvyKfc4f7EFmE34/edit?usp=sharing"",""ศรีสะเกษ!I193"")"),4)</f>
        <v>4</v>
      </c>
      <c r="V44" s="86">
        <f ca="1">IFERROR(__xludf.DUMMYFUNCTION("IMPORTRANGE(""https://docs.google.com/spreadsheets/d/1tZ0nmtGuIRCaGAMXHlQU8EpR9LOAJvyKfc4f7EFmE34/edit?usp=sharing"",""ศรีสะเกษ!J193"")"),2)</f>
        <v>2</v>
      </c>
      <c r="W44" s="87">
        <f t="shared" ca="1" si="85"/>
        <v>50</v>
      </c>
      <c r="X44" s="86">
        <f t="shared" ca="1" si="161"/>
        <v>40</v>
      </c>
      <c r="Y44" s="86">
        <f ca="1">IFERROR(__xludf.DUMMYFUNCTION("IMPORTRANGE(""https://docs.google.com/spreadsheets/d/1tZ0nmtGuIRCaGAMXHlQU8EpR9LOAJvyKfc4f7EFmE34/edit?usp=sharing"",""ศรีสะเกษ!J195"")"),40)</f>
        <v>40</v>
      </c>
      <c r="Z44" s="86">
        <f ca="1">IFERROR(__xludf.DUMMYFUNCTION("IMPORTRANGE(""https://docs.google.com/spreadsheets/d/1tZ0nmtGuIRCaGAMXHlQU8EpR9LOAJvyKfc4f7EFmE34/edit?usp=sharing"",""ศรีสะเกษ!J196"")"),0)</f>
        <v>0</v>
      </c>
      <c r="AA44" s="86">
        <f ca="1">IFERROR(__xludf.DUMMYFUNCTION("IMPORTRANGE(""https://docs.google.com/spreadsheets/d/1tZ0nmtGuIRCaGAMXHlQU8EpR9LOAJvyKfc4f7EFmE34/edit?usp=sharing"",""ศรีสะเกษ!L199"")"),4000)</f>
        <v>4000</v>
      </c>
      <c r="AB44" s="86">
        <f ca="1">IFERROR(__xludf.DUMMYFUNCTION("IMPORTRANGE(""https://docs.google.com/spreadsheets/d/1tZ0nmtGuIRCaGAMXHlQU8EpR9LOAJvyKfc4f7EFmE34/edit?usp=sharing"",""ศรีสะเกษ!N199"")"),0)</f>
        <v>0</v>
      </c>
      <c r="AC44" s="87">
        <f t="shared" ca="1" si="86"/>
        <v>0</v>
      </c>
      <c r="AD44" s="86">
        <f ca="1">IFERROR(__xludf.DUMMYFUNCTION("IMPORTRANGE(""https://docs.google.com/spreadsheets/d/1tZ0nmtGuIRCaGAMXHlQU8EpR9LOAJvyKfc4f7EFmE34/edit?usp=sharing"",""ศรีสะเกษ!L200"")"),32000)</f>
        <v>32000</v>
      </c>
      <c r="AE44" s="86">
        <f ca="1">IFERROR(__xludf.DUMMYFUNCTION("IMPORTRANGE(""https://docs.google.com/spreadsheets/d/1tZ0nmtGuIRCaGAMXHlQU8EpR9LOAJvyKfc4f7EFmE34/edit?usp=sharing"",""ศรีสะเกษ!N200"")"),0)</f>
        <v>0</v>
      </c>
      <c r="AF44" s="87">
        <f t="shared" ca="1" si="87"/>
        <v>0</v>
      </c>
      <c r="AG44" s="86">
        <f ca="1">IFERROR(__xludf.DUMMYFUNCTION("IMPORTRANGE(""https://docs.google.com/spreadsheets/d/1tZ0nmtGuIRCaGAMXHlQU8EpR9LOAJvyKfc4f7EFmE34/edit?usp=sharing"",""ศรีสะเกษ!L201"")"),16000)</f>
        <v>16000</v>
      </c>
      <c r="AH44" s="86">
        <f ca="1">IFERROR(__xludf.DUMMYFUNCTION("IMPORTRANGE(""https://docs.google.com/spreadsheets/d/1tZ0nmtGuIRCaGAMXHlQU8EpR9LOAJvyKfc4f7EFmE34/edit?usp=sharing"",""ศรีสะเกษ!N201"")"),0)</f>
        <v>0</v>
      </c>
      <c r="AI44" s="87">
        <f t="shared" ca="1" si="88"/>
        <v>0</v>
      </c>
      <c r="AJ44" s="86">
        <f ca="1">IFERROR(__xludf.DUMMYFUNCTION("IMPORTRANGE(""https://docs.google.com/spreadsheets/d/1tZ0nmtGuIRCaGAMXHlQU8EpR9LOAJvyKfc4f7EFmE34/edit?usp=sharing"",""ศรีสะเกษ!L202"")"),0)</f>
        <v>0</v>
      </c>
      <c r="AK44" s="86">
        <f ca="1">IFERROR(__xludf.DUMMYFUNCTION("IMPORTRANGE(""https://docs.google.com/spreadsheets/d/1tZ0nmtGuIRCaGAMXHlQU8EpR9LOAJvyKfc4f7EFmE34/edit?usp=sharing"",""ศรีสะเกษ!N202"")"),0)</f>
        <v>0</v>
      </c>
      <c r="AL44" s="87">
        <f t="shared" ca="1" si="89"/>
        <v>0</v>
      </c>
      <c r="AM44" s="86">
        <f ca="1">IFERROR(__xludf.DUMMYFUNCTION("IMPORTRANGE(""https://docs.google.com/spreadsheets/d/1tZ0nmtGuIRCaGAMXHlQU8EpR9LOAJvyKfc4f7EFmE34/edit?usp=sharing"",""ศรีสะเกษ!I204"")"),4)</f>
        <v>4</v>
      </c>
      <c r="AN44" s="86">
        <f ca="1">IFERROR(__xludf.DUMMYFUNCTION("IMPORTRANGE(""https://docs.google.com/spreadsheets/d/1tZ0nmtGuIRCaGAMXHlQU8EpR9LOAJvyKfc4f7EFmE34/edit?usp=sharing"",""ศรีสะเกษ!J204"")"),0)</f>
        <v>0</v>
      </c>
      <c r="AO44" s="87">
        <f t="shared" ca="1" si="90"/>
        <v>0</v>
      </c>
      <c r="AP44" s="298">
        <f ca="1">IFERROR(__xludf.DUMMYFUNCTION("IMPORTRANGE(""https://docs.google.com/spreadsheets/d/1tZ0nmtGuIRCaGAMXHlQU8EpR9LOAJvyKfc4f7EFmE34/edit?usp=sharing"",""ศรีสะเกษ!J206"")"),0)</f>
        <v>0</v>
      </c>
      <c r="AQ44" s="298">
        <f ca="1">IFERROR(__xludf.DUMMYFUNCTION("IMPORTRANGE(""https://docs.google.com/spreadsheets/d/1tZ0nmtGuIRCaGAMXHlQU8EpR9LOAJvyKfc4f7EFmE34/edit?usp=sharing"",""ศรีสะเกษ!J207"")"),0)</f>
        <v>0</v>
      </c>
      <c r="AR44" s="86">
        <f ca="1">IFERROR(__xludf.DUMMYFUNCTION("IMPORTRANGE(""https://docs.google.com/spreadsheets/d/1tZ0nmtGuIRCaGAMXHlQU8EpR9LOAJvyKfc4f7EFmE34/edit?usp=sharing"",""ศรีสะเกษ!L210"")"),1000)</f>
        <v>1000</v>
      </c>
      <c r="AS44" s="86">
        <f ca="1">IFERROR(__xludf.DUMMYFUNCTION("IMPORTRANGE(""https://docs.google.com/spreadsheets/d/1tZ0nmtGuIRCaGAMXHlQU8EpR9LOAJvyKfc4f7EFmE34/edit?usp=sharing"",""ศรีสะเกษ!N210"")"),0)</f>
        <v>0</v>
      </c>
      <c r="AT44" s="87">
        <f t="shared" ca="1" si="91"/>
        <v>0</v>
      </c>
      <c r="AU44" s="86">
        <f ca="1">IFERROR(__xludf.DUMMYFUNCTION("IMPORTRANGE(""https://docs.google.com/spreadsheets/d/1tZ0nmtGuIRCaGAMXHlQU8EpR9LOAJvyKfc4f7EFmE34/edit?usp=sharing"",""ศรีสะเกษ!L211"")"),5000)</f>
        <v>5000</v>
      </c>
      <c r="AV44" s="86">
        <f ca="1">IFERROR(__xludf.DUMMYFUNCTION("IMPORTRANGE(""https://docs.google.com/spreadsheets/d/1tZ0nmtGuIRCaGAMXHlQU8EpR9LOAJvyKfc4f7EFmE34/edit?usp=sharing"",""ศรีสะเกษ!N211"")"),0)</f>
        <v>0</v>
      </c>
      <c r="AW44" s="87">
        <f t="shared" ca="1" si="92"/>
        <v>0</v>
      </c>
      <c r="AX44" s="86">
        <f ca="1">IFERROR(__xludf.DUMMYFUNCTION("IMPORTRANGE(""https://docs.google.com/spreadsheets/d/1tZ0nmtGuIRCaGAMXHlQU8EpR9LOAJvyKfc4f7EFmE34/edit?usp=sharing"",""ศรีสะเกษ!L212"")"),8000)</f>
        <v>8000</v>
      </c>
      <c r="AY44" s="86">
        <f ca="1">IFERROR(__xludf.DUMMYFUNCTION("IMPORTRANGE(""https://docs.google.com/spreadsheets/d/1tZ0nmtGuIRCaGAMXHlQU8EpR9LOAJvyKfc4f7EFmE34/edit?usp=sharing"",""ศรีสะเกษ!N212"")"),5930)</f>
        <v>5930</v>
      </c>
      <c r="AZ44" s="87">
        <f t="shared" ca="1" si="93"/>
        <v>74.125</v>
      </c>
      <c r="BA44" s="86">
        <f ca="1">IFERROR(__xludf.DUMMYFUNCTION("IMPORTRANGE(""https://docs.google.com/spreadsheets/d/1tZ0nmtGuIRCaGAMXHlQU8EpR9LOAJvyKfc4f7EFmE34/edit?usp=sharing"",""ศรีสะเกษ!I214"")"),1)</f>
        <v>1</v>
      </c>
      <c r="BB44" s="86">
        <f ca="1">IFERROR(__xludf.DUMMYFUNCTION("IMPORTRANGE(""https://docs.google.com/spreadsheets/d/1tZ0nmtGuIRCaGAMXHlQU8EpR9LOAJvyKfc4f7EFmE34/edit?usp=sharing"",""ศรีสะเกษ!J214"")"),0)</f>
        <v>0</v>
      </c>
      <c r="BC44" s="87">
        <f t="shared" ca="1" si="94"/>
        <v>0</v>
      </c>
      <c r="BD44" s="86">
        <f ca="1">IFERROR(__xludf.DUMMYFUNCTION("IMPORTRANGE(""https://docs.google.com/spreadsheets/d/1tZ0nmtGuIRCaGAMXHlQU8EpR9LOAJvyKfc4f7EFmE34/edit?usp=sharing"",""ศรีสะเกษ!I215"")"),1)</f>
        <v>1</v>
      </c>
      <c r="BE44" s="86">
        <f ca="1">IFERROR(__xludf.DUMMYFUNCTION("IMPORTRANGE(""https://docs.google.com/spreadsheets/d/1tZ0nmtGuIRCaGAMXHlQU8EpR9LOAJvyKfc4f7EFmE34/edit?usp=sharing"",""ศรีสะเกษ!J215"")"),1)</f>
        <v>1</v>
      </c>
      <c r="BF44" s="87">
        <f t="shared" ca="1" si="95"/>
        <v>100</v>
      </c>
      <c r="BG44" s="86">
        <f ca="1">IFERROR(__xludf.DUMMYFUNCTION("IMPORTRANGE(""https://docs.google.com/spreadsheets/d/1tZ0nmtGuIRCaGAMXHlQU8EpR9LOAJvyKfc4f7EFmE34/edit?usp=sharing"",""ศรีสะเกษ!L218"")"),3000)</f>
        <v>3000</v>
      </c>
      <c r="BH44" s="86">
        <f ca="1">IFERROR(__xludf.DUMMYFUNCTION("IMPORTRANGE(""https://docs.google.com/spreadsheets/d/1tZ0nmtGuIRCaGAMXHlQU8EpR9LOAJvyKfc4f7EFmE34/edit?usp=sharing"",""ศรีสะเกษ!N218"")"),0)</f>
        <v>0</v>
      </c>
      <c r="BI44" s="87">
        <f t="shared" ca="1" si="96"/>
        <v>0</v>
      </c>
      <c r="BJ44" s="86">
        <f ca="1">IFERROR(__xludf.DUMMYFUNCTION("IMPORTRANGE(""https://docs.google.com/spreadsheets/d/1tZ0nmtGuIRCaGAMXHlQU8EpR9LOAJvyKfc4f7EFmE34/edit?usp=sharing"",""ศรีสะเกษ!L219"")"),3500)</f>
        <v>3500</v>
      </c>
      <c r="BK44" s="86">
        <f ca="1">IFERROR(__xludf.DUMMYFUNCTION("IMPORTRANGE(""https://docs.google.com/spreadsheets/d/1tZ0nmtGuIRCaGAMXHlQU8EpR9LOAJvyKfc4f7EFmE34/edit?usp=sharing"",""ศรีสะเกษ!N219"")"),0)</f>
        <v>0</v>
      </c>
      <c r="BL44" s="87">
        <f t="shared" ca="1" si="97"/>
        <v>0</v>
      </c>
      <c r="BM44" s="86">
        <f ca="1">IFERROR(__xludf.DUMMYFUNCTION("IMPORTRANGE(""https://docs.google.com/spreadsheets/d/1tZ0nmtGuIRCaGAMXHlQU8EpR9LOAJvyKfc4f7EFmE34/edit?usp=sharing"",""ศรีสะเกษ!L220"")"),0)</f>
        <v>0</v>
      </c>
      <c r="BN44" s="86">
        <f ca="1">IFERROR(__xludf.DUMMYFUNCTION("IMPORTRANGE(""https://docs.google.com/spreadsheets/d/1tZ0nmtGuIRCaGAMXHlQU8EpR9LOAJvyKfc4f7EFmE34/edit?usp=sharing"",""ศรีสะเกษ!N220"")"),0)</f>
        <v>0</v>
      </c>
      <c r="BO44" s="87">
        <f t="shared" ca="1" si="98"/>
        <v>0</v>
      </c>
      <c r="BP44" s="86">
        <f ca="1">IFERROR(__xludf.DUMMYFUNCTION("IMPORTRANGE(""https://docs.google.com/spreadsheets/d/1tZ0nmtGuIRCaGAMXHlQU8EpR9LOAJvyKfc4f7EFmE34/edit?usp=sharing"",""ศรีสะเกษ!I223"")"),10000)</f>
        <v>10000</v>
      </c>
      <c r="BQ44" s="86">
        <f ca="1">IFERROR(__xludf.DUMMYFUNCTION("IMPORTRANGE(""https://docs.google.com/spreadsheets/d/1tZ0nmtGuIRCaGAMXHlQU8EpR9LOAJvyKfc4f7EFmE34/edit?usp=sharing"",""ศรีสะเกษ!J223"")"),0)</f>
        <v>0</v>
      </c>
      <c r="BR44" s="87">
        <f t="shared" ca="1" si="99"/>
        <v>0</v>
      </c>
      <c r="BS44" s="86">
        <f ca="1">IFERROR(__xludf.DUMMYFUNCTION("IMPORTRANGE(""https://docs.google.com/spreadsheets/d/1tZ0nmtGuIRCaGAMXHlQU8EpR9LOAJvyKfc4f7EFmE34/edit?usp=sharing"",""ศรีสะเกษ!I224"")"),10000)</f>
        <v>10000</v>
      </c>
      <c r="BT44" s="86">
        <f ca="1">IFERROR(__xludf.DUMMYFUNCTION("IMPORTRANGE(""https://docs.google.com/spreadsheets/d/1tZ0nmtGuIRCaGAMXHlQU8EpR9LOAJvyKfc4f7EFmE34/edit?usp=sharing"",""ศรีสะเกษ!J224"")"),0)</f>
        <v>0</v>
      </c>
      <c r="BU44" s="87">
        <f t="shared" ca="1" si="100"/>
        <v>0</v>
      </c>
      <c r="BV44" s="86">
        <f ca="1">IFERROR(__xludf.DUMMYFUNCTION("IMPORTRANGE(""https://docs.google.com/spreadsheets/d/1tZ0nmtGuIRCaGAMXHlQU8EpR9LOAJvyKfc4f7EFmE34/edit?usp=sharing"",""ศรีสะเกษ!I225"")"),0)</f>
        <v>0</v>
      </c>
      <c r="BW44" s="86">
        <f ca="1">IFERROR(__xludf.DUMMYFUNCTION("IMPORTRANGE(""https://docs.google.com/spreadsheets/d/1tZ0nmtGuIRCaGAMXHlQU8EpR9LOAJvyKfc4f7EFmE34/edit?usp=sharing"",""ศรีสะเกษ!J225"")"),0)</f>
        <v>0</v>
      </c>
      <c r="BX44" s="87">
        <f t="shared" ca="1" si="101"/>
        <v>0</v>
      </c>
      <c r="BY44" s="86">
        <f ca="1">IFERROR(__xludf.DUMMYFUNCTION("IMPORTRANGE(""https://docs.google.com/spreadsheets/d/1tZ0nmtGuIRCaGAMXHlQU8EpR9LOAJvyKfc4f7EFmE34/edit?usp=sharing"",""ศรีสะเกษ!L228"")"),0)</f>
        <v>0</v>
      </c>
      <c r="BZ44" s="86">
        <f ca="1">IFERROR(__xludf.DUMMYFUNCTION("IMPORTRANGE(""https://docs.google.com/spreadsheets/d/1tZ0nmtGuIRCaGAMXHlQU8EpR9LOAJvyKfc4f7EFmE34/edit?usp=sharing"",""ศรีสะเกษ!N228"")"),0)</f>
        <v>0</v>
      </c>
      <c r="CA44" s="87">
        <f t="shared" ca="1" si="102"/>
        <v>0</v>
      </c>
      <c r="CB44" s="86">
        <f ca="1">IFERROR(__xludf.DUMMYFUNCTION("IMPORTRANGE(""https://docs.google.com/spreadsheets/d/1tZ0nmtGuIRCaGAMXHlQU8EpR9LOAJvyKfc4f7EFmE34/edit?usp=sharing"",""ศรีสะเกษ!L229"")"),0)</f>
        <v>0</v>
      </c>
      <c r="CC44" s="86">
        <f ca="1">IFERROR(__xludf.DUMMYFUNCTION("IMPORTRANGE(""https://docs.google.com/spreadsheets/d/1tZ0nmtGuIRCaGAMXHlQU8EpR9LOAJvyKfc4f7EFmE34/edit?usp=sharing"",""ศรีสะเกษ!N229"")"),0)</f>
        <v>0</v>
      </c>
      <c r="CD44" s="87">
        <f t="shared" ca="1" si="103"/>
        <v>0</v>
      </c>
      <c r="CE44" s="86">
        <f ca="1">IFERROR(__xludf.DUMMYFUNCTION("IMPORTRANGE(""https://docs.google.com/spreadsheets/d/1tZ0nmtGuIRCaGAMXHlQU8EpR9LOAJvyKfc4f7EFmE34/edit?usp=sharing"",""ศรีสะเกษ!L230"")"),0)</f>
        <v>0</v>
      </c>
      <c r="CF44" s="86">
        <f ca="1">IFERROR(__xludf.DUMMYFUNCTION("IMPORTRANGE(""https://docs.google.com/spreadsheets/d/1tZ0nmtGuIRCaGAMXHlQU8EpR9LOAJvyKfc4f7EFmE34/edit?usp=sharing"",""ศรีสะเกษ!N230"")"),0)</f>
        <v>0</v>
      </c>
      <c r="CG44" s="87">
        <f t="shared" ca="1" si="104"/>
        <v>0</v>
      </c>
      <c r="CH44" s="86">
        <f ca="1">IFERROR(__xludf.DUMMYFUNCTION("IMPORTRANGE(""https://docs.google.com/spreadsheets/d/1tZ0nmtGuIRCaGAMXHlQU8EpR9LOAJvyKfc4f7EFmE34/edit?usp=sharing"",""ศรีสะเกษ!L231"")"),0)</f>
        <v>0</v>
      </c>
      <c r="CI44" s="86">
        <f ca="1">IFERROR(__xludf.DUMMYFUNCTION("IMPORTRANGE(""https://docs.google.com/spreadsheets/d/1tZ0nmtGuIRCaGAMXHlQU8EpR9LOAJvyKfc4f7EFmE34/edit?usp=sharing"",""ศรีสะเกษ!N231"")"),0)</f>
        <v>0</v>
      </c>
      <c r="CJ44" s="87">
        <f t="shared" ca="1" si="105"/>
        <v>0</v>
      </c>
      <c r="CK44" s="86">
        <f ca="1">IFERROR(__xludf.DUMMYFUNCTION("IMPORTRANGE(""https://docs.google.com/spreadsheets/d/1tZ0nmtGuIRCaGAMXHlQU8EpR9LOAJvyKfc4f7EFmE34/edit?usp=sharing"",""ศรีสะเกษ!I233"")"),0)</f>
        <v>0</v>
      </c>
      <c r="CL44" s="86">
        <f ca="1">IFERROR(__xludf.DUMMYFUNCTION("IMPORTRANGE(""https://docs.google.com/spreadsheets/d/1tZ0nmtGuIRCaGAMXHlQU8EpR9LOAJvyKfc4f7EFmE34/edit?usp=sharing"",""ศรีสะเกษ!J233"")"),0)</f>
        <v>0</v>
      </c>
      <c r="CM44" s="87">
        <f t="shared" ca="1" si="106"/>
        <v>0</v>
      </c>
      <c r="CN44" s="86">
        <f ca="1">IFERROR(__xludf.DUMMYFUNCTION("IMPORTRANGE(""https://docs.google.com/spreadsheets/d/1tZ0nmtGuIRCaGAMXHlQU8EpR9LOAJvyKfc4f7EFmE34/edit?usp=sharing"",""ศรีสะเกษ!J235"")"),0)</f>
        <v>0</v>
      </c>
      <c r="CO44" s="86">
        <f ca="1">IFERROR(__xludf.DUMMYFUNCTION("IMPORTRANGE(""https://docs.google.com/spreadsheets/d/1tZ0nmtGuIRCaGAMXHlQU8EpR9LOAJvyKfc4f7EFmE34/edit?usp=sharing"",""ศรีสะเกษ!J236"")"),0)</f>
        <v>0</v>
      </c>
    </row>
    <row r="45" spans="1:93" ht="21" customHeight="1" x14ac:dyDescent="0.3">
      <c r="A45" s="78">
        <v>14</v>
      </c>
      <c r="B45" s="79" t="s">
        <v>67</v>
      </c>
      <c r="C45" s="80">
        <f t="shared" ca="1" si="0"/>
        <v>571200</v>
      </c>
      <c r="D45" s="81">
        <f t="shared" ca="1" si="160"/>
        <v>571200</v>
      </c>
      <c r="E45" s="82">
        <f ca="1">IFERROR(__xludf.DUMMYFUNCTION("IMPORTRANGE(""https://docs.google.com/spreadsheets/d/1MeEWN-I1oV_STSDYn1IFDPWt_1FKiwhDph83XaGc0o0/edit?usp=sharing"",""งบพรบ!CP45"")"),175500)</f>
        <v>175500</v>
      </c>
      <c r="F45" s="82">
        <f ca="1">IFERROR(__xludf.DUMMYFUNCTION("IMPORTRANGE(""https://docs.google.com/spreadsheets/d/1MeEWN-I1oV_STSDYn1IFDPWt_1FKiwhDph83XaGc0o0/edit?usp=sharing"",""งบพรบ!CQ45"")"),395700)</f>
        <v>395700</v>
      </c>
      <c r="G45" s="82">
        <f ca="1">IFERROR(__xludf.DUMMYFUNCTION("IMPORTRANGE(""https://docs.google.com/spreadsheets/d/1MeEWN-I1oV_STSDYn1IFDPWt_1FKiwhDph83XaGc0o0/edit?usp=sharing"",""งบพรบ!CR45"")"),0)</f>
        <v>0</v>
      </c>
      <c r="H45" s="82">
        <f ca="1">IFERROR(__xludf.DUMMYFUNCTION("IMPORTRANGE(""https://docs.google.com/spreadsheets/d/1MeEWN-I1oV_STSDYn1IFDPWt_1FKiwhDph83XaGc0o0/edit?usp=sharing"",""งบพรบ!CT45"")"),469725)</f>
        <v>469725</v>
      </c>
      <c r="I45" s="82">
        <f ca="1">IFERROR(__xludf.DUMMYFUNCTION("IMPORTRANGE(""https://docs.google.com/spreadsheets/d/1MeEWN-I1oV_STSDYn1IFDPWt_1FKiwhDph83XaGc0o0/edit?usp=sharing"",""งบพรบ!CU45"")"),0)</f>
        <v>0</v>
      </c>
      <c r="J45" s="82">
        <f t="shared" ca="1" si="3"/>
        <v>125036.16</v>
      </c>
      <c r="K45" s="83">
        <f t="shared" ca="1" si="4"/>
        <v>21.890084033613444</v>
      </c>
      <c r="L45" s="82">
        <f ca="1">IFERROR(__xludf.DUMMYFUNCTION("IMPORTRANGE(""https://docs.google.com/spreadsheets/d/1MeEWN-I1oV_STSDYn1IFDPWt_1FKiwhDph83XaGc0o0/edit?usp=sharing"",""งบพรบ!CV45"")"),125036.16)</f>
        <v>125036.16</v>
      </c>
      <c r="M45" s="84">
        <f t="shared" ca="1" si="5"/>
        <v>21.890084033613444</v>
      </c>
      <c r="N45" s="84">
        <f t="shared" ca="1" si="6"/>
        <v>26.619013252434936</v>
      </c>
      <c r="O45" s="85">
        <f ca="1">IFERROR(__xludf.DUMMYFUNCTION("IMPORTRANGE(""https://docs.google.com/spreadsheets/d/1MeEWN-I1oV_STSDYn1IFDPWt_1FKiwhDph83XaGc0o0/edit?usp=sharing"",""งบพรบ!CW45"")"),0)</f>
        <v>0</v>
      </c>
      <c r="P45" s="85">
        <f t="shared" ca="1" si="108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IFERROR(__xludf.DUMMYFUNCTION("IMPORTRANGE(""https://docs.google.com/spreadsheets/d/1QC8psz9w0f9IVE9Xuc2FT_btkaOzZbbUSgYObpBuetM/edit?usp=sharing"",""สกลนคร!L191"")"),6000)</f>
        <v>6000</v>
      </c>
      <c r="S45" s="86">
        <f ca="1">IFERROR(__xludf.DUMMYFUNCTION("IMPORTRANGE(""https://docs.google.com/spreadsheets/d/1QC8psz9w0f9IVE9Xuc2FT_btkaOzZbbUSgYObpBuetM/edit?usp=sharing"",""สกลนคร!N191"")"),0)</f>
        <v>0</v>
      </c>
      <c r="T45" s="87">
        <f t="shared" ca="1" si="84"/>
        <v>0</v>
      </c>
      <c r="U45" s="86">
        <f ca="1">IFERROR(__xludf.DUMMYFUNCTION("IMPORTRANGE(""https://docs.google.com/spreadsheets/d/1QC8psz9w0f9IVE9Xuc2FT_btkaOzZbbUSgYObpBuetM/edit?usp=sharing"",""สกลนคร!I193"")"),4)</f>
        <v>4</v>
      </c>
      <c r="V45" s="86">
        <f ca="1">IFERROR(__xludf.DUMMYFUNCTION("IMPORTRANGE(""https://docs.google.com/spreadsheets/d/1QC8psz9w0f9IVE9Xuc2FT_btkaOzZbbUSgYObpBuetM/edit?usp=sharing"",""สกลนคร!J193"")"),1)</f>
        <v>1</v>
      </c>
      <c r="W45" s="87">
        <f t="shared" ca="1" si="85"/>
        <v>25</v>
      </c>
      <c r="X45" s="86">
        <f t="shared" ca="1" si="161"/>
        <v>0</v>
      </c>
      <c r="Y45" s="86">
        <f ca="1">IFERROR(__xludf.DUMMYFUNCTION("IMPORTRANGE(""https://docs.google.com/spreadsheets/d/1QC8psz9w0f9IVE9Xuc2FT_btkaOzZbbUSgYObpBuetM/edit?usp=sharing"",""สกลนคร!J195"")"),0)</f>
        <v>0</v>
      </c>
      <c r="Z45" s="86">
        <f ca="1">IFERROR(__xludf.DUMMYFUNCTION("IMPORTRANGE(""https://docs.google.com/spreadsheets/d/1QC8psz9w0f9IVE9Xuc2FT_btkaOzZbbUSgYObpBuetM/edit?usp=sharing"",""สกลนคร!J196"")"),0)</f>
        <v>0</v>
      </c>
      <c r="AA45" s="86">
        <f ca="1">IFERROR(__xludf.DUMMYFUNCTION("IMPORTRANGE(""https://docs.google.com/spreadsheets/d/1QC8psz9w0f9IVE9Xuc2FT_btkaOzZbbUSgYObpBuetM/edit?usp=sharing"",""สกลนคร!L199"")"),3000)</f>
        <v>3000</v>
      </c>
      <c r="AB45" s="86">
        <f ca="1">IFERROR(__xludf.DUMMYFUNCTION("IMPORTRANGE(""https://docs.google.com/spreadsheets/d/1QC8psz9w0f9IVE9Xuc2FT_btkaOzZbbUSgYObpBuetM/edit?usp=sharing"",""สกลนคร!N199"")"),0)</f>
        <v>0</v>
      </c>
      <c r="AC45" s="87">
        <f t="shared" ca="1" si="86"/>
        <v>0</v>
      </c>
      <c r="AD45" s="86">
        <f ca="1">IFERROR(__xludf.DUMMYFUNCTION("IMPORTRANGE(""https://docs.google.com/spreadsheets/d/1QC8psz9w0f9IVE9Xuc2FT_btkaOzZbbUSgYObpBuetM/edit?usp=sharing"",""สกลนคร!L200"")"),24000)</f>
        <v>24000</v>
      </c>
      <c r="AE45" s="86">
        <f ca="1">IFERROR(__xludf.DUMMYFUNCTION("IMPORTRANGE(""https://docs.google.com/spreadsheets/d/1QC8psz9w0f9IVE9Xuc2FT_btkaOzZbbUSgYObpBuetM/edit?usp=sharing"",""สกลนคร!N200"")"),0)</f>
        <v>0</v>
      </c>
      <c r="AF45" s="87">
        <f t="shared" ca="1" si="87"/>
        <v>0</v>
      </c>
      <c r="AG45" s="86">
        <f ca="1">IFERROR(__xludf.DUMMYFUNCTION("IMPORTRANGE(""https://docs.google.com/spreadsheets/d/1QC8psz9w0f9IVE9Xuc2FT_btkaOzZbbUSgYObpBuetM/edit?usp=sharing"",""สกลนคร!L201"")"),12000)</f>
        <v>12000</v>
      </c>
      <c r="AH45" s="86">
        <f ca="1">IFERROR(__xludf.DUMMYFUNCTION("IMPORTRANGE(""https://docs.google.com/spreadsheets/d/1QC8psz9w0f9IVE9Xuc2FT_btkaOzZbbUSgYObpBuetM/edit?usp=sharing"",""สกลนคร!N201"")"),0)</f>
        <v>0</v>
      </c>
      <c r="AI45" s="87">
        <f t="shared" ca="1" si="88"/>
        <v>0</v>
      </c>
      <c r="AJ45" s="86">
        <f ca="1">IFERROR(__xludf.DUMMYFUNCTION("IMPORTRANGE(""https://docs.google.com/spreadsheets/d/1QC8psz9w0f9IVE9Xuc2FT_btkaOzZbbUSgYObpBuetM/edit?usp=sharing"",""สกลนคร!L202"")"),5000)</f>
        <v>5000</v>
      </c>
      <c r="AK45" s="86">
        <f ca="1">IFERROR(__xludf.DUMMYFUNCTION("IMPORTRANGE(""https://docs.google.com/spreadsheets/d/1QC8psz9w0f9IVE9Xuc2FT_btkaOzZbbUSgYObpBuetM/edit?usp=sharing"",""สกลนคร!N202"")"),0)</f>
        <v>0</v>
      </c>
      <c r="AL45" s="87">
        <f t="shared" ca="1" si="89"/>
        <v>0</v>
      </c>
      <c r="AM45" s="86">
        <f ca="1">IFERROR(__xludf.DUMMYFUNCTION("IMPORTRANGE(""https://docs.google.com/spreadsheets/d/1QC8psz9w0f9IVE9Xuc2FT_btkaOzZbbUSgYObpBuetM/edit?usp=sharing"",""สกลนคร!I204"")"),3)</f>
        <v>3</v>
      </c>
      <c r="AN45" s="86">
        <f ca="1">IFERROR(__xludf.DUMMYFUNCTION("IMPORTRANGE(""https://docs.google.com/spreadsheets/d/1QC8psz9w0f9IVE9Xuc2FT_btkaOzZbbUSgYObpBuetM/edit?usp=sharing"",""สกลนคร!J204"")"),0)</f>
        <v>0</v>
      </c>
      <c r="AO45" s="87">
        <f t="shared" ca="1" si="90"/>
        <v>0</v>
      </c>
      <c r="AP45" s="298">
        <f ca="1">IFERROR(__xludf.DUMMYFUNCTION("IMPORTRANGE(""https://docs.google.com/spreadsheets/d/1QC8psz9w0f9IVE9Xuc2FT_btkaOzZbbUSgYObpBuetM/edit?usp=sharing"",""สกลนคร!J206"")"),0)</f>
        <v>0</v>
      </c>
      <c r="AQ45" s="298">
        <f ca="1">IFERROR(__xludf.DUMMYFUNCTION("IMPORTRANGE(""https://docs.google.com/spreadsheets/d/1QC8psz9w0f9IVE9Xuc2FT_btkaOzZbbUSgYObpBuetM/edit?usp=sharing"",""สกลนคร!J207"")"),0)</f>
        <v>0</v>
      </c>
      <c r="AR45" s="86">
        <f ca="1">IFERROR(__xludf.DUMMYFUNCTION("IMPORTRANGE(""https://docs.google.com/spreadsheets/d/1QC8psz9w0f9IVE9Xuc2FT_btkaOzZbbUSgYObpBuetM/edit?usp=sharing"",""สกลนคร!L210"")"),0)</f>
        <v>0</v>
      </c>
      <c r="AS45" s="86">
        <f ca="1">IFERROR(__xludf.DUMMYFUNCTION("IMPORTRANGE(""https://docs.google.com/spreadsheets/d/1QC8psz9w0f9IVE9Xuc2FT_btkaOzZbbUSgYObpBuetM/edit?usp=sharing"",""สกลนคร!N210"")"),0)</f>
        <v>0</v>
      </c>
      <c r="AT45" s="87">
        <f t="shared" ca="1" si="91"/>
        <v>0</v>
      </c>
      <c r="AU45" s="86">
        <f ca="1">IFERROR(__xludf.DUMMYFUNCTION("IMPORTRANGE(""https://docs.google.com/spreadsheets/d/1QC8psz9w0f9IVE9Xuc2FT_btkaOzZbbUSgYObpBuetM/edit?usp=sharing"",""สกลนคร!L211"")"),0)</f>
        <v>0</v>
      </c>
      <c r="AV45" s="86">
        <f ca="1">IFERROR(__xludf.DUMMYFUNCTION("IMPORTRANGE(""https://docs.google.com/spreadsheets/d/1QC8psz9w0f9IVE9Xuc2FT_btkaOzZbbUSgYObpBuetM/edit?usp=sharing"",""สกลนคร!N211"")"),0)</f>
        <v>0</v>
      </c>
      <c r="AW45" s="87">
        <f t="shared" ca="1" si="92"/>
        <v>0</v>
      </c>
      <c r="AX45" s="86">
        <f ca="1">IFERROR(__xludf.DUMMYFUNCTION("IMPORTRANGE(""https://docs.google.com/spreadsheets/d/1QC8psz9w0f9IVE9Xuc2FT_btkaOzZbbUSgYObpBuetM/edit?usp=sharing"",""สกลนคร!L212"")"),0)</f>
        <v>0</v>
      </c>
      <c r="AY45" s="86">
        <f ca="1">IFERROR(__xludf.DUMMYFUNCTION("IMPORTRANGE(""https://docs.google.com/spreadsheets/d/1QC8psz9w0f9IVE9Xuc2FT_btkaOzZbbUSgYObpBuetM/edit?usp=sharing"",""สกลนคร!N212"")"),0)</f>
        <v>0</v>
      </c>
      <c r="AZ45" s="87">
        <f t="shared" ca="1" si="93"/>
        <v>0</v>
      </c>
      <c r="BA45" s="86">
        <f ca="1">IFERROR(__xludf.DUMMYFUNCTION("IMPORTRANGE(""https://docs.google.com/spreadsheets/d/1QC8psz9w0f9IVE9Xuc2FT_btkaOzZbbUSgYObpBuetM/edit?usp=sharing"",""สกลนคร!I214"")"),0)</f>
        <v>0</v>
      </c>
      <c r="BB45" s="86">
        <f ca="1">IFERROR(__xludf.DUMMYFUNCTION("IMPORTRANGE(""https://docs.google.com/spreadsheets/d/1QC8psz9w0f9IVE9Xuc2FT_btkaOzZbbUSgYObpBuetM/edit?usp=sharing"",""สกลนคร!J214"")"),0)</f>
        <v>0</v>
      </c>
      <c r="BC45" s="87">
        <f t="shared" ca="1" si="94"/>
        <v>0</v>
      </c>
      <c r="BD45" s="86">
        <f ca="1">IFERROR(__xludf.DUMMYFUNCTION("IMPORTRANGE(""https://docs.google.com/spreadsheets/d/1QC8psz9w0f9IVE9Xuc2FT_btkaOzZbbUSgYObpBuetM/edit?usp=sharing"",""สกลนคร!I215"")"),0)</f>
        <v>0</v>
      </c>
      <c r="BE45" s="86">
        <f ca="1">IFERROR(__xludf.DUMMYFUNCTION("IMPORTRANGE(""https://docs.google.com/spreadsheets/d/1QC8psz9w0f9IVE9Xuc2FT_btkaOzZbbUSgYObpBuetM/edit?usp=sharing"",""สกลนคร!J215"")"),0)</f>
        <v>0</v>
      </c>
      <c r="BF45" s="87">
        <f t="shared" ca="1" si="95"/>
        <v>0</v>
      </c>
      <c r="BG45" s="86">
        <f ca="1">IFERROR(__xludf.DUMMYFUNCTION("IMPORTRANGE(""https://docs.google.com/spreadsheets/d/1QC8psz9w0f9IVE9Xuc2FT_btkaOzZbbUSgYObpBuetM/edit?usp=sharing"",""สกลนคร!L218"")"),3000)</f>
        <v>3000</v>
      </c>
      <c r="BH45" s="86">
        <f ca="1">IFERROR(__xludf.DUMMYFUNCTION("IMPORTRANGE(""https://docs.google.com/spreadsheets/d/1QC8psz9w0f9IVE9Xuc2FT_btkaOzZbbUSgYObpBuetM/edit?usp=sharing"",""สกลนคร!N218"")"),0)</f>
        <v>0</v>
      </c>
      <c r="BI45" s="87">
        <f t="shared" ca="1" si="96"/>
        <v>0</v>
      </c>
      <c r="BJ45" s="86">
        <f ca="1">IFERROR(__xludf.DUMMYFUNCTION("IMPORTRANGE(""https://docs.google.com/spreadsheets/d/1QC8psz9w0f9IVE9Xuc2FT_btkaOzZbbUSgYObpBuetM/edit?usp=sharing"",""สกลนคร!L219"")"),4100)</f>
        <v>4100</v>
      </c>
      <c r="BK45" s="86">
        <f ca="1">IFERROR(__xludf.DUMMYFUNCTION("IMPORTRANGE(""https://docs.google.com/spreadsheets/d/1QC8psz9w0f9IVE9Xuc2FT_btkaOzZbbUSgYObpBuetM/edit?usp=sharing"",""สกลนคร!N219"")"),0)</f>
        <v>0</v>
      </c>
      <c r="BL45" s="87">
        <f t="shared" ca="1" si="97"/>
        <v>0</v>
      </c>
      <c r="BM45" s="86">
        <f ca="1">IFERROR(__xludf.DUMMYFUNCTION("IMPORTRANGE(""https://docs.google.com/spreadsheets/d/1QC8psz9w0f9IVE9Xuc2FT_btkaOzZbbUSgYObpBuetM/edit?usp=sharing"",""สกลนคร!L220"")"),0)</f>
        <v>0</v>
      </c>
      <c r="BN45" s="86">
        <f ca="1">IFERROR(__xludf.DUMMYFUNCTION("IMPORTRANGE(""https://docs.google.com/spreadsheets/d/1QC8psz9w0f9IVE9Xuc2FT_btkaOzZbbUSgYObpBuetM/edit?usp=sharing"",""สกลนคร!N220"")"),0)</f>
        <v>0</v>
      </c>
      <c r="BO45" s="87">
        <f t="shared" ca="1" si="98"/>
        <v>0</v>
      </c>
      <c r="BP45" s="86">
        <f ca="1">IFERROR(__xludf.DUMMYFUNCTION("IMPORTRANGE(""https://docs.google.com/spreadsheets/d/1QC8psz9w0f9IVE9Xuc2FT_btkaOzZbbUSgYObpBuetM/edit?usp=sharing"",""สกลนคร!I223"")"),12800)</f>
        <v>12800</v>
      </c>
      <c r="BQ45" s="86">
        <f ca="1">IFERROR(__xludf.DUMMYFUNCTION("IMPORTRANGE(""https://docs.google.com/spreadsheets/d/1QC8psz9w0f9IVE9Xuc2FT_btkaOzZbbUSgYObpBuetM/edit?usp=sharing"",""สกลนคร!J223"")"),0)</f>
        <v>0</v>
      </c>
      <c r="BR45" s="87">
        <f t="shared" ca="1" si="99"/>
        <v>0</v>
      </c>
      <c r="BS45" s="86">
        <f ca="1">IFERROR(__xludf.DUMMYFUNCTION("IMPORTRANGE(""https://docs.google.com/spreadsheets/d/1QC8psz9w0f9IVE9Xuc2FT_btkaOzZbbUSgYObpBuetM/edit?usp=sharing"",""สกลนคร!I224"")"),12800)</f>
        <v>12800</v>
      </c>
      <c r="BT45" s="86">
        <f ca="1">IFERROR(__xludf.DUMMYFUNCTION("IMPORTRANGE(""https://docs.google.com/spreadsheets/d/1QC8psz9w0f9IVE9Xuc2FT_btkaOzZbbUSgYObpBuetM/edit?usp=sharing"",""สกลนคร!J224"")"),0)</f>
        <v>0</v>
      </c>
      <c r="BU45" s="87">
        <f t="shared" ca="1" si="100"/>
        <v>0</v>
      </c>
      <c r="BV45" s="86">
        <f ca="1">IFERROR(__xludf.DUMMYFUNCTION("IMPORTRANGE(""https://docs.google.com/spreadsheets/d/1QC8psz9w0f9IVE9Xuc2FT_btkaOzZbbUSgYObpBuetM/edit?usp=sharing"",""สกลนคร!I225"")"),0)</f>
        <v>0</v>
      </c>
      <c r="BW45" s="86">
        <f ca="1">IFERROR(__xludf.DUMMYFUNCTION("IMPORTRANGE(""https://docs.google.com/spreadsheets/d/1QC8psz9w0f9IVE9Xuc2FT_btkaOzZbbUSgYObpBuetM/edit?usp=sharing"",""สกลนคร!J225"")"),0)</f>
        <v>0</v>
      </c>
      <c r="BX45" s="87">
        <f t="shared" ca="1" si="101"/>
        <v>0</v>
      </c>
      <c r="BY45" s="86">
        <f ca="1">IFERROR(__xludf.DUMMYFUNCTION("IMPORTRANGE(""https://docs.google.com/spreadsheets/d/1QC8psz9w0f9IVE9Xuc2FT_btkaOzZbbUSgYObpBuetM/edit?usp=sharing"",""สกลนคร!L228"")"),163000)</f>
        <v>163000</v>
      </c>
      <c r="BZ45" s="86">
        <f ca="1">IFERROR(__xludf.DUMMYFUNCTION("IMPORTRANGE(""https://docs.google.com/spreadsheets/d/1QC8psz9w0f9IVE9Xuc2FT_btkaOzZbbUSgYObpBuetM/edit?usp=sharing"",""สกลนคร!N228"")"),30080)</f>
        <v>30080</v>
      </c>
      <c r="CA45" s="87">
        <f t="shared" ca="1" si="102"/>
        <v>18.45398773006135</v>
      </c>
      <c r="CB45" s="86">
        <f ca="1">IFERROR(__xludf.DUMMYFUNCTION("IMPORTRANGE(""https://docs.google.com/spreadsheets/d/1QC8psz9w0f9IVE9Xuc2FT_btkaOzZbbUSgYObpBuetM/edit?usp=sharing"",""สกลนคร!L229"")"),145600)</f>
        <v>145600</v>
      </c>
      <c r="CC45" s="86">
        <f ca="1">IFERROR(__xludf.DUMMYFUNCTION("IMPORTRANGE(""https://docs.google.com/spreadsheets/d/1QC8psz9w0f9IVE9Xuc2FT_btkaOzZbbUSgYObpBuetM/edit?usp=sharing"",""สกลนคร!N229"")"),0)</f>
        <v>0</v>
      </c>
      <c r="CD45" s="87">
        <f t="shared" ca="1" si="103"/>
        <v>0</v>
      </c>
      <c r="CE45" s="86">
        <f ca="1">IFERROR(__xludf.DUMMYFUNCTION("IMPORTRANGE(""https://docs.google.com/spreadsheets/d/1QC8psz9w0f9IVE9Xuc2FT_btkaOzZbbUSgYObpBuetM/edit?usp=sharing"",""สกลนคร!L230"")"),20000)</f>
        <v>20000</v>
      </c>
      <c r="CF45" s="86">
        <f ca="1">IFERROR(__xludf.DUMMYFUNCTION("IMPORTRANGE(""https://docs.google.com/spreadsheets/d/1QC8psz9w0f9IVE9Xuc2FT_btkaOzZbbUSgYObpBuetM/edit?usp=sharing"",""สกลนคร!N230"")"),0)</f>
        <v>0</v>
      </c>
      <c r="CG45" s="87">
        <f t="shared" ca="1" si="104"/>
        <v>0</v>
      </c>
      <c r="CH45" s="86">
        <f ca="1">IFERROR(__xludf.DUMMYFUNCTION("IMPORTRANGE(""https://docs.google.com/spreadsheets/d/1QC8psz9w0f9IVE9Xuc2FT_btkaOzZbbUSgYObpBuetM/edit?usp=sharing"",""สกลนคร!L231"")"),10000)</f>
        <v>10000</v>
      </c>
      <c r="CI45" s="86">
        <f ca="1">IFERROR(__xludf.DUMMYFUNCTION("IMPORTRANGE(""https://docs.google.com/spreadsheets/d/1QC8psz9w0f9IVE9Xuc2FT_btkaOzZbbUSgYObpBuetM/edit?usp=sharing"",""สกลนคร!N231"")"),0)</f>
        <v>0</v>
      </c>
      <c r="CJ45" s="87">
        <f t="shared" ca="1" si="105"/>
        <v>0</v>
      </c>
      <c r="CK45" s="86">
        <f ca="1">IFERROR(__xludf.DUMMYFUNCTION("IMPORTRANGE(""https://docs.google.com/spreadsheets/d/1QC8psz9w0f9IVE9Xuc2FT_btkaOzZbbUSgYObpBuetM/edit?usp=sharing"",""สกลนคร!I233"")"),40)</f>
        <v>40</v>
      </c>
      <c r="CL45" s="86">
        <f ca="1">IFERROR(__xludf.DUMMYFUNCTION("IMPORTRANGE(""https://docs.google.com/spreadsheets/d/1QC8psz9w0f9IVE9Xuc2FT_btkaOzZbbUSgYObpBuetM/edit?usp=sharing"",""สกลนคร!J233"")"),40)</f>
        <v>40</v>
      </c>
      <c r="CM45" s="87">
        <f t="shared" ca="1" si="106"/>
        <v>100</v>
      </c>
      <c r="CN45" s="86">
        <f ca="1">IFERROR(__xludf.DUMMYFUNCTION("IMPORTRANGE(""https://docs.google.com/spreadsheets/d/1QC8psz9w0f9IVE9Xuc2FT_btkaOzZbbUSgYObpBuetM/edit?usp=sharing"",""สกลนคร!J235"")"),0)</f>
        <v>0</v>
      </c>
      <c r="CO45" s="86">
        <f ca="1">IFERROR(__xludf.DUMMYFUNCTION("IMPORTRANGE(""https://docs.google.com/spreadsheets/d/1QC8psz9w0f9IVE9Xuc2FT_btkaOzZbbUSgYObpBuetM/edit?usp=sharing"",""สกลนคร!J236"")"),0)</f>
        <v>0</v>
      </c>
    </row>
    <row r="46" spans="1:93" ht="21" customHeight="1" x14ac:dyDescent="0.3">
      <c r="A46" s="78">
        <v>15</v>
      </c>
      <c r="B46" s="79" t="s">
        <v>68</v>
      </c>
      <c r="C46" s="80">
        <f t="shared" ca="1" si="0"/>
        <v>108400</v>
      </c>
      <c r="D46" s="81">
        <f t="shared" ca="1" si="160"/>
        <v>108400</v>
      </c>
      <c r="E46" s="82">
        <f ca="1">IFERROR(__xludf.DUMMYFUNCTION("IMPORTRANGE(""https://docs.google.com/spreadsheets/d/1MeEWN-I1oV_STSDYn1IFDPWt_1FKiwhDph83XaGc0o0/edit?usp=sharing"",""งบพรบ!CP46"")"),0)</f>
        <v>0</v>
      </c>
      <c r="F46" s="82">
        <f ca="1">IFERROR(__xludf.DUMMYFUNCTION("IMPORTRANGE(""https://docs.google.com/spreadsheets/d/1MeEWN-I1oV_STSDYn1IFDPWt_1FKiwhDph83XaGc0o0/edit?usp=sharing"",""งบพรบ!CQ46"")"),108400)</f>
        <v>108400</v>
      </c>
      <c r="G46" s="82">
        <f ca="1">IFERROR(__xludf.DUMMYFUNCTION("IMPORTRANGE(""https://docs.google.com/spreadsheets/d/1MeEWN-I1oV_STSDYn1IFDPWt_1FKiwhDph83XaGc0o0/edit?usp=sharing"",""งบพรบ!CR46"")"),0)</f>
        <v>0</v>
      </c>
      <c r="H46" s="82">
        <f ca="1">IFERROR(__xludf.DUMMYFUNCTION("IMPORTRANGE(""https://docs.google.com/spreadsheets/d/1MeEWN-I1oV_STSDYn1IFDPWt_1FKiwhDph83XaGc0o0/edit?usp=sharing"",""งบพรบ!CT46"")"),102500)</f>
        <v>102500</v>
      </c>
      <c r="I46" s="82">
        <f ca="1">IFERROR(__xludf.DUMMYFUNCTION("IMPORTRANGE(""https://docs.google.com/spreadsheets/d/1MeEWN-I1oV_STSDYn1IFDPWt_1FKiwhDph83XaGc0o0/edit?usp=sharing"",""งบพรบ!CU46"")"),0)</f>
        <v>0</v>
      </c>
      <c r="J46" s="82">
        <f t="shared" ca="1" si="3"/>
        <v>49989.25</v>
      </c>
      <c r="K46" s="83">
        <f t="shared" ca="1" si="4"/>
        <v>46.115544280442805</v>
      </c>
      <c r="L46" s="82">
        <f ca="1">IFERROR(__xludf.DUMMYFUNCTION("IMPORTRANGE(""https://docs.google.com/spreadsheets/d/1MeEWN-I1oV_STSDYn1IFDPWt_1FKiwhDph83XaGc0o0/edit?usp=sharing"",""งบพรบ!CV46"")"),49989.25)</f>
        <v>49989.25</v>
      </c>
      <c r="M46" s="84">
        <f t="shared" ca="1" si="5"/>
        <v>46.115544280442805</v>
      </c>
      <c r="N46" s="84">
        <f t="shared" ca="1" si="6"/>
        <v>48.77</v>
      </c>
      <c r="O46" s="85">
        <f ca="1">IFERROR(__xludf.DUMMYFUNCTION("IMPORTRANGE(""https://docs.google.com/spreadsheets/d/1MeEWN-I1oV_STSDYn1IFDPWt_1FKiwhDph83XaGc0o0/edit?usp=sharing"",""งบพรบ!CW46"")"),0)</f>
        <v>0</v>
      </c>
      <c r="P46" s="85">
        <f t="shared" ca="1" si="108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IFERROR(__xludf.DUMMYFUNCTION("IMPORTRANGE(""https://docs.google.com/spreadsheets/d/1wPdvRbu02d33MYVlbsCnyTiZpefEBs9NNktAnT1HZvw/edit?usp=sharing"",""สุรินทร์!L191"")"),6000)</f>
        <v>6000</v>
      </c>
      <c r="S46" s="86">
        <f ca="1">IFERROR(__xludf.DUMMYFUNCTION("IMPORTRANGE(""https://docs.google.com/spreadsheets/d/1wPdvRbu02d33MYVlbsCnyTiZpefEBs9NNktAnT1HZvw/edit?usp=sharing"",""สุรินทร์!N191"")"),1000)</f>
        <v>1000</v>
      </c>
      <c r="T46" s="87">
        <f t="shared" ca="1" si="84"/>
        <v>16.666666666666668</v>
      </c>
      <c r="U46" s="86">
        <f ca="1">IFERROR(__xludf.DUMMYFUNCTION("IMPORTRANGE(""https://docs.google.com/spreadsheets/d/1wPdvRbu02d33MYVlbsCnyTiZpefEBs9NNktAnT1HZvw/edit?usp=sharing"",""สุรินทร์!I193"")"),4)</f>
        <v>4</v>
      </c>
      <c r="V46" s="86">
        <f ca="1">IFERROR(__xludf.DUMMYFUNCTION("IMPORTRANGE(""https://docs.google.com/spreadsheets/d/1wPdvRbu02d33MYVlbsCnyTiZpefEBs9NNktAnT1HZvw/edit?usp=sharing"",""สุรินทร์!J193"")"),2)</f>
        <v>2</v>
      </c>
      <c r="W46" s="87">
        <f t="shared" ca="1" si="85"/>
        <v>50</v>
      </c>
      <c r="X46" s="86">
        <f t="shared" ca="1" si="161"/>
        <v>46</v>
      </c>
      <c r="Y46" s="86">
        <f ca="1">IFERROR(__xludf.DUMMYFUNCTION("IMPORTRANGE(""https://docs.google.com/spreadsheets/d/1wPdvRbu02d33MYVlbsCnyTiZpefEBs9NNktAnT1HZvw/edit?usp=sharing"",""สุรินทร์!J195"")"),46)</f>
        <v>46</v>
      </c>
      <c r="Z46" s="86">
        <f ca="1">IFERROR(__xludf.DUMMYFUNCTION("IMPORTRANGE(""https://docs.google.com/spreadsheets/d/1wPdvRbu02d33MYVlbsCnyTiZpefEBs9NNktAnT1HZvw/edit?usp=sharing"",""สุรินทร์!J196"")"),0)</f>
        <v>0</v>
      </c>
      <c r="AA46" s="86">
        <f ca="1">IFERROR(__xludf.DUMMYFUNCTION("IMPORTRANGE(""https://docs.google.com/spreadsheets/d/1wPdvRbu02d33MYVlbsCnyTiZpefEBs9NNktAnT1HZvw/edit?usp=sharing"",""สุรินทร์!L199"")"),3000)</f>
        <v>3000</v>
      </c>
      <c r="AB46" s="86">
        <f ca="1">IFERROR(__xludf.DUMMYFUNCTION("IMPORTRANGE(""https://docs.google.com/spreadsheets/d/1wPdvRbu02d33MYVlbsCnyTiZpefEBs9NNktAnT1HZvw/edit?usp=sharing"",""สุรินทร์!N199"")"),0)</f>
        <v>0</v>
      </c>
      <c r="AC46" s="87">
        <f t="shared" ca="1" si="86"/>
        <v>0</v>
      </c>
      <c r="AD46" s="86">
        <f ca="1">IFERROR(__xludf.DUMMYFUNCTION("IMPORTRANGE(""https://docs.google.com/spreadsheets/d/1wPdvRbu02d33MYVlbsCnyTiZpefEBs9NNktAnT1HZvw/edit?usp=sharing"",""สุรินทร์!L200"")"),24000)</f>
        <v>24000</v>
      </c>
      <c r="AE46" s="86">
        <f ca="1">IFERROR(__xludf.DUMMYFUNCTION("IMPORTRANGE(""https://docs.google.com/spreadsheets/d/1wPdvRbu02d33MYVlbsCnyTiZpefEBs9NNktAnT1HZvw/edit?usp=sharing"",""สุรินทร์!N200"")"),23834)</f>
        <v>23834</v>
      </c>
      <c r="AF46" s="87">
        <f t="shared" ca="1" si="87"/>
        <v>99.308333333333337</v>
      </c>
      <c r="AG46" s="86">
        <f ca="1">IFERROR(__xludf.DUMMYFUNCTION("IMPORTRANGE(""https://docs.google.com/spreadsheets/d/1wPdvRbu02d33MYVlbsCnyTiZpefEBs9NNktAnT1HZvw/edit?usp=sharing"",""สุรินทร์!L201"")"),12000)</f>
        <v>12000</v>
      </c>
      <c r="AH46" s="86">
        <f ca="1">IFERROR(__xludf.DUMMYFUNCTION("IMPORTRANGE(""https://docs.google.com/spreadsheets/d/1wPdvRbu02d33MYVlbsCnyTiZpefEBs9NNktAnT1HZvw/edit?usp=sharing"",""สุรินทร์!N201"")"),0)</f>
        <v>0</v>
      </c>
      <c r="AI46" s="87">
        <f t="shared" ca="1" si="88"/>
        <v>0</v>
      </c>
      <c r="AJ46" s="86">
        <f ca="1">IFERROR(__xludf.DUMMYFUNCTION("IMPORTRANGE(""https://docs.google.com/spreadsheets/d/1wPdvRbu02d33MYVlbsCnyTiZpefEBs9NNktAnT1HZvw/edit?usp=sharing"",""สุรินทร์!L202"")"),0)</f>
        <v>0</v>
      </c>
      <c r="AK46" s="86">
        <f ca="1">IFERROR(__xludf.DUMMYFUNCTION("IMPORTRANGE(""https://docs.google.com/spreadsheets/d/1wPdvRbu02d33MYVlbsCnyTiZpefEBs9NNktAnT1HZvw/edit?usp=sharing"",""สุรินทร์!N202"")"),0)</f>
        <v>0</v>
      </c>
      <c r="AL46" s="87">
        <f t="shared" ca="1" si="89"/>
        <v>0</v>
      </c>
      <c r="AM46" s="86">
        <f ca="1">IFERROR(__xludf.DUMMYFUNCTION("IMPORTRANGE(""https://docs.google.com/spreadsheets/d/1wPdvRbu02d33MYVlbsCnyTiZpefEBs9NNktAnT1HZvw/edit?usp=sharing"",""สุรินทร์!I204"")"),3)</f>
        <v>3</v>
      </c>
      <c r="AN46" s="86">
        <f ca="1">IFERROR(__xludf.DUMMYFUNCTION("IMPORTRANGE(""https://docs.google.com/spreadsheets/d/1wPdvRbu02d33MYVlbsCnyTiZpefEBs9NNktAnT1HZvw/edit?usp=sharing"",""สุรินทร์!J204"")"),3)</f>
        <v>3</v>
      </c>
      <c r="AO46" s="87">
        <f t="shared" ca="1" si="90"/>
        <v>100</v>
      </c>
      <c r="AP46" s="298">
        <f ca="1">IFERROR(__xludf.DUMMYFUNCTION("IMPORTRANGE(""https://docs.google.com/spreadsheets/d/1wPdvRbu02d33MYVlbsCnyTiZpefEBs9NNktAnT1HZvw/edit?usp=sharing"",""สุรินทร์!J206"")"),3)</f>
        <v>3</v>
      </c>
      <c r="AQ46" s="298">
        <f ca="1">IFERROR(__xludf.DUMMYFUNCTION("IMPORTRANGE(""https://docs.google.com/spreadsheets/d/1wPdvRbu02d33MYVlbsCnyTiZpefEBs9NNktAnT1HZvw/edit?usp=sharing"",""สุรินทร์!J207"")"),0)</f>
        <v>0</v>
      </c>
      <c r="AR46" s="86">
        <f ca="1">IFERROR(__xludf.DUMMYFUNCTION("IMPORTRANGE(""https://docs.google.com/spreadsheets/d/1wPdvRbu02d33MYVlbsCnyTiZpefEBs9NNktAnT1HZvw/edit?usp=sharing"",""สุรินทร์!L210"")"),4000)</f>
        <v>4000</v>
      </c>
      <c r="AS46" s="86">
        <f ca="1">IFERROR(__xludf.DUMMYFUNCTION("IMPORTRANGE(""https://docs.google.com/spreadsheets/d/1wPdvRbu02d33MYVlbsCnyTiZpefEBs9NNktAnT1HZvw/edit?usp=sharing"",""สุรินทร์!N210"")"),0)</f>
        <v>0</v>
      </c>
      <c r="AT46" s="87">
        <f t="shared" ca="1" si="91"/>
        <v>0</v>
      </c>
      <c r="AU46" s="86">
        <f ca="1">IFERROR(__xludf.DUMMYFUNCTION("IMPORTRANGE(""https://docs.google.com/spreadsheets/d/1wPdvRbu02d33MYVlbsCnyTiZpefEBs9NNktAnT1HZvw/edit?usp=sharing"",""สุรินทร์!L211"")"),20000)</f>
        <v>20000</v>
      </c>
      <c r="AV46" s="86">
        <f ca="1">IFERROR(__xludf.DUMMYFUNCTION("IMPORTRANGE(""https://docs.google.com/spreadsheets/d/1wPdvRbu02d33MYVlbsCnyTiZpefEBs9NNktAnT1HZvw/edit?usp=sharing"",""สุรินทร์!N211"")"),0)</f>
        <v>0</v>
      </c>
      <c r="AW46" s="87">
        <f t="shared" ca="1" si="92"/>
        <v>0</v>
      </c>
      <c r="AX46" s="86">
        <f ca="1">IFERROR(__xludf.DUMMYFUNCTION("IMPORTRANGE(""https://docs.google.com/spreadsheets/d/1wPdvRbu02d33MYVlbsCnyTiZpefEBs9NNktAnT1HZvw/edit?usp=sharing"",""สุรินทร์!L212"")"),32000)</f>
        <v>32000</v>
      </c>
      <c r="AY46" s="86">
        <f ca="1">IFERROR(__xludf.DUMMYFUNCTION("IMPORTRANGE(""https://docs.google.com/spreadsheets/d/1wPdvRbu02d33MYVlbsCnyTiZpefEBs9NNktAnT1HZvw/edit?usp=sharing"",""สุรินทร์!N212"")"),25155.25)</f>
        <v>25155.25</v>
      </c>
      <c r="AZ46" s="87">
        <f t="shared" ca="1" si="93"/>
        <v>78.610156250000003</v>
      </c>
      <c r="BA46" s="86">
        <f ca="1">IFERROR(__xludf.DUMMYFUNCTION("IMPORTRANGE(""https://docs.google.com/spreadsheets/d/1wPdvRbu02d33MYVlbsCnyTiZpefEBs9NNktAnT1HZvw/edit?usp=sharing"",""สุรินทร์!I214"")"),4)</f>
        <v>4</v>
      </c>
      <c r="BB46" s="86">
        <f ca="1">IFERROR(__xludf.DUMMYFUNCTION("IMPORTRANGE(""https://docs.google.com/spreadsheets/d/1wPdvRbu02d33MYVlbsCnyTiZpefEBs9NNktAnT1HZvw/edit?usp=sharing"",""สุรินทร์!J214"")"),0)</f>
        <v>0</v>
      </c>
      <c r="BC46" s="87">
        <f t="shared" ca="1" si="94"/>
        <v>0</v>
      </c>
      <c r="BD46" s="86">
        <f ca="1">IFERROR(__xludf.DUMMYFUNCTION("IMPORTRANGE(""https://docs.google.com/spreadsheets/d/1wPdvRbu02d33MYVlbsCnyTiZpefEBs9NNktAnT1HZvw/edit?usp=sharing"",""สุรินทร์!I215"")"),4)</f>
        <v>4</v>
      </c>
      <c r="BE46" s="86">
        <f ca="1">IFERROR(__xludf.DUMMYFUNCTION("IMPORTRANGE(""https://docs.google.com/spreadsheets/d/1wPdvRbu02d33MYVlbsCnyTiZpefEBs9NNktAnT1HZvw/edit?usp=sharing"",""สุรินทร์!J215"")"),4)</f>
        <v>4</v>
      </c>
      <c r="BF46" s="87">
        <f t="shared" ca="1" si="95"/>
        <v>100</v>
      </c>
      <c r="BG46" s="86">
        <f ca="1">IFERROR(__xludf.DUMMYFUNCTION("IMPORTRANGE(""https://docs.google.com/spreadsheets/d/1wPdvRbu02d33MYVlbsCnyTiZpefEBs9NNktAnT1HZvw/edit?usp=sharing"",""สุรินทร์!L218"")"),3000)</f>
        <v>3000</v>
      </c>
      <c r="BH46" s="86">
        <f ca="1">IFERROR(__xludf.DUMMYFUNCTION("IMPORTRANGE(""https://docs.google.com/spreadsheets/d/1wPdvRbu02d33MYVlbsCnyTiZpefEBs9NNktAnT1HZvw/edit?usp=sharing"",""สุรินทร์!N218"")"),0)</f>
        <v>0</v>
      </c>
      <c r="BI46" s="87">
        <f t="shared" ca="1" si="96"/>
        <v>0</v>
      </c>
      <c r="BJ46" s="86">
        <f ca="1">IFERROR(__xludf.DUMMYFUNCTION("IMPORTRANGE(""https://docs.google.com/spreadsheets/d/1wPdvRbu02d33MYVlbsCnyTiZpefEBs9NNktAnT1HZvw/edit?usp=sharing"",""สุรินทร์!L219"")"),4400)</f>
        <v>4400</v>
      </c>
      <c r="BK46" s="86">
        <f ca="1">IFERROR(__xludf.DUMMYFUNCTION("IMPORTRANGE(""https://docs.google.com/spreadsheets/d/1wPdvRbu02d33MYVlbsCnyTiZpefEBs9NNktAnT1HZvw/edit?usp=sharing"",""สุรินทร์!N219"")"),0)</f>
        <v>0</v>
      </c>
      <c r="BL46" s="87">
        <f t="shared" ca="1" si="97"/>
        <v>0</v>
      </c>
      <c r="BM46" s="86">
        <f ca="1">IFERROR(__xludf.DUMMYFUNCTION("IMPORTRANGE(""https://docs.google.com/spreadsheets/d/1wPdvRbu02d33MYVlbsCnyTiZpefEBs9NNktAnT1HZvw/edit?usp=sharing"",""สุรินทร์!L220"")"),0)</f>
        <v>0</v>
      </c>
      <c r="BN46" s="86">
        <f ca="1">IFERROR(__xludf.DUMMYFUNCTION("IMPORTRANGE(""https://docs.google.com/spreadsheets/d/1wPdvRbu02d33MYVlbsCnyTiZpefEBs9NNktAnT1HZvw/edit?usp=sharing"",""สุรินทร์!N220"")"),0)</f>
        <v>0</v>
      </c>
      <c r="BO46" s="87">
        <f t="shared" ca="1" si="98"/>
        <v>0</v>
      </c>
      <c r="BP46" s="86">
        <f ca="1">IFERROR(__xludf.DUMMYFUNCTION("IMPORTRANGE(""https://docs.google.com/spreadsheets/d/1wPdvRbu02d33MYVlbsCnyTiZpefEBs9NNktAnT1HZvw/edit?usp=sharing"",""สุรินทร์!I223"")"),15000)</f>
        <v>15000</v>
      </c>
      <c r="BQ46" s="86">
        <f ca="1">IFERROR(__xludf.DUMMYFUNCTION("IMPORTRANGE(""https://docs.google.com/spreadsheets/d/1wPdvRbu02d33MYVlbsCnyTiZpefEBs9NNktAnT1HZvw/edit?usp=sharing"",""สุรินทร์!J223"")"),0)</f>
        <v>0</v>
      </c>
      <c r="BR46" s="87">
        <f t="shared" ca="1" si="99"/>
        <v>0</v>
      </c>
      <c r="BS46" s="86">
        <f ca="1">IFERROR(__xludf.DUMMYFUNCTION("IMPORTRANGE(""https://docs.google.com/spreadsheets/d/1wPdvRbu02d33MYVlbsCnyTiZpefEBs9NNktAnT1HZvw/edit?usp=sharing"",""สุรินทร์!I224"")"),15000)</f>
        <v>15000</v>
      </c>
      <c r="BT46" s="86">
        <f ca="1">IFERROR(__xludf.DUMMYFUNCTION("IMPORTRANGE(""https://docs.google.com/spreadsheets/d/1wPdvRbu02d33MYVlbsCnyTiZpefEBs9NNktAnT1HZvw/edit?usp=sharing"",""สุรินทร์!J224"")"),0)</f>
        <v>0</v>
      </c>
      <c r="BU46" s="87">
        <f t="shared" ca="1" si="100"/>
        <v>0</v>
      </c>
      <c r="BV46" s="86">
        <f ca="1">IFERROR(__xludf.DUMMYFUNCTION("IMPORTRANGE(""https://docs.google.com/spreadsheets/d/1wPdvRbu02d33MYVlbsCnyTiZpefEBs9NNktAnT1HZvw/edit?usp=sharing"",""สุรินทร์!I225"")"),0)</f>
        <v>0</v>
      </c>
      <c r="BW46" s="86">
        <f ca="1">IFERROR(__xludf.DUMMYFUNCTION("IMPORTRANGE(""https://docs.google.com/spreadsheets/d/1wPdvRbu02d33MYVlbsCnyTiZpefEBs9NNktAnT1HZvw/edit?usp=sharing"",""สุรินทร์!J225"")"),0)</f>
        <v>0</v>
      </c>
      <c r="BX46" s="87">
        <f t="shared" ca="1" si="101"/>
        <v>0</v>
      </c>
      <c r="BY46" s="86">
        <f ca="1">IFERROR(__xludf.DUMMYFUNCTION("IMPORTRANGE(""https://docs.google.com/spreadsheets/d/1wPdvRbu02d33MYVlbsCnyTiZpefEBs9NNktAnT1HZvw/edit?usp=sharing"",""สุรินทร์!L228"")"),0)</f>
        <v>0</v>
      </c>
      <c r="BZ46" s="86">
        <f ca="1">IFERROR(__xludf.DUMMYFUNCTION("IMPORTRANGE(""https://docs.google.com/spreadsheets/d/1wPdvRbu02d33MYVlbsCnyTiZpefEBs9NNktAnT1HZvw/edit?usp=sharing"",""สุรินทร์!N228"")"),0)</f>
        <v>0</v>
      </c>
      <c r="CA46" s="87">
        <f t="shared" ca="1" si="102"/>
        <v>0</v>
      </c>
      <c r="CB46" s="86">
        <f ca="1">IFERROR(__xludf.DUMMYFUNCTION("IMPORTRANGE(""https://docs.google.com/spreadsheets/d/1wPdvRbu02d33MYVlbsCnyTiZpefEBs9NNktAnT1HZvw/edit?usp=sharing"",""สุรินทร์!L229"")"),0)</f>
        <v>0</v>
      </c>
      <c r="CC46" s="86">
        <f ca="1">IFERROR(__xludf.DUMMYFUNCTION("IMPORTRANGE(""https://docs.google.com/spreadsheets/d/1wPdvRbu02d33MYVlbsCnyTiZpefEBs9NNktAnT1HZvw/edit?usp=sharing"",""สุรินทร์!N229"")"),0)</f>
        <v>0</v>
      </c>
      <c r="CD46" s="87">
        <f t="shared" ca="1" si="103"/>
        <v>0</v>
      </c>
      <c r="CE46" s="86">
        <f ca="1">IFERROR(__xludf.DUMMYFUNCTION("IMPORTRANGE(""https://docs.google.com/spreadsheets/d/1wPdvRbu02d33MYVlbsCnyTiZpefEBs9NNktAnT1HZvw/edit?usp=sharing"",""สุรินทร์!L230"")"),0)</f>
        <v>0</v>
      </c>
      <c r="CF46" s="86">
        <f ca="1">IFERROR(__xludf.DUMMYFUNCTION("IMPORTRANGE(""https://docs.google.com/spreadsheets/d/1wPdvRbu02d33MYVlbsCnyTiZpefEBs9NNktAnT1HZvw/edit?usp=sharing"",""สุรินทร์!N230"")"),0)</f>
        <v>0</v>
      </c>
      <c r="CG46" s="87">
        <f t="shared" ca="1" si="104"/>
        <v>0</v>
      </c>
      <c r="CH46" s="86">
        <f ca="1">IFERROR(__xludf.DUMMYFUNCTION("IMPORTRANGE(""https://docs.google.com/spreadsheets/d/1wPdvRbu02d33MYVlbsCnyTiZpefEBs9NNktAnT1HZvw/edit?usp=sharing"",""สุรินทร์!L231"")"),0)</f>
        <v>0</v>
      </c>
      <c r="CI46" s="86">
        <f ca="1">IFERROR(__xludf.DUMMYFUNCTION("IMPORTRANGE(""https://docs.google.com/spreadsheets/d/1wPdvRbu02d33MYVlbsCnyTiZpefEBs9NNktAnT1HZvw/edit?usp=sharing"",""สุรินทร์!N231"")"),0)</f>
        <v>0</v>
      </c>
      <c r="CJ46" s="87">
        <f t="shared" ca="1" si="105"/>
        <v>0</v>
      </c>
      <c r="CK46" s="86">
        <f ca="1">IFERROR(__xludf.DUMMYFUNCTION("IMPORTRANGE(""https://docs.google.com/spreadsheets/d/1wPdvRbu02d33MYVlbsCnyTiZpefEBs9NNktAnT1HZvw/edit?usp=sharing"",""สุรินทร์!I233"")"),0)</f>
        <v>0</v>
      </c>
      <c r="CL46" s="86">
        <f ca="1">IFERROR(__xludf.DUMMYFUNCTION("IMPORTRANGE(""https://docs.google.com/spreadsheets/d/1wPdvRbu02d33MYVlbsCnyTiZpefEBs9NNktAnT1HZvw/edit?usp=sharing"",""สุรินทร์!J233"")"),0)</f>
        <v>0</v>
      </c>
      <c r="CM46" s="87">
        <f t="shared" ca="1" si="106"/>
        <v>0</v>
      </c>
      <c r="CN46" s="86">
        <f ca="1">IFERROR(__xludf.DUMMYFUNCTION("IMPORTRANGE(""https://docs.google.com/spreadsheets/d/1wPdvRbu02d33MYVlbsCnyTiZpefEBs9NNktAnT1HZvw/edit?usp=sharing"",""สุรินทร์!J235"")"),0)</f>
        <v>0</v>
      </c>
      <c r="CO46" s="86">
        <f ca="1">IFERROR(__xludf.DUMMYFUNCTION("IMPORTRANGE(""https://docs.google.com/spreadsheets/d/1wPdvRbu02d33MYVlbsCnyTiZpefEBs9NNktAnT1HZvw/edit?usp=sharing"",""สุรินทร์!J236"")"),0)</f>
        <v>0</v>
      </c>
    </row>
    <row r="47" spans="1:93" ht="21" customHeight="1" x14ac:dyDescent="0.3">
      <c r="A47" s="78">
        <v>16</v>
      </c>
      <c r="B47" s="79" t="s">
        <v>69</v>
      </c>
      <c r="C47" s="80">
        <f t="shared" ca="1" si="0"/>
        <v>77500</v>
      </c>
      <c r="D47" s="81">
        <f t="shared" ca="1" si="160"/>
        <v>77500</v>
      </c>
      <c r="E47" s="82">
        <f ca="1">IFERROR(__xludf.DUMMYFUNCTION("IMPORTRANGE(""https://docs.google.com/spreadsheets/d/1MeEWN-I1oV_STSDYn1IFDPWt_1FKiwhDph83XaGc0o0/edit?usp=sharing"",""งบพรบ!CP47"")"),0)</f>
        <v>0</v>
      </c>
      <c r="F47" s="82">
        <f ca="1">IFERROR(__xludf.DUMMYFUNCTION("IMPORTRANGE(""https://docs.google.com/spreadsheets/d/1MeEWN-I1oV_STSDYn1IFDPWt_1FKiwhDph83XaGc0o0/edit?usp=sharing"",""งบพรบ!CQ47"")"),77500)</f>
        <v>77500</v>
      </c>
      <c r="G47" s="82">
        <f ca="1">IFERROR(__xludf.DUMMYFUNCTION("IMPORTRANGE(""https://docs.google.com/spreadsheets/d/1MeEWN-I1oV_STSDYn1IFDPWt_1FKiwhDph83XaGc0o0/edit?usp=sharing"",""งบพรบ!CR47"")"),0)</f>
        <v>0</v>
      </c>
      <c r="H47" s="82">
        <f ca="1">IFERROR(__xludf.DUMMYFUNCTION("IMPORTRANGE(""https://docs.google.com/spreadsheets/d/1MeEWN-I1oV_STSDYn1IFDPWt_1FKiwhDph83XaGc0o0/edit?usp=sharing"",""งบพรบ!CT47"")"),67500)</f>
        <v>67500</v>
      </c>
      <c r="I47" s="82">
        <f ca="1">IFERROR(__xludf.DUMMYFUNCTION("IMPORTRANGE(""https://docs.google.com/spreadsheets/d/1MeEWN-I1oV_STSDYn1IFDPWt_1FKiwhDph83XaGc0o0/edit?usp=sharing"",""งบพรบ!CU47"")"),0)</f>
        <v>0</v>
      </c>
      <c r="J47" s="82">
        <f t="shared" ca="1" si="3"/>
        <v>0</v>
      </c>
      <c r="K47" s="83">
        <f t="shared" ca="1" si="4"/>
        <v>0</v>
      </c>
      <c r="L47" s="82">
        <f ca="1">IFERROR(__xludf.DUMMYFUNCTION("IMPORTRANGE(""https://docs.google.com/spreadsheets/d/1MeEWN-I1oV_STSDYn1IFDPWt_1FKiwhDph83XaGc0o0/edit?usp=sharing"",""งบพรบ!CV47"")"),0)</f>
        <v>0</v>
      </c>
      <c r="M47" s="84">
        <f t="shared" ca="1" si="5"/>
        <v>0</v>
      </c>
      <c r="N47" s="84">
        <f t="shared" ca="1" si="6"/>
        <v>0</v>
      </c>
      <c r="O47" s="85">
        <f ca="1">IFERROR(__xludf.DUMMYFUNCTION("IMPORTRANGE(""https://docs.google.com/spreadsheets/d/1MeEWN-I1oV_STSDYn1IFDPWt_1FKiwhDph83XaGc0o0/edit?usp=sharing"",""งบพรบ!CW47"")"),0)</f>
        <v>0</v>
      </c>
      <c r="P47" s="85">
        <f t="shared" ca="1" si="108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IFERROR(__xludf.DUMMYFUNCTION("IMPORTRANGE(""https://docs.google.com/spreadsheets/d/1GVExpf-Exi_2gmuqTYH28fseTB9MoKPXWcXCbSt_YrM/edit?usp=sharing"",""หนองคาย!L191"")"),6000)</f>
        <v>6000</v>
      </c>
      <c r="S47" s="86">
        <f ca="1">IFERROR(__xludf.DUMMYFUNCTION("IMPORTRANGE(""https://docs.google.com/spreadsheets/d/1GVExpf-Exi_2gmuqTYH28fseTB9MoKPXWcXCbSt_YrM/edit?usp=sharing"",""หนองคาย!N191"")"),0)</f>
        <v>0</v>
      </c>
      <c r="T47" s="87">
        <f t="shared" ca="1" si="84"/>
        <v>0</v>
      </c>
      <c r="U47" s="86">
        <f ca="1">IFERROR(__xludf.DUMMYFUNCTION("IMPORTRANGE(""https://docs.google.com/spreadsheets/d/1GVExpf-Exi_2gmuqTYH28fseTB9MoKPXWcXCbSt_YrM/edit?usp=sharing"",""หนองคาย!I193"")"),4)</f>
        <v>4</v>
      </c>
      <c r="V47" s="86">
        <f ca="1">IFERROR(__xludf.DUMMYFUNCTION("IMPORTRANGE(""https://docs.google.com/spreadsheets/d/1GVExpf-Exi_2gmuqTYH28fseTB9MoKPXWcXCbSt_YrM/edit?usp=sharing"",""หนองคาย!J193"")"),2)</f>
        <v>2</v>
      </c>
      <c r="W47" s="87">
        <f t="shared" ca="1" si="85"/>
        <v>50</v>
      </c>
      <c r="X47" s="86">
        <f t="shared" ca="1" si="161"/>
        <v>0</v>
      </c>
      <c r="Y47" s="86">
        <f ca="1">IFERROR(__xludf.DUMMYFUNCTION("IMPORTRANGE(""https://docs.google.com/spreadsheets/d/1GVExpf-Exi_2gmuqTYH28fseTB9MoKPXWcXCbSt_YrM/edit?usp=sharing"",""หนองคาย!J195"")"),0)</f>
        <v>0</v>
      </c>
      <c r="Z47" s="86">
        <f ca="1">IFERROR(__xludf.DUMMYFUNCTION("IMPORTRANGE(""https://docs.google.com/spreadsheets/d/1GVExpf-Exi_2gmuqTYH28fseTB9MoKPXWcXCbSt_YrM/edit?usp=sharing"",""หนองคาย!J196"")"),0)</f>
        <v>0</v>
      </c>
      <c r="AA47" s="86">
        <f ca="1">IFERROR(__xludf.DUMMYFUNCTION("IMPORTRANGE(""https://docs.google.com/spreadsheets/d/1GVExpf-Exi_2gmuqTYH28fseTB9MoKPXWcXCbSt_YrM/edit?usp=sharing"",""หนองคาย!L199"")"),3000)</f>
        <v>3000</v>
      </c>
      <c r="AB47" s="86">
        <f ca="1">IFERROR(__xludf.DUMMYFUNCTION("IMPORTRANGE(""https://docs.google.com/spreadsheets/d/1GVExpf-Exi_2gmuqTYH28fseTB9MoKPXWcXCbSt_YrM/edit?usp=sharing"",""หนองคาย!N199"")"),0)</f>
        <v>0</v>
      </c>
      <c r="AC47" s="87">
        <f t="shared" ca="1" si="86"/>
        <v>0</v>
      </c>
      <c r="AD47" s="86">
        <f ca="1">IFERROR(__xludf.DUMMYFUNCTION("IMPORTRANGE(""https://docs.google.com/spreadsheets/d/1GVExpf-Exi_2gmuqTYH28fseTB9MoKPXWcXCbSt_YrM/edit?usp=sharing"",""หนองคาย!L200"")"),24000)</f>
        <v>24000</v>
      </c>
      <c r="AE47" s="86">
        <f ca="1">IFERROR(__xludf.DUMMYFUNCTION("IMPORTRANGE(""https://docs.google.com/spreadsheets/d/1GVExpf-Exi_2gmuqTYH28fseTB9MoKPXWcXCbSt_YrM/edit?usp=sharing"",""หนองคาย!N200"")"),0)</f>
        <v>0</v>
      </c>
      <c r="AF47" s="87">
        <f t="shared" ca="1" si="87"/>
        <v>0</v>
      </c>
      <c r="AG47" s="86">
        <f ca="1">IFERROR(__xludf.DUMMYFUNCTION("IMPORTRANGE(""https://docs.google.com/spreadsheets/d/1GVExpf-Exi_2gmuqTYH28fseTB9MoKPXWcXCbSt_YrM/edit?usp=sharing"",""หนองคาย!L201"")"),12000)</f>
        <v>12000</v>
      </c>
      <c r="AH47" s="86">
        <f ca="1">IFERROR(__xludf.DUMMYFUNCTION("IMPORTRANGE(""https://docs.google.com/spreadsheets/d/1GVExpf-Exi_2gmuqTYH28fseTB9MoKPXWcXCbSt_YrM/edit?usp=sharing"",""หนองคาย!N201"")"),0)</f>
        <v>0</v>
      </c>
      <c r="AI47" s="87">
        <f t="shared" ca="1" si="88"/>
        <v>0</v>
      </c>
      <c r="AJ47" s="86">
        <f ca="1">IFERROR(__xludf.DUMMYFUNCTION("IMPORTRANGE(""https://docs.google.com/spreadsheets/d/1GVExpf-Exi_2gmuqTYH28fseTB9MoKPXWcXCbSt_YrM/edit?usp=sharing"",""หนองคาย!L202"")"),5000)</f>
        <v>5000</v>
      </c>
      <c r="AK47" s="86">
        <f ca="1">IFERROR(__xludf.DUMMYFUNCTION("IMPORTRANGE(""https://docs.google.com/spreadsheets/d/1GVExpf-Exi_2gmuqTYH28fseTB9MoKPXWcXCbSt_YrM/edit?usp=sharing"",""หนองคาย!N202"")"),0)</f>
        <v>0</v>
      </c>
      <c r="AL47" s="87">
        <f t="shared" ca="1" si="89"/>
        <v>0</v>
      </c>
      <c r="AM47" s="86">
        <f ca="1">IFERROR(__xludf.DUMMYFUNCTION("IMPORTRANGE(""https://docs.google.com/spreadsheets/d/1GVExpf-Exi_2gmuqTYH28fseTB9MoKPXWcXCbSt_YrM/edit?usp=sharing"",""หนองคาย!I204"")"),3)</f>
        <v>3</v>
      </c>
      <c r="AN47" s="86">
        <f ca="1">IFERROR(__xludf.DUMMYFUNCTION("IMPORTRANGE(""https://docs.google.com/spreadsheets/d/1GVExpf-Exi_2gmuqTYH28fseTB9MoKPXWcXCbSt_YrM/edit?usp=sharing"",""หนองคาย!J204"")"),0)</f>
        <v>0</v>
      </c>
      <c r="AO47" s="87">
        <f t="shared" ca="1" si="90"/>
        <v>0</v>
      </c>
      <c r="AP47" s="298">
        <f ca="1">IFERROR(__xludf.DUMMYFUNCTION("IMPORTRANGE(""https://docs.google.com/spreadsheets/d/1GVExpf-Exi_2gmuqTYH28fseTB9MoKPXWcXCbSt_YrM/edit?usp=sharing"",""หนองคาย!J206"")"),0)</f>
        <v>0</v>
      </c>
      <c r="AQ47" s="298">
        <f ca="1">IFERROR(__xludf.DUMMYFUNCTION("IMPORTRANGE(""https://docs.google.com/spreadsheets/d/1GVExpf-Exi_2gmuqTYH28fseTB9MoKPXWcXCbSt_YrM/edit?usp=sharing"",""หนองคาย!J207"")"),0)</f>
        <v>0</v>
      </c>
      <c r="AR47" s="86">
        <f ca="1">IFERROR(__xludf.DUMMYFUNCTION("IMPORTRANGE(""https://docs.google.com/spreadsheets/d/1GVExpf-Exi_2gmuqTYH28fseTB9MoKPXWcXCbSt_YrM/edit?usp=sharing"",""หนองคาย!L210"")"),1000)</f>
        <v>1000</v>
      </c>
      <c r="AS47" s="86">
        <f ca="1">IFERROR(__xludf.DUMMYFUNCTION("IMPORTRANGE(""https://docs.google.com/spreadsheets/d/1GVExpf-Exi_2gmuqTYH28fseTB9MoKPXWcXCbSt_YrM/edit?usp=sharing"",""หนองคาย!N210"")"),0)</f>
        <v>0</v>
      </c>
      <c r="AT47" s="87">
        <f t="shared" ca="1" si="91"/>
        <v>0</v>
      </c>
      <c r="AU47" s="86">
        <f ca="1">IFERROR(__xludf.DUMMYFUNCTION("IMPORTRANGE(""https://docs.google.com/spreadsheets/d/1GVExpf-Exi_2gmuqTYH28fseTB9MoKPXWcXCbSt_YrM/edit?usp=sharing"",""หนองคาย!L211"")"),5000)</f>
        <v>5000</v>
      </c>
      <c r="AV47" s="86">
        <f ca="1">IFERROR(__xludf.DUMMYFUNCTION("IMPORTRANGE(""https://docs.google.com/spreadsheets/d/1GVExpf-Exi_2gmuqTYH28fseTB9MoKPXWcXCbSt_YrM/edit?usp=sharing"",""หนองคาย!N211"")"),0)</f>
        <v>0</v>
      </c>
      <c r="AW47" s="87">
        <f t="shared" ca="1" si="92"/>
        <v>0</v>
      </c>
      <c r="AX47" s="86">
        <f ca="1">IFERROR(__xludf.DUMMYFUNCTION("IMPORTRANGE(""https://docs.google.com/spreadsheets/d/1GVExpf-Exi_2gmuqTYH28fseTB9MoKPXWcXCbSt_YrM/edit?usp=sharing"",""หนองคาย!L212"")"),8000)</f>
        <v>8000</v>
      </c>
      <c r="AY47" s="86">
        <f ca="1">IFERROR(__xludf.DUMMYFUNCTION("IMPORTRANGE(""https://docs.google.com/spreadsheets/d/1GVExpf-Exi_2gmuqTYH28fseTB9MoKPXWcXCbSt_YrM/edit?usp=sharing"",""หนองคาย!N212"")"),0)</f>
        <v>0</v>
      </c>
      <c r="AZ47" s="87">
        <f t="shared" ca="1" si="93"/>
        <v>0</v>
      </c>
      <c r="BA47" s="86">
        <f ca="1">IFERROR(__xludf.DUMMYFUNCTION("IMPORTRANGE(""https://docs.google.com/spreadsheets/d/1GVExpf-Exi_2gmuqTYH28fseTB9MoKPXWcXCbSt_YrM/edit?usp=sharing"",""หนองคาย!I214"")"),1)</f>
        <v>1</v>
      </c>
      <c r="BB47" s="86">
        <f ca="1">IFERROR(__xludf.DUMMYFUNCTION("IMPORTRANGE(""https://docs.google.com/spreadsheets/d/1GVExpf-Exi_2gmuqTYH28fseTB9MoKPXWcXCbSt_YrM/edit?usp=sharing"",""หนองคาย!J214"")"),0)</f>
        <v>0</v>
      </c>
      <c r="BC47" s="87">
        <f t="shared" ca="1" si="94"/>
        <v>0</v>
      </c>
      <c r="BD47" s="86">
        <f ca="1">IFERROR(__xludf.DUMMYFUNCTION("IMPORTRANGE(""https://docs.google.com/spreadsheets/d/1GVExpf-Exi_2gmuqTYH28fseTB9MoKPXWcXCbSt_YrM/edit?usp=sharing"",""หนองคาย!I215"")"),1)</f>
        <v>1</v>
      </c>
      <c r="BE47" s="86">
        <f ca="1">IFERROR(__xludf.DUMMYFUNCTION("IMPORTRANGE(""https://docs.google.com/spreadsheets/d/1GVExpf-Exi_2gmuqTYH28fseTB9MoKPXWcXCbSt_YrM/edit?usp=sharing"",""หนองคาย!J215"")"),0)</f>
        <v>0</v>
      </c>
      <c r="BF47" s="87">
        <f t="shared" ca="1" si="95"/>
        <v>0</v>
      </c>
      <c r="BG47" s="86">
        <f ca="1">IFERROR(__xludf.DUMMYFUNCTION("IMPORTRANGE(""https://docs.google.com/spreadsheets/d/1GVExpf-Exi_2gmuqTYH28fseTB9MoKPXWcXCbSt_YrM/edit?usp=sharing"",""หนองคาย!L218"")"),5000)</f>
        <v>5000</v>
      </c>
      <c r="BH47" s="86">
        <f ca="1">IFERROR(__xludf.DUMMYFUNCTION("IMPORTRANGE(""https://docs.google.com/spreadsheets/d/1GVExpf-Exi_2gmuqTYH28fseTB9MoKPXWcXCbSt_YrM/edit?usp=sharing"",""หนองคาย!N218"")"),0)</f>
        <v>0</v>
      </c>
      <c r="BI47" s="87">
        <f t="shared" ca="1" si="96"/>
        <v>0</v>
      </c>
      <c r="BJ47" s="86">
        <f ca="1">IFERROR(__xludf.DUMMYFUNCTION("IMPORTRANGE(""https://docs.google.com/spreadsheets/d/1GVExpf-Exi_2gmuqTYH28fseTB9MoKPXWcXCbSt_YrM/edit?usp=sharing"",""หนองคาย!L219"")"),8500)</f>
        <v>8500</v>
      </c>
      <c r="BK47" s="86">
        <f ca="1">IFERROR(__xludf.DUMMYFUNCTION("IMPORTRANGE(""https://docs.google.com/spreadsheets/d/1GVExpf-Exi_2gmuqTYH28fseTB9MoKPXWcXCbSt_YrM/edit?usp=sharing"",""หนองคาย!N219"")"),0)</f>
        <v>0</v>
      </c>
      <c r="BL47" s="87">
        <f t="shared" ca="1" si="97"/>
        <v>0</v>
      </c>
      <c r="BM47" s="86">
        <f ca="1">IFERROR(__xludf.DUMMYFUNCTION("IMPORTRANGE(""https://docs.google.com/spreadsheets/d/1GVExpf-Exi_2gmuqTYH28fseTB9MoKPXWcXCbSt_YrM/edit?usp=sharing"",""หนองคาย!L220"")"),0)</f>
        <v>0</v>
      </c>
      <c r="BN47" s="86">
        <f ca="1">IFERROR(__xludf.DUMMYFUNCTION("IMPORTRANGE(""https://docs.google.com/spreadsheets/d/1GVExpf-Exi_2gmuqTYH28fseTB9MoKPXWcXCbSt_YrM/edit?usp=sharing"",""หนองคาย!N220"")"),0)</f>
        <v>0</v>
      </c>
      <c r="BO47" s="87">
        <f t="shared" ca="1" si="98"/>
        <v>0</v>
      </c>
      <c r="BP47" s="86">
        <f ca="1">IFERROR(__xludf.DUMMYFUNCTION("IMPORTRANGE(""https://docs.google.com/spreadsheets/d/1GVExpf-Exi_2gmuqTYH28fseTB9MoKPXWcXCbSt_YrM/edit?usp=sharing"",""หนองคาย!I223"")"),30000)</f>
        <v>30000</v>
      </c>
      <c r="BQ47" s="86">
        <f ca="1">IFERROR(__xludf.DUMMYFUNCTION("IMPORTRANGE(""https://docs.google.com/spreadsheets/d/1GVExpf-Exi_2gmuqTYH28fseTB9MoKPXWcXCbSt_YrM/edit?usp=sharing"",""หนองคาย!J223"")"),0)</f>
        <v>0</v>
      </c>
      <c r="BR47" s="87">
        <f t="shared" ca="1" si="99"/>
        <v>0</v>
      </c>
      <c r="BS47" s="86">
        <f ca="1">IFERROR(__xludf.DUMMYFUNCTION("IMPORTRANGE(""https://docs.google.com/spreadsheets/d/1GVExpf-Exi_2gmuqTYH28fseTB9MoKPXWcXCbSt_YrM/edit?usp=sharing"",""หนองคาย!I224"")"),30000)</f>
        <v>30000</v>
      </c>
      <c r="BT47" s="86">
        <f ca="1">IFERROR(__xludf.DUMMYFUNCTION("IMPORTRANGE(""https://docs.google.com/spreadsheets/d/1GVExpf-Exi_2gmuqTYH28fseTB9MoKPXWcXCbSt_YrM/edit?usp=sharing"",""หนองคาย!J224"")"),0)</f>
        <v>0</v>
      </c>
      <c r="BU47" s="87">
        <f t="shared" ca="1" si="100"/>
        <v>0</v>
      </c>
      <c r="BV47" s="86">
        <f ca="1">IFERROR(__xludf.DUMMYFUNCTION("IMPORTRANGE(""https://docs.google.com/spreadsheets/d/1GVExpf-Exi_2gmuqTYH28fseTB9MoKPXWcXCbSt_YrM/edit?usp=sharing"",""หนองคาย!I225"")"),0)</f>
        <v>0</v>
      </c>
      <c r="BW47" s="86">
        <f ca="1">IFERROR(__xludf.DUMMYFUNCTION("IMPORTRANGE(""https://docs.google.com/spreadsheets/d/1GVExpf-Exi_2gmuqTYH28fseTB9MoKPXWcXCbSt_YrM/edit?usp=sharing"",""หนองคาย!J225"")"),0)</f>
        <v>0</v>
      </c>
      <c r="BX47" s="87">
        <f t="shared" ca="1" si="101"/>
        <v>0</v>
      </c>
      <c r="BY47" s="86">
        <f ca="1">IFERROR(__xludf.DUMMYFUNCTION("IMPORTRANGE(""https://docs.google.com/spreadsheets/d/1GVExpf-Exi_2gmuqTYH28fseTB9MoKPXWcXCbSt_YrM/edit?usp=sharing"",""หนองคาย!L228"")"),0)</f>
        <v>0</v>
      </c>
      <c r="BZ47" s="86">
        <f ca="1">IFERROR(__xludf.DUMMYFUNCTION("IMPORTRANGE(""https://docs.google.com/spreadsheets/d/1GVExpf-Exi_2gmuqTYH28fseTB9MoKPXWcXCbSt_YrM/edit?usp=sharing"",""หนองคาย!N228"")"),0)</f>
        <v>0</v>
      </c>
      <c r="CA47" s="87">
        <f t="shared" ca="1" si="102"/>
        <v>0</v>
      </c>
      <c r="CB47" s="86">
        <f ca="1">IFERROR(__xludf.DUMMYFUNCTION("IMPORTRANGE(""https://docs.google.com/spreadsheets/d/1GVExpf-Exi_2gmuqTYH28fseTB9MoKPXWcXCbSt_YrM/edit?usp=sharing"",""หนองคาย!L229"")"),0)</f>
        <v>0</v>
      </c>
      <c r="CC47" s="86">
        <f ca="1">IFERROR(__xludf.DUMMYFUNCTION("IMPORTRANGE(""https://docs.google.com/spreadsheets/d/1GVExpf-Exi_2gmuqTYH28fseTB9MoKPXWcXCbSt_YrM/edit?usp=sharing"",""หนองคาย!N229"")"),0)</f>
        <v>0</v>
      </c>
      <c r="CD47" s="87">
        <f t="shared" ca="1" si="103"/>
        <v>0</v>
      </c>
      <c r="CE47" s="86">
        <f ca="1">IFERROR(__xludf.DUMMYFUNCTION("IMPORTRANGE(""https://docs.google.com/spreadsheets/d/1GVExpf-Exi_2gmuqTYH28fseTB9MoKPXWcXCbSt_YrM/edit?usp=sharing"",""หนองคาย!L230"")"),0)</f>
        <v>0</v>
      </c>
      <c r="CF47" s="86">
        <f ca="1">IFERROR(__xludf.DUMMYFUNCTION("IMPORTRANGE(""https://docs.google.com/spreadsheets/d/1GVExpf-Exi_2gmuqTYH28fseTB9MoKPXWcXCbSt_YrM/edit?usp=sharing"",""หนองคาย!N230"")"),0)</f>
        <v>0</v>
      </c>
      <c r="CG47" s="87">
        <f t="shared" ca="1" si="104"/>
        <v>0</v>
      </c>
      <c r="CH47" s="86">
        <f ca="1">IFERROR(__xludf.DUMMYFUNCTION("IMPORTRANGE(""https://docs.google.com/spreadsheets/d/1GVExpf-Exi_2gmuqTYH28fseTB9MoKPXWcXCbSt_YrM/edit?usp=sharing"",""หนองคาย!L231"")"),0)</f>
        <v>0</v>
      </c>
      <c r="CI47" s="86">
        <f ca="1">IFERROR(__xludf.DUMMYFUNCTION("IMPORTRANGE(""https://docs.google.com/spreadsheets/d/1GVExpf-Exi_2gmuqTYH28fseTB9MoKPXWcXCbSt_YrM/edit?usp=sharing"",""หนองคาย!N231"")"),0)</f>
        <v>0</v>
      </c>
      <c r="CJ47" s="87">
        <f t="shared" ca="1" si="105"/>
        <v>0</v>
      </c>
      <c r="CK47" s="86">
        <f ca="1">IFERROR(__xludf.DUMMYFUNCTION("IMPORTRANGE(""https://docs.google.com/spreadsheets/d/1GVExpf-Exi_2gmuqTYH28fseTB9MoKPXWcXCbSt_YrM/edit?usp=sharing"",""หนองคาย!I233"")"),0)</f>
        <v>0</v>
      </c>
      <c r="CL47" s="86">
        <f ca="1">IFERROR(__xludf.DUMMYFUNCTION("IMPORTRANGE(""https://docs.google.com/spreadsheets/d/1GVExpf-Exi_2gmuqTYH28fseTB9MoKPXWcXCbSt_YrM/edit?usp=sharing"",""หนองคาย!J233"")"),0)</f>
        <v>0</v>
      </c>
      <c r="CM47" s="87">
        <f t="shared" ca="1" si="106"/>
        <v>0</v>
      </c>
      <c r="CN47" s="86">
        <f ca="1">IFERROR(__xludf.DUMMYFUNCTION("IMPORTRANGE(""https://docs.google.com/spreadsheets/d/1GVExpf-Exi_2gmuqTYH28fseTB9MoKPXWcXCbSt_YrM/edit?usp=sharing"",""หนองคาย!J235"")"),0)</f>
        <v>0</v>
      </c>
      <c r="CO47" s="86">
        <f ca="1">IFERROR(__xludf.DUMMYFUNCTION("IMPORTRANGE(""https://docs.google.com/spreadsheets/d/1GVExpf-Exi_2gmuqTYH28fseTB9MoKPXWcXCbSt_YrM/edit?usp=sharing"",""หนองคาย!J236"")"),0)</f>
        <v>0</v>
      </c>
    </row>
    <row r="48" spans="1:93" ht="21" customHeight="1" x14ac:dyDescent="0.3">
      <c r="A48" s="78">
        <v>17</v>
      </c>
      <c r="B48" s="79" t="s">
        <v>70</v>
      </c>
      <c r="C48" s="80">
        <f t="shared" ca="1" si="0"/>
        <v>413500</v>
      </c>
      <c r="D48" s="81">
        <f t="shared" ca="1" si="160"/>
        <v>413500</v>
      </c>
      <c r="E48" s="82">
        <f ca="1">IFERROR(__xludf.DUMMYFUNCTION("IMPORTRANGE(""https://docs.google.com/spreadsheets/d/1MeEWN-I1oV_STSDYn1IFDPWt_1FKiwhDph83XaGc0o0/edit?usp=sharing"",""งบพรบ!CP48"")"),310000)</f>
        <v>310000</v>
      </c>
      <c r="F48" s="82">
        <f ca="1">IFERROR(__xludf.DUMMYFUNCTION("IMPORTRANGE(""https://docs.google.com/spreadsheets/d/1MeEWN-I1oV_STSDYn1IFDPWt_1FKiwhDph83XaGc0o0/edit?usp=sharing"",""งบพรบ!CQ48"")"),103500)</f>
        <v>103500</v>
      </c>
      <c r="G48" s="82">
        <f ca="1">IFERROR(__xludf.DUMMYFUNCTION("IMPORTRANGE(""https://docs.google.com/spreadsheets/d/1MeEWN-I1oV_STSDYn1IFDPWt_1FKiwhDph83XaGc0o0/edit?usp=sharing"",""งบพรบ!CR48"")"),0)</f>
        <v>0</v>
      </c>
      <c r="H48" s="82">
        <f ca="1">IFERROR(__xludf.DUMMYFUNCTION("IMPORTRANGE(""https://docs.google.com/spreadsheets/d/1MeEWN-I1oV_STSDYn1IFDPWt_1FKiwhDph83XaGc0o0/edit?usp=sharing"",""งบพรบ!CT48"")"),327750)</f>
        <v>327750</v>
      </c>
      <c r="I48" s="82">
        <f ca="1">IFERROR(__xludf.DUMMYFUNCTION("IMPORTRANGE(""https://docs.google.com/spreadsheets/d/1MeEWN-I1oV_STSDYn1IFDPWt_1FKiwhDph83XaGc0o0/edit?usp=sharing"",""งบพรบ!CU48"")"),0)</f>
        <v>0</v>
      </c>
      <c r="J48" s="82">
        <f t="shared" ca="1" si="3"/>
        <v>184004.12</v>
      </c>
      <c r="K48" s="83">
        <f t="shared" ca="1" si="4"/>
        <v>44.499182587666262</v>
      </c>
      <c r="L48" s="82">
        <f ca="1">IFERROR(__xludf.DUMMYFUNCTION("IMPORTRANGE(""https://docs.google.com/spreadsheets/d/1MeEWN-I1oV_STSDYn1IFDPWt_1FKiwhDph83XaGc0o0/edit?usp=sharing"",""งบพรบ!CV48"")"),184004.12)</f>
        <v>184004.12</v>
      </c>
      <c r="M48" s="84">
        <f t="shared" ca="1" si="5"/>
        <v>44.499182587666262</v>
      </c>
      <c r="N48" s="84">
        <f t="shared" ca="1" si="6"/>
        <v>56.141607932875665</v>
      </c>
      <c r="O48" s="85">
        <f ca="1">IFERROR(__xludf.DUMMYFUNCTION("IMPORTRANGE(""https://docs.google.com/spreadsheets/d/1MeEWN-I1oV_STSDYn1IFDPWt_1FKiwhDph83XaGc0o0/edit?usp=sharing"",""งบพรบ!CW48"")"),0)</f>
        <v>0</v>
      </c>
      <c r="P48" s="85">
        <f t="shared" ca="1" si="108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IFERROR(__xludf.DUMMYFUNCTION("IMPORTRANGE(""https://docs.google.com/spreadsheets/d/16UeMz0UgOB5BZcoxP75eYGcLFtGYRn9GoesD4OX9m5U/edit?usp=sharing"",""หนองบัวลำภู!L191"")"),6000)</f>
        <v>6000</v>
      </c>
      <c r="S48" s="86">
        <f ca="1">IFERROR(__xludf.DUMMYFUNCTION("IMPORTRANGE(""https://docs.google.com/spreadsheets/d/16UeMz0UgOB5BZcoxP75eYGcLFtGYRn9GoesD4OX9m5U/edit?usp=sharing"",""หนองบัวลำภู!N191"")"),0)</f>
        <v>0</v>
      </c>
      <c r="T48" s="87">
        <f t="shared" ca="1" si="84"/>
        <v>0</v>
      </c>
      <c r="U48" s="86">
        <f ca="1">IFERROR(__xludf.DUMMYFUNCTION("IMPORTRANGE(""https://docs.google.com/spreadsheets/d/16UeMz0UgOB5BZcoxP75eYGcLFtGYRn9GoesD4OX9m5U/edit?usp=sharing"",""หนองบัวลำภู!I193"")"),4)</f>
        <v>4</v>
      </c>
      <c r="V48" s="86">
        <f ca="1">IFERROR(__xludf.DUMMYFUNCTION("IMPORTRANGE(""https://docs.google.com/spreadsheets/d/16UeMz0UgOB5BZcoxP75eYGcLFtGYRn9GoesD4OX9m5U/edit?usp=sharing"",""หนองบัวลำภู!J193"")"),1)</f>
        <v>1</v>
      </c>
      <c r="W48" s="87">
        <f t="shared" ca="1" si="85"/>
        <v>25</v>
      </c>
      <c r="X48" s="86">
        <f t="shared" ca="1" si="161"/>
        <v>0</v>
      </c>
      <c r="Y48" s="86">
        <f ca="1">IFERROR(__xludf.DUMMYFUNCTION("IMPORTRANGE(""https://docs.google.com/spreadsheets/d/16UeMz0UgOB5BZcoxP75eYGcLFtGYRn9GoesD4OX9m5U/edit?usp=sharing"",""หนองบัวลำภู!J195"")"),0)</f>
        <v>0</v>
      </c>
      <c r="Z48" s="86">
        <f ca="1">IFERROR(__xludf.DUMMYFUNCTION("IMPORTRANGE(""https://docs.google.com/spreadsheets/d/16UeMz0UgOB5BZcoxP75eYGcLFtGYRn9GoesD4OX9m5U/edit?usp=sharing"",""หนองบัวลำภู!J196"")"),0)</f>
        <v>0</v>
      </c>
      <c r="AA48" s="86">
        <f ca="1">IFERROR(__xludf.DUMMYFUNCTION("IMPORTRANGE(""https://docs.google.com/spreadsheets/d/16UeMz0UgOB5BZcoxP75eYGcLFtGYRn9GoesD4OX9m5U/edit?usp=sharing"",""หนองบัวลำภู!L199"")"),3000)</f>
        <v>3000</v>
      </c>
      <c r="AB48" s="86">
        <f ca="1">IFERROR(__xludf.DUMMYFUNCTION("IMPORTRANGE(""https://docs.google.com/spreadsheets/d/16UeMz0UgOB5BZcoxP75eYGcLFtGYRn9GoesD4OX9m5U/edit?usp=sharing"",""หนองบัวลำภู!N199"")"),3000)</f>
        <v>3000</v>
      </c>
      <c r="AC48" s="87">
        <f t="shared" ca="1" si="86"/>
        <v>100</v>
      </c>
      <c r="AD48" s="86">
        <f ca="1">IFERROR(__xludf.DUMMYFUNCTION("IMPORTRANGE(""https://docs.google.com/spreadsheets/d/16UeMz0UgOB5BZcoxP75eYGcLFtGYRn9GoesD4OX9m5U/edit?usp=sharing"",""หนองบัวลำภู!L200"")"),24000)</f>
        <v>24000</v>
      </c>
      <c r="AE48" s="86">
        <f ca="1">IFERROR(__xludf.DUMMYFUNCTION("IMPORTRANGE(""https://docs.google.com/spreadsheets/d/16UeMz0UgOB5BZcoxP75eYGcLFtGYRn9GoesD4OX9m5U/edit?usp=sharing"",""หนองบัวลำภู!N200"")"),23816)</f>
        <v>23816</v>
      </c>
      <c r="AF48" s="87">
        <f t="shared" ca="1" si="87"/>
        <v>99.233333333333334</v>
      </c>
      <c r="AG48" s="86">
        <f ca="1">IFERROR(__xludf.DUMMYFUNCTION("IMPORTRANGE(""https://docs.google.com/spreadsheets/d/16UeMz0UgOB5BZcoxP75eYGcLFtGYRn9GoesD4OX9m5U/edit?usp=sharing"",""หนองบัวลำภู!L201"")"),12000)</f>
        <v>12000</v>
      </c>
      <c r="AH48" s="86">
        <f ca="1">IFERROR(__xludf.DUMMYFUNCTION("IMPORTRANGE(""https://docs.google.com/spreadsheets/d/16UeMz0UgOB5BZcoxP75eYGcLFtGYRn9GoesD4OX9m5U/edit?usp=sharing"",""หนองบัวลำภู!N201"")"),0)</f>
        <v>0</v>
      </c>
      <c r="AI48" s="87">
        <f t="shared" ca="1" si="88"/>
        <v>0</v>
      </c>
      <c r="AJ48" s="86">
        <f ca="1">IFERROR(__xludf.DUMMYFUNCTION("IMPORTRANGE(""https://docs.google.com/spreadsheets/d/16UeMz0UgOB5BZcoxP75eYGcLFtGYRn9GoesD4OX9m5U/edit?usp=sharing"",""หนองบัวลำภู!L202"")"),0)</f>
        <v>0</v>
      </c>
      <c r="AK48" s="86">
        <f ca="1">IFERROR(__xludf.DUMMYFUNCTION("IMPORTRANGE(""https://docs.google.com/spreadsheets/d/16UeMz0UgOB5BZcoxP75eYGcLFtGYRn9GoesD4OX9m5U/edit?usp=sharing"",""หนองบัวลำภู!N202"")"),0)</f>
        <v>0</v>
      </c>
      <c r="AL48" s="87">
        <f t="shared" ca="1" si="89"/>
        <v>0</v>
      </c>
      <c r="AM48" s="86">
        <f ca="1">IFERROR(__xludf.DUMMYFUNCTION("IMPORTRANGE(""https://docs.google.com/spreadsheets/d/16UeMz0UgOB5BZcoxP75eYGcLFtGYRn9GoesD4OX9m5U/edit?usp=sharing"",""หนองบัวลำภู!I204"")"),3)</f>
        <v>3</v>
      </c>
      <c r="AN48" s="86">
        <f ca="1">IFERROR(__xludf.DUMMYFUNCTION("IMPORTRANGE(""https://docs.google.com/spreadsheets/d/16UeMz0UgOB5BZcoxP75eYGcLFtGYRn9GoesD4OX9m5U/edit?usp=sharing"",""หนองบัวลำภู!J204"")"),3)</f>
        <v>3</v>
      </c>
      <c r="AO48" s="87">
        <f t="shared" ca="1" si="90"/>
        <v>100</v>
      </c>
      <c r="AP48" s="298" t="str">
        <f ca="1">IFERROR(__xludf.DUMMYFUNCTION("IMPORTRANGE(""https://docs.google.com/spreadsheets/d/16UeMz0UgOB5BZcoxP75eYGcLFtGYRn9GoesD4OX9m5U/edit?usp=sharing"",""หนองบัวลำภู!J206"")"),"")</f>
        <v/>
      </c>
      <c r="AQ48" s="298">
        <f ca="1">IFERROR(__xludf.DUMMYFUNCTION("IMPORTRANGE(""https://docs.google.com/spreadsheets/d/16UeMz0UgOB5BZcoxP75eYGcLFtGYRn9GoesD4OX9m5U/edit?usp=sharing"",""หนองบัวลำภู!J207"")"),0)</f>
        <v>0</v>
      </c>
      <c r="AR48" s="86">
        <f ca="1">IFERROR(__xludf.DUMMYFUNCTION("IMPORTRANGE(""https://docs.google.com/spreadsheets/d/16UeMz0UgOB5BZcoxP75eYGcLFtGYRn9GoesD4OX9m5U/edit?usp=sharing"",""หนองบัวลำภู!L210"")"),3000)</f>
        <v>3000</v>
      </c>
      <c r="AS48" s="86">
        <f ca="1">IFERROR(__xludf.DUMMYFUNCTION("IMPORTRANGE(""https://docs.google.com/spreadsheets/d/16UeMz0UgOB5BZcoxP75eYGcLFtGYRn9GoesD4OX9m5U/edit?usp=sharing"",""หนองบัวลำภู!N210"")"),3000)</f>
        <v>3000</v>
      </c>
      <c r="AT48" s="87">
        <f t="shared" ca="1" si="91"/>
        <v>100</v>
      </c>
      <c r="AU48" s="86">
        <f ca="1">IFERROR(__xludf.DUMMYFUNCTION("IMPORTRANGE(""https://docs.google.com/spreadsheets/d/16UeMz0UgOB5BZcoxP75eYGcLFtGYRn9GoesD4OX9m5U/edit?usp=sharing"",""หนองบัวลำภู!L211"")"),15000)</f>
        <v>15000</v>
      </c>
      <c r="AV48" s="86">
        <f ca="1">IFERROR(__xludf.DUMMYFUNCTION("IMPORTRANGE(""https://docs.google.com/spreadsheets/d/16UeMz0UgOB5BZcoxP75eYGcLFtGYRn9GoesD4OX9m5U/edit?usp=sharing"",""หนองบัวลำภู!N211"")"),0)</f>
        <v>0</v>
      </c>
      <c r="AW48" s="87">
        <f t="shared" ca="1" si="92"/>
        <v>0</v>
      </c>
      <c r="AX48" s="86">
        <f ca="1">IFERROR(__xludf.DUMMYFUNCTION("IMPORTRANGE(""https://docs.google.com/spreadsheets/d/16UeMz0UgOB5BZcoxP75eYGcLFtGYRn9GoesD4OX9m5U/edit?usp=sharing"",""หนองบัวลำภู!L212"")"),24000)</f>
        <v>24000</v>
      </c>
      <c r="AY48" s="86">
        <f ca="1">IFERROR(__xludf.DUMMYFUNCTION("IMPORTRANGE(""https://docs.google.com/spreadsheets/d/16UeMz0UgOB5BZcoxP75eYGcLFtGYRn9GoesD4OX9m5U/edit?usp=sharing"",""หนองบัวลำภู!N212"")"),24000)</f>
        <v>24000</v>
      </c>
      <c r="AZ48" s="87">
        <f t="shared" ca="1" si="93"/>
        <v>100</v>
      </c>
      <c r="BA48" s="86">
        <f ca="1">IFERROR(__xludf.DUMMYFUNCTION("IMPORTRANGE(""https://docs.google.com/spreadsheets/d/16UeMz0UgOB5BZcoxP75eYGcLFtGYRn9GoesD4OX9m5U/edit?usp=sharing"",""หนองบัวลำภู!I214"")"),3)</f>
        <v>3</v>
      </c>
      <c r="BB48" s="86">
        <f ca="1">IFERROR(__xludf.DUMMYFUNCTION("IMPORTRANGE(""https://docs.google.com/spreadsheets/d/16UeMz0UgOB5BZcoxP75eYGcLFtGYRn9GoesD4OX9m5U/edit?usp=sharing"",""หนองบัวลำภู!J214"")"),0)</f>
        <v>0</v>
      </c>
      <c r="BC48" s="87">
        <f t="shared" ca="1" si="94"/>
        <v>0</v>
      </c>
      <c r="BD48" s="86">
        <f ca="1">IFERROR(__xludf.DUMMYFUNCTION("IMPORTRANGE(""https://docs.google.com/spreadsheets/d/16UeMz0UgOB5BZcoxP75eYGcLFtGYRn9GoesD4OX9m5U/edit?usp=sharing"",""หนองบัวลำภู!I215"")"),3)</f>
        <v>3</v>
      </c>
      <c r="BE48" s="86">
        <f ca="1">IFERROR(__xludf.DUMMYFUNCTION("IMPORTRANGE(""https://docs.google.com/spreadsheets/d/16UeMz0UgOB5BZcoxP75eYGcLFtGYRn9GoesD4OX9m5U/edit?usp=sharing"",""หนองบัวลำภู!J215"")"),3)</f>
        <v>3</v>
      </c>
      <c r="BF48" s="87">
        <f t="shared" ca="1" si="95"/>
        <v>100</v>
      </c>
      <c r="BG48" s="86">
        <f ca="1">IFERROR(__xludf.DUMMYFUNCTION("IMPORTRANGE(""https://docs.google.com/spreadsheets/d/16UeMz0UgOB5BZcoxP75eYGcLFtGYRn9GoesD4OX9m5U/edit?usp=sharing"",""หนองบัวลำภู!L218"")"),3000)</f>
        <v>3000</v>
      </c>
      <c r="BH48" s="86">
        <f ca="1">IFERROR(__xludf.DUMMYFUNCTION("IMPORTRANGE(""https://docs.google.com/spreadsheets/d/16UeMz0UgOB5BZcoxP75eYGcLFtGYRn9GoesD4OX9m5U/edit?usp=sharing"",""หนองบัวลำภู!N218"")"),0)</f>
        <v>0</v>
      </c>
      <c r="BI48" s="87">
        <f t="shared" ca="1" si="96"/>
        <v>0</v>
      </c>
      <c r="BJ48" s="86">
        <f ca="1">IFERROR(__xludf.DUMMYFUNCTION("IMPORTRANGE(""https://docs.google.com/spreadsheets/d/16UeMz0UgOB5BZcoxP75eYGcLFtGYRn9GoesD4OX9m5U/edit?usp=sharing"",""หนองบัวลำภู!L219"")"),3500)</f>
        <v>3500</v>
      </c>
      <c r="BK48" s="86">
        <f ca="1">IFERROR(__xludf.DUMMYFUNCTION("IMPORTRANGE(""https://docs.google.com/spreadsheets/d/16UeMz0UgOB5BZcoxP75eYGcLFtGYRn9GoesD4OX9m5U/edit?usp=sharing"",""หนองบัวลำภู!N219"")"),0)</f>
        <v>0</v>
      </c>
      <c r="BL48" s="87">
        <f t="shared" ca="1" si="97"/>
        <v>0</v>
      </c>
      <c r="BM48" s="86">
        <f ca="1">IFERROR(__xludf.DUMMYFUNCTION("IMPORTRANGE(""https://docs.google.com/spreadsheets/d/16UeMz0UgOB5BZcoxP75eYGcLFtGYRn9GoesD4OX9m5U/edit?usp=sharing"",""หนองบัวลำภู!L220"")"),10000)</f>
        <v>10000</v>
      </c>
      <c r="BN48" s="86">
        <f ca="1">IFERROR(__xludf.DUMMYFUNCTION("IMPORTRANGE(""https://docs.google.com/spreadsheets/d/16UeMz0UgOB5BZcoxP75eYGcLFtGYRn9GoesD4OX9m5U/edit?usp=sharing"",""หนองบัวลำภู!N220"")"),0)</f>
        <v>0</v>
      </c>
      <c r="BO48" s="87">
        <f t="shared" ca="1" si="98"/>
        <v>0</v>
      </c>
      <c r="BP48" s="86">
        <f ca="1">IFERROR(__xludf.DUMMYFUNCTION("IMPORTRANGE(""https://docs.google.com/spreadsheets/d/16UeMz0UgOB5BZcoxP75eYGcLFtGYRn9GoesD4OX9m5U/edit?usp=sharing"",""หนองบัวลำภู!I223"")"),10000)</f>
        <v>10000</v>
      </c>
      <c r="BQ48" s="86">
        <f ca="1">IFERROR(__xludf.DUMMYFUNCTION("IMPORTRANGE(""https://docs.google.com/spreadsheets/d/16UeMz0UgOB5BZcoxP75eYGcLFtGYRn9GoesD4OX9m5U/edit?usp=sharing"",""หนองบัวลำภู!J223"")"),10000)</f>
        <v>10000</v>
      </c>
      <c r="BR48" s="87">
        <f t="shared" ca="1" si="99"/>
        <v>100</v>
      </c>
      <c r="BS48" s="86">
        <f ca="1">IFERROR(__xludf.DUMMYFUNCTION("IMPORTRANGE(""https://docs.google.com/spreadsheets/d/16UeMz0UgOB5BZcoxP75eYGcLFtGYRn9GoesD4OX9m5U/edit?usp=sharing"",""หนองบัวลำภู!I224"")"),10000)</f>
        <v>10000</v>
      </c>
      <c r="BT48" s="86">
        <f ca="1">IFERROR(__xludf.DUMMYFUNCTION("IMPORTRANGE(""https://docs.google.com/spreadsheets/d/16UeMz0UgOB5BZcoxP75eYGcLFtGYRn9GoesD4OX9m5U/edit?usp=sharing"",""หนองบัวลำภู!J224"")"),0)</f>
        <v>0</v>
      </c>
      <c r="BU48" s="87">
        <f t="shared" ca="1" si="100"/>
        <v>0</v>
      </c>
      <c r="BV48" s="86">
        <f ca="1">IFERROR(__xludf.DUMMYFUNCTION("IMPORTRANGE(""https://docs.google.com/spreadsheets/d/16UeMz0UgOB5BZcoxP75eYGcLFtGYRn9GoesD4OX9m5U/edit?usp=sharing"",""หนองบัวลำภู!I225"")"),10)</f>
        <v>10</v>
      </c>
      <c r="BW48" s="86">
        <f ca="1">IFERROR(__xludf.DUMMYFUNCTION("IMPORTRANGE(""https://docs.google.com/spreadsheets/d/16UeMz0UgOB5BZcoxP75eYGcLFtGYRn9GoesD4OX9m5U/edit?usp=sharing"",""หนองบัวลำภู!J225"")"),0)</f>
        <v>0</v>
      </c>
      <c r="BX48" s="87">
        <f t="shared" ca="1" si="101"/>
        <v>0</v>
      </c>
      <c r="BY48" s="86">
        <f ca="1">IFERROR(__xludf.DUMMYFUNCTION("IMPORTRANGE(""https://docs.google.com/spreadsheets/d/16UeMz0UgOB5BZcoxP75eYGcLFtGYRn9GoesD4OX9m5U/edit?usp=sharing"",""หนองบัวลำภู!L228"")"),0)</f>
        <v>0</v>
      </c>
      <c r="BZ48" s="86">
        <f ca="1">IFERROR(__xludf.DUMMYFUNCTION("IMPORTRANGE(""https://docs.google.com/spreadsheets/d/16UeMz0UgOB5BZcoxP75eYGcLFtGYRn9GoesD4OX9m5U/edit?usp=sharing"",""หนองบัวลำภู!N228"")"),0)</f>
        <v>0</v>
      </c>
      <c r="CA48" s="87">
        <f t="shared" ca="1" si="102"/>
        <v>0</v>
      </c>
      <c r="CB48" s="86">
        <f ca="1">IFERROR(__xludf.DUMMYFUNCTION("IMPORTRANGE(""https://docs.google.com/spreadsheets/d/16UeMz0UgOB5BZcoxP75eYGcLFtGYRn9GoesD4OX9m5U/edit?usp=sharing"",""หนองบัวลำภู!L229"")"),0)</f>
        <v>0</v>
      </c>
      <c r="CC48" s="86">
        <f ca="1">IFERROR(__xludf.DUMMYFUNCTION("IMPORTRANGE(""https://docs.google.com/spreadsheets/d/16UeMz0UgOB5BZcoxP75eYGcLFtGYRn9GoesD4OX9m5U/edit?usp=sharing"",""หนองบัวลำภู!N229"")"),0)</f>
        <v>0</v>
      </c>
      <c r="CD48" s="87">
        <f t="shared" ca="1" si="103"/>
        <v>0</v>
      </c>
      <c r="CE48" s="86">
        <f ca="1">IFERROR(__xludf.DUMMYFUNCTION("IMPORTRANGE(""https://docs.google.com/spreadsheets/d/16UeMz0UgOB5BZcoxP75eYGcLFtGYRn9GoesD4OX9m5U/edit?usp=sharing"",""หนองบัวลำภู!L230"")"),0)</f>
        <v>0</v>
      </c>
      <c r="CF48" s="86">
        <f ca="1">IFERROR(__xludf.DUMMYFUNCTION("IMPORTRANGE(""https://docs.google.com/spreadsheets/d/16UeMz0UgOB5BZcoxP75eYGcLFtGYRn9GoesD4OX9m5U/edit?usp=sharing"",""หนองบัวลำภู!N230"")"),0)</f>
        <v>0</v>
      </c>
      <c r="CG48" s="87">
        <f t="shared" ca="1" si="104"/>
        <v>0</v>
      </c>
      <c r="CH48" s="86">
        <f ca="1">IFERROR(__xludf.DUMMYFUNCTION("IMPORTRANGE(""https://docs.google.com/spreadsheets/d/16UeMz0UgOB5BZcoxP75eYGcLFtGYRn9GoesD4OX9m5U/edit?usp=sharing"",""หนองบัวลำภู!L231"")"),0)</f>
        <v>0</v>
      </c>
      <c r="CI48" s="86">
        <f ca="1">IFERROR(__xludf.DUMMYFUNCTION("IMPORTRANGE(""https://docs.google.com/spreadsheets/d/16UeMz0UgOB5BZcoxP75eYGcLFtGYRn9GoesD4OX9m5U/edit?usp=sharing"",""หนองบัวลำภู!N231"")"),0)</f>
        <v>0</v>
      </c>
      <c r="CJ48" s="87">
        <f t="shared" ca="1" si="105"/>
        <v>0</v>
      </c>
      <c r="CK48" s="86">
        <f ca="1">IFERROR(__xludf.DUMMYFUNCTION("IMPORTRANGE(""https://docs.google.com/spreadsheets/d/16UeMz0UgOB5BZcoxP75eYGcLFtGYRn9GoesD4OX9m5U/edit?usp=sharing"",""หนองบัวลำภู!I233"")"),0)</f>
        <v>0</v>
      </c>
      <c r="CL48" s="86">
        <f ca="1">IFERROR(__xludf.DUMMYFUNCTION("IMPORTRANGE(""https://docs.google.com/spreadsheets/d/16UeMz0UgOB5BZcoxP75eYGcLFtGYRn9GoesD4OX9m5U/edit?usp=sharing"",""หนองบัวลำภู!J233"")"),0)</f>
        <v>0</v>
      </c>
      <c r="CM48" s="87">
        <f t="shared" ca="1" si="106"/>
        <v>0</v>
      </c>
      <c r="CN48" s="86">
        <f ca="1">IFERROR(__xludf.DUMMYFUNCTION("IMPORTRANGE(""https://docs.google.com/spreadsheets/d/16UeMz0UgOB5BZcoxP75eYGcLFtGYRn9GoesD4OX9m5U/edit?usp=sharing"",""หนองบัวลำภู!J235"")"),0)</f>
        <v>0</v>
      </c>
      <c r="CO48" s="86">
        <f ca="1">IFERROR(__xludf.DUMMYFUNCTION("IMPORTRANGE(""https://docs.google.com/spreadsheets/d/16UeMz0UgOB5BZcoxP75eYGcLFtGYRn9GoesD4OX9m5U/edit?usp=sharing"",""หนองบัวลำภู!J236"")"),0)</f>
        <v>0</v>
      </c>
    </row>
    <row r="49" spans="1:93" ht="21" customHeight="1" x14ac:dyDescent="0.3">
      <c r="A49" s="78">
        <v>18</v>
      </c>
      <c r="B49" s="79" t="s">
        <v>71</v>
      </c>
      <c r="C49" s="80">
        <f t="shared" ca="1" si="0"/>
        <v>73600</v>
      </c>
      <c r="D49" s="81">
        <f t="shared" ca="1" si="160"/>
        <v>73600</v>
      </c>
      <c r="E49" s="82">
        <f ca="1">IFERROR(__xludf.DUMMYFUNCTION("IMPORTRANGE(""https://docs.google.com/spreadsheets/d/1MeEWN-I1oV_STSDYn1IFDPWt_1FKiwhDph83XaGc0o0/edit?usp=sharing"",""งบพรบ!CP49"")"),0)</f>
        <v>0</v>
      </c>
      <c r="F49" s="82">
        <f ca="1">IFERROR(__xludf.DUMMYFUNCTION("IMPORTRANGE(""https://docs.google.com/spreadsheets/d/1MeEWN-I1oV_STSDYn1IFDPWt_1FKiwhDph83XaGc0o0/edit?usp=sharing"",""งบพรบ!CQ49"")"),73600)</f>
        <v>73600</v>
      </c>
      <c r="G49" s="82">
        <f ca="1">IFERROR(__xludf.DUMMYFUNCTION("IMPORTRANGE(""https://docs.google.com/spreadsheets/d/1MeEWN-I1oV_STSDYn1IFDPWt_1FKiwhDph83XaGc0o0/edit?usp=sharing"",""งบพรบ!CR49"")"),0)</f>
        <v>0</v>
      </c>
      <c r="H49" s="82">
        <f ca="1">IFERROR(__xludf.DUMMYFUNCTION("IMPORTRANGE(""https://docs.google.com/spreadsheets/d/1MeEWN-I1oV_STSDYn1IFDPWt_1FKiwhDph83XaGc0o0/edit?usp=sharing"",""งบพรบ!CT49"")"),54500)</f>
        <v>54500</v>
      </c>
      <c r="I49" s="82">
        <f ca="1">IFERROR(__xludf.DUMMYFUNCTION("IMPORTRANGE(""https://docs.google.com/spreadsheets/d/1MeEWN-I1oV_STSDYn1IFDPWt_1FKiwhDph83XaGc0o0/edit?usp=sharing"",""งบพรบ!CU49"")"),0)</f>
        <v>0</v>
      </c>
      <c r="J49" s="82">
        <f t="shared" ca="1" si="3"/>
        <v>28820</v>
      </c>
      <c r="K49" s="83">
        <f t="shared" ca="1" si="4"/>
        <v>39.157608695652172</v>
      </c>
      <c r="L49" s="82">
        <f ca="1">IFERROR(__xludf.DUMMYFUNCTION("IMPORTRANGE(""https://docs.google.com/spreadsheets/d/1MeEWN-I1oV_STSDYn1IFDPWt_1FKiwhDph83XaGc0o0/edit?usp=sharing"",""งบพรบ!CV49"")"),28820)</f>
        <v>28820</v>
      </c>
      <c r="M49" s="84">
        <f t="shared" ca="1" si="5"/>
        <v>39.157608695652172</v>
      </c>
      <c r="N49" s="84">
        <f t="shared" ca="1" si="6"/>
        <v>52.88073394495413</v>
      </c>
      <c r="O49" s="85">
        <f ca="1">IFERROR(__xludf.DUMMYFUNCTION("IMPORTRANGE(""https://docs.google.com/spreadsheets/d/1MeEWN-I1oV_STSDYn1IFDPWt_1FKiwhDph83XaGc0o0/edit?usp=sharing"",""งบพรบ!CW49"")"),0)</f>
        <v>0</v>
      </c>
      <c r="P49" s="85">
        <f t="shared" ca="1" si="108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IFERROR(__xludf.DUMMYFUNCTION("IMPORTRANGE(""https://docs.google.com/spreadsheets/d/1uUP8Zo1-qaJLuIkRU0qlwLSE3DHkbdrrj2JGJiWBQZE/edit?usp=sharing"",""อำนาจเจริญ!L191"")"),6000)</f>
        <v>6000</v>
      </c>
      <c r="S49" s="86">
        <f ca="1">IFERROR(__xludf.DUMMYFUNCTION("IMPORTRANGE(""https://docs.google.com/spreadsheets/d/1uUP8Zo1-qaJLuIkRU0qlwLSE3DHkbdrrj2JGJiWBQZE/edit?usp=sharing"",""อำนาจเจริญ!N191"")"),2820)</f>
        <v>2820</v>
      </c>
      <c r="T49" s="87">
        <f t="shared" ca="1" si="84"/>
        <v>47</v>
      </c>
      <c r="U49" s="86">
        <f ca="1">IFERROR(__xludf.DUMMYFUNCTION("IMPORTRANGE(""https://docs.google.com/spreadsheets/d/1uUP8Zo1-qaJLuIkRU0qlwLSE3DHkbdrrj2JGJiWBQZE/edit?usp=sharing"",""อำนาจเจริญ!I193"")"),4)</f>
        <v>4</v>
      </c>
      <c r="V49" s="86">
        <f ca="1">IFERROR(__xludf.DUMMYFUNCTION("IMPORTRANGE(""https://docs.google.com/spreadsheets/d/1uUP8Zo1-qaJLuIkRU0qlwLSE3DHkbdrrj2JGJiWBQZE/edit?usp=sharing"",""อำนาจเจริญ!J193"")"),2)</f>
        <v>2</v>
      </c>
      <c r="W49" s="87">
        <f t="shared" ca="1" si="85"/>
        <v>50</v>
      </c>
      <c r="X49" s="86">
        <f t="shared" ca="1" si="161"/>
        <v>39</v>
      </c>
      <c r="Y49" s="86">
        <f ca="1">IFERROR(__xludf.DUMMYFUNCTION("IMPORTRANGE(""https://docs.google.com/spreadsheets/d/1uUP8Zo1-qaJLuIkRU0qlwLSE3DHkbdrrj2JGJiWBQZE/edit?usp=sharing"",""อำนาจเจริญ!J195"")"),39)</f>
        <v>39</v>
      </c>
      <c r="Z49" s="86">
        <f ca="1">IFERROR(__xludf.DUMMYFUNCTION("IMPORTRANGE(""https://docs.google.com/spreadsheets/d/1uUP8Zo1-qaJLuIkRU0qlwLSE3DHkbdrrj2JGJiWBQZE/edit?usp=sharing"",""อำนาจเจริญ!J196"")"),0)</f>
        <v>0</v>
      </c>
      <c r="AA49" s="86">
        <f ca="1">IFERROR(__xludf.DUMMYFUNCTION("IMPORTRANGE(""https://docs.google.com/spreadsheets/d/1uUP8Zo1-qaJLuIkRU0qlwLSE3DHkbdrrj2JGJiWBQZE/edit?usp=sharing"",""อำนาจเจริญ!L199"")"),2000)</f>
        <v>2000</v>
      </c>
      <c r="AB49" s="86">
        <f ca="1">IFERROR(__xludf.DUMMYFUNCTION("IMPORTRANGE(""https://docs.google.com/spreadsheets/d/1uUP8Zo1-qaJLuIkRU0qlwLSE3DHkbdrrj2JGJiWBQZE/edit?usp=sharing"",""อำนาจเจริญ!N199"")"),2000)</f>
        <v>2000</v>
      </c>
      <c r="AC49" s="87">
        <f t="shared" ca="1" si="86"/>
        <v>100</v>
      </c>
      <c r="AD49" s="86">
        <f ca="1">IFERROR(__xludf.DUMMYFUNCTION("IMPORTRANGE(""https://docs.google.com/spreadsheets/d/1uUP8Zo1-qaJLuIkRU0qlwLSE3DHkbdrrj2JGJiWBQZE/edit?usp=sharing"",""อำนาจเจริญ!L200"")"),16000)</f>
        <v>16000</v>
      </c>
      <c r="AE49" s="86">
        <f ca="1">IFERROR(__xludf.DUMMYFUNCTION("IMPORTRANGE(""https://docs.google.com/spreadsheets/d/1uUP8Zo1-qaJLuIkRU0qlwLSE3DHkbdrrj2JGJiWBQZE/edit?usp=sharing"",""อำนาจเจริญ!N200"")"),16000)</f>
        <v>16000</v>
      </c>
      <c r="AF49" s="87">
        <f t="shared" ca="1" si="87"/>
        <v>100</v>
      </c>
      <c r="AG49" s="86">
        <f ca="1">IFERROR(__xludf.DUMMYFUNCTION("IMPORTRANGE(""https://docs.google.com/spreadsheets/d/1uUP8Zo1-qaJLuIkRU0qlwLSE3DHkbdrrj2JGJiWBQZE/edit?usp=sharing"",""อำนาจเจริญ!L201"")"),8000)</f>
        <v>8000</v>
      </c>
      <c r="AH49" s="86">
        <f ca="1">IFERROR(__xludf.DUMMYFUNCTION("IMPORTRANGE(""https://docs.google.com/spreadsheets/d/1uUP8Zo1-qaJLuIkRU0qlwLSE3DHkbdrrj2JGJiWBQZE/edit?usp=sharing"",""อำนาจเจริญ!N201"")"),0)</f>
        <v>0</v>
      </c>
      <c r="AI49" s="87">
        <f t="shared" ca="1" si="88"/>
        <v>0</v>
      </c>
      <c r="AJ49" s="86">
        <f ca="1">IFERROR(__xludf.DUMMYFUNCTION("IMPORTRANGE(""https://docs.google.com/spreadsheets/d/1uUP8Zo1-qaJLuIkRU0qlwLSE3DHkbdrrj2JGJiWBQZE/edit?usp=sharing"",""อำนาจเจริญ!L202"")"),5000)</f>
        <v>5000</v>
      </c>
      <c r="AK49" s="86">
        <f ca="1">IFERROR(__xludf.DUMMYFUNCTION("IMPORTRANGE(""https://docs.google.com/spreadsheets/d/1uUP8Zo1-qaJLuIkRU0qlwLSE3DHkbdrrj2JGJiWBQZE/edit?usp=sharing"",""อำนาจเจริญ!N202"")"),0)</f>
        <v>0</v>
      </c>
      <c r="AL49" s="87">
        <f t="shared" ca="1" si="89"/>
        <v>0</v>
      </c>
      <c r="AM49" s="86">
        <f ca="1">IFERROR(__xludf.DUMMYFUNCTION("IMPORTRANGE(""https://docs.google.com/spreadsheets/d/1uUP8Zo1-qaJLuIkRU0qlwLSE3DHkbdrrj2JGJiWBQZE/edit?usp=sharing"",""อำนาจเจริญ!I204"")"),2)</f>
        <v>2</v>
      </c>
      <c r="AN49" s="86">
        <f ca="1">IFERROR(__xludf.DUMMYFUNCTION("IMPORTRANGE(""https://docs.google.com/spreadsheets/d/1uUP8Zo1-qaJLuIkRU0qlwLSE3DHkbdrrj2JGJiWBQZE/edit?usp=sharing"",""อำนาจเจริญ!J204"")"),2)</f>
        <v>2</v>
      </c>
      <c r="AO49" s="87">
        <f t="shared" ca="1" si="90"/>
        <v>100</v>
      </c>
      <c r="AP49" s="298">
        <f ca="1">IFERROR(__xludf.DUMMYFUNCTION("IMPORTRANGE(""https://docs.google.com/spreadsheets/d/1uUP8Zo1-qaJLuIkRU0qlwLSE3DHkbdrrj2JGJiWBQZE/edit?usp=sharing"",""อำนาจเจริญ!J206"")"),2)</f>
        <v>2</v>
      </c>
      <c r="AQ49" s="298">
        <f ca="1">IFERROR(__xludf.DUMMYFUNCTION("IMPORTRANGE(""https://docs.google.com/spreadsheets/d/1uUP8Zo1-qaJLuIkRU0qlwLSE3DHkbdrrj2JGJiWBQZE/edit?usp=sharing"",""อำนาจเจริญ!J207"")"),1)</f>
        <v>1</v>
      </c>
      <c r="AR49" s="86">
        <f ca="1">IFERROR(__xludf.DUMMYFUNCTION("IMPORTRANGE(""https://docs.google.com/spreadsheets/d/1uUP8Zo1-qaJLuIkRU0qlwLSE3DHkbdrrj2JGJiWBQZE/edit?usp=sharing"",""อำนาจเจริญ!L210"")"),1000)</f>
        <v>1000</v>
      </c>
      <c r="AS49" s="86">
        <f ca="1">IFERROR(__xludf.DUMMYFUNCTION("IMPORTRANGE(""https://docs.google.com/spreadsheets/d/1uUP8Zo1-qaJLuIkRU0qlwLSE3DHkbdrrj2JGJiWBQZE/edit?usp=sharing"",""อำนาจเจริญ!N210"")"),0)</f>
        <v>0</v>
      </c>
      <c r="AT49" s="87">
        <f t="shared" ca="1" si="91"/>
        <v>0</v>
      </c>
      <c r="AU49" s="86">
        <f ca="1">IFERROR(__xludf.DUMMYFUNCTION("IMPORTRANGE(""https://docs.google.com/spreadsheets/d/1uUP8Zo1-qaJLuIkRU0qlwLSE3DHkbdrrj2JGJiWBQZE/edit?usp=sharing"",""อำนาจเจริญ!L211"")"),5000)</f>
        <v>5000</v>
      </c>
      <c r="AV49" s="86">
        <f ca="1">IFERROR(__xludf.DUMMYFUNCTION("IMPORTRANGE(""https://docs.google.com/spreadsheets/d/1uUP8Zo1-qaJLuIkRU0qlwLSE3DHkbdrrj2JGJiWBQZE/edit?usp=sharing"",""อำนาจเจริญ!N211"")"),0)</f>
        <v>0</v>
      </c>
      <c r="AW49" s="87">
        <f t="shared" ca="1" si="92"/>
        <v>0</v>
      </c>
      <c r="AX49" s="86">
        <f ca="1">IFERROR(__xludf.DUMMYFUNCTION("IMPORTRANGE(""https://docs.google.com/spreadsheets/d/1uUP8Zo1-qaJLuIkRU0qlwLSE3DHkbdrrj2JGJiWBQZE/edit?usp=sharing"",""อำนาจเจริญ!L212"")"),8000)</f>
        <v>8000</v>
      </c>
      <c r="AY49" s="86">
        <f ca="1">IFERROR(__xludf.DUMMYFUNCTION("IMPORTRANGE(""https://docs.google.com/spreadsheets/d/1uUP8Zo1-qaJLuIkRU0qlwLSE3DHkbdrrj2JGJiWBQZE/edit?usp=sharing"",""อำนาจเจริญ!N212"")"),8000)</f>
        <v>8000</v>
      </c>
      <c r="AZ49" s="87">
        <f t="shared" ca="1" si="93"/>
        <v>100</v>
      </c>
      <c r="BA49" s="86">
        <f ca="1">IFERROR(__xludf.DUMMYFUNCTION("IMPORTRANGE(""https://docs.google.com/spreadsheets/d/1uUP8Zo1-qaJLuIkRU0qlwLSE3DHkbdrrj2JGJiWBQZE/edit?usp=sharing"",""อำนาจเจริญ!I214"")"),1)</f>
        <v>1</v>
      </c>
      <c r="BB49" s="86">
        <f ca="1">IFERROR(__xludf.DUMMYFUNCTION("IMPORTRANGE(""https://docs.google.com/spreadsheets/d/1uUP8Zo1-qaJLuIkRU0qlwLSE3DHkbdrrj2JGJiWBQZE/edit?usp=sharing"",""อำนาจเจริญ!J214"")"),0)</f>
        <v>0</v>
      </c>
      <c r="BC49" s="87">
        <f t="shared" ca="1" si="94"/>
        <v>0</v>
      </c>
      <c r="BD49" s="86">
        <f ca="1">IFERROR(__xludf.DUMMYFUNCTION("IMPORTRANGE(""https://docs.google.com/spreadsheets/d/1uUP8Zo1-qaJLuIkRU0qlwLSE3DHkbdrrj2JGJiWBQZE/edit?usp=sharing"",""อำนาจเจริญ!I215"")"),1)</f>
        <v>1</v>
      </c>
      <c r="BE49" s="86">
        <f ca="1">IFERROR(__xludf.DUMMYFUNCTION("IMPORTRANGE(""https://docs.google.com/spreadsheets/d/1uUP8Zo1-qaJLuIkRU0qlwLSE3DHkbdrrj2JGJiWBQZE/edit?usp=sharing"",""อำนาจเจริญ!J215"")"),1)</f>
        <v>1</v>
      </c>
      <c r="BF49" s="87">
        <f t="shared" ca="1" si="95"/>
        <v>100</v>
      </c>
      <c r="BG49" s="86">
        <f ca="1">IFERROR(__xludf.DUMMYFUNCTION("IMPORTRANGE(""https://docs.google.com/spreadsheets/d/1uUP8Zo1-qaJLuIkRU0qlwLSE3DHkbdrrj2JGJiWBQZE/edit?usp=sharing"",""อำนาจเจริญ!L218"")"),5000)</f>
        <v>5000</v>
      </c>
      <c r="BH49" s="86">
        <f ca="1">IFERROR(__xludf.DUMMYFUNCTION("IMPORTRANGE(""https://docs.google.com/spreadsheets/d/1uUP8Zo1-qaJLuIkRU0qlwLSE3DHkbdrrj2JGJiWBQZE/edit?usp=sharing"",""อำนาจเจริญ!N218"")"),0)</f>
        <v>0</v>
      </c>
      <c r="BI49" s="87">
        <f t="shared" ca="1" si="96"/>
        <v>0</v>
      </c>
      <c r="BJ49" s="86">
        <f ca="1">IFERROR(__xludf.DUMMYFUNCTION("IMPORTRANGE(""https://docs.google.com/spreadsheets/d/1uUP8Zo1-qaJLuIkRU0qlwLSE3DHkbdrrj2JGJiWBQZE/edit?usp=sharing"",""อำนาจเจริญ!L219"")"),17600)</f>
        <v>17600</v>
      </c>
      <c r="BK49" s="86">
        <f ca="1">IFERROR(__xludf.DUMMYFUNCTION("IMPORTRANGE(""https://docs.google.com/spreadsheets/d/1uUP8Zo1-qaJLuIkRU0qlwLSE3DHkbdrrj2JGJiWBQZE/edit?usp=sharing"",""อำนาจเจริญ!N219"")"),0)</f>
        <v>0</v>
      </c>
      <c r="BL49" s="87">
        <f t="shared" ca="1" si="97"/>
        <v>0</v>
      </c>
      <c r="BM49" s="86">
        <f ca="1">IFERROR(__xludf.DUMMYFUNCTION("IMPORTRANGE(""https://docs.google.com/spreadsheets/d/1uUP8Zo1-qaJLuIkRU0qlwLSE3DHkbdrrj2JGJiWBQZE/edit?usp=sharing"",""อำนาจเจริญ!L220"")"),0)</f>
        <v>0</v>
      </c>
      <c r="BN49" s="86">
        <f ca="1">IFERROR(__xludf.DUMMYFUNCTION("IMPORTRANGE(""https://docs.google.com/spreadsheets/d/1uUP8Zo1-qaJLuIkRU0qlwLSE3DHkbdrrj2JGJiWBQZE/edit?usp=sharing"",""อำนาจเจริญ!N220"")"),0)</f>
        <v>0</v>
      </c>
      <c r="BO49" s="87">
        <f t="shared" ca="1" si="98"/>
        <v>0</v>
      </c>
      <c r="BP49" s="86">
        <f ca="1">IFERROR(__xludf.DUMMYFUNCTION("IMPORTRANGE(""https://docs.google.com/spreadsheets/d/1uUP8Zo1-qaJLuIkRU0qlwLSE3DHkbdrrj2JGJiWBQZE/edit?usp=sharing"",""อำนาจเจริญ!I223"")"),64000)</f>
        <v>64000</v>
      </c>
      <c r="BQ49" s="86">
        <f ca="1">IFERROR(__xludf.DUMMYFUNCTION("IMPORTRANGE(""https://docs.google.com/spreadsheets/d/1uUP8Zo1-qaJLuIkRU0qlwLSE3DHkbdrrj2JGJiWBQZE/edit?usp=sharing"",""อำนาจเจริญ!J223"")"),0)</f>
        <v>0</v>
      </c>
      <c r="BR49" s="87">
        <f t="shared" ca="1" si="99"/>
        <v>0</v>
      </c>
      <c r="BS49" s="86">
        <f ca="1">IFERROR(__xludf.DUMMYFUNCTION("IMPORTRANGE(""https://docs.google.com/spreadsheets/d/1uUP8Zo1-qaJLuIkRU0qlwLSE3DHkbdrrj2JGJiWBQZE/edit?usp=sharing"",""อำนาจเจริญ!I224"")"),64000)</f>
        <v>64000</v>
      </c>
      <c r="BT49" s="86">
        <f ca="1">IFERROR(__xludf.DUMMYFUNCTION("IMPORTRANGE(""https://docs.google.com/spreadsheets/d/1uUP8Zo1-qaJLuIkRU0qlwLSE3DHkbdrrj2JGJiWBQZE/edit?usp=sharing"",""อำนาจเจริญ!J224"")"),0)</f>
        <v>0</v>
      </c>
      <c r="BU49" s="87">
        <f t="shared" ca="1" si="100"/>
        <v>0</v>
      </c>
      <c r="BV49" s="86">
        <f ca="1">IFERROR(__xludf.DUMMYFUNCTION("IMPORTRANGE(""https://docs.google.com/spreadsheets/d/1uUP8Zo1-qaJLuIkRU0qlwLSE3DHkbdrrj2JGJiWBQZE/edit?usp=sharing"",""อำนาจเจริญ!I225"")"),0)</f>
        <v>0</v>
      </c>
      <c r="BW49" s="86">
        <f ca="1">IFERROR(__xludf.DUMMYFUNCTION("IMPORTRANGE(""https://docs.google.com/spreadsheets/d/1uUP8Zo1-qaJLuIkRU0qlwLSE3DHkbdrrj2JGJiWBQZE/edit?usp=sharing"",""อำนาจเจริญ!J225"")"),0)</f>
        <v>0</v>
      </c>
      <c r="BX49" s="87">
        <f t="shared" ca="1" si="101"/>
        <v>0</v>
      </c>
      <c r="BY49" s="86">
        <f ca="1">IFERROR(__xludf.DUMMYFUNCTION("IMPORTRANGE(""https://docs.google.com/spreadsheets/d/1uUP8Zo1-qaJLuIkRU0qlwLSE3DHkbdrrj2JGJiWBQZE/edit?usp=sharing"",""อำนาจเจริญ!L228"")"),0)</f>
        <v>0</v>
      </c>
      <c r="BZ49" s="86">
        <f ca="1">IFERROR(__xludf.DUMMYFUNCTION("IMPORTRANGE(""https://docs.google.com/spreadsheets/d/1uUP8Zo1-qaJLuIkRU0qlwLSE3DHkbdrrj2JGJiWBQZE/edit?usp=sharing"",""อำนาจเจริญ!N228"")"),0)</f>
        <v>0</v>
      </c>
      <c r="CA49" s="87">
        <f t="shared" ca="1" si="102"/>
        <v>0</v>
      </c>
      <c r="CB49" s="86">
        <f ca="1">IFERROR(__xludf.DUMMYFUNCTION("IMPORTRANGE(""https://docs.google.com/spreadsheets/d/1uUP8Zo1-qaJLuIkRU0qlwLSE3DHkbdrrj2JGJiWBQZE/edit?usp=sharing"",""อำนาจเจริญ!L229"")"),0)</f>
        <v>0</v>
      </c>
      <c r="CC49" s="86">
        <f ca="1">IFERROR(__xludf.DUMMYFUNCTION("IMPORTRANGE(""https://docs.google.com/spreadsheets/d/1uUP8Zo1-qaJLuIkRU0qlwLSE3DHkbdrrj2JGJiWBQZE/edit?usp=sharing"",""อำนาจเจริญ!N229"")"),0)</f>
        <v>0</v>
      </c>
      <c r="CD49" s="87">
        <f t="shared" ca="1" si="103"/>
        <v>0</v>
      </c>
      <c r="CE49" s="86">
        <f ca="1">IFERROR(__xludf.DUMMYFUNCTION("IMPORTRANGE(""https://docs.google.com/spreadsheets/d/1uUP8Zo1-qaJLuIkRU0qlwLSE3DHkbdrrj2JGJiWBQZE/edit?usp=sharing"",""อำนาจเจริญ!L230"")"),0)</f>
        <v>0</v>
      </c>
      <c r="CF49" s="86">
        <f ca="1">IFERROR(__xludf.DUMMYFUNCTION("IMPORTRANGE(""https://docs.google.com/spreadsheets/d/1uUP8Zo1-qaJLuIkRU0qlwLSE3DHkbdrrj2JGJiWBQZE/edit?usp=sharing"",""อำนาจเจริญ!N230"")"),0)</f>
        <v>0</v>
      </c>
      <c r="CG49" s="87">
        <f t="shared" ca="1" si="104"/>
        <v>0</v>
      </c>
      <c r="CH49" s="86">
        <f ca="1">IFERROR(__xludf.DUMMYFUNCTION("IMPORTRANGE(""https://docs.google.com/spreadsheets/d/1uUP8Zo1-qaJLuIkRU0qlwLSE3DHkbdrrj2JGJiWBQZE/edit?usp=sharing"",""อำนาจเจริญ!L231"")"),0)</f>
        <v>0</v>
      </c>
      <c r="CI49" s="86">
        <f ca="1">IFERROR(__xludf.DUMMYFUNCTION("IMPORTRANGE(""https://docs.google.com/spreadsheets/d/1uUP8Zo1-qaJLuIkRU0qlwLSE3DHkbdrrj2JGJiWBQZE/edit?usp=sharing"",""อำนาจเจริญ!N231"")"),0)</f>
        <v>0</v>
      </c>
      <c r="CJ49" s="87">
        <f t="shared" ca="1" si="105"/>
        <v>0</v>
      </c>
      <c r="CK49" s="86">
        <f ca="1">IFERROR(__xludf.DUMMYFUNCTION("IMPORTRANGE(""https://docs.google.com/spreadsheets/d/1uUP8Zo1-qaJLuIkRU0qlwLSE3DHkbdrrj2JGJiWBQZE/edit?usp=sharing"",""อำนาจเจริญ!I233"")"),0)</f>
        <v>0</v>
      </c>
      <c r="CL49" s="86">
        <f ca="1">IFERROR(__xludf.DUMMYFUNCTION("IMPORTRANGE(""https://docs.google.com/spreadsheets/d/1uUP8Zo1-qaJLuIkRU0qlwLSE3DHkbdrrj2JGJiWBQZE/edit?usp=sharing"",""อำนาจเจริญ!J233"")"),0)</f>
        <v>0</v>
      </c>
      <c r="CM49" s="87">
        <f t="shared" ca="1" si="106"/>
        <v>0</v>
      </c>
      <c r="CN49" s="86">
        <f ca="1">IFERROR(__xludf.DUMMYFUNCTION("IMPORTRANGE(""https://docs.google.com/spreadsheets/d/1uUP8Zo1-qaJLuIkRU0qlwLSE3DHkbdrrj2JGJiWBQZE/edit?usp=sharing"",""อำนาจเจริญ!J235"")"),0)</f>
        <v>0</v>
      </c>
      <c r="CO49" s="86">
        <f ca="1">IFERROR(__xludf.DUMMYFUNCTION("IMPORTRANGE(""https://docs.google.com/spreadsheets/d/1uUP8Zo1-qaJLuIkRU0qlwLSE3DHkbdrrj2JGJiWBQZE/edit?usp=sharing"",""อำนาจเจริญ!J236"")"),0)</f>
        <v>0</v>
      </c>
    </row>
    <row r="50" spans="1:93" ht="21" customHeight="1" x14ac:dyDescent="0.3">
      <c r="A50" s="78">
        <v>19</v>
      </c>
      <c r="B50" s="79" t="s">
        <v>72</v>
      </c>
      <c r="C50" s="80">
        <f t="shared" ca="1" si="0"/>
        <v>93500</v>
      </c>
      <c r="D50" s="81">
        <f t="shared" ca="1" si="160"/>
        <v>93500</v>
      </c>
      <c r="E50" s="82">
        <f ca="1">IFERROR(__xludf.DUMMYFUNCTION("IMPORTRANGE(""https://docs.google.com/spreadsheets/d/1MeEWN-I1oV_STSDYn1IFDPWt_1FKiwhDph83XaGc0o0/edit?usp=sharing"",""งบพรบ!CP50"")"),0)</f>
        <v>0</v>
      </c>
      <c r="F50" s="82">
        <f ca="1">IFERROR(__xludf.DUMMYFUNCTION("IMPORTRANGE(""https://docs.google.com/spreadsheets/d/1MeEWN-I1oV_STSDYn1IFDPWt_1FKiwhDph83XaGc0o0/edit?usp=sharing"",""งบพรบ!CQ50"")"),93500)</f>
        <v>93500</v>
      </c>
      <c r="G50" s="82">
        <f ca="1">IFERROR(__xludf.DUMMYFUNCTION("IMPORTRANGE(""https://docs.google.com/spreadsheets/d/1MeEWN-I1oV_STSDYn1IFDPWt_1FKiwhDph83XaGc0o0/edit?usp=sharing"",""งบพรบ!CR50"")"),0)</f>
        <v>0</v>
      </c>
      <c r="H50" s="82">
        <f ca="1">IFERROR(__xludf.DUMMYFUNCTION("IMPORTRANGE(""https://docs.google.com/spreadsheets/d/1MeEWN-I1oV_STSDYn1IFDPWt_1FKiwhDph83XaGc0o0/edit?usp=sharing"",""งบพรบ!CT50"")"),88500)</f>
        <v>88500</v>
      </c>
      <c r="I50" s="82">
        <f ca="1">IFERROR(__xludf.DUMMYFUNCTION("IMPORTRANGE(""https://docs.google.com/spreadsheets/d/1MeEWN-I1oV_STSDYn1IFDPWt_1FKiwhDph83XaGc0o0/edit?usp=sharing"",""งบพรบ!CU50"")"),0)</f>
        <v>0</v>
      </c>
      <c r="J50" s="82">
        <f t="shared" ca="1" si="3"/>
        <v>53680</v>
      </c>
      <c r="K50" s="83">
        <f t="shared" ca="1" si="4"/>
        <v>57.411764705882355</v>
      </c>
      <c r="L50" s="82">
        <f ca="1">IFERROR(__xludf.DUMMYFUNCTION("IMPORTRANGE(""https://docs.google.com/spreadsheets/d/1MeEWN-I1oV_STSDYn1IFDPWt_1FKiwhDph83XaGc0o0/edit?usp=sharing"",""งบพรบ!CV50"")"),53680)</f>
        <v>53680</v>
      </c>
      <c r="M50" s="84">
        <f t="shared" ca="1" si="5"/>
        <v>57.411764705882355</v>
      </c>
      <c r="N50" s="84">
        <f t="shared" ca="1" si="6"/>
        <v>60.655367231638415</v>
      </c>
      <c r="O50" s="85">
        <f ca="1">IFERROR(__xludf.DUMMYFUNCTION("IMPORTRANGE(""https://docs.google.com/spreadsheets/d/1MeEWN-I1oV_STSDYn1IFDPWt_1FKiwhDph83XaGc0o0/edit?usp=sharing"",""งบพรบ!CW50"")"),0)</f>
        <v>0</v>
      </c>
      <c r="P50" s="85">
        <f t="shared" ca="1" si="108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IFERROR(__xludf.DUMMYFUNCTION("IMPORTRANGE(""https://docs.google.com/spreadsheets/d/1hb_taSOHanzRjqfzWPiFo8yiT83VV1L7vvUCLhOiHKc/edit?usp=sharing"",""อุดรธานี!L191"")"),6000)</f>
        <v>6000</v>
      </c>
      <c r="S50" s="86">
        <f ca="1">IFERROR(__xludf.DUMMYFUNCTION("IMPORTRANGE(""https://docs.google.com/spreadsheets/d/1hb_taSOHanzRjqfzWPiFo8yiT83VV1L7vvUCLhOiHKc/edit?usp=sharing"",""อุดรธานี!N191"")"),0)</f>
        <v>0</v>
      </c>
      <c r="T50" s="87">
        <f t="shared" ca="1" si="84"/>
        <v>0</v>
      </c>
      <c r="U50" s="86">
        <f ca="1">IFERROR(__xludf.DUMMYFUNCTION("IMPORTRANGE(""https://docs.google.com/spreadsheets/d/1hb_taSOHanzRjqfzWPiFo8yiT83VV1L7vvUCLhOiHKc/edit?usp=sharing"",""อุดรธานี!I193"")"),4)</f>
        <v>4</v>
      </c>
      <c r="V50" s="86">
        <f ca="1">IFERROR(__xludf.DUMMYFUNCTION("IMPORTRANGE(""https://docs.google.com/spreadsheets/d/1hb_taSOHanzRjqfzWPiFo8yiT83VV1L7vvUCLhOiHKc/edit?usp=sharing"",""อุดรธานี!J193"")"),1)</f>
        <v>1</v>
      </c>
      <c r="W50" s="87">
        <f t="shared" ca="1" si="85"/>
        <v>25</v>
      </c>
      <c r="X50" s="86">
        <f t="shared" ca="1" si="161"/>
        <v>169</v>
      </c>
      <c r="Y50" s="86">
        <f ca="1">IFERROR(__xludf.DUMMYFUNCTION("IMPORTRANGE(""https://docs.google.com/spreadsheets/d/1hb_taSOHanzRjqfzWPiFo8yiT83VV1L7vvUCLhOiHKc/edit?usp=sharing"",""อุดรธานี!J195"")"),154)</f>
        <v>154</v>
      </c>
      <c r="Z50" s="86">
        <f ca="1">IFERROR(__xludf.DUMMYFUNCTION("IMPORTRANGE(""https://docs.google.com/spreadsheets/d/1hb_taSOHanzRjqfzWPiFo8yiT83VV1L7vvUCLhOiHKc/edit?usp=sharing"",""อุดรธานี!J196"")"),15)</f>
        <v>15</v>
      </c>
      <c r="AA50" s="86">
        <f ca="1">IFERROR(__xludf.DUMMYFUNCTION("IMPORTRANGE(""https://docs.google.com/spreadsheets/d/1hb_taSOHanzRjqfzWPiFo8yiT83VV1L7vvUCLhOiHKc/edit?usp=sharing"",""อุดรธานี!L199"")"),3000)</f>
        <v>3000</v>
      </c>
      <c r="AB50" s="86">
        <f ca="1">IFERROR(__xludf.DUMMYFUNCTION("IMPORTRANGE(""https://docs.google.com/spreadsheets/d/1hb_taSOHanzRjqfzWPiFo8yiT83VV1L7vvUCLhOiHKc/edit?usp=sharing"",""อุดรธานี!N199"")"),3000)</f>
        <v>3000</v>
      </c>
      <c r="AC50" s="87">
        <f t="shared" ca="1" si="86"/>
        <v>100</v>
      </c>
      <c r="AD50" s="86">
        <f ca="1">IFERROR(__xludf.DUMMYFUNCTION("IMPORTRANGE(""https://docs.google.com/spreadsheets/d/1hb_taSOHanzRjqfzWPiFo8yiT83VV1L7vvUCLhOiHKc/edit?usp=sharing"",""อุดรธานี!L200"")"),24000)</f>
        <v>24000</v>
      </c>
      <c r="AE50" s="86">
        <f ca="1">IFERROR(__xludf.DUMMYFUNCTION("IMPORTRANGE(""https://docs.google.com/spreadsheets/d/1hb_taSOHanzRjqfzWPiFo8yiT83VV1L7vvUCLhOiHKc/edit?usp=sharing"",""อุดรธานี!N200"")"),24000)</f>
        <v>24000</v>
      </c>
      <c r="AF50" s="87">
        <f t="shared" ca="1" si="87"/>
        <v>100</v>
      </c>
      <c r="AG50" s="86">
        <f ca="1">IFERROR(__xludf.DUMMYFUNCTION("IMPORTRANGE(""https://docs.google.com/spreadsheets/d/1hb_taSOHanzRjqfzWPiFo8yiT83VV1L7vvUCLhOiHKc/edit?usp=sharing"",""อุดรธานี!L201"")"),12000)</f>
        <v>12000</v>
      </c>
      <c r="AH50" s="86">
        <f ca="1">IFERROR(__xludf.DUMMYFUNCTION("IMPORTRANGE(""https://docs.google.com/spreadsheets/d/1hb_taSOHanzRjqfzWPiFo8yiT83VV1L7vvUCLhOiHKc/edit?usp=sharing"",""อุดรธานี!N201"")"),0)</f>
        <v>0</v>
      </c>
      <c r="AI50" s="87">
        <f t="shared" ca="1" si="88"/>
        <v>0</v>
      </c>
      <c r="AJ50" s="86">
        <f ca="1">IFERROR(__xludf.DUMMYFUNCTION("IMPORTRANGE(""https://docs.google.com/spreadsheets/d/1hb_taSOHanzRjqfzWPiFo8yiT83VV1L7vvUCLhOiHKc/edit?usp=sharing"",""อุดรธานี!L202"")"),0)</f>
        <v>0</v>
      </c>
      <c r="AK50" s="86">
        <f ca="1">IFERROR(__xludf.DUMMYFUNCTION("IMPORTRANGE(""https://docs.google.com/spreadsheets/d/1hb_taSOHanzRjqfzWPiFo8yiT83VV1L7vvUCLhOiHKc/edit?usp=sharing"",""อุดรธานี!N202"")"),0)</f>
        <v>0</v>
      </c>
      <c r="AL50" s="87">
        <f t="shared" ca="1" si="89"/>
        <v>0</v>
      </c>
      <c r="AM50" s="86">
        <f ca="1">IFERROR(__xludf.DUMMYFUNCTION("IMPORTRANGE(""https://docs.google.com/spreadsheets/d/1hb_taSOHanzRjqfzWPiFo8yiT83VV1L7vvUCLhOiHKc/edit?usp=sharing"",""อุดรธานี!I204"")"),3)</f>
        <v>3</v>
      </c>
      <c r="AN50" s="86">
        <f ca="1">IFERROR(__xludf.DUMMYFUNCTION("IMPORTRANGE(""https://docs.google.com/spreadsheets/d/1hb_taSOHanzRjqfzWPiFo8yiT83VV1L7vvUCLhOiHKc/edit?usp=sharing"",""อุดรธานี!J204"")"),3)</f>
        <v>3</v>
      </c>
      <c r="AO50" s="87">
        <f t="shared" ca="1" si="90"/>
        <v>100</v>
      </c>
      <c r="AP50" s="298">
        <f ca="1">IFERROR(__xludf.DUMMYFUNCTION("IMPORTRANGE(""https://docs.google.com/spreadsheets/d/1hb_taSOHanzRjqfzWPiFo8yiT83VV1L7vvUCLhOiHKc/edit?usp=sharing"",""อุดรธานี!J206"")"),0)</f>
        <v>0</v>
      </c>
      <c r="AQ50" s="298">
        <f ca="1">IFERROR(__xludf.DUMMYFUNCTION("IMPORTRANGE(""https://docs.google.com/spreadsheets/d/1hb_taSOHanzRjqfzWPiFo8yiT83VV1L7vvUCLhOiHKc/edit?usp=sharing"",""อุดรธานี!J207"")"),0)</f>
        <v>0</v>
      </c>
      <c r="AR50" s="86">
        <f ca="1">IFERROR(__xludf.DUMMYFUNCTION("IMPORTRANGE(""https://docs.google.com/spreadsheets/d/1hb_taSOHanzRjqfzWPiFo8yiT83VV1L7vvUCLhOiHKc/edit?usp=sharing"",""อุดรธานี!L210"")"),3000)</f>
        <v>3000</v>
      </c>
      <c r="AS50" s="86">
        <f ca="1">IFERROR(__xludf.DUMMYFUNCTION("IMPORTRANGE(""https://docs.google.com/spreadsheets/d/1hb_taSOHanzRjqfzWPiFo8yiT83VV1L7vvUCLhOiHKc/edit?usp=sharing"",""อุดรธานี!N210"")"),2680)</f>
        <v>2680</v>
      </c>
      <c r="AT50" s="87">
        <f t="shared" ca="1" si="91"/>
        <v>89.333333333333329</v>
      </c>
      <c r="AU50" s="86">
        <f ca="1">IFERROR(__xludf.DUMMYFUNCTION("IMPORTRANGE(""https://docs.google.com/spreadsheets/d/1hb_taSOHanzRjqfzWPiFo8yiT83VV1L7vvUCLhOiHKc/edit?usp=sharing"",""อุดรธานี!L211"")"),15000)</f>
        <v>15000</v>
      </c>
      <c r="AV50" s="86">
        <f ca="1">IFERROR(__xludf.DUMMYFUNCTION("IMPORTRANGE(""https://docs.google.com/spreadsheets/d/1hb_taSOHanzRjqfzWPiFo8yiT83VV1L7vvUCLhOiHKc/edit?usp=sharing"",""อุดรธานี!N211"")"),0)</f>
        <v>0</v>
      </c>
      <c r="AW50" s="87">
        <f t="shared" ca="1" si="92"/>
        <v>0</v>
      </c>
      <c r="AX50" s="86">
        <f ca="1">IFERROR(__xludf.DUMMYFUNCTION("IMPORTRANGE(""https://docs.google.com/spreadsheets/d/1hb_taSOHanzRjqfzWPiFo8yiT83VV1L7vvUCLhOiHKc/edit?usp=sharing"",""อุดรธานี!L212"")"),24000)</f>
        <v>24000</v>
      </c>
      <c r="AY50" s="86">
        <f ca="1">IFERROR(__xludf.DUMMYFUNCTION("IMPORTRANGE(""https://docs.google.com/spreadsheets/d/1hb_taSOHanzRjqfzWPiFo8yiT83VV1L7vvUCLhOiHKc/edit?usp=sharing"",""อุดรธานี!N212"")"),24000)</f>
        <v>24000</v>
      </c>
      <c r="AZ50" s="87">
        <f t="shared" ca="1" si="93"/>
        <v>100</v>
      </c>
      <c r="BA50" s="86">
        <f ca="1">IFERROR(__xludf.DUMMYFUNCTION("IMPORTRANGE(""https://docs.google.com/spreadsheets/d/1hb_taSOHanzRjqfzWPiFo8yiT83VV1L7vvUCLhOiHKc/edit?usp=sharing"",""อุดรธานี!I214"")"),3)</f>
        <v>3</v>
      </c>
      <c r="BB50" s="86">
        <f ca="1">IFERROR(__xludf.DUMMYFUNCTION("IMPORTRANGE(""https://docs.google.com/spreadsheets/d/1hb_taSOHanzRjqfzWPiFo8yiT83VV1L7vvUCLhOiHKc/edit?usp=sharing"",""อุดรธานี!J214"")"),0)</f>
        <v>0</v>
      </c>
      <c r="BC50" s="87">
        <f t="shared" ca="1" si="94"/>
        <v>0</v>
      </c>
      <c r="BD50" s="86">
        <f ca="1">IFERROR(__xludf.DUMMYFUNCTION("IMPORTRANGE(""https://docs.google.com/spreadsheets/d/1hb_taSOHanzRjqfzWPiFo8yiT83VV1L7vvUCLhOiHKc/edit?usp=sharing"",""อุดรธานี!I215"")"),3)</f>
        <v>3</v>
      </c>
      <c r="BE50" s="86">
        <f ca="1">IFERROR(__xludf.DUMMYFUNCTION("IMPORTRANGE(""https://docs.google.com/spreadsheets/d/1hb_taSOHanzRjqfzWPiFo8yiT83VV1L7vvUCLhOiHKc/edit?usp=sharing"",""อุดรธานี!J215"")"),3)</f>
        <v>3</v>
      </c>
      <c r="BF50" s="87">
        <f t="shared" ca="1" si="95"/>
        <v>100</v>
      </c>
      <c r="BG50" s="86">
        <f ca="1">IFERROR(__xludf.DUMMYFUNCTION("IMPORTRANGE(""https://docs.google.com/spreadsheets/d/1hb_taSOHanzRjqfzWPiFo8yiT83VV1L7vvUCLhOiHKc/edit?usp=sharing"",""อุดรธานี!L218"")"),3000)</f>
        <v>3000</v>
      </c>
      <c r="BH50" s="86">
        <f ca="1">IFERROR(__xludf.DUMMYFUNCTION("IMPORTRANGE(""https://docs.google.com/spreadsheets/d/1hb_taSOHanzRjqfzWPiFo8yiT83VV1L7vvUCLhOiHKc/edit?usp=sharing"",""อุดรธานี!N218"")"),0)</f>
        <v>0</v>
      </c>
      <c r="BI50" s="87">
        <f t="shared" ca="1" si="96"/>
        <v>0</v>
      </c>
      <c r="BJ50" s="86">
        <f ca="1">IFERROR(__xludf.DUMMYFUNCTION("IMPORTRANGE(""https://docs.google.com/spreadsheets/d/1hb_taSOHanzRjqfzWPiFo8yiT83VV1L7vvUCLhOiHKc/edit?usp=sharing"",""อุดรธานี!L219"")"),3500)</f>
        <v>3500</v>
      </c>
      <c r="BK50" s="86">
        <f ca="1">IFERROR(__xludf.DUMMYFUNCTION("IMPORTRANGE(""https://docs.google.com/spreadsheets/d/1hb_taSOHanzRjqfzWPiFo8yiT83VV1L7vvUCLhOiHKc/edit?usp=sharing"",""อุดรธานี!N219"")"),0)</f>
        <v>0</v>
      </c>
      <c r="BL50" s="87">
        <f t="shared" ca="1" si="97"/>
        <v>0</v>
      </c>
      <c r="BM50" s="86">
        <f ca="1">IFERROR(__xludf.DUMMYFUNCTION("IMPORTRANGE(""https://docs.google.com/spreadsheets/d/1hb_taSOHanzRjqfzWPiFo8yiT83VV1L7vvUCLhOiHKc/edit?usp=sharing"",""อุดรธานี!L220"")"),0)</f>
        <v>0</v>
      </c>
      <c r="BN50" s="86">
        <f ca="1">IFERROR(__xludf.DUMMYFUNCTION("IMPORTRANGE(""https://docs.google.com/spreadsheets/d/1hb_taSOHanzRjqfzWPiFo8yiT83VV1L7vvUCLhOiHKc/edit?usp=sharing"",""อุดรธานี!N220"")"),0)</f>
        <v>0</v>
      </c>
      <c r="BO50" s="87">
        <f t="shared" ca="1" si="98"/>
        <v>0</v>
      </c>
      <c r="BP50" s="86">
        <f ca="1">IFERROR(__xludf.DUMMYFUNCTION("IMPORTRANGE(""https://docs.google.com/spreadsheets/d/1hb_taSOHanzRjqfzWPiFo8yiT83VV1L7vvUCLhOiHKc/edit?usp=sharing"",""อุดรธานี!I223"")"),10000)</f>
        <v>10000</v>
      </c>
      <c r="BQ50" s="86">
        <f ca="1">IFERROR(__xludf.DUMMYFUNCTION("IMPORTRANGE(""https://docs.google.com/spreadsheets/d/1hb_taSOHanzRjqfzWPiFo8yiT83VV1L7vvUCLhOiHKc/edit?usp=sharing"",""อุดรธานี!J223"")"),0)</f>
        <v>0</v>
      </c>
      <c r="BR50" s="87">
        <f t="shared" ca="1" si="99"/>
        <v>0</v>
      </c>
      <c r="BS50" s="86">
        <f ca="1">IFERROR(__xludf.DUMMYFUNCTION("IMPORTRANGE(""https://docs.google.com/spreadsheets/d/1hb_taSOHanzRjqfzWPiFo8yiT83VV1L7vvUCLhOiHKc/edit?usp=sharing"",""อุดรธานี!I224"")"),10000)</f>
        <v>10000</v>
      </c>
      <c r="BT50" s="86">
        <f ca="1">IFERROR(__xludf.DUMMYFUNCTION("IMPORTRANGE(""https://docs.google.com/spreadsheets/d/1hb_taSOHanzRjqfzWPiFo8yiT83VV1L7vvUCLhOiHKc/edit?usp=sharing"",""อุดรธานี!J224"")"),0)</f>
        <v>0</v>
      </c>
      <c r="BU50" s="87">
        <f t="shared" ca="1" si="100"/>
        <v>0</v>
      </c>
      <c r="BV50" s="86">
        <f ca="1">IFERROR(__xludf.DUMMYFUNCTION("IMPORTRANGE(""https://docs.google.com/spreadsheets/d/1hb_taSOHanzRjqfzWPiFo8yiT83VV1L7vvUCLhOiHKc/edit?usp=sharing"",""อุดรธานี!I225"")"),0)</f>
        <v>0</v>
      </c>
      <c r="BW50" s="86">
        <f ca="1">IFERROR(__xludf.DUMMYFUNCTION("IMPORTRANGE(""https://docs.google.com/spreadsheets/d/1hb_taSOHanzRjqfzWPiFo8yiT83VV1L7vvUCLhOiHKc/edit?usp=sharing"",""อุดรธานี!J225"")"),0)</f>
        <v>0</v>
      </c>
      <c r="BX50" s="87">
        <f t="shared" ca="1" si="101"/>
        <v>0</v>
      </c>
      <c r="BY50" s="86">
        <f ca="1">IFERROR(__xludf.DUMMYFUNCTION("IMPORTRANGE(""https://docs.google.com/spreadsheets/d/1hb_taSOHanzRjqfzWPiFo8yiT83VV1L7vvUCLhOiHKc/edit?usp=sharing"",""อุดรธานี!L228"")"),0)</f>
        <v>0</v>
      </c>
      <c r="BZ50" s="86">
        <f ca="1">IFERROR(__xludf.DUMMYFUNCTION("IMPORTRANGE(""https://docs.google.com/spreadsheets/d/1hb_taSOHanzRjqfzWPiFo8yiT83VV1L7vvUCLhOiHKc/edit?usp=sharing"",""อุดรธานี!N228"")"),0)</f>
        <v>0</v>
      </c>
      <c r="CA50" s="87">
        <f t="shared" ca="1" si="102"/>
        <v>0</v>
      </c>
      <c r="CB50" s="86">
        <f ca="1">IFERROR(__xludf.DUMMYFUNCTION("IMPORTRANGE(""https://docs.google.com/spreadsheets/d/1hb_taSOHanzRjqfzWPiFo8yiT83VV1L7vvUCLhOiHKc/edit?usp=sharing"",""อุดรธานี!L229"")"),0)</f>
        <v>0</v>
      </c>
      <c r="CC50" s="86">
        <f ca="1">IFERROR(__xludf.DUMMYFUNCTION("IMPORTRANGE(""https://docs.google.com/spreadsheets/d/1hb_taSOHanzRjqfzWPiFo8yiT83VV1L7vvUCLhOiHKc/edit?usp=sharing"",""อุดรธานี!N229"")"),0)</f>
        <v>0</v>
      </c>
      <c r="CD50" s="87">
        <f t="shared" ca="1" si="103"/>
        <v>0</v>
      </c>
      <c r="CE50" s="86">
        <f ca="1">IFERROR(__xludf.DUMMYFUNCTION("IMPORTRANGE(""https://docs.google.com/spreadsheets/d/1hb_taSOHanzRjqfzWPiFo8yiT83VV1L7vvUCLhOiHKc/edit?usp=sharing"",""อุดรธานี!L230"")"),0)</f>
        <v>0</v>
      </c>
      <c r="CF50" s="86">
        <f ca="1">IFERROR(__xludf.DUMMYFUNCTION("IMPORTRANGE(""https://docs.google.com/spreadsheets/d/1hb_taSOHanzRjqfzWPiFo8yiT83VV1L7vvUCLhOiHKc/edit?usp=sharing"",""อุดรธานี!N230"")"),0)</f>
        <v>0</v>
      </c>
      <c r="CG50" s="87">
        <f t="shared" ca="1" si="104"/>
        <v>0</v>
      </c>
      <c r="CH50" s="86">
        <f ca="1">IFERROR(__xludf.DUMMYFUNCTION("IMPORTRANGE(""https://docs.google.com/spreadsheets/d/1hb_taSOHanzRjqfzWPiFo8yiT83VV1L7vvUCLhOiHKc/edit?usp=sharing"",""อุดรธานี!L231"")"),0)</f>
        <v>0</v>
      </c>
      <c r="CI50" s="86">
        <f ca="1">IFERROR(__xludf.DUMMYFUNCTION("IMPORTRANGE(""https://docs.google.com/spreadsheets/d/1hb_taSOHanzRjqfzWPiFo8yiT83VV1L7vvUCLhOiHKc/edit?usp=sharing"",""อุดรธานี!N231"")"),0)</f>
        <v>0</v>
      </c>
      <c r="CJ50" s="87">
        <f t="shared" ca="1" si="105"/>
        <v>0</v>
      </c>
      <c r="CK50" s="86">
        <f ca="1">IFERROR(__xludf.DUMMYFUNCTION("IMPORTRANGE(""https://docs.google.com/spreadsheets/d/1hb_taSOHanzRjqfzWPiFo8yiT83VV1L7vvUCLhOiHKc/edit?usp=sharing"",""อุดรธานี!I233"")"),0)</f>
        <v>0</v>
      </c>
      <c r="CL50" s="86">
        <f ca="1">IFERROR(__xludf.DUMMYFUNCTION("IMPORTRANGE(""https://docs.google.com/spreadsheets/d/1hb_taSOHanzRjqfzWPiFo8yiT83VV1L7vvUCLhOiHKc/edit?usp=sharing"",""อุดรธานี!J233"")"),0)</f>
        <v>0</v>
      </c>
      <c r="CM50" s="87">
        <f t="shared" ca="1" si="106"/>
        <v>0</v>
      </c>
      <c r="CN50" s="86">
        <f ca="1">IFERROR(__xludf.DUMMYFUNCTION("IMPORTRANGE(""https://docs.google.com/spreadsheets/d/1hb_taSOHanzRjqfzWPiFo8yiT83VV1L7vvUCLhOiHKc/edit?usp=sharing"",""อุดรธานี!J235"")"),0)</f>
        <v>0</v>
      </c>
      <c r="CO50" s="86">
        <f ca="1">IFERROR(__xludf.DUMMYFUNCTION("IMPORTRANGE(""https://docs.google.com/spreadsheets/d/1hb_taSOHanzRjqfzWPiFo8yiT83VV1L7vvUCLhOiHKc/edit?usp=sharing"",""อุดรธานี!J236"")"),0)</f>
        <v>0</v>
      </c>
    </row>
    <row r="51" spans="1:93" ht="21" customHeight="1" x14ac:dyDescent="0.3">
      <c r="A51" s="89">
        <v>20</v>
      </c>
      <c r="B51" s="90" t="s">
        <v>73</v>
      </c>
      <c r="C51" s="91">
        <f t="shared" ca="1" si="0"/>
        <v>492400</v>
      </c>
      <c r="D51" s="92">
        <f t="shared" ca="1" si="160"/>
        <v>492400</v>
      </c>
      <c r="E51" s="93">
        <f ca="1">IFERROR(__xludf.DUMMYFUNCTION("IMPORTRANGE(""https://docs.google.com/spreadsheets/d/1MeEWN-I1oV_STSDYn1IFDPWt_1FKiwhDph83XaGc0o0/edit?usp=sharing"",""งบพรบ!CP51"")"),175500)</f>
        <v>175500</v>
      </c>
      <c r="F51" s="93">
        <f ca="1">IFERROR(__xludf.DUMMYFUNCTION("IMPORTRANGE(""https://docs.google.com/spreadsheets/d/1MeEWN-I1oV_STSDYn1IFDPWt_1FKiwhDph83XaGc0o0/edit?usp=sharing"",""งบพรบ!CQ51"")"),316900)</f>
        <v>316900</v>
      </c>
      <c r="G51" s="93">
        <f ca="1">IFERROR(__xludf.DUMMYFUNCTION("IMPORTRANGE(""https://docs.google.com/spreadsheets/d/1MeEWN-I1oV_STSDYn1IFDPWt_1FKiwhDph83XaGc0o0/edit?usp=sharing"",""งบพรบ!CR51"")"),0)</f>
        <v>0</v>
      </c>
      <c r="H51" s="93">
        <f ca="1">IFERROR(__xludf.DUMMYFUNCTION("IMPORTRANGE(""https://docs.google.com/spreadsheets/d/1MeEWN-I1oV_STSDYn1IFDPWt_1FKiwhDph83XaGc0o0/edit?usp=sharing"",""งบพรบ!CT51"")"),386525)</f>
        <v>386525</v>
      </c>
      <c r="I51" s="93">
        <f ca="1">IFERROR(__xludf.DUMMYFUNCTION("IMPORTRANGE(""https://docs.google.com/spreadsheets/d/1MeEWN-I1oV_STSDYn1IFDPWt_1FKiwhDph83XaGc0o0/edit?usp=sharing"",""งบพรบ!CU51"")"),0)</f>
        <v>0</v>
      </c>
      <c r="J51" s="93">
        <f t="shared" ca="1" si="3"/>
        <v>212171.2</v>
      </c>
      <c r="K51" s="94">
        <f t="shared" ca="1" si="4"/>
        <v>43.089195775792042</v>
      </c>
      <c r="L51" s="93">
        <f ca="1">IFERROR(__xludf.DUMMYFUNCTION("IMPORTRANGE(""https://docs.google.com/spreadsheets/d/1MeEWN-I1oV_STSDYn1IFDPWt_1FKiwhDph83XaGc0o0/edit?usp=sharing"",""งบพรบ!CV51"")"),212171.2)</f>
        <v>212171.2</v>
      </c>
      <c r="M51" s="95">
        <f t="shared" ca="1" si="5"/>
        <v>43.089195775792042</v>
      </c>
      <c r="N51" s="95">
        <f t="shared" ca="1" si="6"/>
        <v>54.891973352305804</v>
      </c>
      <c r="O51" s="96">
        <f ca="1">IFERROR(__xludf.DUMMYFUNCTION("IMPORTRANGE(""https://docs.google.com/spreadsheets/d/1MeEWN-I1oV_STSDYn1IFDPWt_1FKiwhDph83XaGc0o0/edit?usp=sharing"",""งบพรบ!CW51"")"),0)</f>
        <v>0</v>
      </c>
      <c r="P51" s="96">
        <f t="shared" ca="1" si="108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IFERROR(__xludf.DUMMYFUNCTION("IMPORTRANGE(""https://docs.google.com/spreadsheets/d/17IOkEwkUd63EGNfyNDnM5de9YlZ7rwzTiW6-dokVjKI/edit?usp=sharing"",""อุบลราชธานี!L191"")"),6000)</f>
        <v>6000</v>
      </c>
      <c r="S51" s="97">
        <f ca="1">IFERROR(__xludf.DUMMYFUNCTION("IMPORTRANGE(""https://docs.google.com/spreadsheets/d/17IOkEwkUd63EGNfyNDnM5de9YlZ7rwzTiW6-dokVjKI/edit?usp=sharing"",""อุบลราชธานี!N191"")"),0)</f>
        <v>0</v>
      </c>
      <c r="T51" s="98">
        <f t="shared" ca="1" si="84"/>
        <v>0</v>
      </c>
      <c r="U51" s="97">
        <f ca="1">IFERROR(__xludf.DUMMYFUNCTION("IMPORTRANGE(""https://docs.google.com/spreadsheets/d/17IOkEwkUd63EGNfyNDnM5de9YlZ7rwzTiW6-dokVjKI/edit?usp=sharing"",""อุบลราชธานี!I193"")"),4)</f>
        <v>4</v>
      </c>
      <c r="V51" s="97">
        <f ca="1">IFERROR(__xludf.DUMMYFUNCTION("IMPORTRANGE(""https://docs.google.com/spreadsheets/d/17IOkEwkUd63EGNfyNDnM5de9YlZ7rwzTiW6-dokVjKI/edit?usp=sharing"",""อุบลราชธานี!J193"")"),1)</f>
        <v>1</v>
      </c>
      <c r="W51" s="98">
        <f t="shared" ca="1" si="85"/>
        <v>25</v>
      </c>
      <c r="X51" s="97">
        <f t="shared" ca="1" si="161"/>
        <v>35</v>
      </c>
      <c r="Y51" s="97">
        <f ca="1">IFERROR(__xludf.DUMMYFUNCTION("IMPORTRANGE(""https://docs.google.com/spreadsheets/d/17IOkEwkUd63EGNfyNDnM5de9YlZ7rwzTiW6-dokVjKI/edit?usp=sharing"",""อุบลราชธานี!J195"")"),35)</f>
        <v>35</v>
      </c>
      <c r="Z51" s="97">
        <f ca="1">IFERROR(__xludf.DUMMYFUNCTION("IMPORTRANGE(""https://docs.google.com/spreadsheets/d/17IOkEwkUd63EGNfyNDnM5de9YlZ7rwzTiW6-dokVjKI/edit?usp=sharing"",""อุบลราชธานี!J196"")"),0)</f>
        <v>0</v>
      </c>
      <c r="AA51" s="97">
        <f ca="1">IFERROR(__xludf.DUMMYFUNCTION("IMPORTRANGE(""https://docs.google.com/spreadsheets/d/17IOkEwkUd63EGNfyNDnM5de9YlZ7rwzTiW6-dokVjKI/edit?usp=sharing"",""อุบลราชธานี!L199"")"),4000)</f>
        <v>4000</v>
      </c>
      <c r="AB51" s="97">
        <f ca="1">IFERROR(__xludf.DUMMYFUNCTION("IMPORTRANGE(""https://docs.google.com/spreadsheets/d/17IOkEwkUd63EGNfyNDnM5de9YlZ7rwzTiW6-dokVjKI/edit?usp=sharing"",""อุบลราชธานี!N199"")"),0)</f>
        <v>0</v>
      </c>
      <c r="AC51" s="98">
        <f t="shared" ca="1" si="86"/>
        <v>0</v>
      </c>
      <c r="AD51" s="97">
        <f ca="1">IFERROR(__xludf.DUMMYFUNCTION("IMPORTRANGE(""https://docs.google.com/spreadsheets/d/17IOkEwkUd63EGNfyNDnM5de9YlZ7rwzTiW6-dokVjKI/edit?usp=sharing"",""อุบลราชธานี!L200"")"),32000)</f>
        <v>32000</v>
      </c>
      <c r="AE51" s="97">
        <f ca="1">IFERROR(__xludf.DUMMYFUNCTION("IMPORTRANGE(""https://docs.google.com/spreadsheets/d/17IOkEwkUd63EGNfyNDnM5de9YlZ7rwzTiW6-dokVjKI/edit?usp=sharing"",""อุบลราชธานี!N200"")"),32000)</f>
        <v>32000</v>
      </c>
      <c r="AF51" s="98">
        <f t="shared" ca="1" si="87"/>
        <v>100</v>
      </c>
      <c r="AG51" s="97">
        <f ca="1">IFERROR(__xludf.DUMMYFUNCTION("IMPORTRANGE(""https://docs.google.com/spreadsheets/d/17IOkEwkUd63EGNfyNDnM5de9YlZ7rwzTiW6-dokVjKI/edit?usp=sharing"",""อุบลราชธานี!L201"")"),16000)</f>
        <v>16000</v>
      </c>
      <c r="AH51" s="97">
        <f ca="1">IFERROR(__xludf.DUMMYFUNCTION("IMPORTRANGE(""https://docs.google.com/spreadsheets/d/17IOkEwkUd63EGNfyNDnM5de9YlZ7rwzTiW6-dokVjKI/edit?usp=sharing"",""อุบลราชธานี!N201"")"),0)</f>
        <v>0</v>
      </c>
      <c r="AI51" s="98">
        <f t="shared" ca="1" si="88"/>
        <v>0</v>
      </c>
      <c r="AJ51" s="97">
        <f ca="1">IFERROR(__xludf.DUMMYFUNCTION("IMPORTRANGE(""https://docs.google.com/spreadsheets/d/17IOkEwkUd63EGNfyNDnM5de9YlZ7rwzTiW6-dokVjKI/edit?usp=sharing"",""อุบลราชธานี!L202"")"),0)</f>
        <v>0</v>
      </c>
      <c r="AK51" s="97">
        <f ca="1">IFERROR(__xludf.DUMMYFUNCTION("IMPORTRANGE(""https://docs.google.com/spreadsheets/d/17IOkEwkUd63EGNfyNDnM5de9YlZ7rwzTiW6-dokVjKI/edit?usp=sharing"",""อุบลราชธานี!N202"")"),0)</f>
        <v>0</v>
      </c>
      <c r="AL51" s="98">
        <f t="shared" ca="1" si="89"/>
        <v>0</v>
      </c>
      <c r="AM51" s="97">
        <f ca="1">IFERROR(__xludf.DUMMYFUNCTION("IMPORTRANGE(""https://docs.google.com/spreadsheets/d/17IOkEwkUd63EGNfyNDnM5de9YlZ7rwzTiW6-dokVjKI/edit?usp=sharing"",""อุบลราชธานี!I204"")"),4)</f>
        <v>4</v>
      </c>
      <c r="AN51" s="97">
        <f ca="1">IFERROR(__xludf.DUMMYFUNCTION("IMPORTRANGE(""https://docs.google.com/spreadsheets/d/17IOkEwkUd63EGNfyNDnM5de9YlZ7rwzTiW6-dokVjKI/edit?usp=sharing"",""อุบลราชธานี!J204"")"),4)</f>
        <v>4</v>
      </c>
      <c r="AO51" s="98">
        <f t="shared" ca="1" si="90"/>
        <v>100</v>
      </c>
      <c r="AP51" s="299">
        <f ca="1">IFERROR(__xludf.DUMMYFUNCTION("IMPORTRANGE(""https://docs.google.com/spreadsheets/d/17IOkEwkUd63EGNfyNDnM5de9YlZ7rwzTiW6-dokVjKI/edit?usp=sharing"",""อุบลราชธานี!J206"")"),0)</f>
        <v>0</v>
      </c>
      <c r="AQ51" s="299">
        <f ca="1">IFERROR(__xludf.DUMMYFUNCTION("IMPORTRANGE(""https://docs.google.com/spreadsheets/d/17IOkEwkUd63EGNfyNDnM5de9YlZ7rwzTiW6-dokVjKI/edit?usp=sharing"",""อุบลราชธานี!J207"")"),0)</f>
        <v>0</v>
      </c>
      <c r="AR51" s="97">
        <f ca="1">IFERROR(__xludf.DUMMYFUNCTION("IMPORTRANGE(""https://docs.google.com/spreadsheets/d/17IOkEwkUd63EGNfyNDnM5de9YlZ7rwzTiW6-dokVjKI/edit?usp=sharing"",""อุบลราชธานี!L210"")"),2000)</f>
        <v>2000</v>
      </c>
      <c r="AS51" s="97">
        <f ca="1">IFERROR(__xludf.DUMMYFUNCTION("IMPORTRANGE(""https://docs.google.com/spreadsheets/d/17IOkEwkUd63EGNfyNDnM5de9YlZ7rwzTiW6-dokVjKI/edit?usp=sharing"",""อุบลราชธานี!N210"")"),0)</f>
        <v>0</v>
      </c>
      <c r="AT51" s="98">
        <f t="shared" ca="1" si="91"/>
        <v>0</v>
      </c>
      <c r="AU51" s="97">
        <f ca="1">IFERROR(__xludf.DUMMYFUNCTION("IMPORTRANGE(""https://docs.google.com/spreadsheets/d/17IOkEwkUd63EGNfyNDnM5de9YlZ7rwzTiW6-dokVjKI/edit?usp=sharing"",""อุบลราชธานี!L211"")"),10000)</f>
        <v>10000</v>
      </c>
      <c r="AV51" s="97">
        <f ca="1">IFERROR(__xludf.DUMMYFUNCTION("IMPORTRANGE(""https://docs.google.com/spreadsheets/d/17IOkEwkUd63EGNfyNDnM5de9YlZ7rwzTiW6-dokVjKI/edit?usp=sharing"",""อุบลราชธานี!N211"")"),0)</f>
        <v>0</v>
      </c>
      <c r="AW51" s="98">
        <f t="shared" ca="1" si="92"/>
        <v>0</v>
      </c>
      <c r="AX51" s="97">
        <f ca="1">IFERROR(__xludf.DUMMYFUNCTION("IMPORTRANGE(""https://docs.google.com/spreadsheets/d/17IOkEwkUd63EGNfyNDnM5de9YlZ7rwzTiW6-dokVjKI/edit?usp=sharing"",""อุบลราชธานี!L212"")"),16000)</f>
        <v>16000</v>
      </c>
      <c r="AY51" s="97">
        <f ca="1">IFERROR(__xludf.DUMMYFUNCTION("IMPORTRANGE(""https://docs.google.com/spreadsheets/d/17IOkEwkUd63EGNfyNDnM5de9YlZ7rwzTiW6-dokVjKI/edit?usp=sharing"",""อุบลราชธานี!N212"")"),0)</f>
        <v>0</v>
      </c>
      <c r="AZ51" s="98">
        <f t="shared" ca="1" si="93"/>
        <v>0</v>
      </c>
      <c r="BA51" s="97">
        <f ca="1">IFERROR(__xludf.DUMMYFUNCTION("IMPORTRANGE(""https://docs.google.com/spreadsheets/d/17IOkEwkUd63EGNfyNDnM5de9YlZ7rwzTiW6-dokVjKI/edit?usp=sharing"",""อุบลราชธานี!I214"")"),2)</f>
        <v>2</v>
      </c>
      <c r="BB51" s="97">
        <f ca="1">IFERROR(__xludf.DUMMYFUNCTION("IMPORTRANGE(""https://docs.google.com/spreadsheets/d/17IOkEwkUd63EGNfyNDnM5de9YlZ7rwzTiW6-dokVjKI/edit?usp=sharing"",""อุบลราชธานี!J214"")"),0)</f>
        <v>0</v>
      </c>
      <c r="BC51" s="98">
        <f t="shared" ca="1" si="94"/>
        <v>0</v>
      </c>
      <c r="BD51" s="97">
        <f ca="1">IFERROR(__xludf.DUMMYFUNCTION("IMPORTRANGE(""https://docs.google.com/spreadsheets/d/17IOkEwkUd63EGNfyNDnM5de9YlZ7rwzTiW6-dokVjKI/edit?usp=sharing"",""อุบลราชธานี!I215"")"),2)</f>
        <v>2</v>
      </c>
      <c r="BE51" s="97">
        <f ca="1">IFERROR(__xludf.DUMMYFUNCTION("IMPORTRANGE(""https://docs.google.com/spreadsheets/d/17IOkEwkUd63EGNfyNDnM5de9YlZ7rwzTiW6-dokVjKI/edit?usp=sharing"",""อุบลราชธานี!J215"")"),0)</f>
        <v>0</v>
      </c>
      <c r="BF51" s="98">
        <f t="shared" ca="1" si="95"/>
        <v>0</v>
      </c>
      <c r="BG51" s="97">
        <f ca="1">IFERROR(__xludf.DUMMYFUNCTION("IMPORTRANGE(""https://docs.google.com/spreadsheets/d/17IOkEwkUd63EGNfyNDnM5de9YlZ7rwzTiW6-dokVjKI/edit?usp=sharing"",""อุบลราชธานี!L218"")"),5000)</f>
        <v>5000</v>
      </c>
      <c r="BH51" s="97">
        <f ca="1">IFERROR(__xludf.DUMMYFUNCTION("IMPORTRANGE(""https://docs.google.com/spreadsheets/d/17IOkEwkUd63EGNfyNDnM5de9YlZ7rwzTiW6-dokVjKI/edit?usp=sharing"",""อุบลราชธานี!N218"")"),0)</f>
        <v>0</v>
      </c>
      <c r="BI51" s="98">
        <f t="shared" ca="1" si="96"/>
        <v>0</v>
      </c>
      <c r="BJ51" s="97">
        <f ca="1">IFERROR(__xludf.DUMMYFUNCTION("IMPORTRANGE(""https://docs.google.com/spreadsheets/d/17IOkEwkUd63EGNfyNDnM5de9YlZ7rwzTiW6-dokVjKI/edit?usp=sharing"",""อุบลราชธานี!L219"")"),8500)</f>
        <v>8500</v>
      </c>
      <c r="BK51" s="97">
        <f ca="1">IFERROR(__xludf.DUMMYFUNCTION("IMPORTRANGE(""https://docs.google.com/spreadsheets/d/17IOkEwkUd63EGNfyNDnM5de9YlZ7rwzTiW6-dokVjKI/edit?usp=sharing"",""อุบลราชธานี!N219"")"),0)</f>
        <v>0</v>
      </c>
      <c r="BL51" s="98">
        <f t="shared" ca="1" si="97"/>
        <v>0</v>
      </c>
      <c r="BM51" s="97">
        <f ca="1">IFERROR(__xludf.DUMMYFUNCTION("IMPORTRANGE(""https://docs.google.com/spreadsheets/d/17IOkEwkUd63EGNfyNDnM5de9YlZ7rwzTiW6-dokVjKI/edit?usp=sharing"",""อุบลราชธานี!L220"")"),0)</f>
        <v>0</v>
      </c>
      <c r="BN51" s="97">
        <f ca="1">IFERROR(__xludf.DUMMYFUNCTION("IMPORTRANGE(""https://docs.google.com/spreadsheets/d/17IOkEwkUd63EGNfyNDnM5de9YlZ7rwzTiW6-dokVjKI/edit?usp=sharing"",""อุบลราชธานี!N220"")"),0)</f>
        <v>0</v>
      </c>
      <c r="BO51" s="98">
        <f t="shared" ca="1" si="98"/>
        <v>0</v>
      </c>
      <c r="BP51" s="97">
        <f ca="1">IFERROR(__xludf.DUMMYFUNCTION("IMPORTRANGE(""https://docs.google.com/spreadsheets/d/17IOkEwkUd63EGNfyNDnM5de9YlZ7rwzTiW6-dokVjKI/edit?usp=sharing"",""อุบลราชธานี!I223"")"),30000)</f>
        <v>30000</v>
      </c>
      <c r="BQ51" s="97">
        <f ca="1">IFERROR(__xludf.DUMMYFUNCTION("IMPORTRANGE(""https://docs.google.com/spreadsheets/d/17IOkEwkUd63EGNfyNDnM5de9YlZ7rwzTiW6-dokVjKI/edit?usp=sharing"",""อุบลราชธานี!J223"")"),30000)</f>
        <v>30000</v>
      </c>
      <c r="BR51" s="98">
        <f t="shared" ca="1" si="99"/>
        <v>100</v>
      </c>
      <c r="BS51" s="97">
        <f ca="1">IFERROR(__xludf.DUMMYFUNCTION("IMPORTRANGE(""https://docs.google.com/spreadsheets/d/17IOkEwkUd63EGNfyNDnM5de9YlZ7rwzTiW6-dokVjKI/edit?usp=sharing"",""อุบลราชธานี!I224"")"),30000)</f>
        <v>30000</v>
      </c>
      <c r="BT51" s="97">
        <f ca="1">IFERROR(__xludf.DUMMYFUNCTION("IMPORTRANGE(""https://docs.google.com/spreadsheets/d/17IOkEwkUd63EGNfyNDnM5de9YlZ7rwzTiW6-dokVjKI/edit?usp=sharing"",""อุบลราชธานี!J224"")"),0)</f>
        <v>0</v>
      </c>
      <c r="BU51" s="98">
        <f t="shared" ca="1" si="100"/>
        <v>0</v>
      </c>
      <c r="BV51" s="97">
        <f ca="1">IFERROR(__xludf.DUMMYFUNCTION("IMPORTRANGE(""https://docs.google.com/spreadsheets/d/17IOkEwkUd63EGNfyNDnM5de9YlZ7rwzTiW6-dokVjKI/edit?usp=sharing"",""อุบลราชธานี!I225"")"),0)</f>
        <v>0</v>
      </c>
      <c r="BW51" s="97">
        <f ca="1">IFERROR(__xludf.DUMMYFUNCTION("IMPORTRANGE(""https://docs.google.com/spreadsheets/d/17IOkEwkUd63EGNfyNDnM5de9YlZ7rwzTiW6-dokVjKI/edit?usp=sharing"",""อุบลราชธานี!J225"")"),0)</f>
        <v>0</v>
      </c>
      <c r="BX51" s="98">
        <f t="shared" ca="1" si="101"/>
        <v>0</v>
      </c>
      <c r="BY51" s="97">
        <f ca="1">IFERROR(__xludf.DUMMYFUNCTION("IMPORTRANGE(""https://docs.google.com/spreadsheets/d/17IOkEwkUd63EGNfyNDnM5de9YlZ7rwzTiW6-dokVjKI/edit?usp=sharing"",""อุบลราชธานี!L228"")"),163000)</f>
        <v>163000</v>
      </c>
      <c r="BZ51" s="97">
        <f ca="1">IFERROR(__xludf.DUMMYFUNCTION("IMPORTRANGE(""https://docs.google.com/spreadsheets/d/17IOkEwkUd63EGNfyNDnM5de9YlZ7rwzTiW6-dokVjKI/edit?usp=sharing"",""อุบลราชธานี!N228"")"),22000)</f>
        <v>22000</v>
      </c>
      <c r="CA51" s="98">
        <f t="shared" ca="1" si="102"/>
        <v>13.496932515337424</v>
      </c>
      <c r="CB51" s="97">
        <f ca="1">IFERROR(__xludf.DUMMYFUNCTION("IMPORTRANGE(""https://docs.google.com/spreadsheets/d/17IOkEwkUd63EGNfyNDnM5de9YlZ7rwzTiW6-dokVjKI/edit?usp=sharing"",""อุบลราชธานี!L229"")"),44400)</f>
        <v>44400</v>
      </c>
      <c r="CC51" s="97">
        <f ca="1">IFERROR(__xludf.DUMMYFUNCTION("IMPORTRANGE(""https://docs.google.com/spreadsheets/d/17IOkEwkUd63EGNfyNDnM5de9YlZ7rwzTiW6-dokVjKI/edit?usp=sharing"",""อุบลราชธานี!N229"")"),44000)</f>
        <v>44000</v>
      </c>
      <c r="CD51" s="98">
        <f t="shared" ca="1" si="103"/>
        <v>99.099099099099092</v>
      </c>
      <c r="CE51" s="97">
        <f ca="1">IFERROR(__xludf.DUMMYFUNCTION("IMPORTRANGE(""https://docs.google.com/spreadsheets/d/17IOkEwkUd63EGNfyNDnM5de9YlZ7rwzTiW6-dokVjKI/edit?usp=sharing"",""อุบลราชธานี!L230"")"),0)</f>
        <v>0</v>
      </c>
      <c r="CF51" s="97">
        <f ca="1">IFERROR(__xludf.DUMMYFUNCTION("IMPORTRANGE(""https://docs.google.com/spreadsheets/d/17IOkEwkUd63EGNfyNDnM5de9YlZ7rwzTiW6-dokVjKI/edit?usp=sharing"",""อุบลราชธานี!N230"")"),0)</f>
        <v>0</v>
      </c>
      <c r="CG51" s="98">
        <f t="shared" ca="1" si="104"/>
        <v>0</v>
      </c>
      <c r="CH51" s="97">
        <f ca="1">IFERROR(__xludf.DUMMYFUNCTION("IMPORTRANGE(""https://docs.google.com/spreadsheets/d/17IOkEwkUd63EGNfyNDnM5de9YlZ7rwzTiW6-dokVjKI/edit?usp=sharing"",""อุบลราชธานี!L231"")"),10000)</f>
        <v>10000</v>
      </c>
      <c r="CI51" s="97">
        <f ca="1">IFERROR(__xludf.DUMMYFUNCTION("IMPORTRANGE(""https://docs.google.com/spreadsheets/d/17IOkEwkUd63EGNfyNDnM5de9YlZ7rwzTiW6-dokVjKI/edit?usp=sharing"",""อุบลราชธานี!N231"")"),0)</f>
        <v>0</v>
      </c>
      <c r="CJ51" s="98">
        <f t="shared" ca="1" si="105"/>
        <v>0</v>
      </c>
      <c r="CK51" s="97">
        <f ca="1">IFERROR(__xludf.DUMMYFUNCTION("IMPORTRANGE(""https://docs.google.com/spreadsheets/d/17IOkEwkUd63EGNfyNDnM5de9YlZ7rwzTiW6-dokVjKI/edit?usp=sharing"",""อุบลราชธานี!I233"")"),40)</f>
        <v>40</v>
      </c>
      <c r="CL51" s="97">
        <f ca="1">IFERROR(__xludf.DUMMYFUNCTION("IMPORTRANGE(""https://docs.google.com/spreadsheets/d/17IOkEwkUd63EGNfyNDnM5de9YlZ7rwzTiW6-dokVjKI/edit?usp=sharing"",""อุบลราชธานี!J233"")"),40)</f>
        <v>40</v>
      </c>
      <c r="CM51" s="98">
        <f t="shared" ca="1" si="106"/>
        <v>100</v>
      </c>
      <c r="CN51" s="97">
        <f ca="1">IFERROR(__xludf.DUMMYFUNCTION("IMPORTRANGE(""https://docs.google.com/spreadsheets/d/17IOkEwkUd63EGNfyNDnM5de9YlZ7rwzTiW6-dokVjKI/edit?usp=sharing"",""อุบลราชธานี!J235"")"),0)</f>
        <v>0</v>
      </c>
      <c r="CO51" s="97">
        <f ca="1">IFERROR(__xludf.DUMMYFUNCTION("IMPORTRANGE(""https://docs.google.com/spreadsheets/d/17IOkEwkUd63EGNfyNDnM5de9YlZ7rwzTiW6-dokVjKI/edit?usp=sharing"",""อุบลราชธานี!J236"")"),0)</f>
        <v>0</v>
      </c>
    </row>
    <row r="52" spans="1:93" ht="21" customHeight="1" x14ac:dyDescent="0.3">
      <c r="A52" s="380" t="s">
        <v>74</v>
      </c>
      <c r="B52" s="379"/>
      <c r="C52" s="99">
        <f t="shared" ca="1" si="0"/>
        <v>4809700</v>
      </c>
      <c r="D52" s="62">
        <f t="shared" ref="D52:I52" ca="1" si="162">SUM(D53:D73)</f>
        <v>4809700</v>
      </c>
      <c r="E52" s="62">
        <f t="shared" ca="1" si="162"/>
        <v>2160600</v>
      </c>
      <c r="F52" s="62">
        <f t="shared" ca="1" si="162"/>
        <v>2649100</v>
      </c>
      <c r="G52" s="62">
        <f t="shared" ca="1" si="162"/>
        <v>0</v>
      </c>
      <c r="H52" s="62">
        <f t="shared" ca="1" si="162"/>
        <v>4036550</v>
      </c>
      <c r="I52" s="62">
        <f t="shared" ca="1" si="162"/>
        <v>0</v>
      </c>
      <c r="J52" s="62">
        <f t="shared" ca="1" si="3"/>
        <v>1803443.1400000001</v>
      </c>
      <c r="K52" s="100">
        <f t="shared" ca="1" si="4"/>
        <v>37.495958999521797</v>
      </c>
      <c r="L52" s="62">
        <f ca="1">SUM(L53:L73)</f>
        <v>1803443.1400000001</v>
      </c>
      <c r="M52" s="101">
        <f t="shared" ca="1" si="5"/>
        <v>37.495958999521797</v>
      </c>
      <c r="N52" s="101">
        <f t="shared" ca="1" si="6"/>
        <v>44.677834784655211</v>
      </c>
      <c r="O52" s="102">
        <f ca="1">SUM(O53:O73)</f>
        <v>0</v>
      </c>
      <c r="P52" s="102">
        <f t="shared" ca="1" si="108"/>
        <v>0</v>
      </c>
      <c r="Q52" s="101">
        <f t="shared" ca="1" si="8"/>
        <v>0</v>
      </c>
      <c r="R52" s="62">
        <f t="shared" ref="R52:S52" ca="1" si="163">SUM(R53:R73)</f>
        <v>126000</v>
      </c>
      <c r="S52" s="62">
        <f t="shared" ca="1" si="163"/>
        <v>23537</v>
      </c>
      <c r="T52" s="101">
        <f t="shared" ca="1" si="84"/>
        <v>18.68015873015873</v>
      </c>
      <c r="U52" s="62">
        <f t="shared" ref="U52:V52" ca="1" si="164">SUM(U53:U73)</f>
        <v>84</v>
      </c>
      <c r="V52" s="62">
        <f t="shared" ca="1" si="164"/>
        <v>20</v>
      </c>
      <c r="W52" s="101">
        <f t="shared" ca="1" si="85"/>
        <v>23.80952380952381</v>
      </c>
      <c r="X52" s="62">
        <f t="shared" ref="X52:AB52" ca="1" si="165">SUM(X53:X73)</f>
        <v>782</v>
      </c>
      <c r="Y52" s="62">
        <f t="shared" ca="1" si="165"/>
        <v>782</v>
      </c>
      <c r="Z52" s="62">
        <f t="shared" ca="1" si="165"/>
        <v>0</v>
      </c>
      <c r="AA52" s="62">
        <f t="shared" ca="1" si="165"/>
        <v>39000</v>
      </c>
      <c r="AB52" s="62">
        <f t="shared" ca="1" si="165"/>
        <v>13940</v>
      </c>
      <c r="AC52" s="101">
        <f t="shared" ca="1" si="86"/>
        <v>35.743589743589745</v>
      </c>
      <c r="AD52" s="62">
        <f t="shared" ref="AD52:AE52" ca="1" si="166">SUM(AD53:AD73)</f>
        <v>312000</v>
      </c>
      <c r="AE52" s="62">
        <f t="shared" ca="1" si="166"/>
        <v>242545</v>
      </c>
      <c r="AF52" s="101">
        <f t="shared" ca="1" si="87"/>
        <v>77.738782051282058</v>
      </c>
      <c r="AG52" s="62">
        <f t="shared" ref="AG52:AH52" ca="1" si="167">SUM(AG53:AG73)</f>
        <v>156000</v>
      </c>
      <c r="AH52" s="62">
        <f t="shared" ca="1" si="167"/>
        <v>4000</v>
      </c>
      <c r="AI52" s="101">
        <f t="shared" ca="1" si="88"/>
        <v>2.5641025641025643</v>
      </c>
      <c r="AJ52" s="62">
        <f t="shared" ref="AJ52:AK52" ca="1" si="168">SUM(AJ53:AJ73)</f>
        <v>10000</v>
      </c>
      <c r="AK52" s="62">
        <f t="shared" ca="1" si="168"/>
        <v>0</v>
      </c>
      <c r="AL52" s="101">
        <f t="shared" ca="1" si="89"/>
        <v>0</v>
      </c>
      <c r="AM52" s="62">
        <f t="shared" ref="AM52:AN52" ca="1" si="169">SUM(AM53:AM73)</f>
        <v>39</v>
      </c>
      <c r="AN52" s="62">
        <f t="shared" ca="1" si="169"/>
        <v>32</v>
      </c>
      <c r="AO52" s="101">
        <f t="shared" ca="1" si="90"/>
        <v>82.051282051282058</v>
      </c>
      <c r="AP52" s="295">
        <f t="shared" ref="AP52:AS52" ca="1" si="170">SUM(AP53:AP73)</f>
        <v>9</v>
      </c>
      <c r="AQ52" s="295">
        <f t="shared" ca="1" si="170"/>
        <v>0</v>
      </c>
      <c r="AR52" s="62">
        <f t="shared" ca="1" si="170"/>
        <v>17000</v>
      </c>
      <c r="AS52" s="62">
        <f t="shared" ca="1" si="170"/>
        <v>6900</v>
      </c>
      <c r="AT52" s="101">
        <f t="shared" ca="1" si="91"/>
        <v>40.588235294117645</v>
      </c>
      <c r="AU52" s="62">
        <f t="shared" ref="AU52:AV52" ca="1" si="171">SUM(AU53:AU73)</f>
        <v>85000</v>
      </c>
      <c r="AV52" s="62">
        <f t="shared" ca="1" si="171"/>
        <v>0</v>
      </c>
      <c r="AW52" s="101">
        <f t="shared" ca="1" si="92"/>
        <v>0</v>
      </c>
      <c r="AX52" s="62">
        <f t="shared" ref="AX52:AY52" ca="1" si="172">SUM(AX53:AX73)</f>
        <v>136000</v>
      </c>
      <c r="AY52" s="62">
        <f t="shared" ca="1" si="172"/>
        <v>99260</v>
      </c>
      <c r="AZ52" s="101">
        <f t="shared" ca="1" si="93"/>
        <v>72.985294117647058</v>
      </c>
      <c r="BA52" s="62">
        <f t="shared" ref="BA52:BB52" ca="1" si="173">SUM(BA53:BA73)</f>
        <v>17</v>
      </c>
      <c r="BB52" s="62">
        <f t="shared" ca="1" si="173"/>
        <v>0</v>
      </c>
      <c r="BC52" s="101">
        <f t="shared" ca="1" si="94"/>
        <v>0</v>
      </c>
      <c r="BD52" s="62">
        <f t="shared" ref="BD52:BE52" ca="1" si="174">SUM(BD53:BD73)</f>
        <v>17</v>
      </c>
      <c r="BE52" s="62">
        <f t="shared" ca="1" si="174"/>
        <v>13</v>
      </c>
      <c r="BF52" s="101">
        <f t="shared" ca="1" si="95"/>
        <v>76.470588235294116</v>
      </c>
      <c r="BG52" s="62">
        <f t="shared" ref="BG52:BH52" ca="1" si="175">SUM(BG53:BG73)</f>
        <v>76000</v>
      </c>
      <c r="BH52" s="62">
        <f t="shared" ca="1" si="175"/>
        <v>0</v>
      </c>
      <c r="BI52" s="101">
        <f t="shared" ca="1" si="96"/>
        <v>0</v>
      </c>
      <c r="BJ52" s="62">
        <f t="shared" ref="BJ52:BK52" ca="1" si="176">SUM(BJ53:BJ73)</f>
        <v>131700</v>
      </c>
      <c r="BK52" s="62">
        <f t="shared" ca="1" si="176"/>
        <v>0</v>
      </c>
      <c r="BL52" s="101">
        <f t="shared" ca="1" si="97"/>
        <v>0</v>
      </c>
      <c r="BM52" s="62">
        <f t="shared" ref="BM52:BN52" ca="1" si="177">SUM(BM53:BM73)</f>
        <v>40000</v>
      </c>
      <c r="BN52" s="62">
        <f t="shared" ca="1" si="177"/>
        <v>21920</v>
      </c>
      <c r="BO52" s="101">
        <f t="shared" ca="1" si="98"/>
        <v>54.8</v>
      </c>
      <c r="BP52" s="62">
        <f t="shared" ref="BP52:BQ52" ca="1" si="178">SUM(BP53:BP73)</f>
        <v>470200</v>
      </c>
      <c r="BQ52" s="62">
        <f t="shared" ca="1" si="178"/>
        <v>40000</v>
      </c>
      <c r="BR52" s="101">
        <f t="shared" ca="1" si="99"/>
        <v>8.5070182900893236</v>
      </c>
      <c r="BS52" s="62">
        <f t="shared" ref="BS52:BT52" ca="1" si="179">SUM(BS53:BS73)</f>
        <v>470200</v>
      </c>
      <c r="BT52" s="62">
        <f t="shared" ca="1" si="179"/>
        <v>0</v>
      </c>
      <c r="BU52" s="101">
        <f t="shared" ca="1" si="100"/>
        <v>0</v>
      </c>
      <c r="BV52" s="62">
        <f t="shared" ref="BV52:BW52" ca="1" si="180">SUM(BV53:BV73)</f>
        <v>40</v>
      </c>
      <c r="BW52" s="62">
        <f t="shared" ca="1" si="180"/>
        <v>20</v>
      </c>
      <c r="BX52" s="101">
        <f t="shared" ca="1" si="101"/>
        <v>50</v>
      </c>
      <c r="BY52" s="62">
        <f t="shared" ref="BY52:BZ52" ca="1" si="181">SUM(BY53:BY73)</f>
        <v>686000</v>
      </c>
      <c r="BZ52" s="62">
        <f t="shared" ca="1" si="181"/>
        <v>179666.07</v>
      </c>
      <c r="CA52" s="101">
        <f t="shared" ca="1" si="102"/>
        <v>26.190389212827988</v>
      </c>
      <c r="CB52" s="62">
        <f t="shared" ref="CB52:CC52" ca="1" si="182">SUM(CB53:CB73)</f>
        <v>431900</v>
      </c>
      <c r="CC52" s="62">
        <f t="shared" ca="1" si="182"/>
        <v>190850</v>
      </c>
      <c r="CD52" s="101">
        <f t="shared" ca="1" si="103"/>
        <v>44.188469553137303</v>
      </c>
      <c r="CE52" s="62">
        <f t="shared" ref="CE52:CF52" ca="1" si="183">SUM(CE53:CE73)</f>
        <v>252500</v>
      </c>
      <c r="CF52" s="62">
        <f t="shared" ca="1" si="183"/>
        <v>0</v>
      </c>
      <c r="CG52" s="101">
        <f t="shared" ca="1" si="104"/>
        <v>0</v>
      </c>
      <c r="CH52" s="62">
        <f t="shared" ref="CH52:CI52" ca="1" si="184">SUM(CH53:CH73)</f>
        <v>150000</v>
      </c>
      <c r="CI52" s="62">
        <f t="shared" ca="1" si="184"/>
        <v>0</v>
      </c>
      <c r="CJ52" s="101">
        <f t="shared" ca="1" si="105"/>
        <v>0</v>
      </c>
      <c r="CK52" s="62">
        <f t="shared" ref="CK52:CL52" ca="1" si="185">SUM(CK53:CK73)</f>
        <v>340</v>
      </c>
      <c r="CL52" s="62">
        <f t="shared" ca="1" si="185"/>
        <v>220</v>
      </c>
      <c r="CM52" s="101">
        <f t="shared" ca="1" si="106"/>
        <v>64.705882352941174</v>
      </c>
      <c r="CN52" s="62">
        <f t="shared" ref="CN52:CO52" ca="1" si="186">SUM(CN53:CN73)</f>
        <v>0</v>
      </c>
      <c r="CO52" s="62">
        <f t="shared" ca="1" si="186"/>
        <v>0</v>
      </c>
    </row>
    <row r="53" spans="1:93" ht="21" customHeight="1" x14ac:dyDescent="0.3">
      <c r="A53" s="68">
        <v>1</v>
      </c>
      <c r="B53" s="69" t="s">
        <v>75</v>
      </c>
      <c r="C53" s="103">
        <f t="shared" ca="1" si="0"/>
        <v>352500</v>
      </c>
      <c r="D53" s="71">
        <f t="shared" ref="D53:D73" ca="1" si="187">+E53+F53</f>
        <v>352500</v>
      </c>
      <c r="E53" s="72">
        <f ca="1">IFERROR(__xludf.DUMMYFUNCTION("IMPORTRANGE(""https://docs.google.com/spreadsheets/d/1MeEWN-I1oV_STSDYn1IFDPWt_1FKiwhDph83XaGc0o0/edit?usp=sharing"",""งบพรบ!CP53"")"),71800)</f>
        <v>71800</v>
      </c>
      <c r="F53" s="72">
        <f ca="1">IFERROR(__xludf.DUMMYFUNCTION("IMPORTRANGE(""https://docs.google.com/spreadsheets/d/1MeEWN-I1oV_STSDYn1IFDPWt_1FKiwhDph83XaGc0o0/edit?usp=sharing"",""งบพรบ!CQ53"")"),280700)</f>
        <v>280700</v>
      </c>
      <c r="G53" s="73">
        <f ca="1">IFERROR(__xludf.DUMMYFUNCTION("IMPORTRANGE(""https://docs.google.com/spreadsheets/d/1MeEWN-I1oV_STSDYn1IFDPWt_1FKiwhDph83XaGc0o0/edit?usp=sharing"",""งบพรบ!CR53"")"),0)</f>
        <v>0</v>
      </c>
      <c r="H53" s="73">
        <f ca="1">IFERROR(__xludf.DUMMYFUNCTION("IMPORTRANGE(""https://docs.google.com/spreadsheets/d/1MeEWN-I1oV_STSDYn1IFDPWt_1FKiwhDph83XaGc0o0/edit?usp=sharing"",""งบพรบ!CT53"")"),324550)</f>
        <v>324550</v>
      </c>
      <c r="I53" s="73">
        <f ca="1">IFERROR(__xludf.DUMMYFUNCTION("IMPORTRANGE(""https://docs.google.com/spreadsheets/d/1MeEWN-I1oV_STSDYn1IFDPWt_1FKiwhDph83XaGc0o0/edit?usp=sharing"",""งบพรบ!CU53"")"),0)</f>
        <v>0</v>
      </c>
      <c r="J53" s="73">
        <f t="shared" ca="1" si="3"/>
        <v>122317</v>
      </c>
      <c r="K53" s="74">
        <f t="shared" ca="1" si="4"/>
        <v>34.69985815602837</v>
      </c>
      <c r="L53" s="73">
        <f ca="1">IFERROR(__xludf.DUMMYFUNCTION("IMPORTRANGE(""https://docs.google.com/spreadsheets/d/1MeEWN-I1oV_STSDYn1IFDPWt_1FKiwhDph83XaGc0o0/edit?usp=sharing"",""งบพรบ!CV53"")"),122317)</f>
        <v>122317</v>
      </c>
      <c r="M53" s="75">
        <f t="shared" ca="1" si="5"/>
        <v>34.69985815602837</v>
      </c>
      <c r="N53" s="75">
        <f t="shared" ca="1" si="6"/>
        <v>37.68818363888461</v>
      </c>
      <c r="O53" s="76">
        <f ca="1">IFERROR(__xludf.DUMMYFUNCTION("IMPORTRANGE(""https://docs.google.com/spreadsheets/d/1MeEWN-I1oV_STSDYn1IFDPWt_1FKiwhDph83XaGc0o0/edit?usp=sharing"",""งบพรบ!CW53"")"),0)</f>
        <v>0</v>
      </c>
      <c r="P53" s="76">
        <f t="shared" ca="1" si="108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IFERROR(__xludf.DUMMYFUNCTION("IMPORTRANGE(""https://docs.google.com/spreadsheets/d/1hKO5uv94SSRZWOvrh72HRcpyoEQF9TsE_Cvxl77XNU4/edit?usp=sharing"",""กาญจนบุรี!L191"")"),6000)</f>
        <v>6000</v>
      </c>
      <c r="S53" s="73">
        <f ca="1">IFERROR(__xludf.DUMMYFUNCTION("IMPORTRANGE(""https://docs.google.com/spreadsheets/d/1hKO5uv94SSRZWOvrh72HRcpyoEQF9TsE_Cvxl77XNU4/edit?usp=sharing"",""กาญจนบุรี!N191"")"),0)</f>
        <v>0</v>
      </c>
      <c r="T53" s="77">
        <f t="shared" ca="1" si="84"/>
        <v>0</v>
      </c>
      <c r="U53" s="73">
        <f ca="1">IFERROR(__xludf.DUMMYFUNCTION("IMPORTRANGE(""https://docs.google.com/spreadsheets/d/1hKO5uv94SSRZWOvrh72HRcpyoEQF9TsE_Cvxl77XNU4/edit?usp=sharing"",""กาญจนบุรี!I193"")"),4)</f>
        <v>4</v>
      </c>
      <c r="V53" s="73">
        <f ca="1">IFERROR(__xludf.DUMMYFUNCTION("IMPORTRANGE(""https://docs.google.com/spreadsheets/d/1hKO5uv94SSRZWOvrh72HRcpyoEQF9TsE_Cvxl77XNU4/edit?usp=sharing"",""กาญจนบุรี!J193"")"),1)</f>
        <v>1</v>
      </c>
      <c r="W53" s="77">
        <f t="shared" ca="1" si="85"/>
        <v>25</v>
      </c>
      <c r="X53" s="73">
        <f t="shared" ref="X53:X73" ca="1" si="188">Y53+Z53</f>
        <v>30</v>
      </c>
      <c r="Y53" s="73">
        <f ca="1">IFERROR(__xludf.DUMMYFUNCTION("IMPORTRANGE(""https://docs.google.com/spreadsheets/d/1hKO5uv94SSRZWOvrh72HRcpyoEQF9TsE_Cvxl77XNU4/edit?usp=sharing"",""กาญจนบุรี!J195"")"),30)</f>
        <v>30</v>
      </c>
      <c r="Z53" s="73">
        <f ca="1">IFERROR(__xludf.DUMMYFUNCTION("IMPORTRANGE(""https://docs.google.com/spreadsheets/d/1hKO5uv94SSRZWOvrh72HRcpyoEQF9TsE_Cvxl77XNU4/edit?usp=sharing"",""กาญจนบุรี!J196"")"),0)</f>
        <v>0</v>
      </c>
      <c r="AA53" s="73">
        <f ca="1">IFERROR(__xludf.DUMMYFUNCTION("IMPORTRANGE(""https://docs.google.com/spreadsheets/d/1hKO5uv94SSRZWOvrh72HRcpyoEQF9TsE_Cvxl77XNU4/edit?usp=sharing"",""กาญจนบุรี!L199"")"),4000)</f>
        <v>4000</v>
      </c>
      <c r="AB53" s="73">
        <f ca="1">IFERROR(__xludf.DUMMYFUNCTION("IMPORTRANGE(""https://docs.google.com/spreadsheets/d/1hKO5uv94SSRZWOvrh72HRcpyoEQF9TsE_Cvxl77XNU4/edit?usp=sharing"",""กาญจนบุรี!N199"")"),0)</f>
        <v>0</v>
      </c>
      <c r="AC53" s="77">
        <f t="shared" ca="1" si="86"/>
        <v>0</v>
      </c>
      <c r="AD53" s="73">
        <f ca="1">IFERROR(__xludf.DUMMYFUNCTION("IMPORTRANGE(""https://docs.google.com/spreadsheets/d/1hKO5uv94SSRZWOvrh72HRcpyoEQF9TsE_Cvxl77XNU4/edit?usp=sharing"",""กาญจนบุรี!L200"")"),32000)</f>
        <v>32000</v>
      </c>
      <c r="AE53" s="73">
        <f ca="1">IFERROR(__xludf.DUMMYFUNCTION("IMPORTRANGE(""https://docs.google.com/spreadsheets/d/1hKO5uv94SSRZWOvrh72HRcpyoEQF9TsE_Cvxl77XNU4/edit?usp=sharing"",""กาญจนบุรี!N200"")"),32000)</f>
        <v>32000</v>
      </c>
      <c r="AF53" s="77">
        <f t="shared" ca="1" si="87"/>
        <v>100</v>
      </c>
      <c r="AG53" s="73">
        <f ca="1">IFERROR(__xludf.DUMMYFUNCTION("IMPORTRANGE(""https://docs.google.com/spreadsheets/d/1hKO5uv94SSRZWOvrh72HRcpyoEQF9TsE_Cvxl77XNU4/edit?usp=sharing"",""กาญจนบุรี!L201"")"),16000)</f>
        <v>16000</v>
      </c>
      <c r="AH53" s="73">
        <f ca="1">IFERROR(__xludf.DUMMYFUNCTION("IMPORTRANGE(""https://docs.google.com/spreadsheets/d/1hKO5uv94SSRZWOvrh72HRcpyoEQF9TsE_Cvxl77XNU4/edit?usp=sharing"",""กาญจนบุรี!N201"")"),0)</f>
        <v>0</v>
      </c>
      <c r="AI53" s="77">
        <f t="shared" ca="1" si="88"/>
        <v>0</v>
      </c>
      <c r="AJ53" s="73">
        <f ca="1">IFERROR(__xludf.DUMMYFUNCTION("IMPORTRANGE(""https://docs.google.com/spreadsheets/d/1hKO5uv94SSRZWOvrh72HRcpyoEQF9TsE_Cvxl77XNU4/edit?usp=sharing"",""กาญจนบุรี!L202"")"),5000)</f>
        <v>5000</v>
      </c>
      <c r="AK53" s="73">
        <f ca="1">IFERROR(__xludf.DUMMYFUNCTION("IMPORTRANGE(""https://docs.google.com/spreadsheets/d/1hKO5uv94SSRZWOvrh72HRcpyoEQF9TsE_Cvxl77XNU4/edit?usp=sharing"",""กาญจนบุรี!N202"")"),0)</f>
        <v>0</v>
      </c>
      <c r="AL53" s="77">
        <f t="shared" ca="1" si="89"/>
        <v>0</v>
      </c>
      <c r="AM53" s="73">
        <f ca="1">IFERROR(__xludf.DUMMYFUNCTION("IMPORTRANGE(""https://docs.google.com/spreadsheets/d/1hKO5uv94SSRZWOvrh72HRcpyoEQF9TsE_Cvxl77XNU4/edit?usp=sharing"",""กาญจนบุรี!I204"")"),4)</f>
        <v>4</v>
      </c>
      <c r="AN53" s="73">
        <f ca="1">IFERROR(__xludf.DUMMYFUNCTION("IMPORTRANGE(""https://docs.google.com/spreadsheets/d/1hKO5uv94SSRZWOvrh72HRcpyoEQF9TsE_Cvxl77XNU4/edit?usp=sharing"",""กาญจนบุรี!J204"")"),4)</f>
        <v>4</v>
      </c>
      <c r="AO53" s="77">
        <f t="shared" ca="1" si="90"/>
        <v>100</v>
      </c>
      <c r="AP53" s="298">
        <f ca="1">IFERROR(__xludf.DUMMYFUNCTION("IMPORTRANGE(""https://docs.google.com/spreadsheets/d/1hKO5uv94SSRZWOvrh72HRcpyoEQF9TsE_Cvxl77XNU4/edit?usp=sharing"",""กาญจนบุรี!J206"")"),0)</f>
        <v>0</v>
      </c>
      <c r="AQ53" s="298">
        <f ca="1">IFERROR(__xludf.DUMMYFUNCTION("IMPORTRANGE(""https://docs.google.com/spreadsheets/d/1hKO5uv94SSRZWOvrh72HRcpyoEQF9TsE_Cvxl77XNU4/edit?usp=sharing"",""กาญจนบุรี!J207"")"),0)</f>
        <v>0</v>
      </c>
      <c r="AR53" s="73">
        <f ca="1">IFERROR(__xludf.DUMMYFUNCTION("IMPORTRANGE(""https://docs.google.com/spreadsheets/d/1hKO5uv94SSRZWOvrh72HRcpyoEQF9TsE_Cvxl77XNU4/edit?usp=sharing"",""กาญจนบุรี!L210"")"),6000)</f>
        <v>6000</v>
      </c>
      <c r="AS53" s="73">
        <f ca="1">IFERROR(__xludf.DUMMYFUNCTION("IMPORTRANGE(""https://docs.google.com/spreadsheets/d/1hKO5uv94SSRZWOvrh72HRcpyoEQF9TsE_Cvxl77XNU4/edit?usp=sharing"",""กาญจนบุรี!N210"")"),0)</f>
        <v>0</v>
      </c>
      <c r="AT53" s="77">
        <f t="shared" ca="1" si="91"/>
        <v>0</v>
      </c>
      <c r="AU53" s="73">
        <f ca="1">IFERROR(__xludf.DUMMYFUNCTION("IMPORTRANGE(""https://docs.google.com/spreadsheets/d/1hKO5uv94SSRZWOvrh72HRcpyoEQF9TsE_Cvxl77XNU4/edit?usp=sharing"",""กาญจนบุรี!L211"")"),30000)</f>
        <v>30000</v>
      </c>
      <c r="AV53" s="73">
        <f ca="1">IFERROR(__xludf.DUMMYFUNCTION("IMPORTRANGE(""https://docs.google.com/spreadsheets/d/1hKO5uv94SSRZWOvrh72HRcpyoEQF9TsE_Cvxl77XNU4/edit?usp=sharing"",""กาญจนบุรี!N211"")"),0)</f>
        <v>0</v>
      </c>
      <c r="AW53" s="77">
        <f t="shared" ca="1" si="92"/>
        <v>0</v>
      </c>
      <c r="AX53" s="73">
        <f ca="1">IFERROR(__xludf.DUMMYFUNCTION("IMPORTRANGE(""https://docs.google.com/spreadsheets/d/1hKO5uv94SSRZWOvrh72HRcpyoEQF9TsE_Cvxl77XNU4/edit?usp=sharing"",""กาญจนบุรี!L212"")"),48000)</f>
        <v>48000</v>
      </c>
      <c r="AY53" s="73">
        <f ca="1">IFERROR(__xludf.DUMMYFUNCTION("IMPORTRANGE(""https://docs.google.com/spreadsheets/d/1hKO5uv94SSRZWOvrh72HRcpyoEQF9TsE_Cvxl77XNU4/edit?usp=sharing"",""กาญจนบุรี!N212"")"),11520)</f>
        <v>11520</v>
      </c>
      <c r="AZ53" s="77">
        <f t="shared" ca="1" si="93"/>
        <v>24</v>
      </c>
      <c r="BA53" s="73">
        <f ca="1">IFERROR(__xludf.DUMMYFUNCTION("IMPORTRANGE(""https://docs.google.com/spreadsheets/d/1hKO5uv94SSRZWOvrh72HRcpyoEQF9TsE_Cvxl77XNU4/edit?usp=sharing"",""กาญจนบุรี!I214"")"),6)</f>
        <v>6</v>
      </c>
      <c r="BB53" s="73">
        <f ca="1">IFERROR(__xludf.DUMMYFUNCTION("IMPORTRANGE(""https://docs.google.com/spreadsheets/d/1hKO5uv94SSRZWOvrh72HRcpyoEQF9TsE_Cvxl77XNU4/edit?usp=sharing"",""กาญจนบุรี!J214"")"),0)</f>
        <v>0</v>
      </c>
      <c r="BC53" s="77">
        <f t="shared" ca="1" si="94"/>
        <v>0</v>
      </c>
      <c r="BD53" s="73">
        <f ca="1">IFERROR(__xludf.DUMMYFUNCTION("IMPORTRANGE(""https://docs.google.com/spreadsheets/d/1hKO5uv94SSRZWOvrh72HRcpyoEQF9TsE_Cvxl77XNU4/edit?usp=sharing"",""กาญจนบุรี!I215"")"),6)</f>
        <v>6</v>
      </c>
      <c r="BE53" s="73">
        <f ca="1">IFERROR(__xludf.DUMMYFUNCTION("IMPORTRANGE(""https://docs.google.com/spreadsheets/d/1hKO5uv94SSRZWOvrh72HRcpyoEQF9TsE_Cvxl77XNU4/edit?usp=sharing"",""กาญจนบุรี!J215"")"),2)</f>
        <v>2</v>
      </c>
      <c r="BF53" s="77">
        <f t="shared" ca="1" si="95"/>
        <v>33.333333333333336</v>
      </c>
      <c r="BG53" s="73">
        <f ca="1">IFERROR(__xludf.DUMMYFUNCTION("IMPORTRANGE(""https://docs.google.com/spreadsheets/d/1hKO5uv94SSRZWOvrh72HRcpyoEQF9TsE_Cvxl77XNU4/edit?usp=sharing"",""กาญจนบุรี!L218"")"),5000)</f>
        <v>5000</v>
      </c>
      <c r="BH53" s="73">
        <f ca="1">IFERROR(__xludf.DUMMYFUNCTION("IMPORTRANGE(""https://docs.google.com/spreadsheets/d/1hKO5uv94SSRZWOvrh72HRcpyoEQF9TsE_Cvxl77XNU4/edit?usp=sharing"",""กาญจนบุรี!N218"")"),0)</f>
        <v>0</v>
      </c>
      <c r="BI53" s="77">
        <f t="shared" ca="1" si="96"/>
        <v>0</v>
      </c>
      <c r="BJ53" s="73">
        <f ca="1">IFERROR(__xludf.DUMMYFUNCTION("IMPORTRANGE(""https://docs.google.com/spreadsheets/d/1hKO5uv94SSRZWOvrh72HRcpyoEQF9TsE_Cvxl77XNU4/edit?usp=sharing"",""กาญจนบุรี!L219"")"),8500)</f>
        <v>8500</v>
      </c>
      <c r="BK53" s="73">
        <f ca="1">IFERROR(__xludf.DUMMYFUNCTION("IMPORTRANGE(""https://docs.google.com/spreadsheets/d/1hKO5uv94SSRZWOvrh72HRcpyoEQF9TsE_Cvxl77XNU4/edit?usp=sharing"",""กาญจนบุรี!N219"")"),0)</f>
        <v>0</v>
      </c>
      <c r="BL53" s="77">
        <f t="shared" ca="1" si="97"/>
        <v>0</v>
      </c>
      <c r="BM53" s="73">
        <f ca="1">IFERROR(__xludf.DUMMYFUNCTION("IMPORTRANGE(""https://docs.google.com/spreadsheets/d/1hKO5uv94SSRZWOvrh72HRcpyoEQF9TsE_Cvxl77XNU4/edit?usp=sharing"",""กาญจนบุรี!L220"")"),0)</f>
        <v>0</v>
      </c>
      <c r="BN53" s="73">
        <f ca="1">IFERROR(__xludf.DUMMYFUNCTION("IMPORTRANGE(""https://docs.google.com/spreadsheets/d/1hKO5uv94SSRZWOvrh72HRcpyoEQF9TsE_Cvxl77XNU4/edit?usp=sharing"",""กาญจนบุรี!N220"")"),0)</f>
        <v>0</v>
      </c>
      <c r="BO53" s="77">
        <f t="shared" ca="1" si="98"/>
        <v>0</v>
      </c>
      <c r="BP53" s="73">
        <f ca="1">IFERROR(__xludf.DUMMYFUNCTION("IMPORTRANGE(""https://docs.google.com/spreadsheets/d/1hKO5uv94SSRZWOvrh72HRcpyoEQF9TsE_Cvxl77XNU4/edit?usp=sharing"",""กาญจนบุรี!I223"")"),30000)</f>
        <v>30000</v>
      </c>
      <c r="BQ53" s="73">
        <f ca="1">IFERROR(__xludf.DUMMYFUNCTION("IMPORTRANGE(""https://docs.google.com/spreadsheets/d/1hKO5uv94SSRZWOvrh72HRcpyoEQF9TsE_Cvxl77XNU4/edit?usp=sharing"",""กาญจนบุรี!J223"")"),0)</f>
        <v>0</v>
      </c>
      <c r="BR53" s="77">
        <f t="shared" ca="1" si="99"/>
        <v>0</v>
      </c>
      <c r="BS53" s="73">
        <f ca="1">IFERROR(__xludf.DUMMYFUNCTION("IMPORTRANGE(""https://docs.google.com/spreadsheets/d/1hKO5uv94SSRZWOvrh72HRcpyoEQF9TsE_Cvxl77XNU4/edit?usp=sharing"",""กาญจนบุรี!I224"")"),30000)</f>
        <v>30000</v>
      </c>
      <c r="BT53" s="73">
        <f ca="1">IFERROR(__xludf.DUMMYFUNCTION("IMPORTRANGE(""https://docs.google.com/spreadsheets/d/1hKO5uv94SSRZWOvrh72HRcpyoEQF9TsE_Cvxl77XNU4/edit?usp=sharing"",""กาญจนบุรี!J224"")"),0)</f>
        <v>0</v>
      </c>
      <c r="BU53" s="77">
        <f t="shared" ca="1" si="100"/>
        <v>0</v>
      </c>
      <c r="BV53" s="73">
        <f ca="1">IFERROR(__xludf.DUMMYFUNCTION("IMPORTRANGE(""https://docs.google.com/spreadsheets/d/1hKO5uv94SSRZWOvrh72HRcpyoEQF9TsE_Cvxl77XNU4/edit?usp=sharing"",""กาญจนบุรี!I225"")"),0)</f>
        <v>0</v>
      </c>
      <c r="BW53" s="73">
        <f ca="1">IFERROR(__xludf.DUMMYFUNCTION("IMPORTRANGE(""https://docs.google.com/spreadsheets/d/1hKO5uv94SSRZWOvrh72HRcpyoEQF9TsE_Cvxl77XNU4/edit?usp=sharing"",""กาญจนบุรี!J225"")"),0)</f>
        <v>0</v>
      </c>
      <c r="BX53" s="77">
        <f t="shared" ca="1" si="101"/>
        <v>0</v>
      </c>
      <c r="BY53" s="73">
        <f ca="1">IFERROR(__xludf.DUMMYFUNCTION("IMPORTRANGE(""https://docs.google.com/spreadsheets/d/1hKO5uv94SSRZWOvrh72HRcpyoEQF9TsE_Cvxl77XNU4/edit?usp=sharing"",""กาญจนบุรี!L228"")"),20000)</f>
        <v>20000</v>
      </c>
      <c r="BZ53" s="73">
        <f ca="1">IFERROR(__xludf.DUMMYFUNCTION("IMPORTRANGE(""https://docs.google.com/spreadsheets/d/1hKO5uv94SSRZWOvrh72HRcpyoEQF9TsE_Cvxl77XNU4/edit?usp=sharing"",""กาญจนบุรี!N228"")"),1100)</f>
        <v>1100</v>
      </c>
      <c r="CA53" s="77">
        <f t="shared" ca="1" si="102"/>
        <v>5.5</v>
      </c>
      <c r="CB53" s="73">
        <f ca="1">IFERROR(__xludf.DUMMYFUNCTION("IMPORTRANGE(""https://docs.google.com/spreadsheets/d/1hKO5uv94SSRZWOvrh72HRcpyoEQF9TsE_Cvxl77XNU4/edit?usp=sharing"",""กาญจนบุรี!L229"")"),55200)</f>
        <v>55200</v>
      </c>
      <c r="CC53" s="73">
        <f ca="1">IFERROR(__xludf.DUMMYFUNCTION("IMPORTRANGE(""https://docs.google.com/spreadsheets/d/1hKO5uv94SSRZWOvrh72HRcpyoEQF9TsE_Cvxl77XNU4/edit?usp=sharing"",""กาญจนบุรี!N229"")"),0)</f>
        <v>0</v>
      </c>
      <c r="CD53" s="77">
        <f t="shared" ca="1" si="103"/>
        <v>0</v>
      </c>
      <c r="CE53" s="73">
        <f ca="1">IFERROR(__xludf.DUMMYFUNCTION("IMPORTRANGE(""https://docs.google.com/spreadsheets/d/1hKO5uv94SSRZWOvrh72HRcpyoEQF9TsE_Cvxl77XNU4/edit?usp=sharing"",""กาญจนบุรี!L230"")"),15000)</f>
        <v>15000</v>
      </c>
      <c r="CF53" s="73">
        <f ca="1">IFERROR(__xludf.DUMMYFUNCTION("IMPORTRANGE(""https://docs.google.com/spreadsheets/d/1hKO5uv94SSRZWOvrh72HRcpyoEQF9TsE_Cvxl77XNU4/edit?usp=sharing"",""กาญจนบุรี!N230"")"),0)</f>
        <v>0</v>
      </c>
      <c r="CG53" s="77">
        <f t="shared" ca="1" si="104"/>
        <v>0</v>
      </c>
      <c r="CH53" s="73">
        <f ca="1">IFERROR(__xludf.DUMMYFUNCTION("IMPORTRANGE(""https://docs.google.com/spreadsheets/d/1hKO5uv94SSRZWOvrh72HRcpyoEQF9TsE_Cvxl77XNU4/edit?usp=sharing"",""กาญจนบุรี!L231"")"),30000)</f>
        <v>30000</v>
      </c>
      <c r="CI53" s="73">
        <f ca="1">IFERROR(__xludf.DUMMYFUNCTION("IMPORTRANGE(""https://docs.google.com/spreadsheets/d/1hKO5uv94SSRZWOvrh72HRcpyoEQF9TsE_Cvxl77XNU4/edit?usp=sharing"",""กาญจนบุรี!N231"")"),0)</f>
        <v>0</v>
      </c>
      <c r="CJ53" s="77">
        <f t="shared" ca="1" si="105"/>
        <v>0</v>
      </c>
      <c r="CK53" s="73">
        <f ca="1">IFERROR(__xludf.DUMMYFUNCTION("IMPORTRANGE(""https://docs.google.com/spreadsheets/d/1hKO5uv94SSRZWOvrh72HRcpyoEQF9TsE_Cvxl77XNU4/edit?usp=sharing"",""กาญจนบุรี!I233"")"),30)</f>
        <v>30</v>
      </c>
      <c r="CL53" s="73">
        <f ca="1">IFERROR(__xludf.DUMMYFUNCTION("IMPORTRANGE(""https://docs.google.com/spreadsheets/d/1hKO5uv94SSRZWOvrh72HRcpyoEQF9TsE_Cvxl77XNU4/edit?usp=sharing"",""กาญจนบุรี!J233"")"),0)</f>
        <v>0</v>
      </c>
      <c r="CM53" s="77">
        <f t="shared" ca="1" si="106"/>
        <v>0</v>
      </c>
      <c r="CN53" s="73">
        <f ca="1">IFERROR(__xludf.DUMMYFUNCTION("IMPORTRANGE(""https://docs.google.com/spreadsheets/d/1hKO5uv94SSRZWOvrh72HRcpyoEQF9TsE_Cvxl77XNU4/edit?usp=sharing"",""กาญจนบุรี!J235"")"),0)</f>
        <v>0</v>
      </c>
      <c r="CO53" s="73">
        <f ca="1">IFERROR(__xludf.DUMMYFUNCTION("IMPORTRANGE(""https://docs.google.com/spreadsheets/d/1hKO5uv94SSRZWOvrh72HRcpyoEQF9TsE_Cvxl77XNU4/edit?usp=sharing"",""กาญจนบุรี!J236"")"),0)</f>
        <v>0</v>
      </c>
    </row>
    <row r="54" spans="1:93" ht="21" customHeight="1" x14ac:dyDescent="0.3">
      <c r="A54" s="78">
        <v>2</v>
      </c>
      <c r="B54" s="79" t="s">
        <v>76</v>
      </c>
      <c r="C54" s="80">
        <f t="shared" ca="1" si="0"/>
        <v>142100</v>
      </c>
      <c r="D54" s="81">
        <f t="shared" ca="1" si="187"/>
        <v>142100</v>
      </c>
      <c r="E54" s="82">
        <f ca="1">IFERROR(__xludf.DUMMYFUNCTION("IMPORTRANGE(""https://docs.google.com/spreadsheets/d/1MeEWN-I1oV_STSDYn1IFDPWt_1FKiwhDph83XaGc0o0/edit?usp=sharing"",""งบพรบ!CP54"")"),0)</f>
        <v>0</v>
      </c>
      <c r="F54" s="82">
        <f ca="1">IFERROR(__xludf.DUMMYFUNCTION("IMPORTRANGE(""https://docs.google.com/spreadsheets/d/1MeEWN-I1oV_STSDYn1IFDPWt_1FKiwhDph83XaGc0o0/edit?usp=sharing"",""งบพรบ!CQ54"")"),142100)</f>
        <v>142100</v>
      </c>
      <c r="G54" s="82">
        <f ca="1">IFERROR(__xludf.DUMMYFUNCTION("IMPORTRANGE(""https://docs.google.com/spreadsheets/d/1MeEWN-I1oV_STSDYn1IFDPWt_1FKiwhDph83XaGc0o0/edit?usp=sharing"",""งบพรบ!CR54"")"),0)</f>
        <v>0</v>
      </c>
      <c r="H54" s="82">
        <f ca="1">IFERROR(__xludf.DUMMYFUNCTION("IMPORTRANGE(""https://docs.google.com/spreadsheets/d/1MeEWN-I1oV_STSDYn1IFDPWt_1FKiwhDph83XaGc0o0/edit?usp=sharing"",""งบพรบ!CT54"")"),136500)</f>
        <v>136500</v>
      </c>
      <c r="I54" s="82">
        <f ca="1">IFERROR(__xludf.DUMMYFUNCTION("IMPORTRANGE(""https://docs.google.com/spreadsheets/d/1MeEWN-I1oV_STSDYn1IFDPWt_1FKiwhDph83XaGc0o0/edit?usp=sharing"",""งบพรบ!CU54"")"),0)</f>
        <v>0</v>
      </c>
      <c r="J54" s="82">
        <f t="shared" ca="1" si="3"/>
        <v>29185</v>
      </c>
      <c r="K54" s="83">
        <f t="shared" ca="1" si="4"/>
        <v>20.538353272343421</v>
      </c>
      <c r="L54" s="82">
        <f ca="1">IFERROR(__xludf.DUMMYFUNCTION("IMPORTRANGE(""https://docs.google.com/spreadsheets/d/1MeEWN-I1oV_STSDYn1IFDPWt_1FKiwhDph83XaGc0o0/edit?usp=sharing"",""งบพรบ!CV54"")"),29185)</f>
        <v>29185</v>
      </c>
      <c r="M54" s="84">
        <f t="shared" ca="1" si="5"/>
        <v>20.538353272343421</v>
      </c>
      <c r="N54" s="84">
        <f t="shared" ca="1" si="6"/>
        <v>21.38095238095238</v>
      </c>
      <c r="O54" s="85">
        <f ca="1">IFERROR(__xludf.DUMMYFUNCTION("IMPORTRANGE(""https://docs.google.com/spreadsheets/d/1MeEWN-I1oV_STSDYn1IFDPWt_1FKiwhDph83XaGc0o0/edit?usp=sharing"",""งบพรบ!CW54"")"),0)</f>
        <v>0</v>
      </c>
      <c r="P54" s="85">
        <f t="shared" ca="1" si="108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IFERROR(__xludf.DUMMYFUNCTION("IMPORTRANGE(""https://docs.google.com/spreadsheets/d/1njBaP_xXd-Uotvo2D9zb01TTCFkLJLDK97Tk1l9Qux0/edit?usp=sharing"",""จันทบุรี!L191"")"),6000)</f>
        <v>6000</v>
      </c>
      <c r="S54" s="86">
        <f ca="1">IFERROR(__xludf.DUMMYFUNCTION("IMPORTRANGE(""https://docs.google.com/spreadsheets/d/1njBaP_xXd-Uotvo2D9zb01TTCFkLJLDK97Tk1l9Qux0/edit?usp=sharing"",""จันทบุรี!N191"")"),2265)</f>
        <v>2265</v>
      </c>
      <c r="T54" s="87">
        <f t="shared" ca="1" si="84"/>
        <v>37.75</v>
      </c>
      <c r="U54" s="86">
        <f ca="1">IFERROR(__xludf.DUMMYFUNCTION("IMPORTRANGE(""https://docs.google.com/spreadsheets/d/1njBaP_xXd-Uotvo2D9zb01TTCFkLJLDK97Tk1l9Qux0/edit?usp=sharing"",""จันทบุรี!I193"")"),4)</f>
        <v>4</v>
      </c>
      <c r="V54" s="86">
        <f ca="1">IFERROR(__xludf.DUMMYFUNCTION("IMPORTRANGE(""https://docs.google.com/spreadsheets/d/1njBaP_xXd-Uotvo2D9zb01TTCFkLJLDK97Tk1l9Qux0/edit?usp=sharing"",""จันทบุรี!J193"")"),1)</f>
        <v>1</v>
      </c>
      <c r="W54" s="87">
        <f t="shared" ca="1" si="85"/>
        <v>25</v>
      </c>
      <c r="X54" s="86">
        <f t="shared" ca="1" si="188"/>
        <v>50</v>
      </c>
      <c r="Y54" s="86">
        <f ca="1">IFERROR(__xludf.DUMMYFUNCTION("IMPORTRANGE(""https://docs.google.com/spreadsheets/d/1njBaP_xXd-Uotvo2D9zb01TTCFkLJLDK97Tk1l9Qux0/edit?usp=sharing"",""จันทบุรี!J195"")"),50)</f>
        <v>50</v>
      </c>
      <c r="Z54" s="86">
        <f ca="1">IFERROR(__xludf.DUMMYFUNCTION("IMPORTRANGE(""https://docs.google.com/spreadsheets/d/1njBaP_xXd-Uotvo2D9zb01TTCFkLJLDK97Tk1l9Qux0/edit?usp=sharing"",""จันทบุรี!J196"")"),0)</f>
        <v>0</v>
      </c>
      <c r="AA54" s="86">
        <f ca="1">IFERROR(__xludf.DUMMYFUNCTION("IMPORTRANGE(""https://docs.google.com/spreadsheets/d/1njBaP_xXd-Uotvo2D9zb01TTCFkLJLDK97Tk1l9Qux0/edit?usp=sharing"",""จันทบุรี!L199"")"),2000)</f>
        <v>2000</v>
      </c>
      <c r="AB54" s="86">
        <f ca="1">IFERROR(__xludf.DUMMYFUNCTION("IMPORTRANGE(""https://docs.google.com/spreadsheets/d/1njBaP_xXd-Uotvo2D9zb01TTCFkLJLDK97Tk1l9Qux0/edit?usp=sharing"",""จันทบุรี!N199"")"),0)</f>
        <v>0</v>
      </c>
      <c r="AC54" s="87">
        <f t="shared" ca="1" si="86"/>
        <v>0</v>
      </c>
      <c r="AD54" s="86">
        <f ca="1">IFERROR(__xludf.DUMMYFUNCTION("IMPORTRANGE(""https://docs.google.com/spreadsheets/d/1njBaP_xXd-Uotvo2D9zb01TTCFkLJLDK97Tk1l9Qux0/edit?usp=sharing"",""จันทบุรี!L200"")"),16000)</f>
        <v>16000</v>
      </c>
      <c r="AE54" s="86">
        <f ca="1">IFERROR(__xludf.DUMMYFUNCTION("IMPORTRANGE(""https://docs.google.com/spreadsheets/d/1njBaP_xXd-Uotvo2D9zb01TTCFkLJLDK97Tk1l9Qux0/edit?usp=sharing"",""จันทบุรี!N200"")"),15900)</f>
        <v>15900</v>
      </c>
      <c r="AF54" s="87">
        <f t="shared" ca="1" si="87"/>
        <v>99.375</v>
      </c>
      <c r="AG54" s="86">
        <f ca="1">IFERROR(__xludf.DUMMYFUNCTION("IMPORTRANGE(""https://docs.google.com/spreadsheets/d/1njBaP_xXd-Uotvo2D9zb01TTCFkLJLDK97Tk1l9Qux0/edit?usp=sharing"",""จันทบุรี!L201"")"),8000)</f>
        <v>8000</v>
      </c>
      <c r="AH54" s="86">
        <f ca="1">IFERROR(__xludf.DUMMYFUNCTION("IMPORTRANGE(""https://docs.google.com/spreadsheets/d/1njBaP_xXd-Uotvo2D9zb01TTCFkLJLDK97Tk1l9Qux0/edit?usp=sharing"",""จันทบุรี!N201"")"),0)</f>
        <v>0</v>
      </c>
      <c r="AI54" s="87">
        <f t="shared" ca="1" si="88"/>
        <v>0</v>
      </c>
      <c r="AJ54" s="86">
        <f ca="1">IFERROR(__xludf.DUMMYFUNCTION("IMPORTRANGE(""https://docs.google.com/spreadsheets/d/1njBaP_xXd-Uotvo2D9zb01TTCFkLJLDK97Tk1l9Qux0/edit?usp=sharing"",""จันทบุรี!L202"")"),0)</f>
        <v>0</v>
      </c>
      <c r="AK54" s="86">
        <f ca="1">IFERROR(__xludf.DUMMYFUNCTION("IMPORTRANGE(""https://docs.google.com/spreadsheets/d/1njBaP_xXd-Uotvo2D9zb01TTCFkLJLDK97Tk1l9Qux0/edit?usp=sharing"",""จันทบุรี!N202"")"),0)</f>
        <v>0</v>
      </c>
      <c r="AL54" s="87">
        <f t="shared" ca="1" si="89"/>
        <v>0</v>
      </c>
      <c r="AM54" s="86">
        <f ca="1">IFERROR(__xludf.DUMMYFUNCTION("IMPORTRANGE(""https://docs.google.com/spreadsheets/d/1njBaP_xXd-Uotvo2D9zb01TTCFkLJLDK97Tk1l9Qux0/edit?usp=sharing"",""จันทบุรี!I204"")"),2)</f>
        <v>2</v>
      </c>
      <c r="AN54" s="86">
        <f ca="1">IFERROR(__xludf.DUMMYFUNCTION("IMPORTRANGE(""https://docs.google.com/spreadsheets/d/1njBaP_xXd-Uotvo2D9zb01TTCFkLJLDK97Tk1l9Qux0/edit?usp=sharing"",""จันทบุรี!J204"")"),2)</f>
        <v>2</v>
      </c>
      <c r="AO54" s="87">
        <f t="shared" ca="1" si="90"/>
        <v>100</v>
      </c>
      <c r="AP54" s="298">
        <f ca="1">IFERROR(__xludf.DUMMYFUNCTION("IMPORTRANGE(""https://docs.google.com/spreadsheets/d/1njBaP_xXd-Uotvo2D9zb01TTCFkLJLDK97Tk1l9Qux0/edit?usp=sharing"",""จันทบุรี!J206"")"),0)</f>
        <v>0</v>
      </c>
      <c r="AQ54" s="298">
        <f ca="1">IFERROR(__xludf.DUMMYFUNCTION("IMPORTRANGE(""https://docs.google.com/spreadsheets/d/1njBaP_xXd-Uotvo2D9zb01TTCFkLJLDK97Tk1l9Qux0/edit?usp=sharing"",""จันทบุรี!J207"")"),0)</f>
        <v>0</v>
      </c>
      <c r="AR54" s="86">
        <f ca="1">IFERROR(__xludf.DUMMYFUNCTION("IMPORTRANGE(""https://docs.google.com/spreadsheets/d/1njBaP_xXd-Uotvo2D9zb01TTCFkLJLDK97Tk1l9Qux0/edit?usp=sharing"",""จันทบุรี!L210"")"),1000)</f>
        <v>1000</v>
      </c>
      <c r="AS54" s="86">
        <f ca="1">IFERROR(__xludf.DUMMYFUNCTION("IMPORTRANGE(""https://docs.google.com/spreadsheets/d/1njBaP_xXd-Uotvo2D9zb01TTCFkLJLDK97Tk1l9Qux0/edit?usp=sharing"",""จันทบุรี!N210"")"),0)</f>
        <v>0</v>
      </c>
      <c r="AT54" s="87">
        <f t="shared" ca="1" si="91"/>
        <v>0</v>
      </c>
      <c r="AU54" s="86">
        <f ca="1">IFERROR(__xludf.DUMMYFUNCTION("IMPORTRANGE(""https://docs.google.com/spreadsheets/d/1njBaP_xXd-Uotvo2D9zb01TTCFkLJLDK97Tk1l9Qux0/edit?usp=sharing"",""จันทบุรี!L211"")"),5000)</f>
        <v>5000</v>
      </c>
      <c r="AV54" s="86">
        <f ca="1">IFERROR(__xludf.DUMMYFUNCTION("IMPORTRANGE(""https://docs.google.com/spreadsheets/d/1njBaP_xXd-Uotvo2D9zb01TTCFkLJLDK97Tk1l9Qux0/edit?usp=sharing"",""จันทบุรี!N211"")"),0)</f>
        <v>0</v>
      </c>
      <c r="AW54" s="87">
        <f t="shared" ca="1" si="92"/>
        <v>0</v>
      </c>
      <c r="AX54" s="86">
        <f ca="1">IFERROR(__xludf.DUMMYFUNCTION("IMPORTRANGE(""https://docs.google.com/spreadsheets/d/1njBaP_xXd-Uotvo2D9zb01TTCFkLJLDK97Tk1l9Qux0/edit?usp=sharing"",""จันทบุรี!L212"")"),8000)</f>
        <v>8000</v>
      </c>
      <c r="AY54" s="86">
        <f ca="1">IFERROR(__xludf.DUMMYFUNCTION("IMPORTRANGE(""https://docs.google.com/spreadsheets/d/1njBaP_xXd-Uotvo2D9zb01TTCFkLJLDK97Tk1l9Qux0/edit?usp=sharing"",""จันทบุรี!N212"")"),7740)</f>
        <v>7740</v>
      </c>
      <c r="AZ54" s="87">
        <f t="shared" ca="1" si="93"/>
        <v>96.75</v>
      </c>
      <c r="BA54" s="86">
        <f ca="1">IFERROR(__xludf.DUMMYFUNCTION("IMPORTRANGE(""https://docs.google.com/spreadsheets/d/1njBaP_xXd-Uotvo2D9zb01TTCFkLJLDK97Tk1l9Qux0/edit?usp=sharing"",""จันทบุรี!I214"")"),1)</f>
        <v>1</v>
      </c>
      <c r="BB54" s="86">
        <f ca="1">IFERROR(__xludf.DUMMYFUNCTION("IMPORTRANGE(""https://docs.google.com/spreadsheets/d/1njBaP_xXd-Uotvo2D9zb01TTCFkLJLDK97Tk1l9Qux0/edit?usp=sharing"",""จันทบุรี!J214"")"),0)</f>
        <v>0</v>
      </c>
      <c r="BC54" s="87">
        <f t="shared" ca="1" si="94"/>
        <v>0</v>
      </c>
      <c r="BD54" s="86">
        <f ca="1">IFERROR(__xludf.DUMMYFUNCTION("IMPORTRANGE(""https://docs.google.com/spreadsheets/d/1njBaP_xXd-Uotvo2D9zb01TTCFkLJLDK97Tk1l9Qux0/edit?usp=sharing"",""จันทบุรี!I215"")"),1)</f>
        <v>1</v>
      </c>
      <c r="BE54" s="86">
        <f ca="1">IFERROR(__xludf.DUMMYFUNCTION("IMPORTRANGE(""https://docs.google.com/spreadsheets/d/1njBaP_xXd-Uotvo2D9zb01TTCFkLJLDK97Tk1l9Qux0/edit?usp=sharing"",""จันทบุรี!J215"")"),1)</f>
        <v>1</v>
      </c>
      <c r="BF54" s="87">
        <f t="shared" ca="1" si="95"/>
        <v>100</v>
      </c>
      <c r="BG54" s="86">
        <f ca="1">IFERROR(__xludf.DUMMYFUNCTION("IMPORTRANGE(""https://docs.google.com/spreadsheets/d/1njBaP_xXd-Uotvo2D9zb01TTCFkLJLDK97Tk1l9Qux0/edit?usp=sharing"",""จันทบุรี!L218"")"),3000)</f>
        <v>3000</v>
      </c>
      <c r="BH54" s="86">
        <f ca="1">IFERROR(__xludf.DUMMYFUNCTION("IMPORTRANGE(""https://docs.google.com/spreadsheets/d/1njBaP_xXd-Uotvo2D9zb01TTCFkLJLDK97Tk1l9Qux0/edit?usp=sharing"",""จันทบุรี!N218"")"),0)</f>
        <v>0</v>
      </c>
      <c r="BI54" s="87">
        <f t="shared" ca="1" si="96"/>
        <v>0</v>
      </c>
      <c r="BJ54" s="86">
        <f ca="1">IFERROR(__xludf.DUMMYFUNCTION("IMPORTRANGE(""https://docs.google.com/spreadsheets/d/1njBaP_xXd-Uotvo2D9zb01TTCFkLJLDK97Tk1l9Qux0/edit?usp=sharing"",""จันทบุรี!L219"")"),4100)</f>
        <v>4100</v>
      </c>
      <c r="BK54" s="86">
        <f ca="1">IFERROR(__xludf.DUMMYFUNCTION("IMPORTRANGE(""https://docs.google.com/spreadsheets/d/1njBaP_xXd-Uotvo2D9zb01TTCFkLJLDK97Tk1l9Qux0/edit?usp=sharing"",""จันทบุรี!N219"")"),0)</f>
        <v>0</v>
      </c>
      <c r="BL54" s="87">
        <f t="shared" ca="1" si="97"/>
        <v>0</v>
      </c>
      <c r="BM54" s="86">
        <f ca="1">IFERROR(__xludf.DUMMYFUNCTION("IMPORTRANGE(""https://docs.google.com/spreadsheets/d/1njBaP_xXd-Uotvo2D9zb01TTCFkLJLDK97Tk1l9Qux0/edit?usp=sharing"",""จันทบุรี!L220"")"),0)</f>
        <v>0</v>
      </c>
      <c r="BN54" s="86">
        <f ca="1">IFERROR(__xludf.DUMMYFUNCTION("IMPORTRANGE(""https://docs.google.com/spreadsheets/d/1njBaP_xXd-Uotvo2D9zb01TTCFkLJLDK97Tk1l9Qux0/edit?usp=sharing"",""จันทบุรี!N220"")"),0)</f>
        <v>0</v>
      </c>
      <c r="BO54" s="87">
        <f t="shared" ca="1" si="98"/>
        <v>0</v>
      </c>
      <c r="BP54" s="86">
        <f ca="1">IFERROR(__xludf.DUMMYFUNCTION("IMPORTRANGE(""https://docs.google.com/spreadsheets/d/1njBaP_xXd-Uotvo2D9zb01TTCFkLJLDK97Tk1l9Qux0/edit?usp=sharing"",""จันทบุรี!I223"")"),12800)</f>
        <v>12800</v>
      </c>
      <c r="BQ54" s="86">
        <f ca="1">IFERROR(__xludf.DUMMYFUNCTION("IMPORTRANGE(""https://docs.google.com/spreadsheets/d/1njBaP_xXd-Uotvo2D9zb01TTCFkLJLDK97Tk1l9Qux0/edit?usp=sharing"",""จันทบุรี!J223"")"),0)</f>
        <v>0</v>
      </c>
      <c r="BR54" s="87">
        <f t="shared" ca="1" si="99"/>
        <v>0</v>
      </c>
      <c r="BS54" s="86">
        <f ca="1">IFERROR(__xludf.DUMMYFUNCTION("IMPORTRANGE(""https://docs.google.com/spreadsheets/d/1njBaP_xXd-Uotvo2D9zb01TTCFkLJLDK97Tk1l9Qux0/edit?usp=sharing"",""จันทบุรี!I224"")"),12800)</f>
        <v>12800</v>
      </c>
      <c r="BT54" s="86">
        <f ca="1">IFERROR(__xludf.DUMMYFUNCTION("IMPORTRANGE(""https://docs.google.com/spreadsheets/d/1njBaP_xXd-Uotvo2D9zb01TTCFkLJLDK97Tk1l9Qux0/edit?usp=sharing"",""จันทบุรี!J224"")"),0)</f>
        <v>0</v>
      </c>
      <c r="BU54" s="87">
        <f t="shared" ca="1" si="100"/>
        <v>0</v>
      </c>
      <c r="BV54" s="86">
        <f ca="1">IFERROR(__xludf.DUMMYFUNCTION("IMPORTRANGE(""https://docs.google.com/spreadsheets/d/1njBaP_xXd-Uotvo2D9zb01TTCFkLJLDK97Tk1l9Qux0/edit?usp=sharing"",""จันทบุรี!I225"")"),0)</f>
        <v>0</v>
      </c>
      <c r="BW54" s="86">
        <f ca="1">IFERROR(__xludf.DUMMYFUNCTION("IMPORTRANGE(""https://docs.google.com/spreadsheets/d/1njBaP_xXd-Uotvo2D9zb01TTCFkLJLDK97Tk1l9Qux0/edit?usp=sharing"",""จันทบุรี!J225"")"),0)</f>
        <v>0</v>
      </c>
      <c r="BX54" s="87">
        <f t="shared" ca="1" si="101"/>
        <v>0</v>
      </c>
      <c r="BY54" s="86">
        <f ca="1">IFERROR(__xludf.DUMMYFUNCTION("IMPORTRANGE(""https://docs.google.com/spreadsheets/d/1njBaP_xXd-Uotvo2D9zb01TTCFkLJLDK97Tk1l9Qux0/edit?usp=sharing"",""จันทบุรี!L228"")"),20000)</f>
        <v>20000</v>
      </c>
      <c r="BZ54" s="86">
        <f ca="1">IFERROR(__xludf.DUMMYFUNCTION("IMPORTRANGE(""https://docs.google.com/spreadsheets/d/1njBaP_xXd-Uotvo2D9zb01TTCFkLJLDK97Tk1l9Qux0/edit?usp=sharing"",""จันทบุรี!N228"")"),1840)</f>
        <v>1840</v>
      </c>
      <c r="CA54" s="87">
        <f t="shared" ca="1" si="102"/>
        <v>9.1999999999999993</v>
      </c>
      <c r="CB54" s="86">
        <f ca="1">IFERROR(__xludf.DUMMYFUNCTION("IMPORTRANGE(""https://docs.google.com/spreadsheets/d/1njBaP_xXd-Uotvo2D9zb01TTCFkLJLDK97Tk1l9Qux0/edit?usp=sharing"",""จันทบุรี!L229"")"),39000)</f>
        <v>39000</v>
      </c>
      <c r="CC54" s="86">
        <f ca="1">IFERROR(__xludf.DUMMYFUNCTION("IMPORTRANGE(""https://docs.google.com/spreadsheets/d/1njBaP_xXd-Uotvo2D9zb01TTCFkLJLDK97Tk1l9Qux0/edit?usp=sharing"",""จันทบุรี!N229"")"),0)</f>
        <v>0</v>
      </c>
      <c r="CD54" s="87">
        <f t="shared" ca="1" si="103"/>
        <v>0</v>
      </c>
      <c r="CE54" s="86">
        <f ca="1">IFERROR(__xludf.DUMMYFUNCTION("IMPORTRANGE(""https://docs.google.com/spreadsheets/d/1njBaP_xXd-Uotvo2D9zb01TTCFkLJLDK97Tk1l9Qux0/edit?usp=sharing"",""จันทบุรี!L230"")"),20000)</f>
        <v>20000</v>
      </c>
      <c r="CF54" s="86">
        <f ca="1">IFERROR(__xludf.DUMMYFUNCTION("IMPORTRANGE(""https://docs.google.com/spreadsheets/d/1njBaP_xXd-Uotvo2D9zb01TTCFkLJLDK97Tk1l9Qux0/edit?usp=sharing"",""จันทบุรี!N230"")"),0)</f>
        <v>0</v>
      </c>
      <c r="CG54" s="87">
        <f t="shared" ca="1" si="104"/>
        <v>0</v>
      </c>
      <c r="CH54" s="86">
        <f ca="1">IFERROR(__xludf.DUMMYFUNCTION("IMPORTRANGE(""https://docs.google.com/spreadsheets/d/1njBaP_xXd-Uotvo2D9zb01TTCFkLJLDK97Tk1l9Qux0/edit?usp=sharing"",""จันทบุรี!L231"")"),10000)</f>
        <v>10000</v>
      </c>
      <c r="CI54" s="86">
        <f ca="1">IFERROR(__xludf.DUMMYFUNCTION("IMPORTRANGE(""https://docs.google.com/spreadsheets/d/1njBaP_xXd-Uotvo2D9zb01TTCFkLJLDK97Tk1l9Qux0/edit?usp=sharing"",""จันทบุรี!N231"")"),0)</f>
        <v>0</v>
      </c>
      <c r="CJ54" s="87">
        <f t="shared" ca="1" si="105"/>
        <v>0</v>
      </c>
      <c r="CK54" s="86">
        <f ca="1">IFERROR(__xludf.DUMMYFUNCTION("IMPORTRANGE(""https://docs.google.com/spreadsheets/d/1njBaP_xXd-Uotvo2D9zb01TTCFkLJLDK97Tk1l9Qux0/edit?usp=sharing"",""จันทบุรี!I233"")"),20)</f>
        <v>20</v>
      </c>
      <c r="CL54" s="86">
        <f ca="1">IFERROR(__xludf.DUMMYFUNCTION("IMPORTRANGE(""https://docs.google.com/spreadsheets/d/1njBaP_xXd-Uotvo2D9zb01TTCFkLJLDK97Tk1l9Qux0/edit?usp=sharing"",""จันทบุรี!J233"")"),0)</f>
        <v>0</v>
      </c>
      <c r="CM54" s="87">
        <f t="shared" ca="1" si="106"/>
        <v>0</v>
      </c>
      <c r="CN54" s="86">
        <f ca="1">IFERROR(__xludf.DUMMYFUNCTION("IMPORTRANGE(""https://docs.google.com/spreadsheets/d/1njBaP_xXd-Uotvo2D9zb01TTCFkLJLDK97Tk1l9Qux0/edit?usp=sharing"",""จันทบุรี!J235"")"),0)</f>
        <v>0</v>
      </c>
      <c r="CO54" s="86">
        <f ca="1">IFERROR(__xludf.DUMMYFUNCTION("IMPORTRANGE(""https://docs.google.com/spreadsheets/d/1njBaP_xXd-Uotvo2D9zb01TTCFkLJLDK97Tk1l9Qux0/edit?usp=sharing"",""จันทบุรี!J236"")"),0)</f>
        <v>0</v>
      </c>
    </row>
    <row r="55" spans="1:93" ht="21" customHeight="1" x14ac:dyDescent="0.3">
      <c r="A55" s="78">
        <v>3</v>
      </c>
      <c r="B55" s="79" t="s">
        <v>77</v>
      </c>
      <c r="C55" s="80">
        <f t="shared" ca="1" si="0"/>
        <v>633700</v>
      </c>
      <c r="D55" s="81">
        <f t="shared" ca="1" si="187"/>
        <v>633700</v>
      </c>
      <c r="E55" s="82">
        <f ca="1">IFERROR(__xludf.DUMMYFUNCTION("IMPORTRANGE(""https://docs.google.com/spreadsheets/d/1MeEWN-I1oV_STSDYn1IFDPWt_1FKiwhDph83XaGc0o0/edit?usp=sharing"",""งบพรบ!CP55"")"),153700)</f>
        <v>153700</v>
      </c>
      <c r="F55" s="82">
        <f ca="1">IFERROR(__xludf.DUMMYFUNCTION("IMPORTRANGE(""https://docs.google.com/spreadsheets/d/1MeEWN-I1oV_STSDYn1IFDPWt_1FKiwhDph83XaGc0o0/edit?usp=sharing"",""งบพรบ!CQ55"")"),480000)</f>
        <v>480000</v>
      </c>
      <c r="G55" s="82">
        <f ca="1">IFERROR(__xludf.DUMMYFUNCTION("IMPORTRANGE(""https://docs.google.com/spreadsheets/d/1MeEWN-I1oV_STSDYn1IFDPWt_1FKiwhDph83XaGc0o0/edit?usp=sharing"",""งบพรบ!CR55"")"),0)</f>
        <v>0</v>
      </c>
      <c r="H55" s="82">
        <f ca="1">IFERROR(__xludf.DUMMYFUNCTION("IMPORTRANGE(""https://docs.google.com/spreadsheets/d/1MeEWN-I1oV_STSDYn1IFDPWt_1FKiwhDph83XaGc0o0/edit?usp=sharing"",""งบพรบ!CT55"")"),562075)</f>
        <v>562075</v>
      </c>
      <c r="I55" s="82">
        <f ca="1">IFERROR(__xludf.DUMMYFUNCTION("IMPORTRANGE(""https://docs.google.com/spreadsheets/d/1MeEWN-I1oV_STSDYn1IFDPWt_1FKiwhDph83XaGc0o0/edit?usp=sharing"",""งบพรบ!CU55"")"),0)</f>
        <v>0</v>
      </c>
      <c r="J55" s="82">
        <f t="shared" ca="1" si="3"/>
        <v>245194.74</v>
      </c>
      <c r="K55" s="83">
        <f t="shared" ca="1" si="4"/>
        <v>38.692557992741044</v>
      </c>
      <c r="L55" s="82">
        <f ca="1">IFERROR(__xludf.DUMMYFUNCTION("IMPORTRANGE(""https://docs.google.com/spreadsheets/d/1MeEWN-I1oV_STSDYn1IFDPWt_1FKiwhDph83XaGc0o0/edit?usp=sharing"",""งบพรบ!CV55"")"),245194.74)</f>
        <v>245194.74</v>
      </c>
      <c r="M55" s="84">
        <f t="shared" ca="1" si="5"/>
        <v>38.692557992741044</v>
      </c>
      <c r="N55" s="84">
        <f t="shared" ca="1" si="6"/>
        <v>43.623135702530803</v>
      </c>
      <c r="O55" s="85">
        <f ca="1">IFERROR(__xludf.DUMMYFUNCTION("IMPORTRANGE(""https://docs.google.com/spreadsheets/d/1MeEWN-I1oV_STSDYn1IFDPWt_1FKiwhDph83XaGc0o0/edit?usp=sharing"",""งบพรบ!CW55"")"),0)</f>
        <v>0</v>
      </c>
      <c r="P55" s="85">
        <f t="shared" ca="1" si="108"/>
        <v>0</v>
      </c>
      <c r="Q55" s="84">
        <f t="shared" ca="1" si="8"/>
        <v>0</v>
      </c>
      <c r="R55" s="86">
        <f ca="1">IFERROR(__xludf.DUMMYFUNCTION("IMPORTRANGE(""https://docs.google.com/spreadsheets/d/14xp6qUzrGFnUk_qnc1eEmfiaNRd4_grkhpfQH_46fa8/edit?usp=sharing"",""ฉะเชิงเทรา!L191"")"),6000)</f>
        <v>6000</v>
      </c>
      <c r="S55" s="86">
        <f ca="1">IFERROR(__xludf.DUMMYFUNCTION("IMPORTRANGE(""https://docs.google.com/spreadsheets/d/14xp6qUzrGFnUk_qnc1eEmfiaNRd4_grkhpfQH_46fa8/edit?usp=sharing"",""ฉะเชิงเทรา!N191"")"),1980)</f>
        <v>1980</v>
      </c>
      <c r="T55" s="87">
        <f t="shared" ca="1" si="84"/>
        <v>33</v>
      </c>
      <c r="U55" s="86">
        <f ca="1">IFERROR(__xludf.DUMMYFUNCTION("IMPORTRANGE(""https://docs.google.com/spreadsheets/d/14xp6qUzrGFnUk_qnc1eEmfiaNRd4_grkhpfQH_46fa8/edit?usp=sharing"",""ฉะเชิงเทรา!I193"")"),4)</f>
        <v>4</v>
      </c>
      <c r="V55" s="86">
        <f ca="1">IFERROR(__xludf.DUMMYFUNCTION("IMPORTRANGE(""https://docs.google.com/spreadsheets/d/14xp6qUzrGFnUk_qnc1eEmfiaNRd4_grkhpfQH_46fa8/edit?usp=sharing"",""ฉะเชิงเทรา!J193"")"),1)</f>
        <v>1</v>
      </c>
      <c r="W55" s="87">
        <f t="shared" ca="1" si="85"/>
        <v>25</v>
      </c>
      <c r="X55" s="86">
        <f t="shared" ca="1" si="188"/>
        <v>14</v>
      </c>
      <c r="Y55" s="86">
        <f ca="1">IFERROR(__xludf.DUMMYFUNCTION("IMPORTRANGE(""https://docs.google.com/spreadsheets/d/14xp6qUzrGFnUk_qnc1eEmfiaNRd4_grkhpfQH_46fa8/edit?usp=sharing"",""ฉะเชิงเทรา!J195"")"),14)</f>
        <v>14</v>
      </c>
      <c r="Z55" s="86">
        <f ca="1">IFERROR(__xludf.DUMMYFUNCTION("IMPORTRANGE(""https://docs.google.com/spreadsheets/d/14xp6qUzrGFnUk_qnc1eEmfiaNRd4_grkhpfQH_46fa8/edit?usp=sharing"",""ฉะเชิงเทรา!J196"")"),0)</f>
        <v>0</v>
      </c>
      <c r="AA55" s="86">
        <f ca="1">IFERROR(__xludf.DUMMYFUNCTION("IMPORTRANGE(""https://docs.google.com/spreadsheets/d/14xp6qUzrGFnUk_qnc1eEmfiaNRd4_grkhpfQH_46fa8/edit?usp=sharing"",""ฉะเชิงเทรา!L199"")"),3000)</f>
        <v>3000</v>
      </c>
      <c r="AB55" s="86">
        <f ca="1">IFERROR(__xludf.DUMMYFUNCTION("IMPORTRANGE(""https://docs.google.com/spreadsheets/d/14xp6qUzrGFnUk_qnc1eEmfiaNRd4_grkhpfQH_46fa8/edit?usp=sharing"",""ฉะเชิงเทรา!N199"")"),1960)</f>
        <v>1960</v>
      </c>
      <c r="AC55" s="87">
        <f t="shared" ca="1" si="86"/>
        <v>65.333333333333329</v>
      </c>
      <c r="AD55" s="86">
        <f ca="1">IFERROR(__xludf.DUMMYFUNCTION("IMPORTRANGE(""https://docs.google.com/spreadsheets/d/14xp6qUzrGFnUk_qnc1eEmfiaNRd4_grkhpfQH_46fa8/edit?usp=sharing"",""ฉะเชิงเทรา!L200"")"),24000)</f>
        <v>24000</v>
      </c>
      <c r="AE55" s="86">
        <f ca="1">IFERROR(__xludf.DUMMYFUNCTION("IMPORTRANGE(""https://docs.google.com/spreadsheets/d/14xp6qUzrGFnUk_qnc1eEmfiaNRd4_grkhpfQH_46fa8/edit?usp=sharing"",""ฉะเชิงเทรา!N200"")"),24000)</f>
        <v>24000</v>
      </c>
      <c r="AF55" s="87">
        <f t="shared" ca="1" si="87"/>
        <v>100</v>
      </c>
      <c r="AG55" s="86">
        <f ca="1">IFERROR(__xludf.DUMMYFUNCTION("IMPORTRANGE(""https://docs.google.com/spreadsheets/d/14xp6qUzrGFnUk_qnc1eEmfiaNRd4_grkhpfQH_46fa8/edit?usp=sharing"",""ฉะเชิงเทรา!L201"")"),12000)</f>
        <v>12000</v>
      </c>
      <c r="AH55" s="86">
        <f ca="1">IFERROR(__xludf.DUMMYFUNCTION("IMPORTRANGE(""https://docs.google.com/spreadsheets/d/14xp6qUzrGFnUk_qnc1eEmfiaNRd4_grkhpfQH_46fa8/edit?usp=sharing"",""ฉะเชิงเทรา!N201"")"),0)</f>
        <v>0</v>
      </c>
      <c r="AI55" s="87">
        <f t="shared" ca="1" si="88"/>
        <v>0</v>
      </c>
      <c r="AJ55" s="86">
        <f ca="1">IFERROR(__xludf.DUMMYFUNCTION("IMPORTRANGE(""https://docs.google.com/spreadsheets/d/14xp6qUzrGFnUk_qnc1eEmfiaNRd4_grkhpfQH_46fa8/edit?usp=sharing"",""ฉะเชิงเทรา!L202"")"),0)</f>
        <v>0</v>
      </c>
      <c r="AK55" s="86">
        <f ca="1">IFERROR(__xludf.DUMMYFUNCTION("IMPORTRANGE(""https://docs.google.com/spreadsheets/d/14xp6qUzrGFnUk_qnc1eEmfiaNRd4_grkhpfQH_46fa8/edit?usp=sharing"",""ฉะเชิงเทรา!N202"")"),0)</f>
        <v>0</v>
      </c>
      <c r="AL55" s="87">
        <f t="shared" ca="1" si="89"/>
        <v>0</v>
      </c>
      <c r="AM55" s="86">
        <f ca="1">IFERROR(__xludf.DUMMYFUNCTION("IMPORTRANGE(""https://docs.google.com/spreadsheets/d/14xp6qUzrGFnUk_qnc1eEmfiaNRd4_grkhpfQH_46fa8/edit?usp=sharing"",""ฉะเชิงเทรา!I204"")"),3)</f>
        <v>3</v>
      </c>
      <c r="AN55" s="86">
        <f ca="1">IFERROR(__xludf.DUMMYFUNCTION("IMPORTRANGE(""https://docs.google.com/spreadsheets/d/14xp6qUzrGFnUk_qnc1eEmfiaNRd4_grkhpfQH_46fa8/edit?usp=sharing"",""ฉะเชิงเทรา!J204"")"),3)</f>
        <v>3</v>
      </c>
      <c r="AO55" s="87">
        <f t="shared" ca="1" si="90"/>
        <v>100</v>
      </c>
      <c r="AP55" s="298">
        <f ca="1">IFERROR(__xludf.DUMMYFUNCTION("IMPORTRANGE(""https://docs.google.com/spreadsheets/d/14xp6qUzrGFnUk_qnc1eEmfiaNRd4_grkhpfQH_46fa8/edit?usp=sharing"",""ฉะเชิงเทรา!J206"")"),0)</f>
        <v>0</v>
      </c>
      <c r="AQ55" s="298">
        <f ca="1">IFERROR(__xludf.DUMMYFUNCTION("IMPORTRANGE(""https://docs.google.com/spreadsheets/d/14xp6qUzrGFnUk_qnc1eEmfiaNRd4_grkhpfQH_46fa8/edit?usp=sharing"",""ฉะเชิงเทรา!J207"")"),0)</f>
        <v>0</v>
      </c>
      <c r="AR55" s="86">
        <f ca="1">IFERROR(__xludf.DUMMYFUNCTION("IMPORTRANGE(""https://docs.google.com/spreadsheets/d/14xp6qUzrGFnUk_qnc1eEmfiaNRd4_grkhpfQH_46fa8/edit?usp=sharing"",""ฉะเชิงเทรา!L210"")"),3000)</f>
        <v>3000</v>
      </c>
      <c r="AS55" s="86">
        <f ca="1">IFERROR(__xludf.DUMMYFUNCTION("IMPORTRANGE(""https://docs.google.com/spreadsheets/d/14xp6qUzrGFnUk_qnc1eEmfiaNRd4_grkhpfQH_46fa8/edit?usp=sharing"",""ฉะเชิงเทรา!N210"")"),1480)</f>
        <v>1480</v>
      </c>
      <c r="AT55" s="87">
        <f t="shared" ca="1" si="91"/>
        <v>49.333333333333336</v>
      </c>
      <c r="AU55" s="86">
        <f ca="1">IFERROR(__xludf.DUMMYFUNCTION("IMPORTRANGE(""https://docs.google.com/spreadsheets/d/14xp6qUzrGFnUk_qnc1eEmfiaNRd4_grkhpfQH_46fa8/edit?usp=sharing"",""ฉะเชิงเทรา!L211"")"),15000)</f>
        <v>15000</v>
      </c>
      <c r="AV55" s="86">
        <f ca="1">IFERROR(__xludf.DUMMYFUNCTION("IMPORTRANGE(""https://docs.google.com/spreadsheets/d/14xp6qUzrGFnUk_qnc1eEmfiaNRd4_grkhpfQH_46fa8/edit?usp=sharing"",""ฉะเชิงเทรา!N211"")"),0)</f>
        <v>0</v>
      </c>
      <c r="AW55" s="87">
        <f t="shared" ca="1" si="92"/>
        <v>0</v>
      </c>
      <c r="AX55" s="86">
        <f ca="1">IFERROR(__xludf.DUMMYFUNCTION("IMPORTRANGE(""https://docs.google.com/spreadsheets/d/14xp6qUzrGFnUk_qnc1eEmfiaNRd4_grkhpfQH_46fa8/edit?usp=sharing"",""ฉะเชิงเทรา!L212"")"),24000)</f>
        <v>24000</v>
      </c>
      <c r="AY55" s="86">
        <f ca="1">IFERROR(__xludf.DUMMYFUNCTION("IMPORTRANGE(""https://docs.google.com/spreadsheets/d/14xp6qUzrGFnUk_qnc1eEmfiaNRd4_grkhpfQH_46fa8/edit?usp=sharing"",""ฉะเชิงเทรา!N212"")"),24000)</f>
        <v>24000</v>
      </c>
      <c r="AZ55" s="87">
        <f t="shared" ca="1" si="93"/>
        <v>100</v>
      </c>
      <c r="BA55" s="86">
        <f ca="1">IFERROR(__xludf.DUMMYFUNCTION("IMPORTRANGE(""https://docs.google.com/spreadsheets/d/14xp6qUzrGFnUk_qnc1eEmfiaNRd4_grkhpfQH_46fa8/edit?usp=sharing"",""ฉะเชิงเทรา!I214"")"),3)</f>
        <v>3</v>
      </c>
      <c r="BB55" s="86">
        <f ca="1">IFERROR(__xludf.DUMMYFUNCTION("IMPORTRANGE(""https://docs.google.com/spreadsheets/d/14xp6qUzrGFnUk_qnc1eEmfiaNRd4_grkhpfQH_46fa8/edit?usp=sharing"",""ฉะเชิงเทรา!J214"")"),0)</f>
        <v>0</v>
      </c>
      <c r="BC55" s="87">
        <f t="shared" ca="1" si="94"/>
        <v>0</v>
      </c>
      <c r="BD55" s="86">
        <f ca="1">IFERROR(__xludf.DUMMYFUNCTION("IMPORTRANGE(""https://docs.google.com/spreadsheets/d/14xp6qUzrGFnUk_qnc1eEmfiaNRd4_grkhpfQH_46fa8/edit?usp=sharing"",""ฉะเชิงเทรา!I215"")"),3)</f>
        <v>3</v>
      </c>
      <c r="BE55" s="86">
        <f ca="1">IFERROR(__xludf.DUMMYFUNCTION("IMPORTRANGE(""https://docs.google.com/spreadsheets/d/14xp6qUzrGFnUk_qnc1eEmfiaNRd4_grkhpfQH_46fa8/edit?usp=sharing"",""ฉะเชิงเทรา!J215"")"),3)</f>
        <v>3</v>
      </c>
      <c r="BF55" s="87">
        <f t="shared" ca="1" si="95"/>
        <v>100</v>
      </c>
      <c r="BG55" s="86">
        <f ca="1">IFERROR(__xludf.DUMMYFUNCTION("IMPORTRANGE(""https://docs.google.com/spreadsheets/d/14xp6qUzrGFnUk_qnc1eEmfiaNRd4_grkhpfQH_46fa8/edit?usp=sharing"",""ฉะเชิงเทรา!L218"")"),5000)</f>
        <v>5000</v>
      </c>
      <c r="BH55" s="86">
        <f ca="1">IFERROR(__xludf.DUMMYFUNCTION("IMPORTRANGE(""https://docs.google.com/spreadsheets/d/14xp6qUzrGFnUk_qnc1eEmfiaNRd4_grkhpfQH_46fa8/edit?usp=sharing"",""ฉะเชิงเทรา!N218"")"),0)</f>
        <v>0</v>
      </c>
      <c r="BI55" s="87">
        <f t="shared" ca="1" si="96"/>
        <v>0</v>
      </c>
      <c r="BJ55" s="86">
        <f ca="1">IFERROR(__xludf.DUMMYFUNCTION("IMPORTRANGE(""https://docs.google.com/spreadsheets/d/14xp6qUzrGFnUk_qnc1eEmfiaNRd4_grkhpfQH_46fa8/edit?usp=sharing"",""ฉะเชิงเทรา!L219"")"),10000)</f>
        <v>10000</v>
      </c>
      <c r="BK55" s="86">
        <f ca="1">IFERROR(__xludf.DUMMYFUNCTION("IMPORTRANGE(""https://docs.google.com/spreadsheets/d/14xp6qUzrGFnUk_qnc1eEmfiaNRd4_grkhpfQH_46fa8/edit?usp=sharing"",""ฉะเชิงเทรา!N219"")"),0)</f>
        <v>0</v>
      </c>
      <c r="BL55" s="87">
        <f t="shared" ca="1" si="97"/>
        <v>0</v>
      </c>
      <c r="BM55" s="86">
        <f ca="1">IFERROR(__xludf.DUMMYFUNCTION("IMPORTRANGE(""https://docs.google.com/spreadsheets/d/14xp6qUzrGFnUk_qnc1eEmfiaNRd4_grkhpfQH_46fa8/edit?usp=sharing"",""ฉะเชิงเทรา!L220"")"),10000)</f>
        <v>10000</v>
      </c>
      <c r="BN55" s="86">
        <f ca="1">IFERROR(__xludf.DUMMYFUNCTION("IMPORTRANGE(""https://docs.google.com/spreadsheets/d/14xp6qUzrGFnUk_qnc1eEmfiaNRd4_grkhpfQH_46fa8/edit?usp=sharing"",""ฉะเชิงเทรา!N220"")"),10000)</f>
        <v>10000</v>
      </c>
      <c r="BO55" s="87">
        <f t="shared" ca="1" si="98"/>
        <v>100</v>
      </c>
      <c r="BP55" s="86">
        <f ca="1">IFERROR(__xludf.DUMMYFUNCTION("IMPORTRANGE(""https://docs.google.com/spreadsheets/d/14xp6qUzrGFnUk_qnc1eEmfiaNRd4_grkhpfQH_46fa8/edit?usp=sharing"",""ฉะเชิงเทรา!I223"")"),40000)</f>
        <v>40000</v>
      </c>
      <c r="BQ55" s="86">
        <f ca="1">IFERROR(__xludf.DUMMYFUNCTION("IMPORTRANGE(""https://docs.google.com/spreadsheets/d/14xp6qUzrGFnUk_qnc1eEmfiaNRd4_grkhpfQH_46fa8/edit?usp=sharing"",""ฉะเชิงเทรา!J223"")"),40000)</f>
        <v>40000</v>
      </c>
      <c r="BR55" s="87">
        <f t="shared" ca="1" si="99"/>
        <v>100</v>
      </c>
      <c r="BS55" s="86">
        <f ca="1">IFERROR(__xludf.DUMMYFUNCTION("IMPORTRANGE(""https://docs.google.com/spreadsheets/d/14xp6qUzrGFnUk_qnc1eEmfiaNRd4_grkhpfQH_46fa8/edit?usp=sharing"",""ฉะเชิงเทรา!I224"")"),40000)</f>
        <v>40000</v>
      </c>
      <c r="BT55" s="86">
        <f ca="1">IFERROR(__xludf.DUMMYFUNCTION("IMPORTRANGE(""https://docs.google.com/spreadsheets/d/14xp6qUzrGFnUk_qnc1eEmfiaNRd4_grkhpfQH_46fa8/edit?usp=sharing"",""ฉะเชิงเทรา!J224"")"),0)</f>
        <v>0</v>
      </c>
      <c r="BU55" s="87">
        <f t="shared" ca="1" si="100"/>
        <v>0</v>
      </c>
      <c r="BV55" s="86">
        <f ca="1">IFERROR(__xludf.DUMMYFUNCTION("IMPORTRANGE(""https://docs.google.com/spreadsheets/d/14xp6qUzrGFnUk_qnc1eEmfiaNRd4_grkhpfQH_46fa8/edit?usp=sharing"",""ฉะเชิงเทรา!I225"")"),10)</f>
        <v>10</v>
      </c>
      <c r="BW55" s="86">
        <f ca="1">IFERROR(__xludf.DUMMYFUNCTION("IMPORTRANGE(""https://docs.google.com/spreadsheets/d/14xp6qUzrGFnUk_qnc1eEmfiaNRd4_grkhpfQH_46fa8/edit?usp=sharing"",""ฉะเชิงเทรา!J225"")"),10)</f>
        <v>10</v>
      </c>
      <c r="BX55" s="87">
        <f t="shared" ca="1" si="101"/>
        <v>100</v>
      </c>
      <c r="BY55" s="86">
        <f ca="1">IFERROR(__xludf.DUMMYFUNCTION("IMPORTRANGE(""https://docs.google.com/spreadsheets/d/14xp6qUzrGFnUk_qnc1eEmfiaNRd4_grkhpfQH_46fa8/edit?usp=sharing"",""ฉะเชิงเทรา!L228"")"),183000)</f>
        <v>183000</v>
      </c>
      <c r="BZ55" s="86">
        <f ca="1">IFERROR(__xludf.DUMMYFUNCTION("IMPORTRANGE(""https://docs.google.com/spreadsheets/d/14xp6qUzrGFnUk_qnc1eEmfiaNRd4_grkhpfQH_46fa8/edit?usp=sharing"",""ฉะเชิงเทรา!N228"")"),81456.68)</f>
        <v>81456.679999999993</v>
      </c>
      <c r="CA55" s="87">
        <f t="shared" ca="1" si="102"/>
        <v>44.511846994535517</v>
      </c>
      <c r="CB55" s="86">
        <f ca="1">IFERROR(__xludf.DUMMYFUNCTION("IMPORTRANGE(""https://docs.google.com/spreadsheets/d/14xp6qUzrGFnUk_qnc1eEmfiaNRd4_grkhpfQH_46fa8/edit?usp=sharing"",""ฉะเชิงเทรา!L229"")"),70000)</f>
        <v>70000</v>
      </c>
      <c r="CC55" s="86">
        <f ca="1">IFERROR(__xludf.DUMMYFUNCTION("IMPORTRANGE(""https://docs.google.com/spreadsheets/d/14xp6qUzrGFnUk_qnc1eEmfiaNRd4_grkhpfQH_46fa8/edit?usp=sharing"",""ฉะเชิงเทรา!N229"")"),35340)</f>
        <v>35340</v>
      </c>
      <c r="CD55" s="87">
        <f t="shared" ca="1" si="103"/>
        <v>50.485714285714288</v>
      </c>
      <c r="CE55" s="86">
        <f ca="1">IFERROR(__xludf.DUMMYFUNCTION("IMPORTRANGE(""https://docs.google.com/spreadsheets/d/14xp6qUzrGFnUk_qnc1eEmfiaNRd4_grkhpfQH_46fa8/edit?usp=sharing"",""ฉะเชิงเทรา!L230"")"),95000)</f>
        <v>95000</v>
      </c>
      <c r="CF55" s="86">
        <f ca="1">IFERROR(__xludf.DUMMYFUNCTION("IMPORTRANGE(""https://docs.google.com/spreadsheets/d/14xp6qUzrGFnUk_qnc1eEmfiaNRd4_grkhpfQH_46fa8/edit?usp=sharing"",""ฉะเชิงเทรา!N230"")"),0)</f>
        <v>0</v>
      </c>
      <c r="CG55" s="87">
        <f t="shared" ca="1" si="104"/>
        <v>0</v>
      </c>
      <c r="CH55" s="86">
        <f ca="1">IFERROR(__xludf.DUMMYFUNCTION("IMPORTRANGE(""https://docs.google.com/spreadsheets/d/14xp6qUzrGFnUk_qnc1eEmfiaNRd4_grkhpfQH_46fa8/edit?usp=sharing"",""ฉะเชิงเทรา!L231"")"),20000)</f>
        <v>20000</v>
      </c>
      <c r="CI55" s="86">
        <f ca="1">IFERROR(__xludf.DUMMYFUNCTION("IMPORTRANGE(""https://docs.google.com/spreadsheets/d/14xp6qUzrGFnUk_qnc1eEmfiaNRd4_grkhpfQH_46fa8/edit?usp=sharing"",""ฉะเชิงเทรา!N231"")"),0)</f>
        <v>0</v>
      </c>
      <c r="CJ55" s="87">
        <f t="shared" ca="1" si="105"/>
        <v>0</v>
      </c>
      <c r="CK55" s="86">
        <f ca="1">IFERROR(__xludf.DUMMYFUNCTION("IMPORTRANGE(""https://docs.google.com/spreadsheets/d/14xp6qUzrGFnUk_qnc1eEmfiaNRd4_grkhpfQH_46fa8/edit?usp=sharing"",""ฉะเชิงเทรา!I233"")"),60)</f>
        <v>60</v>
      </c>
      <c r="CL55" s="86">
        <f ca="1">IFERROR(__xludf.DUMMYFUNCTION("IMPORTRANGE(""https://docs.google.com/spreadsheets/d/14xp6qUzrGFnUk_qnc1eEmfiaNRd4_grkhpfQH_46fa8/edit?usp=sharing"",""ฉะเชิงเทรา!J233"")"),60)</f>
        <v>60</v>
      </c>
      <c r="CM55" s="87">
        <f t="shared" ca="1" si="106"/>
        <v>100</v>
      </c>
      <c r="CN55" s="86">
        <f ca="1">IFERROR(__xludf.DUMMYFUNCTION("IMPORTRANGE(""https://docs.google.com/spreadsheets/d/14xp6qUzrGFnUk_qnc1eEmfiaNRd4_grkhpfQH_46fa8/edit?usp=sharing"",""ฉะเชิงเทรา!J235"")"),0)</f>
        <v>0</v>
      </c>
      <c r="CO55" s="86">
        <f ca="1">IFERROR(__xludf.DUMMYFUNCTION("IMPORTRANGE(""https://docs.google.com/spreadsheets/d/14xp6qUzrGFnUk_qnc1eEmfiaNRd4_grkhpfQH_46fa8/edit?usp=sharing"",""ฉะเชิงเทรา!J236"")"),0)</f>
        <v>0</v>
      </c>
    </row>
    <row r="56" spans="1:93" ht="21" customHeight="1" x14ac:dyDescent="0.3">
      <c r="A56" s="78">
        <v>4</v>
      </c>
      <c r="B56" s="79" t="s">
        <v>78</v>
      </c>
      <c r="C56" s="80">
        <f t="shared" ca="1" si="0"/>
        <v>153900</v>
      </c>
      <c r="D56" s="81">
        <f t="shared" ca="1" si="187"/>
        <v>153900</v>
      </c>
      <c r="E56" s="82">
        <f ca="1">IFERROR(__xludf.DUMMYFUNCTION("IMPORTRANGE(""https://docs.google.com/spreadsheets/d/1MeEWN-I1oV_STSDYn1IFDPWt_1FKiwhDph83XaGc0o0/edit?usp=sharing"",""งบพรบ!CP56"")"),0)</f>
        <v>0</v>
      </c>
      <c r="F56" s="82">
        <f ca="1">IFERROR(__xludf.DUMMYFUNCTION("IMPORTRANGE(""https://docs.google.com/spreadsheets/d/1MeEWN-I1oV_STSDYn1IFDPWt_1FKiwhDph83XaGc0o0/edit?usp=sharing"",""งบพรบ!CQ56"")"),153900)</f>
        <v>153900</v>
      </c>
      <c r="G56" s="82">
        <f ca="1">IFERROR(__xludf.DUMMYFUNCTION("IMPORTRANGE(""https://docs.google.com/spreadsheets/d/1MeEWN-I1oV_STSDYn1IFDPWt_1FKiwhDph83XaGc0o0/edit?usp=sharing"",""งบพรบ!CR56"")"),0)</f>
        <v>0</v>
      </c>
      <c r="H56" s="82">
        <f ca="1">IFERROR(__xludf.DUMMYFUNCTION("IMPORTRANGE(""https://docs.google.com/spreadsheets/d/1MeEWN-I1oV_STSDYn1IFDPWt_1FKiwhDph83XaGc0o0/edit?usp=sharing"",""งบพรบ!CT56"")"),149500)</f>
        <v>149500</v>
      </c>
      <c r="I56" s="82">
        <f ca="1">IFERROR(__xludf.DUMMYFUNCTION("IMPORTRANGE(""https://docs.google.com/spreadsheets/d/1MeEWN-I1oV_STSDYn1IFDPWt_1FKiwhDph83XaGc0o0/edit?usp=sharing"",""งบพรบ!CU56"")"),0)</f>
        <v>0</v>
      </c>
      <c r="J56" s="82">
        <f t="shared" ca="1" si="3"/>
        <v>66680</v>
      </c>
      <c r="K56" s="83">
        <f t="shared" ca="1" si="4"/>
        <v>43.326835607537362</v>
      </c>
      <c r="L56" s="82">
        <f ca="1">IFERROR(__xludf.DUMMYFUNCTION("IMPORTRANGE(""https://docs.google.com/spreadsheets/d/1MeEWN-I1oV_STSDYn1IFDPWt_1FKiwhDph83XaGc0o0/edit?usp=sharing"",""งบพรบ!CV56"")"),66680)</f>
        <v>66680</v>
      </c>
      <c r="M56" s="84">
        <f t="shared" ca="1" si="5"/>
        <v>43.326835607537362</v>
      </c>
      <c r="N56" s="84">
        <f t="shared" ca="1" si="6"/>
        <v>44.602006688963208</v>
      </c>
      <c r="O56" s="85">
        <f ca="1">IFERROR(__xludf.DUMMYFUNCTION("IMPORTRANGE(""https://docs.google.com/spreadsheets/d/1MeEWN-I1oV_STSDYn1IFDPWt_1FKiwhDph83XaGc0o0/edit?usp=sharing"",""งบพรบ!CW56"")"),0)</f>
        <v>0</v>
      </c>
      <c r="P56" s="85">
        <f t="shared" ca="1" si="108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IFERROR(__xludf.DUMMYFUNCTION("IMPORTRANGE(""https://docs.google.com/spreadsheets/d/1_Zwps30dlVa-pZFsorjVf1Pil6WXwzCsJU0U2whO3NI/edit?usp=sharing"",""ชลบุรี!L191"")"),6000)</f>
        <v>6000</v>
      </c>
      <c r="S56" s="86">
        <f ca="1">IFERROR(__xludf.DUMMYFUNCTION("IMPORTRANGE(""https://docs.google.com/spreadsheets/d/1_Zwps30dlVa-pZFsorjVf1Pil6WXwzCsJU0U2whO3NI/edit?usp=sharing"",""ชลบุรี!N191"")"),0)</f>
        <v>0</v>
      </c>
      <c r="T56" s="87">
        <f t="shared" ca="1" si="84"/>
        <v>0</v>
      </c>
      <c r="U56" s="86">
        <f ca="1">IFERROR(__xludf.DUMMYFUNCTION("IMPORTRANGE(""https://docs.google.com/spreadsheets/d/1_Zwps30dlVa-pZFsorjVf1Pil6WXwzCsJU0U2whO3NI/edit?usp=sharing"",""ชลบุรี!I193"")"),4)</f>
        <v>4</v>
      </c>
      <c r="V56" s="86">
        <f ca="1">IFERROR(__xludf.DUMMYFUNCTION("IMPORTRANGE(""https://docs.google.com/spreadsheets/d/1_Zwps30dlVa-pZFsorjVf1Pil6WXwzCsJU0U2whO3NI/edit?usp=sharing"",""ชลบุรี!J193"")"),0)</f>
        <v>0</v>
      </c>
      <c r="W56" s="87">
        <f t="shared" ca="1" si="85"/>
        <v>0</v>
      </c>
      <c r="X56" s="86">
        <f t="shared" ca="1" si="188"/>
        <v>0</v>
      </c>
      <c r="Y56" s="86">
        <f ca="1">IFERROR(__xludf.DUMMYFUNCTION("IMPORTRANGE(""https://docs.google.com/spreadsheets/d/1_Zwps30dlVa-pZFsorjVf1Pil6WXwzCsJU0U2whO3NI/edit?usp=sharing"",""ชลบุรี!J195"")"),0)</f>
        <v>0</v>
      </c>
      <c r="Z56" s="86">
        <f ca="1">IFERROR(__xludf.DUMMYFUNCTION("IMPORTRANGE(""https://docs.google.com/spreadsheets/d/1_Zwps30dlVa-pZFsorjVf1Pil6WXwzCsJU0U2whO3NI/edit?usp=sharing"",""ชลบุรี!J196"")"),0)</f>
        <v>0</v>
      </c>
      <c r="AA56" s="86">
        <f ca="1">IFERROR(__xludf.DUMMYFUNCTION("IMPORTRANGE(""https://docs.google.com/spreadsheets/d/1_Zwps30dlVa-pZFsorjVf1Pil6WXwzCsJU0U2whO3NI/edit?usp=sharing"",""ชลบุรี!L199"")"),4000)</f>
        <v>4000</v>
      </c>
      <c r="AB56" s="86">
        <f ca="1">IFERROR(__xludf.DUMMYFUNCTION("IMPORTRANGE(""https://docs.google.com/spreadsheets/d/1_Zwps30dlVa-pZFsorjVf1Pil6WXwzCsJU0U2whO3NI/edit?usp=sharing"",""ชลบุรี!N199"")"),2500)</f>
        <v>2500</v>
      </c>
      <c r="AC56" s="87">
        <f t="shared" ca="1" si="86"/>
        <v>62.5</v>
      </c>
      <c r="AD56" s="86">
        <f ca="1">IFERROR(__xludf.DUMMYFUNCTION("IMPORTRANGE(""https://docs.google.com/spreadsheets/d/1_Zwps30dlVa-pZFsorjVf1Pil6WXwzCsJU0U2whO3NI/edit?usp=sharing"",""ชลบุรี!L200"")"),32000)</f>
        <v>32000</v>
      </c>
      <c r="AE56" s="86">
        <f ca="1">IFERROR(__xludf.DUMMYFUNCTION("IMPORTRANGE(""https://docs.google.com/spreadsheets/d/1_Zwps30dlVa-pZFsorjVf1Pil6WXwzCsJU0U2whO3NI/edit?usp=sharing"",""ชลบุรี!N200"")"),0)</f>
        <v>0</v>
      </c>
      <c r="AF56" s="87">
        <f t="shared" ca="1" si="87"/>
        <v>0</v>
      </c>
      <c r="AG56" s="86">
        <f ca="1">IFERROR(__xludf.DUMMYFUNCTION("IMPORTRANGE(""https://docs.google.com/spreadsheets/d/1_Zwps30dlVa-pZFsorjVf1Pil6WXwzCsJU0U2whO3NI/edit?usp=sharing"",""ชลบุรี!L201"")"),16000)</f>
        <v>16000</v>
      </c>
      <c r="AH56" s="86">
        <f ca="1">IFERROR(__xludf.DUMMYFUNCTION("IMPORTRANGE(""https://docs.google.com/spreadsheets/d/1_Zwps30dlVa-pZFsorjVf1Pil6WXwzCsJU0U2whO3NI/edit?usp=sharing"",""ชลบุรี!N201"")"),0)</f>
        <v>0</v>
      </c>
      <c r="AI56" s="87">
        <f t="shared" ca="1" si="88"/>
        <v>0</v>
      </c>
      <c r="AJ56" s="86">
        <f ca="1">IFERROR(__xludf.DUMMYFUNCTION("IMPORTRANGE(""https://docs.google.com/spreadsheets/d/1_Zwps30dlVa-pZFsorjVf1Pil6WXwzCsJU0U2whO3NI/edit?usp=sharing"",""ชลบุรี!L202"")"),5000)</f>
        <v>5000</v>
      </c>
      <c r="AK56" s="86">
        <f ca="1">IFERROR(__xludf.DUMMYFUNCTION("IMPORTRANGE(""https://docs.google.com/spreadsheets/d/1_Zwps30dlVa-pZFsorjVf1Pil6WXwzCsJU0U2whO3NI/edit?usp=sharing"",""ชลบุรี!N202"")"),0)</f>
        <v>0</v>
      </c>
      <c r="AL56" s="87">
        <f t="shared" ca="1" si="89"/>
        <v>0</v>
      </c>
      <c r="AM56" s="86">
        <f ca="1">IFERROR(__xludf.DUMMYFUNCTION("IMPORTRANGE(""https://docs.google.com/spreadsheets/d/1_Zwps30dlVa-pZFsorjVf1Pil6WXwzCsJU0U2whO3NI/edit?usp=sharing"",""ชลบุรี!I204"")"),4)</f>
        <v>4</v>
      </c>
      <c r="AN56" s="86">
        <f ca="1">IFERROR(__xludf.DUMMYFUNCTION("IMPORTRANGE(""https://docs.google.com/spreadsheets/d/1_Zwps30dlVa-pZFsorjVf1Pil6WXwzCsJU0U2whO3NI/edit?usp=sharing"",""ชลบุรี!J204"")"),0)</f>
        <v>0</v>
      </c>
      <c r="AO56" s="87">
        <f t="shared" ca="1" si="90"/>
        <v>0</v>
      </c>
      <c r="AP56" s="298">
        <f ca="1">IFERROR(__xludf.DUMMYFUNCTION("IMPORTRANGE(""https://docs.google.com/spreadsheets/d/1_Zwps30dlVa-pZFsorjVf1Pil6WXwzCsJU0U2whO3NI/edit?usp=sharing"",""ชลบุรี!J206"")"),0)</f>
        <v>0</v>
      </c>
      <c r="AQ56" s="298">
        <f ca="1">IFERROR(__xludf.DUMMYFUNCTION("IMPORTRANGE(""https://docs.google.com/spreadsheets/d/1_Zwps30dlVa-pZFsorjVf1Pil6WXwzCsJU0U2whO3NI/edit?usp=sharing"",""ชลบุรี!J207"")"),0)</f>
        <v>0</v>
      </c>
      <c r="AR56" s="86">
        <f ca="1">IFERROR(__xludf.DUMMYFUNCTION("IMPORTRANGE(""https://docs.google.com/spreadsheets/d/1_Zwps30dlVa-pZFsorjVf1Pil6WXwzCsJU0U2whO3NI/edit?usp=sharing"",""ชลบุรี!L210"")"),0)</f>
        <v>0</v>
      </c>
      <c r="AS56" s="86">
        <f ca="1">IFERROR(__xludf.DUMMYFUNCTION("IMPORTRANGE(""https://docs.google.com/spreadsheets/d/1_Zwps30dlVa-pZFsorjVf1Pil6WXwzCsJU0U2whO3NI/edit?usp=sharing"",""ชลบุรี!N210"")"),0)</f>
        <v>0</v>
      </c>
      <c r="AT56" s="87">
        <f t="shared" ca="1" si="91"/>
        <v>0</v>
      </c>
      <c r="AU56" s="86">
        <f ca="1">IFERROR(__xludf.DUMMYFUNCTION("IMPORTRANGE(""https://docs.google.com/spreadsheets/d/1_Zwps30dlVa-pZFsorjVf1Pil6WXwzCsJU0U2whO3NI/edit?usp=sharing"",""ชลบุรี!L211"")"),0)</f>
        <v>0</v>
      </c>
      <c r="AV56" s="86">
        <f ca="1">IFERROR(__xludf.DUMMYFUNCTION("IMPORTRANGE(""https://docs.google.com/spreadsheets/d/1_Zwps30dlVa-pZFsorjVf1Pil6WXwzCsJU0U2whO3NI/edit?usp=sharing"",""ชลบุรี!N211"")"),0)</f>
        <v>0</v>
      </c>
      <c r="AW56" s="87">
        <f t="shared" ca="1" si="92"/>
        <v>0</v>
      </c>
      <c r="AX56" s="86">
        <f ca="1">IFERROR(__xludf.DUMMYFUNCTION("IMPORTRANGE(""https://docs.google.com/spreadsheets/d/1_Zwps30dlVa-pZFsorjVf1Pil6WXwzCsJU0U2whO3NI/edit?usp=sharing"",""ชลบุรี!L212"")"),0)</f>
        <v>0</v>
      </c>
      <c r="AY56" s="86">
        <f ca="1">IFERROR(__xludf.DUMMYFUNCTION("IMPORTRANGE(""https://docs.google.com/spreadsheets/d/1_Zwps30dlVa-pZFsorjVf1Pil6WXwzCsJU0U2whO3NI/edit?usp=sharing"",""ชลบุรี!N212"")"),0)</f>
        <v>0</v>
      </c>
      <c r="AZ56" s="87">
        <f t="shared" ca="1" si="93"/>
        <v>0</v>
      </c>
      <c r="BA56" s="86">
        <f ca="1">IFERROR(__xludf.DUMMYFUNCTION("IMPORTRANGE(""https://docs.google.com/spreadsheets/d/1_Zwps30dlVa-pZFsorjVf1Pil6WXwzCsJU0U2whO3NI/edit?usp=sharing"",""ชลบุรี!I214"")"),0)</f>
        <v>0</v>
      </c>
      <c r="BB56" s="86">
        <f ca="1">IFERROR(__xludf.DUMMYFUNCTION("IMPORTRANGE(""https://docs.google.com/spreadsheets/d/1_Zwps30dlVa-pZFsorjVf1Pil6WXwzCsJU0U2whO3NI/edit?usp=sharing"",""ชลบุรี!J214"")"),0)</f>
        <v>0</v>
      </c>
      <c r="BC56" s="87">
        <f t="shared" ca="1" si="94"/>
        <v>0</v>
      </c>
      <c r="BD56" s="86">
        <f ca="1">IFERROR(__xludf.DUMMYFUNCTION("IMPORTRANGE(""https://docs.google.com/spreadsheets/d/1_Zwps30dlVa-pZFsorjVf1Pil6WXwzCsJU0U2whO3NI/edit?usp=sharing"",""ชลบุรี!I215"")"),0)</f>
        <v>0</v>
      </c>
      <c r="BE56" s="86">
        <f ca="1">IFERROR(__xludf.DUMMYFUNCTION("IMPORTRANGE(""https://docs.google.com/spreadsheets/d/1_Zwps30dlVa-pZFsorjVf1Pil6WXwzCsJU0U2whO3NI/edit?usp=sharing"",""ชลบุรี!J215"")"),0)</f>
        <v>0</v>
      </c>
      <c r="BF56" s="87">
        <f t="shared" ca="1" si="95"/>
        <v>0</v>
      </c>
      <c r="BG56" s="86">
        <f ca="1">IFERROR(__xludf.DUMMYFUNCTION("IMPORTRANGE(""https://docs.google.com/spreadsheets/d/1_Zwps30dlVa-pZFsorjVf1Pil6WXwzCsJU0U2whO3NI/edit?usp=sharing"",""ชลบุรี!L218"")"),3000)</f>
        <v>3000</v>
      </c>
      <c r="BH56" s="86">
        <f ca="1">IFERROR(__xludf.DUMMYFUNCTION("IMPORTRANGE(""https://docs.google.com/spreadsheets/d/1_Zwps30dlVa-pZFsorjVf1Pil6WXwzCsJU0U2whO3NI/edit?usp=sharing"",""ชลบุรี!N218"")"),0)</f>
        <v>0</v>
      </c>
      <c r="BI56" s="87">
        <f t="shared" ca="1" si="96"/>
        <v>0</v>
      </c>
      <c r="BJ56" s="86">
        <f ca="1">IFERROR(__xludf.DUMMYFUNCTION("IMPORTRANGE(""https://docs.google.com/spreadsheets/d/1_Zwps30dlVa-pZFsorjVf1Pil6WXwzCsJU0U2whO3NI/edit?usp=sharing"",""ชลบุรี!L219"")"),2900)</f>
        <v>2900</v>
      </c>
      <c r="BK56" s="86">
        <f ca="1">IFERROR(__xludf.DUMMYFUNCTION("IMPORTRANGE(""https://docs.google.com/spreadsheets/d/1_Zwps30dlVa-pZFsorjVf1Pil6WXwzCsJU0U2whO3NI/edit?usp=sharing"",""ชลบุรี!N219"")"),0)</f>
        <v>0</v>
      </c>
      <c r="BL56" s="87">
        <f t="shared" ca="1" si="97"/>
        <v>0</v>
      </c>
      <c r="BM56" s="86">
        <f ca="1">IFERROR(__xludf.DUMMYFUNCTION("IMPORTRANGE(""https://docs.google.com/spreadsheets/d/1_Zwps30dlVa-pZFsorjVf1Pil6WXwzCsJU0U2whO3NI/edit?usp=sharing"",""ชลบุรี!L220"")"),10000)</f>
        <v>10000</v>
      </c>
      <c r="BN56" s="86">
        <f ca="1">IFERROR(__xludf.DUMMYFUNCTION("IMPORTRANGE(""https://docs.google.com/spreadsheets/d/1_Zwps30dlVa-pZFsorjVf1Pil6WXwzCsJU0U2whO3NI/edit?usp=sharing"",""ชลบุรี!N220"")"),0)</f>
        <v>0</v>
      </c>
      <c r="BO56" s="87">
        <f t="shared" ca="1" si="98"/>
        <v>0</v>
      </c>
      <c r="BP56" s="86">
        <f ca="1">IFERROR(__xludf.DUMMYFUNCTION("IMPORTRANGE(""https://docs.google.com/spreadsheets/d/1_Zwps30dlVa-pZFsorjVf1Pil6WXwzCsJU0U2whO3NI/edit?usp=sharing"",""ชลบุรี!I223"")"),5000)</f>
        <v>5000</v>
      </c>
      <c r="BQ56" s="86">
        <f ca="1">IFERROR(__xludf.DUMMYFUNCTION("IMPORTRANGE(""https://docs.google.com/spreadsheets/d/1_Zwps30dlVa-pZFsorjVf1Pil6WXwzCsJU0U2whO3NI/edit?usp=sharing"",""ชลบุรี!J223"")"),0)</f>
        <v>0</v>
      </c>
      <c r="BR56" s="87">
        <f t="shared" ca="1" si="99"/>
        <v>0</v>
      </c>
      <c r="BS56" s="86">
        <f ca="1">IFERROR(__xludf.DUMMYFUNCTION("IMPORTRANGE(""https://docs.google.com/spreadsheets/d/1_Zwps30dlVa-pZFsorjVf1Pil6WXwzCsJU0U2whO3NI/edit?usp=sharing"",""ชลบุรี!I224"")"),5000)</f>
        <v>5000</v>
      </c>
      <c r="BT56" s="86">
        <f ca="1">IFERROR(__xludf.DUMMYFUNCTION("IMPORTRANGE(""https://docs.google.com/spreadsheets/d/1_Zwps30dlVa-pZFsorjVf1Pil6WXwzCsJU0U2whO3NI/edit?usp=sharing"",""ชลบุรี!J224"")"),0)</f>
        <v>0</v>
      </c>
      <c r="BU56" s="87">
        <f t="shared" ca="1" si="100"/>
        <v>0</v>
      </c>
      <c r="BV56" s="86">
        <f ca="1">IFERROR(__xludf.DUMMYFUNCTION("IMPORTRANGE(""https://docs.google.com/spreadsheets/d/1_Zwps30dlVa-pZFsorjVf1Pil6WXwzCsJU0U2whO3NI/edit?usp=sharing"",""ชลบุรี!I225"")"),10)</f>
        <v>10</v>
      </c>
      <c r="BW56" s="86">
        <f ca="1">IFERROR(__xludf.DUMMYFUNCTION("IMPORTRANGE(""https://docs.google.com/spreadsheets/d/1_Zwps30dlVa-pZFsorjVf1Pil6WXwzCsJU0U2whO3NI/edit?usp=sharing"",""ชลบุรี!J225"")"),0)</f>
        <v>0</v>
      </c>
      <c r="BX56" s="87">
        <f t="shared" ca="1" si="101"/>
        <v>0</v>
      </c>
      <c r="BY56" s="86">
        <f ca="1">IFERROR(__xludf.DUMMYFUNCTION("IMPORTRANGE(""https://docs.google.com/spreadsheets/d/1_Zwps30dlVa-pZFsorjVf1Pil6WXwzCsJU0U2whO3NI/edit?usp=sharing"",""ชลบุรี!L228"")"),20000)</f>
        <v>20000</v>
      </c>
      <c r="BZ56" s="86">
        <f ca="1">IFERROR(__xludf.DUMMYFUNCTION("IMPORTRANGE(""https://docs.google.com/spreadsheets/d/1_Zwps30dlVa-pZFsorjVf1Pil6WXwzCsJU0U2whO3NI/edit?usp=sharing"",""ชลบุรี!N228"")"),0)</f>
        <v>0</v>
      </c>
      <c r="CA56" s="87">
        <f t="shared" ca="1" si="102"/>
        <v>0</v>
      </c>
      <c r="CB56" s="86">
        <f ca="1">IFERROR(__xludf.DUMMYFUNCTION("IMPORTRANGE(""https://docs.google.com/spreadsheets/d/1_Zwps30dlVa-pZFsorjVf1Pil6WXwzCsJU0U2whO3NI/edit?usp=sharing"",""ชลบุรี!L229"")"),15000)</f>
        <v>15000</v>
      </c>
      <c r="CC56" s="86">
        <f ca="1">IFERROR(__xludf.DUMMYFUNCTION("IMPORTRANGE(""https://docs.google.com/spreadsheets/d/1_Zwps30dlVa-pZFsorjVf1Pil6WXwzCsJU0U2whO3NI/edit?usp=sharing"",""ชลบุรี!N229"")"),0)</f>
        <v>0</v>
      </c>
      <c r="CD56" s="87">
        <f t="shared" ca="1" si="103"/>
        <v>0</v>
      </c>
      <c r="CE56" s="86">
        <f ca="1">IFERROR(__xludf.DUMMYFUNCTION("IMPORTRANGE(""https://docs.google.com/spreadsheets/d/1_Zwps30dlVa-pZFsorjVf1Pil6WXwzCsJU0U2whO3NI/edit?usp=sharing"",""ชลบุรี!L230"")"),30000)</f>
        <v>30000</v>
      </c>
      <c r="CF56" s="86">
        <f ca="1">IFERROR(__xludf.DUMMYFUNCTION("IMPORTRANGE(""https://docs.google.com/spreadsheets/d/1_Zwps30dlVa-pZFsorjVf1Pil6WXwzCsJU0U2whO3NI/edit?usp=sharing"",""ชลบุรี!N230"")"),0)</f>
        <v>0</v>
      </c>
      <c r="CG56" s="87">
        <f t="shared" ca="1" si="104"/>
        <v>0</v>
      </c>
      <c r="CH56" s="86">
        <f ca="1">IFERROR(__xludf.DUMMYFUNCTION("IMPORTRANGE(""https://docs.google.com/spreadsheets/d/1_Zwps30dlVa-pZFsorjVf1Pil6WXwzCsJU0U2whO3NI/edit?usp=sharing"",""ชลบุรี!L231"")"),10000)</f>
        <v>10000</v>
      </c>
      <c r="CI56" s="86">
        <f ca="1">IFERROR(__xludf.DUMMYFUNCTION("IMPORTRANGE(""https://docs.google.com/spreadsheets/d/1_Zwps30dlVa-pZFsorjVf1Pil6WXwzCsJU0U2whO3NI/edit?usp=sharing"",""ชลบุรี!N231"")"),0)</f>
        <v>0</v>
      </c>
      <c r="CJ56" s="87">
        <f t="shared" ca="1" si="105"/>
        <v>0</v>
      </c>
      <c r="CK56" s="86">
        <f ca="1">IFERROR(__xludf.DUMMYFUNCTION("IMPORTRANGE(""https://docs.google.com/spreadsheets/d/1_Zwps30dlVa-pZFsorjVf1Pil6WXwzCsJU0U2whO3NI/edit?usp=sharing"",""ชลบุรี!I233"")"),30)</f>
        <v>30</v>
      </c>
      <c r="CL56" s="86">
        <f ca="1">IFERROR(__xludf.DUMMYFUNCTION("IMPORTRANGE(""https://docs.google.com/spreadsheets/d/1_Zwps30dlVa-pZFsorjVf1Pil6WXwzCsJU0U2whO3NI/edit?usp=sharing"",""ชลบุรี!J233"")"),0)</f>
        <v>0</v>
      </c>
      <c r="CM56" s="87">
        <f t="shared" ca="1" si="106"/>
        <v>0</v>
      </c>
      <c r="CN56" s="86">
        <f ca="1">IFERROR(__xludf.DUMMYFUNCTION("IMPORTRANGE(""https://docs.google.com/spreadsheets/d/1_Zwps30dlVa-pZFsorjVf1Pil6WXwzCsJU0U2whO3NI/edit?usp=sharing"",""ชลบุรี!J235"")"),0)</f>
        <v>0</v>
      </c>
      <c r="CO56" s="86">
        <f ca="1">IFERROR(__xludf.DUMMYFUNCTION("IMPORTRANGE(""https://docs.google.com/spreadsheets/d/1_Zwps30dlVa-pZFsorjVf1Pil6WXwzCsJU0U2whO3NI/edit?usp=sharing"",""ชลบุรี!J236"")"),0)</f>
        <v>0</v>
      </c>
    </row>
    <row r="57" spans="1:93" ht="21" customHeight="1" x14ac:dyDescent="0.3">
      <c r="A57" s="78">
        <v>5</v>
      </c>
      <c r="B57" s="79" t="s">
        <v>79</v>
      </c>
      <c r="C57" s="80">
        <f t="shared" ca="1" si="0"/>
        <v>36100</v>
      </c>
      <c r="D57" s="81">
        <f t="shared" ca="1" si="187"/>
        <v>36100</v>
      </c>
      <c r="E57" s="82">
        <f ca="1">IFERROR(__xludf.DUMMYFUNCTION("IMPORTRANGE(""https://docs.google.com/spreadsheets/d/1MeEWN-I1oV_STSDYn1IFDPWt_1FKiwhDph83XaGc0o0/edit?usp=sharing"",""งบพรบ!CP57"")"),0)</f>
        <v>0</v>
      </c>
      <c r="F57" s="82">
        <f ca="1">IFERROR(__xludf.DUMMYFUNCTION("IMPORTRANGE(""https://docs.google.com/spreadsheets/d/1MeEWN-I1oV_STSDYn1IFDPWt_1FKiwhDph83XaGc0o0/edit?usp=sharing"",""งบพรบ!CQ57"")"),36100)</f>
        <v>36100</v>
      </c>
      <c r="G57" s="82">
        <f ca="1">IFERROR(__xludf.DUMMYFUNCTION("IMPORTRANGE(""https://docs.google.com/spreadsheets/d/1MeEWN-I1oV_STSDYn1IFDPWt_1FKiwhDph83XaGc0o0/edit?usp=sharing"",""งบพรบ!CR57"")"),0)</f>
        <v>0</v>
      </c>
      <c r="H57" s="82">
        <f ca="1">IFERROR(__xludf.DUMMYFUNCTION("IMPORTRANGE(""https://docs.google.com/spreadsheets/d/1MeEWN-I1oV_STSDYn1IFDPWt_1FKiwhDph83XaGc0o0/edit?usp=sharing"",""งบพรบ!CT57"")"),30500)</f>
        <v>30500</v>
      </c>
      <c r="I57" s="82">
        <f ca="1">IFERROR(__xludf.DUMMYFUNCTION("IMPORTRANGE(""https://docs.google.com/spreadsheets/d/1MeEWN-I1oV_STSDYn1IFDPWt_1FKiwhDph83XaGc0o0/edit?usp=sharing"",""งบพรบ!CU57"")"),0)</f>
        <v>0</v>
      </c>
      <c r="J57" s="82">
        <f t="shared" ca="1" si="3"/>
        <v>19520</v>
      </c>
      <c r="K57" s="83">
        <f t="shared" ca="1" si="4"/>
        <v>54.072022160664822</v>
      </c>
      <c r="L57" s="82">
        <f ca="1">IFERROR(__xludf.DUMMYFUNCTION("IMPORTRANGE(""https://docs.google.com/spreadsheets/d/1MeEWN-I1oV_STSDYn1IFDPWt_1FKiwhDph83XaGc0o0/edit?usp=sharing"",""งบพรบ!CV57"")"),19520)</f>
        <v>19520</v>
      </c>
      <c r="M57" s="84">
        <f t="shared" ca="1" si="5"/>
        <v>54.072022160664822</v>
      </c>
      <c r="N57" s="84">
        <f t="shared" ca="1" si="6"/>
        <v>64</v>
      </c>
      <c r="O57" s="85">
        <f ca="1">IFERROR(__xludf.DUMMYFUNCTION("IMPORTRANGE(""https://docs.google.com/spreadsheets/d/1MeEWN-I1oV_STSDYn1IFDPWt_1FKiwhDph83XaGc0o0/edit?usp=sharing"",""งบพรบ!CW57"")"),0)</f>
        <v>0</v>
      </c>
      <c r="P57" s="85">
        <f t="shared" ca="1" si="108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IFERROR(__xludf.DUMMYFUNCTION("IMPORTRANGE(""https://docs.google.com/spreadsheets/d/1xAsT4sUbBlom7l0acStESh_15nvjZcXjZM7fK5uZSq8/edit?usp=sharing"",""ชัยนาท!L191"")"),6000)</f>
        <v>6000</v>
      </c>
      <c r="S57" s="86">
        <f ca="1">IFERROR(__xludf.DUMMYFUNCTION("IMPORTRANGE(""https://docs.google.com/spreadsheets/d/1xAsT4sUbBlom7l0acStESh_15nvjZcXjZM7fK5uZSq8/edit?usp=sharing"",""ชัยนาท!N191"")"),860)</f>
        <v>860</v>
      </c>
      <c r="T57" s="87">
        <f t="shared" ca="1" si="84"/>
        <v>14.333333333333334</v>
      </c>
      <c r="U57" s="86">
        <f ca="1">IFERROR(__xludf.DUMMYFUNCTION("IMPORTRANGE(""https://docs.google.com/spreadsheets/d/1xAsT4sUbBlom7l0acStESh_15nvjZcXjZM7fK5uZSq8/edit?usp=sharing"",""ชัยนาท!I193"")"),4)</f>
        <v>4</v>
      </c>
      <c r="V57" s="86">
        <f ca="1">IFERROR(__xludf.DUMMYFUNCTION("IMPORTRANGE(""https://docs.google.com/spreadsheets/d/1xAsT4sUbBlom7l0acStESh_15nvjZcXjZM7fK5uZSq8/edit?usp=sharing"",""ชัยนาท!J193"")"),1)</f>
        <v>1</v>
      </c>
      <c r="W57" s="87">
        <f t="shared" ca="1" si="85"/>
        <v>25</v>
      </c>
      <c r="X57" s="86">
        <f t="shared" ca="1" si="188"/>
        <v>98</v>
      </c>
      <c r="Y57" s="86">
        <f ca="1">IFERROR(__xludf.DUMMYFUNCTION("IMPORTRANGE(""https://docs.google.com/spreadsheets/d/1xAsT4sUbBlom7l0acStESh_15nvjZcXjZM7fK5uZSq8/edit?usp=sharing"",""ชัยนาท!J195"")"),98)</f>
        <v>98</v>
      </c>
      <c r="Z57" s="86">
        <f ca="1">IFERROR(__xludf.DUMMYFUNCTION("IMPORTRANGE(""https://docs.google.com/spreadsheets/d/1xAsT4sUbBlom7l0acStESh_15nvjZcXjZM7fK5uZSq8/edit?usp=sharing"",""ชัยนาท!J196"")"),0)</f>
        <v>0</v>
      </c>
      <c r="AA57" s="86">
        <f ca="1">IFERROR(__xludf.DUMMYFUNCTION("IMPORTRANGE(""https://docs.google.com/spreadsheets/d/1xAsT4sUbBlom7l0acStESh_15nvjZcXjZM7fK5uZSq8/edit?usp=sharing"",""ชัยนาท!L199"")"),1000)</f>
        <v>1000</v>
      </c>
      <c r="AB57" s="86">
        <f ca="1">IFERROR(__xludf.DUMMYFUNCTION("IMPORTRANGE(""https://docs.google.com/spreadsheets/d/1xAsT4sUbBlom7l0acStESh_15nvjZcXjZM7fK5uZSq8/edit?usp=sharing"",""ชัยนาท!N199"")"),1000)</f>
        <v>1000</v>
      </c>
      <c r="AC57" s="87">
        <f t="shared" ca="1" si="86"/>
        <v>100</v>
      </c>
      <c r="AD57" s="86">
        <f ca="1">IFERROR(__xludf.DUMMYFUNCTION("IMPORTRANGE(""https://docs.google.com/spreadsheets/d/1xAsT4sUbBlom7l0acStESh_15nvjZcXjZM7fK5uZSq8/edit?usp=sharing"",""ชัยนาท!L200"")"),8000)</f>
        <v>8000</v>
      </c>
      <c r="AE57" s="86">
        <f ca="1">IFERROR(__xludf.DUMMYFUNCTION("IMPORTRANGE(""https://docs.google.com/spreadsheets/d/1xAsT4sUbBlom7l0acStESh_15nvjZcXjZM7fK5uZSq8/edit?usp=sharing"",""ชัยนาท!N200"")"),8000)</f>
        <v>8000</v>
      </c>
      <c r="AF57" s="87">
        <f t="shared" ca="1" si="87"/>
        <v>100</v>
      </c>
      <c r="AG57" s="86">
        <f ca="1">IFERROR(__xludf.DUMMYFUNCTION("IMPORTRANGE(""https://docs.google.com/spreadsheets/d/1xAsT4sUbBlom7l0acStESh_15nvjZcXjZM7fK5uZSq8/edit?usp=sharing"",""ชัยนาท!L201"")"),4000)</f>
        <v>4000</v>
      </c>
      <c r="AH57" s="86">
        <f ca="1">IFERROR(__xludf.DUMMYFUNCTION("IMPORTRANGE(""https://docs.google.com/spreadsheets/d/1xAsT4sUbBlom7l0acStESh_15nvjZcXjZM7fK5uZSq8/edit?usp=sharing"",""ชัยนาท!N201"")"),0)</f>
        <v>0</v>
      </c>
      <c r="AI57" s="87">
        <f t="shared" ca="1" si="88"/>
        <v>0</v>
      </c>
      <c r="AJ57" s="86">
        <f ca="1">IFERROR(__xludf.DUMMYFUNCTION("IMPORTRANGE(""https://docs.google.com/spreadsheets/d/1xAsT4sUbBlom7l0acStESh_15nvjZcXjZM7fK5uZSq8/edit?usp=sharing"",""ชัยนาท!L202"")"),0)</f>
        <v>0</v>
      </c>
      <c r="AK57" s="86">
        <f ca="1">IFERROR(__xludf.DUMMYFUNCTION("IMPORTRANGE(""https://docs.google.com/spreadsheets/d/1xAsT4sUbBlom7l0acStESh_15nvjZcXjZM7fK5uZSq8/edit?usp=sharing"",""ชัยนาท!N202"")"),0)</f>
        <v>0</v>
      </c>
      <c r="AL57" s="87">
        <f t="shared" ca="1" si="89"/>
        <v>0</v>
      </c>
      <c r="AM57" s="86">
        <f ca="1">IFERROR(__xludf.DUMMYFUNCTION("IMPORTRANGE(""https://docs.google.com/spreadsheets/d/1xAsT4sUbBlom7l0acStESh_15nvjZcXjZM7fK5uZSq8/edit?usp=sharing"",""ชัยนาท!I204"")"),1)</f>
        <v>1</v>
      </c>
      <c r="AN57" s="86">
        <f ca="1">IFERROR(__xludf.DUMMYFUNCTION("IMPORTRANGE(""https://docs.google.com/spreadsheets/d/1xAsT4sUbBlom7l0acStESh_15nvjZcXjZM7fK5uZSq8/edit?usp=sharing"",""ชัยนาท!J204"")"),1)</f>
        <v>1</v>
      </c>
      <c r="AO57" s="87">
        <f t="shared" ca="1" si="90"/>
        <v>100</v>
      </c>
      <c r="AP57" s="298">
        <f ca="1">IFERROR(__xludf.DUMMYFUNCTION("IMPORTRANGE(""https://docs.google.com/spreadsheets/d/1xAsT4sUbBlom7l0acStESh_15nvjZcXjZM7fK5uZSq8/edit?usp=sharing"",""ชัยนาท!J206"")"),0)</f>
        <v>0</v>
      </c>
      <c r="AQ57" s="298">
        <f ca="1">IFERROR(__xludf.DUMMYFUNCTION("IMPORTRANGE(""https://docs.google.com/spreadsheets/d/1xAsT4sUbBlom7l0acStESh_15nvjZcXjZM7fK5uZSq8/edit?usp=sharing"",""ชัยนาท!J207"")"),0)</f>
        <v>0</v>
      </c>
      <c r="AR57" s="86">
        <f ca="1">IFERROR(__xludf.DUMMYFUNCTION("IMPORTRANGE(""https://docs.google.com/spreadsheets/d/1xAsT4sUbBlom7l0acStESh_15nvjZcXjZM7fK5uZSq8/edit?usp=sharing"",""ชัยนาท!L210"")"),0)</f>
        <v>0</v>
      </c>
      <c r="AS57" s="86">
        <f ca="1">IFERROR(__xludf.DUMMYFUNCTION("IMPORTRANGE(""https://docs.google.com/spreadsheets/d/1xAsT4sUbBlom7l0acStESh_15nvjZcXjZM7fK5uZSq8/edit?usp=sharing"",""ชัยนาท!N210"")"),0)</f>
        <v>0</v>
      </c>
      <c r="AT57" s="87">
        <f t="shared" ca="1" si="91"/>
        <v>0</v>
      </c>
      <c r="AU57" s="86">
        <f ca="1">IFERROR(__xludf.DUMMYFUNCTION("IMPORTRANGE(""https://docs.google.com/spreadsheets/d/1xAsT4sUbBlom7l0acStESh_15nvjZcXjZM7fK5uZSq8/edit?usp=sharing"",""ชัยนาท!L211"")"),0)</f>
        <v>0</v>
      </c>
      <c r="AV57" s="86">
        <f ca="1">IFERROR(__xludf.DUMMYFUNCTION("IMPORTRANGE(""https://docs.google.com/spreadsheets/d/1xAsT4sUbBlom7l0acStESh_15nvjZcXjZM7fK5uZSq8/edit?usp=sharing"",""ชัยนาท!N211"")"),0)</f>
        <v>0</v>
      </c>
      <c r="AW57" s="87">
        <f t="shared" ca="1" si="92"/>
        <v>0</v>
      </c>
      <c r="AX57" s="86">
        <f ca="1">IFERROR(__xludf.DUMMYFUNCTION("IMPORTRANGE(""https://docs.google.com/spreadsheets/d/1xAsT4sUbBlom7l0acStESh_15nvjZcXjZM7fK5uZSq8/edit?usp=sharing"",""ชัยนาท!L212"")"),0)</f>
        <v>0</v>
      </c>
      <c r="AY57" s="86">
        <f ca="1">IFERROR(__xludf.DUMMYFUNCTION("IMPORTRANGE(""https://docs.google.com/spreadsheets/d/1xAsT4sUbBlom7l0acStESh_15nvjZcXjZM7fK5uZSq8/edit?usp=sharing"",""ชัยนาท!N212"")"),0)</f>
        <v>0</v>
      </c>
      <c r="AZ57" s="87">
        <f t="shared" ca="1" si="93"/>
        <v>0</v>
      </c>
      <c r="BA57" s="86">
        <f ca="1">IFERROR(__xludf.DUMMYFUNCTION("IMPORTRANGE(""https://docs.google.com/spreadsheets/d/1xAsT4sUbBlom7l0acStESh_15nvjZcXjZM7fK5uZSq8/edit?usp=sharing"",""ชัยนาท!I214"")"),0)</f>
        <v>0</v>
      </c>
      <c r="BB57" s="86">
        <f ca="1">IFERROR(__xludf.DUMMYFUNCTION("IMPORTRANGE(""https://docs.google.com/spreadsheets/d/1xAsT4sUbBlom7l0acStESh_15nvjZcXjZM7fK5uZSq8/edit?usp=sharing"",""ชัยนาท!J214"")"),0)</f>
        <v>0</v>
      </c>
      <c r="BC57" s="87">
        <f t="shared" ca="1" si="94"/>
        <v>0</v>
      </c>
      <c r="BD57" s="86">
        <f ca="1">IFERROR(__xludf.DUMMYFUNCTION("IMPORTRANGE(""https://docs.google.com/spreadsheets/d/1xAsT4sUbBlom7l0acStESh_15nvjZcXjZM7fK5uZSq8/edit?usp=sharing"",""ชัยนาท!I215"")"),0)</f>
        <v>0</v>
      </c>
      <c r="BE57" s="86">
        <f ca="1">IFERROR(__xludf.DUMMYFUNCTION("IMPORTRANGE(""https://docs.google.com/spreadsheets/d/1xAsT4sUbBlom7l0acStESh_15nvjZcXjZM7fK5uZSq8/edit?usp=sharing"",""ชัยนาท!J215"")"),0)</f>
        <v>0</v>
      </c>
      <c r="BF57" s="87">
        <f t="shared" ca="1" si="95"/>
        <v>0</v>
      </c>
      <c r="BG57" s="86">
        <f ca="1">IFERROR(__xludf.DUMMYFUNCTION("IMPORTRANGE(""https://docs.google.com/spreadsheets/d/1xAsT4sUbBlom7l0acStESh_15nvjZcXjZM7fK5uZSq8/edit?usp=sharing"",""ชัยนาท!L218"")"),3000)</f>
        <v>3000</v>
      </c>
      <c r="BH57" s="86">
        <f ca="1">IFERROR(__xludf.DUMMYFUNCTION("IMPORTRANGE(""https://docs.google.com/spreadsheets/d/1xAsT4sUbBlom7l0acStESh_15nvjZcXjZM7fK5uZSq8/edit?usp=sharing"",""ชัยนาท!N218"")"),0)</f>
        <v>0</v>
      </c>
      <c r="BI57" s="87">
        <f t="shared" ca="1" si="96"/>
        <v>0</v>
      </c>
      <c r="BJ57" s="86">
        <f ca="1">IFERROR(__xludf.DUMMYFUNCTION("IMPORTRANGE(""https://docs.google.com/spreadsheets/d/1xAsT4sUbBlom7l0acStESh_15nvjZcXjZM7fK5uZSq8/edit?usp=sharing"",""ชัยนาท!L219"")"),4100)</f>
        <v>4100</v>
      </c>
      <c r="BK57" s="86">
        <f ca="1">IFERROR(__xludf.DUMMYFUNCTION("IMPORTRANGE(""https://docs.google.com/spreadsheets/d/1xAsT4sUbBlom7l0acStESh_15nvjZcXjZM7fK5uZSq8/edit?usp=sharing"",""ชัยนาท!N219"")"),0)</f>
        <v>0</v>
      </c>
      <c r="BL57" s="87">
        <f t="shared" ca="1" si="97"/>
        <v>0</v>
      </c>
      <c r="BM57" s="86">
        <f ca="1">IFERROR(__xludf.DUMMYFUNCTION("IMPORTRANGE(""https://docs.google.com/spreadsheets/d/1xAsT4sUbBlom7l0acStESh_15nvjZcXjZM7fK5uZSq8/edit?usp=sharing"",""ชัยนาท!L220"")"),10000)</f>
        <v>10000</v>
      </c>
      <c r="BN57" s="86">
        <f ca="1">IFERROR(__xludf.DUMMYFUNCTION("IMPORTRANGE(""https://docs.google.com/spreadsheets/d/1xAsT4sUbBlom7l0acStESh_15nvjZcXjZM7fK5uZSq8/edit?usp=sharing"",""ชัยนาท!N220"")"),10000)</f>
        <v>10000</v>
      </c>
      <c r="BO57" s="87">
        <f t="shared" ca="1" si="98"/>
        <v>100</v>
      </c>
      <c r="BP57" s="86">
        <f ca="1">IFERROR(__xludf.DUMMYFUNCTION("IMPORTRANGE(""https://docs.google.com/spreadsheets/d/1xAsT4sUbBlom7l0acStESh_15nvjZcXjZM7fK5uZSq8/edit?usp=sharing"",""ชัยนาท!I223"")"),12800)</f>
        <v>12800</v>
      </c>
      <c r="BQ57" s="86">
        <f ca="1">IFERROR(__xludf.DUMMYFUNCTION("IMPORTRANGE(""https://docs.google.com/spreadsheets/d/1xAsT4sUbBlom7l0acStESh_15nvjZcXjZM7fK5uZSq8/edit?usp=sharing"",""ชัยนาท!J223"")"),0)</f>
        <v>0</v>
      </c>
      <c r="BR57" s="87">
        <f t="shared" ca="1" si="99"/>
        <v>0</v>
      </c>
      <c r="BS57" s="86">
        <f ca="1">IFERROR(__xludf.DUMMYFUNCTION("IMPORTRANGE(""https://docs.google.com/spreadsheets/d/1xAsT4sUbBlom7l0acStESh_15nvjZcXjZM7fK5uZSq8/edit?usp=sharing"",""ชัยนาท!I224"")"),12800)</f>
        <v>12800</v>
      </c>
      <c r="BT57" s="86">
        <f ca="1">IFERROR(__xludf.DUMMYFUNCTION("IMPORTRANGE(""https://docs.google.com/spreadsheets/d/1xAsT4sUbBlom7l0acStESh_15nvjZcXjZM7fK5uZSq8/edit?usp=sharing"",""ชัยนาท!J224"")"),0)</f>
        <v>0</v>
      </c>
      <c r="BU57" s="87">
        <f t="shared" ca="1" si="100"/>
        <v>0</v>
      </c>
      <c r="BV57" s="86">
        <f ca="1">IFERROR(__xludf.DUMMYFUNCTION("IMPORTRANGE(""https://docs.google.com/spreadsheets/d/1xAsT4sUbBlom7l0acStESh_15nvjZcXjZM7fK5uZSq8/edit?usp=sharing"",""ชัยนาท!I225"")"),10)</f>
        <v>10</v>
      </c>
      <c r="BW57" s="86">
        <f ca="1">IFERROR(__xludf.DUMMYFUNCTION("IMPORTRANGE(""https://docs.google.com/spreadsheets/d/1xAsT4sUbBlom7l0acStESh_15nvjZcXjZM7fK5uZSq8/edit?usp=sharing"",""ชัยนาท!J225"")"),10)</f>
        <v>10</v>
      </c>
      <c r="BX57" s="87">
        <f t="shared" ca="1" si="101"/>
        <v>100</v>
      </c>
      <c r="BY57" s="86">
        <f ca="1">IFERROR(__xludf.DUMMYFUNCTION("IMPORTRANGE(""https://docs.google.com/spreadsheets/d/1xAsT4sUbBlom7l0acStESh_15nvjZcXjZM7fK5uZSq8/edit?usp=sharing"",""ชัยนาท!L228"")"),0)</f>
        <v>0</v>
      </c>
      <c r="BZ57" s="86">
        <f ca="1">IFERROR(__xludf.DUMMYFUNCTION("IMPORTRANGE(""https://docs.google.com/spreadsheets/d/1xAsT4sUbBlom7l0acStESh_15nvjZcXjZM7fK5uZSq8/edit?usp=sharing"",""ชัยนาท!N228"")"),0)</f>
        <v>0</v>
      </c>
      <c r="CA57" s="87">
        <f t="shared" ca="1" si="102"/>
        <v>0</v>
      </c>
      <c r="CB57" s="86">
        <f ca="1">IFERROR(__xludf.DUMMYFUNCTION("IMPORTRANGE(""https://docs.google.com/spreadsheets/d/1xAsT4sUbBlom7l0acStESh_15nvjZcXjZM7fK5uZSq8/edit?usp=sharing"",""ชัยนาท!L229"")"),0)</f>
        <v>0</v>
      </c>
      <c r="CC57" s="86">
        <f ca="1">IFERROR(__xludf.DUMMYFUNCTION("IMPORTRANGE(""https://docs.google.com/spreadsheets/d/1xAsT4sUbBlom7l0acStESh_15nvjZcXjZM7fK5uZSq8/edit?usp=sharing"",""ชัยนาท!N229"")"),0)</f>
        <v>0</v>
      </c>
      <c r="CD57" s="87">
        <f t="shared" ca="1" si="103"/>
        <v>0</v>
      </c>
      <c r="CE57" s="86">
        <f ca="1">IFERROR(__xludf.DUMMYFUNCTION("IMPORTRANGE(""https://docs.google.com/spreadsheets/d/1xAsT4sUbBlom7l0acStESh_15nvjZcXjZM7fK5uZSq8/edit?usp=sharing"",""ชัยนาท!L230"")"),0)</f>
        <v>0</v>
      </c>
      <c r="CF57" s="86">
        <f ca="1">IFERROR(__xludf.DUMMYFUNCTION("IMPORTRANGE(""https://docs.google.com/spreadsheets/d/1xAsT4sUbBlom7l0acStESh_15nvjZcXjZM7fK5uZSq8/edit?usp=sharing"",""ชัยนาท!N230"")"),0)</f>
        <v>0</v>
      </c>
      <c r="CG57" s="87">
        <f t="shared" ca="1" si="104"/>
        <v>0</v>
      </c>
      <c r="CH57" s="86">
        <f ca="1">IFERROR(__xludf.DUMMYFUNCTION("IMPORTRANGE(""https://docs.google.com/spreadsheets/d/1xAsT4sUbBlom7l0acStESh_15nvjZcXjZM7fK5uZSq8/edit?usp=sharing"",""ชัยนาท!L231"")"),0)</f>
        <v>0</v>
      </c>
      <c r="CI57" s="86">
        <f ca="1">IFERROR(__xludf.DUMMYFUNCTION("IMPORTRANGE(""https://docs.google.com/spreadsheets/d/1xAsT4sUbBlom7l0acStESh_15nvjZcXjZM7fK5uZSq8/edit?usp=sharing"",""ชัยนาท!N231"")"),0)</f>
        <v>0</v>
      </c>
      <c r="CJ57" s="87">
        <f t="shared" ca="1" si="105"/>
        <v>0</v>
      </c>
      <c r="CK57" s="86">
        <f ca="1">IFERROR(__xludf.DUMMYFUNCTION("IMPORTRANGE(""https://docs.google.com/spreadsheets/d/1xAsT4sUbBlom7l0acStESh_15nvjZcXjZM7fK5uZSq8/edit?usp=sharing"",""ชัยนาท!I233"")"),0)</f>
        <v>0</v>
      </c>
      <c r="CL57" s="86">
        <f ca="1">IFERROR(__xludf.DUMMYFUNCTION("IMPORTRANGE(""https://docs.google.com/spreadsheets/d/1xAsT4sUbBlom7l0acStESh_15nvjZcXjZM7fK5uZSq8/edit?usp=sharing"",""ชัยนาท!J233"")"),0)</f>
        <v>0</v>
      </c>
      <c r="CM57" s="87">
        <f t="shared" ca="1" si="106"/>
        <v>0</v>
      </c>
      <c r="CN57" s="86">
        <f ca="1">IFERROR(__xludf.DUMMYFUNCTION("IMPORTRANGE(""https://docs.google.com/spreadsheets/d/1xAsT4sUbBlom7l0acStESh_15nvjZcXjZM7fK5uZSq8/edit?usp=sharing"",""ชัยนาท!J235"")"),0)</f>
        <v>0</v>
      </c>
      <c r="CO57" s="86">
        <f ca="1">IFERROR(__xludf.DUMMYFUNCTION("IMPORTRANGE(""https://docs.google.com/spreadsheets/d/1xAsT4sUbBlom7l0acStESh_15nvjZcXjZM7fK5uZSq8/edit?usp=sharing"",""ชัยนาท!J236"")"),0)</f>
        <v>0</v>
      </c>
    </row>
    <row r="58" spans="1:93" ht="21" customHeight="1" x14ac:dyDescent="0.3">
      <c r="A58" s="78">
        <v>6</v>
      </c>
      <c r="B58" s="79" t="s">
        <v>80</v>
      </c>
      <c r="C58" s="80">
        <f t="shared" ca="1" si="0"/>
        <v>38600</v>
      </c>
      <c r="D58" s="81">
        <f t="shared" ca="1" si="187"/>
        <v>38600</v>
      </c>
      <c r="E58" s="82">
        <f ca="1">IFERROR(__xludf.DUMMYFUNCTION("IMPORTRANGE(""https://docs.google.com/spreadsheets/d/1MeEWN-I1oV_STSDYn1IFDPWt_1FKiwhDph83XaGc0o0/edit?usp=sharing"",""งบพรบ!CP58"")"),0)</f>
        <v>0</v>
      </c>
      <c r="F58" s="82">
        <f ca="1">IFERROR(__xludf.DUMMYFUNCTION("IMPORTRANGE(""https://docs.google.com/spreadsheets/d/1MeEWN-I1oV_STSDYn1IFDPWt_1FKiwhDph83XaGc0o0/edit?usp=sharing"",""งบพรบ!CQ58"")"),38600)</f>
        <v>38600</v>
      </c>
      <c r="G58" s="82">
        <f ca="1">IFERROR(__xludf.DUMMYFUNCTION("IMPORTRANGE(""https://docs.google.com/spreadsheets/d/1MeEWN-I1oV_STSDYn1IFDPWt_1FKiwhDph83XaGc0o0/edit?usp=sharing"",""งบพรบ!CR58"")"),0)</f>
        <v>0</v>
      </c>
      <c r="H58" s="82">
        <f ca="1">IFERROR(__xludf.DUMMYFUNCTION("IMPORTRANGE(""https://docs.google.com/spreadsheets/d/1MeEWN-I1oV_STSDYn1IFDPWt_1FKiwhDph83XaGc0o0/edit?usp=sharing"",""งบพรบ!CT58"")"),34500)</f>
        <v>34500</v>
      </c>
      <c r="I58" s="82">
        <f ca="1">IFERROR(__xludf.DUMMYFUNCTION("IMPORTRANGE(""https://docs.google.com/spreadsheets/d/1MeEWN-I1oV_STSDYn1IFDPWt_1FKiwhDph83XaGc0o0/edit?usp=sharing"",""งบพรบ!CU58"")"),0)</f>
        <v>0</v>
      </c>
      <c r="J58" s="82">
        <f t="shared" ca="1" si="3"/>
        <v>17340</v>
      </c>
      <c r="K58" s="83">
        <f t="shared" ca="1" si="4"/>
        <v>44.922279792746117</v>
      </c>
      <c r="L58" s="82">
        <f ca="1">IFERROR(__xludf.DUMMYFUNCTION("IMPORTRANGE(""https://docs.google.com/spreadsheets/d/1MeEWN-I1oV_STSDYn1IFDPWt_1FKiwhDph83XaGc0o0/edit?usp=sharing"",""งบพรบ!CV58"")"),17340)</f>
        <v>17340</v>
      </c>
      <c r="M58" s="84">
        <f t="shared" ca="1" si="5"/>
        <v>44.922279792746117</v>
      </c>
      <c r="N58" s="84">
        <f t="shared" ca="1" si="6"/>
        <v>50.260869565217391</v>
      </c>
      <c r="O58" s="85">
        <f ca="1">IFERROR(__xludf.DUMMYFUNCTION("IMPORTRANGE(""https://docs.google.com/spreadsheets/d/1MeEWN-I1oV_STSDYn1IFDPWt_1FKiwhDph83XaGc0o0/edit?usp=sharing"",""งบพรบ!CW58"")"),0)</f>
        <v>0</v>
      </c>
      <c r="P58" s="85">
        <f t="shared" ca="1" si="108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IFERROR(__xludf.DUMMYFUNCTION("IMPORTRANGE(""https://docs.google.com/spreadsheets/d/1vWPVBOAaZ6mHSI8yf95DNqHwTJ1cpeFsvqt6cxV34QA/edit?usp=sharing"",""ตราด!L191"")"),6000)</f>
        <v>6000</v>
      </c>
      <c r="S58" s="86">
        <f ca="1">IFERROR(__xludf.DUMMYFUNCTION("IMPORTRANGE(""https://docs.google.com/spreadsheets/d/1vWPVBOAaZ6mHSI8yf95DNqHwTJ1cpeFsvqt6cxV34QA/edit?usp=sharing"",""ตราด!N191"")"),600)</f>
        <v>600</v>
      </c>
      <c r="T58" s="87">
        <f t="shared" ca="1" si="84"/>
        <v>10</v>
      </c>
      <c r="U58" s="86">
        <f ca="1">IFERROR(__xludf.DUMMYFUNCTION("IMPORTRANGE(""https://docs.google.com/spreadsheets/d/1vWPVBOAaZ6mHSI8yf95DNqHwTJ1cpeFsvqt6cxV34QA/edit?usp=sharing"",""ตราด!I193"")"),4)</f>
        <v>4</v>
      </c>
      <c r="V58" s="86">
        <f ca="1">IFERROR(__xludf.DUMMYFUNCTION("IMPORTRANGE(""https://docs.google.com/spreadsheets/d/1vWPVBOAaZ6mHSI8yf95DNqHwTJ1cpeFsvqt6cxV34QA/edit?usp=sharing"",""ตราด!J193"")"),1)</f>
        <v>1</v>
      </c>
      <c r="W58" s="87">
        <f t="shared" ca="1" si="85"/>
        <v>25</v>
      </c>
      <c r="X58" s="86">
        <f t="shared" ca="1" si="188"/>
        <v>29</v>
      </c>
      <c r="Y58" s="86">
        <f ca="1">IFERROR(__xludf.DUMMYFUNCTION("IMPORTRANGE(""https://docs.google.com/spreadsheets/d/1vWPVBOAaZ6mHSI8yf95DNqHwTJ1cpeFsvqt6cxV34QA/edit?usp=sharing"",""ตราด!J195"")"),29)</f>
        <v>29</v>
      </c>
      <c r="Z58" s="86">
        <f ca="1">IFERROR(__xludf.DUMMYFUNCTION("IMPORTRANGE(""https://docs.google.com/spreadsheets/d/1vWPVBOAaZ6mHSI8yf95DNqHwTJ1cpeFsvqt6cxV34QA/edit?usp=sharing"",""ตราด!J196"")"),0)</f>
        <v>0</v>
      </c>
      <c r="AA58" s="86">
        <f ca="1">IFERROR(__xludf.DUMMYFUNCTION("IMPORTRANGE(""https://docs.google.com/spreadsheets/d/1vWPVBOAaZ6mHSI8yf95DNqHwTJ1cpeFsvqt6cxV34QA/edit?usp=sharing"",""ตราด!L199"")"),1000)</f>
        <v>1000</v>
      </c>
      <c r="AB58" s="86">
        <f ca="1">IFERROR(__xludf.DUMMYFUNCTION("IMPORTRANGE(""https://docs.google.com/spreadsheets/d/1vWPVBOAaZ6mHSI8yf95DNqHwTJ1cpeFsvqt6cxV34QA/edit?usp=sharing"",""ตราด!N199"")"),740)</f>
        <v>740</v>
      </c>
      <c r="AC58" s="87">
        <f t="shared" ca="1" si="86"/>
        <v>74</v>
      </c>
      <c r="AD58" s="86">
        <f ca="1">IFERROR(__xludf.DUMMYFUNCTION("IMPORTRANGE(""https://docs.google.com/spreadsheets/d/1vWPVBOAaZ6mHSI8yf95DNqHwTJ1cpeFsvqt6cxV34QA/edit?usp=sharing"",""ตราด!L200"")"),8000)</f>
        <v>8000</v>
      </c>
      <c r="AE58" s="86">
        <f ca="1">IFERROR(__xludf.DUMMYFUNCTION("IMPORTRANGE(""https://docs.google.com/spreadsheets/d/1vWPVBOAaZ6mHSI8yf95DNqHwTJ1cpeFsvqt6cxV34QA/edit?usp=sharing"",""ตราด!N200"")"),8000)</f>
        <v>8000</v>
      </c>
      <c r="AF58" s="87">
        <f t="shared" ca="1" si="87"/>
        <v>100</v>
      </c>
      <c r="AG58" s="86">
        <f ca="1">IFERROR(__xludf.DUMMYFUNCTION("IMPORTRANGE(""https://docs.google.com/spreadsheets/d/1vWPVBOAaZ6mHSI8yf95DNqHwTJ1cpeFsvqt6cxV34QA/edit?usp=sharing"",""ตราด!L201"")"),4000)</f>
        <v>4000</v>
      </c>
      <c r="AH58" s="86">
        <f ca="1">IFERROR(__xludf.DUMMYFUNCTION("IMPORTRANGE(""https://docs.google.com/spreadsheets/d/1vWPVBOAaZ6mHSI8yf95DNqHwTJ1cpeFsvqt6cxV34QA/edit?usp=sharing"",""ตราด!N201"")"),0)</f>
        <v>0</v>
      </c>
      <c r="AI58" s="87">
        <f t="shared" ca="1" si="88"/>
        <v>0</v>
      </c>
      <c r="AJ58" s="86">
        <f ca="1">IFERROR(__xludf.DUMMYFUNCTION("IMPORTRANGE(""https://docs.google.com/spreadsheets/d/1vWPVBOAaZ6mHSI8yf95DNqHwTJ1cpeFsvqt6cxV34QA/edit?usp=sharing"",""ตราด!L202"")"),0)</f>
        <v>0</v>
      </c>
      <c r="AK58" s="86">
        <f ca="1">IFERROR(__xludf.DUMMYFUNCTION("IMPORTRANGE(""https://docs.google.com/spreadsheets/d/1vWPVBOAaZ6mHSI8yf95DNqHwTJ1cpeFsvqt6cxV34QA/edit?usp=sharing"",""ตราด!N202"")"),0)</f>
        <v>0</v>
      </c>
      <c r="AL58" s="87">
        <f t="shared" ca="1" si="89"/>
        <v>0</v>
      </c>
      <c r="AM58" s="86">
        <f ca="1">IFERROR(__xludf.DUMMYFUNCTION("IMPORTRANGE(""https://docs.google.com/spreadsheets/d/1vWPVBOAaZ6mHSI8yf95DNqHwTJ1cpeFsvqt6cxV34QA/edit?usp=sharing"",""ตราด!I204"")"),1)</f>
        <v>1</v>
      </c>
      <c r="AN58" s="86">
        <f ca="1">IFERROR(__xludf.DUMMYFUNCTION("IMPORTRANGE(""https://docs.google.com/spreadsheets/d/1vWPVBOAaZ6mHSI8yf95DNqHwTJ1cpeFsvqt6cxV34QA/edit?usp=sharing"",""ตราด!J204"")"),1)</f>
        <v>1</v>
      </c>
      <c r="AO58" s="87">
        <f t="shared" ca="1" si="90"/>
        <v>100</v>
      </c>
      <c r="AP58" s="298">
        <f ca="1">IFERROR(__xludf.DUMMYFUNCTION("IMPORTRANGE(""https://docs.google.com/spreadsheets/d/1vWPVBOAaZ6mHSI8yf95DNqHwTJ1cpeFsvqt6cxV34QA/edit?usp=sharing"",""ตราด!J206"")"),0)</f>
        <v>0</v>
      </c>
      <c r="AQ58" s="298">
        <f ca="1">IFERROR(__xludf.DUMMYFUNCTION("IMPORTRANGE(""https://docs.google.com/spreadsheets/d/1vWPVBOAaZ6mHSI8yf95DNqHwTJ1cpeFsvqt6cxV34QA/edit?usp=sharing"",""ตราด!J207"")"),0)</f>
        <v>0</v>
      </c>
      <c r="AR58" s="86">
        <f ca="1">IFERROR(__xludf.DUMMYFUNCTION("IMPORTRANGE(""https://docs.google.com/spreadsheets/d/1vWPVBOAaZ6mHSI8yf95DNqHwTJ1cpeFsvqt6cxV34QA/edit?usp=sharing"",""ตราด!L210"")"),1000)</f>
        <v>1000</v>
      </c>
      <c r="AS58" s="86">
        <f ca="1">IFERROR(__xludf.DUMMYFUNCTION("IMPORTRANGE(""https://docs.google.com/spreadsheets/d/1vWPVBOAaZ6mHSI8yf95DNqHwTJ1cpeFsvqt6cxV34QA/edit?usp=sharing"",""ตราด!N210"")"),0)</f>
        <v>0</v>
      </c>
      <c r="AT58" s="87">
        <f t="shared" ca="1" si="91"/>
        <v>0</v>
      </c>
      <c r="AU58" s="86">
        <f ca="1">IFERROR(__xludf.DUMMYFUNCTION("IMPORTRANGE(""https://docs.google.com/spreadsheets/d/1vWPVBOAaZ6mHSI8yf95DNqHwTJ1cpeFsvqt6cxV34QA/edit?usp=sharing"",""ตราด!L211"")"),5000)</f>
        <v>5000</v>
      </c>
      <c r="AV58" s="86">
        <f ca="1">IFERROR(__xludf.DUMMYFUNCTION("IMPORTRANGE(""https://docs.google.com/spreadsheets/d/1vWPVBOAaZ6mHSI8yf95DNqHwTJ1cpeFsvqt6cxV34QA/edit?usp=sharing"",""ตราด!N211"")"),0)</f>
        <v>0</v>
      </c>
      <c r="AW58" s="87">
        <f t="shared" ca="1" si="92"/>
        <v>0</v>
      </c>
      <c r="AX58" s="86">
        <f ca="1">IFERROR(__xludf.DUMMYFUNCTION("IMPORTRANGE(""https://docs.google.com/spreadsheets/d/1vWPVBOAaZ6mHSI8yf95DNqHwTJ1cpeFsvqt6cxV34QA/edit?usp=sharing"",""ตราด!L212"")"),8000)</f>
        <v>8000</v>
      </c>
      <c r="AY58" s="86">
        <f ca="1">IFERROR(__xludf.DUMMYFUNCTION("IMPORTRANGE(""https://docs.google.com/spreadsheets/d/1vWPVBOAaZ6mHSI8yf95DNqHwTJ1cpeFsvqt6cxV34QA/edit?usp=sharing"",""ตราด!N212"")"),8000)</f>
        <v>8000</v>
      </c>
      <c r="AZ58" s="87">
        <f t="shared" ca="1" si="93"/>
        <v>100</v>
      </c>
      <c r="BA58" s="86">
        <f ca="1">IFERROR(__xludf.DUMMYFUNCTION("IMPORTRANGE(""https://docs.google.com/spreadsheets/d/1vWPVBOAaZ6mHSI8yf95DNqHwTJ1cpeFsvqt6cxV34QA/edit?usp=sharing"",""ตราด!I214"")"),1)</f>
        <v>1</v>
      </c>
      <c r="BB58" s="86">
        <f ca="1">IFERROR(__xludf.DUMMYFUNCTION("IMPORTRANGE(""https://docs.google.com/spreadsheets/d/1vWPVBOAaZ6mHSI8yf95DNqHwTJ1cpeFsvqt6cxV34QA/edit?usp=sharing"",""ตราด!J214"")"),0)</f>
        <v>0</v>
      </c>
      <c r="BC58" s="87">
        <f t="shared" ca="1" si="94"/>
        <v>0</v>
      </c>
      <c r="BD58" s="86">
        <f ca="1">IFERROR(__xludf.DUMMYFUNCTION("IMPORTRANGE(""https://docs.google.com/spreadsheets/d/1vWPVBOAaZ6mHSI8yf95DNqHwTJ1cpeFsvqt6cxV34QA/edit?usp=sharing"",""ตราด!I215"")"),1)</f>
        <v>1</v>
      </c>
      <c r="BE58" s="86">
        <f ca="1">IFERROR(__xludf.DUMMYFUNCTION("IMPORTRANGE(""https://docs.google.com/spreadsheets/d/1vWPVBOAaZ6mHSI8yf95DNqHwTJ1cpeFsvqt6cxV34QA/edit?usp=sharing"",""ตราด!J215"")"),1)</f>
        <v>1</v>
      </c>
      <c r="BF58" s="87">
        <f t="shared" ca="1" si="95"/>
        <v>100</v>
      </c>
      <c r="BG58" s="86">
        <f ca="1">IFERROR(__xludf.DUMMYFUNCTION("IMPORTRANGE(""https://docs.google.com/spreadsheets/d/1vWPVBOAaZ6mHSI8yf95DNqHwTJ1cpeFsvqt6cxV34QA/edit?usp=sharing"",""ตราด!L218"")"),3000)</f>
        <v>3000</v>
      </c>
      <c r="BH58" s="86">
        <f ca="1">IFERROR(__xludf.DUMMYFUNCTION("IMPORTRANGE(""https://docs.google.com/spreadsheets/d/1vWPVBOAaZ6mHSI8yf95DNqHwTJ1cpeFsvqt6cxV34QA/edit?usp=sharing"",""ตราด!N218"")"),0)</f>
        <v>0</v>
      </c>
      <c r="BI58" s="87">
        <f t="shared" ca="1" si="96"/>
        <v>0</v>
      </c>
      <c r="BJ58" s="86">
        <f ca="1">IFERROR(__xludf.DUMMYFUNCTION("IMPORTRANGE(""https://docs.google.com/spreadsheets/d/1vWPVBOAaZ6mHSI8yf95DNqHwTJ1cpeFsvqt6cxV34QA/edit?usp=sharing"",""ตราด!L219"")"),2600)</f>
        <v>2600</v>
      </c>
      <c r="BK58" s="86">
        <f ca="1">IFERROR(__xludf.DUMMYFUNCTION("IMPORTRANGE(""https://docs.google.com/spreadsheets/d/1vWPVBOAaZ6mHSI8yf95DNqHwTJ1cpeFsvqt6cxV34QA/edit?usp=sharing"",""ตราด!N219"")"),0)</f>
        <v>0</v>
      </c>
      <c r="BL58" s="87">
        <f t="shared" ca="1" si="97"/>
        <v>0</v>
      </c>
      <c r="BM58" s="86">
        <f ca="1">IFERROR(__xludf.DUMMYFUNCTION("IMPORTRANGE(""https://docs.google.com/spreadsheets/d/1vWPVBOAaZ6mHSI8yf95DNqHwTJ1cpeFsvqt6cxV34QA/edit?usp=sharing"",""ตราด!L220"")"),0)</f>
        <v>0</v>
      </c>
      <c r="BN58" s="86">
        <f ca="1">IFERROR(__xludf.DUMMYFUNCTION("IMPORTRANGE(""https://docs.google.com/spreadsheets/d/1vWPVBOAaZ6mHSI8yf95DNqHwTJ1cpeFsvqt6cxV34QA/edit?usp=sharing"",""ตราด!N220"")"),0)</f>
        <v>0</v>
      </c>
      <c r="BO58" s="87">
        <f t="shared" ca="1" si="98"/>
        <v>0</v>
      </c>
      <c r="BP58" s="86">
        <f ca="1">IFERROR(__xludf.DUMMYFUNCTION("IMPORTRANGE(""https://docs.google.com/spreadsheets/d/1vWPVBOAaZ6mHSI8yf95DNqHwTJ1cpeFsvqt6cxV34QA/edit?usp=sharing"",""ตราด!I223"")"),3200)</f>
        <v>3200</v>
      </c>
      <c r="BQ58" s="86">
        <f ca="1">IFERROR(__xludf.DUMMYFUNCTION("IMPORTRANGE(""https://docs.google.com/spreadsheets/d/1vWPVBOAaZ6mHSI8yf95DNqHwTJ1cpeFsvqt6cxV34QA/edit?usp=sharing"",""ตราด!J223"")"),0)</f>
        <v>0</v>
      </c>
      <c r="BR58" s="87">
        <f t="shared" ca="1" si="99"/>
        <v>0</v>
      </c>
      <c r="BS58" s="86">
        <f ca="1">IFERROR(__xludf.DUMMYFUNCTION("IMPORTRANGE(""https://docs.google.com/spreadsheets/d/1vWPVBOAaZ6mHSI8yf95DNqHwTJ1cpeFsvqt6cxV34QA/edit?usp=sharing"",""ตราด!I224"")"),3200)</f>
        <v>3200</v>
      </c>
      <c r="BT58" s="86">
        <f ca="1">IFERROR(__xludf.DUMMYFUNCTION("IMPORTRANGE(""https://docs.google.com/spreadsheets/d/1vWPVBOAaZ6mHSI8yf95DNqHwTJ1cpeFsvqt6cxV34QA/edit?usp=sharing"",""ตราด!J224"")"),0)</f>
        <v>0</v>
      </c>
      <c r="BU58" s="87">
        <f t="shared" ca="1" si="100"/>
        <v>0</v>
      </c>
      <c r="BV58" s="86">
        <f ca="1">IFERROR(__xludf.DUMMYFUNCTION("IMPORTRANGE(""https://docs.google.com/spreadsheets/d/1vWPVBOAaZ6mHSI8yf95DNqHwTJ1cpeFsvqt6cxV34QA/edit?usp=sharing"",""ตราด!I225"")"),0)</f>
        <v>0</v>
      </c>
      <c r="BW58" s="86">
        <f ca="1">IFERROR(__xludf.DUMMYFUNCTION("IMPORTRANGE(""https://docs.google.com/spreadsheets/d/1vWPVBOAaZ6mHSI8yf95DNqHwTJ1cpeFsvqt6cxV34QA/edit?usp=sharing"",""ตราด!J225"")"),0)</f>
        <v>0</v>
      </c>
      <c r="BX58" s="87">
        <f t="shared" ca="1" si="101"/>
        <v>0</v>
      </c>
      <c r="BY58" s="86">
        <f ca="1">IFERROR(__xludf.DUMMYFUNCTION("IMPORTRANGE(""https://docs.google.com/spreadsheets/d/1vWPVBOAaZ6mHSI8yf95DNqHwTJ1cpeFsvqt6cxV34QA/edit?usp=sharing"",""ตราด!L228"")"),0)</f>
        <v>0</v>
      </c>
      <c r="BZ58" s="86">
        <f ca="1">IFERROR(__xludf.DUMMYFUNCTION("IMPORTRANGE(""https://docs.google.com/spreadsheets/d/1vWPVBOAaZ6mHSI8yf95DNqHwTJ1cpeFsvqt6cxV34QA/edit?usp=sharing"",""ตราด!N228"")"),0)</f>
        <v>0</v>
      </c>
      <c r="CA58" s="87">
        <f t="shared" ca="1" si="102"/>
        <v>0</v>
      </c>
      <c r="CB58" s="86">
        <f ca="1">IFERROR(__xludf.DUMMYFUNCTION("IMPORTRANGE(""https://docs.google.com/spreadsheets/d/1vWPVBOAaZ6mHSI8yf95DNqHwTJ1cpeFsvqt6cxV34QA/edit?usp=sharing"",""ตราด!L229"")"),0)</f>
        <v>0</v>
      </c>
      <c r="CC58" s="86">
        <f ca="1">IFERROR(__xludf.DUMMYFUNCTION("IMPORTRANGE(""https://docs.google.com/spreadsheets/d/1vWPVBOAaZ6mHSI8yf95DNqHwTJ1cpeFsvqt6cxV34QA/edit?usp=sharing"",""ตราด!N229"")"),0)</f>
        <v>0</v>
      </c>
      <c r="CD58" s="87">
        <f t="shared" ca="1" si="103"/>
        <v>0</v>
      </c>
      <c r="CE58" s="86">
        <f ca="1">IFERROR(__xludf.DUMMYFUNCTION("IMPORTRANGE(""https://docs.google.com/spreadsheets/d/1vWPVBOAaZ6mHSI8yf95DNqHwTJ1cpeFsvqt6cxV34QA/edit?usp=sharing"",""ตราด!L230"")"),0)</f>
        <v>0</v>
      </c>
      <c r="CF58" s="86">
        <f ca="1">IFERROR(__xludf.DUMMYFUNCTION("IMPORTRANGE(""https://docs.google.com/spreadsheets/d/1vWPVBOAaZ6mHSI8yf95DNqHwTJ1cpeFsvqt6cxV34QA/edit?usp=sharing"",""ตราด!N230"")"),0)</f>
        <v>0</v>
      </c>
      <c r="CG58" s="87">
        <f t="shared" ca="1" si="104"/>
        <v>0</v>
      </c>
      <c r="CH58" s="86">
        <f ca="1">IFERROR(__xludf.DUMMYFUNCTION("IMPORTRANGE(""https://docs.google.com/spreadsheets/d/1vWPVBOAaZ6mHSI8yf95DNqHwTJ1cpeFsvqt6cxV34QA/edit?usp=sharing"",""ตราด!L231"")"),0)</f>
        <v>0</v>
      </c>
      <c r="CI58" s="86">
        <f ca="1">IFERROR(__xludf.DUMMYFUNCTION("IMPORTRANGE(""https://docs.google.com/spreadsheets/d/1vWPVBOAaZ6mHSI8yf95DNqHwTJ1cpeFsvqt6cxV34QA/edit?usp=sharing"",""ตราด!N231"")"),0)</f>
        <v>0</v>
      </c>
      <c r="CJ58" s="87">
        <f t="shared" ca="1" si="105"/>
        <v>0</v>
      </c>
      <c r="CK58" s="86">
        <f ca="1">IFERROR(__xludf.DUMMYFUNCTION("IMPORTRANGE(""https://docs.google.com/spreadsheets/d/1vWPVBOAaZ6mHSI8yf95DNqHwTJ1cpeFsvqt6cxV34QA/edit?usp=sharing"",""ตราด!I233"")"),0)</f>
        <v>0</v>
      </c>
      <c r="CL58" s="86">
        <f ca="1">IFERROR(__xludf.DUMMYFUNCTION("IMPORTRANGE(""https://docs.google.com/spreadsheets/d/1vWPVBOAaZ6mHSI8yf95DNqHwTJ1cpeFsvqt6cxV34QA/edit?usp=sharing"",""ตราด!J233"")"),0)</f>
        <v>0</v>
      </c>
      <c r="CM58" s="87">
        <f t="shared" ca="1" si="106"/>
        <v>0</v>
      </c>
      <c r="CN58" s="86">
        <f ca="1">IFERROR(__xludf.DUMMYFUNCTION("IMPORTRANGE(""https://docs.google.com/spreadsheets/d/1vWPVBOAaZ6mHSI8yf95DNqHwTJ1cpeFsvqt6cxV34QA/edit?usp=sharing"",""ตราด!J235"")"),0)</f>
        <v>0</v>
      </c>
      <c r="CO58" s="86">
        <f ca="1">IFERROR(__xludf.DUMMYFUNCTION("IMPORTRANGE(""https://docs.google.com/spreadsheets/d/1vWPVBOAaZ6mHSI8yf95DNqHwTJ1cpeFsvqt6cxV34QA/edit?usp=sharing"",""ตราด!J236"")"),0)</f>
        <v>0</v>
      </c>
    </row>
    <row r="59" spans="1:93" ht="21" customHeight="1" x14ac:dyDescent="0.3">
      <c r="A59" s="78">
        <v>7</v>
      </c>
      <c r="B59" s="79" t="s">
        <v>81</v>
      </c>
      <c r="C59" s="80">
        <f t="shared" ca="1" si="0"/>
        <v>273800</v>
      </c>
      <c r="D59" s="81">
        <f t="shared" ca="1" si="187"/>
        <v>273800</v>
      </c>
      <c r="E59" s="82">
        <f ca="1">IFERROR(__xludf.DUMMYFUNCTION("IMPORTRANGE(""https://docs.google.com/spreadsheets/d/1MeEWN-I1oV_STSDYn1IFDPWt_1FKiwhDph83XaGc0o0/edit?usp=sharing"",""งบพรบ!CP59"")"),148100)</f>
        <v>148100</v>
      </c>
      <c r="F59" s="82">
        <f ca="1">IFERROR(__xludf.DUMMYFUNCTION("IMPORTRANGE(""https://docs.google.com/spreadsheets/d/1MeEWN-I1oV_STSDYn1IFDPWt_1FKiwhDph83XaGc0o0/edit?usp=sharing"",""งบพรบ!CQ59"")"),125700)</f>
        <v>125700</v>
      </c>
      <c r="G59" s="82">
        <f ca="1">IFERROR(__xludf.DUMMYFUNCTION("IMPORTRANGE(""https://docs.google.com/spreadsheets/d/1MeEWN-I1oV_STSDYn1IFDPWt_1FKiwhDph83XaGc0o0/edit?usp=sharing"",""งบพรบ!CR59"")"),0)</f>
        <v>0</v>
      </c>
      <c r="H59" s="82">
        <f ca="1">IFERROR(__xludf.DUMMYFUNCTION("IMPORTRANGE(""https://docs.google.com/spreadsheets/d/1MeEWN-I1oV_STSDYn1IFDPWt_1FKiwhDph83XaGc0o0/edit?usp=sharing"",""งบพรบ!CT59"")"),239725)</f>
        <v>239725</v>
      </c>
      <c r="I59" s="82">
        <f ca="1">IFERROR(__xludf.DUMMYFUNCTION("IMPORTRANGE(""https://docs.google.com/spreadsheets/d/1MeEWN-I1oV_STSDYn1IFDPWt_1FKiwhDph83XaGc0o0/edit?usp=sharing"",""งบพรบ!CU59"")"),0)</f>
        <v>0</v>
      </c>
      <c r="J59" s="82">
        <f t="shared" ca="1" si="3"/>
        <v>87776.78</v>
      </c>
      <c r="K59" s="83">
        <f t="shared" ca="1" si="4"/>
        <v>32.058721694667639</v>
      </c>
      <c r="L59" s="82">
        <f ca="1">IFERROR(__xludf.DUMMYFUNCTION("IMPORTRANGE(""https://docs.google.com/spreadsheets/d/1MeEWN-I1oV_STSDYn1IFDPWt_1FKiwhDph83XaGc0o0/edit?usp=sharing"",""งบพรบ!CV59"")"),87776.78)</f>
        <v>87776.78</v>
      </c>
      <c r="M59" s="84">
        <f t="shared" ca="1" si="5"/>
        <v>32.058721694667639</v>
      </c>
      <c r="N59" s="84">
        <f t="shared" ca="1" si="6"/>
        <v>36.615613724058818</v>
      </c>
      <c r="O59" s="85">
        <f ca="1">IFERROR(__xludf.DUMMYFUNCTION("IMPORTRANGE(""https://docs.google.com/spreadsheets/d/1MeEWN-I1oV_STSDYn1IFDPWt_1FKiwhDph83XaGc0o0/edit?usp=sharing"",""งบพรบ!CW59"")"),0)</f>
        <v>0</v>
      </c>
      <c r="P59" s="85">
        <f t="shared" ca="1" si="108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IFERROR(__xludf.DUMMYFUNCTION("IMPORTRANGE(""https://docs.google.com/spreadsheets/d/1phaeSb9lTGgzDpbvVqI9hfmOQQzUom07-HEvpbARzEg/edit?usp=sharing"",""นครนายก!L191"")"),6000)</f>
        <v>6000</v>
      </c>
      <c r="S59" s="86">
        <f ca="1">IFERROR(__xludf.DUMMYFUNCTION("IMPORTRANGE(""https://docs.google.com/spreadsheets/d/1phaeSb9lTGgzDpbvVqI9hfmOQQzUom07-HEvpbARzEg/edit?usp=sharing"",""นครนายก!N191"")"),0)</f>
        <v>0</v>
      </c>
      <c r="T59" s="87">
        <f t="shared" ca="1" si="84"/>
        <v>0</v>
      </c>
      <c r="U59" s="86">
        <f ca="1">IFERROR(__xludf.DUMMYFUNCTION("IMPORTRANGE(""https://docs.google.com/spreadsheets/d/1phaeSb9lTGgzDpbvVqI9hfmOQQzUom07-HEvpbARzEg/edit?usp=sharing"",""นครนายก!I193"")"),4)</f>
        <v>4</v>
      </c>
      <c r="V59" s="86">
        <f ca="1">IFERROR(__xludf.DUMMYFUNCTION("IMPORTRANGE(""https://docs.google.com/spreadsheets/d/1phaeSb9lTGgzDpbvVqI9hfmOQQzUom07-HEvpbARzEg/edit?usp=sharing"",""นครนายก!J193"")"),1)</f>
        <v>1</v>
      </c>
      <c r="W59" s="87">
        <f t="shared" ca="1" si="85"/>
        <v>25</v>
      </c>
      <c r="X59" s="86">
        <f t="shared" ca="1" si="188"/>
        <v>137</v>
      </c>
      <c r="Y59" s="86">
        <f ca="1">IFERROR(__xludf.DUMMYFUNCTION("IMPORTRANGE(""https://docs.google.com/spreadsheets/d/1phaeSb9lTGgzDpbvVqI9hfmOQQzUom07-HEvpbARzEg/edit?usp=sharing"",""นครนายก!J195"")"),137)</f>
        <v>137</v>
      </c>
      <c r="Z59" s="86">
        <f ca="1">IFERROR(__xludf.DUMMYFUNCTION("IMPORTRANGE(""https://docs.google.com/spreadsheets/d/1phaeSb9lTGgzDpbvVqI9hfmOQQzUom07-HEvpbARzEg/edit?usp=sharing"",""นครนายก!J196"")"),0)</f>
        <v>0</v>
      </c>
      <c r="AA59" s="86">
        <f ca="1">IFERROR(__xludf.DUMMYFUNCTION("IMPORTRANGE(""https://docs.google.com/spreadsheets/d/1phaeSb9lTGgzDpbvVqI9hfmOQQzUom07-HEvpbARzEg/edit?usp=sharing"",""นครนายก!L199"")"),1000)</f>
        <v>1000</v>
      </c>
      <c r="AB59" s="86">
        <f ca="1">IFERROR(__xludf.DUMMYFUNCTION("IMPORTRANGE(""https://docs.google.com/spreadsheets/d/1phaeSb9lTGgzDpbvVqI9hfmOQQzUom07-HEvpbARzEg/edit?usp=sharing"",""นครนายก!N199"")"),0)</f>
        <v>0</v>
      </c>
      <c r="AC59" s="87">
        <f t="shared" ca="1" si="86"/>
        <v>0</v>
      </c>
      <c r="AD59" s="86">
        <f ca="1">IFERROR(__xludf.DUMMYFUNCTION("IMPORTRANGE(""https://docs.google.com/spreadsheets/d/1phaeSb9lTGgzDpbvVqI9hfmOQQzUom07-HEvpbARzEg/edit?usp=sharing"",""นครนายก!L200"")"),8000)</f>
        <v>8000</v>
      </c>
      <c r="AE59" s="86">
        <f ca="1">IFERROR(__xludf.DUMMYFUNCTION("IMPORTRANGE(""https://docs.google.com/spreadsheets/d/1phaeSb9lTGgzDpbvVqI9hfmOQQzUom07-HEvpbARzEg/edit?usp=sharing"",""นครนายก!N200"")"),0)</f>
        <v>0</v>
      </c>
      <c r="AF59" s="87">
        <f t="shared" ca="1" si="87"/>
        <v>0</v>
      </c>
      <c r="AG59" s="86">
        <f ca="1">IFERROR(__xludf.DUMMYFUNCTION("IMPORTRANGE(""https://docs.google.com/spreadsheets/d/1phaeSb9lTGgzDpbvVqI9hfmOQQzUom07-HEvpbARzEg/edit?usp=sharing"",""นครนายก!L201"")"),4000)</f>
        <v>4000</v>
      </c>
      <c r="AH59" s="86">
        <f ca="1">IFERROR(__xludf.DUMMYFUNCTION("IMPORTRANGE(""https://docs.google.com/spreadsheets/d/1phaeSb9lTGgzDpbvVqI9hfmOQQzUom07-HEvpbARzEg/edit?usp=sharing"",""นครนายก!N201"")"),0)</f>
        <v>0</v>
      </c>
      <c r="AI59" s="87">
        <f t="shared" ca="1" si="88"/>
        <v>0</v>
      </c>
      <c r="AJ59" s="86">
        <f ca="1">IFERROR(__xludf.DUMMYFUNCTION("IMPORTRANGE(""https://docs.google.com/spreadsheets/d/1phaeSb9lTGgzDpbvVqI9hfmOQQzUom07-HEvpbARzEg/edit?usp=sharing"",""นครนายก!L202"")"),0)</f>
        <v>0</v>
      </c>
      <c r="AK59" s="86">
        <f ca="1">IFERROR(__xludf.DUMMYFUNCTION("IMPORTRANGE(""https://docs.google.com/spreadsheets/d/1phaeSb9lTGgzDpbvVqI9hfmOQQzUom07-HEvpbARzEg/edit?usp=sharing"",""นครนายก!N202"")"),0)</f>
        <v>0</v>
      </c>
      <c r="AL59" s="87">
        <f t="shared" ca="1" si="89"/>
        <v>0</v>
      </c>
      <c r="AM59" s="86">
        <f ca="1">IFERROR(__xludf.DUMMYFUNCTION("IMPORTRANGE(""https://docs.google.com/spreadsheets/d/1phaeSb9lTGgzDpbvVqI9hfmOQQzUom07-HEvpbARzEg/edit?usp=sharing"",""นครนายก!I204"")"),1)</f>
        <v>1</v>
      </c>
      <c r="AN59" s="86">
        <f ca="1">IFERROR(__xludf.DUMMYFUNCTION("IMPORTRANGE(""https://docs.google.com/spreadsheets/d/1phaeSb9lTGgzDpbvVqI9hfmOQQzUom07-HEvpbARzEg/edit?usp=sharing"",""นครนายก!J204"")"),0)</f>
        <v>0</v>
      </c>
      <c r="AO59" s="87">
        <f t="shared" ca="1" si="90"/>
        <v>0</v>
      </c>
      <c r="AP59" s="298">
        <f ca="1">IFERROR(__xludf.DUMMYFUNCTION("IMPORTRANGE(""https://docs.google.com/spreadsheets/d/1phaeSb9lTGgzDpbvVqI9hfmOQQzUom07-HEvpbARzEg/edit?usp=sharing"",""นครนายก!J206"")"),0)</f>
        <v>0</v>
      </c>
      <c r="AQ59" s="298">
        <f ca="1">IFERROR(__xludf.DUMMYFUNCTION("IMPORTRANGE(""https://docs.google.com/spreadsheets/d/1phaeSb9lTGgzDpbvVqI9hfmOQQzUom07-HEvpbARzEg/edit?usp=sharing"",""นครนายก!J207"")"),0)</f>
        <v>0</v>
      </c>
      <c r="AR59" s="86">
        <f ca="1">IFERROR(__xludf.DUMMYFUNCTION("IMPORTRANGE(""https://docs.google.com/spreadsheets/d/1phaeSb9lTGgzDpbvVqI9hfmOQQzUom07-HEvpbARzEg/edit?usp=sharing"",""นครนายก!L210"")"),0)</f>
        <v>0</v>
      </c>
      <c r="AS59" s="86">
        <f ca="1">IFERROR(__xludf.DUMMYFUNCTION("IMPORTRANGE(""https://docs.google.com/spreadsheets/d/1phaeSb9lTGgzDpbvVqI9hfmOQQzUom07-HEvpbARzEg/edit?usp=sharing"",""นครนายก!N210"")"),0)</f>
        <v>0</v>
      </c>
      <c r="AT59" s="87">
        <f t="shared" ca="1" si="91"/>
        <v>0</v>
      </c>
      <c r="AU59" s="86">
        <f ca="1">IFERROR(__xludf.DUMMYFUNCTION("IMPORTRANGE(""https://docs.google.com/spreadsheets/d/1phaeSb9lTGgzDpbvVqI9hfmOQQzUom07-HEvpbARzEg/edit?usp=sharing"",""นครนายก!L211"")"),0)</f>
        <v>0</v>
      </c>
      <c r="AV59" s="86">
        <f ca="1">IFERROR(__xludf.DUMMYFUNCTION("IMPORTRANGE(""https://docs.google.com/spreadsheets/d/1phaeSb9lTGgzDpbvVqI9hfmOQQzUom07-HEvpbARzEg/edit?usp=sharing"",""นครนายก!N211"")"),0)</f>
        <v>0</v>
      </c>
      <c r="AW59" s="87">
        <f t="shared" ca="1" si="92"/>
        <v>0</v>
      </c>
      <c r="AX59" s="86">
        <f ca="1">IFERROR(__xludf.DUMMYFUNCTION("IMPORTRANGE(""https://docs.google.com/spreadsheets/d/1phaeSb9lTGgzDpbvVqI9hfmOQQzUom07-HEvpbARzEg/edit?usp=sharing"",""นครนายก!L212"")"),0)</f>
        <v>0</v>
      </c>
      <c r="AY59" s="86">
        <f ca="1">IFERROR(__xludf.DUMMYFUNCTION("IMPORTRANGE(""https://docs.google.com/spreadsheets/d/1phaeSb9lTGgzDpbvVqI9hfmOQQzUom07-HEvpbARzEg/edit?usp=sharing"",""นครนายก!N212"")"),0)</f>
        <v>0</v>
      </c>
      <c r="AZ59" s="87">
        <f t="shared" ca="1" si="93"/>
        <v>0</v>
      </c>
      <c r="BA59" s="86">
        <f ca="1">IFERROR(__xludf.DUMMYFUNCTION("IMPORTRANGE(""https://docs.google.com/spreadsheets/d/1phaeSb9lTGgzDpbvVqI9hfmOQQzUom07-HEvpbARzEg/edit?usp=sharing"",""นครนายก!I214"")"),0)</f>
        <v>0</v>
      </c>
      <c r="BB59" s="86">
        <f ca="1">IFERROR(__xludf.DUMMYFUNCTION("IMPORTRANGE(""https://docs.google.com/spreadsheets/d/1phaeSb9lTGgzDpbvVqI9hfmOQQzUom07-HEvpbARzEg/edit?usp=sharing"",""นครนายก!J214"")"),0)</f>
        <v>0</v>
      </c>
      <c r="BC59" s="87">
        <f t="shared" ca="1" si="94"/>
        <v>0</v>
      </c>
      <c r="BD59" s="86">
        <f ca="1">IFERROR(__xludf.DUMMYFUNCTION("IMPORTRANGE(""https://docs.google.com/spreadsheets/d/1phaeSb9lTGgzDpbvVqI9hfmOQQzUom07-HEvpbARzEg/edit?usp=sharing"",""นครนายก!I215"")"),0)</f>
        <v>0</v>
      </c>
      <c r="BE59" s="86">
        <f ca="1">IFERROR(__xludf.DUMMYFUNCTION("IMPORTRANGE(""https://docs.google.com/spreadsheets/d/1phaeSb9lTGgzDpbvVqI9hfmOQQzUom07-HEvpbARzEg/edit?usp=sharing"",""นครนายก!J215"")"),0)</f>
        <v>0</v>
      </c>
      <c r="BF59" s="87">
        <f t="shared" ca="1" si="95"/>
        <v>0</v>
      </c>
      <c r="BG59" s="86">
        <f ca="1">IFERROR(__xludf.DUMMYFUNCTION("IMPORTRANGE(""https://docs.google.com/spreadsheets/d/1phaeSb9lTGgzDpbvVqI9hfmOQQzUom07-HEvpbARzEg/edit?usp=sharing"",""นครนายก!L218"")"),5000)</f>
        <v>5000</v>
      </c>
      <c r="BH59" s="86">
        <f ca="1">IFERROR(__xludf.DUMMYFUNCTION("IMPORTRANGE(""https://docs.google.com/spreadsheets/d/1phaeSb9lTGgzDpbvVqI9hfmOQQzUom07-HEvpbARzEg/edit?usp=sharing"",""นครนายก!N218"")"),0)</f>
        <v>0</v>
      </c>
      <c r="BI59" s="87">
        <f t="shared" ca="1" si="96"/>
        <v>0</v>
      </c>
      <c r="BJ59" s="86">
        <f ca="1">IFERROR(__xludf.DUMMYFUNCTION("IMPORTRANGE(""https://docs.google.com/spreadsheets/d/1phaeSb9lTGgzDpbvVqI9hfmOQQzUom07-HEvpbARzEg/edit?usp=sharing"",""นครนายก!L219"")"),8500)</f>
        <v>8500</v>
      </c>
      <c r="BK59" s="86">
        <f ca="1">IFERROR(__xludf.DUMMYFUNCTION("IMPORTRANGE(""https://docs.google.com/spreadsheets/d/1phaeSb9lTGgzDpbvVqI9hfmOQQzUom07-HEvpbARzEg/edit?usp=sharing"",""นครนายก!N219"")"),0)</f>
        <v>0</v>
      </c>
      <c r="BL59" s="87">
        <f t="shared" ca="1" si="97"/>
        <v>0</v>
      </c>
      <c r="BM59" s="86">
        <f ca="1">IFERROR(__xludf.DUMMYFUNCTION("IMPORTRANGE(""https://docs.google.com/spreadsheets/d/1phaeSb9lTGgzDpbvVqI9hfmOQQzUom07-HEvpbARzEg/edit?usp=sharing"",""นครนายก!L220"")"),0)</f>
        <v>0</v>
      </c>
      <c r="BN59" s="86">
        <f ca="1">IFERROR(__xludf.DUMMYFUNCTION("IMPORTRANGE(""https://docs.google.com/spreadsheets/d/1phaeSb9lTGgzDpbvVqI9hfmOQQzUom07-HEvpbARzEg/edit?usp=sharing"",""นครนายก!N220"")"),0)</f>
        <v>0</v>
      </c>
      <c r="BO59" s="87">
        <f t="shared" ca="1" si="98"/>
        <v>0</v>
      </c>
      <c r="BP59" s="86">
        <f ca="1">IFERROR(__xludf.DUMMYFUNCTION("IMPORTRANGE(""https://docs.google.com/spreadsheets/d/1phaeSb9lTGgzDpbvVqI9hfmOQQzUom07-HEvpbARzEg/edit?usp=sharing"",""นครนายก!I223"")"),30000)</f>
        <v>30000</v>
      </c>
      <c r="BQ59" s="86">
        <f ca="1">IFERROR(__xludf.DUMMYFUNCTION("IMPORTRANGE(""https://docs.google.com/spreadsheets/d/1phaeSb9lTGgzDpbvVqI9hfmOQQzUom07-HEvpbARzEg/edit?usp=sharing"",""นครนายก!J223"")"),0)</f>
        <v>0</v>
      </c>
      <c r="BR59" s="87">
        <f t="shared" ca="1" si="99"/>
        <v>0</v>
      </c>
      <c r="BS59" s="86">
        <f ca="1">IFERROR(__xludf.DUMMYFUNCTION("IMPORTRANGE(""https://docs.google.com/spreadsheets/d/1phaeSb9lTGgzDpbvVqI9hfmOQQzUom07-HEvpbARzEg/edit?usp=sharing"",""นครนายก!I224"")"),30000)</f>
        <v>30000</v>
      </c>
      <c r="BT59" s="86">
        <f ca="1">IFERROR(__xludf.DUMMYFUNCTION("IMPORTRANGE(""https://docs.google.com/spreadsheets/d/1phaeSb9lTGgzDpbvVqI9hfmOQQzUom07-HEvpbARzEg/edit?usp=sharing"",""นครนายก!J224"")"),0)</f>
        <v>0</v>
      </c>
      <c r="BU59" s="87">
        <f t="shared" ca="1" si="100"/>
        <v>0</v>
      </c>
      <c r="BV59" s="86">
        <f ca="1">IFERROR(__xludf.DUMMYFUNCTION("IMPORTRANGE(""https://docs.google.com/spreadsheets/d/1phaeSb9lTGgzDpbvVqI9hfmOQQzUom07-HEvpbARzEg/edit?usp=sharing"",""นครนายก!I225"")"),0)</f>
        <v>0</v>
      </c>
      <c r="BW59" s="86">
        <f ca="1">IFERROR(__xludf.DUMMYFUNCTION("IMPORTRANGE(""https://docs.google.com/spreadsheets/d/1phaeSb9lTGgzDpbvVqI9hfmOQQzUom07-HEvpbARzEg/edit?usp=sharing"",""นครนายก!J225"")"),0)</f>
        <v>0</v>
      </c>
      <c r="BX59" s="87">
        <f t="shared" ca="1" si="101"/>
        <v>0</v>
      </c>
      <c r="BY59" s="86">
        <f ca="1">IFERROR(__xludf.DUMMYFUNCTION("IMPORTRANGE(""https://docs.google.com/spreadsheets/d/1phaeSb9lTGgzDpbvVqI9hfmOQQzUom07-HEvpbARzEg/edit?usp=sharing"",""นครนายก!L228"")"),20000)</f>
        <v>20000</v>
      </c>
      <c r="BZ59" s="86">
        <f ca="1">IFERROR(__xludf.DUMMYFUNCTION("IMPORTRANGE(""https://docs.google.com/spreadsheets/d/1phaeSb9lTGgzDpbvVqI9hfmOQQzUom07-HEvpbARzEg/edit?usp=sharing"",""นครนายก!N228"")"),1560)</f>
        <v>1560</v>
      </c>
      <c r="CA59" s="87">
        <f t="shared" ca="1" si="102"/>
        <v>7.8</v>
      </c>
      <c r="CB59" s="86">
        <f ca="1">IFERROR(__xludf.DUMMYFUNCTION("IMPORTRANGE(""https://docs.google.com/spreadsheets/d/1phaeSb9lTGgzDpbvVqI9hfmOQQzUom07-HEvpbARzEg/edit?usp=sharing"",""นครนายก!L229"")"),53200)</f>
        <v>53200</v>
      </c>
      <c r="CC59" s="86">
        <f ca="1">IFERROR(__xludf.DUMMYFUNCTION("IMPORTRANGE(""https://docs.google.com/spreadsheets/d/1phaeSb9lTGgzDpbvVqI9hfmOQQzUom07-HEvpbARzEg/edit?usp=sharing"",""นครนายก!N229"")"),21400)</f>
        <v>21400</v>
      </c>
      <c r="CD59" s="87">
        <f t="shared" ca="1" si="103"/>
        <v>40.225563909774436</v>
      </c>
      <c r="CE59" s="86">
        <f ca="1">IFERROR(__xludf.DUMMYFUNCTION("IMPORTRANGE(""https://docs.google.com/spreadsheets/d/1phaeSb9lTGgzDpbvVqI9hfmOQQzUom07-HEvpbARzEg/edit?usp=sharing"",""นครนายก!L230"")"),10000)</f>
        <v>10000</v>
      </c>
      <c r="CF59" s="86">
        <f ca="1">IFERROR(__xludf.DUMMYFUNCTION("IMPORTRANGE(""https://docs.google.com/spreadsheets/d/1phaeSb9lTGgzDpbvVqI9hfmOQQzUom07-HEvpbARzEg/edit?usp=sharing"",""นครนายก!N230"")"),0)</f>
        <v>0</v>
      </c>
      <c r="CG59" s="87">
        <f t="shared" ca="1" si="104"/>
        <v>0</v>
      </c>
      <c r="CH59" s="86">
        <f ca="1">IFERROR(__xludf.DUMMYFUNCTION("IMPORTRANGE(""https://docs.google.com/spreadsheets/d/1phaeSb9lTGgzDpbvVqI9hfmOQQzUom07-HEvpbARzEg/edit?usp=sharing"",""นครนายก!L231"")"),10000)</f>
        <v>10000</v>
      </c>
      <c r="CI59" s="86">
        <f ca="1">IFERROR(__xludf.DUMMYFUNCTION("IMPORTRANGE(""https://docs.google.com/spreadsheets/d/1phaeSb9lTGgzDpbvVqI9hfmOQQzUom07-HEvpbARzEg/edit?usp=sharing"",""นครนายก!N231"")"),0)</f>
        <v>0</v>
      </c>
      <c r="CJ59" s="87">
        <f t="shared" ca="1" si="105"/>
        <v>0</v>
      </c>
      <c r="CK59" s="86">
        <f ca="1">IFERROR(__xludf.DUMMYFUNCTION("IMPORTRANGE(""https://docs.google.com/spreadsheets/d/1phaeSb9lTGgzDpbvVqI9hfmOQQzUom07-HEvpbARzEg/edit?usp=sharing"",""นครนายก!I233"")"),20)</f>
        <v>20</v>
      </c>
      <c r="CL59" s="86">
        <f ca="1">IFERROR(__xludf.DUMMYFUNCTION("IMPORTRANGE(""https://docs.google.com/spreadsheets/d/1phaeSb9lTGgzDpbvVqI9hfmOQQzUom07-HEvpbARzEg/edit?usp=sharing"",""นครนายก!J233"")"),20)</f>
        <v>20</v>
      </c>
      <c r="CM59" s="87">
        <f t="shared" ca="1" si="106"/>
        <v>100</v>
      </c>
      <c r="CN59" s="86">
        <f ca="1">IFERROR(__xludf.DUMMYFUNCTION("IMPORTRANGE(""https://docs.google.com/spreadsheets/d/1phaeSb9lTGgzDpbvVqI9hfmOQQzUom07-HEvpbARzEg/edit?usp=sharing"",""นครนายก!J235"")"),0)</f>
        <v>0</v>
      </c>
      <c r="CO59" s="86">
        <f ca="1">IFERROR(__xludf.DUMMYFUNCTION("IMPORTRANGE(""https://docs.google.com/spreadsheets/d/1phaeSb9lTGgzDpbvVqI9hfmOQQzUom07-HEvpbARzEg/edit?usp=sharing"",""นครนายก!J236"")"),0)</f>
        <v>0</v>
      </c>
    </row>
    <row r="60" spans="1:93" ht="21" customHeight="1" x14ac:dyDescent="0.3">
      <c r="A60" s="78">
        <v>8</v>
      </c>
      <c r="B60" s="79" t="s">
        <v>82</v>
      </c>
      <c r="C60" s="80">
        <f t="shared" ca="1" si="0"/>
        <v>449450</v>
      </c>
      <c r="D60" s="81">
        <f t="shared" ca="1" si="187"/>
        <v>449450</v>
      </c>
      <c r="E60" s="82">
        <f ca="1">IFERROR(__xludf.DUMMYFUNCTION("IMPORTRANGE(""https://docs.google.com/spreadsheets/d/1MeEWN-I1oV_STSDYn1IFDPWt_1FKiwhDph83XaGc0o0/edit?usp=sharing"",""งบพรบ!CP60"")"),381000)</f>
        <v>381000</v>
      </c>
      <c r="F60" s="82">
        <f ca="1">IFERROR(__xludf.DUMMYFUNCTION("IMPORTRANGE(""https://docs.google.com/spreadsheets/d/1MeEWN-I1oV_STSDYn1IFDPWt_1FKiwhDph83XaGc0o0/edit?usp=sharing"",""งบพรบ!CQ60"")"),68450)</f>
        <v>68450</v>
      </c>
      <c r="G60" s="82">
        <f ca="1">IFERROR(__xludf.DUMMYFUNCTION("IMPORTRANGE(""https://docs.google.com/spreadsheets/d/1MeEWN-I1oV_STSDYn1IFDPWt_1FKiwhDph83XaGc0o0/edit?usp=sharing"",""งบพรบ!CR60"")"),0)</f>
        <v>0</v>
      </c>
      <c r="H60" s="82">
        <f ca="1">IFERROR(__xludf.DUMMYFUNCTION("IMPORTRANGE(""https://docs.google.com/spreadsheets/d/1MeEWN-I1oV_STSDYn1IFDPWt_1FKiwhDph83XaGc0o0/edit?usp=sharing"",""งบพรบ!CT60"")"),353500)</f>
        <v>353500</v>
      </c>
      <c r="I60" s="82">
        <f ca="1">IFERROR(__xludf.DUMMYFUNCTION("IMPORTRANGE(""https://docs.google.com/spreadsheets/d/1MeEWN-I1oV_STSDYn1IFDPWt_1FKiwhDph83XaGc0o0/edit?usp=sharing"",""งบพรบ!CU60"")"),0)</f>
        <v>0</v>
      </c>
      <c r="J60" s="82">
        <f t="shared" ca="1" si="3"/>
        <v>135402.34</v>
      </c>
      <c r="K60" s="83">
        <f t="shared" ca="1" si="4"/>
        <v>30.126229836466791</v>
      </c>
      <c r="L60" s="82">
        <f ca="1">IFERROR(__xludf.DUMMYFUNCTION("IMPORTRANGE(""https://docs.google.com/spreadsheets/d/1MeEWN-I1oV_STSDYn1IFDPWt_1FKiwhDph83XaGc0o0/edit?usp=sharing"",""งบพรบ!CV60"")"),135402.34)</f>
        <v>135402.34</v>
      </c>
      <c r="M60" s="84">
        <f t="shared" ca="1" si="5"/>
        <v>30.126229836466791</v>
      </c>
      <c r="N60" s="84">
        <f t="shared" ca="1" si="6"/>
        <v>38.303349363507778</v>
      </c>
      <c r="O60" s="85">
        <f ca="1">IFERROR(__xludf.DUMMYFUNCTION("IMPORTRANGE(""https://docs.google.com/spreadsheets/d/1MeEWN-I1oV_STSDYn1IFDPWt_1FKiwhDph83XaGc0o0/edit?usp=sharing"",""งบพรบ!CW60"")"),0)</f>
        <v>0</v>
      </c>
      <c r="P60" s="85">
        <f t="shared" ca="1" si="108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IFERROR(__xludf.DUMMYFUNCTION("IMPORTRANGE(""https://docs.google.com/spreadsheets/d/1tpwhWwkqkBeiSWCcfB5f2fbwPRbM9hHOEDSDHpl2MIc/edit?usp=sharing"",""นครปฐม!L191"")"),6000)</f>
        <v>6000</v>
      </c>
      <c r="S60" s="86">
        <f ca="1">IFERROR(__xludf.DUMMYFUNCTION("IMPORTRANGE(""https://docs.google.com/spreadsheets/d/1tpwhWwkqkBeiSWCcfB5f2fbwPRbM9hHOEDSDHpl2MIc/edit?usp=sharing"",""นครปฐม!N191"")"),1100)</f>
        <v>1100</v>
      </c>
      <c r="T60" s="87">
        <f t="shared" ca="1" si="84"/>
        <v>18.333333333333332</v>
      </c>
      <c r="U60" s="86">
        <f ca="1">IFERROR(__xludf.DUMMYFUNCTION("IMPORTRANGE(""https://docs.google.com/spreadsheets/d/1tpwhWwkqkBeiSWCcfB5f2fbwPRbM9hHOEDSDHpl2MIc/edit?usp=sharing"",""นครปฐม!I193"")"),4)</f>
        <v>4</v>
      </c>
      <c r="V60" s="86">
        <f ca="1">IFERROR(__xludf.DUMMYFUNCTION("IMPORTRANGE(""https://docs.google.com/spreadsheets/d/1tpwhWwkqkBeiSWCcfB5f2fbwPRbM9hHOEDSDHpl2MIc/edit?usp=sharing"",""นครปฐม!J193"")"),1)</f>
        <v>1</v>
      </c>
      <c r="W60" s="87">
        <f t="shared" ca="1" si="85"/>
        <v>25</v>
      </c>
      <c r="X60" s="86">
        <f t="shared" ca="1" si="188"/>
        <v>36</v>
      </c>
      <c r="Y60" s="86">
        <f ca="1">IFERROR(__xludf.DUMMYFUNCTION("IMPORTRANGE(""https://docs.google.com/spreadsheets/d/1tpwhWwkqkBeiSWCcfB5f2fbwPRbM9hHOEDSDHpl2MIc/edit?usp=sharing"",""นครปฐม!J195"")"),36)</f>
        <v>36</v>
      </c>
      <c r="Z60" s="86">
        <f ca="1">IFERROR(__xludf.DUMMYFUNCTION("IMPORTRANGE(""https://docs.google.com/spreadsheets/d/1tpwhWwkqkBeiSWCcfB5f2fbwPRbM9hHOEDSDHpl2MIc/edit?usp=sharing"",""นครปฐม!J196"")"),0)</f>
        <v>0</v>
      </c>
      <c r="AA60" s="86">
        <f ca="1">IFERROR(__xludf.DUMMYFUNCTION("IMPORTRANGE(""https://docs.google.com/spreadsheets/d/1tpwhWwkqkBeiSWCcfB5f2fbwPRbM9hHOEDSDHpl2MIc/edit?usp=sharing"",""นครปฐม!L199"")"),0)</f>
        <v>0</v>
      </c>
      <c r="AB60" s="86">
        <f ca="1">IFERROR(__xludf.DUMMYFUNCTION("IMPORTRANGE(""https://docs.google.com/spreadsheets/d/1tpwhWwkqkBeiSWCcfB5f2fbwPRbM9hHOEDSDHpl2MIc/edit?usp=sharing"",""นครปฐม!N199"")"),0)</f>
        <v>0</v>
      </c>
      <c r="AC60" s="87">
        <f t="shared" ca="1" si="86"/>
        <v>0</v>
      </c>
      <c r="AD60" s="86">
        <f ca="1">IFERROR(__xludf.DUMMYFUNCTION("IMPORTRANGE(""https://docs.google.com/spreadsheets/d/1tpwhWwkqkBeiSWCcfB5f2fbwPRbM9hHOEDSDHpl2MIc/edit?usp=sharing"",""นครปฐม!L200"")"),0)</f>
        <v>0</v>
      </c>
      <c r="AE60" s="86">
        <f ca="1">IFERROR(__xludf.DUMMYFUNCTION("IMPORTRANGE(""https://docs.google.com/spreadsheets/d/1tpwhWwkqkBeiSWCcfB5f2fbwPRbM9hHOEDSDHpl2MIc/edit?usp=sharing"",""นครปฐม!N200"")"),0)</f>
        <v>0</v>
      </c>
      <c r="AF60" s="87">
        <f t="shared" ca="1" si="87"/>
        <v>0</v>
      </c>
      <c r="AG60" s="86">
        <f ca="1">IFERROR(__xludf.DUMMYFUNCTION("IMPORTRANGE(""https://docs.google.com/spreadsheets/d/1tpwhWwkqkBeiSWCcfB5f2fbwPRbM9hHOEDSDHpl2MIc/edit?usp=sharing"",""นครปฐม!L201"")"),0)</f>
        <v>0</v>
      </c>
      <c r="AH60" s="86">
        <f ca="1">IFERROR(__xludf.DUMMYFUNCTION("IMPORTRANGE(""https://docs.google.com/spreadsheets/d/1tpwhWwkqkBeiSWCcfB5f2fbwPRbM9hHOEDSDHpl2MIc/edit?usp=sharing"",""นครปฐม!N201"")"),0)</f>
        <v>0</v>
      </c>
      <c r="AI60" s="87">
        <f t="shared" ca="1" si="88"/>
        <v>0</v>
      </c>
      <c r="AJ60" s="86">
        <f ca="1">IFERROR(__xludf.DUMMYFUNCTION("IMPORTRANGE(""https://docs.google.com/spreadsheets/d/1tpwhWwkqkBeiSWCcfB5f2fbwPRbM9hHOEDSDHpl2MIc/edit?usp=sharing"",""นครปฐม!L202"")"),0)</f>
        <v>0</v>
      </c>
      <c r="AK60" s="86">
        <f ca="1">IFERROR(__xludf.DUMMYFUNCTION("IMPORTRANGE(""https://docs.google.com/spreadsheets/d/1tpwhWwkqkBeiSWCcfB5f2fbwPRbM9hHOEDSDHpl2MIc/edit?usp=sharing"",""นครปฐม!N202"")"),0)</f>
        <v>0</v>
      </c>
      <c r="AL60" s="87">
        <f t="shared" ca="1" si="89"/>
        <v>0</v>
      </c>
      <c r="AM60" s="86">
        <f ca="1">IFERROR(__xludf.DUMMYFUNCTION("IMPORTRANGE(""https://docs.google.com/spreadsheets/d/1tpwhWwkqkBeiSWCcfB5f2fbwPRbM9hHOEDSDHpl2MIc/edit?usp=sharing"",""นครปฐม!I204"")"),0)</f>
        <v>0</v>
      </c>
      <c r="AN60" s="86">
        <f ca="1">IFERROR(__xludf.DUMMYFUNCTION("IMPORTRANGE(""https://docs.google.com/spreadsheets/d/1tpwhWwkqkBeiSWCcfB5f2fbwPRbM9hHOEDSDHpl2MIc/edit?usp=sharing"",""นครปฐม!J204"")"),0)</f>
        <v>0</v>
      </c>
      <c r="AO60" s="87">
        <f t="shared" ca="1" si="90"/>
        <v>0</v>
      </c>
      <c r="AP60" s="298">
        <f ca="1">IFERROR(__xludf.DUMMYFUNCTION("IMPORTRANGE(""https://docs.google.com/spreadsheets/d/1tpwhWwkqkBeiSWCcfB5f2fbwPRbM9hHOEDSDHpl2MIc/edit?usp=sharing"",""นครปฐม!J206"")"),0)</f>
        <v>0</v>
      </c>
      <c r="AQ60" s="298">
        <f ca="1">IFERROR(__xludf.DUMMYFUNCTION("IMPORTRANGE(""https://docs.google.com/spreadsheets/d/1tpwhWwkqkBeiSWCcfB5f2fbwPRbM9hHOEDSDHpl2MIc/edit?usp=sharing"",""นครปฐม!J207"")"),0)</f>
        <v>0</v>
      </c>
      <c r="AR60" s="86">
        <f ca="1">IFERROR(__xludf.DUMMYFUNCTION("IMPORTRANGE(""https://docs.google.com/spreadsheets/d/1tpwhWwkqkBeiSWCcfB5f2fbwPRbM9hHOEDSDHpl2MIc/edit?usp=sharing"",""นครปฐม!L210"")"),0)</f>
        <v>0</v>
      </c>
      <c r="AS60" s="86">
        <f ca="1">IFERROR(__xludf.DUMMYFUNCTION("IMPORTRANGE(""https://docs.google.com/spreadsheets/d/1tpwhWwkqkBeiSWCcfB5f2fbwPRbM9hHOEDSDHpl2MIc/edit?usp=sharing"",""นครปฐม!N210"")"),0)</f>
        <v>0</v>
      </c>
      <c r="AT60" s="87">
        <f t="shared" ca="1" si="91"/>
        <v>0</v>
      </c>
      <c r="AU60" s="86">
        <f ca="1">IFERROR(__xludf.DUMMYFUNCTION("IMPORTRANGE(""https://docs.google.com/spreadsheets/d/1tpwhWwkqkBeiSWCcfB5f2fbwPRbM9hHOEDSDHpl2MIc/edit?usp=sharing"",""นครปฐม!L211"")"),0)</f>
        <v>0</v>
      </c>
      <c r="AV60" s="86">
        <f ca="1">IFERROR(__xludf.DUMMYFUNCTION("IMPORTRANGE(""https://docs.google.com/spreadsheets/d/1tpwhWwkqkBeiSWCcfB5f2fbwPRbM9hHOEDSDHpl2MIc/edit?usp=sharing"",""นครปฐม!N211"")"),0)</f>
        <v>0</v>
      </c>
      <c r="AW60" s="87">
        <f t="shared" ca="1" si="92"/>
        <v>0</v>
      </c>
      <c r="AX60" s="86">
        <f ca="1">IFERROR(__xludf.DUMMYFUNCTION("IMPORTRANGE(""https://docs.google.com/spreadsheets/d/1tpwhWwkqkBeiSWCcfB5f2fbwPRbM9hHOEDSDHpl2MIc/edit?usp=sharing"",""นครปฐม!L212"")"),0)</f>
        <v>0</v>
      </c>
      <c r="AY60" s="86">
        <f ca="1">IFERROR(__xludf.DUMMYFUNCTION("IMPORTRANGE(""https://docs.google.com/spreadsheets/d/1tpwhWwkqkBeiSWCcfB5f2fbwPRbM9hHOEDSDHpl2MIc/edit?usp=sharing"",""นครปฐม!N212"")"),0)</f>
        <v>0</v>
      </c>
      <c r="AZ60" s="87">
        <f t="shared" ca="1" si="93"/>
        <v>0</v>
      </c>
      <c r="BA60" s="86">
        <f ca="1">IFERROR(__xludf.DUMMYFUNCTION("IMPORTRANGE(""https://docs.google.com/spreadsheets/d/1tpwhWwkqkBeiSWCcfB5f2fbwPRbM9hHOEDSDHpl2MIc/edit?usp=sharing"",""นครปฐม!I214"")"),0)</f>
        <v>0</v>
      </c>
      <c r="BB60" s="86">
        <f ca="1">IFERROR(__xludf.DUMMYFUNCTION("IMPORTRANGE(""https://docs.google.com/spreadsheets/d/1tpwhWwkqkBeiSWCcfB5f2fbwPRbM9hHOEDSDHpl2MIc/edit?usp=sharing"",""นครปฐม!J214"")"),0)</f>
        <v>0</v>
      </c>
      <c r="BC60" s="87">
        <f t="shared" ca="1" si="94"/>
        <v>0</v>
      </c>
      <c r="BD60" s="86">
        <f ca="1">IFERROR(__xludf.DUMMYFUNCTION("IMPORTRANGE(""https://docs.google.com/spreadsheets/d/1tpwhWwkqkBeiSWCcfB5f2fbwPRbM9hHOEDSDHpl2MIc/edit?usp=sharing"",""นครปฐม!I215"")"),0)</f>
        <v>0</v>
      </c>
      <c r="BE60" s="86">
        <f ca="1">IFERROR(__xludf.DUMMYFUNCTION("IMPORTRANGE(""https://docs.google.com/spreadsheets/d/1tpwhWwkqkBeiSWCcfB5f2fbwPRbM9hHOEDSDHpl2MIc/edit?usp=sharing"",""นครปฐม!J215"")"),0)</f>
        <v>0</v>
      </c>
      <c r="BF60" s="87">
        <f t="shared" ca="1" si="95"/>
        <v>0</v>
      </c>
      <c r="BG60" s="86">
        <f ca="1">IFERROR(__xludf.DUMMYFUNCTION("IMPORTRANGE(""https://docs.google.com/spreadsheets/d/1tpwhWwkqkBeiSWCcfB5f2fbwPRbM9hHOEDSDHpl2MIc/edit?usp=sharing"",""นครปฐม!L218"")"),3000)</f>
        <v>3000</v>
      </c>
      <c r="BH60" s="86">
        <f ca="1">IFERROR(__xludf.DUMMYFUNCTION("IMPORTRANGE(""https://docs.google.com/spreadsheets/d/1tpwhWwkqkBeiSWCcfB5f2fbwPRbM9hHOEDSDHpl2MIc/edit?usp=sharing"",""นครปฐม!N218"")"),0)</f>
        <v>0</v>
      </c>
      <c r="BI60" s="87">
        <f t="shared" ca="1" si="96"/>
        <v>0</v>
      </c>
      <c r="BJ60" s="86">
        <f ca="1">IFERROR(__xludf.DUMMYFUNCTION("IMPORTRANGE(""https://docs.google.com/spreadsheets/d/1tpwhWwkqkBeiSWCcfB5f2fbwPRbM9hHOEDSDHpl2MIc/edit?usp=sharing"",""นครปฐม!L219"")"),2900)</f>
        <v>2900</v>
      </c>
      <c r="BK60" s="86">
        <f ca="1">IFERROR(__xludf.DUMMYFUNCTION("IMPORTRANGE(""https://docs.google.com/spreadsheets/d/1tpwhWwkqkBeiSWCcfB5f2fbwPRbM9hHOEDSDHpl2MIc/edit?usp=sharing"",""นครปฐม!N219"")"),0)</f>
        <v>0</v>
      </c>
      <c r="BL60" s="87">
        <f t="shared" ca="1" si="97"/>
        <v>0</v>
      </c>
      <c r="BM60" s="86">
        <f ca="1">IFERROR(__xludf.DUMMYFUNCTION("IMPORTRANGE(""https://docs.google.com/spreadsheets/d/1tpwhWwkqkBeiSWCcfB5f2fbwPRbM9hHOEDSDHpl2MIc/edit?usp=sharing"",""นครปฐม!L220"")"),0)</f>
        <v>0</v>
      </c>
      <c r="BN60" s="86">
        <f ca="1">IFERROR(__xludf.DUMMYFUNCTION("IMPORTRANGE(""https://docs.google.com/spreadsheets/d/1tpwhWwkqkBeiSWCcfB5f2fbwPRbM9hHOEDSDHpl2MIc/edit?usp=sharing"",""นครปฐม!N220"")"),0)</f>
        <v>0</v>
      </c>
      <c r="BO60" s="87">
        <f t="shared" ca="1" si="98"/>
        <v>0</v>
      </c>
      <c r="BP60" s="86">
        <f ca="1">IFERROR(__xludf.DUMMYFUNCTION("IMPORTRANGE(""https://docs.google.com/spreadsheets/d/1tpwhWwkqkBeiSWCcfB5f2fbwPRbM9hHOEDSDHpl2MIc/edit?usp=sharing"",""นครปฐม!I223"")"),5000)</f>
        <v>5000</v>
      </c>
      <c r="BQ60" s="86">
        <f ca="1">IFERROR(__xludf.DUMMYFUNCTION("IMPORTRANGE(""https://docs.google.com/spreadsheets/d/1tpwhWwkqkBeiSWCcfB5f2fbwPRbM9hHOEDSDHpl2MIc/edit?usp=sharing"",""นครปฐม!J223"")"),0)</f>
        <v>0</v>
      </c>
      <c r="BR60" s="87">
        <f t="shared" ca="1" si="99"/>
        <v>0</v>
      </c>
      <c r="BS60" s="86">
        <f ca="1">IFERROR(__xludf.DUMMYFUNCTION("IMPORTRANGE(""https://docs.google.com/spreadsheets/d/1tpwhWwkqkBeiSWCcfB5f2fbwPRbM9hHOEDSDHpl2MIc/edit?usp=sharing"",""นครปฐม!I224"")"),5000)</f>
        <v>5000</v>
      </c>
      <c r="BT60" s="86">
        <f ca="1">IFERROR(__xludf.DUMMYFUNCTION("IMPORTRANGE(""https://docs.google.com/spreadsheets/d/1tpwhWwkqkBeiSWCcfB5f2fbwPRbM9hHOEDSDHpl2MIc/edit?usp=sharing"",""นครปฐม!J224"")"),0)</f>
        <v>0</v>
      </c>
      <c r="BU60" s="87">
        <f t="shared" ca="1" si="100"/>
        <v>0</v>
      </c>
      <c r="BV60" s="86">
        <f ca="1">IFERROR(__xludf.DUMMYFUNCTION("IMPORTRANGE(""https://docs.google.com/spreadsheets/d/1tpwhWwkqkBeiSWCcfB5f2fbwPRbM9hHOEDSDHpl2MIc/edit?usp=sharing"",""นครปฐม!I225"")"),0)</f>
        <v>0</v>
      </c>
      <c r="BW60" s="86">
        <f ca="1">IFERROR(__xludf.DUMMYFUNCTION("IMPORTRANGE(""https://docs.google.com/spreadsheets/d/1tpwhWwkqkBeiSWCcfB5f2fbwPRbM9hHOEDSDHpl2MIc/edit?usp=sharing"",""นครปฐม!J225"")"),0)</f>
        <v>0</v>
      </c>
      <c r="BX60" s="87">
        <f t="shared" ca="1" si="101"/>
        <v>0</v>
      </c>
      <c r="BY60" s="86">
        <f ca="1">IFERROR(__xludf.DUMMYFUNCTION("IMPORTRANGE(""https://docs.google.com/spreadsheets/d/1tpwhWwkqkBeiSWCcfB5f2fbwPRbM9hHOEDSDHpl2MIc/edit?usp=sharing"",""นครปฐม!L228"")"),20000)</f>
        <v>20000</v>
      </c>
      <c r="BZ60" s="86">
        <f ca="1">IFERROR(__xludf.DUMMYFUNCTION("IMPORTRANGE(""https://docs.google.com/spreadsheets/d/1tpwhWwkqkBeiSWCcfB5f2fbwPRbM9hHOEDSDHpl2MIc/edit?usp=sharing"",""นครปฐม!N228"")"),0)</f>
        <v>0</v>
      </c>
      <c r="CA60" s="87">
        <f t="shared" ca="1" si="102"/>
        <v>0</v>
      </c>
      <c r="CB60" s="86">
        <f ca="1">IFERROR(__xludf.DUMMYFUNCTION("IMPORTRANGE(""https://docs.google.com/spreadsheets/d/1tpwhWwkqkBeiSWCcfB5f2fbwPRbM9hHOEDSDHpl2MIc/edit?usp=sharing"",""นครปฐม!L229"")"),16550)</f>
        <v>16550</v>
      </c>
      <c r="CC60" s="86">
        <f ca="1">IFERROR(__xludf.DUMMYFUNCTION("IMPORTRANGE(""https://docs.google.com/spreadsheets/d/1tpwhWwkqkBeiSWCcfB5f2fbwPRbM9hHOEDSDHpl2MIc/edit?usp=sharing"",""นครปฐม!N229"")"),16550)</f>
        <v>16550</v>
      </c>
      <c r="CD60" s="87">
        <f t="shared" ca="1" si="103"/>
        <v>100</v>
      </c>
      <c r="CE60" s="86">
        <f ca="1">IFERROR(__xludf.DUMMYFUNCTION("IMPORTRANGE(""https://docs.google.com/spreadsheets/d/1tpwhWwkqkBeiSWCcfB5f2fbwPRbM9hHOEDSDHpl2MIc/edit?usp=sharing"",""นครปฐม!L230"")"),10000)</f>
        <v>10000</v>
      </c>
      <c r="CF60" s="86">
        <f ca="1">IFERROR(__xludf.DUMMYFUNCTION("IMPORTRANGE(""https://docs.google.com/spreadsheets/d/1tpwhWwkqkBeiSWCcfB5f2fbwPRbM9hHOEDSDHpl2MIc/edit?usp=sharing"",""นครปฐม!N230"")"),0)</f>
        <v>0</v>
      </c>
      <c r="CG60" s="87">
        <f t="shared" ca="1" si="104"/>
        <v>0</v>
      </c>
      <c r="CH60" s="86">
        <f ca="1">IFERROR(__xludf.DUMMYFUNCTION("IMPORTRANGE(""https://docs.google.com/spreadsheets/d/1tpwhWwkqkBeiSWCcfB5f2fbwPRbM9hHOEDSDHpl2MIc/edit?usp=sharing"",""นครปฐม!L231"")"),10000)</f>
        <v>10000</v>
      </c>
      <c r="CI60" s="86">
        <f ca="1">IFERROR(__xludf.DUMMYFUNCTION("IMPORTRANGE(""https://docs.google.com/spreadsheets/d/1tpwhWwkqkBeiSWCcfB5f2fbwPRbM9hHOEDSDHpl2MIc/edit?usp=sharing"",""นครปฐม!N231"")"),0)</f>
        <v>0</v>
      </c>
      <c r="CJ60" s="87">
        <f t="shared" ca="1" si="105"/>
        <v>0</v>
      </c>
      <c r="CK60" s="86">
        <f ca="1">IFERROR(__xludf.DUMMYFUNCTION("IMPORTRANGE(""https://docs.google.com/spreadsheets/d/1tpwhWwkqkBeiSWCcfB5f2fbwPRbM9hHOEDSDHpl2MIc/edit?usp=sharing"",""นครปฐม!I233"")"),15)</f>
        <v>15</v>
      </c>
      <c r="CL60" s="86">
        <f ca="1">IFERROR(__xludf.DUMMYFUNCTION("IMPORTRANGE(""https://docs.google.com/spreadsheets/d/1tpwhWwkqkBeiSWCcfB5f2fbwPRbM9hHOEDSDHpl2MIc/edit?usp=sharing"",""นครปฐม!J233"")"),15)</f>
        <v>15</v>
      </c>
      <c r="CM60" s="87">
        <f t="shared" ca="1" si="106"/>
        <v>100</v>
      </c>
      <c r="CN60" s="86">
        <f ca="1">IFERROR(__xludf.DUMMYFUNCTION("IMPORTRANGE(""https://docs.google.com/spreadsheets/d/1tpwhWwkqkBeiSWCcfB5f2fbwPRbM9hHOEDSDHpl2MIc/edit?usp=sharing"",""นครปฐม!J235"")"),0)</f>
        <v>0</v>
      </c>
      <c r="CO60" s="86">
        <f ca="1">IFERROR(__xludf.DUMMYFUNCTION("IMPORTRANGE(""https://docs.google.com/spreadsheets/d/1tpwhWwkqkBeiSWCcfB5f2fbwPRbM9hHOEDSDHpl2MIc/edit?usp=sharing"",""นครปฐม!J236"")"),0)</f>
        <v>0</v>
      </c>
    </row>
    <row r="61" spans="1:93" ht="21" customHeight="1" x14ac:dyDescent="0.3">
      <c r="A61" s="78">
        <v>9</v>
      </c>
      <c r="B61" s="79" t="s">
        <v>83</v>
      </c>
      <c r="C61" s="80">
        <f t="shared" ca="1" si="0"/>
        <v>919700</v>
      </c>
      <c r="D61" s="81">
        <f t="shared" ca="1" si="187"/>
        <v>919700</v>
      </c>
      <c r="E61" s="82">
        <f ca="1">IFERROR(__xludf.DUMMYFUNCTION("IMPORTRANGE(""https://docs.google.com/spreadsheets/d/1MeEWN-I1oV_STSDYn1IFDPWt_1FKiwhDph83XaGc0o0/edit?usp=sharing"",""งบพรบ!CP61"")"),671800)</f>
        <v>671800</v>
      </c>
      <c r="F61" s="82">
        <f ca="1">IFERROR(__xludf.DUMMYFUNCTION("IMPORTRANGE(""https://docs.google.com/spreadsheets/d/1MeEWN-I1oV_STSDYn1IFDPWt_1FKiwhDph83XaGc0o0/edit?usp=sharing"",""งบพรบ!CQ61"")"),247900)</f>
        <v>247900</v>
      </c>
      <c r="G61" s="82">
        <f ca="1">IFERROR(__xludf.DUMMYFUNCTION("IMPORTRANGE(""https://docs.google.com/spreadsheets/d/1MeEWN-I1oV_STSDYn1IFDPWt_1FKiwhDph83XaGc0o0/edit?usp=sharing"",""งบพรบ!CR61"")"),0)</f>
        <v>0</v>
      </c>
      <c r="H61" s="82">
        <f ca="1">IFERROR(__xludf.DUMMYFUNCTION("IMPORTRANGE(""https://docs.google.com/spreadsheets/d/1MeEWN-I1oV_STSDYn1IFDPWt_1FKiwhDph83XaGc0o0/edit?usp=sharing"",""งบพรบ!CT61"")"),711700)</f>
        <v>711700</v>
      </c>
      <c r="I61" s="82">
        <f ca="1">IFERROR(__xludf.DUMMYFUNCTION("IMPORTRANGE(""https://docs.google.com/spreadsheets/d/1MeEWN-I1oV_STSDYn1IFDPWt_1FKiwhDph83XaGc0o0/edit?usp=sharing"",""งบพรบ!CU61"")"),0)</f>
        <v>0</v>
      </c>
      <c r="J61" s="82">
        <f t="shared" ca="1" si="3"/>
        <v>327230.21000000002</v>
      </c>
      <c r="K61" s="83">
        <f t="shared" ca="1" si="4"/>
        <v>35.580103294552579</v>
      </c>
      <c r="L61" s="82">
        <f ca="1">IFERROR(__xludf.DUMMYFUNCTION("IMPORTRANGE(""https://docs.google.com/spreadsheets/d/1MeEWN-I1oV_STSDYn1IFDPWt_1FKiwhDph83XaGc0o0/edit?usp=sharing"",""งบพรบ!CV61"")"),327230.21)</f>
        <v>327230.21000000002</v>
      </c>
      <c r="M61" s="84">
        <f t="shared" ca="1" si="5"/>
        <v>35.580103294552579</v>
      </c>
      <c r="N61" s="84">
        <f t="shared" ca="1" si="6"/>
        <v>45.978672193339897</v>
      </c>
      <c r="O61" s="85">
        <f ca="1">IFERROR(__xludf.DUMMYFUNCTION("IMPORTRANGE(""https://docs.google.com/spreadsheets/d/1MeEWN-I1oV_STSDYn1IFDPWt_1FKiwhDph83XaGc0o0/edit?usp=sharing"",""งบพรบ!CW61"")"),0)</f>
        <v>0</v>
      </c>
      <c r="P61" s="85">
        <f t="shared" ca="1" si="108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IFERROR(__xludf.DUMMYFUNCTION("IMPORTRANGE(""https://docs.google.com/spreadsheets/d/1fJJCVBkBnhriyv0Cp5ZFMr0I_yrfdEITNpb4zILJgUQ/edit?usp=sharing"",""ปทุมธานี!L191"")"),6000)</f>
        <v>6000</v>
      </c>
      <c r="S61" s="86">
        <f ca="1">IFERROR(__xludf.DUMMYFUNCTION("IMPORTRANGE(""https://docs.google.com/spreadsheets/d/1fJJCVBkBnhriyv0Cp5ZFMr0I_yrfdEITNpb4zILJgUQ/edit?usp=sharing"",""ปทุมธานี!N191"")"),3000)</f>
        <v>3000</v>
      </c>
      <c r="T61" s="87">
        <f t="shared" ca="1" si="84"/>
        <v>50</v>
      </c>
      <c r="U61" s="86">
        <f ca="1">IFERROR(__xludf.DUMMYFUNCTION("IMPORTRANGE(""https://docs.google.com/spreadsheets/d/1fJJCVBkBnhriyv0Cp5ZFMr0I_yrfdEITNpb4zILJgUQ/edit?usp=sharing"",""ปทุมธานี!I193"")"),4)</f>
        <v>4</v>
      </c>
      <c r="V61" s="86">
        <f ca="1">IFERROR(__xludf.DUMMYFUNCTION("IMPORTRANGE(""https://docs.google.com/spreadsheets/d/1fJJCVBkBnhriyv0Cp5ZFMr0I_yrfdEITNpb4zILJgUQ/edit?usp=sharing"",""ปทุมธานี!J193"")"),1)</f>
        <v>1</v>
      </c>
      <c r="W61" s="87">
        <f t="shared" ca="1" si="85"/>
        <v>25</v>
      </c>
      <c r="X61" s="86">
        <f t="shared" ca="1" si="188"/>
        <v>26</v>
      </c>
      <c r="Y61" s="86">
        <f ca="1">IFERROR(__xludf.DUMMYFUNCTION("IMPORTRANGE(""https://docs.google.com/spreadsheets/d/1fJJCVBkBnhriyv0Cp5ZFMr0I_yrfdEITNpb4zILJgUQ/edit?usp=sharing"",""ปทุมธานี!J195"")"),26)</f>
        <v>26</v>
      </c>
      <c r="Z61" s="86">
        <f ca="1">IFERROR(__xludf.DUMMYFUNCTION("IMPORTRANGE(""https://docs.google.com/spreadsheets/d/1fJJCVBkBnhriyv0Cp5ZFMr0I_yrfdEITNpb4zILJgUQ/edit?usp=sharing"",""ปทุมธานี!J196"")"),0)</f>
        <v>0</v>
      </c>
      <c r="AA61" s="86">
        <f ca="1">IFERROR(__xludf.DUMMYFUNCTION("IMPORTRANGE(""https://docs.google.com/spreadsheets/d/1fJJCVBkBnhriyv0Cp5ZFMr0I_yrfdEITNpb4zILJgUQ/edit?usp=sharing"",""ปทุมธานี!L199"")"),1000)</f>
        <v>1000</v>
      </c>
      <c r="AB61" s="86">
        <f ca="1">IFERROR(__xludf.DUMMYFUNCTION("IMPORTRANGE(""https://docs.google.com/spreadsheets/d/1fJJCVBkBnhriyv0Cp5ZFMr0I_yrfdEITNpb4zILJgUQ/edit?usp=sharing"",""ปทุมธานี!N199"")"),0)</f>
        <v>0</v>
      </c>
      <c r="AC61" s="87">
        <f t="shared" ca="1" si="86"/>
        <v>0</v>
      </c>
      <c r="AD61" s="86">
        <f ca="1">IFERROR(__xludf.DUMMYFUNCTION("IMPORTRANGE(""https://docs.google.com/spreadsheets/d/1fJJCVBkBnhriyv0Cp5ZFMr0I_yrfdEITNpb4zILJgUQ/edit?usp=sharing"",""ปทุมธานี!L200"")"),8000)</f>
        <v>8000</v>
      </c>
      <c r="AE61" s="86">
        <f ca="1">IFERROR(__xludf.DUMMYFUNCTION("IMPORTRANGE(""https://docs.google.com/spreadsheets/d/1fJJCVBkBnhriyv0Cp5ZFMr0I_yrfdEITNpb4zILJgUQ/edit?usp=sharing"",""ปทุมธานี!N200"")"),8830)</f>
        <v>8830</v>
      </c>
      <c r="AF61" s="87">
        <f t="shared" ca="1" si="87"/>
        <v>110.375</v>
      </c>
      <c r="AG61" s="86">
        <f ca="1">IFERROR(__xludf.DUMMYFUNCTION("IMPORTRANGE(""https://docs.google.com/spreadsheets/d/1fJJCVBkBnhriyv0Cp5ZFMr0I_yrfdEITNpb4zILJgUQ/edit?usp=sharing"",""ปทุมธานี!L201"")"),4000)</f>
        <v>4000</v>
      </c>
      <c r="AH61" s="86">
        <f ca="1">IFERROR(__xludf.DUMMYFUNCTION("IMPORTRANGE(""https://docs.google.com/spreadsheets/d/1fJJCVBkBnhriyv0Cp5ZFMr0I_yrfdEITNpb4zILJgUQ/edit?usp=sharing"",""ปทุมธานี!N201"")"),0)</f>
        <v>0</v>
      </c>
      <c r="AI61" s="87">
        <f t="shared" ca="1" si="88"/>
        <v>0</v>
      </c>
      <c r="AJ61" s="86">
        <f ca="1">IFERROR(__xludf.DUMMYFUNCTION("IMPORTRANGE(""https://docs.google.com/spreadsheets/d/1fJJCVBkBnhriyv0Cp5ZFMr0I_yrfdEITNpb4zILJgUQ/edit?usp=sharing"",""ปทุมธานี!L202"")"),0)</f>
        <v>0</v>
      </c>
      <c r="AK61" s="86">
        <f ca="1">IFERROR(__xludf.DUMMYFUNCTION("IMPORTRANGE(""https://docs.google.com/spreadsheets/d/1fJJCVBkBnhriyv0Cp5ZFMr0I_yrfdEITNpb4zILJgUQ/edit?usp=sharing"",""ปทุมธานี!N202"")"),0)</f>
        <v>0</v>
      </c>
      <c r="AL61" s="87">
        <f t="shared" ca="1" si="89"/>
        <v>0</v>
      </c>
      <c r="AM61" s="86">
        <f ca="1">IFERROR(__xludf.DUMMYFUNCTION("IMPORTRANGE(""https://docs.google.com/spreadsheets/d/1fJJCVBkBnhriyv0Cp5ZFMr0I_yrfdEITNpb4zILJgUQ/edit?usp=sharing"",""ปทุมธานี!I204"")"),1)</f>
        <v>1</v>
      </c>
      <c r="AN61" s="86">
        <f ca="1">IFERROR(__xludf.DUMMYFUNCTION("IMPORTRANGE(""https://docs.google.com/spreadsheets/d/1fJJCVBkBnhriyv0Cp5ZFMr0I_yrfdEITNpb4zILJgUQ/edit?usp=sharing"",""ปทุมธานี!J204"")"),1)</f>
        <v>1</v>
      </c>
      <c r="AO61" s="87">
        <f t="shared" ca="1" si="90"/>
        <v>100</v>
      </c>
      <c r="AP61" s="298">
        <f ca="1">IFERROR(__xludf.DUMMYFUNCTION("IMPORTRANGE(""https://docs.google.com/spreadsheets/d/1fJJCVBkBnhriyv0Cp5ZFMr0I_yrfdEITNpb4zILJgUQ/edit?usp=sharing"",""ปทุมธานี!J206"")"),1)</f>
        <v>1</v>
      </c>
      <c r="AQ61" s="298">
        <f ca="1">IFERROR(__xludf.DUMMYFUNCTION("IMPORTRANGE(""https://docs.google.com/spreadsheets/d/1fJJCVBkBnhriyv0Cp5ZFMr0I_yrfdEITNpb4zILJgUQ/edit?usp=sharing"",""ปทุมธานี!J207"")"),0)</f>
        <v>0</v>
      </c>
      <c r="AR61" s="86">
        <f ca="1">IFERROR(__xludf.DUMMYFUNCTION("IMPORTRANGE(""https://docs.google.com/spreadsheets/d/1fJJCVBkBnhriyv0Cp5ZFMr0I_yrfdEITNpb4zILJgUQ/edit?usp=sharing"",""ปทุมธานี!L210"")"),0)</f>
        <v>0</v>
      </c>
      <c r="AS61" s="86">
        <f ca="1">IFERROR(__xludf.DUMMYFUNCTION("IMPORTRANGE(""https://docs.google.com/spreadsheets/d/1fJJCVBkBnhriyv0Cp5ZFMr0I_yrfdEITNpb4zILJgUQ/edit?usp=sharing"",""ปทุมธานี!N210"")"),0)</f>
        <v>0</v>
      </c>
      <c r="AT61" s="87">
        <f t="shared" ca="1" si="91"/>
        <v>0</v>
      </c>
      <c r="AU61" s="86">
        <f ca="1">IFERROR(__xludf.DUMMYFUNCTION("IMPORTRANGE(""https://docs.google.com/spreadsheets/d/1fJJCVBkBnhriyv0Cp5ZFMr0I_yrfdEITNpb4zILJgUQ/edit?usp=sharing"",""ปทุมธานี!L211"")"),0)</f>
        <v>0</v>
      </c>
      <c r="AV61" s="86">
        <f ca="1">IFERROR(__xludf.DUMMYFUNCTION("IMPORTRANGE(""https://docs.google.com/spreadsheets/d/1fJJCVBkBnhriyv0Cp5ZFMr0I_yrfdEITNpb4zILJgUQ/edit?usp=sharing"",""ปทุมธานี!N211"")"),0)</f>
        <v>0</v>
      </c>
      <c r="AW61" s="87">
        <f t="shared" ca="1" si="92"/>
        <v>0</v>
      </c>
      <c r="AX61" s="86">
        <f ca="1">IFERROR(__xludf.DUMMYFUNCTION("IMPORTRANGE(""https://docs.google.com/spreadsheets/d/1fJJCVBkBnhriyv0Cp5ZFMr0I_yrfdEITNpb4zILJgUQ/edit?usp=sharing"",""ปทุมธานี!L212"")"),0)</f>
        <v>0</v>
      </c>
      <c r="AY61" s="86">
        <f ca="1">IFERROR(__xludf.DUMMYFUNCTION("IMPORTRANGE(""https://docs.google.com/spreadsheets/d/1fJJCVBkBnhriyv0Cp5ZFMr0I_yrfdEITNpb4zILJgUQ/edit?usp=sharing"",""ปทุมธานี!N212"")"),0)</f>
        <v>0</v>
      </c>
      <c r="AZ61" s="87">
        <f t="shared" ca="1" si="93"/>
        <v>0</v>
      </c>
      <c r="BA61" s="86">
        <f ca="1">IFERROR(__xludf.DUMMYFUNCTION("IMPORTRANGE(""https://docs.google.com/spreadsheets/d/1fJJCVBkBnhriyv0Cp5ZFMr0I_yrfdEITNpb4zILJgUQ/edit?usp=sharing"",""ปทุมธานี!I214"")"),0)</f>
        <v>0</v>
      </c>
      <c r="BB61" s="86">
        <f ca="1">IFERROR(__xludf.DUMMYFUNCTION("IMPORTRANGE(""https://docs.google.com/spreadsheets/d/1fJJCVBkBnhriyv0Cp5ZFMr0I_yrfdEITNpb4zILJgUQ/edit?usp=sharing"",""ปทุมธานี!J214"")"),0)</f>
        <v>0</v>
      </c>
      <c r="BC61" s="87">
        <f t="shared" ca="1" si="94"/>
        <v>0</v>
      </c>
      <c r="BD61" s="86">
        <f ca="1">IFERROR(__xludf.DUMMYFUNCTION("IMPORTRANGE(""https://docs.google.com/spreadsheets/d/1fJJCVBkBnhriyv0Cp5ZFMr0I_yrfdEITNpb4zILJgUQ/edit?usp=sharing"",""ปทุมธานี!I215"")"),0)</f>
        <v>0</v>
      </c>
      <c r="BE61" s="86">
        <f ca="1">IFERROR(__xludf.DUMMYFUNCTION("IMPORTRANGE(""https://docs.google.com/spreadsheets/d/1fJJCVBkBnhriyv0Cp5ZFMr0I_yrfdEITNpb4zILJgUQ/edit?usp=sharing"",""ปทุมธานี!J215"")"),0)</f>
        <v>0</v>
      </c>
      <c r="BF61" s="87">
        <f t="shared" ca="1" si="95"/>
        <v>0</v>
      </c>
      <c r="BG61" s="86">
        <f ca="1">IFERROR(__xludf.DUMMYFUNCTION("IMPORTRANGE(""https://docs.google.com/spreadsheets/d/1fJJCVBkBnhriyv0Cp5ZFMr0I_yrfdEITNpb4zILJgUQ/edit?usp=sharing"",""ปทุมธานี!L218"")"),3000)</f>
        <v>3000</v>
      </c>
      <c r="BH61" s="86">
        <f ca="1">IFERROR(__xludf.DUMMYFUNCTION("IMPORTRANGE(""https://docs.google.com/spreadsheets/d/1fJJCVBkBnhriyv0Cp5ZFMr0I_yrfdEITNpb4zILJgUQ/edit?usp=sharing"",""ปทุมธานี!N218"")"),0)</f>
        <v>0</v>
      </c>
      <c r="BI61" s="87">
        <f t="shared" ca="1" si="96"/>
        <v>0</v>
      </c>
      <c r="BJ61" s="86">
        <f ca="1">IFERROR(__xludf.DUMMYFUNCTION("IMPORTRANGE(""https://docs.google.com/spreadsheets/d/1fJJCVBkBnhriyv0Cp5ZFMr0I_yrfdEITNpb4zILJgUQ/edit?usp=sharing"",""ปทุมธานี!L219"")"),5000)</f>
        <v>5000</v>
      </c>
      <c r="BK61" s="86">
        <f ca="1">IFERROR(__xludf.DUMMYFUNCTION("IMPORTRANGE(""https://docs.google.com/spreadsheets/d/1fJJCVBkBnhriyv0Cp5ZFMr0I_yrfdEITNpb4zILJgUQ/edit?usp=sharing"",""ปทุมธานี!N219"")"),0)</f>
        <v>0</v>
      </c>
      <c r="BL61" s="87">
        <f t="shared" ca="1" si="97"/>
        <v>0</v>
      </c>
      <c r="BM61" s="86">
        <f ca="1">IFERROR(__xludf.DUMMYFUNCTION("IMPORTRANGE(""https://docs.google.com/spreadsheets/d/1fJJCVBkBnhriyv0Cp5ZFMr0I_yrfdEITNpb4zILJgUQ/edit?usp=sharing"",""ปทุมธานี!L220"")"),0)</f>
        <v>0</v>
      </c>
      <c r="BN61" s="86">
        <f ca="1">IFERROR(__xludf.DUMMYFUNCTION("IMPORTRANGE(""https://docs.google.com/spreadsheets/d/1fJJCVBkBnhriyv0Cp5ZFMr0I_yrfdEITNpb4zILJgUQ/edit?usp=sharing"",""ปทุมธานี!N220"")"),0)</f>
        <v>0</v>
      </c>
      <c r="BO61" s="87">
        <f t="shared" ca="1" si="98"/>
        <v>0</v>
      </c>
      <c r="BP61" s="86">
        <f ca="1">IFERROR(__xludf.DUMMYFUNCTION("IMPORTRANGE(""https://docs.google.com/spreadsheets/d/1fJJCVBkBnhriyv0Cp5ZFMr0I_yrfdEITNpb4zILJgUQ/edit?usp=sharing"",""ปทุมธานี!I223"")"),20000)</f>
        <v>20000</v>
      </c>
      <c r="BQ61" s="86">
        <f ca="1">IFERROR(__xludf.DUMMYFUNCTION("IMPORTRANGE(""https://docs.google.com/spreadsheets/d/1fJJCVBkBnhriyv0Cp5ZFMr0I_yrfdEITNpb4zILJgUQ/edit?usp=sharing"",""ปทุมธานี!J223"")"),0)</f>
        <v>0</v>
      </c>
      <c r="BR61" s="87">
        <f t="shared" ca="1" si="99"/>
        <v>0</v>
      </c>
      <c r="BS61" s="86">
        <f ca="1">IFERROR(__xludf.DUMMYFUNCTION("IMPORTRANGE(""https://docs.google.com/spreadsheets/d/1fJJCVBkBnhriyv0Cp5ZFMr0I_yrfdEITNpb4zILJgUQ/edit?usp=sharing"",""ปทุมธานี!I224"")"),20000)</f>
        <v>20000</v>
      </c>
      <c r="BT61" s="86">
        <f ca="1">IFERROR(__xludf.DUMMYFUNCTION("IMPORTRANGE(""https://docs.google.com/spreadsheets/d/1fJJCVBkBnhriyv0Cp5ZFMr0I_yrfdEITNpb4zILJgUQ/edit?usp=sharing"",""ปทุมธานี!J224"")"),0)</f>
        <v>0</v>
      </c>
      <c r="BU61" s="87">
        <f t="shared" ca="1" si="100"/>
        <v>0</v>
      </c>
      <c r="BV61" s="86">
        <f ca="1">IFERROR(__xludf.DUMMYFUNCTION("IMPORTRANGE(""https://docs.google.com/spreadsheets/d/1fJJCVBkBnhriyv0Cp5ZFMr0I_yrfdEITNpb4zILJgUQ/edit?usp=sharing"",""ปทุมธานี!I225"")"),0)</f>
        <v>0</v>
      </c>
      <c r="BW61" s="86">
        <f ca="1">IFERROR(__xludf.DUMMYFUNCTION("IMPORTRANGE(""https://docs.google.com/spreadsheets/d/1fJJCVBkBnhriyv0Cp5ZFMr0I_yrfdEITNpb4zILJgUQ/edit?usp=sharing"",""ปทุมธานี!J225"")"),0)</f>
        <v>0</v>
      </c>
      <c r="BX61" s="87">
        <f t="shared" ca="1" si="101"/>
        <v>0</v>
      </c>
      <c r="BY61" s="86">
        <f ca="1">IFERROR(__xludf.DUMMYFUNCTION("IMPORTRANGE(""https://docs.google.com/spreadsheets/d/1fJJCVBkBnhriyv0Cp5ZFMr0I_yrfdEITNpb4zILJgUQ/edit?usp=sharing"",""ปทุมธานี!L228"")"),163000)</f>
        <v>163000</v>
      </c>
      <c r="BZ61" s="86">
        <f ca="1">IFERROR(__xludf.DUMMYFUNCTION("IMPORTRANGE(""https://docs.google.com/spreadsheets/d/1fJJCVBkBnhriyv0Cp5ZFMr0I_yrfdEITNpb4zILJgUQ/edit?usp=sharing"",""ปทุมธานี!N228"")"),23000)</f>
        <v>23000</v>
      </c>
      <c r="CA61" s="87">
        <f t="shared" ca="1" si="102"/>
        <v>14.110429447852761</v>
      </c>
      <c r="CB61" s="86">
        <f ca="1">IFERROR(__xludf.DUMMYFUNCTION("IMPORTRANGE(""https://docs.google.com/spreadsheets/d/1fJJCVBkBnhriyv0Cp5ZFMr0I_yrfdEITNpb4zILJgUQ/edit?usp=sharing"",""ปทุมธานี!L229"")"),32900)</f>
        <v>32900</v>
      </c>
      <c r="CC61" s="86">
        <f ca="1">IFERROR(__xludf.DUMMYFUNCTION("IMPORTRANGE(""https://docs.google.com/spreadsheets/d/1fJJCVBkBnhriyv0Cp5ZFMr0I_yrfdEITNpb4zILJgUQ/edit?usp=sharing"",""ปทุมธานี!N229"")"),27510)</f>
        <v>27510</v>
      </c>
      <c r="CD61" s="87">
        <f t="shared" ca="1" si="103"/>
        <v>83.61702127659575</v>
      </c>
      <c r="CE61" s="86">
        <f ca="1">IFERROR(__xludf.DUMMYFUNCTION("IMPORTRANGE(""https://docs.google.com/spreadsheets/d/1fJJCVBkBnhriyv0Cp5ZFMr0I_yrfdEITNpb4zILJgUQ/edit?usp=sharing"",""ปทุมธานี!L230"")"),15000)</f>
        <v>15000</v>
      </c>
      <c r="CF61" s="86">
        <f ca="1">IFERROR(__xludf.DUMMYFUNCTION("IMPORTRANGE(""https://docs.google.com/spreadsheets/d/1fJJCVBkBnhriyv0Cp5ZFMr0I_yrfdEITNpb4zILJgUQ/edit?usp=sharing"",""ปทุมธานี!N230"")"),0)</f>
        <v>0</v>
      </c>
      <c r="CG61" s="87">
        <f t="shared" ca="1" si="104"/>
        <v>0</v>
      </c>
      <c r="CH61" s="86">
        <f ca="1">IFERROR(__xludf.DUMMYFUNCTION("IMPORTRANGE(""https://docs.google.com/spreadsheets/d/1fJJCVBkBnhriyv0Cp5ZFMr0I_yrfdEITNpb4zILJgUQ/edit?usp=sharing"",""ปทุมธานี!L231"")"),10000)</f>
        <v>10000</v>
      </c>
      <c r="CI61" s="86">
        <f ca="1">IFERROR(__xludf.DUMMYFUNCTION("IMPORTRANGE(""https://docs.google.com/spreadsheets/d/1fJJCVBkBnhriyv0Cp5ZFMr0I_yrfdEITNpb4zILJgUQ/edit?usp=sharing"",""ปทุมธานี!N231"")"),0)</f>
        <v>0</v>
      </c>
      <c r="CJ61" s="87">
        <f t="shared" ca="1" si="105"/>
        <v>0</v>
      </c>
      <c r="CK61" s="86">
        <f ca="1">IFERROR(__xludf.DUMMYFUNCTION("IMPORTRANGE(""https://docs.google.com/spreadsheets/d/1fJJCVBkBnhriyv0Cp5ZFMr0I_yrfdEITNpb4zILJgUQ/edit?usp=sharing"",""ปทุมธานี!I233"")"),30)</f>
        <v>30</v>
      </c>
      <c r="CL61" s="86">
        <f ca="1">IFERROR(__xludf.DUMMYFUNCTION("IMPORTRANGE(""https://docs.google.com/spreadsheets/d/1fJJCVBkBnhriyv0Cp5ZFMr0I_yrfdEITNpb4zILJgUQ/edit?usp=sharing"",""ปทุมธานี!J233"")"),30)</f>
        <v>30</v>
      </c>
      <c r="CM61" s="87">
        <f t="shared" ca="1" si="106"/>
        <v>100</v>
      </c>
      <c r="CN61" s="86">
        <f ca="1">IFERROR(__xludf.DUMMYFUNCTION("IMPORTRANGE(""https://docs.google.com/spreadsheets/d/1fJJCVBkBnhriyv0Cp5ZFMr0I_yrfdEITNpb4zILJgUQ/edit?usp=sharing"",""ปทุมธานี!J235"")"),0)</f>
        <v>0</v>
      </c>
      <c r="CO61" s="86">
        <f ca="1">IFERROR(__xludf.DUMMYFUNCTION("IMPORTRANGE(""https://docs.google.com/spreadsheets/d/1fJJCVBkBnhriyv0Cp5ZFMr0I_yrfdEITNpb4zILJgUQ/edit?usp=sharing"",""ปทุมธานี!J236"")"),0)</f>
        <v>0</v>
      </c>
    </row>
    <row r="62" spans="1:93" ht="21" customHeight="1" x14ac:dyDescent="0.3">
      <c r="A62" s="78">
        <v>10</v>
      </c>
      <c r="B62" s="79" t="s">
        <v>84</v>
      </c>
      <c r="C62" s="80">
        <f t="shared" ca="1" si="0"/>
        <v>193000</v>
      </c>
      <c r="D62" s="81">
        <f t="shared" ca="1" si="187"/>
        <v>193000</v>
      </c>
      <c r="E62" s="82">
        <f ca="1">IFERROR(__xludf.DUMMYFUNCTION("IMPORTRANGE(""https://docs.google.com/spreadsheets/d/1MeEWN-I1oV_STSDYn1IFDPWt_1FKiwhDph83XaGc0o0/edit?usp=sharing"",""งบพรบ!CP62"")"),153000)</f>
        <v>153000</v>
      </c>
      <c r="F62" s="82">
        <f ca="1">IFERROR(__xludf.DUMMYFUNCTION("IMPORTRANGE(""https://docs.google.com/spreadsheets/d/1MeEWN-I1oV_STSDYn1IFDPWt_1FKiwhDph83XaGc0o0/edit?usp=sharing"",""งบพรบ!CQ62"")"),40000)</f>
        <v>40000</v>
      </c>
      <c r="G62" s="82">
        <f ca="1">IFERROR(__xludf.DUMMYFUNCTION("IMPORTRANGE(""https://docs.google.com/spreadsheets/d/1MeEWN-I1oV_STSDYn1IFDPWt_1FKiwhDph83XaGc0o0/edit?usp=sharing"",""งบพรบ!CR62"")"),0)</f>
        <v>0</v>
      </c>
      <c r="H62" s="82">
        <f ca="1">IFERROR(__xludf.DUMMYFUNCTION("IMPORTRANGE(""https://docs.google.com/spreadsheets/d/1MeEWN-I1oV_STSDYn1IFDPWt_1FKiwhDph83XaGc0o0/edit?usp=sharing"",""งบพรบ!CT62"")"),148250)</f>
        <v>148250</v>
      </c>
      <c r="I62" s="82">
        <f ca="1">IFERROR(__xludf.DUMMYFUNCTION("IMPORTRANGE(""https://docs.google.com/spreadsheets/d/1MeEWN-I1oV_STSDYn1IFDPWt_1FKiwhDph83XaGc0o0/edit?usp=sharing"",""งบพรบ!CU62"")"),0)</f>
        <v>0</v>
      </c>
      <c r="J62" s="82">
        <f t="shared" ca="1" si="3"/>
        <v>88076</v>
      </c>
      <c r="K62" s="83">
        <f t="shared" ca="1" si="4"/>
        <v>45.635233160621759</v>
      </c>
      <c r="L62" s="82">
        <f ca="1">IFERROR(__xludf.DUMMYFUNCTION("IMPORTRANGE(""https://docs.google.com/spreadsheets/d/1MeEWN-I1oV_STSDYn1IFDPWt_1FKiwhDph83XaGc0o0/edit?usp=sharing"",""งบพรบ!CV62"")"),88076)</f>
        <v>88076</v>
      </c>
      <c r="M62" s="84">
        <f t="shared" ca="1" si="5"/>
        <v>45.635233160621759</v>
      </c>
      <c r="N62" s="84">
        <f t="shared" ca="1" si="6"/>
        <v>59.410455311973017</v>
      </c>
      <c r="O62" s="85">
        <f ca="1">IFERROR(__xludf.DUMMYFUNCTION("IMPORTRANGE(""https://docs.google.com/spreadsheets/d/1MeEWN-I1oV_STSDYn1IFDPWt_1FKiwhDph83XaGc0o0/edit?usp=sharing"",""งบพรบ!CW62"")"),0)</f>
        <v>0</v>
      </c>
      <c r="P62" s="85">
        <f t="shared" ca="1" si="108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IFERROR(__xludf.DUMMYFUNCTION("IMPORTRANGE(""https://docs.google.com/spreadsheets/d/1W5Jj_S0gYw6wSO7QcMI02YgyOBDKYgmm0NSUk-AQEac/edit?usp=sharing"",""ประจวบคีรีขันธ์!L191"")"),6000)</f>
        <v>6000</v>
      </c>
      <c r="S62" s="86">
        <f ca="1">IFERROR(__xludf.DUMMYFUNCTION("IMPORTRANGE(""https://docs.google.com/spreadsheets/d/1W5Jj_S0gYw6wSO7QcMI02YgyOBDKYgmm0NSUk-AQEac/edit?usp=sharing"",""ประจวบคีรีขันธ์!N191"")"),1210)</f>
        <v>1210</v>
      </c>
      <c r="T62" s="87">
        <f t="shared" ca="1" si="84"/>
        <v>20.166666666666668</v>
      </c>
      <c r="U62" s="86">
        <f ca="1">IFERROR(__xludf.DUMMYFUNCTION("IMPORTRANGE(""https://docs.google.com/spreadsheets/d/1W5Jj_S0gYw6wSO7QcMI02YgyOBDKYgmm0NSUk-AQEac/edit?usp=sharing"",""ประจวบคีรีขันธ์!I193"")"),4)</f>
        <v>4</v>
      </c>
      <c r="V62" s="86">
        <f ca="1">IFERROR(__xludf.DUMMYFUNCTION("IMPORTRANGE(""https://docs.google.com/spreadsheets/d/1W5Jj_S0gYw6wSO7QcMI02YgyOBDKYgmm0NSUk-AQEac/edit?usp=sharing"",""ประจวบคีรีขันธ์!J193"")"),1)</f>
        <v>1</v>
      </c>
      <c r="W62" s="87">
        <f t="shared" ca="1" si="85"/>
        <v>25</v>
      </c>
      <c r="X62" s="86">
        <f t="shared" ca="1" si="188"/>
        <v>34</v>
      </c>
      <c r="Y62" s="86">
        <f ca="1">IFERROR(__xludf.DUMMYFUNCTION("IMPORTRANGE(""https://docs.google.com/spreadsheets/d/1W5Jj_S0gYw6wSO7QcMI02YgyOBDKYgmm0NSUk-AQEac/edit?usp=sharing"",""ประจวบคีรีขันธ์!J195"")"),34)</f>
        <v>34</v>
      </c>
      <c r="Z62" s="86">
        <f ca="1">IFERROR(__xludf.DUMMYFUNCTION("IMPORTRANGE(""https://docs.google.com/spreadsheets/d/1W5Jj_S0gYw6wSO7QcMI02YgyOBDKYgmm0NSUk-AQEac/edit?usp=sharing"",""ประจวบคีรีขันธ์!J196"")"),0)</f>
        <v>0</v>
      </c>
      <c r="AA62" s="86">
        <f ca="1">IFERROR(__xludf.DUMMYFUNCTION("IMPORTRANGE(""https://docs.google.com/spreadsheets/d/1W5Jj_S0gYw6wSO7QcMI02YgyOBDKYgmm0NSUk-AQEac/edit?usp=sharing"",""ประจวบคีรีขันธ์!L199"")"),2000)</f>
        <v>2000</v>
      </c>
      <c r="AB62" s="86">
        <f ca="1">IFERROR(__xludf.DUMMYFUNCTION("IMPORTRANGE(""https://docs.google.com/spreadsheets/d/1W5Jj_S0gYw6wSO7QcMI02YgyOBDKYgmm0NSUk-AQEac/edit?usp=sharing"",""ประจวบคีรีขันธ์!N199"")"),0)</f>
        <v>0</v>
      </c>
      <c r="AC62" s="87">
        <f t="shared" ca="1" si="86"/>
        <v>0</v>
      </c>
      <c r="AD62" s="86">
        <f ca="1">IFERROR(__xludf.DUMMYFUNCTION("IMPORTRANGE(""https://docs.google.com/spreadsheets/d/1W5Jj_S0gYw6wSO7QcMI02YgyOBDKYgmm0NSUk-AQEac/edit?usp=sharing"",""ประจวบคีรีขันธ์!L200"")"),16000)</f>
        <v>16000</v>
      </c>
      <c r="AE62" s="86">
        <f ca="1">IFERROR(__xludf.DUMMYFUNCTION("IMPORTRANGE(""https://docs.google.com/spreadsheets/d/1W5Jj_S0gYw6wSO7QcMI02YgyOBDKYgmm0NSUk-AQEac/edit?usp=sharing"",""ประจวบคีรีขันธ์!N200"")"),17135)</f>
        <v>17135</v>
      </c>
      <c r="AF62" s="87">
        <f t="shared" ca="1" si="87"/>
        <v>107.09375</v>
      </c>
      <c r="AG62" s="86">
        <f ca="1">IFERROR(__xludf.DUMMYFUNCTION("IMPORTRANGE(""https://docs.google.com/spreadsheets/d/1W5Jj_S0gYw6wSO7QcMI02YgyOBDKYgmm0NSUk-AQEac/edit?usp=sharing"",""ประจวบคีรีขันธ์!L201"")"),8000)</f>
        <v>8000</v>
      </c>
      <c r="AH62" s="86">
        <f ca="1">IFERROR(__xludf.DUMMYFUNCTION("IMPORTRANGE(""https://docs.google.com/spreadsheets/d/1W5Jj_S0gYw6wSO7QcMI02YgyOBDKYgmm0NSUk-AQEac/edit?usp=sharing"",""ประจวบคีรีขันธ์!N201"")"),0)</f>
        <v>0</v>
      </c>
      <c r="AI62" s="87">
        <f t="shared" ca="1" si="88"/>
        <v>0</v>
      </c>
      <c r="AJ62" s="86">
        <f ca="1">IFERROR(__xludf.DUMMYFUNCTION("IMPORTRANGE(""https://docs.google.com/spreadsheets/d/1W5Jj_S0gYw6wSO7QcMI02YgyOBDKYgmm0NSUk-AQEac/edit?usp=sharing"",""ประจวบคีรีขันธ์!L202"")"),0)</f>
        <v>0</v>
      </c>
      <c r="AK62" s="86">
        <f ca="1">IFERROR(__xludf.DUMMYFUNCTION("IMPORTRANGE(""https://docs.google.com/spreadsheets/d/1W5Jj_S0gYw6wSO7QcMI02YgyOBDKYgmm0NSUk-AQEac/edit?usp=sharing"",""ประจวบคีรีขันธ์!N202"")"),0)</f>
        <v>0</v>
      </c>
      <c r="AL62" s="87">
        <f t="shared" ca="1" si="89"/>
        <v>0</v>
      </c>
      <c r="AM62" s="86">
        <f ca="1">IFERROR(__xludf.DUMMYFUNCTION("IMPORTRANGE(""https://docs.google.com/spreadsheets/d/1W5Jj_S0gYw6wSO7QcMI02YgyOBDKYgmm0NSUk-AQEac/edit?usp=sharing"",""ประจวบคีรีขันธ์!I204"")"),2)</f>
        <v>2</v>
      </c>
      <c r="AN62" s="86">
        <f ca="1">IFERROR(__xludf.DUMMYFUNCTION("IMPORTRANGE(""https://docs.google.com/spreadsheets/d/1W5Jj_S0gYw6wSO7QcMI02YgyOBDKYgmm0NSUk-AQEac/edit?usp=sharing"",""ประจวบคีรีขันธ์!J204"")"),2)</f>
        <v>2</v>
      </c>
      <c r="AO62" s="87">
        <f t="shared" ca="1" si="90"/>
        <v>100</v>
      </c>
      <c r="AP62" s="298">
        <f ca="1">IFERROR(__xludf.DUMMYFUNCTION("IMPORTRANGE(""https://docs.google.com/spreadsheets/d/1W5Jj_S0gYw6wSO7QcMI02YgyOBDKYgmm0NSUk-AQEac/edit?usp=sharing"",""ประจวบคีรีขันธ์!J206"")"),0)</f>
        <v>0</v>
      </c>
      <c r="AQ62" s="298">
        <f ca="1">IFERROR(__xludf.DUMMYFUNCTION("IMPORTRANGE(""https://docs.google.com/spreadsheets/d/1W5Jj_S0gYw6wSO7QcMI02YgyOBDKYgmm0NSUk-AQEac/edit?usp=sharing"",""ประจวบคีรีขันธ์!J207"")"),0)</f>
        <v>0</v>
      </c>
      <c r="AR62" s="86">
        <f ca="1">IFERROR(__xludf.DUMMYFUNCTION("IMPORTRANGE(""https://docs.google.com/spreadsheets/d/1W5Jj_S0gYw6wSO7QcMI02YgyOBDKYgmm0NSUk-AQEac/edit?usp=sharing"",""ประจวบคีรีขันธ์!L210"")"),0)</f>
        <v>0</v>
      </c>
      <c r="AS62" s="86">
        <f ca="1">IFERROR(__xludf.DUMMYFUNCTION("IMPORTRANGE(""https://docs.google.com/spreadsheets/d/1W5Jj_S0gYw6wSO7QcMI02YgyOBDKYgmm0NSUk-AQEac/edit?usp=sharing"",""ประจวบคีรีขันธ์!N210"")"),0)</f>
        <v>0</v>
      </c>
      <c r="AT62" s="87">
        <f t="shared" ca="1" si="91"/>
        <v>0</v>
      </c>
      <c r="AU62" s="86">
        <f ca="1">IFERROR(__xludf.DUMMYFUNCTION("IMPORTRANGE(""https://docs.google.com/spreadsheets/d/1W5Jj_S0gYw6wSO7QcMI02YgyOBDKYgmm0NSUk-AQEac/edit?usp=sharing"",""ประจวบคีรีขันธ์!L211"")"),0)</f>
        <v>0</v>
      </c>
      <c r="AV62" s="86">
        <f ca="1">IFERROR(__xludf.DUMMYFUNCTION("IMPORTRANGE(""https://docs.google.com/spreadsheets/d/1W5Jj_S0gYw6wSO7QcMI02YgyOBDKYgmm0NSUk-AQEac/edit?usp=sharing"",""ประจวบคีรีขันธ์!N211"")"),0)</f>
        <v>0</v>
      </c>
      <c r="AW62" s="87">
        <f t="shared" ca="1" si="92"/>
        <v>0</v>
      </c>
      <c r="AX62" s="86">
        <f ca="1">IFERROR(__xludf.DUMMYFUNCTION("IMPORTRANGE(""https://docs.google.com/spreadsheets/d/1W5Jj_S0gYw6wSO7QcMI02YgyOBDKYgmm0NSUk-AQEac/edit?usp=sharing"",""ประจวบคีรีขันธ์!L212"")"),0)</f>
        <v>0</v>
      </c>
      <c r="AY62" s="86">
        <f ca="1">IFERROR(__xludf.DUMMYFUNCTION("IMPORTRANGE(""https://docs.google.com/spreadsheets/d/1W5Jj_S0gYw6wSO7QcMI02YgyOBDKYgmm0NSUk-AQEac/edit?usp=sharing"",""ประจวบคีรีขันธ์!N212"")"),0)</f>
        <v>0</v>
      </c>
      <c r="AZ62" s="87">
        <f t="shared" ca="1" si="93"/>
        <v>0</v>
      </c>
      <c r="BA62" s="86">
        <f ca="1">IFERROR(__xludf.DUMMYFUNCTION("IMPORTRANGE(""https://docs.google.com/spreadsheets/d/1W5Jj_S0gYw6wSO7QcMI02YgyOBDKYgmm0NSUk-AQEac/edit?usp=sharing"",""ประจวบคีรีขันธ์!I214"")"),0)</f>
        <v>0</v>
      </c>
      <c r="BB62" s="86">
        <f ca="1">IFERROR(__xludf.DUMMYFUNCTION("IMPORTRANGE(""https://docs.google.com/spreadsheets/d/1W5Jj_S0gYw6wSO7QcMI02YgyOBDKYgmm0NSUk-AQEac/edit?usp=sharing"",""ประจวบคีรีขันธ์!J214"")"),0)</f>
        <v>0</v>
      </c>
      <c r="BC62" s="87">
        <f t="shared" ca="1" si="94"/>
        <v>0</v>
      </c>
      <c r="BD62" s="86">
        <f ca="1">IFERROR(__xludf.DUMMYFUNCTION("IMPORTRANGE(""https://docs.google.com/spreadsheets/d/1W5Jj_S0gYw6wSO7QcMI02YgyOBDKYgmm0NSUk-AQEac/edit?usp=sharing"",""ประจวบคีรีขันธ์!I215"")"),0)</f>
        <v>0</v>
      </c>
      <c r="BE62" s="86">
        <f ca="1">IFERROR(__xludf.DUMMYFUNCTION("IMPORTRANGE(""https://docs.google.com/spreadsheets/d/1W5Jj_S0gYw6wSO7QcMI02YgyOBDKYgmm0NSUk-AQEac/edit?usp=sharing"",""ประจวบคีรีขันธ์!J215"")"),0)</f>
        <v>0</v>
      </c>
      <c r="BF62" s="87">
        <f t="shared" ca="1" si="95"/>
        <v>0</v>
      </c>
      <c r="BG62" s="86">
        <f ca="1">IFERROR(__xludf.DUMMYFUNCTION("IMPORTRANGE(""https://docs.google.com/spreadsheets/d/1W5Jj_S0gYw6wSO7QcMI02YgyOBDKYgmm0NSUk-AQEac/edit?usp=sharing"",""ประจวบคีรีขันธ์!L218"")"),3000)</f>
        <v>3000</v>
      </c>
      <c r="BH62" s="86">
        <f ca="1">IFERROR(__xludf.DUMMYFUNCTION("IMPORTRANGE(""https://docs.google.com/spreadsheets/d/1W5Jj_S0gYw6wSO7QcMI02YgyOBDKYgmm0NSUk-AQEac/edit?usp=sharing"",""ประจวบคีรีขันธ์!N218"")"),0)</f>
        <v>0</v>
      </c>
      <c r="BI62" s="87">
        <f t="shared" ca="1" si="96"/>
        <v>0</v>
      </c>
      <c r="BJ62" s="86">
        <f ca="1">IFERROR(__xludf.DUMMYFUNCTION("IMPORTRANGE(""https://docs.google.com/spreadsheets/d/1W5Jj_S0gYw6wSO7QcMI02YgyOBDKYgmm0NSUk-AQEac/edit?usp=sharing"",""ประจวบคีรีขันธ์!L219"")"),5000)</f>
        <v>5000</v>
      </c>
      <c r="BK62" s="86">
        <f ca="1">IFERROR(__xludf.DUMMYFUNCTION("IMPORTRANGE(""https://docs.google.com/spreadsheets/d/1W5Jj_S0gYw6wSO7QcMI02YgyOBDKYgmm0NSUk-AQEac/edit?usp=sharing"",""ประจวบคีรีขันธ์!N219"")"),0)</f>
        <v>0</v>
      </c>
      <c r="BL62" s="87">
        <f t="shared" ca="1" si="97"/>
        <v>0</v>
      </c>
      <c r="BM62" s="86">
        <f ca="1">IFERROR(__xludf.DUMMYFUNCTION("IMPORTRANGE(""https://docs.google.com/spreadsheets/d/1W5Jj_S0gYw6wSO7QcMI02YgyOBDKYgmm0NSUk-AQEac/edit?usp=sharing"",""ประจวบคีรีขันธ์!L220"")"),0)</f>
        <v>0</v>
      </c>
      <c r="BN62" s="86">
        <f ca="1">IFERROR(__xludf.DUMMYFUNCTION("IMPORTRANGE(""https://docs.google.com/spreadsheets/d/1W5Jj_S0gYw6wSO7QcMI02YgyOBDKYgmm0NSUk-AQEac/edit?usp=sharing"",""ประจวบคีรีขันธ์!N220"")"),0)</f>
        <v>0</v>
      </c>
      <c r="BO62" s="87">
        <f t="shared" ca="1" si="98"/>
        <v>0</v>
      </c>
      <c r="BP62" s="86">
        <f ca="1">IFERROR(__xludf.DUMMYFUNCTION("IMPORTRANGE(""https://docs.google.com/spreadsheets/d/1W5Jj_S0gYw6wSO7QcMI02YgyOBDKYgmm0NSUk-AQEac/edit?usp=sharing"",""ประจวบคีรีขันธ์!I223"")"),20000)</f>
        <v>20000</v>
      </c>
      <c r="BQ62" s="86">
        <f ca="1">IFERROR(__xludf.DUMMYFUNCTION("IMPORTRANGE(""https://docs.google.com/spreadsheets/d/1W5Jj_S0gYw6wSO7QcMI02YgyOBDKYgmm0NSUk-AQEac/edit?usp=sharing"",""ประจวบคีรีขันธ์!J223"")"),0)</f>
        <v>0</v>
      </c>
      <c r="BR62" s="87">
        <f t="shared" ca="1" si="99"/>
        <v>0</v>
      </c>
      <c r="BS62" s="86">
        <f ca="1">IFERROR(__xludf.DUMMYFUNCTION("IMPORTRANGE(""https://docs.google.com/spreadsheets/d/1W5Jj_S0gYw6wSO7QcMI02YgyOBDKYgmm0NSUk-AQEac/edit?usp=sharing"",""ประจวบคีรีขันธ์!I224"")"),20000)</f>
        <v>20000</v>
      </c>
      <c r="BT62" s="86">
        <f ca="1">IFERROR(__xludf.DUMMYFUNCTION("IMPORTRANGE(""https://docs.google.com/spreadsheets/d/1W5Jj_S0gYw6wSO7QcMI02YgyOBDKYgmm0NSUk-AQEac/edit?usp=sharing"",""ประจวบคีรีขันธ์!J224"")"),0)</f>
        <v>0</v>
      </c>
      <c r="BU62" s="87">
        <f t="shared" ca="1" si="100"/>
        <v>0</v>
      </c>
      <c r="BV62" s="86">
        <f ca="1">IFERROR(__xludf.DUMMYFUNCTION("IMPORTRANGE(""https://docs.google.com/spreadsheets/d/1W5Jj_S0gYw6wSO7QcMI02YgyOBDKYgmm0NSUk-AQEac/edit?usp=sharing"",""ประจวบคีรีขันธ์!I225"")"),0)</f>
        <v>0</v>
      </c>
      <c r="BW62" s="86">
        <f ca="1">IFERROR(__xludf.DUMMYFUNCTION("IMPORTRANGE(""https://docs.google.com/spreadsheets/d/1W5Jj_S0gYw6wSO7QcMI02YgyOBDKYgmm0NSUk-AQEac/edit?usp=sharing"",""ประจวบคีรีขันธ์!J225"")"),0)</f>
        <v>0</v>
      </c>
      <c r="BX62" s="87">
        <f t="shared" ca="1" si="101"/>
        <v>0</v>
      </c>
      <c r="BY62" s="86">
        <f ca="1">IFERROR(__xludf.DUMMYFUNCTION("IMPORTRANGE(""https://docs.google.com/spreadsheets/d/1W5Jj_S0gYw6wSO7QcMI02YgyOBDKYgmm0NSUk-AQEac/edit?usp=sharing"",""ประจวบคีรีขันธ์!L228"")"),0)</f>
        <v>0</v>
      </c>
      <c r="BZ62" s="86">
        <f ca="1">IFERROR(__xludf.DUMMYFUNCTION("IMPORTRANGE(""https://docs.google.com/spreadsheets/d/1W5Jj_S0gYw6wSO7QcMI02YgyOBDKYgmm0NSUk-AQEac/edit?usp=sharing"",""ประจวบคีรีขันธ์!N228"")"),0)</f>
        <v>0</v>
      </c>
      <c r="CA62" s="87">
        <f t="shared" ca="1" si="102"/>
        <v>0</v>
      </c>
      <c r="CB62" s="86">
        <f ca="1">IFERROR(__xludf.DUMMYFUNCTION("IMPORTRANGE(""https://docs.google.com/spreadsheets/d/1W5Jj_S0gYw6wSO7QcMI02YgyOBDKYgmm0NSUk-AQEac/edit?usp=sharing"",""ประจวบคีรีขันธ์!L229"")"),0)</f>
        <v>0</v>
      </c>
      <c r="CC62" s="86">
        <f ca="1">IFERROR(__xludf.DUMMYFUNCTION("IMPORTRANGE(""https://docs.google.com/spreadsheets/d/1W5Jj_S0gYw6wSO7QcMI02YgyOBDKYgmm0NSUk-AQEac/edit?usp=sharing"",""ประจวบคีรีขันธ์!N229"")"),0)</f>
        <v>0</v>
      </c>
      <c r="CD62" s="87">
        <f t="shared" ca="1" si="103"/>
        <v>0</v>
      </c>
      <c r="CE62" s="86">
        <f ca="1">IFERROR(__xludf.DUMMYFUNCTION("IMPORTRANGE(""https://docs.google.com/spreadsheets/d/1W5Jj_S0gYw6wSO7QcMI02YgyOBDKYgmm0NSUk-AQEac/edit?usp=sharing"",""ประจวบคีรีขันธ์!L230"")"),0)</f>
        <v>0</v>
      </c>
      <c r="CF62" s="86">
        <f ca="1">IFERROR(__xludf.DUMMYFUNCTION("IMPORTRANGE(""https://docs.google.com/spreadsheets/d/1W5Jj_S0gYw6wSO7QcMI02YgyOBDKYgmm0NSUk-AQEac/edit?usp=sharing"",""ประจวบคีรีขันธ์!N230"")"),0)</f>
        <v>0</v>
      </c>
      <c r="CG62" s="87">
        <f t="shared" ca="1" si="104"/>
        <v>0</v>
      </c>
      <c r="CH62" s="86">
        <f ca="1">IFERROR(__xludf.DUMMYFUNCTION("IMPORTRANGE(""https://docs.google.com/spreadsheets/d/1W5Jj_S0gYw6wSO7QcMI02YgyOBDKYgmm0NSUk-AQEac/edit?usp=sharing"",""ประจวบคีรีขันธ์!L231"")"),0)</f>
        <v>0</v>
      </c>
      <c r="CI62" s="86">
        <f ca="1">IFERROR(__xludf.DUMMYFUNCTION("IMPORTRANGE(""https://docs.google.com/spreadsheets/d/1W5Jj_S0gYw6wSO7QcMI02YgyOBDKYgmm0NSUk-AQEac/edit?usp=sharing"",""ประจวบคีรีขันธ์!N231"")"),0)</f>
        <v>0</v>
      </c>
      <c r="CJ62" s="87">
        <f t="shared" ca="1" si="105"/>
        <v>0</v>
      </c>
      <c r="CK62" s="86">
        <f ca="1">IFERROR(__xludf.DUMMYFUNCTION("IMPORTRANGE(""https://docs.google.com/spreadsheets/d/1W5Jj_S0gYw6wSO7QcMI02YgyOBDKYgmm0NSUk-AQEac/edit?usp=sharing"",""ประจวบคีรีขันธ์!I233"")"),0)</f>
        <v>0</v>
      </c>
      <c r="CL62" s="86">
        <f ca="1">IFERROR(__xludf.DUMMYFUNCTION("IMPORTRANGE(""https://docs.google.com/spreadsheets/d/1W5Jj_S0gYw6wSO7QcMI02YgyOBDKYgmm0NSUk-AQEac/edit?usp=sharing"",""ประจวบคีรีขันธ์!J233"")"),0)</f>
        <v>0</v>
      </c>
      <c r="CM62" s="87">
        <f t="shared" ca="1" si="106"/>
        <v>0</v>
      </c>
      <c r="CN62" s="86">
        <f ca="1">IFERROR(__xludf.DUMMYFUNCTION("IMPORTRANGE(""https://docs.google.com/spreadsheets/d/1W5Jj_S0gYw6wSO7QcMI02YgyOBDKYgmm0NSUk-AQEac/edit?usp=sharing"",""ประจวบคีรีขันธ์!J235"")"),0)</f>
        <v>0</v>
      </c>
      <c r="CO62" s="86">
        <f ca="1">IFERROR(__xludf.DUMMYFUNCTION("IMPORTRANGE(""https://docs.google.com/spreadsheets/d/1W5Jj_S0gYw6wSO7QcMI02YgyOBDKYgmm0NSUk-AQEac/edit?usp=sharing"",""ประจวบคีรีขันธ์!J236"")"),0)</f>
        <v>0</v>
      </c>
    </row>
    <row r="63" spans="1:93" ht="21" customHeight="1" x14ac:dyDescent="0.3">
      <c r="A63" s="78">
        <v>11</v>
      </c>
      <c r="B63" s="79" t="s">
        <v>85</v>
      </c>
      <c r="C63" s="80">
        <f t="shared" ca="1" si="0"/>
        <v>112000</v>
      </c>
      <c r="D63" s="81">
        <f t="shared" ca="1" si="187"/>
        <v>112000</v>
      </c>
      <c r="E63" s="82">
        <f ca="1">IFERROR(__xludf.DUMMYFUNCTION("IMPORTRANGE(""https://docs.google.com/spreadsheets/d/1MeEWN-I1oV_STSDYn1IFDPWt_1FKiwhDph83XaGc0o0/edit?usp=sharing"",""งบพรบ!CP63"")"),0)</f>
        <v>0</v>
      </c>
      <c r="F63" s="82">
        <f ca="1">IFERROR(__xludf.DUMMYFUNCTION("IMPORTRANGE(""https://docs.google.com/spreadsheets/d/1MeEWN-I1oV_STSDYn1IFDPWt_1FKiwhDph83XaGc0o0/edit?usp=sharing"",""งบพรบ!CQ63"")"),112000)</f>
        <v>112000</v>
      </c>
      <c r="G63" s="82">
        <f ca="1">IFERROR(__xludf.DUMMYFUNCTION("IMPORTRANGE(""https://docs.google.com/spreadsheets/d/1MeEWN-I1oV_STSDYn1IFDPWt_1FKiwhDph83XaGc0o0/edit?usp=sharing"",""งบพรบ!CR63"")"),0)</f>
        <v>0</v>
      </c>
      <c r="H63" s="82">
        <f ca="1">IFERROR(__xludf.DUMMYFUNCTION("IMPORTRANGE(""https://docs.google.com/spreadsheets/d/1MeEWN-I1oV_STSDYn1IFDPWt_1FKiwhDph83XaGc0o0/edit?usp=sharing"",""งบพรบ!CT63"")"),105500)</f>
        <v>105500</v>
      </c>
      <c r="I63" s="82">
        <f ca="1">IFERROR(__xludf.DUMMYFUNCTION("IMPORTRANGE(""https://docs.google.com/spreadsheets/d/1MeEWN-I1oV_STSDYn1IFDPWt_1FKiwhDph83XaGc0o0/edit?usp=sharing"",""งบพรบ!CU63"")"),0)</f>
        <v>0</v>
      </c>
      <c r="J63" s="82">
        <f t="shared" ca="1" si="3"/>
        <v>49840</v>
      </c>
      <c r="K63" s="83">
        <f t="shared" ca="1" si="4"/>
        <v>44.5</v>
      </c>
      <c r="L63" s="82">
        <f ca="1">IFERROR(__xludf.DUMMYFUNCTION("IMPORTRANGE(""https://docs.google.com/spreadsheets/d/1MeEWN-I1oV_STSDYn1IFDPWt_1FKiwhDph83XaGc0o0/edit?usp=sharing"",""งบพรบ!CV63"")"),49840)</f>
        <v>49840</v>
      </c>
      <c r="M63" s="84">
        <f t="shared" ca="1" si="5"/>
        <v>44.5</v>
      </c>
      <c r="N63" s="84">
        <f t="shared" ca="1" si="6"/>
        <v>47.241706161137444</v>
      </c>
      <c r="O63" s="85">
        <f ca="1">IFERROR(__xludf.DUMMYFUNCTION("IMPORTRANGE(""https://docs.google.com/spreadsheets/d/1MeEWN-I1oV_STSDYn1IFDPWt_1FKiwhDph83XaGc0o0/edit?usp=sharing"",""งบพรบ!CW63"")"),0)</f>
        <v>0</v>
      </c>
      <c r="P63" s="85">
        <f t="shared" ca="1" si="108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IFERROR(__xludf.DUMMYFUNCTION("IMPORTRANGE(""https://docs.google.com/spreadsheets/d/1nYxRXgnCfTXtqUY1otYuTlnrzE0Tn-Y0YRsW5pkRVqo/edit?usp=sharing"",""ปราจีนบุรี!L191"")"),6000)</f>
        <v>6000</v>
      </c>
      <c r="S63" s="86">
        <f ca="1">IFERROR(__xludf.DUMMYFUNCTION("IMPORTRANGE(""https://docs.google.com/spreadsheets/d/1nYxRXgnCfTXtqUY1otYuTlnrzE0Tn-Y0YRsW5pkRVqo/edit?usp=sharing"",""ปราจีนบุรี!N191"")"),0)</f>
        <v>0</v>
      </c>
      <c r="T63" s="87">
        <f t="shared" ca="1" si="84"/>
        <v>0</v>
      </c>
      <c r="U63" s="86">
        <f ca="1">IFERROR(__xludf.DUMMYFUNCTION("IMPORTRANGE(""https://docs.google.com/spreadsheets/d/1nYxRXgnCfTXtqUY1otYuTlnrzE0Tn-Y0YRsW5pkRVqo/edit?usp=sharing"",""ปราจีนบุรี!I193"")"),4)</f>
        <v>4</v>
      </c>
      <c r="V63" s="86">
        <f ca="1">IFERROR(__xludf.DUMMYFUNCTION("IMPORTRANGE(""https://docs.google.com/spreadsheets/d/1nYxRXgnCfTXtqUY1otYuTlnrzE0Tn-Y0YRsW5pkRVqo/edit?usp=sharing"",""ปราจีนบุรี!J193"")"),1)</f>
        <v>1</v>
      </c>
      <c r="W63" s="87">
        <f t="shared" ca="1" si="85"/>
        <v>25</v>
      </c>
      <c r="X63" s="86">
        <f t="shared" ca="1" si="188"/>
        <v>0</v>
      </c>
      <c r="Y63" s="86">
        <f ca="1">IFERROR(__xludf.DUMMYFUNCTION("IMPORTRANGE(""https://docs.google.com/spreadsheets/d/1nYxRXgnCfTXtqUY1otYuTlnrzE0Tn-Y0YRsW5pkRVqo/edit?usp=sharing"",""ปราจีนบุรี!J195"")"),0)</f>
        <v>0</v>
      </c>
      <c r="Z63" s="86">
        <f ca="1">IFERROR(__xludf.DUMMYFUNCTION("IMPORTRANGE(""https://docs.google.com/spreadsheets/d/1nYxRXgnCfTXtqUY1otYuTlnrzE0Tn-Y0YRsW5pkRVqo/edit?usp=sharing"",""ปราจีนบุรี!J196"")"),0)</f>
        <v>0</v>
      </c>
      <c r="AA63" s="86">
        <f ca="1">IFERROR(__xludf.DUMMYFUNCTION("IMPORTRANGE(""https://docs.google.com/spreadsheets/d/1nYxRXgnCfTXtqUY1otYuTlnrzE0Tn-Y0YRsW5pkRVqo/edit?usp=sharing"",""ปราจีนบุรี!L199"")"),3000)</f>
        <v>3000</v>
      </c>
      <c r="AB63" s="86">
        <f ca="1">IFERROR(__xludf.DUMMYFUNCTION("IMPORTRANGE(""https://docs.google.com/spreadsheets/d/1nYxRXgnCfTXtqUY1otYuTlnrzE0Tn-Y0YRsW5pkRVqo/edit?usp=sharing"",""ปราจีนบุรี!N199"")"),1500)</f>
        <v>1500</v>
      </c>
      <c r="AC63" s="87">
        <f t="shared" ca="1" si="86"/>
        <v>50</v>
      </c>
      <c r="AD63" s="86">
        <f ca="1">IFERROR(__xludf.DUMMYFUNCTION("IMPORTRANGE(""https://docs.google.com/spreadsheets/d/1nYxRXgnCfTXtqUY1otYuTlnrzE0Tn-Y0YRsW5pkRVqo/edit?usp=sharing"",""ปราจีนบุรี!L200"")"),24000)</f>
        <v>24000</v>
      </c>
      <c r="AE63" s="86">
        <f ca="1">IFERROR(__xludf.DUMMYFUNCTION("IMPORTRANGE(""https://docs.google.com/spreadsheets/d/1nYxRXgnCfTXtqUY1otYuTlnrzE0Tn-Y0YRsW5pkRVqo/edit?usp=sharing"",""ปราจีนบุรี!N200"")"),24000)</f>
        <v>24000</v>
      </c>
      <c r="AF63" s="87">
        <f t="shared" ca="1" si="87"/>
        <v>100</v>
      </c>
      <c r="AG63" s="86">
        <f ca="1">IFERROR(__xludf.DUMMYFUNCTION("IMPORTRANGE(""https://docs.google.com/spreadsheets/d/1nYxRXgnCfTXtqUY1otYuTlnrzE0Tn-Y0YRsW5pkRVqo/edit?usp=sharing"",""ปราจีนบุรี!L201"")"),12000)</f>
        <v>12000</v>
      </c>
      <c r="AH63" s="86">
        <f ca="1">IFERROR(__xludf.DUMMYFUNCTION("IMPORTRANGE(""https://docs.google.com/spreadsheets/d/1nYxRXgnCfTXtqUY1otYuTlnrzE0Tn-Y0YRsW5pkRVqo/edit?usp=sharing"",""ปราจีนบุรี!N201"")"),0)</f>
        <v>0</v>
      </c>
      <c r="AI63" s="87">
        <f t="shared" ca="1" si="88"/>
        <v>0</v>
      </c>
      <c r="AJ63" s="86">
        <f ca="1">IFERROR(__xludf.DUMMYFUNCTION("IMPORTRANGE(""https://docs.google.com/spreadsheets/d/1nYxRXgnCfTXtqUY1otYuTlnrzE0Tn-Y0YRsW5pkRVqo/edit?usp=sharing"",""ปราจีนบุรี!L202"")"),0)</f>
        <v>0</v>
      </c>
      <c r="AK63" s="86">
        <f ca="1">IFERROR(__xludf.DUMMYFUNCTION("IMPORTRANGE(""https://docs.google.com/spreadsheets/d/1nYxRXgnCfTXtqUY1otYuTlnrzE0Tn-Y0YRsW5pkRVqo/edit?usp=sharing"",""ปราจีนบุรี!N202"")"),0)</f>
        <v>0</v>
      </c>
      <c r="AL63" s="87">
        <f t="shared" ca="1" si="89"/>
        <v>0</v>
      </c>
      <c r="AM63" s="86">
        <f ca="1">IFERROR(__xludf.DUMMYFUNCTION("IMPORTRANGE(""https://docs.google.com/spreadsheets/d/1nYxRXgnCfTXtqUY1otYuTlnrzE0Tn-Y0YRsW5pkRVqo/edit?usp=sharing"",""ปราจีนบุรี!I204"")"),3)</f>
        <v>3</v>
      </c>
      <c r="AN63" s="86">
        <f ca="1">IFERROR(__xludf.DUMMYFUNCTION("IMPORTRANGE(""https://docs.google.com/spreadsheets/d/1nYxRXgnCfTXtqUY1otYuTlnrzE0Tn-Y0YRsW5pkRVqo/edit?usp=sharing"",""ปราจีนบุรี!J204"")"),3)</f>
        <v>3</v>
      </c>
      <c r="AO63" s="87">
        <f t="shared" ca="1" si="90"/>
        <v>100</v>
      </c>
      <c r="AP63" s="298">
        <f ca="1">IFERROR(__xludf.DUMMYFUNCTION("IMPORTRANGE(""https://docs.google.com/spreadsheets/d/1nYxRXgnCfTXtqUY1otYuTlnrzE0Tn-Y0YRsW5pkRVqo/edit?usp=sharing"",""ปราจีนบุรี!J206"")"),0)</f>
        <v>0</v>
      </c>
      <c r="AQ63" s="298">
        <f ca="1">IFERROR(__xludf.DUMMYFUNCTION("IMPORTRANGE(""https://docs.google.com/spreadsheets/d/1nYxRXgnCfTXtqUY1otYuTlnrzE0Tn-Y0YRsW5pkRVqo/edit?usp=sharing"",""ปราจีนบุรี!J207"")"),0)</f>
        <v>0</v>
      </c>
      <c r="AR63" s="86">
        <f ca="1">IFERROR(__xludf.DUMMYFUNCTION("IMPORTRANGE(""https://docs.google.com/spreadsheets/d/1nYxRXgnCfTXtqUY1otYuTlnrzE0Tn-Y0YRsW5pkRVqo/edit?usp=sharing"",""ปราจีนบุรี!L210"")"),0)</f>
        <v>0</v>
      </c>
      <c r="AS63" s="86">
        <f ca="1">IFERROR(__xludf.DUMMYFUNCTION("IMPORTRANGE(""https://docs.google.com/spreadsheets/d/1nYxRXgnCfTXtqUY1otYuTlnrzE0Tn-Y0YRsW5pkRVqo/edit?usp=sharing"",""ปราจีนบุรี!N210"")"),0)</f>
        <v>0</v>
      </c>
      <c r="AT63" s="87">
        <f t="shared" ca="1" si="91"/>
        <v>0</v>
      </c>
      <c r="AU63" s="86">
        <f ca="1">IFERROR(__xludf.DUMMYFUNCTION("IMPORTRANGE(""https://docs.google.com/spreadsheets/d/1nYxRXgnCfTXtqUY1otYuTlnrzE0Tn-Y0YRsW5pkRVqo/edit?usp=sharing"",""ปราจีนบุรี!L211"")"),0)</f>
        <v>0</v>
      </c>
      <c r="AV63" s="86">
        <f ca="1">IFERROR(__xludf.DUMMYFUNCTION("IMPORTRANGE(""https://docs.google.com/spreadsheets/d/1nYxRXgnCfTXtqUY1otYuTlnrzE0Tn-Y0YRsW5pkRVqo/edit?usp=sharing"",""ปราจีนบุรี!N211"")"),0)</f>
        <v>0</v>
      </c>
      <c r="AW63" s="87">
        <f t="shared" ca="1" si="92"/>
        <v>0</v>
      </c>
      <c r="AX63" s="86">
        <f ca="1">IFERROR(__xludf.DUMMYFUNCTION("IMPORTRANGE(""https://docs.google.com/spreadsheets/d/1nYxRXgnCfTXtqUY1otYuTlnrzE0Tn-Y0YRsW5pkRVqo/edit?usp=sharing"",""ปราจีนบุรี!L212"")"),0)</f>
        <v>0</v>
      </c>
      <c r="AY63" s="86">
        <f ca="1">IFERROR(__xludf.DUMMYFUNCTION("IMPORTRANGE(""https://docs.google.com/spreadsheets/d/1nYxRXgnCfTXtqUY1otYuTlnrzE0Tn-Y0YRsW5pkRVqo/edit?usp=sharing"",""ปราจีนบุรี!N212"")"),0)</f>
        <v>0</v>
      </c>
      <c r="AZ63" s="87">
        <f t="shared" ca="1" si="93"/>
        <v>0</v>
      </c>
      <c r="BA63" s="86">
        <f ca="1">IFERROR(__xludf.DUMMYFUNCTION("IMPORTRANGE(""https://docs.google.com/spreadsheets/d/1nYxRXgnCfTXtqUY1otYuTlnrzE0Tn-Y0YRsW5pkRVqo/edit?usp=sharing"",""ปราจีนบุรี!I214"")"),0)</f>
        <v>0</v>
      </c>
      <c r="BB63" s="86">
        <f ca="1">IFERROR(__xludf.DUMMYFUNCTION("IMPORTRANGE(""https://docs.google.com/spreadsheets/d/1nYxRXgnCfTXtqUY1otYuTlnrzE0Tn-Y0YRsW5pkRVqo/edit?usp=sharing"",""ปราจีนบุรี!J214"")"),0)</f>
        <v>0</v>
      </c>
      <c r="BC63" s="87">
        <f t="shared" ca="1" si="94"/>
        <v>0</v>
      </c>
      <c r="BD63" s="86">
        <f ca="1">IFERROR(__xludf.DUMMYFUNCTION("IMPORTRANGE(""https://docs.google.com/spreadsheets/d/1nYxRXgnCfTXtqUY1otYuTlnrzE0Tn-Y0YRsW5pkRVqo/edit?usp=sharing"",""ปราจีนบุรี!I215"")"),0)</f>
        <v>0</v>
      </c>
      <c r="BE63" s="86">
        <f ca="1">IFERROR(__xludf.DUMMYFUNCTION("IMPORTRANGE(""https://docs.google.com/spreadsheets/d/1nYxRXgnCfTXtqUY1otYuTlnrzE0Tn-Y0YRsW5pkRVqo/edit?usp=sharing"",""ปราจีนบุรี!J215"")"),0)</f>
        <v>0</v>
      </c>
      <c r="BF63" s="87">
        <f t="shared" ca="1" si="95"/>
        <v>0</v>
      </c>
      <c r="BG63" s="86">
        <f ca="1">IFERROR(__xludf.DUMMYFUNCTION("IMPORTRANGE(""https://docs.google.com/spreadsheets/d/1nYxRXgnCfTXtqUY1otYuTlnrzE0Tn-Y0YRsW5pkRVqo/edit?usp=sharing"",""ปราจีนบุรี!L218"")"),3000)</f>
        <v>3000</v>
      </c>
      <c r="BH63" s="86">
        <f ca="1">IFERROR(__xludf.DUMMYFUNCTION("IMPORTRANGE(""https://docs.google.com/spreadsheets/d/1nYxRXgnCfTXtqUY1otYuTlnrzE0Tn-Y0YRsW5pkRVqo/edit?usp=sharing"",""ปราจีนบุรี!N218"")"),0)</f>
        <v>0</v>
      </c>
      <c r="BI63" s="87">
        <f t="shared" ca="1" si="96"/>
        <v>0</v>
      </c>
      <c r="BJ63" s="86">
        <f ca="1">IFERROR(__xludf.DUMMYFUNCTION("IMPORTRANGE(""https://docs.google.com/spreadsheets/d/1nYxRXgnCfTXtqUY1otYuTlnrzE0Tn-Y0YRsW5pkRVqo/edit?usp=sharing"",""ปราจีนบุรี!L219"")"),5000)</f>
        <v>5000</v>
      </c>
      <c r="BK63" s="86">
        <f ca="1">IFERROR(__xludf.DUMMYFUNCTION("IMPORTRANGE(""https://docs.google.com/spreadsheets/d/1nYxRXgnCfTXtqUY1otYuTlnrzE0Tn-Y0YRsW5pkRVqo/edit?usp=sharing"",""ปราจีนบุรี!N219"")"),0)</f>
        <v>0</v>
      </c>
      <c r="BL63" s="87">
        <f t="shared" ca="1" si="97"/>
        <v>0</v>
      </c>
      <c r="BM63" s="86">
        <f ca="1">IFERROR(__xludf.DUMMYFUNCTION("IMPORTRANGE(""https://docs.google.com/spreadsheets/d/1nYxRXgnCfTXtqUY1otYuTlnrzE0Tn-Y0YRsW5pkRVqo/edit?usp=sharing"",""ปราจีนบุรี!L220"")"),0)</f>
        <v>0</v>
      </c>
      <c r="BN63" s="86">
        <f ca="1">IFERROR(__xludf.DUMMYFUNCTION("IMPORTRANGE(""https://docs.google.com/spreadsheets/d/1nYxRXgnCfTXtqUY1otYuTlnrzE0Tn-Y0YRsW5pkRVqo/edit?usp=sharing"",""ปราจีนบุรี!N220"")"),0)</f>
        <v>0</v>
      </c>
      <c r="BO63" s="87">
        <f t="shared" ca="1" si="98"/>
        <v>0</v>
      </c>
      <c r="BP63" s="86">
        <f ca="1">IFERROR(__xludf.DUMMYFUNCTION("IMPORTRANGE(""https://docs.google.com/spreadsheets/d/1nYxRXgnCfTXtqUY1otYuTlnrzE0Tn-Y0YRsW5pkRVqo/edit?usp=sharing"",""ปราจีนบุรี!I223"")"),20000)</f>
        <v>20000</v>
      </c>
      <c r="BQ63" s="86">
        <f ca="1">IFERROR(__xludf.DUMMYFUNCTION("IMPORTRANGE(""https://docs.google.com/spreadsheets/d/1nYxRXgnCfTXtqUY1otYuTlnrzE0Tn-Y0YRsW5pkRVqo/edit?usp=sharing"",""ปราจีนบุรี!J223"")"),0)</f>
        <v>0</v>
      </c>
      <c r="BR63" s="87">
        <f t="shared" ca="1" si="99"/>
        <v>0</v>
      </c>
      <c r="BS63" s="86">
        <f ca="1">IFERROR(__xludf.DUMMYFUNCTION("IMPORTRANGE(""https://docs.google.com/spreadsheets/d/1nYxRXgnCfTXtqUY1otYuTlnrzE0Tn-Y0YRsW5pkRVqo/edit?usp=sharing"",""ปราจีนบุรี!I224"")"),20000)</f>
        <v>20000</v>
      </c>
      <c r="BT63" s="86">
        <f ca="1">IFERROR(__xludf.DUMMYFUNCTION("IMPORTRANGE(""https://docs.google.com/spreadsheets/d/1nYxRXgnCfTXtqUY1otYuTlnrzE0Tn-Y0YRsW5pkRVqo/edit?usp=sharing"",""ปราจีนบุรี!J224"")"),0)</f>
        <v>0</v>
      </c>
      <c r="BU63" s="87">
        <f t="shared" ca="1" si="100"/>
        <v>0</v>
      </c>
      <c r="BV63" s="86">
        <f ca="1">IFERROR(__xludf.DUMMYFUNCTION("IMPORTRANGE(""https://docs.google.com/spreadsheets/d/1nYxRXgnCfTXtqUY1otYuTlnrzE0Tn-Y0YRsW5pkRVqo/edit?usp=sharing"",""ปราจีนบุรี!I225"")"),0)</f>
        <v>0</v>
      </c>
      <c r="BW63" s="86">
        <f ca="1">IFERROR(__xludf.DUMMYFUNCTION("IMPORTRANGE(""https://docs.google.com/spreadsheets/d/1nYxRXgnCfTXtqUY1otYuTlnrzE0Tn-Y0YRsW5pkRVqo/edit?usp=sharing"",""ปราจีนบุรี!J225"")"),0)</f>
        <v>0</v>
      </c>
      <c r="BX63" s="87">
        <f t="shared" ca="1" si="101"/>
        <v>0</v>
      </c>
      <c r="BY63" s="86">
        <f ca="1">IFERROR(__xludf.DUMMYFUNCTION("IMPORTRANGE(""https://docs.google.com/spreadsheets/d/1nYxRXgnCfTXtqUY1otYuTlnrzE0Tn-Y0YRsW5pkRVqo/edit?usp=sharing"",""ปราจีนบุรี!L228"")"),17000)</f>
        <v>17000</v>
      </c>
      <c r="BZ63" s="86">
        <f ca="1">IFERROR(__xludf.DUMMYFUNCTION("IMPORTRANGE(""https://docs.google.com/spreadsheets/d/1nYxRXgnCfTXtqUY1otYuTlnrzE0Tn-Y0YRsW5pkRVqo/edit?usp=sharing"",""ปราจีนบุรี!N228"")"),0)</f>
        <v>0</v>
      </c>
      <c r="CA63" s="87">
        <f t="shared" ca="1" si="102"/>
        <v>0</v>
      </c>
      <c r="CB63" s="86">
        <f ca="1">IFERROR(__xludf.DUMMYFUNCTION("IMPORTRANGE(""https://docs.google.com/spreadsheets/d/1nYxRXgnCfTXtqUY1otYuTlnrzE0Tn-Y0YRsW5pkRVqo/edit?usp=sharing"",""ปราจีนบุรี!L229"")"),32000)</f>
        <v>32000</v>
      </c>
      <c r="CC63" s="86">
        <f ca="1">IFERROR(__xludf.DUMMYFUNCTION("IMPORTRANGE(""https://docs.google.com/spreadsheets/d/1nYxRXgnCfTXtqUY1otYuTlnrzE0Tn-Y0YRsW5pkRVqo/edit?usp=sharing"",""ปราจีนบุรี!N229"")"),0)</f>
        <v>0</v>
      </c>
      <c r="CD63" s="87">
        <f t="shared" ca="1" si="103"/>
        <v>0</v>
      </c>
      <c r="CE63" s="86">
        <f ca="1">IFERROR(__xludf.DUMMYFUNCTION("IMPORTRANGE(""https://docs.google.com/spreadsheets/d/1nYxRXgnCfTXtqUY1otYuTlnrzE0Tn-Y0YRsW5pkRVqo/edit?usp=sharing"",""ปราจีนบุรี!L230"")"),0)</f>
        <v>0</v>
      </c>
      <c r="CF63" s="86">
        <f ca="1">IFERROR(__xludf.DUMMYFUNCTION("IMPORTRANGE(""https://docs.google.com/spreadsheets/d/1nYxRXgnCfTXtqUY1otYuTlnrzE0Tn-Y0YRsW5pkRVqo/edit?usp=sharing"",""ปราจีนบุรี!N230"")"),0)</f>
        <v>0</v>
      </c>
      <c r="CG63" s="87">
        <f t="shared" ca="1" si="104"/>
        <v>0</v>
      </c>
      <c r="CH63" s="86">
        <f ca="1">IFERROR(__xludf.DUMMYFUNCTION("IMPORTRANGE(""https://docs.google.com/spreadsheets/d/1nYxRXgnCfTXtqUY1otYuTlnrzE0Tn-Y0YRsW5pkRVqo/edit?usp=sharing"",""ปราจีนบุรี!L231"")"),10000)</f>
        <v>10000</v>
      </c>
      <c r="CI63" s="86">
        <f ca="1">IFERROR(__xludf.DUMMYFUNCTION("IMPORTRANGE(""https://docs.google.com/spreadsheets/d/1nYxRXgnCfTXtqUY1otYuTlnrzE0Tn-Y0YRsW5pkRVqo/edit?usp=sharing"",""ปราจีนบุรี!N231"")"),0)</f>
        <v>0</v>
      </c>
      <c r="CJ63" s="87">
        <f t="shared" ca="1" si="105"/>
        <v>0</v>
      </c>
      <c r="CK63" s="86">
        <f ca="1">IFERROR(__xludf.DUMMYFUNCTION("IMPORTRANGE(""https://docs.google.com/spreadsheets/d/1nYxRXgnCfTXtqUY1otYuTlnrzE0Tn-Y0YRsW5pkRVqo/edit?usp=sharing"",""ปราจีนบุรี!I233"")"),20)</f>
        <v>20</v>
      </c>
      <c r="CL63" s="86">
        <f ca="1">IFERROR(__xludf.DUMMYFUNCTION("IMPORTRANGE(""https://docs.google.com/spreadsheets/d/1nYxRXgnCfTXtqUY1otYuTlnrzE0Tn-Y0YRsW5pkRVqo/edit?usp=sharing"",""ปราจีนบุรี!J233"")"),0)</f>
        <v>0</v>
      </c>
      <c r="CM63" s="87">
        <f t="shared" ca="1" si="106"/>
        <v>0</v>
      </c>
      <c r="CN63" s="86">
        <f ca="1">IFERROR(__xludf.DUMMYFUNCTION("IMPORTRANGE(""https://docs.google.com/spreadsheets/d/1nYxRXgnCfTXtqUY1otYuTlnrzE0Tn-Y0YRsW5pkRVqo/edit?usp=sharing"",""ปราจีนบุรี!J235"")"),0)</f>
        <v>0</v>
      </c>
      <c r="CO63" s="86">
        <f ca="1">IFERROR(__xludf.DUMMYFUNCTION("IMPORTRANGE(""https://docs.google.com/spreadsheets/d/1nYxRXgnCfTXtqUY1otYuTlnrzE0Tn-Y0YRsW5pkRVqo/edit?usp=sharing"",""ปราจีนบุรี!J236"")"),0)</f>
        <v>0</v>
      </c>
    </row>
    <row r="64" spans="1:93" ht="21" customHeight="1" x14ac:dyDescent="0.3">
      <c r="A64" s="78">
        <v>12</v>
      </c>
      <c r="B64" s="79" t="s">
        <v>86</v>
      </c>
      <c r="C64" s="80">
        <f t="shared" ca="1" si="0"/>
        <v>527750</v>
      </c>
      <c r="D64" s="81">
        <f t="shared" ca="1" si="187"/>
        <v>527750</v>
      </c>
      <c r="E64" s="82">
        <f ca="1">IFERROR(__xludf.DUMMYFUNCTION("IMPORTRANGE(""https://docs.google.com/spreadsheets/d/1MeEWN-I1oV_STSDYn1IFDPWt_1FKiwhDph83XaGc0o0/edit?usp=sharing"",""งบพรบ!CP64"")"),286000)</f>
        <v>286000</v>
      </c>
      <c r="F64" s="82">
        <f ca="1">IFERROR(__xludf.DUMMYFUNCTION("IMPORTRANGE(""https://docs.google.com/spreadsheets/d/1MeEWN-I1oV_STSDYn1IFDPWt_1FKiwhDph83XaGc0o0/edit?usp=sharing"",""งบพรบ!CQ64"")"),241750)</f>
        <v>241750</v>
      </c>
      <c r="G64" s="82">
        <f ca="1">IFERROR(__xludf.DUMMYFUNCTION("IMPORTRANGE(""https://docs.google.com/spreadsheets/d/1MeEWN-I1oV_STSDYn1IFDPWt_1FKiwhDph83XaGc0o0/edit?usp=sharing"",""งบพรบ!CR64"")"),0)</f>
        <v>0</v>
      </c>
      <c r="H64" s="82">
        <f ca="1">IFERROR(__xludf.DUMMYFUNCTION("IMPORTRANGE(""https://docs.google.com/spreadsheets/d/1MeEWN-I1oV_STSDYn1IFDPWt_1FKiwhDph83XaGc0o0/edit?usp=sharing"",""งบพรบ!CT64"")"),418550)</f>
        <v>418550</v>
      </c>
      <c r="I64" s="82">
        <f ca="1">IFERROR(__xludf.DUMMYFUNCTION("IMPORTRANGE(""https://docs.google.com/spreadsheets/d/1MeEWN-I1oV_STSDYn1IFDPWt_1FKiwhDph83XaGc0o0/edit?usp=sharing"",""งบพรบ!CU64"")"),0)</f>
        <v>0</v>
      </c>
      <c r="J64" s="82">
        <f t="shared" ca="1" si="3"/>
        <v>238626.51</v>
      </c>
      <c r="K64" s="83">
        <f t="shared" ca="1" si="4"/>
        <v>45.21582378019896</v>
      </c>
      <c r="L64" s="82">
        <f ca="1">IFERROR(__xludf.DUMMYFUNCTION("IMPORTRANGE(""https://docs.google.com/spreadsheets/d/1MeEWN-I1oV_STSDYn1IFDPWt_1FKiwhDph83XaGc0o0/edit?usp=sharing"",""งบพรบ!CV64"")"),238626.51)</f>
        <v>238626.51</v>
      </c>
      <c r="M64" s="84">
        <f t="shared" ca="1" si="5"/>
        <v>45.21582378019896</v>
      </c>
      <c r="N64" s="84">
        <f t="shared" ca="1" si="6"/>
        <v>57.012665153506155</v>
      </c>
      <c r="O64" s="85">
        <f ca="1">IFERROR(__xludf.DUMMYFUNCTION("IMPORTRANGE(""https://docs.google.com/spreadsheets/d/1MeEWN-I1oV_STSDYn1IFDPWt_1FKiwhDph83XaGc0o0/edit?usp=sharing"",""งบพรบ!CW64"")"),0)</f>
        <v>0</v>
      </c>
      <c r="P64" s="85">
        <f t="shared" ca="1" si="108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IFERROR(__xludf.DUMMYFUNCTION("IMPORTRANGE(""https://docs.google.com/spreadsheets/d/1nNHCLO8ZAXOMfQvxux7cf_hrzPAh8FAvaHq_ClKbZNo/edit?usp=sharing"",""พระนครศรีอยุธยา!L191"")"),6000)</f>
        <v>6000</v>
      </c>
      <c r="S64" s="86">
        <f ca="1">IFERROR(__xludf.DUMMYFUNCTION("IMPORTRANGE(""https://docs.google.com/spreadsheets/d/1nNHCLO8ZAXOMfQvxux7cf_hrzPAh8FAvaHq_ClKbZNo/edit?usp=sharing"",""พระนครศรีอยุธยา!N191"")"),1000)</f>
        <v>1000</v>
      </c>
      <c r="T64" s="87">
        <f t="shared" ca="1" si="84"/>
        <v>16.666666666666668</v>
      </c>
      <c r="U64" s="86">
        <f ca="1">IFERROR(__xludf.DUMMYFUNCTION("IMPORTRANGE(""https://docs.google.com/spreadsheets/d/1nNHCLO8ZAXOMfQvxux7cf_hrzPAh8FAvaHq_ClKbZNo/edit?usp=sharing"",""พระนครศรีอยุธยา!I193"")"),4)</f>
        <v>4</v>
      </c>
      <c r="V64" s="86">
        <f ca="1">IFERROR(__xludf.DUMMYFUNCTION("IMPORTRANGE(""https://docs.google.com/spreadsheets/d/1nNHCLO8ZAXOMfQvxux7cf_hrzPAh8FAvaHq_ClKbZNo/edit?usp=sharing"",""พระนครศรีอยุธยา!J193"")"),0)</f>
        <v>0</v>
      </c>
      <c r="W64" s="87">
        <f t="shared" ca="1" si="85"/>
        <v>0</v>
      </c>
      <c r="X64" s="86">
        <f t="shared" ca="1" si="188"/>
        <v>0</v>
      </c>
      <c r="Y64" s="86">
        <f ca="1">IFERROR(__xludf.DUMMYFUNCTION("IMPORTRANGE(""https://docs.google.com/spreadsheets/d/1nNHCLO8ZAXOMfQvxux7cf_hrzPAh8FAvaHq_ClKbZNo/edit?usp=sharing"",""พระนครศรีอยุธยา!J195"")"),0)</f>
        <v>0</v>
      </c>
      <c r="Z64" s="86">
        <f ca="1">IFERROR(__xludf.DUMMYFUNCTION("IMPORTRANGE(""https://docs.google.com/spreadsheets/d/1nNHCLO8ZAXOMfQvxux7cf_hrzPAh8FAvaHq_ClKbZNo/edit?usp=sharing"",""พระนครศรีอยุธยา!J196"")"),0)</f>
        <v>0</v>
      </c>
      <c r="AA64" s="86">
        <f ca="1">IFERROR(__xludf.DUMMYFUNCTION("IMPORTRANGE(""https://docs.google.com/spreadsheets/d/1nNHCLO8ZAXOMfQvxux7cf_hrzPAh8FAvaHq_ClKbZNo/edit?usp=sharing"",""พระนครศรีอยุธยา!L199"")"),0)</f>
        <v>0</v>
      </c>
      <c r="AB64" s="86">
        <f ca="1">IFERROR(__xludf.DUMMYFUNCTION("IMPORTRANGE(""https://docs.google.com/spreadsheets/d/1nNHCLO8ZAXOMfQvxux7cf_hrzPAh8FAvaHq_ClKbZNo/edit?usp=sharing"",""พระนครศรีอยุธยา!N199"")"),0)</f>
        <v>0</v>
      </c>
      <c r="AC64" s="87">
        <f t="shared" ca="1" si="86"/>
        <v>0</v>
      </c>
      <c r="AD64" s="86">
        <f ca="1">IFERROR(__xludf.DUMMYFUNCTION("IMPORTRANGE(""https://docs.google.com/spreadsheets/d/1nNHCLO8ZAXOMfQvxux7cf_hrzPAh8FAvaHq_ClKbZNo/edit?usp=sharing"",""พระนครศรีอยุธยา!L200"")"),0)</f>
        <v>0</v>
      </c>
      <c r="AE64" s="86">
        <f ca="1">IFERROR(__xludf.DUMMYFUNCTION("IMPORTRANGE(""https://docs.google.com/spreadsheets/d/1nNHCLO8ZAXOMfQvxux7cf_hrzPAh8FAvaHq_ClKbZNo/edit?usp=sharing"",""พระนครศรีอยุธยา!N200"")"),0)</f>
        <v>0</v>
      </c>
      <c r="AF64" s="87">
        <f t="shared" ca="1" si="87"/>
        <v>0</v>
      </c>
      <c r="AG64" s="86">
        <f ca="1">IFERROR(__xludf.DUMMYFUNCTION("IMPORTRANGE(""https://docs.google.com/spreadsheets/d/1nNHCLO8ZAXOMfQvxux7cf_hrzPAh8FAvaHq_ClKbZNo/edit?usp=sharing"",""พระนครศรีอยุธยา!L201"")"),0)</f>
        <v>0</v>
      </c>
      <c r="AH64" s="86">
        <f ca="1">IFERROR(__xludf.DUMMYFUNCTION("IMPORTRANGE(""https://docs.google.com/spreadsheets/d/1nNHCLO8ZAXOMfQvxux7cf_hrzPAh8FAvaHq_ClKbZNo/edit?usp=sharing"",""พระนครศรีอยุธยา!N201"")"),0)</f>
        <v>0</v>
      </c>
      <c r="AI64" s="87">
        <f t="shared" ca="1" si="88"/>
        <v>0</v>
      </c>
      <c r="AJ64" s="86">
        <f ca="1">IFERROR(__xludf.DUMMYFUNCTION("IMPORTRANGE(""https://docs.google.com/spreadsheets/d/1nNHCLO8ZAXOMfQvxux7cf_hrzPAh8FAvaHq_ClKbZNo/edit?usp=sharing"",""พระนครศรีอยุธยา!L202"")"),0)</f>
        <v>0</v>
      </c>
      <c r="AK64" s="86">
        <f ca="1">IFERROR(__xludf.DUMMYFUNCTION("IMPORTRANGE(""https://docs.google.com/spreadsheets/d/1nNHCLO8ZAXOMfQvxux7cf_hrzPAh8FAvaHq_ClKbZNo/edit?usp=sharing"",""พระนครศรีอยุธยา!N202"")"),0)</f>
        <v>0</v>
      </c>
      <c r="AL64" s="87">
        <f t="shared" ca="1" si="89"/>
        <v>0</v>
      </c>
      <c r="AM64" s="86">
        <f ca="1">IFERROR(__xludf.DUMMYFUNCTION("IMPORTRANGE(""https://docs.google.com/spreadsheets/d/1nNHCLO8ZAXOMfQvxux7cf_hrzPAh8FAvaHq_ClKbZNo/edit?usp=sharing"",""พระนครศรีอยุธยา!I204"")"),0)</f>
        <v>0</v>
      </c>
      <c r="AN64" s="86">
        <f ca="1">IFERROR(__xludf.DUMMYFUNCTION("IMPORTRANGE(""https://docs.google.com/spreadsheets/d/1nNHCLO8ZAXOMfQvxux7cf_hrzPAh8FAvaHq_ClKbZNo/edit?usp=sharing"",""พระนครศรีอยุธยา!J204"")"),0)</f>
        <v>0</v>
      </c>
      <c r="AO64" s="87">
        <f t="shared" ca="1" si="90"/>
        <v>0</v>
      </c>
      <c r="AP64" s="298">
        <f ca="1">IFERROR(__xludf.DUMMYFUNCTION("IMPORTRANGE(""https://docs.google.com/spreadsheets/d/1nNHCLO8ZAXOMfQvxux7cf_hrzPAh8FAvaHq_ClKbZNo/edit?usp=sharing"",""พระนครศรีอยุธยา!J206"")"),0)</f>
        <v>0</v>
      </c>
      <c r="AQ64" s="298">
        <f ca="1">IFERROR(__xludf.DUMMYFUNCTION("IMPORTRANGE(""https://docs.google.com/spreadsheets/d/1nNHCLO8ZAXOMfQvxux7cf_hrzPAh8FAvaHq_ClKbZNo/edit?usp=sharing"",""พระนครศรีอยุธยา!J207"")"),0)</f>
        <v>0</v>
      </c>
      <c r="AR64" s="86">
        <f ca="1">IFERROR(__xludf.DUMMYFUNCTION("IMPORTRANGE(""https://docs.google.com/spreadsheets/d/1nNHCLO8ZAXOMfQvxux7cf_hrzPAh8FAvaHq_ClKbZNo/edit?usp=sharing"",""พระนครศรีอยุธยา!L210"")"),0)</f>
        <v>0</v>
      </c>
      <c r="AS64" s="86">
        <f ca="1">IFERROR(__xludf.DUMMYFUNCTION("IMPORTRANGE(""https://docs.google.com/spreadsheets/d/1nNHCLO8ZAXOMfQvxux7cf_hrzPAh8FAvaHq_ClKbZNo/edit?usp=sharing"",""พระนครศรีอยุธยา!N210"")"),0)</f>
        <v>0</v>
      </c>
      <c r="AT64" s="87">
        <f t="shared" ca="1" si="91"/>
        <v>0</v>
      </c>
      <c r="AU64" s="86">
        <f ca="1">IFERROR(__xludf.DUMMYFUNCTION("IMPORTRANGE(""https://docs.google.com/spreadsheets/d/1nNHCLO8ZAXOMfQvxux7cf_hrzPAh8FAvaHq_ClKbZNo/edit?usp=sharing"",""พระนครศรีอยุธยา!L211"")"),0)</f>
        <v>0</v>
      </c>
      <c r="AV64" s="86">
        <f ca="1">IFERROR(__xludf.DUMMYFUNCTION("IMPORTRANGE(""https://docs.google.com/spreadsheets/d/1nNHCLO8ZAXOMfQvxux7cf_hrzPAh8FAvaHq_ClKbZNo/edit?usp=sharing"",""พระนครศรีอยุธยา!N211"")"),0)</f>
        <v>0</v>
      </c>
      <c r="AW64" s="87">
        <f t="shared" ca="1" si="92"/>
        <v>0</v>
      </c>
      <c r="AX64" s="86">
        <f ca="1">IFERROR(__xludf.DUMMYFUNCTION("IMPORTRANGE(""https://docs.google.com/spreadsheets/d/1nNHCLO8ZAXOMfQvxux7cf_hrzPAh8FAvaHq_ClKbZNo/edit?usp=sharing"",""พระนครศรีอยุธยา!L212"")"),0)</f>
        <v>0</v>
      </c>
      <c r="AY64" s="86">
        <f ca="1">IFERROR(__xludf.DUMMYFUNCTION("IMPORTRANGE(""https://docs.google.com/spreadsheets/d/1nNHCLO8ZAXOMfQvxux7cf_hrzPAh8FAvaHq_ClKbZNo/edit?usp=sharing"",""พระนครศรีอยุธยา!N212"")"),0)</f>
        <v>0</v>
      </c>
      <c r="AZ64" s="87">
        <f t="shared" ca="1" si="93"/>
        <v>0</v>
      </c>
      <c r="BA64" s="86">
        <f ca="1">IFERROR(__xludf.DUMMYFUNCTION("IMPORTRANGE(""https://docs.google.com/spreadsheets/d/1nNHCLO8ZAXOMfQvxux7cf_hrzPAh8FAvaHq_ClKbZNo/edit?usp=sharing"",""พระนครศรีอยุธยา!I214"")"),0)</f>
        <v>0</v>
      </c>
      <c r="BB64" s="86">
        <f ca="1">IFERROR(__xludf.DUMMYFUNCTION("IMPORTRANGE(""https://docs.google.com/spreadsheets/d/1nNHCLO8ZAXOMfQvxux7cf_hrzPAh8FAvaHq_ClKbZNo/edit?usp=sharing"",""พระนครศรีอยุธยา!J214"")"),0)</f>
        <v>0</v>
      </c>
      <c r="BC64" s="87">
        <f t="shared" ca="1" si="94"/>
        <v>0</v>
      </c>
      <c r="BD64" s="86">
        <f ca="1">IFERROR(__xludf.DUMMYFUNCTION("IMPORTRANGE(""https://docs.google.com/spreadsheets/d/1nNHCLO8ZAXOMfQvxux7cf_hrzPAh8FAvaHq_ClKbZNo/edit?usp=sharing"",""พระนครศรีอยุธยา!I215"")"),0)</f>
        <v>0</v>
      </c>
      <c r="BE64" s="86">
        <f ca="1">IFERROR(__xludf.DUMMYFUNCTION("IMPORTRANGE(""https://docs.google.com/spreadsheets/d/1nNHCLO8ZAXOMfQvxux7cf_hrzPAh8FAvaHq_ClKbZNo/edit?usp=sharing"",""พระนครศรีอยุธยา!J215"")"),0)</f>
        <v>0</v>
      </c>
      <c r="BF64" s="87">
        <f t="shared" ca="1" si="95"/>
        <v>0</v>
      </c>
      <c r="BG64" s="86">
        <f ca="1">IFERROR(__xludf.DUMMYFUNCTION("IMPORTRANGE(""https://docs.google.com/spreadsheets/d/1nNHCLO8ZAXOMfQvxux7cf_hrzPAh8FAvaHq_ClKbZNo/edit?usp=sharing"",""พระนครศรีอยุธยา!L218"")"),3000)</f>
        <v>3000</v>
      </c>
      <c r="BH64" s="86">
        <f ca="1">IFERROR(__xludf.DUMMYFUNCTION("IMPORTRANGE(""https://docs.google.com/spreadsheets/d/1nNHCLO8ZAXOMfQvxux7cf_hrzPAh8FAvaHq_ClKbZNo/edit?usp=sharing"",""พระนครศรีอยุธยา!N218"")"),0)</f>
        <v>0</v>
      </c>
      <c r="BI64" s="87">
        <f t="shared" ca="1" si="96"/>
        <v>0</v>
      </c>
      <c r="BJ64" s="86">
        <f ca="1">IFERROR(__xludf.DUMMYFUNCTION("IMPORTRANGE(""https://docs.google.com/spreadsheets/d/1nNHCLO8ZAXOMfQvxux7cf_hrzPAh8FAvaHq_ClKbZNo/edit?usp=sharing"",""พระนครศรีอยุธยา!L219"")"),5000)</f>
        <v>5000</v>
      </c>
      <c r="BK64" s="86">
        <f ca="1">IFERROR(__xludf.DUMMYFUNCTION("IMPORTRANGE(""https://docs.google.com/spreadsheets/d/1nNHCLO8ZAXOMfQvxux7cf_hrzPAh8FAvaHq_ClKbZNo/edit?usp=sharing"",""พระนครศรีอยุธยา!N219"")"),0)</f>
        <v>0</v>
      </c>
      <c r="BL64" s="87">
        <f t="shared" ca="1" si="97"/>
        <v>0</v>
      </c>
      <c r="BM64" s="86">
        <f ca="1">IFERROR(__xludf.DUMMYFUNCTION("IMPORTRANGE(""https://docs.google.com/spreadsheets/d/1nNHCLO8ZAXOMfQvxux7cf_hrzPAh8FAvaHq_ClKbZNo/edit?usp=sharing"",""พระนครศรีอยุธยา!L220"")"),0)</f>
        <v>0</v>
      </c>
      <c r="BN64" s="86">
        <f ca="1">IFERROR(__xludf.DUMMYFUNCTION("IMPORTRANGE(""https://docs.google.com/spreadsheets/d/1nNHCLO8ZAXOMfQvxux7cf_hrzPAh8FAvaHq_ClKbZNo/edit?usp=sharing"",""พระนครศรีอยุธยา!N220"")"),0)</f>
        <v>0</v>
      </c>
      <c r="BO64" s="87">
        <f t="shared" ca="1" si="98"/>
        <v>0</v>
      </c>
      <c r="BP64" s="86">
        <f ca="1">IFERROR(__xludf.DUMMYFUNCTION("IMPORTRANGE(""https://docs.google.com/spreadsheets/d/1nNHCLO8ZAXOMfQvxux7cf_hrzPAh8FAvaHq_ClKbZNo/edit?usp=sharing"",""พระนครศรีอยุธยา!I223"")"),20000)</f>
        <v>20000</v>
      </c>
      <c r="BQ64" s="86">
        <f ca="1">IFERROR(__xludf.DUMMYFUNCTION("IMPORTRANGE(""https://docs.google.com/spreadsheets/d/1nNHCLO8ZAXOMfQvxux7cf_hrzPAh8FAvaHq_ClKbZNo/edit?usp=sharing"",""พระนครศรีอยุธยา!J223"")"),0)</f>
        <v>0</v>
      </c>
      <c r="BR64" s="87">
        <f t="shared" ca="1" si="99"/>
        <v>0</v>
      </c>
      <c r="BS64" s="86">
        <f ca="1">IFERROR(__xludf.DUMMYFUNCTION("IMPORTRANGE(""https://docs.google.com/spreadsheets/d/1nNHCLO8ZAXOMfQvxux7cf_hrzPAh8FAvaHq_ClKbZNo/edit?usp=sharing"",""พระนครศรีอยุธยา!I224"")"),20000)</f>
        <v>20000</v>
      </c>
      <c r="BT64" s="86">
        <f ca="1">IFERROR(__xludf.DUMMYFUNCTION("IMPORTRANGE(""https://docs.google.com/spreadsheets/d/1nNHCLO8ZAXOMfQvxux7cf_hrzPAh8FAvaHq_ClKbZNo/edit?usp=sharing"",""พระนครศรีอยุธยา!J224"")"),0)</f>
        <v>0</v>
      </c>
      <c r="BU64" s="87">
        <f t="shared" ca="1" si="100"/>
        <v>0</v>
      </c>
      <c r="BV64" s="86">
        <f ca="1">IFERROR(__xludf.DUMMYFUNCTION("IMPORTRANGE(""https://docs.google.com/spreadsheets/d/1nNHCLO8ZAXOMfQvxux7cf_hrzPAh8FAvaHq_ClKbZNo/edit?usp=sharing"",""พระนครศรีอยุธยา!I225"")"),0)</f>
        <v>0</v>
      </c>
      <c r="BW64" s="86">
        <f ca="1">IFERROR(__xludf.DUMMYFUNCTION("IMPORTRANGE(""https://docs.google.com/spreadsheets/d/1nNHCLO8ZAXOMfQvxux7cf_hrzPAh8FAvaHq_ClKbZNo/edit?usp=sharing"",""พระนครศรีอยุธยา!J225"")"),0)</f>
        <v>0</v>
      </c>
      <c r="BX64" s="87">
        <f t="shared" ca="1" si="101"/>
        <v>0</v>
      </c>
      <c r="BY64" s="86">
        <f ca="1">IFERROR(__xludf.DUMMYFUNCTION("IMPORTRANGE(""https://docs.google.com/spreadsheets/d/1nNHCLO8ZAXOMfQvxux7cf_hrzPAh8FAvaHq_ClKbZNo/edit?usp=sharing"",""พระนครศรีอยุธยา!L228"")"),163000)</f>
        <v>163000</v>
      </c>
      <c r="BZ64" s="86">
        <f ca="1">IFERROR(__xludf.DUMMYFUNCTION("IMPORTRANGE(""https://docs.google.com/spreadsheets/d/1nNHCLO8ZAXOMfQvxux7cf_hrzPAh8FAvaHq_ClKbZNo/edit?usp=sharing"",""พระนครศรีอยุธยา!N228"")"),50129.39)</f>
        <v>50129.39</v>
      </c>
      <c r="CA64" s="87">
        <f t="shared" ca="1" si="102"/>
        <v>30.754226993865032</v>
      </c>
      <c r="CB64" s="86">
        <f ca="1">IFERROR(__xludf.DUMMYFUNCTION("IMPORTRANGE(""https://docs.google.com/spreadsheets/d/1nNHCLO8ZAXOMfQvxux7cf_hrzPAh8FAvaHq_ClKbZNo/edit?usp=sharing"",""พระนครศรีอยุธยา!L229"")"),37250)</f>
        <v>37250</v>
      </c>
      <c r="CC64" s="86">
        <f ca="1">IFERROR(__xludf.DUMMYFUNCTION("IMPORTRANGE(""https://docs.google.com/spreadsheets/d/1nNHCLO8ZAXOMfQvxux7cf_hrzPAh8FAvaHq_ClKbZNo/edit?usp=sharing"",""พระนครศรีอยุธยา!N229"")"),37250)</f>
        <v>37250</v>
      </c>
      <c r="CD64" s="87">
        <f t="shared" ca="1" si="103"/>
        <v>100</v>
      </c>
      <c r="CE64" s="86">
        <f ca="1">IFERROR(__xludf.DUMMYFUNCTION("IMPORTRANGE(""https://docs.google.com/spreadsheets/d/1nNHCLO8ZAXOMfQvxux7cf_hrzPAh8FAvaHq_ClKbZNo/edit?usp=sharing"",""พระนครศรีอยุธยา!L230"")"),17500)</f>
        <v>17500</v>
      </c>
      <c r="CF64" s="86">
        <f ca="1">IFERROR(__xludf.DUMMYFUNCTION("IMPORTRANGE(""https://docs.google.com/spreadsheets/d/1nNHCLO8ZAXOMfQvxux7cf_hrzPAh8FAvaHq_ClKbZNo/edit?usp=sharing"",""พระนครศรีอยุธยา!N230"")"),0)</f>
        <v>0</v>
      </c>
      <c r="CG64" s="87">
        <f t="shared" ca="1" si="104"/>
        <v>0</v>
      </c>
      <c r="CH64" s="86">
        <f ca="1">IFERROR(__xludf.DUMMYFUNCTION("IMPORTRANGE(""https://docs.google.com/spreadsheets/d/1nNHCLO8ZAXOMfQvxux7cf_hrzPAh8FAvaHq_ClKbZNo/edit?usp=sharing"",""พระนครศรีอยุธยา!L231"")"),10000)</f>
        <v>10000</v>
      </c>
      <c r="CI64" s="86">
        <f ca="1">IFERROR(__xludf.DUMMYFUNCTION("IMPORTRANGE(""https://docs.google.com/spreadsheets/d/1nNHCLO8ZAXOMfQvxux7cf_hrzPAh8FAvaHq_ClKbZNo/edit?usp=sharing"",""พระนครศรีอยุธยา!N231"")"),0)</f>
        <v>0</v>
      </c>
      <c r="CJ64" s="87">
        <f t="shared" ca="1" si="105"/>
        <v>0</v>
      </c>
      <c r="CK64" s="86">
        <f ca="1">IFERROR(__xludf.DUMMYFUNCTION("IMPORTRANGE(""https://docs.google.com/spreadsheets/d/1nNHCLO8ZAXOMfQvxux7cf_hrzPAh8FAvaHq_ClKbZNo/edit?usp=sharing"",""พระนครศรีอยุธยา!I233"")"),35)</f>
        <v>35</v>
      </c>
      <c r="CL64" s="86">
        <f ca="1">IFERROR(__xludf.DUMMYFUNCTION("IMPORTRANGE(""https://docs.google.com/spreadsheets/d/1nNHCLO8ZAXOMfQvxux7cf_hrzPAh8FAvaHq_ClKbZNo/edit?usp=sharing"",""พระนครศรีอยุธยา!J233"")"),35)</f>
        <v>35</v>
      </c>
      <c r="CM64" s="87">
        <f t="shared" ca="1" si="106"/>
        <v>100</v>
      </c>
      <c r="CN64" s="86">
        <f ca="1">IFERROR(__xludf.DUMMYFUNCTION("IMPORTRANGE(""https://docs.google.com/spreadsheets/d/1nNHCLO8ZAXOMfQvxux7cf_hrzPAh8FAvaHq_ClKbZNo/edit?usp=sharing"",""พระนครศรีอยุธยา!J235"")"),0)</f>
        <v>0</v>
      </c>
      <c r="CO64" s="86">
        <f ca="1">IFERROR(__xludf.DUMMYFUNCTION("IMPORTRANGE(""https://docs.google.com/spreadsheets/d/1nNHCLO8ZAXOMfQvxux7cf_hrzPAh8FAvaHq_ClKbZNo/edit?usp=sharing"",""พระนครศรีอยุธยา!J236"")"),0)</f>
        <v>0</v>
      </c>
    </row>
    <row r="65" spans="1:93" ht="21" customHeight="1" x14ac:dyDescent="0.3">
      <c r="A65" s="78">
        <v>13</v>
      </c>
      <c r="B65" s="79" t="s">
        <v>87</v>
      </c>
      <c r="C65" s="80">
        <f t="shared" ca="1" si="0"/>
        <v>45500</v>
      </c>
      <c r="D65" s="81">
        <f t="shared" ca="1" si="187"/>
        <v>45500</v>
      </c>
      <c r="E65" s="82">
        <f ca="1">IFERROR(__xludf.DUMMYFUNCTION("IMPORTRANGE(""https://docs.google.com/spreadsheets/d/1MeEWN-I1oV_STSDYn1IFDPWt_1FKiwhDph83XaGc0o0/edit?usp=sharing"",""งบพรบ!CP65"")"),0)</f>
        <v>0</v>
      </c>
      <c r="F65" s="82">
        <f ca="1">IFERROR(__xludf.DUMMYFUNCTION("IMPORTRANGE(""https://docs.google.com/spreadsheets/d/1MeEWN-I1oV_STSDYn1IFDPWt_1FKiwhDph83XaGc0o0/edit?usp=sharing"",""งบพรบ!CQ65"")"),45500)</f>
        <v>45500</v>
      </c>
      <c r="G65" s="82">
        <f ca="1">IFERROR(__xludf.DUMMYFUNCTION("IMPORTRANGE(""https://docs.google.com/spreadsheets/d/1MeEWN-I1oV_STSDYn1IFDPWt_1FKiwhDph83XaGc0o0/edit?usp=sharing"",""งบพรบ!CR65"")"),0)</f>
        <v>0</v>
      </c>
      <c r="H65" s="82">
        <f ca="1">IFERROR(__xludf.DUMMYFUNCTION("IMPORTRANGE(""https://docs.google.com/spreadsheets/d/1MeEWN-I1oV_STSDYn1IFDPWt_1FKiwhDph83XaGc0o0/edit?usp=sharing"",""งบพรบ!CT65"")"),35500)</f>
        <v>35500</v>
      </c>
      <c r="I65" s="82">
        <f ca="1">IFERROR(__xludf.DUMMYFUNCTION("IMPORTRANGE(""https://docs.google.com/spreadsheets/d/1MeEWN-I1oV_STSDYn1IFDPWt_1FKiwhDph83XaGc0o0/edit?usp=sharing"",""งบพรบ!CU65"")"),0)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IFERROR(__xludf.DUMMYFUNCTION("IMPORTRANGE(""https://docs.google.com/spreadsheets/d/1MeEWN-I1oV_STSDYn1IFDPWt_1FKiwhDph83XaGc0o0/edit?usp=sharing"",""งบพรบ!CV65"")"),0)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IFERROR(__xludf.DUMMYFUNCTION("IMPORTRANGE(""https://docs.google.com/spreadsheets/d/1MeEWN-I1oV_STSDYn1IFDPWt_1FKiwhDph83XaGc0o0/edit?usp=sharing"",""งบพรบ!CW65"")"),0)</f>
        <v>0</v>
      </c>
      <c r="P65" s="85">
        <f t="shared" ca="1" si="108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IFERROR(__xludf.DUMMYFUNCTION("IMPORTRANGE(""https://docs.google.com/spreadsheets/d/1CdNicvf3i6yt4tJlCePe3V1Va76wYqW0QzMzTsaGRrA/edit?usp=sharing"",""เพชรบุรี!L191"")"),6000)</f>
        <v>6000</v>
      </c>
      <c r="S65" s="86">
        <f ca="1">IFERROR(__xludf.DUMMYFUNCTION("IMPORTRANGE(""https://docs.google.com/spreadsheets/d/1CdNicvf3i6yt4tJlCePe3V1Va76wYqW0QzMzTsaGRrA/edit?usp=sharing"",""เพชรบุรี!N191"")"),0)</f>
        <v>0</v>
      </c>
      <c r="T65" s="87">
        <f t="shared" ca="1" si="84"/>
        <v>0</v>
      </c>
      <c r="U65" s="86">
        <f ca="1">IFERROR(__xludf.DUMMYFUNCTION("IMPORTRANGE(""https://docs.google.com/spreadsheets/d/1CdNicvf3i6yt4tJlCePe3V1Va76wYqW0QzMzTsaGRrA/edit?usp=sharing"",""เพชรบุรี!I193"")"),4)</f>
        <v>4</v>
      </c>
      <c r="V65" s="86">
        <f ca="1">IFERROR(__xludf.DUMMYFUNCTION("IMPORTRANGE(""https://docs.google.com/spreadsheets/d/1CdNicvf3i6yt4tJlCePe3V1Va76wYqW0QzMzTsaGRrA/edit?usp=sharing"",""เพชรบุรี!J193"")"),1)</f>
        <v>1</v>
      </c>
      <c r="W65" s="87">
        <f t="shared" ca="1" si="85"/>
        <v>25</v>
      </c>
      <c r="X65" s="86">
        <f t="shared" ca="1" si="188"/>
        <v>0</v>
      </c>
      <c r="Y65" s="86">
        <f ca="1">IFERROR(__xludf.DUMMYFUNCTION("IMPORTRANGE(""https://docs.google.com/spreadsheets/d/1CdNicvf3i6yt4tJlCePe3V1Va76wYqW0QzMzTsaGRrA/edit?usp=sharing"",""เพชรบุรี!J195"")"),0)</f>
        <v>0</v>
      </c>
      <c r="Z65" s="86">
        <f ca="1">IFERROR(__xludf.DUMMYFUNCTION("IMPORTRANGE(""https://docs.google.com/spreadsheets/d/1CdNicvf3i6yt4tJlCePe3V1Va76wYqW0QzMzTsaGRrA/edit?usp=sharing"",""เพชรบุรี!J196"")"),0)</f>
        <v>0</v>
      </c>
      <c r="AA65" s="86">
        <f ca="1">IFERROR(__xludf.DUMMYFUNCTION("IMPORTRANGE(""https://docs.google.com/spreadsheets/d/1CdNicvf3i6yt4tJlCePe3V1Va76wYqW0QzMzTsaGRrA/edit?usp=sharing"",""เพชรบุรี!L199"")"),2000)</f>
        <v>2000</v>
      </c>
      <c r="AB65" s="86">
        <f ca="1">IFERROR(__xludf.DUMMYFUNCTION("IMPORTRANGE(""https://docs.google.com/spreadsheets/d/1CdNicvf3i6yt4tJlCePe3V1Va76wYqW0QzMzTsaGRrA/edit?usp=sharing"",""เพชรบุรี!N199"")"),0)</f>
        <v>0</v>
      </c>
      <c r="AC65" s="87">
        <f t="shared" ca="1" si="86"/>
        <v>0</v>
      </c>
      <c r="AD65" s="86">
        <f ca="1">IFERROR(__xludf.DUMMYFUNCTION("IMPORTRANGE(""https://docs.google.com/spreadsheets/d/1CdNicvf3i6yt4tJlCePe3V1Va76wYqW0QzMzTsaGRrA/edit?usp=sharing"",""เพชรบุรี!L200"")"),16000)</f>
        <v>16000</v>
      </c>
      <c r="AE65" s="86">
        <f ca="1">IFERROR(__xludf.DUMMYFUNCTION("IMPORTRANGE(""https://docs.google.com/spreadsheets/d/1CdNicvf3i6yt4tJlCePe3V1Va76wYqW0QzMzTsaGRrA/edit?usp=sharing"",""เพชรบุรี!N200"")"),0)</f>
        <v>0</v>
      </c>
      <c r="AF65" s="87">
        <f t="shared" ca="1" si="87"/>
        <v>0</v>
      </c>
      <c r="AG65" s="86">
        <f ca="1">IFERROR(__xludf.DUMMYFUNCTION("IMPORTRANGE(""https://docs.google.com/spreadsheets/d/1CdNicvf3i6yt4tJlCePe3V1Va76wYqW0QzMzTsaGRrA/edit?usp=sharing"",""เพชรบุรี!L201"")"),8000)</f>
        <v>8000</v>
      </c>
      <c r="AH65" s="86">
        <f ca="1">IFERROR(__xludf.DUMMYFUNCTION("IMPORTRANGE(""https://docs.google.com/spreadsheets/d/1CdNicvf3i6yt4tJlCePe3V1Va76wYqW0QzMzTsaGRrA/edit?usp=sharing"",""เพชรบุรี!N201"")"),0)</f>
        <v>0</v>
      </c>
      <c r="AI65" s="87">
        <f t="shared" ca="1" si="88"/>
        <v>0</v>
      </c>
      <c r="AJ65" s="86">
        <f ca="1">IFERROR(__xludf.DUMMYFUNCTION("IMPORTRANGE(""https://docs.google.com/spreadsheets/d/1CdNicvf3i6yt4tJlCePe3V1Va76wYqW0QzMzTsaGRrA/edit?usp=sharing"",""เพชรบุรี!L202"")"),0)</f>
        <v>0</v>
      </c>
      <c r="AK65" s="86">
        <f ca="1">IFERROR(__xludf.DUMMYFUNCTION("IMPORTRANGE(""https://docs.google.com/spreadsheets/d/1CdNicvf3i6yt4tJlCePe3V1Va76wYqW0QzMzTsaGRrA/edit?usp=sharing"",""เพชรบุรี!N202"")"),0)</f>
        <v>0</v>
      </c>
      <c r="AL65" s="87">
        <f t="shared" ca="1" si="89"/>
        <v>0</v>
      </c>
      <c r="AM65" s="86">
        <f ca="1">IFERROR(__xludf.DUMMYFUNCTION("IMPORTRANGE(""https://docs.google.com/spreadsheets/d/1CdNicvf3i6yt4tJlCePe3V1Va76wYqW0QzMzTsaGRrA/edit?usp=sharing"",""เพชรบุรี!I204"")"),2)</f>
        <v>2</v>
      </c>
      <c r="AN65" s="86">
        <f ca="1">IFERROR(__xludf.DUMMYFUNCTION("IMPORTRANGE(""https://docs.google.com/spreadsheets/d/1CdNicvf3i6yt4tJlCePe3V1Va76wYqW0QzMzTsaGRrA/edit?usp=sharing"",""เพชรบุรี!J204"")"),0)</f>
        <v>0</v>
      </c>
      <c r="AO65" s="87">
        <f t="shared" ca="1" si="90"/>
        <v>0</v>
      </c>
      <c r="AP65" s="298">
        <f ca="1">IFERROR(__xludf.DUMMYFUNCTION("IMPORTRANGE(""https://docs.google.com/spreadsheets/d/1CdNicvf3i6yt4tJlCePe3V1Va76wYqW0QzMzTsaGRrA/edit?usp=sharing"",""เพชรบุรี!J206"")"),0)</f>
        <v>0</v>
      </c>
      <c r="AQ65" s="298">
        <f ca="1">IFERROR(__xludf.DUMMYFUNCTION("IMPORTRANGE(""https://docs.google.com/spreadsheets/d/1CdNicvf3i6yt4tJlCePe3V1Va76wYqW0QzMzTsaGRrA/edit?usp=sharing"",""เพชรบุรี!J207"")"),0)</f>
        <v>0</v>
      </c>
      <c r="AR65" s="86">
        <f ca="1">IFERROR(__xludf.DUMMYFUNCTION("IMPORTRANGE(""https://docs.google.com/spreadsheets/d/1CdNicvf3i6yt4tJlCePe3V1Va76wYqW0QzMzTsaGRrA/edit?usp=sharing"",""เพชรบุรี!L210"")"),0)</f>
        <v>0</v>
      </c>
      <c r="AS65" s="86">
        <f ca="1">IFERROR(__xludf.DUMMYFUNCTION("IMPORTRANGE(""https://docs.google.com/spreadsheets/d/1CdNicvf3i6yt4tJlCePe3V1Va76wYqW0QzMzTsaGRrA/edit?usp=sharing"",""เพชรบุรี!N210"")"),0)</f>
        <v>0</v>
      </c>
      <c r="AT65" s="87">
        <f t="shared" ca="1" si="91"/>
        <v>0</v>
      </c>
      <c r="AU65" s="86">
        <f ca="1">IFERROR(__xludf.DUMMYFUNCTION("IMPORTRANGE(""https://docs.google.com/spreadsheets/d/1CdNicvf3i6yt4tJlCePe3V1Va76wYqW0QzMzTsaGRrA/edit?usp=sharing"",""เพชรบุรี!L211"")"),0)</f>
        <v>0</v>
      </c>
      <c r="AV65" s="86">
        <f ca="1">IFERROR(__xludf.DUMMYFUNCTION("IMPORTRANGE(""https://docs.google.com/spreadsheets/d/1CdNicvf3i6yt4tJlCePe3V1Va76wYqW0QzMzTsaGRrA/edit?usp=sharing"",""เพชรบุรี!N211"")"),0)</f>
        <v>0</v>
      </c>
      <c r="AW65" s="87">
        <f t="shared" ca="1" si="92"/>
        <v>0</v>
      </c>
      <c r="AX65" s="86">
        <f ca="1">IFERROR(__xludf.DUMMYFUNCTION("IMPORTRANGE(""https://docs.google.com/spreadsheets/d/1CdNicvf3i6yt4tJlCePe3V1Va76wYqW0QzMzTsaGRrA/edit?usp=sharing"",""เพชรบุรี!L212"")"),0)</f>
        <v>0</v>
      </c>
      <c r="AY65" s="86">
        <f ca="1">IFERROR(__xludf.DUMMYFUNCTION("IMPORTRANGE(""https://docs.google.com/spreadsheets/d/1CdNicvf3i6yt4tJlCePe3V1Va76wYqW0QzMzTsaGRrA/edit?usp=sharing"",""เพชรบุรี!N212"")"),0)</f>
        <v>0</v>
      </c>
      <c r="AZ65" s="87">
        <f t="shared" ca="1" si="93"/>
        <v>0</v>
      </c>
      <c r="BA65" s="86">
        <f ca="1">IFERROR(__xludf.DUMMYFUNCTION("IMPORTRANGE(""https://docs.google.com/spreadsheets/d/1CdNicvf3i6yt4tJlCePe3V1Va76wYqW0QzMzTsaGRrA/edit?usp=sharing"",""เพชรบุรี!I214"")"),0)</f>
        <v>0</v>
      </c>
      <c r="BB65" s="86">
        <f ca="1">IFERROR(__xludf.DUMMYFUNCTION("IMPORTRANGE(""https://docs.google.com/spreadsheets/d/1CdNicvf3i6yt4tJlCePe3V1Va76wYqW0QzMzTsaGRrA/edit?usp=sharing"",""เพชรบุรี!J214"")"),0)</f>
        <v>0</v>
      </c>
      <c r="BC65" s="87">
        <f t="shared" ca="1" si="94"/>
        <v>0</v>
      </c>
      <c r="BD65" s="86">
        <f ca="1">IFERROR(__xludf.DUMMYFUNCTION("IMPORTRANGE(""https://docs.google.com/spreadsheets/d/1CdNicvf3i6yt4tJlCePe3V1Va76wYqW0QzMzTsaGRrA/edit?usp=sharing"",""เพชรบุรี!I215"")"),0)</f>
        <v>0</v>
      </c>
      <c r="BE65" s="86">
        <f ca="1">IFERROR(__xludf.DUMMYFUNCTION("IMPORTRANGE(""https://docs.google.com/spreadsheets/d/1CdNicvf3i6yt4tJlCePe3V1Va76wYqW0QzMzTsaGRrA/edit?usp=sharing"",""เพชรบุรี!J215"")"),0)</f>
        <v>0</v>
      </c>
      <c r="BF65" s="87">
        <f t="shared" ca="1" si="95"/>
        <v>0</v>
      </c>
      <c r="BG65" s="86">
        <f ca="1">IFERROR(__xludf.DUMMYFUNCTION("IMPORTRANGE(""https://docs.google.com/spreadsheets/d/1CdNicvf3i6yt4tJlCePe3V1Va76wYqW0QzMzTsaGRrA/edit?usp=sharing"",""เพชรบุรี!L218"")"),5000)</f>
        <v>5000</v>
      </c>
      <c r="BH65" s="86">
        <f ca="1">IFERROR(__xludf.DUMMYFUNCTION("IMPORTRANGE(""https://docs.google.com/spreadsheets/d/1CdNicvf3i6yt4tJlCePe3V1Va76wYqW0QzMzTsaGRrA/edit?usp=sharing"",""เพชรบุรี!N218"")"),0)</f>
        <v>0</v>
      </c>
      <c r="BI65" s="87">
        <f t="shared" ca="1" si="96"/>
        <v>0</v>
      </c>
      <c r="BJ65" s="86">
        <f ca="1">IFERROR(__xludf.DUMMYFUNCTION("IMPORTRANGE(""https://docs.google.com/spreadsheets/d/1CdNicvf3i6yt4tJlCePe3V1Va76wYqW0QzMzTsaGRrA/edit?usp=sharing"",""เพชรบุรี!L219"")"),8500)</f>
        <v>8500</v>
      </c>
      <c r="BK65" s="86">
        <f ca="1">IFERROR(__xludf.DUMMYFUNCTION("IMPORTRANGE(""https://docs.google.com/spreadsheets/d/1CdNicvf3i6yt4tJlCePe3V1Va76wYqW0QzMzTsaGRrA/edit?usp=sharing"",""เพชรบุรี!N219"")"),0)</f>
        <v>0</v>
      </c>
      <c r="BL65" s="87">
        <f t="shared" ca="1" si="97"/>
        <v>0</v>
      </c>
      <c r="BM65" s="86">
        <f ca="1">IFERROR(__xludf.DUMMYFUNCTION("IMPORTRANGE(""https://docs.google.com/spreadsheets/d/1CdNicvf3i6yt4tJlCePe3V1Va76wYqW0QzMzTsaGRrA/edit?usp=sharing"",""เพชรบุรี!L220"")"),0)</f>
        <v>0</v>
      </c>
      <c r="BN65" s="86">
        <f ca="1">IFERROR(__xludf.DUMMYFUNCTION("IMPORTRANGE(""https://docs.google.com/spreadsheets/d/1CdNicvf3i6yt4tJlCePe3V1Va76wYqW0QzMzTsaGRrA/edit?usp=sharing"",""เพชรบุรี!N220"")"),0)</f>
        <v>0</v>
      </c>
      <c r="BO65" s="87">
        <f t="shared" ca="1" si="98"/>
        <v>0</v>
      </c>
      <c r="BP65" s="86">
        <f ca="1">IFERROR(__xludf.DUMMYFUNCTION("IMPORTRANGE(""https://docs.google.com/spreadsheets/d/1CdNicvf3i6yt4tJlCePe3V1Va76wYqW0QzMzTsaGRrA/edit?usp=sharing"",""เพชรบุรี!I223"")"),30000)</f>
        <v>30000</v>
      </c>
      <c r="BQ65" s="86">
        <f ca="1">IFERROR(__xludf.DUMMYFUNCTION("IMPORTRANGE(""https://docs.google.com/spreadsheets/d/1CdNicvf3i6yt4tJlCePe3V1Va76wYqW0QzMzTsaGRrA/edit?usp=sharing"",""เพชรบุรี!J223"")"),0)</f>
        <v>0</v>
      </c>
      <c r="BR65" s="87">
        <f t="shared" ca="1" si="99"/>
        <v>0</v>
      </c>
      <c r="BS65" s="86">
        <f ca="1">IFERROR(__xludf.DUMMYFUNCTION("IMPORTRANGE(""https://docs.google.com/spreadsheets/d/1CdNicvf3i6yt4tJlCePe3V1Va76wYqW0QzMzTsaGRrA/edit?usp=sharing"",""เพชรบุรี!I224"")"),30000)</f>
        <v>30000</v>
      </c>
      <c r="BT65" s="86">
        <f ca="1">IFERROR(__xludf.DUMMYFUNCTION("IMPORTRANGE(""https://docs.google.com/spreadsheets/d/1CdNicvf3i6yt4tJlCePe3V1Va76wYqW0QzMzTsaGRrA/edit?usp=sharing"",""เพชรบุรี!J224"")"),0)</f>
        <v>0</v>
      </c>
      <c r="BU65" s="87">
        <f t="shared" ca="1" si="100"/>
        <v>0</v>
      </c>
      <c r="BV65" s="86">
        <f ca="1">IFERROR(__xludf.DUMMYFUNCTION("IMPORTRANGE(""https://docs.google.com/spreadsheets/d/1CdNicvf3i6yt4tJlCePe3V1Va76wYqW0QzMzTsaGRrA/edit?usp=sharing"",""เพชรบุรี!I225"")"),0)</f>
        <v>0</v>
      </c>
      <c r="BW65" s="86">
        <f ca="1">IFERROR(__xludf.DUMMYFUNCTION("IMPORTRANGE(""https://docs.google.com/spreadsheets/d/1CdNicvf3i6yt4tJlCePe3V1Va76wYqW0QzMzTsaGRrA/edit?usp=sharing"",""เพชรบุรี!J225"")"),0)</f>
        <v>0</v>
      </c>
      <c r="BX65" s="87">
        <f t="shared" ca="1" si="101"/>
        <v>0</v>
      </c>
      <c r="BY65" s="86">
        <f ca="1">IFERROR(__xludf.DUMMYFUNCTION("IMPORTRANGE(""https://docs.google.com/spreadsheets/d/1CdNicvf3i6yt4tJlCePe3V1Va76wYqW0QzMzTsaGRrA/edit?usp=sharing"",""เพชรบุรี!L228"")"),0)</f>
        <v>0</v>
      </c>
      <c r="BZ65" s="86">
        <f ca="1">IFERROR(__xludf.DUMMYFUNCTION("IMPORTRANGE(""https://docs.google.com/spreadsheets/d/1CdNicvf3i6yt4tJlCePe3V1Va76wYqW0QzMzTsaGRrA/edit?usp=sharing"",""เพชรบุรี!N228"")"),0)</f>
        <v>0</v>
      </c>
      <c r="CA65" s="87">
        <f t="shared" ca="1" si="102"/>
        <v>0</v>
      </c>
      <c r="CB65" s="86">
        <f ca="1">IFERROR(__xludf.DUMMYFUNCTION("IMPORTRANGE(""https://docs.google.com/spreadsheets/d/1CdNicvf3i6yt4tJlCePe3V1Va76wYqW0QzMzTsaGRrA/edit?usp=sharing"",""เพชรบุรี!L229"")"),0)</f>
        <v>0</v>
      </c>
      <c r="CC65" s="86">
        <f ca="1">IFERROR(__xludf.DUMMYFUNCTION("IMPORTRANGE(""https://docs.google.com/spreadsheets/d/1CdNicvf3i6yt4tJlCePe3V1Va76wYqW0QzMzTsaGRrA/edit?usp=sharing"",""เพชรบุรี!N229"")"),0)</f>
        <v>0</v>
      </c>
      <c r="CD65" s="87">
        <f t="shared" ca="1" si="103"/>
        <v>0</v>
      </c>
      <c r="CE65" s="86">
        <f ca="1">IFERROR(__xludf.DUMMYFUNCTION("IMPORTRANGE(""https://docs.google.com/spreadsheets/d/1CdNicvf3i6yt4tJlCePe3V1Va76wYqW0QzMzTsaGRrA/edit?usp=sharing"",""เพชรบุรี!L230"")"),0)</f>
        <v>0</v>
      </c>
      <c r="CF65" s="86">
        <f ca="1">IFERROR(__xludf.DUMMYFUNCTION("IMPORTRANGE(""https://docs.google.com/spreadsheets/d/1CdNicvf3i6yt4tJlCePe3V1Va76wYqW0QzMzTsaGRrA/edit?usp=sharing"",""เพชรบุรี!N230"")"),0)</f>
        <v>0</v>
      </c>
      <c r="CG65" s="87">
        <f t="shared" ca="1" si="104"/>
        <v>0</v>
      </c>
      <c r="CH65" s="86">
        <f ca="1">IFERROR(__xludf.DUMMYFUNCTION("IMPORTRANGE(""https://docs.google.com/spreadsheets/d/1CdNicvf3i6yt4tJlCePe3V1Va76wYqW0QzMzTsaGRrA/edit?usp=sharing"",""เพชรบุรี!L231"")"),0)</f>
        <v>0</v>
      </c>
      <c r="CI65" s="86">
        <f ca="1">IFERROR(__xludf.DUMMYFUNCTION("IMPORTRANGE(""https://docs.google.com/spreadsheets/d/1CdNicvf3i6yt4tJlCePe3V1Va76wYqW0QzMzTsaGRrA/edit?usp=sharing"",""เพชรบุรี!N231"")"),0)</f>
        <v>0</v>
      </c>
      <c r="CJ65" s="87">
        <f t="shared" ca="1" si="105"/>
        <v>0</v>
      </c>
      <c r="CK65" s="86">
        <f ca="1">IFERROR(__xludf.DUMMYFUNCTION("IMPORTRANGE(""https://docs.google.com/spreadsheets/d/1CdNicvf3i6yt4tJlCePe3V1Va76wYqW0QzMzTsaGRrA/edit?usp=sharing"",""เพชรบุรี!I233"")"),0)</f>
        <v>0</v>
      </c>
      <c r="CL65" s="86">
        <f ca="1">IFERROR(__xludf.DUMMYFUNCTION("IMPORTRANGE(""https://docs.google.com/spreadsheets/d/1CdNicvf3i6yt4tJlCePe3V1Va76wYqW0QzMzTsaGRrA/edit?usp=sharing"",""เพชรบุรี!J233"")"),0)</f>
        <v>0</v>
      </c>
      <c r="CM65" s="87">
        <f t="shared" ca="1" si="106"/>
        <v>0</v>
      </c>
      <c r="CN65" s="86">
        <f ca="1">IFERROR(__xludf.DUMMYFUNCTION("IMPORTRANGE(""https://docs.google.com/spreadsheets/d/1CdNicvf3i6yt4tJlCePe3V1Va76wYqW0QzMzTsaGRrA/edit?usp=sharing"",""เพชรบุรี!J235"")"),0)</f>
        <v>0</v>
      </c>
      <c r="CO65" s="86">
        <f ca="1">IFERROR(__xludf.DUMMYFUNCTION("IMPORTRANGE(""https://docs.google.com/spreadsheets/d/1CdNicvf3i6yt4tJlCePe3V1Va76wYqW0QzMzTsaGRrA/edit?usp=sharing"",""เพชรบุรี!J236"")"),0)</f>
        <v>0</v>
      </c>
    </row>
    <row r="66" spans="1:93" ht="21" customHeight="1" x14ac:dyDescent="0.3">
      <c r="A66" s="78">
        <v>14</v>
      </c>
      <c r="B66" s="79" t="s">
        <v>88</v>
      </c>
      <c r="C66" s="80">
        <f t="shared" ca="1" si="0"/>
        <v>253200</v>
      </c>
      <c r="D66" s="81">
        <f t="shared" ca="1" si="187"/>
        <v>253200</v>
      </c>
      <c r="E66" s="82">
        <f ca="1">IFERROR(__xludf.DUMMYFUNCTION("IMPORTRANGE(""https://docs.google.com/spreadsheets/d/1MeEWN-I1oV_STSDYn1IFDPWt_1FKiwhDph83XaGc0o0/edit?usp=sharing"",""งบพรบ!CP66"")"),150000)</f>
        <v>150000</v>
      </c>
      <c r="F66" s="82">
        <f ca="1">IFERROR(__xludf.DUMMYFUNCTION("IMPORTRANGE(""https://docs.google.com/spreadsheets/d/1MeEWN-I1oV_STSDYn1IFDPWt_1FKiwhDph83XaGc0o0/edit?usp=sharing"",""งบพรบ!CQ66"")"),103200)</f>
        <v>103200</v>
      </c>
      <c r="G66" s="82">
        <f ca="1">IFERROR(__xludf.DUMMYFUNCTION("IMPORTRANGE(""https://docs.google.com/spreadsheets/d/1MeEWN-I1oV_STSDYn1IFDPWt_1FKiwhDph83XaGc0o0/edit?usp=sharing"",""งบพรบ!CR66"")"),0)</f>
        <v>0</v>
      </c>
      <c r="H66" s="82">
        <f ca="1">IFERROR(__xludf.DUMMYFUNCTION("IMPORTRANGE(""https://docs.google.com/spreadsheets/d/1MeEWN-I1oV_STSDYn1IFDPWt_1FKiwhDph83XaGc0o0/edit?usp=sharing"",""งบพรบ!CT66"")"),211000)</f>
        <v>211000</v>
      </c>
      <c r="I66" s="82">
        <f ca="1">IFERROR(__xludf.DUMMYFUNCTION("IMPORTRANGE(""https://docs.google.com/spreadsheets/d/1MeEWN-I1oV_STSDYn1IFDPWt_1FKiwhDph83XaGc0o0/edit?usp=sharing"",""งบพรบ!CU66"")"),0)</f>
        <v>0</v>
      </c>
      <c r="J66" s="82">
        <f t="shared" ca="1" si="3"/>
        <v>68580</v>
      </c>
      <c r="K66" s="83">
        <f t="shared" ca="1" si="4"/>
        <v>27.085308056872037</v>
      </c>
      <c r="L66" s="82">
        <f ca="1">IFERROR(__xludf.DUMMYFUNCTION("IMPORTRANGE(""https://docs.google.com/spreadsheets/d/1MeEWN-I1oV_STSDYn1IFDPWt_1FKiwhDph83XaGc0o0/edit?usp=sharing"",""งบพรบ!CV66"")"),68580)</f>
        <v>68580</v>
      </c>
      <c r="M66" s="84">
        <f t="shared" ca="1" si="5"/>
        <v>27.085308056872037</v>
      </c>
      <c r="N66" s="84">
        <f t="shared" ca="1" si="6"/>
        <v>32.502369668246445</v>
      </c>
      <c r="O66" s="85">
        <f ca="1">IFERROR(__xludf.DUMMYFUNCTION("IMPORTRANGE(""https://docs.google.com/spreadsheets/d/1MeEWN-I1oV_STSDYn1IFDPWt_1FKiwhDph83XaGc0o0/edit?usp=sharing"",""งบพรบ!CW66"")"),0)</f>
        <v>0</v>
      </c>
      <c r="P66" s="85">
        <f t="shared" ca="1" si="108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IFERROR(__xludf.DUMMYFUNCTION("IMPORTRANGE(""https://docs.google.com/spreadsheets/d/1XiF77UIVHV0Kjc6xbXuOuJ10WgJYxd4p_22ngKVV5oM/edit?usp=sharing"",""ระยอง!L191"")"),6000)</f>
        <v>6000</v>
      </c>
      <c r="S66" s="86">
        <f ca="1">IFERROR(__xludf.DUMMYFUNCTION("IMPORTRANGE(""https://docs.google.com/spreadsheets/d/1XiF77UIVHV0Kjc6xbXuOuJ10WgJYxd4p_22ngKVV5oM/edit?usp=sharing"",""ระยอง!N191"")"),1360)</f>
        <v>1360</v>
      </c>
      <c r="T66" s="87">
        <f t="shared" ca="1" si="84"/>
        <v>22.666666666666668</v>
      </c>
      <c r="U66" s="86">
        <f ca="1">IFERROR(__xludf.DUMMYFUNCTION("IMPORTRANGE(""https://docs.google.com/spreadsheets/d/1XiF77UIVHV0Kjc6xbXuOuJ10WgJYxd4p_22ngKVV5oM/edit?usp=sharing"",""ระยอง!I193"")"),4)</f>
        <v>4</v>
      </c>
      <c r="V66" s="86">
        <f ca="1">IFERROR(__xludf.DUMMYFUNCTION("IMPORTRANGE(""https://docs.google.com/spreadsheets/d/1XiF77UIVHV0Kjc6xbXuOuJ10WgJYxd4p_22ngKVV5oM/edit?usp=sharing"",""ระยอง!J193"")"),1)</f>
        <v>1</v>
      </c>
      <c r="W66" s="87">
        <f t="shared" ca="1" si="85"/>
        <v>25</v>
      </c>
      <c r="X66" s="86">
        <f t="shared" ca="1" si="188"/>
        <v>37</v>
      </c>
      <c r="Y66" s="86">
        <f ca="1">IFERROR(__xludf.DUMMYFUNCTION("IMPORTRANGE(""https://docs.google.com/spreadsheets/d/1XiF77UIVHV0Kjc6xbXuOuJ10WgJYxd4p_22ngKVV5oM/edit?usp=sharing"",""ระยอง!J195"")"),37)</f>
        <v>37</v>
      </c>
      <c r="Z66" s="86">
        <f ca="1">IFERROR(__xludf.DUMMYFUNCTION("IMPORTRANGE(""https://docs.google.com/spreadsheets/d/1XiF77UIVHV0Kjc6xbXuOuJ10WgJYxd4p_22ngKVV5oM/edit?usp=sharing"",""ระยอง!J196"")"),0)</f>
        <v>0</v>
      </c>
      <c r="AA66" s="86">
        <f ca="1">IFERROR(__xludf.DUMMYFUNCTION("IMPORTRANGE(""https://docs.google.com/spreadsheets/d/1XiF77UIVHV0Kjc6xbXuOuJ10WgJYxd4p_22ngKVV5oM/edit?usp=sharing"",""ระยอง!L199"")"),1000)</f>
        <v>1000</v>
      </c>
      <c r="AB66" s="86">
        <f ca="1">IFERROR(__xludf.DUMMYFUNCTION("IMPORTRANGE(""https://docs.google.com/spreadsheets/d/1XiF77UIVHV0Kjc6xbXuOuJ10WgJYxd4p_22ngKVV5oM/edit?usp=sharing"",""ระยอง!N199"")"),1000)</f>
        <v>1000</v>
      </c>
      <c r="AC66" s="87">
        <f t="shared" ca="1" si="86"/>
        <v>100</v>
      </c>
      <c r="AD66" s="86">
        <f ca="1">IFERROR(__xludf.DUMMYFUNCTION("IMPORTRANGE(""https://docs.google.com/spreadsheets/d/1XiF77UIVHV0Kjc6xbXuOuJ10WgJYxd4p_22ngKVV5oM/edit?usp=sharing"",""ระยอง!L200"")"),8000)</f>
        <v>8000</v>
      </c>
      <c r="AE66" s="86">
        <f ca="1">IFERROR(__xludf.DUMMYFUNCTION("IMPORTRANGE(""https://docs.google.com/spreadsheets/d/1XiF77UIVHV0Kjc6xbXuOuJ10WgJYxd4p_22ngKVV5oM/edit?usp=sharing"",""ระยอง!N200"")"),8000)</f>
        <v>8000</v>
      </c>
      <c r="AF66" s="87">
        <f t="shared" ca="1" si="87"/>
        <v>100</v>
      </c>
      <c r="AG66" s="86">
        <f ca="1">IFERROR(__xludf.DUMMYFUNCTION("IMPORTRANGE(""https://docs.google.com/spreadsheets/d/1XiF77UIVHV0Kjc6xbXuOuJ10WgJYxd4p_22ngKVV5oM/edit?usp=sharing"",""ระยอง!L201"")"),4000)</f>
        <v>4000</v>
      </c>
      <c r="AH66" s="86">
        <f ca="1">IFERROR(__xludf.DUMMYFUNCTION("IMPORTRANGE(""https://docs.google.com/spreadsheets/d/1XiF77UIVHV0Kjc6xbXuOuJ10WgJYxd4p_22ngKVV5oM/edit?usp=sharing"",""ระยอง!N201"")"),4000)</f>
        <v>4000</v>
      </c>
      <c r="AI66" s="87">
        <f t="shared" ca="1" si="88"/>
        <v>100</v>
      </c>
      <c r="AJ66" s="86">
        <f ca="1">IFERROR(__xludf.DUMMYFUNCTION("IMPORTRANGE(""https://docs.google.com/spreadsheets/d/1XiF77UIVHV0Kjc6xbXuOuJ10WgJYxd4p_22ngKVV5oM/edit?usp=sharing"",""ระยอง!L202"")"),0)</f>
        <v>0</v>
      </c>
      <c r="AK66" s="86">
        <f ca="1">IFERROR(__xludf.DUMMYFUNCTION("IMPORTRANGE(""https://docs.google.com/spreadsheets/d/1XiF77UIVHV0Kjc6xbXuOuJ10WgJYxd4p_22ngKVV5oM/edit?usp=sharing"",""ระยอง!N202"")"),0)</f>
        <v>0</v>
      </c>
      <c r="AL66" s="87">
        <f t="shared" ca="1" si="89"/>
        <v>0</v>
      </c>
      <c r="AM66" s="86">
        <f ca="1">IFERROR(__xludf.DUMMYFUNCTION("IMPORTRANGE(""https://docs.google.com/spreadsheets/d/1XiF77UIVHV0Kjc6xbXuOuJ10WgJYxd4p_22ngKVV5oM/edit?usp=sharing"",""ระยอง!I204"")"),1)</f>
        <v>1</v>
      </c>
      <c r="AN66" s="86">
        <f ca="1">IFERROR(__xludf.DUMMYFUNCTION("IMPORTRANGE(""https://docs.google.com/spreadsheets/d/1XiF77UIVHV0Kjc6xbXuOuJ10WgJYxd4p_22ngKVV5oM/edit?usp=sharing"",""ระยอง!J204"")"),1)</f>
        <v>1</v>
      </c>
      <c r="AO66" s="87">
        <f t="shared" ca="1" si="90"/>
        <v>100</v>
      </c>
      <c r="AP66" s="298">
        <f ca="1">IFERROR(__xludf.DUMMYFUNCTION("IMPORTRANGE(""https://docs.google.com/spreadsheets/d/1XiF77UIVHV0Kjc6xbXuOuJ10WgJYxd4p_22ngKVV5oM/edit?usp=sharing"",""ระยอง!J206"")"),1)</f>
        <v>1</v>
      </c>
      <c r="AQ66" s="298">
        <f ca="1">IFERROR(__xludf.DUMMYFUNCTION("IMPORTRANGE(""https://docs.google.com/spreadsheets/d/1XiF77UIVHV0Kjc6xbXuOuJ10WgJYxd4p_22ngKVV5oM/edit?usp=sharing"",""ระยอง!J207"")"),0)</f>
        <v>0</v>
      </c>
      <c r="AR66" s="86">
        <f ca="1">IFERROR(__xludf.DUMMYFUNCTION("IMPORTRANGE(""https://docs.google.com/spreadsheets/d/1XiF77UIVHV0Kjc6xbXuOuJ10WgJYxd4p_22ngKVV5oM/edit?usp=sharing"",""ระยอง!L210"")"),0)</f>
        <v>0</v>
      </c>
      <c r="AS66" s="86">
        <f ca="1">IFERROR(__xludf.DUMMYFUNCTION("IMPORTRANGE(""https://docs.google.com/spreadsheets/d/1XiF77UIVHV0Kjc6xbXuOuJ10WgJYxd4p_22ngKVV5oM/edit?usp=sharing"",""ระยอง!N210"")"),0)</f>
        <v>0</v>
      </c>
      <c r="AT66" s="87">
        <f t="shared" ca="1" si="91"/>
        <v>0</v>
      </c>
      <c r="AU66" s="86">
        <f ca="1">IFERROR(__xludf.DUMMYFUNCTION("IMPORTRANGE(""https://docs.google.com/spreadsheets/d/1XiF77UIVHV0Kjc6xbXuOuJ10WgJYxd4p_22ngKVV5oM/edit?usp=sharing"",""ระยอง!L211"")"),0)</f>
        <v>0</v>
      </c>
      <c r="AV66" s="86">
        <f ca="1">IFERROR(__xludf.DUMMYFUNCTION("IMPORTRANGE(""https://docs.google.com/spreadsheets/d/1XiF77UIVHV0Kjc6xbXuOuJ10WgJYxd4p_22ngKVV5oM/edit?usp=sharing"",""ระยอง!N211"")"),0)</f>
        <v>0</v>
      </c>
      <c r="AW66" s="87">
        <f t="shared" ca="1" si="92"/>
        <v>0</v>
      </c>
      <c r="AX66" s="86">
        <f ca="1">IFERROR(__xludf.DUMMYFUNCTION("IMPORTRANGE(""https://docs.google.com/spreadsheets/d/1XiF77UIVHV0Kjc6xbXuOuJ10WgJYxd4p_22ngKVV5oM/edit?usp=sharing"",""ระยอง!L212"")"),0)</f>
        <v>0</v>
      </c>
      <c r="AY66" s="86">
        <f ca="1">IFERROR(__xludf.DUMMYFUNCTION("IMPORTRANGE(""https://docs.google.com/spreadsheets/d/1XiF77UIVHV0Kjc6xbXuOuJ10WgJYxd4p_22ngKVV5oM/edit?usp=sharing"",""ระยอง!N212"")"),0)</f>
        <v>0</v>
      </c>
      <c r="AZ66" s="87">
        <f t="shared" ca="1" si="93"/>
        <v>0</v>
      </c>
      <c r="BA66" s="86">
        <f ca="1">IFERROR(__xludf.DUMMYFUNCTION("IMPORTRANGE(""https://docs.google.com/spreadsheets/d/1XiF77UIVHV0Kjc6xbXuOuJ10WgJYxd4p_22ngKVV5oM/edit?usp=sharing"",""ระยอง!I214"")"),0)</f>
        <v>0</v>
      </c>
      <c r="BB66" s="86">
        <f ca="1">IFERROR(__xludf.DUMMYFUNCTION("IMPORTRANGE(""https://docs.google.com/spreadsheets/d/1XiF77UIVHV0Kjc6xbXuOuJ10WgJYxd4p_22ngKVV5oM/edit?usp=sharing"",""ระยอง!J214"")"),0)</f>
        <v>0</v>
      </c>
      <c r="BC66" s="87">
        <f t="shared" ca="1" si="94"/>
        <v>0</v>
      </c>
      <c r="BD66" s="86">
        <f ca="1">IFERROR(__xludf.DUMMYFUNCTION("IMPORTRANGE(""https://docs.google.com/spreadsheets/d/1XiF77UIVHV0Kjc6xbXuOuJ10WgJYxd4p_22ngKVV5oM/edit?usp=sharing"",""ระยอง!I215"")"),0)</f>
        <v>0</v>
      </c>
      <c r="BE66" s="86">
        <f ca="1">IFERROR(__xludf.DUMMYFUNCTION("IMPORTRANGE(""https://docs.google.com/spreadsheets/d/1XiF77UIVHV0Kjc6xbXuOuJ10WgJYxd4p_22ngKVV5oM/edit?usp=sharing"",""ระยอง!J215"")"),0)</f>
        <v>0</v>
      </c>
      <c r="BF66" s="87">
        <f t="shared" ca="1" si="95"/>
        <v>0</v>
      </c>
      <c r="BG66" s="86">
        <f ca="1">IFERROR(__xludf.DUMMYFUNCTION("IMPORTRANGE(""https://docs.google.com/spreadsheets/d/1XiF77UIVHV0Kjc6xbXuOuJ10WgJYxd4p_22ngKVV5oM/edit?usp=sharing"",""ระยอง!L218"")"),3000)</f>
        <v>3000</v>
      </c>
      <c r="BH66" s="86">
        <f ca="1">IFERROR(__xludf.DUMMYFUNCTION("IMPORTRANGE(""https://docs.google.com/spreadsheets/d/1XiF77UIVHV0Kjc6xbXuOuJ10WgJYxd4p_22ngKVV5oM/edit?usp=sharing"",""ระยอง!N218"")"),0)</f>
        <v>0</v>
      </c>
      <c r="BI66" s="87">
        <f t="shared" ca="1" si="96"/>
        <v>0</v>
      </c>
      <c r="BJ66" s="86">
        <f ca="1">IFERROR(__xludf.DUMMYFUNCTION("IMPORTRANGE(""https://docs.google.com/spreadsheets/d/1XiF77UIVHV0Kjc6xbXuOuJ10WgJYxd4p_22ngKVV5oM/edit?usp=sharing"",""ระยอง!L219"")"),3200)</f>
        <v>3200</v>
      </c>
      <c r="BK66" s="86">
        <f ca="1">IFERROR(__xludf.DUMMYFUNCTION("IMPORTRANGE(""https://docs.google.com/spreadsheets/d/1XiF77UIVHV0Kjc6xbXuOuJ10WgJYxd4p_22ngKVV5oM/edit?usp=sharing"",""ระยอง!N219"")"),0)</f>
        <v>0</v>
      </c>
      <c r="BL66" s="87">
        <f t="shared" ca="1" si="97"/>
        <v>0</v>
      </c>
      <c r="BM66" s="86">
        <f ca="1">IFERROR(__xludf.DUMMYFUNCTION("IMPORTRANGE(""https://docs.google.com/spreadsheets/d/1XiF77UIVHV0Kjc6xbXuOuJ10WgJYxd4p_22ngKVV5oM/edit?usp=sharing"",""ระยอง!L220"")"),0)</f>
        <v>0</v>
      </c>
      <c r="BN66" s="86">
        <f ca="1">IFERROR(__xludf.DUMMYFUNCTION("IMPORTRANGE(""https://docs.google.com/spreadsheets/d/1XiF77UIVHV0Kjc6xbXuOuJ10WgJYxd4p_22ngKVV5oM/edit?usp=sharing"",""ระยอง!N220"")"),0)</f>
        <v>0</v>
      </c>
      <c r="BO66" s="87">
        <f t="shared" ca="1" si="98"/>
        <v>0</v>
      </c>
      <c r="BP66" s="86">
        <f ca="1">IFERROR(__xludf.DUMMYFUNCTION("IMPORTRANGE(""https://docs.google.com/spreadsheets/d/1XiF77UIVHV0Kjc6xbXuOuJ10WgJYxd4p_22ngKVV5oM/edit?usp=sharing"",""ระยอง!I223"")"),6400)</f>
        <v>6400</v>
      </c>
      <c r="BQ66" s="86">
        <f ca="1">IFERROR(__xludf.DUMMYFUNCTION("IMPORTRANGE(""https://docs.google.com/spreadsheets/d/1XiF77UIVHV0Kjc6xbXuOuJ10WgJYxd4p_22ngKVV5oM/edit?usp=sharing"",""ระยอง!J223"")"),0)</f>
        <v>0</v>
      </c>
      <c r="BR66" s="87">
        <f t="shared" ca="1" si="99"/>
        <v>0</v>
      </c>
      <c r="BS66" s="86">
        <f ca="1">IFERROR(__xludf.DUMMYFUNCTION("IMPORTRANGE(""https://docs.google.com/spreadsheets/d/1XiF77UIVHV0Kjc6xbXuOuJ10WgJYxd4p_22ngKVV5oM/edit?usp=sharing"",""ระยอง!I224"")"),6400)</f>
        <v>6400</v>
      </c>
      <c r="BT66" s="86">
        <f ca="1">IFERROR(__xludf.DUMMYFUNCTION("IMPORTRANGE(""https://docs.google.com/spreadsheets/d/1XiF77UIVHV0Kjc6xbXuOuJ10WgJYxd4p_22ngKVV5oM/edit?usp=sharing"",""ระยอง!J224"")"),0)</f>
        <v>0</v>
      </c>
      <c r="BU66" s="87">
        <f t="shared" ca="1" si="100"/>
        <v>0</v>
      </c>
      <c r="BV66" s="86">
        <f ca="1">IFERROR(__xludf.DUMMYFUNCTION("IMPORTRANGE(""https://docs.google.com/spreadsheets/d/1XiF77UIVHV0Kjc6xbXuOuJ10WgJYxd4p_22ngKVV5oM/edit?usp=sharing"",""ระยอง!I225"")"),0)</f>
        <v>0</v>
      </c>
      <c r="BW66" s="86">
        <f ca="1">IFERROR(__xludf.DUMMYFUNCTION("IMPORTRANGE(""https://docs.google.com/spreadsheets/d/1XiF77UIVHV0Kjc6xbXuOuJ10WgJYxd4p_22ngKVV5oM/edit?usp=sharing"",""ระยอง!J225"")"),0)</f>
        <v>0</v>
      </c>
      <c r="BX66" s="87">
        <f t="shared" ca="1" si="101"/>
        <v>0</v>
      </c>
      <c r="BY66" s="86">
        <f ca="1">IFERROR(__xludf.DUMMYFUNCTION("IMPORTRANGE(""https://docs.google.com/spreadsheets/d/1XiF77UIVHV0Kjc6xbXuOuJ10WgJYxd4p_22ngKVV5oM/edit?usp=sharing"",""ระยอง!L228"")"),20000)</f>
        <v>20000</v>
      </c>
      <c r="BZ66" s="86">
        <f ca="1">IFERROR(__xludf.DUMMYFUNCTION("IMPORTRANGE(""https://docs.google.com/spreadsheets/d/1XiF77UIVHV0Kjc6xbXuOuJ10WgJYxd4p_22ngKVV5oM/edit?usp=sharing"",""ระยอง!N228"")"),0)</f>
        <v>0</v>
      </c>
      <c r="CA66" s="87">
        <f t="shared" ca="1" si="102"/>
        <v>0</v>
      </c>
      <c r="CB66" s="86">
        <f ca="1">IFERROR(__xludf.DUMMYFUNCTION("IMPORTRANGE(""https://docs.google.com/spreadsheets/d/1XiF77UIVHV0Kjc6xbXuOuJ10WgJYxd4p_22ngKVV5oM/edit?usp=sharing"",""ระยอง!L229"")"),28000)</f>
        <v>28000</v>
      </c>
      <c r="CC66" s="86">
        <f ca="1">IFERROR(__xludf.DUMMYFUNCTION("IMPORTRANGE(""https://docs.google.com/spreadsheets/d/1XiF77UIVHV0Kjc6xbXuOuJ10WgJYxd4p_22ngKVV5oM/edit?usp=sharing"",""ระยอง!N229"")"),0)</f>
        <v>0</v>
      </c>
      <c r="CD66" s="87">
        <f t="shared" ca="1" si="103"/>
        <v>0</v>
      </c>
      <c r="CE66" s="86">
        <f ca="1">IFERROR(__xludf.DUMMYFUNCTION("IMPORTRANGE(""https://docs.google.com/spreadsheets/d/1XiF77UIVHV0Kjc6xbXuOuJ10WgJYxd4p_22ngKVV5oM/edit?usp=sharing"",""ระยอง!L230"")"),20000)</f>
        <v>20000</v>
      </c>
      <c r="CF66" s="86">
        <f ca="1">IFERROR(__xludf.DUMMYFUNCTION("IMPORTRANGE(""https://docs.google.com/spreadsheets/d/1XiF77UIVHV0Kjc6xbXuOuJ10WgJYxd4p_22ngKVV5oM/edit?usp=sharing"",""ระยอง!N230"")"),0)</f>
        <v>0</v>
      </c>
      <c r="CG66" s="87">
        <f t="shared" ca="1" si="104"/>
        <v>0</v>
      </c>
      <c r="CH66" s="86">
        <f ca="1">IFERROR(__xludf.DUMMYFUNCTION("IMPORTRANGE(""https://docs.google.com/spreadsheets/d/1XiF77UIVHV0Kjc6xbXuOuJ10WgJYxd4p_22ngKVV5oM/edit?usp=sharing"",""ระยอง!L231"")"),10000)</f>
        <v>10000</v>
      </c>
      <c r="CI66" s="86">
        <f ca="1">IFERROR(__xludf.DUMMYFUNCTION("IMPORTRANGE(""https://docs.google.com/spreadsheets/d/1XiF77UIVHV0Kjc6xbXuOuJ10WgJYxd4p_22ngKVV5oM/edit?usp=sharing"",""ระยอง!N231"")"),0)</f>
        <v>0</v>
      </c>
      <c r="CJ66" s="87">
        <f t="shared" ca="1" si="105"/>
        <v>0</v>
      </c>
      <c r="CK66" s="86">
        <f ca="1">IFERROR(__xludf.DUMMYFUNCTION("IMPORTRANGE(""https://docs.google.com/spreadsheets/d/1XiF77UIVHV0Kjc6xbXuOuJ10WgJYxd4p_22ngKVV5oM/edit?usp=sharing"",""ระยอง!I233"")"),20)</f>
        <v>20</v>
      </c>
      <c r="CL66" s="86">
        <f ca="1">IFERROR(__xludf.DUMMYFUNCTION("IMPORTRANGE(""https://docs.google.com/spreadsheets/d/1XiF77UIVHV0Kjc6xbXuOuJ10WgJYxd4p_22ngKVV5oM/edit?usp=sharing"",""ระยอง!J233"")"),0)</f>
        <v>0</v>
      </c>
      <c r="CM66" s="87">
        <f t="shared" ca="1" si="106"/>
        <v>0</v>
      </c>
      <c r="CN66" s="86">
        <f ca="1">IFERROR(__xludf.DUMMYFUNCTION("IMPORTRANGE(""https://docs.google.com/spreadsheets/d/1XiF77UIVHV0Kjc6xbXuOuJ10WgJYxd4p_22ngKVV5oM/edit?usp=sharing"",""ระยอง!J235"")"),0)</f>
        <v>0</v>
      </c>
      <c r="CO66" s="86">
        <f ca="1">IFERROR(__xludf.DUMMYFUNCTION("IMPORTRANGE(""https://docs.google.com/spreadsheets/d/1XiF77UIVHV0Kjc6xbXuOuJ10WgJYxd4p_22ngKVV5oM/edit?usp=sharing"",""ระยอง!J236"")"),0)</f>
        <v>0</v>
      </c>
    </row>
    <row r="67" spans="1:93" ht="21" customHeight="1" x14ac:dyDescent="0.3">
      <c r="A67" s="78">
        <v>15</v>
      </c>
      <c r="B67" s="79" t="s">
        <v>89</v>
      </c>
      <c r="C67" s="80">
        <f t="shared" ca="1" si="0"/>
        <v>53000</v>
      </c>
      <c r="D67" s="81">
        <f t="shared" ca="1" si="187"/>
        <v>53000</v>
      </c>
      <c r="E67" s="82">
        <f ca="1">IFERROR(__xludf.DUMMYFUNCTION("IMPORTRANGE(""https://docs.google.com/spreadsheets/d/1MeEWN-I1oV_STSDYn1IFDPWt_1FKiwhDph83XaGc0o0/edit?usp=sharing"",""งบพรบ!CP67"")"),0)</f>
        <v>0</v>
      </c>
      <c r="F67" s="82">
        <f ca="1">IFERROR(__xludf.DUMMYFUNCTION("IMPORTRANGE(""https://docs.google.com/spreadsheets/d/1MeEWN-I1oV_STSDYn1IFDPWt_1FKiwhDph83XaGc0o0/edit?usp=sharing"",""งบพรบ!CQ67"")"),53000)</f>
        <v>53000</v>
      </c>
      <c r="G67" s="82">
        <f ca="1">IFERROR(__xludf.DUMMYFUNCTION("IMPORTRANGE(""https://docs.google.com/spreadsheets/d/1MeEWN-I1oV_STSDYn1IFDPWt_1FKiwhDph83XaGc0o0/edit?usp=sharing"",""งบพรบ!CR67"")"),0)</f>
        <v>0</v>
      </c>
      <c r="H67" s="82">
        <f ca="1">IFERROR(__xludf.DUMMYFUNCTION("IMPORTRANGE(""https://docs.google.com/spreadsheets/d/1MeEWN-I1oV_STSDYn1IFDPWt_1FKiwhDph83XaGc0o0/edit?usp=sharing"",""งบพรบ!CT67"")"),46500)</f>
        <v>46500</v>
      </c>
      <c r="I67" s="82">
        <f ca="1">IFERROR(__xludf.DUMMYFUNCTION("IMPORTRANGE(""https://docs.google.com/spreadsheets/d/1MeEWN-I1oV_STSDYn1IFDPWt_1FKiwhDph83XaGc0o0/edit?usp=sharing"",""งบพรบ!CU67"")"),0)</f>
        <v>0</v>
      </c>
      <c r="J67" s="82">
        <f t="shared" ca="1" si="3"/>
        <v>25180</v>
      </c>
      <c r="K67" s="83">
        <f t="shared" ca="1" si="4"/>
        <v>47.509433962264154</v>
      </c>
      <c r="L67" s="82">
        <f ca="1">IFERROR(__xludf.DUMMYFUNCTION("IMPORTRANGE(""https://docs.google.com/spreadsheets/d/1MeEWN-I1oV_STSDYn1IFDPWt_1FKiwhDph83XaGc0o0/edit?usp=sharing"",""งบพรบ!CV67"")"),25180)</f>
        <v>25180</v>
      </c>
      <c r="M67" s="84">
        <f t="shared" ca="1" si="5"/>
        <v>47.509433962264154</v>
      </c>
      <c r="N67" s="84">
        <f t="shared" ca="1" si="6"/>
        <v>54.1505376344086</v>
      </c>
      <c r="O67" s="85">
        <f ca="1">IFERROR(__xludf.DUMMYFUNCTION("IMPORTRANGE(""https://docs.google.com/spreadsheets/d/1MeEWN-I1oV_STSDYn1IFDPWt_1FKiwhDph83XaGc0o0/edit?usp=sharing"",""งบพรบ!CW67"")"),0)</f>
        <v>0</v>
      </c>
      <c r="P67" s="85">
        <f t="shared" ca="1" si="108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IFERROR(__xludf.DUMMYFUNCTION("IMPORTRANGE(""https://docs.google.com/spreadsheets/d/1qU-W_9MCQD1pgIVXGEOjCFo9QqlmJywuebyGgaN92r8/edit?usp=sharing"",""ราชบุรี!L191"")"),6000)</f>
        <v>6000</v>
      </c>
      <c r="S67" s="86">
        <f ca="1">IFERROR(__xludf.DUMMYFUNCTION("IMPORTRANGE(""https://docs.google.com/spreadsheets/d/1qU-W_9MCQD1pgIVXGEOjCFo9QqlmJywuebyGgaN92r8/edit?usp=sharing"",""ราชบุรี!N191"")"),0)</f>
        <v>0</v>
      </c>
      <c r="T67" s="87">
        <f t="shared" ca="1" si="84"/>
        <v>0</v>
      </c>
      <c r="U67" s="86">
        <f ca="1">IFERROR(__xludf.DUMMYFUNCTION("IMPORTRANGE(""https://docs.google.com/spreadsheets/d/1qU-W_9MCQD1pgIVXGEOjCFo9QqlmJywuebyGgaN92r8/edit?usp=sharing"",""ราชบุรี!I193"")"),4)</f>
        <v>4</v>
      </c>
      <c r="V67" s="86">
        <f ca="1">IFERROR(__xludf.DUMMYFUNCTION("IMPORTRANGE(""https://docs.google.com/spreadsheets/d/1qU-W_9MCQD1pgIVXGEOjCFo9QqlmJywuebyGgaN92r8/edit?usp=sharing"",""ราชบุรี!J193"")"),1)</f>
        <v>1</v>
      </c>
      <c r="W67" s="87">
        <f t="shared" ca="1" si="85"/>
        <v>25</v>
      </c>
      <c r="X67" s="86">
        <f t="shared" ca="1" si="188"/>
        <v>120</v>
      </c>
      <c r="Y67" s="86">
        <f ca="1">IFERROR(__xludf.DUMMYFUNCTION("IMPORTRANGE(""https://docs.google.com/spreadsheets/d/1qU-W_9MCQD1pgIVXGEOjCFo9QqlmJywuebyGgaN92r8/edit?usp=sharing"",""ราชบุรี!J195"")"),120)</f>
        <v>120</v>
      </c>
      <c r="Z67" s="86">
        <f ca="1">IFERROR(__xludf.DUMMYFUNCTION("IMPORTRANGE(""https://docs.google.com/spreadsheets/d/1qU-W_9MCQD1pgIVXGEOjCFo9QqlmJywuebyGgaN92r8/edit?usp=sharing"",""ราชบุรี!J196"")"),0)</f>
        <v>0</v>
      </c>
      <c r="AA67" s="86">
        <f ca="1">IFERROR(__xludf.DUMMYFUNCTION("IMPORTRANGE(""https://docs.google.com/spreadsheets/d/1qU-W_9MCQD1pgIVXGEOjCFo9QqlmJywuebyGgaN92r8/edit?usp=sharing"",""ราชบุรี!L199"")"),3000)</f>
        <v>3000</v>
      </c>
      <c r="AB67" s="86">
        <f ca="1">IFERROR(__xludf.DUMMYFUNCTION("IMPORTRANGE(""https://docs.google.com/spreadsheets/d/1qU-W_9MCQD1pgIVXGEOjCFo9QqlmJywuebyGgaN92r8/edit?usp=sharing"",""ราชบุรี!N199"")"),1180)</f>
        <v>1180</v>
      </c>
      <c r="AC67" s="87">
        <f t="shared" ca="1" si="86"/>
        <v>39.333333333333336</v>
      </c>
      <c r="AD67" s="86">
        <f ca="1">IFERROR(__xludf.DUMMYFUNCTION("IMPORTRANGE(""https://docs.google.com/spreadsheets/d/1qU-W_9MCQD1pgIVXGEOjCFo9QqlmJywuebyGgaN92r8/edit?usp=sharing"",""ราชบุรี!L200"")"),24000)</f>
        <v>24000</v>
      </c>
      <c r="AE67" s="86">
        <f ca="1">IFERROR(__xludf.DUMMYFUNCTION("IMPORTRANGE(""https://docs.google.com/spreadsheets/d/1qU-W_9MCQD1pgIVXGEOjCFo9QqlmJywuebyGgaN92r8/edit?usp=sharing"",""ราชบุรี!N200"")"),24000)</f>
        <v>24000</v>
      </c>
      <c r="AF67" s="87">
        <f t="shared" ca="1" si="87"/>
        <v>100</v>
      </c>
      <c r="AG67" s="86">
        <f ca="1">IFERROR(__xludf.DUMMYFUNCTION("IMPORTRANGE(""https://docs.google.com/spreadsheets/d/1qU-W_9MCQD1pgIVXGEOjCFo9QqlmJywuebyGgaN92r8/edit?usp=sharing"",""ราชบุรี!L201"")"),12000)</f>
        <v>12000</v>
      </c>
      <c r="AH67" s="86">
        <f ca="1">IFERROR(__xludf.DUMMYFUNCTION("IMPORTRANGE(""https://docs.google.com/spreadsheets/d/1qU-W_9MCQD1pgIVXGEOjCFo9QqlmJywuebyGgaN92r8/edit?usp=sharing"",""ราชบุรี!N201"")"),0)</f>
        <v>0</v>
      </c>
      <c r="AI67" s="87">
        <f t="shared" ca="1" si="88"/>
        <v>0</v>
      </c>
      <c r="AJ67" s="86">
        <f ca="1">IFERROR(__xludf.DUMMYFUNCTION("IMPORTRANGE(""https://docs.google.com/spreadsheets/d/1qU-W_9MCQD1pgIVXGEOjCFo9QqlmJywuebyGgaN92r8/edit?usp=sharing"",""ราชบุรี!L202"")"),0)</f>
        <v>0</v>
      </c>
      <c r="AK67" s="86">
        <f ca="1">IFERROR(__xludf.DUMMYFUNCTION("IMPORTRANGE(""https://docs.google.com/spreadsheets/d/1qU-W_9MCQD1pgIVXGEOjCFo9QqlmJywuebyGgaN92r8/edit?usp=sharing"",""ราชบุรี!N202"")"),0)</f>
        <v>0</v>
      </c>
      <c r="AL67" s="87">
        <f t="shared" ca="1" si="89"/>
        <v>0</v>
      </c>
      <c r="AM67" s="86">
        <f ca="1">IFERROR(__xludf.DUMMYFUNCTION("IMPORTRANGE(""https://docs.google.com/spreadsheets/d/1qU-W_9MCQD1pgIVXGEOjCFo9QqlmJywuebyGgaN92r8/edit?usp=sharing"",""ราชบุรี!I204"")"),3)</f>
        <v>3</v>
      </c>
      <c r="AN67" s="86">
        <f ca="1">IFERROR(__xludf.DUMMYFUNCTION("IMPORTRANGE(""https://docs.google.com/spreadsheets/d/1qU-W_9MCQD1pgIVXGEOjCFo9QqlmJywuebyGgaN92r8/edit?usp=sharing"",""ราชบุรี!J204"")"),3)</f>
        <v>3</v>
      </c>
      <c r="AO67" s="87">
        <f t="shared" ca="1" si="90"/>
        <v>100</v>
      </c>
      <c r="AP67" s="298">
        <f ca="1">IFERROR(__xludf.DUMMYFUNCTION("IMPORTRANGE(""https://docs.google.com/spreadsheets/d/1qU-W_9MCQD1pgIVXGEOjCFo9QqlmJywuebyGgaN92r8/edit?usp=sharing"",""ราชบุรี!J206"")"),0)</f>
        <v>0</v>
      </c>
      <c r="AQ67" s="298">
        <f ca="1">IFERROR(__xludf.DUMMYFUNCTION("IMPORTRANGE(""https://docs.google.com/spreadsheets/d/1qU-W_9MCQD1pgIVXGEOjCFo9QqlmJywuebyGgaN92r8/edit?usp=sharing"",""ราชบุรี!J207"")"),0)</f>
        <v>0</v>
      </c>
      <c r="AR67" s="86">
        <f ca="1">IFERROR(__xludf.DUMMYFUNCTION("IMPORTRANGE(""https://docs.google.com/spreadsheets/d/1qU-W_9MCQD1pgIVXGEOjCFo9QqlmJywuebyGgaN92r8/edit?usp=sharing"",""ราชบุรี!L210"")"),0)</f>
        <v>0</v>
      </c>
      <c r="AS67" s="86">
        <f ca="1">IFERROR(__xludf.DUMMYFUNCTION("IMPORTRANGE(""https://docs.google.com/spreadsheets/d/1qU-W_9MCQD1pgIVXGEOjCFo9QqlmJywuebyGgaN92r8/edit?usp=sharing"",""ราชบุรี!N210"")"),0)</f>
        <v>0</v>
      </c>
      <c r="AT67" s="87">
        <f t="shared" ca="1" si="91"/>
        <v>0</v>
      </c>
      <c r="AU67" s="86">
        <f ca="1">IFERROR(__xludf.DUMMYFUNCTION("IMPORTRANGE(""https://docs.google.com/spreadsheets/d/1qU-W_9MCQD1pgIVXGEOjCFo9QqlmJywuebyGgaN92r8/edit?usp=sharing"",""ราชบุรี!L211"")"),0)</f>
        <v>0</v>
      </c>
      <c r="AV67" s="86">
        <f ca="1">IFERROR(__xludf.DUMMYFUNCTION("IMPORTRANGE(""https://docs.google.com/spreadsheets/d/1qU-W_9MCQD1pgIVXGEOjCFo9QqlmJywuebyGgaN92r8/edit?usp=sharing"",""ราชบุรี!N211"")"),0)</f>
        <v>0</v>
      </c>
      <c r="AW67" s="87">
        <f t="shared" ca="1" si="92"/>
        <v>0</v>
      </c>
      <c r="AX67" s="86">
        <f ca="1">IFERROR(__xludf.DUMMYFUNCTION("IMPORTRANGE(""https://docs.google.com/spreadsheets/d/1qU-W_9MCQD1pgIVXGEOjCFo9QqlmJywuebyGgaN92r8/edit?usp=sharing"",""ราชบุรี!L212"")"),0)</f>
        <v>0</v>
      </c>
      <c r="AY67" s="86">
        <f ca="1">IFERROR(__xludf.DUMMYFUNCTION("IMPORTRANGE(""https://docs.google.com/spreadsheets/d/1qU-W_9MCQD1pgIVXGEOjCFo9QqlmJywuebyGgaN92r8/edit?usp=sharing"",""ราชบุรี!N212"")"),0)</f>
        <v>0</v>
      </c>
      <c r="AZ67" s="87">
        <f t="shared" ca="1" si="93"/>
        <v>0</v>
      </c>
      <c r="BA67" s="86">
        <f ca="1">IFERROR(__xludf.DUMMYFUNCTION("IMPORTRANGE(""https://docs.google.com/spreadsheets/d/1qU-W_9MCQD1pgIVXGEOjCFo9QqlmJywuebyGgaN92r8/edit?usp=sharing"",""ราชบุรี!I214"")"),0)</f>
        <v>0</v>
      </c>
      <c r="BB67" s="86">
        <f ca="1">IFERROR(__xludf.DUMMYFUNCTION("IMPORTRANGE(""https://docs.google.com/spreadsheets/d/1qU-W_9MCQD1pgIVXGEOjCFo9QqlmJywuebyGgaN92r8/edit?usp=sharing"",""ราชบุรี!J214"")"),0)</f>
        <v>0</v>
      </c>
      <c r="BC67" s="87">
        <f t="shared" ca="1" si="94"/>
        <v>0</v>
      </c>
      <c r="BD67" s="86">
        <f ca="1">IFERROR(__xludf.DUMMYFUNCTION("IMPORTRANGE(""https://docs.google.com/spreadsheets/d/1qU-W_9MCQD1pgIVXGEOjCFo9QqlmJywuebyGgaN92r8/edit?usp=sharing"",""ราชบุรี!I215"")"),0)</f>
        <v>0</v>
      </c>
      <c r="BE67" s="86">
        <f ca="1">IFERROR(__xludf.DUMMYFUNCTION("IMPORTRANGE(""https://docs.google.com/spreadsheets/d/1qU-W_9MCQD1pgIVXGEOjCFo9QqlmJywuebyGgaN92r8/edit?usp=sharing"",""ราชบุรี!J215"")"),0)</f>
        <v>0</v>
      </c>
      <c r="BF67" s="87">
        <f t="shared" ca="1" si="95"/>
        <v>0</v>
      </c>
      <c r="BG67" s="86">
        <f ca="1">IFERROR(__xludf.DUMMYFUNCTION("IMPORTRANGE(""https://docs.google.com/spreadsheets/d/1qU-W_9MCQD1pgIVXGEOjCFo9QqlmJywuebyGgaN92r8/edit?usp=sharing"",""ราชบุรี!L218"")"),3000)</f>
        <v>3000</v>
      </c>
      <c r="BH67" s="86">
        <f ca="1">IFERROR(__xludf.DUMMYFUNCTION("IMPORTRANGE(""https://docs.google.com/spreadsheets/d/1qU-W_9MCQD1pgIVXGEOjCFo9QqlmJywuebyGgaN92r8/edit?usp=sharing"",""ราชบุรี!N218"")"),0)</f>
        <v>0</v>
      </c>
      <c r="BI67" s="87">
        <f t="shared" ca="1" si="96"/>
        <v>0</v>
      </c>
      <c r="BJ67" s="86">
        <f ca="1">IFERROR(__xludf.DUMMYFUNCTION("IMPORTRANGE(""https://docs.google.com/spreadsheets/d/1qU-W_9MCQD1pgIVXGEOjCFo9QqlmJywuebyGgaN92r8/edit?usp=sharing"",""ราชบุรี!L219"")"),5000)</f>
        <v>5000</v>
      </c>
      <c r="BK67" s="86">
        <f ca="1">IFERROR(__xludf.DUMMYFUNCTION("IMPORTRANGE(""https://docs.google.com/spreadsheets/d/1qU-W_9MCQD1pgIVXGEOjCFo9QqlmJywuebyGgaN92r8/edit?usp=sharing"",""ราชบุรี!N219"")"),0)</f>
        <v>0</v>
      </c>
      <c r="BL67" s="87">
        <f t="shared" ca="1" si="97"/>
        <v>0</v>
      </c>
      <c r="BM67" s="86">
        <f ca="1">IFERROR(__xludf.DUMMYFUNCTION("IMPORTRANGE(""https://docs.google.com/spreadsheets/d/1qU-W_9MCQD1pgIVXGEOjCFo9QqlmJywuebyGgaN92r8/edit?usp=sharing"",""ราชบุรี!L220"")"),0)</f>
        <v>0</v>
      </c>
      <c r="BN67" s="86">
        <f ca="1">IFERROR(__xludf.DUMMYFUNCTION("IMPORTRANGE(""https://docs.google.com/spreadsheets/d/1qU-W_9MCQD1pgIVXGEOjCFo9QqlmJywuebyGgaN92r8/edit?usp=sharing"",""ราชบุรี!N220"")"),0)</f>
        <v>0</v>
      </c>
      <c r="BO67" s="87">
        <f t="shared" ca="1" si="98"/>
        <v>0</v>
      </c>
      <c r="BP67" s="86">
        <f ca="1">IFERROR(__xludf.DUMMYFUNCTION("IMPORTRANGE(""https://docs.google.com/spreadsheets/d/1qU-W_9MCQD1pgIVXGEOjCFo9QqlmJywuebyGgaN92r8/edit?usp=sharing"",""ราชบุรี!I223"")"),20000)</f>
        <v>20000</v>
      </c>
      <c r="BQ67" s="86">
        <f ca="1">IFERROR(__xludf.DUMMYFUNCTION("IMPORTRANGE(""https://docs.google.com/spreadsheets/d/1qU-W_9MCQD1pgIVXGEOjCFo9QqlmJywuebyGgaN92r8/edit?usp=sharing"",""ราชบุรี!J223"")"),0)</f>
        <v>0</v>
      </c>
      <c r="BR67" s="87">
        <f t="shared" ca="1" si="99"/>
        <v>0</v>
      </c>
      <c r="BS67" s="86">
        <f ca="1">IFERROR(__xludf.DUMMYFUNCTION("IMPORTRANGE(""https://docs.google.com/spreadsheets/d/1qU-W_9MCQD1pgIVXGEOjCFo9QqlmJywuebyGgaN92r8/edit?usp=sharing"",""ราชบุรี!I224"")"),20000)</f>
        <v>20000</v>
      </c>
      <c r="BT67" s="86">
        <f ca="1">IFERROR(__xludf.DUMMYFUNCTION("IMPORTRANGE(""https://docs.google.com/spreadsheets/d/1qU-W_9MCQD1pgIVXGEOjCFo9QqlmJywuebyGgaN92r8/edit?usp=sharing"",""ราชบุรี!J224"")"),0)</f>
        <v>0</v>
      </c>
      <c r="BU67" s="87">
        <f t="shared" ca="1" si="100"/>
        <v>0</v>
      </c>
      <c r="BV67" s="86">
        <f ca="1">IFERROR(__xludf.DUMMYFUNCTION("IMPORTRANGE(""https://docs.google.com/spreadsheets/d/1qU-W_9MCQD1pgIVXGEOjCFo9QqlmJywuebyGgaN92r8/edit?usp=sharing"",""ราชบุรี!I225"")"),0)</f>
        <v>0</v>
      </c>
      <c r="BW67" s="86">
        <f ca="1">IFERROR(__xludf.DUMMYFUNCTION("IMPORTRANGE(""https://docs.google.com/spreadsheets/d/1qU-W_9MCQD1pgIVXGEOjCFo9QqlmJywuebyGgaN92r8/edit?usp=sharing"",""ราชบุรี!J225"")"),0)</f>
        <v>0</v>
      </c>
      <c r="BX67" s="87">
        <f t="shared" ca="1" si="101"/>
        <v>0</v>
      </c>
      <c r="BY67" s="86">
        <f ca="1">IFERROR(__xludf.DUMMYFUNCTION("IMPORTRANGE(""https://docs.google.com/spreadsheets/d/1qU-W_9MCQD1pgIVXGEOjCFo9QqlmJywuebyGgaN92r8/edit?usp=sharing"",""ราชบุรี!L228"")"),0)</f>
        <v>0</v>
      </c>
      <c r="BZ67" s="86">
        <f ca="1">IFERROR(__xludf.DUMMYFUNCTION("IMPORTRANGE(""https://docs.google.com/spreadsheets/d/1qU-W_9MCQD1pgIVXGEOjCFo9QqlmJywuebyGgaN92r8/edit?usp=sharing"",""ราชบุรี!N228"")"),0)</f>
        <v>0</v>
      </c>
      <c r="CA67" s="87">
        <f t="shared" ca="1" si="102"/>
        <v>0</v>
      </c>
      <c r="CB67" s="86">
        <f ca="1">IFERROR(__xludf.DUMMYFUNCTION("IMPORTRANGE(""https://docs.google.com/spreadsheets/d/1qU-W_9MCQD1pgIVXGEOjCFo9QqlmJywuebyGgaN92r8/edit?usp=sharing"",""ราชบุรี!L229"")"),0)</f>
        <v>0</v>
      </c>
      <c r="CC67" s="86">
        <f ca="1">IFERROR(__xludf.DUMMYFUNCTION("IMPORTRANGE(""https://docs.google.com/spreadsheets/d/1qU-W_9MCQD1pgIVXGEOjCFo9QqlmJywuebyGgaN92r8/edit?usp=sharing"",""ราชบุรี!N229"")"),0)</f>
        <v>0</v>
      </c>
      <c r="CD67" s="87">
        <f t="shared" ca="1" si="103"/>
        <v>0</v>
      </c>
      <c r="CE67" s="86">
        <f ca="1">IFERROR(__xludf.DUMMYFUNCTION("IMPORTRANGE(""https://docs.google.com/spreadsheets/d/1qU-W_9MCQD1pgIVXGEOjCFo9QqlmJywuebyGgaN92r8/edit?usp=sharing"",""ราชบุรี!L230"")"),0)</f>
        <v>0</v>
      </c>
      <c r="CF67" s="86">
        <f ca="1">IFERROR(__xludf.DUMMYFUNCTION("IMPORTRANGE(""https://docs.google.com/spreadsheets/d/1qU-W_9MCQD1pgIVXGEOjCFo9QqlmJywuebyGgaN92r8/edit?usp=sharing"",""ราชบุรี!N230"")"),0)</f>
        <v>0</v>
      </c>
      <c r="CG67" s="87">
        <f t="shared" ca="1" si="104"/>
        <v>0</v>
      </c>
      <c r="CH67" s="86">
        <f ca="1">IFERROR(__xludf.DUMMYFUNCTION("IMPORTRANGE(""https://docs.google.com/spreadsheets/d/1qU-W_9MCQD1pgIVXGEOjCFo9QqlmJywuebyGgaN92r8/edit?usp=sharing"",""ราชบุรี!L231"")"),0)</f>
        <v>0</v>
      </c>
      <c r="CI67" s="86">
        <f ca="1">IFERROR(__xludf.DUMMYFUNCTION("IMPORTRANGE(""https://docs.google.com/spreadsheets/d/1qU-W_9MCQD1pgIVXGEOjCFo9QqlmJywuebyGgaN92r8/edit?usp=sharing"",""ราชบุรี!N231"")"),0)</f>
        <v>0</v>
      </c>
      <c r="CJ67" s="87">
        <f t="shared" ca="1" si="105"/>
        <v>0</v>
      </c>
      <c r="CK67" s="86">
        <f ca="1">IFERROR(__xludf.DUMMYFUNCTION("IMPORTRANGE(""https://docs.google.com/spreadsheets/d/1qU-W_9MCQD1pgIVXGEOjCFo9QqlmJywuebyGgaN92r8/edit?usp=sharing"",""ราชบุรี!I233"")"),0)</f>
        <v>0</v>
      </c>
      <c r="CL67" s="86">
        <f ca="1">IFERROR(__xludf.DUMMYFUNCTION("IMPORTRANGE(""https://docs.google.com/spreadsheets/d/1qU-W_9MCQD1pgIVXGEOjCFo9QqlmJywuebyGgaN92r8/edit?usp=sharing"",""ราชบุรี!J233"")"),0)</f>
        <v>0</v>
      </c>
      <c r="CM67" s="87">
        <f t="shared" ca="1" si="106"/>
        <v>0</v>
      </c>
      <c r="CN67" s="86">
        <f ca="1">IFERROR(__xludf.DUMMYFUNCTION("IMPORTRANGE(""https://docs.google.com/spreadsheets/d/1qU-W_9MCQD1pgIVXGEOjCFo9QqlmJywuebyGgaN92r8/edit?usp=sharing"",""ราชบุรี!J235"")"),0)</f>
        <v>0</v>
      </c>
      <c r="CO67" s="86">
        <f ca="1">IFERROR(__xludf.DUMMYFUNCTION("IMPORTRANGE(""https://docs.google.com/spreadsheets/d/1qU-W_9MCQD1pgIVXGEOjCFo9QqlmJywuebyGgaN92r8/edit?usp=sharing"",""ราชบุรี!J236"")"),0)</f>
        <v>0</v>
      </c>
    </row>
    <row r="68" spans="1:93" ht="24" customHeight="1" x14ac:dyDescent="0.3">
      <c r="A68" s="78">
        <v>16</v>
      </c>
      <c r="B68" s="79" t="s">
        <v>90</v>
      </c>
      <c r="C68" s="80">
        <f t="shared" ca="1" si="0"/>
        <v>89000</v>
      </c>
      <c r="D68" s="81">
        <f t="shared" ca="1" si="187"/>
        <v>89000</v>
      </c>
      <c r="E68" s="82">
        <f ca="1">IFERROR(__xludf.DUMMYFUNCTION("IMPORTRANGE(""https://docs.google.com/spreadsheets/d/1MeEWN-I1oV_STSDYn1IFDPWt_1FKiwhDph83XaGc0o0/edit?usp=sharing"",""งบพรบ!CP68"")"),0)</f>
        <v>0</v>
      </c>
      <c r="F68" s="82">
        <f ca="1">IFERROR(__xludf.DUMMYFUNCTION("IMPORTRANGE(""https://docs.google.com/spreadsheets/d/1MeEWN-I1oV_STSDYn1IFDPWt_1FKiwhDph83XaGc0o0/edit?usp=sharing"",""งบพรบ!CQ68"")"),89000)</f>
        <v>89000</v>
      </c>
      <c r="G68" s="82">
        <f ca="1">IFERROR(__xludf.DUMMYFUNCTION("IMPORTRANGE(""https://docs.google.com/spreadsheets/d/1MeEWN-I1oV_STSDYn1IFDPWt_1FKiwhDph83XaGc0o0/edit?usp=sharing"",""งบพรบ!CR68"")"),0)</f>
        <v>0</v>
      </c>
      <c r="H68" s="82">
        <f ca="1">IFERROR(__xludf.DUMMYFUNCTION("IMPORTRANGE(""https://docs.google.com/spreadsheets/d/1MeEWN-I1oV_STSDYn1IFDPWt_1FKiwhDph83XaGc0o0/edit?usp=sharing"",""งบพรบ!CT68"")"),62500)</f>
        <v>62500</v>
      </c>
      <c r="I68" s="82">
        <f ca="1">IFERROR(__xludf.DUMMYFUNCTION("IMPORTRANGE(""https://docs.google.com/spreadsheets/d/1MeEWN-I1oV_STSDYn1IFDPWt_1FKiwhDph83XaGc0o0/edit?usp=sharing"",""งบพรบ!CU68"")"),0)</f>
        <v>0</v>
      </c>
      <c r="J68" s="82">
        <f t="shared" ca="1" si="3"/>
        <v>33720</v>
      </c>
      <c r="K68" s="83">
        <f t="shared" ca="1" si="4"/>
        <v>37.887640449438202</v>
      </c>
      <c r="L68" s="82">
        <f ca="1">IFERROR(__xludf.DUMMYFUNCTION("IMPORTRANGE(""https://docs.google.com/spreadsheets/d/1MeEWN-I1oV_STSDYn1IFDPWt_1FKiwhDph83XaGc0o0/edit?usp=sharing"",""งบพรบ!CV68"")"),33720)</f>
        <v>33720</v>
      </c>
      <c r="M68" s="84">
        <f t="shared" ca="1" si="5"/>
        <v>37.887640449438202</v>
      </c>
      <c r="N68" s="84">
        <f t="shared" ca="1" si="6"/>
        <v>53.951999999999998</v>
      </c>
      <c r="O68" s="85">
        <f ca="1">IFERROR(__xludf.DUMMYFUNCTION("IMPORTRANGE(""https://docs.google.com/spreadsheets/d/1MeEWN-I1oV_STSDYn1IFDPWt_1FKiwhDph83XaGc0o0/edit?usp=sharing"",""งบพรบ!CW68"")"),0)</f>
        <v>0</v>
      </c>
      <c r="P68" s="85">
        <f t="shared" ca="1" si="108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IFERROR(__xludf.DUMMYFUNCTION("IMPORTRANGE(""https://docs.google.com/spreadsheets/d/1xYFIxIM_CspAP5Q-5Zx_V0T_Ut3cjryrjd2hss28vGk/edit?usp=sharing"",""ลพบุรี!L191"")"),6000)</f>
        <v>6000</v>
      </c>
      <c r="S68" s="86">
        <f ca="1">IFERROR(__xludf.DUMMYFUNCTION("IMPORTRANGE(""https://docs.google.com/spreadsheets/d/1xYFIxIM_CspAP5Q-5Zx_V0T_Ut3cjryrjd2hss28vGk/edit?usp=sharing"",""ลพบุรี!N191"")"),0)</f>
        <v>0</v>
      </c>
      <c r="T68" s="87">
        <f t="shared" ca="1" si="84"/>
        <v>0</v>
      </c>
      <c r="U68" s="86">
        <f ca="1">IFERROR(__xludf.DUMMYFUNCTION("IMPORTRANGE(""https://docs.google.com/spreadsheets/d/1xYFIxIM_CspAP5Q-5Zx_V0T_Ut3cjryrjd2hss28vGk/edit?usp=sharing"",""ลพบุรี!I193"")"),4)</f>
        <v>4</v>
      </c>
      <c r="V68" s="86">
        <f ca="1">IFERROR(__xludf.DUMMYFUNCTION("IMPORTRANGE(""https://docs.google.com/spreadsheets/d/1xYFIxIM_CspAP5Q-5Zx_V0T_Ut3cjryrjd2hss28vGk/edit?usp=sharing"",""ลพบุรี!J193"")"),0)</f>
        <v>0</v>
      </c>
      <c r="W68" s="87">
        <f t="shared" ca="1" si="85"/>
        <v>0</v>
      </c>
      <c r="X68" s="86">
        <f t="shared" ca="1" si="188"/>
        <v>0</v>
      </c>
      <c r="Y68" s="86">
        <f ca="1">IFERROR(__xludf.DUMMYFUNCTION("IMPORTRANGE(""https://docs.google.com/spreadsheets/d/1xYFIxIM_CspAP5Q-5Zx_V0T_Ut3cjryrjd2hss28vGk/edit?usp=sharing"",""ลพบุรี!J195"")"),0)</f>
        <v>0</v>
      </c>
      <c r="Z68" s="86">
        <f ca="1">IFERROR(__xludf.DUMMYFUNCTION("IMPORTRANGE(""https://docs.google.com/spreadsheets/d/1xYFIxIM_CspAP5Q-5Zx_V0T_Ut3cjryrjd2hss28vGk/edit?usp=sharing"",""ลพบุรี!J196"")"),0)</f>
        <v>0</v>
      </c>
      <c r="AA68" s="86">
        <f ca="1">IFERROR(__xludf.DUMMYFUNCTION("IMPORTRANGE(""https://docs.google.com/spreadsheets/d/1xYFIxIM_CspAP5Q-5Zx_V0T_Ut3cjryrjd2hss28vGk/edit?usp=sharing"",""ลพบุรี!L199"")"),4000)</f>
        <v>4000</v>
      </c>
      <c r="AB68" s="86">
        <f ca="1">IFERROR(__xludf.DUMMYFUNCTION("IMPORTRANGE(""https://docs.google.com/spreadsheets/d/1xYFIxIM_CspAP5Q-5Zx_V0T_Ut3cjryrjd2hss28vGk/edit?usp=sharing"",""ลพบุรี!N199"")"),1720)</f>
        <v>1720</v>
      </c>
      <c r="AC68" s="87">
        <f t="shared" ca="1" si="86"/>
        <v>43</v>
      </c>
      <c r="AD68" s="86">
        <f ca="1">IFERROR(__xludf.DUMMYFUNCTION("IMPORTRANGE(""https://docs.google.com/spreadsheets/d/1xYFIxIM_CspAP5Q-5Zx_V0T_Ut3cjryrjd2hss28vGk/edit?usp=sharing"",""ลพบุรี!L200"")"),32000)</f>
        <v>32000</v>
      </c>
      <c r="AE68" s="86">
        <f ca="1">IFERROR(__xludf.DUMMYFUNCTION("IMPORTRANGE(""https://docs.google.com/spreadsheets/d/1xYFIxIM_CspAP5Q-5Zx_V0T_Ut3cjryrjd2hss28vGk/edit?usp=sharing"",""ลพบุรี!N200"")"),32000)</f>
        <v>32000</v>
      </c>
      <c r="AF68" s="87">
        <f t="shared" ca="1" si="87"/>
        <v>100</v>
      </c>
      <c r="AG68" s="86">
        <f ca="1">IFERROR(__xludf.DUMMYFUNCTION("IMPORTRANGE(""https://docs.google.com/spreadsheets/d/1xYFIxIM_CspAP5Q-5Zx_V0T_Ut3cjryrjd2hss28vGk/edit?usp=sharing"",""ลพบุรี!L201"")"),16000)</f>
        <v>16000</v>
      </c>
      <c r="AH68" s="86">
        <f ca="1">IFERROR(__xludf.DUMMYFUNCTION("IMPORTRANGE(""https://docs.google.com/spreadsheets/d/1xYFIxIM_CspAP5Q-5Zx_V0T_Ut3cjryrjd2hss28vGk/edit?usp=sharing"",""ลพบุรี!N201"")"),0)</f>
        <v>0</v>
      </c>
      <c r="AI68" s="87">
        <f t="shared" ca="1" si="88"/>
        <v>0</v>
      </c>
      <c r="AJ68" s="86">
        <f ca="1">IFERROR(__xludf.DUMMYFUNCTION("IMPORTRANGE(""https://docs.google.com/spreadsheets/d/1xYFIxIM_CspAP5Q-5Zx_V0T_Ut3cjryrjd2hss28vGk/edit?usp=sharing"",""ลพบุรี!L202"")"),0)</f>
        <v>0</v>
      </c>
      <c r="AK68" s="86">
        <f ca="1">IFERROR(__xludf.DUMMYFUNCTION("IMPORTRANGE(""https://docs.google.com/spreadsheets/d/1xYFIxIM_CspAP5Q-5Zx_V0T_Ut3cjryrjd2hss28vGk/edit?usp=sharing"",""ลพบุรี!N202"")"),0)</f>
        <v>0</v>
      </c>
      <c r="AL68" s="87">
        <f t="shared" ca="1" si="89"/>
        <v>0</v>
      </c>
      <c r="AM68" s="86">
        <f ca="1">IFERROR(__xludf.DUMMYFUNCTION("IMPORTRANGE(""https://docs.google.com/spreadsheets/d/1xYFIxIM_CspAP5Q-5Zx_V0T_Ut3cjryrjd2hss28vGk/edit?usp=sharing"",""ลพบุรี!I204"")"),4)</f>
        <v>4</v>
      </c>
      <c r="AN68" s="86">
        <f ca="1">IFERROR(__xludf.DUMMYFUNCTION("IMPORTRANGE(""https://docs.google.com/spreadsheets/d/1xYFIxIM_CspAP5Q-5Zx_V0T_Ut3cjryrjd2hss28vGk/edit?usp=sharing"",""ลพบุรี!J204"")"),4)</f>
        <v>4</v>
      </c>
      <c r="AO68" s="87">
        <f t="shared" ca="1" si="90"/>
        <v>100</v>
      </c>
      <c r="AP68" s="298">
        <f ca="1">IFERROR(__xludf.DUMMYFUNCTION("IMPORTRANGE(""https://docs.google.com/spreadsheets/d/1xYFIxIM_CspAP5Q-5Zx_V0T_Ut3cjryrjd2hss28vGk/edit?usp=sharing"",""ลพบุรี!J206"")"),4)</f>
        <v>4</v>
      </c>
      <c r="AQ68" s="298">
        <f ca="1">IFERROR(__xludf.DUMMYFUNCTION("IMPORTRANGE(""https://docs.google.com/spreadsheets/d/1xYFIxIM_CspAP5Q-5Zx_V0T_Ut3cjryrjd2hss28vGk/edit?usp=sharing"",""ลพบุรี!J207"")"),0)</f>
        <v>0</v>
      </c>
      <c r="AR68" s="86">
        <f ca="1">IFERROR(__xludf.DUMMYFUNCTION("IMPORTRANGE(""https://docs.google.com/spreadsheets/d/1xYFIxIM_CspAP5Q-5Zx_V0T_Ut3cjryrjd2hss28vGk/edit?usp=sharing"",""ลพบุรี!L210"")"),0)</f>
        <v>0</v>
      </c>
      <c r="AS68" s="86">
        <f ca="1">IFERROR(__xludf.DUMMYFUNCTION("IMPORTRANGE(""https://docs.google.com/spreadsheets/d/1xYFIxIM_CspAP5Q-5Zx_V0T_Ut3cjryrjd2hss28vGk/edit?usp=sharing"",""ลพบุรี!N210"")"),0)</f>
        <v>0</v>
      </c>
      <c r="AT68" s="87">
        <f t="shared" ca="1" si="91"/>
        <v>0</v>
      </c>
      <c r="AU68" s="86">
        <f ca="1">IFERROR(__xludf.DUMMYFUNCTION("IMPORTRANGE(""https://docs.google.com/spreadsheets/d/1xYFIxIM_CspAP5Q-5Zx_V0T_Ut3cjryrjd2hss28vGk/edit?usp=sharing"",""ลพบุรี!L211"")"),0)</f>
        <v>0</v>
      </c>
      <c r="AV68" s="86">
        <f ca="1">IFERROR(__xludf.DUMMYFUNCTION("IMPORTRANGE(""https://docs.google.com/spreadsheets/d/1xYFIxIM_CspAP5Q-5Zx_V0T_Ut3cjryrjd2hss28vGk/edit?usp=sharing"",""ลพบุรี!N211"")"),0)</f>
        <v>0</v>
      </c>
      <c r="AW68" s="87">
        <f t="shared" ca="1" si="92"/>
        <v>0</v>
      </c>
      <c r="AX68" s="86">
        <f ca="1">IFERROR(__xludf.DUMMYFUNCTION("IMPORTRANGE(""https://docs.google.com/spreadsheets/d/1xYFIxIM_CspAP5Q-5Zx_V0T_Ut3cjryrjd2hss28vGk/edit?usp=sharing"",""ลพบุรี!L212"")"),0)</f>
        <v>0</v>
      </c>
      <c r="AY68" s="86">
        <f ca="1">IFERROR(__xludf.DUMMYFUNCTION("IMPORTRANGE(""https://docs.google.com/spreadsheets/d/1xYFIxIM_CspAP5Q-5Zx_V0T_Ut3cjryrjd2hss28vGk/edit?usp=sharing"",""ลพบุรี!N212"")"),0)</f>
        <v>0</v>
      </c>
      <c r="AZ68" s="87">
        <f t="shared" ca="1" si="93"/>
        <v>0</v>
      </c>
      <c r="BA68" s="86">
        <f ca="1">IFERROR(__xludf.DUMMYFUNCTION("IMPORTRANGE(""https://docs.google.com/spreadsheets/d/1xYFIxIM_CspAP5Q-5Zx_V0T_Ut3cjryrjd2hss28vGk/edit?usp=sharing"",""ลพบุรี!I214"")"),0)</f>
        <v>0</v>
      </c>
      <c r="BB68" s="86">
        <f ca="1">IFERROR(__xludf.DUMMYFUNCTION("IMPORTRANGE(""https://docs.google.com/spreadsheets/d/1xYFIxIM_CspAP5Q-5Zx_V0T_Ut3cjryrjd2hss28vGk/edit?usp=sharing"",""ลพบุรี!J214"")"),0)</f>
        <v>0</v>
      </c>
      <c r="BC68" s="87">
        <f t="shared" ca="1" si="94"/>
        <v>0</v>
      </c>
      <c r="BD68" s="86">
        <f ca="1">IFERROR(__xludf.DUMMYFUNCTION("IMPORTRANGE(""https://docs.google.com/spreadsheets/d/1xYFIxIM_CspAP5Q-5Zx_V0T_Ut3cjryrjd2hss28vGk/edit?usp=sharing"",""ลพบุรี!I215"")"),0)</f>
        <v>0</v>
      </c>
      <c r="BE68" s="86">
        <f ca="1">IFERROR(__xludf.DUMMYFUNCTION("IMPORTRANGE(""https://docs.google.com/spreadsheets/d/1xYFIxIM_CspAP5Q-5Zx_V0T_Ut3cjryrjd2hss28vGk/edit?usp=sharing"",""ลพบุรี!J215"")"),0)</f>
        <v>0</v>
      </c>
      <c r="BF68" s="87">
        <f t="shared" ca="1" si="95"/>
        <v>0</v>
      </c>
      <c r="BG68" s="86">
        <f ca="1">IFERROR(__xludf.DUMMYFUNCTION("IMPORTRANGE(""https://docs.google.com/spreadsheets/d/1xYFIxIM_CspAP5Q-5Zx_V0T_Ut3cjryrjd2hss28vGk/edit?usp=sharing"",""ลพบุรี!L218"")"),6000)</f>
        <v>6000</v>
      </c>
      <c r="BH68" s="86">
        <f ca="1">IFERROR(__xludf.DUMMYFUNCTION("IMPORTRANGE(""https://docs.google.com/spreadsheets/d/1xYFIxIM_CspAP5Q-5Zx_V0T_Ut3cjryrjd2hss28vGk/edit?usp=sharing"",""ลพบุรี!N218"")"),0)</f>
        <v>0</v>
      </c>
      <c r="BI68" s="87">
        <f t="shared" ca="1" si="96"/>
        <v>0</v>
      </c>
      <c r="BJ68" s="86">
        <f ca="1">IFERROR(__xludf.DUMMYFUNCTION("IMPORTRANGE(""https://docs.google.com/spreadsheets/d/1xYFIxIM_CspAP5Q-5Zx_V0T_Ut3cjryrjd2hss28vGk/edit?usp=sharing"",""ลพบุรี!L219"")"),25000)</f>
        <v>25000</v>
      </c>
      <c r="BK68" s="86">
        <f ca="1">IFERROR(__xludf.DUMMYFUNCTION("IMPORTRANGE(""https://docs.google.com/spreadsheets/d/1xYFIxIM_CspAP5Q-5Zx_V0T_Ut3cjryrjd2hss28vGk/edit?usp=sharing"",""ลพบุรี!N219"")"),0)</f>
        <v>0</v>
      </c>
      <c r="BL68" s="87">
        <f t="shared" ca="1" si="97"/>
        <v>0</v>
      </c>
      <c r="BM68" s="86">
        <f ca="1">IFERROR(__xludf.DUMMYFUNCTION("IMPORTRANGE(""https://docs.google.com/spreadsheets/d/1xYFIxIM_CspAP5Q-5Zx_V0T_Ut3cjryrjd2hss28vGk/edit?usp=sharing"",""ลพบุรี!L220"")"),0)</f>
        <v>0</v>
      </c>
      <c r="BN68" s="86">
        <f ca="1">IFERROR(__xludf.DUMMYFUNCTION("IMPORTRANGE(""https://docs.google.com/spreadsheets/d/1xYFIxIM_CspAP5Q-5Zx_V0T_Ut3cjryrjd2hss28vGk/edit?usp=sharing"",""ลพบุรี!N220"")"),0)</f>
        <v>0</v>
      </c>
      <c r="BO68" s="87">
        <f t="shared" ca="1" si="98"/>
        <v>0</v>
      </c>
      <c r="BP68" s="86">
        <f ca="1">IFERROR(__xludf.DUMMYFUNCTION("IMPORTRANGE(""https://docs.google.com/spreadsheets/d/1xYFIxIM_CspAP5Q-5Zx_V0T_Ut3cjryrjd2hss28vGk/edit?usp=sharing"",""ลพบุรี!I223"")"),100000)</f>
        <v>100000</v>
      </c>
      <c r="BQ68" s="86">
        <f ca="1">IFERROR(__xludf.DUMMYFUNCTION("IMPORTRANGE(""https://docs.google.com/spreadsheets/d/1xYFIxIM_CspAP5Q-5Zx_V0T_Ut3cjryrjd2hss28vGk/edit?usp=sharing"",""ลพบุรี!J223"")"),0)</f>
        <v>0</v>
      </c>
      <c r="BR68" s="87">
        <f t="shared" ca="1" si="99"/>
        <v>0</v>
      </c>
      <c r="BS68" s="86">
        <f ca="1">IFERROR(__xludf.DUMMYFUNCTION("IMPORTRANGE(""https://docs.google.com/spreadsheets/d/1xYFIxIM_CspAP5Q-5Zx_V0T_Ut3cjryrjd2hss28vGk/edit?usp=sharing"",""ลพบุรี!I224"")"),100000)</f>
        <v>100000</v>
      </c>
      <c r="BT68" s="86">
        <f ca="1">IFERROR(__xludf.DUMMYFUNCTION("IMPORTRANGE(""https://docs.google.com/spreadsheets/d/1xYFIxIM_CspAP5Q-5Zx_V0T_Ut3cjryrjd2hss28vGk/edit?usp=sharing"",""ลพบุรี!J224"")"),0)</f>
        <v>0</v>
      </c>
      <c r="BU68" s="87">
        <f t="shared" ca="1" si="100"/>
        <v>0</v>
      </c>
      <c r="BV68" s="86">
        <f ca="1">IFERROR(__xludf.DUMMYFUNCTION("IMPORTRANGE(""https://docs.google.com/spreadsheets/d/1xYFIxIM_CspAP5Q-5Zx_V0T_Ut3cjryrjd2hss28vGk/edit?usp=sharing"",""ลพบุรี!I225"")"),0)</f>
        <v>0</v>
      </c>
      <c r="BW68" s="86">
        <f ca="1">IFERROR(__xludf.DUMMYFUNCTION("IMPORTRANGE(""https://docs.google.com/spreadsheets/d/1xYFIxIM_CspAP5Q-5Zx_V0T_Ut3cjryrjd2hss28vGk/edit?usp=sharing"",""ลพบุรี!J225"")"),0)</f>
        <v>0</v>
      </c>
      <c r="BX68" s="87">
        <f t="shared" ca="1" si="101"/>
        <v>0</v>
      </c>
      <c r="BY68" s="86">
        <f ca="1">IFERROR(__xludf.DUMMYFUNCTION("IMPORTRANGE(""https://docs.google.com/spreadsheets/d/1xYFIxIM_CspAP5Q-5Zx_V0T_Ut3cjryrjd2hss28vGk/edit?usp=sharing"",""ลพบุรี!L228"")"),0)</f>
        <v>0</v>
      </c>
      <c r="BZ68" s="86">
        <f ca="1">IFERROR(__xludf.DUMMYFUNCTION("IMPORTRANGE(""https://docs.google.com/spreadsheets/d/1xYFIxIM_CspAP5Q-5Zx_V0T_Ut3cjryrjd2hss28vGk/edit?usp=sharing"",""ลพบุรี!N228"")"),0)</f>
        <v>0</v>
      </c>
      <c r="CA68" s="87">
        <f t="shared" ca="1" si="102"/>
        <v>0</v>
      </c>
      <c r="CB68" s="86">
        <f ca="1">IFERROR(__xludf.DUMMYFUNCTION("IMPORTRANGE(""https://docs.google.com/spreadsheets/d/1xYFIxIM_CspAP5Q-5Zx_V0T_Ut3cjryrjd2hss28vGk/edit?usp=sharing"",""ลพบุรี!L229"")"),0)</f>
        <v>0</v>
      </c>
      <c r="CC68" s="86">
        <f ca="1">IFERROR(__xludf.DUMMYFUNCTION("IMPORTRANGE(""https://docs.google.com/spreadsheets/d/1xYFIxIM_CspAP5Q-5Zx_V0T_Ut3cjryrjd2hss28vGk/edit?usp=sharing"",""ลพบุรี!N229"")"),0)</f>
        <v>0</v>
      </c>
      <c r="CD68" s="87">
        <f t="shared" ca="1" si="103"/>
        <v>0</v>
      </c>
      <c r="CE68" s="86">
        <f ca="1">IFERROR(__xludf.DUMMYFUNCTION("IMPORTRANGE(""https://docs.google.com/spreadsheets/d/1xYFIxIM_CspAP5Q-5Zx_V0T_Ut3cjryrjd2hss28vGk/edit?usp=sharing"",""ลพบุรี!L230"")"),0)</f>
        <v>0</v>
      </c>
      <c r="CF68" s="86">
        <f ca="1">IFERROR(__xludf.DUMMYFUNCTION("IMPORTRANGE(""https://docs.google.com/spreadsheets/d/1xYFIxIM_CspAP5Q-5Zx_V0T_Ut3cjryrjd2hss28vGk/edit?usp=sharing"",""ลพบุรี!N230"")"),0)</f>
        <v>0</v>
      </c>
      <c r="CG68" s="87">
        <f t="shared" ca="1" si="104"/>
        <v>0</v>
      </c>
      <c r="CH68" s="86">
        <f ca="1">IFERROR(__xludf.DUMMYFUNCTION("IMPORTRANGE(""https://docs.google.com/spreadsheets/d/1xYFIxIM_CspAP5Q-5Zx_V0T_Ut3cjryrjd2hss28vGk/edit?usp=sharing"",""ลพบุรี!L231"")"),0)</f>
        <v>0</v>
      </c>
      <c r="CI68" s="86">
        <f ca="1">IFERROR(__xludf.DUMMYFUNCTION("IMPORTRANGE(""https://docs.google.com/spreadsheets/d/1xYFIxIM_CspAP5Q-5Zx_V0T_Ut3cjryrjd2hss28vGk/edit?usp=sharing"",""ลพบุรี!N231"")"),0)</f>
        <v>0</v>
      </c>
      <c r="CJ68" s="87">
        <f t="shared" ca="1" si="105"/>
        <v>0</v>
      </c>
      <c r="CK68" s="86">
        <f ca="1">IFERROR(__xludf.DUMMYFUNCTION("IMPORTRANGE(""https://docs.google.com/spreadsheets/d/1xYFIxIM_CspAP5Q-5Zx_V0T_Ut3cjryrjd2hss28vGk/edit?usp=sharing"",""ลพบุรี!I233"")"),0)</f>
        <v>0</v>
      </c>
      <c r="CL68" s="86">
        <f ca="1">IFERROR(__xludf.DUMMYFUNCTION("IMPORTRANGE(""https://docs.google.com/spreadsheets/d/1xYFIxIM_CspAP5Q-5Zx_V0T_Ut3cjryrjd2hss28vGk/edit?usp=sharing"",""ลพบุรี!J233"")"),0)</f>
        <v>0</v>
      </c>
      <c r="CM68" s="87">
        <f t="shared" ca="1" si="106"/>
        <v>0</v>
      </c>
      <c r="CN68" s="86">
        <f ca="1">IFERROR(__xludf.DUMMYFUNCTION("IMPORTRANGE(""https://docs.google.com/spreadsheets/d/1xYFIxIM_CspAP5Q-5Zx_V0T_Ut3cjryrjd2hss28vGk/edit?usp=sharing"",""ลพบุรี!J235"")"),0)</f>
        <v>0</v>
      </c>
      <c r="CO68" s="86">
        <f ca="1">IFERROR(__xludf.DUMMYFUNCTION("IMPORTRANGE(""https://docs.google.com/spreadsheets/d/1xYFIxIM_CspAP5Q-5Zx_V0T_Ut3cjryrjd2hss28vGk/edit?usp=sharing"",""ลพบุรี!J236"")"),0)</f>
        <v>0</v>
      </c>
    </row>
    <row r="69" spans="1:93" ht="21" customHeight="1" x14ac:dyDescent="0.3">
      <c r="A69" s="78">
        <v>17</v>
      </c>
      <c r="B69" s="79" t="s">
        <v>91</v>
      </c>
      <c r="C69" s="80">
        <f t="shared" ca="1" si="0"/>
        <v>276800</v>
      </c>
      <c r="D69" s="81">
        <f t="shared" ca="1" si="187"/>
        <v>276800</v>
      </c>
      <c r="E69" s="82">
        <f ca="1">IFERROR(__xludf.DUMMYFUNCTION("IMPORTRANGE(""https://docs.google.com/spreadsheets/d/1MeEWN-I1oV_STSDYn1IFDPWt_1FKiwhDph83XaGc0o0/edit?usp=sharing"",""งบพรบ!CP69"")"),0)</f>
        <v>0</v>
      </c>
      <c r="F69" s="82">
        <f ca="1">IFERROR(__xludf.DUMMYFUNCTION("IMPORTRANGE(""https://docs.google.com/spreadsheets/d/1MeEWN-I1oV_STSDYn1IFDPWt_1FKiwhDph83XaGc0o0/edit?usp=sharing"",""งบพรบ!CQ69"")"),276800)</f>
        <v>276800</v>
      </c>
      <c r="G69" s="82">
        <f ca="1">IFERROR(__xludf.DUMMYFUNCTION("IMPORTRANGE(""https://docs.google.com/spreadsheets/d/1MeEWN-I1oV_STSDYn1IFDPWt_1FKiwhDph83XaGc0o0/edit?usp=sharing"",""งบพรบ!CR69"")"),0)</f>
        <v>0</v>
      </c>
      <c r="H69" s="82">
        <f ca="1">IFERROR(__xludf.DUMMYFUNCTION("IMPORTRANGE(""https://docs.google.com/spreadsheets/d/1MeEWN-I1oV_STSDYn1IFDPWt_1FKiwhDph83XaGc0o0/edit?usp=sharing"",""งบพรบ!CT69"")"),265300)</f>
        <v>265300</v>
      </c>
      <c r="I69" s="82">
        <f ca="1">IFERROR(__xludf.DUMMYFUNCTION("IMPORTRANGE(""https://docs.google.com/spreadsheets/d/1MeEWN-I1oV_STSDYn1IFDPWt_1FKiwhDph83XaGc0o0/edit?usp=sharing"",""งบพรบ!CU69"")"),0)</f>
        <v>0</v>
      </c>
      <c r="J69" s="82">
        <f t="shared" ca="1" si="3"/>
        <v>154580</v>
      </c>
      <c r="K69" s="83">
        <f t="shared" ca="1" si="4"/>
        <v>55.845375722543352</v>
      </c>
      <c r="L69" s="82">
        <f ca="1">IFERROR(__xludf.DUMMYFUNCTION("IMPORTRANGE(""https://docs.google.com/spreadsheets/d/1MeEWN-I1oV_STSDYn1IFDPWt_1FKiwhDph83XaGc0o0/edit?usp=sharing"",""งบพรบ!CV69"")"),154580)</f>
        <v>154580</v>
      </c>
      <c r="M69" s="84">
        <f t="shared" ca="1" si="5"/>
        <v>55.845375722543352</v>
      </c>
      <c r="N69" s="84">
        <f t="shared" ca="1" si="6"/>
        <v>58.266113833396155</v>
      </c>
      <c r="O69" s="85">
        <f ca="1">IFERROR(__xludf.DUMMYFUNCTION("IMPORTRANGE(""https://docs.google.com/spreadsheets/d/1MeEWN-I1oV_STSDYn1IFDPWt_1FKiwhDph83XaGc0o0/edit?usp=sharing"",""งบพรบ!CW69"")"),0)</f>
        <v>0</v>
      </c>
      <c r="P69" s="85">
        <f t="shared" ca="1" si="108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IFERROR(__xludf.DUMMYFUNCTION("IMPORTRANGE(""https://docs.google.com/spreadsheets/d/11s9m3tKsCBdPWq6syhZm27eBGbKneDLZc75co106bio/edit?usp=sharing"",""สระแก้ว!L191"")"),6000)</f>
        <v>6000</v>
      </c>
      <c r="S69" s="86">
        <f ca="1">IFERROR(__xludf.DUMMYFUNCTION("IMPORTRANGE(""https://docs.google.com/spreadsheets/d/11s9m3tKsCBdPWq6syhZm27eBGbKneDLZc75co106bio/edit?usp=sharing"",""สระแก้ว!N191"")"),1440)</f>
        <v>1440</v>
      </c>
      <c r="T69" s="87">
        <f t="shared" ca="1" si="84"/>
        <v>24</v>
      </c>
      <c r="U69" s="86">
        <f ca="1">IFERROR(__xludf.DUMMYFUNCTION("IMPORTRANGE(""https://docs.google.com/spreadsheets/d/11s9m3tKsCBdPWq6syhZm27eBGbKneDLZc75co106bio/edit?usp=sharing"",""สระแก้ว!I193"")"),4)</f>
        <v>4</v>
      </c>
      <c r="V69" s="86">
        <f ca="1">IFERROR(__xludf.DUMMYFUNCTION("IMPORTRANGE(""https://docs.google.com/spreadsheets/d/11s9m3tKsCBdPWq6syhZm27eBGbKneDLZc75co106bio/edit?usp=sharing"",""สระแก้ว!J193"")"),1)</f>
        <v>1</v>
      </c>
      <c r="W69" s="87">
        <f t="shared" ca="1" si="85"/>
        <v>25</v>
      </c>
      <c r="X69" s="86">
        <f t="shared" ca="1" si="188"/>
        <v>0</v>
      </c>
      <c r="Y69" s="86">
        <f ca="1">IFERROR(__xludf.DUMMYFUNCTION("IMPORTRANGE(""https://docs.google.com/spreadsheets/d/11s9m3tKsCBdPWq6syhZm27eBGbKneDLZc75co106bio/edit?usp=sharing"",""สระแก้ว!J195"")"),0)</f>
        <v>0</v>
      </c>
      <c r="Z69" s="86">
        <f ca="1">IFERROR(__xludf.DUMMYFUNCTION("IMPORTRANGE(""https://docs.google.com/spreadsheets/d/11s9m3tKsCBdPWq6syhZm27eBGbKneDLZc75co106bio/edit?usp=sharing"",""สระแก้ว!J196"")"),0)</f>
        <v>0</v>
      </c>
      <c r="AA69" s="86">
        <f ca="1">IFERROR(__xludf.DUMMYFUNCTION("IMPORTRANGE(""https://docs.google.com/spreadsheets/d/11s9m3tKsCBdPWq6syhZm27eBGbKneDLZc75co106bio/edit?usp=sharing"",""สระแก้ว!L199"")"),3000)</f>
        <v>3000</v>
      </c>
      <c r="AB69" s="86">
        <f ca="1">IFERROR(__xludf.DUMMYFUNCTION("IMPORTRANGE(""https://docs.google.com/spreadsheets/d/11s9m3tKsCBdPWq6syhZm27eBGbKneDLZc75co106bio/edit?usp=sharing"",""สระแก้ว!N199"")"),2340)</f>
        <v>2340</v>
      </c>
      <c r="AC69" s="87">
        <f t="shared" ca="1" si="86"/>
        <v>78</v>
      </c>
      <c r="AD69" s="86">
        <f ca="1">IFERROR(__xludf.DUMMYFUNCTION("IMPORTRANGE(""https://docs.google.com/spreadsheets/d/11s9m3tKsCBdPWq6syhZm27eBGbKneDLZc75co106bio/edit?usp=sharing"",""สระแก้ว!L200"")"),24000)</f>
        <v>24000</v>
      </c>
      <c r="AE69" s="86">
        <f ca="1">IFERROR(__xludf.DUMMYFUNCTION("IMPORTRANGE(""https://docs.google.com/spreadsheets/d/11s9m3tKsCBdPWq6syhZm27eBGbKneDLZc75co106bio/edit?usp=sharing"",""สระแก้ว!N200"")"),24000)</f>
        <v>24000</v>
      </c>
      <c r="AF69" s="87">
        <f t="shared" ca="1" si="87"/>
        <v>100</v>
      </c>
      <c r="AG69" s="86">
        <f ca="1">IFERROR(__xludf.DUMMYFUNCTION("IMPORTRANGE(""https://docs.google.com/spreadsheets/d/11s9m3tKsCBdPWq6syhZm27eBGbKneDLZc75co106bio/edit?usp=sharing"",""สระแก้ว!L201"")"),12000)</f>
        <v>12000</v>
      </c>
      <c r="AH69" s="86">
        <f ca="1">IFERROR(__xludf.DUMMYFUNCTION("IMPORTRANGE(""https://docs.google.com/spreadsheets/d/11s9m3tKsCBdPWq6syhZm27eBGbKneDLZc75co106bio/edit?usp=sharing"",""สระแก้ว!N201"")"),0)</f>
        <v>0</v>
      </c>
      <c r="AI69" s="87">
        <f t="shared" ca="1" si="88"/>
        <v>0</v>
      </c>
      <c r="AJ69" s="86">
        <f ca="1">IFERROR(__xludf.DUMMYFUNCTION("IMPORTRANGE(""https://docs.google.com/spreadsheets/d/11s9m3tKsCBdPWq6syhZm27eBGbKneDLZc75co106bio/edit?usp=sharing"",""สระแก้ว!L202"")"),0)</f>
        <v>0</v>
      </c>
      <c r="AK69" s="86">
        <f ca="1">IFERROR(__xludf.DUMMYFUNCTION("IMPORTRANGE(""https://docs.google.com/spreadsheets/d/11s9m3tKsCBdPWq6syhZm27eBGbKneDLZc75co106bio/edit?usp=sharing"",""สระแก้ว!N202"")"),0)</f>
        <v>0</v>
      </c>
      <c r="AL69" s="87">
        <f t="shared" ca="1" si="89"/>
        <v>0</v>
      </c>
      <c r="AM69" s="86">
        <f ca="1">IFERROR(__xludf.DUMMYFUNCTION("IMPORTRANGE(""https://docs.google.com/spreadsheets/d/11s9m3tKsCBdPWq6syhZm27eBGbKneDLZc75co106bio/edit?usp=sharing"",""สระแก้ว!I204"")"),3)</f>
        <v>3</v>
      </c>
      <c r="AN69" s="86">
        <f ca="1">IFERROR(__xludf.DUMMYFUNCTION("IMPORTRANGE(""https://docs.google.com/spreadsheets/d/11s9m3tKsCBdPWq6syhZm27eBGbKneDLZc75co106bio/edit?usp=sharing"",""สระแก้ว!J204"")"),3)</f>
        <v>3</v>
      </c>
      <c r="AO69" s="87">
        <f t="shared" ca="1" si="90"/>
        <v>100</v>
      </c>
      <c r="AP69" s="298">
        <f ca="1">IFERROR(__xludf.DUMMYFUNCTION("IMPORTRANGE(""https://docs.google.com/spreadsheets/d/11s9m3tKsCBdPWq6syhZm27eBGbKneDLZc75co106bio/edit?usp=sharing"",""สระแก้ว!J206"")"),0)</f>
        <v>0</v>
      </c>
      <c r="AQ69" s="298">
        <f ca="1">IFERROR(__xludf.DUMMYFUNCTION("IMPORTRANGE(""https://docs.google.com/spreadsheets/d/11s9m3tKsCBdPWq6syhZm27eBGbKneDLZc75co106bio/edit?usp=sharing"",""สระแก้ว!J207"")"),0)</f>
        <v>0</v>
      </c>
      <c r="AR69" s="86">
        <f ca="1">IFERROR(__xludf.DUMMYFUNCTION("IMPORTRANGE(""https://docs.google.com/spreadsheets/d/11s9m3tKsCBdPWq6syhZm27eBGbKneDLZc75co106bio/edit?usp=sharing"",""สระแก้ว!L210"")"),6000)</f>
        <v>6000</v>
      </c>
      <c r="AS69" s="86">
        <f ca="1">IFERROR(__xludf.DUMMYFUNCTION("IMPORTRANGE(""https://docs.google.com/spreadsheets/d/11s9m3tKsCBdPWq6syhZm27eBGbKneDLZc75co106bio/edit?usp=sharing"",""สระแก้ว!N210"")"),5420)</f>
        <v>5420</v>
      </c>
      <c r="AT69" s="87">
        <f t="shared" ca="1" si="91"/>
        <v>90.333333333333329</v>
      </c>
      <c r="AU69" s="86">
        <f ca="1">IFERROR(__xludf.DUMMYFUNCTION("IMPORTRANGE(""https://docs.google.com/spreadsheets/d/11s9m3tKsCBdPWq6syhZm27eBGbKneDLZc75co106bio/edit?usp=sharing"",""สระแก้ว!L211"")"),30000)</f>
        <v>30000</v>
      </c>
      <c r="AV69" s="86">
        <f ca="1">IFERROR(__xludf.DUMMYFUNCTION("IMPORTRANGE(""https://docs.google.com/spreadsheets/d/11s9m3tKsCBdPWq6syhZm27eBGbKneDLZc75co106bio/edit?usp=sharing"",""สระแก้ว!N211"")"),0)</f>
        <v>0</v>
      </c>
      <c r="AW69" s="87">
        <f t="shared" ca="1" si="92"/>
        <v>0</v>
      </c>
      <c r="AX69" s="86">
        <f ca="1">IFERROR(__xludf.DUMMYFUNCTION("IMPORTRANGE(""https://docs.google.com/spreadsheets/d/11s9m3tKsCBdPWq6syhZm27eBGbKneDLZc75co106bio/edit?usp=sharing"",""สระแก้ว!L212"")"),48000)</f>
        <v>48000</v>
      </c>
      <c r="AY69" s="86">
        <f ca="1">IFERROR(__xludf.DUMMYFUNCTION("IMPORTRANGE(""https://docs.google.com/spreadsheets/d/11s9m3tKsCBdPWq6syhZm27eBGbKneDLZc75co106bio/edit?usp=sharing"",""สระแก้ว!N212"")"),48000)</f>
        <v>48000</v>
      </c>
      <c r="AZ69" s="87">
        <f t="shared" ca="1" si="93"/>
        <v>100</v>
      </c>
      <c r="BA69" s="86">
        <f ca="1">IFERROR(__xludf.DUMMYFUNCTION("IMPORTRANGE(""https://docs.google.com/spreadsheets/d/11s9m3tKsCBdPWq6syhZm27eBGbKneDLZc75co106bio/edit?usp=sharing"",""สระแก้ว!I214"")"),6)</f>
        <v>6</v>
      </c>
      <c r="BB69" s="86">
        <f ca="1">IFERROR(__xludf.DUMMYFUNCTION("IMPORTRANGE(""https://docs.google.com/spreadsheets/d/11s9m3tKsCBdPWq6syhZm27eBGbKneDLZc75co106bio/edit?usp=sharing"",""สระแก้ว!J214"")"),0)</f>
        <v>0</v>
      </c>
      <c r="BC69" s="87">
        <f t="shared" ca="1" si="94"/>
        <v>0</v>
      </c>
      <c r="BD69" s="86">
        <f ca="1">IFERROR(__xludf.DUMMYFUNCTION("IMPORTRANGE(""https://docs.google.com/spreadsheets/d/11s9m3tKsCBdPWq6syhZm27eBGbKneDLZc75co106bio/edit?usp=sharing"",""สระแก้ว!I215"")"),6)</f>
        <v>6</v>
      </c>
      <c r="BE69" s="86">
        <f ca="1">IFERROR(__xludf.DUMMYFUNCTION("IMPORTRANGE(""https://docs.google.com/spreadsheets/d/11s9m3tKsCBdPWq6syhZm27eBGbKneDLZc75co106bio/edit?usp=sharing"",""สระแก้ว!J215"")"),6)</f>
        <v>6</v>
      </c>
      <c r="BF69" s="87">
        <f t="shared" ca="1" si="95"/>
        <v>100</v>
      </c>
      <c r="BG69" s="86">
        <f ca="1">IFERROR(__xludf.DUMMYFUNCTION("IMPORTRANGE(""https://docs.google.com/spreadsheets/d/11s9m3tKsCBdPWq6syhZm27eBGbKneDLZc75co106bio/edit?usp=sharing"",""สระแก้ว!L218"")"),5000)</f>
        <v>5000</v>
      </c>
      <c r="BH69" s="86">
        <f ca="1">IFERROR(__xludf.DUMMYFUNCTION("IMPORTRANGE(""https://docs.google.com/spreadsheets/d/11s9m3tKsCBdPWq6syhZm27eBGbKneDLZc75co106bio/edit?usp=sharing"",""สระแก้ว!N218"")"),0)</f>
        <v>0</v>
      </c>
      <c r="BI69" s="87">
        <f t="shared" ca="1" si="96"/>
        <v>0</v>
      </c>
      <c r="BJ69" s="86">
        <f ca="1">IFERROR(__xludf.DUMMYFUNCTION("IMPORTRANGE(""https://docs.google.com/spreadsheets/d/11s9m3tKsCBdPWq6syhZm27eBGbKneDLZc75co106bio/edit?usp=sharing"",""สระแก้ว!L219"")"),10000)</f>
        <v>10000</v>
      </c>
      <c r="BK69" s="86">
        <f ca="1">IFERROR(__xludf.DUMMYFUNCTION("IMPORTRANGE(""https://docs.google.com/spreadsheets/d/11s9m3tKsCBdPWq6syhZm27eBGbKneDLZc75co106bio/edit?usp=sharing"",""สระแก้ว!N219"")"),0)</f>
        <v>0</v>
      </c>
      <c r="BL69" s="87">
        <f t="shared" ca="1" si="97"/>
        <v>0</v>
      </c>
      <c r="BM69" s="86">
        <f ca="1">IFERROR(__xludf.DUMMYFUNCTION("IMPORTRANGE(""https://docs.google.com/spreadsheets/d/11s9m3tKsCBdPWq6syhZm27eBGbKneDLZc75co106bio/edit?usp=sharing"",""สระแก้ว!L220"")"),0)</f>
        <v>0</v>
      </c>
      <c r="BN69" s="86">
        <f ca="1">IFERROR(__xludf.DUMMYFUNCTION("IMPORTRANGE(""https://docs.google.com/spreadsheets/d/11s9m3tKsCBdPWq6syhZm27eBGbKneDLZc75co106bio/edit?usp=sharing"",""สระแก้ว!N220"")"),0)</f>
        <v>0</v>
      </c>
      <c r="BO69" s="87">
        <f t="shared" ca="1" si="98"/>
        <v>0</v>
      </c>
      <c r="BP69" s="86">
        <f ca="1">IFERROR(__xludf.DUMMYFUNCTION("IMPORTRANGE(""https://docs.google.com/spreadsheets/d/11s9m3tKsCBdPWq6syhZm27eBGbKneDLZc75co106bio/edit?usp=sharing"",""สระแก้ว!I223"")"),40000)</f>
        <v>40000</v>
      </c>
      <c r="BQ69" s="86">
        <f ca="1">IFERROR(__xludf.DUMMYFUNCTION("IMPORTRANGE(""https://docs.google.com/spreadsheets/d/11s9m3tKsCBdPWq6syhZm27eBGbKneDLZc75co106bio/edit?usp=sharing"",""สระแก้ว!J223"")"),0)</f>
        <v>0</v>
      </c>
      <c r="BR69" s="87">
        <f t="shared" ca="1" si="99"/>
        <v>0</v>
      </c>
      <c r="BS69" s="86">
        <f ca="1">IFERROR(__xludf.DUMMYFUNCTION("IMPORTRANGE(""https://docs.google.com/spreadsheets/d/11s9m3tKsCBdPWq6syhZm27eBGbKneDLZc75co106bio/edit?usp=sharing"",""สระแก้ว!I224"")"),40000)</f>
        <v>40000</v>
      </c>
      <c r="BT69" s="86">
        <f ca="1">IFERROR(__xludf.DUMMYFUNCTION("IMPORTRANGE(""https://docs.google.com/spreadsheets/d/11s9m3tKsCBdPWq6syhZm27eBGbKneDLZc75co106bio/edit?usp=sharing"",""สระแก้ว!J224"")"),0)</f>
        <v>0</v>
      </c>
      <c r="BU69" s="87">
        <f t="shared" ca="1" si="100"/>
        <v>0</v>
      </c>
      <c r="BV69" s="86">
        <f ca="1">IFERROR(__xludf.DUMMYFUNCTION("IMPORTRANGE(""https://docs.google.com/spreadsheets/d/11s9m3tKsCBdPWq6syhZm27eBGbKneDLZc75co106bio/edit?usp=sharing"",""สระแก้ว!I225"")"),0)</f>
        <v>0</v>
      </c>
      <c r="BW69" s="86">
        <f ca="1">IFERROR(__xludf.DUMMYFUNCTION("IMPORTRANGE(""https://docs.google.com/spreadsheets/d/11s9m3tKsCBdPWq6syhZm27eBGbKneDLZc75co106bio/edit?usp=sharing"",""สระแก้ว!J225"")"),0)</f>
        <v>0</v>
      </c>
      <c r="BX69" s="87">
        <f t="shared" ca="1" si="101"/>
        <v>0</v>
      </c>
      <c r="BY69" s="86">
        <f ca="1">IFERROR(__xludf.DUMMYFUNCTION("IMPORTRANGE(""https://docs.google.com/spreadsheets/d/11s9m3tKsCBdPWq6syhZm27eBGbKneDLZc75co106bio/edit?usp=sharing"",""สระแก้ว!L228"")"),40000)</f>
        <v>40000</v>
      </c>
      <c r="BZ69" s="86">
        <f ca="1">IFERROR(__xludf.DUMMYFUNCTION("IMPORTRANGE(""https://docs.google.com/spreadsheets/d/11s9m3tKsCBdPWq6syhZm27eBGbKneDLZc75co106bio/edit?usp=sharing"",""สระแก้ว!N228"")"),20580)</f>
        <v>20580</v>
      </c>
      <c r="CA69" s="87">
        <f t="shared" ca="1" si="102"/>
        <v>51.45</v>
      </c>
      <c r="CB69" s="86">
        <f ca="1">IFERROR(__xludf.DUMMYFUNCTION("IMPORTRANGE(""https://docs.google.com/spreadsheets/d/11s9m3tKsCBdPWq6syhZm27eBGbKneDLZc75co106bio/edit?usp=sharing"",""สระแก้ว!L229"")"),52800)</f>
        <v>52800</v>
      </c>
      <c r="CC69" s="86">
        <f ca="1">IFERROR(__xludf.DUMMYFUNCTION("IMPORTRANGE(""https://docs.google.com/spreadsheets/d/11s9m3tKsCBdPWq6syhZm27eBGbKneDLZc75co106bio/edit?usp=sharing"",""สระแก้ว!N229"")"),52800)</f>
        <v>52800</v>
      </c>
      <c r="CD69" s="87">
        <f t="shared" ca="1" si="103"/>
        <v>100</v>
      </c>
      <c r="CE69" s="86">
        <f ca="1">IFERROR(__xludf.DUMMYFUNCTION("IMPORTRANGE(""https://docs.google.com/spreadsheets/d/11s9m3tKsCBdPWq6syhZm27eBGbKneDLZc75co106bio/edit?usp=sharing"",""สระแก้ว!L230"")"),20000)</f>
        <v>20000</v>
      </c>
      <c r="CF69" s="86">
        <f ca="1">IFERROR(__xludf.DUMMYFUNCTION("IMPORTRANGE(""https://docs.google.com/spreadsheets/d/11s9m3tKsCBdPWq6syhZm27eBGbKneDLZc75co106bio/edit?usp=sharing"",""สระแก้ว!N230"")"),0)</f>
        <v>0</v>
      </c>
      <c r="CG69" s="87">
        <f t="shared" ca="1" si="104"/>
        <v>0</v>
      </c>
      <c r="CH69" s="86">
        <f ca="1">IFERROR(__xludf.DUMMYFUNCTION("IMPORTRANGE(""https://docs.google.com/spreadsheets/d/11s9m3tKsCBdPWq6syhZm27eBGbKneDLZc75co106bio/edit?usp=sharing"",""สระแก้ว!L231"")"),20000)</f>
        <v>20000</v>
      </c>
      <c r="CI69" s="86">
        <f ca="1">IFERROR(__xludf.DUMMYFUNCTION("IMPORTRANGE(""https://docs.google.com/spreadsheets/d/11s9m3tKsCBdPWq6syhZm27eBGbKneDLZc75co106bio/edit?usp=sharing"",""สระแก้ว!N231"")"),0)</f>
        <v>0</v>
      </c>
      <c r="CJ69" s="87">
        <f t="shared" ca="1" si="105"/>
        <v>0</v>
      </c>
      <c r="CK69" s="86">
        <f ca="1">IFERROR(__xludf.DUMMYFUNCTION("IMPORTRANGE(""https://docs.google.com/spreadsheets/d/11s9m3tKsCBdPWq6syhZm27eBGbKneDLZc75co106bio/edit?usp=sharing"",""สระแก้ว!I233"")"),60)</f>
        <v>60</v>
      </c>
      <c r="CL69" s="86">
        <f ca="1">IFERROR(__xludf.DUMMYFUNCTION("IMPORTRANGE(""https://docs.google.com/spreadsheets/d/11s9m3tKsCBdPWq6syhZm27eBGbKneDLZc75co106bio/edit?usp=sharing"",""สระแก้ว!J233"")"),60)</f>
        <v>60</v>
      </c>
      <c r="CM69" s="87">
        <f t="shared" ca="1" si="106"/>
        <v>100</v>
      </c>
      <c r="CN69" s="86">
        <f ca="1">IFERROR(__xludf.DUMMYFUNCTION("IMPORTRANGE(""https://docs.google.com/spreadsheets/d/11s9m3tKsCBdPWq6syhZm27eBGbKneDLZc75co106bio/edit?usp=sharing"",""สระแก้ว!J235"")"),0)</f>
        <v>0</v>
      </c>
      <c r="CO69" s="86">
        <f ca="1">IFERROR(__xludf.DUMMYFUNCTION("IMPORTRANGE(""https://docs.google.com/spreadsheets/d/11s9m3tKsCBdPWq6syhZm27eBGbKneDLZc75co106bio/edit?usp=sharing"",""สระแก้ว!J236"")"),0)</f>
        <v>0</v>
      </c>
    </row>
    <row r="70" spans="1:93" ht="21" customHeight="1" x14ac:dyDescent="0.3">
      <c r="A70" s="78">
        <v>18</v>
      </c>
      <c r="B70" s="79" t="s">
        <v>92</v>
      </c>
      <c r="C70" s="80">
        <f t="shared" ca="1" si="0"/>
        <v>208200</v>
      </c>
      <c r="D70" s="81">
        <f t="shared" ca="1" si="187"/>
        <v>208200</v>
      </c>
      <c r="E70" s="82">
        <f ca="1">IFERROR(__xludf.DUMMYFUNCTION("IMPORTRANGE(""https://docs.google.com/spreadsheets/d/1MeEWN-I1oV_STSDYn1IFDPWt_1FKiwhDph83XaGc0o0/edit?usp=sharing"",""งบพรบ!CP70"")"),145200)</f>
        <v>145200</v>
      </c>
      <c r="F70" s="82">
        <f ca="1">IFERROR(__xludf.DUMMYFUNCTION("IMPORTRANGE(""https://docs.google.com/spreadsheets/d/1MeEWN-I1oV_STSDYn1IFDPWt_1FKiwhDph83XaGc0o0/edit?usp=sharing"",""งบพรบ!CQ70"")"),63000)</f>
        <v>63000</v>
      </c>
      <c r="G70" s="82">
        <f ca="1">IFERROR(__xludf.DUMMYFUNCTION("IMPORTRANGE(""https://docs.google.com/spreadsheets/d/1MeEWN-I1oV_STSDYn1IFDPWt_1FKiwhDph83XaGc0o0/edit?usp=sharing"",""งบพรบ!CR70"")"),0)</f>
        <v>0</v>
      </c>
      <c r="H70" s="82">
        <f ca="1">IFERROR(__xludf.DUMMYFUNCTION("IMPORTRANGE(""https://docs.google.com/spreadsheets/d/1MeEWN-I1oV_STSDYn1IFDPWt_1FKiwhDph83XaGc0o0/edit?usp=sharing"",""งบพรบ!CT70"")"),165400)</f>
        <v>165400</v>
      </c>
      <c r="I70" s="82">
        <f ca="1">IFERROR(__xludf.DUMMYFUNCTION("IMPORTRANGE(""https://docs.google.com/spreadsheets/d/1MeEWN-I1oV_STSDYn1IFDPWt_1FKiwhDph83XaGc0o0/edit?usp=sharing"",""งบพรบ!CU70"")"),0)</f>
        <v>0</v>
      </c>
      <c r="J70" s="82">
        <f t="shared" ca="1" si="3"/>
        <v>78092.56</v>
      </c>
      <c r="K70" s="83">
        <f t="shared" ca="1" si="4"/>
        <v>37.50843419788665</v>
      </c>
      <c r="L70" s="82">
        <f ca="1">IFERROR(__xludf.DUMMYFUNCTION("IMPORTRANGE(""https://docs.google.com/spreadsheets/d/1MeEWN-I1oV_STSDYn1IFDPWt_1FKiwhDph83XaGc0o0/edit?usp=sharing"",""งบพรบ!CV70"")"),78092.56)</f>
        <v>78092.56</v>
      </c>
      <c r="M70" s="84">
        <f t="shared" ca="1" si="5"/>
        <v>37.50843419788665</v>
      </c>
      <c r="N70" s="84">
        <f t="shared" ca="1" si="6"/>
        <v>47.214365175332524</v>
      </c>
      <c r="O70" s="85">
        <f ca="1">IFERROR(__xludf.DUMMYFUNCTION("IMPORTRANGE(""https://docs.google.com/spreadsheets/d/1MeEWN-I1oV_STSDYn1IFDPWt_1FKiwhDph83XaGc0o0/edit?usp=sharing"",""งบพรบ!CW70"")"),0)</f>
        <v>0</v>
      </c>
      <c r="P70" s="85">
        <f t="shared" ca="1" si="108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IFERROR(__xludf.DUMMYFUNCTION("IMPORTRANGE(""https://docs.google.com/spreadsheets/d/1Nn1EvsFPtXldgpgVb3Rcng2K2cls68LFQsBh2FyW0Bg/edit?usp=sharing"",""สระบุรี!L191"")"),6000)</f>
        <v>6000</v>
      </c>
      <c r="S70" s="86">
        <f ca="1">IFERROR(__xludf.DUMMYFUNCTION("IMPORTRANGE(""https://docs.google.com/spreadsheets/d/1Nn1EvsFPtXldgpgVb3Rcng2K2cls68LFQsBh2FyW0Bg/edit?usp=sharing"",""สระบุรี!N191"")"),2700)</f>
        <v>2700</v>
      </c>
      <c r="T70" s="87">
        <f t="shared" ca="1" si="84"/>
        <v>45</v>
      </c>
      <c r="U70" s="86">
        <f ca="1">IFERROR(__xludf.DUMMYFUNCTION("IMPORTRANGE(""https://docs.google.com/spreadsheets/d/1Nn1EvsFPtXldgpgVb3Rcng2K2cls68LFQsBh2FyW0Bg/edit?usp=sharing"",""สระบุรี!I193"")"),4)</f>
        <v>4</v>
      </c>
      <c r="V70" s="86">
        <f ca="1">IFERROR(__xludf.DUMMYFUNCTION("IMPORTRANGE(""https://docs.google.com/spreadsheets/d/1Nn1EvsFPtXldgpgVb3Rcng2K2cls68LFQsBh2FyW0Bg/edit?usp=sharing"",""สระบุรี!J193"")"),3)</f>
        <v>3</v>
      </c>
      <c r="W70" s="87">
        <f t="shared" ca="1" si="85"/>
        <v>75</v>
      </c>
      <c r="X70" s="86">
        <f t="shared" ca="1" si="188"/>
        <v>0</v>
      </c>
      <c r="Y70" s="86">
        <f ca="1">IFERROR(__xludf.DUMMYFUNCTION("IMPORTRANGE(""https://docs.google.com/spreadsheets/d/1Nn1EvsFPtXldgpgVb3Rcng2K2cls68LFQsBh2FyW0Bg/edit?usp=sharing"",""สระบุรี!J195"")"),0)</f>
        <v>0</v>
      </c>
      <c r="Z70" s="86">
        <f ca="1">IFERROR(__xludf.DUMMYFUNCTION("IMPORTRANGE(""https://docs.google.com/spreadsheets/d/1Nn1EvsFPtXldgpgVb3Rcng2K2cls68LFQsBh2FyW0Bg/edit?usp=sharing"",""สระบุรี!J196"")"),0)</f>
        <v>0</v>
      </c>
      <c r="AA70" s="86">
        <f ca="1">IFERROR(__xludf.DUMMYFUNCTION("IMPORTRANGE(""https://docs.google.com/spreadsheets/d/1Nn1EvsFPtXldgpgVb3Rcng2K2cls68LFQsBh2FyW0Bg/edit?usp=sharing"",""สระบุรี!L199"")"),3000)</f>
        <v>3000</v>
      </c>
      <c r="AB70" s="86">
        <f ca="1">IFERROR(__xludf.DUMMYFUNCTION("IMPORTRANGE(""https://docs.google.com/spreadsheets/d/1Nn1EvsFPtXldgpgVb3Rcng2K2cls68LFQsBh2FyW0Bg/edit?usp=sharing"",""สระบุรี!N199"")"),0)</f>
        <v>0</v>
      </c>
      <c r="AC70" s="87">
        <f t="shared" ca="1" si="86"/>
        <v>0</v>
      </c>
      <c r="AD70" s="86">
        <f ca="1">IFERROR(__xludf.DUMMYFUNCTION("IMPORTRANGE(""https://docs.google.com/spreadsheets/d/1Nn1EvsFPtXldgpgVb3Rcng2K2cls68LFQsBh2FyW0Bg/edit?usp=sharing"",""สระบุรี!L200"")"),24000)</f>
        <v>24000</v>
      </c>
      <c r="AE70" s="86">
        <f ca="1">IFERROR(__xludf.DUMMYFUNCTION("IMPORTRANGE(""https://docs.google.com/spreadsheets/d/1Nn1EvsFPtXldgpgVb3Rcng2K2cls68LFQsBh2FyW0Bg/edit?usp=sharing"",""สระบุรี!N200"")"),8680)</f>
        <v>8680</v>
      </c>
      <c r="AF70" s="87">
        <f t="shared" ca="1" si="87"/>
        <v>36.166666666666664</v>
      </c>
      <c r="AG70" s="86">
        <f ca="1">IFERROR(__xludf.DUMMYFUNCTION("IMPORTRANGE(""https://docs.google.com/spreadsheets/d/1Nn1EvsFPtXldgpgVb3Rcng2K2cls68LFQsBh2FyW0Bg/edit?usp=sharing"",""สระบุรี!L201"")"),12000)</f>
        <v>12000</v>
      </c>
      <c r="AH70" s="86">
        <f ca="1">IFERROR(__xludf.DUMMYFUNCTION("IMPORTRANGE(""https://docs.google.com/spreadsheets/d/1Nn1EvsFPtXldgpgVb3Rcng2K2cls68LFQsBh2FyW0Bg/edit?usp=sharing"",""สระบุรี!N201"")"),0)</f>
        <v>0</v>
      </c>
      <c r="AI70" s="87">
        <f t="shared" ca="1" si="88"/>
        <v>0</v>
      </c>
      <c r="AJ70" s="86">
        <f ca="1">IFERROR(__xludf.DUMMYFUNCTION("IMPORTRANGE(""https://docs.google.com/spreadsheets/d/1Nn1EvsFPtXldgpgVb3Rcng2K2cls68LFQsBh2FyW0Bg/edit?usp=sharing"",""สระบุรี!L202"")"),0)</f>
        <v>0</v>
      </c>
      <c r="AK70" s="86">
        <f ca="1">IFERROR(__xludf.DUMMYFUNCTION("IMPORTRANGE(""https://docs.google.com/spreadsheets/d/1Nn1EvsFPtXldgpgVb3Rcng2K2cls68LFQsBh2FyW0Bg/edit?usp=sharing"",""สระบุรี!N202"")"),0)</f>
        <v>0</v>
      </c>
      <c r="AL70" s="87">
        <f t="shared" ca="1" si="89"/>
        <v>0</v>
      </c>
      <c r="AM70" s="86">
        <f ca="1">IFERROR(__xludf.DUMMYFUNCTION("IMPORTRANGE(""https://docs.google.com/spreadsheets/d/1Nn1EvsFPtXldgpgVb3Rcng2K2cls68LFQsBh2FyW0Bg/edit?usp=sharing"",""สระบุรี!I204"")"),3)</f>
        <v>3</v>
      </c>
      <c r="AN70" s="86">
        <f ca="1">IFERROR(__xludf.DUMMYFUNCTION("IMPORTRANGE(""https://docs.google.com/spreadsheets/d/1Nn1EvsFPtXldgpgVb3Rcng2K2cls68LFQsBh2FyW0Bg/edit?usp=sharing"",""สระบุรี!J204"")"),3)</f>
        <v>3</v>
      </c>
      <c r="AO70" s="87">
        <f t="shared" ca="1" si="90"/>
        <v>100</v>
      </c>
      <c r="AP70" s="298">
        <f ca="1">IFERROR(__xludf.DUMMYFUNCTION("IMPORTRANGE(""https://docs.google.com/spreadsheets/d/1Nn1EvsFPtXldgpgVb3Rcng2K2cls68LFQsBh2FyW0Bg/edit?usp=sharing"",""สระบุรี!J206"")"),3)</f>
        <v>3</v>
      </c>
      <c r="AQ70" s="298">
        <f ca="1">IFERROR(__xludf.DUMMYFUNCTION("IMPORTRANGE(""https://docs.google.com/spreadsheets/d/1Nn1EvsFPtXldgpgVb3Rcng2K2cls68LFQsBh2FyW0Bg/edit?usp=sharing"",""สระบุรี!J207"")"),0)</f>
        <v>0</v>
      </c>
      <c r="AR70" s="86">
        <f ca="1">IFERROR(__xludf.DUMMYFUNCTION("IMPORTRANGE(""https://docs.google.com/spreadsheets/d/1Nn1EvsFPtXldgpgVb3Rcng2K2cls68LFQsBh2FyW0Bg/edit?usp=sharing"",""สระบุรี!L210"")"),0)</f>
        <v>0</v>
      </c>
      <c r="AS70" s="86">
        <f ca="1">IFERROR(__xludf.DUMMYFUNCTION("IMPORTRANGE(""https://docs.google.com/spreadsheets/d/1Nn1EvsFPtXldgpgVb3Rcng2K2cls68LFQsBh2FyW0Bg/edit?usp=sharing"",""สระบุรี!N210"")"),0)</f>
        <v>0</v>
      </c>
      <c r="AT70" s="87">
        <f t="shared" ca="1" si="91"/>
        <v>0</v>
      </c>
      <c r="AU70" s="86">
        <f ca="1">IFERROR(__xludf.DUMMYFUNCTION("IMPORTRANGE(""https://docs.google.com/spreadsheets/d/1Nn1EvsFPtXldgpgVb3Rcng2K2cls68LFQsBh2FyW0Bg/edit?usp=sharing"",""สระบุรี!L211"")"),0)</f>
        <v>0</v>
      </c>
      <c r="AV70" s="86">
        <f ca="1">IFERROR(__xludf.DUMMYFUNCTION("IMPORTRANGE(""https://docs.google.com/spreadsheets/d/1Nn1EvsFPtXldgpgVb3Rcng2K2cls68LFQsBh2FyW0Bg/edit?usp=sharing"",""สระบุรี!N211"")"),0)</f>
        <v>0</v>
      </c>
      <c r="AW70" s="87">
        <f t="shared" ca="1" si="92"/>
        <v>0</v>
      </c>
      <c r="AX70" s="86">
        <f ca="1">IFERROR(__xludf.DUMMYFUNCTION("IMPORTRANGE(""https://docs.google.com/spreadsheets/d/1Nn1EvsFPtXldgpgVb3Rcng2K2cls68LFQsBh2FyW0Bg/edit?usp=sharing"",""สระบุรี!L212"")"),0)</f>
        <v>0</v>
      </c>
      <c r="AY70" s="86">
        <f ca="1">IFERROR(__xludf.DUMMYFUNCTION("IMPORTRANGE(""https://docs.google.com/spreadsheets/d/1Nn1EvsFPtXldgpgVb3Rcng2K2cls68LFQsBh2FyW0Bg/edit?usp=sharing"",""สระบุรี!N212"")"),0)</f>
        <v>0</v>
      </c>
      <c r="AZ70" s="87">
        <f t="shared" ca="1" si="93"/>
        <v>0</v>
      </c>
      <c r="BA70" s="86">
        <f ca="1">IFERROR(__xludf.DUMMYFUNCTION("IMPORTRANGE(""https://docs.google.com/spreadsheets/d/1Nn1EvsFPtXldgpgVb3Rcng2K2cls68LFQsBh2FyW0Bg/edit?usp=sharing"",""สระบุรี!I214"")"),0)</f>
        <v>0</v>
      </c>
      <c r="BB70" s="86">
        <f ca="1">IFERROR(__xludf.DUMMYFUNCTION("IMPORTRANGE(""https://docs.google.com/spreadsheets/d/1Nn1EvsFPtXldgpgVb3Rcng2K2cls68LFQsBh2FyW0Bg/edit?usp=sharing"",""สระบุรี!J214"")"),0)</f>
        <v>0</v>
      </c>
      <c r="BC70" s="87">
        <f t="shared" ca="1" si="94"/>
        <v>0</v>
      </c>
      <c r="BD70" s="86">
        <f ca="1">IFERROR(__xludf.DUMMYFUNCTION("IMPORTRANGE(""https://docs.google.com/spreadsheets/d/1Nn1EvsFPtXldgpgVb3Rcng2K2cls68LFQsBh2FyW0Bg/edit?usp=sharing"",""สระบุรี!I215"")"),0)</f>
        <v>0</v>
      </c>
      <c r="BE70" s="86">
        <f ca="1">IFERROR(__xludf.DUMMYFUNCTION("IMPORTRANGE(""https://docs.google.com/spreadsheets/d/1Nn1EvsFPtXldgpgVb3Rcng2K2cls68LFQsBh2FyW0Bg/edit?usp=sharing"",""สระบุรี!J215"")"),0)</f>
        <v>0</v>
      </c>
      <c r="BF70" s="87">
        <f t="shared" ca="1" si="95"/>
        <v>0</v>
      </c>
      <c r="BG70" s="86">
        <f ca="1">IFERROR(__xludf.DUMMYFUNCTION("IMPORTRANGE(""https://docs.google.com/spreadsheets/d/1Nn1EvsFPtXldgpgVb3Rcng2K2cls68LFQsBh2FyW0Bg/edit?usp=sharing"",""สระบุรี!L218"")"),3000)</f>
        <v>3000</v>
      </c>
      <c r="BH70" s="86">
        <f ca="1">IFERROR(__xludf.DUMMYFUNCTION("IMPORTRANGE(""https://docs.google.com/spreadsheets/d/1Nn1EvsFPtXldgpgVb3Rcng2K2cls68LFQsBh2FyW0Bg/edit?usp=sharing"",""สระบุรี!N218"")"),0)</f>
        <v>0</v>
      </c>
      <c r="BI70" s="87">
        <f t="shared" ca="1" si="96"/>
        <v>0</v>
      </c>
      <c r="BJ70" s="86">
        <f ca="1">IFERROR(__xludf.DUMMYFUNCTION("IMPORTRANGE(""https://docs.google.com/spreadsheets/d/1Nn1EvsFPtXldgpgVb3Rcng2K2cls68LFQsBh2FyW0Bg/edit?usp=sharing"",""สระบุรี!L219"")"),5000)</f>
        <v>5000</v>
      </c>
      <c r="BK70" s="86">
        <f ca="1">IFERROR(__xludf.DUMMYFUNCTION("IMPORTRANGE(""https://docs.google.com/spreadsheets/d/1Nn1EvsFPtXldgpgVb3Rcng2K2cls68LFQsBh2FyW0Bg/edit?usp=sharing"",""สระบุรี!N219"")"),0)</f>
        <v>0</v>
      </c>
      <c r="BL70" s="87">
        <f t="shared" ca="1" si="97"/>
        <v>0</v>
      </c>
      <c r="BM70" s="86">
        <f ca="1">IFERROR(__xludf.DUMMYFUNCTION("IMPORTRANGE(""https://docs.google.com/spreadsheets/d/1Nn1EvsFPtXldgpgVb3Rcng2K2cls68LFQsBh2FyW0Bg/edit?usp=sharing"",""สระบุรี!L220"")"),10000)</f>
        <v>10000</v>
      </c>
      <c r="BN70" s="86">
        <f ca="1">IFERROR(__xludf.DUMMYFUNCTION("IMPORTRANGE(""https://docs.google.com/spreadsheets/d/1Nn1EvsFPtXldgpgVb3Rcng2K2cls68LFQsBh2FyW0Bg/edit?usp=sharing"",""สระบุรี!N220"")"),1920)</f>
        <v>1920</v>
      </c>
      <c r="BO70" s="87">
        <f t="shared" ca="1" si="98"/>
        <v>19.2</v>
      </c>
      <c r="BP70" s="86">
        <f ca="1">IFERROR(__xludf.DUMMYFUNCTION("IMPORTRANGE(""https://docs.google.com/spreadsheets/d/1Nn1EvsFPtXldgpgVb3Rcng2K2cls68LFQsBh2FyW0Bg/edit?usp=sharing"",""สระบุรี!I223"")"),20000)</f>
        <v>20000</v>
      </c>
      <c r="BQ70" s="86">
        <f ca="1">IFERROR(__xludf.DUMMYFUNCTION("IMPORTRANGE(""https://docs.google.com/spreadsheets/d/1Nn1EvsFPtXldgpgVb3Rcng2K2cls68LFQsBh2FyW0Bg/edit?usp=sharing"",""สระบุรี!J223"")"),0)</f>
        <v>0</v>
      </c>
      <c r="BR70" s="87">
        <f t="shared" ca="1" si="99"/>
        <v>0</v>
      </c>
      <c r="BS70" s="86">
        <f ca="1">IFERROR(__xludf.DUMMYFUNCTION("IMPORTRANGE(""https://docs.google.com/spreadsheets/d/1Nn1EvsFPtXldgpgVb3Rcng2K2cls68LFQsBh2FyW0Bg/edit?usp=sharing"",""สระบุรี!I224"")"),20000)</f>
        <v>20000</v>
      </c>
      <c r="BT70" s="86">
        <f ca="1">IFERROR(__xludf.DUMMYFUNCTION("IMPORTRANGE(""https://docs.google.com/spreadsheets/d/1Nn1EvsFPtXldgpgVb3Rcng2K2cls68LFQsBh2FyW0Bg/edit?usp=sharing"",""สระบุรี!J224"")"),0)</f>
        <v>0</v>
      </c>
      <c r="BU70" s="87">
        <f t="shared" ca="1" si="100"/>
        <v>0</v>
      </c>
      <c r="BV70" s="86">
        <f ca="1">IFERROR(__xludf.DUMMYFUNCTION("IMPORTRANGE(""https://docs.google.com/spreadsheets/d/1Nn1EvsFPtXldgpgVb3Rcng2K2cls68LFQsBh2FyW0Bg/edit?usp=sharing"",""สระบุรี!I225"")"),10)</f>
        <v>10</v>
      </c>
      <c r="BW70" s="86">
        <f ca="1">IFERROR(__xludf.DUMMYFUNCTION("IMPORTRANGE(""https://docs.google.com/spreadsheets/d/1Nn1EvsFPtXldgpgVb3Rcng2K2cls68LFQsBh2FyW0Bg/edit?usp=sharing"",""สระบุรี!J225"")"),0)</f>
        <v>0</v>
      </c>
      <c r="BX70" s="87">
        <f t="shared" ca="1" si="101"/>
        <v>0</v>
      </c>
      <c r="BY70" s="86">
        <f ca="1">IFERROR(__xludf.DUMMYFUNCTION("IMPORTRANGE(""https://docs.google.com/spreadsheets/d/1Nn1EvsFPtXldgpgVb3Rcng2K2cls68LFQsBh2FyW0Bg/edit?usp=sharing"",""สระบุรี!L228"")"),0)</f>
        <v>0</v>
      </c>
      <c r="BZ70" s="86">
        <f ca="1">IFERROR(__xludf.DUMMYFUNCTION("IMPORTRANGE(""https://docs.google.com/spreadsheets/d/1Nn1EvsFPtXldgpgVb3Rcng2K2cls68LFQsBh2FyW0Bg/edit?usp=sharing"",""สระบุรี!N228"")"),0)</f>
        <v>0</v>
      </c>
      <c r="CA70" s="87">
        <f t="shared" ca="1" si="102"/>
        <v>0</v>
      </c>
      <c r="CB70" s="86">
        <f ca="1">IFERROR(__xludf.DUMMYFUNCTION("IMPORTRANGE(""https://docs.google.com/spreadsheets/d/1Nn1EvsFPtXldgpgVb3Rcng2K2cls68LFQsBh2FyW0Bg/edit?usp=sharing"",""สระบุรี!L229"")"),0)</f>
        <v>0</v>
      </c>
      <c r="CC70" s="86">
        <f ca="1">IFERROR(__xludf.DUMMYFUNCTION("IMPORTRANGE(""https://docs.google.com/spreadsheets/d/1Nn1EvsFPtXldgpgVb3Rcng2K2cls68LFQsBh2FyW0Bg/edit?usp=sharing"",""สระบุรี!N229"")"),0)</f>
        <v>0</v>
      </c>
      <c r="CD70" s="87">
        <f t="shared" ca="1" si="103"/>
        <v>0</v>
      </c>
      <c r="CE70" s="86">
        <f ca="1">IFERROR(__xludf.DUMMYFUNCTION("IMPORTRANGE(""https://docs.google.com/spreadsheets/d/1Nn1EvsFPtXldgpgVb3Rcng2K2cls68LFQsBh2FyW0Bg/edit?usp=sharing"",""สระบุรี!L230"")"),0)</f>
        <v>0</v>
      </c>
      <c r="CF70" s="86">
        <f ca="1">IFERROR(__xludf.DUMMYFUNCTION("IMPORTRANGE(""https://docs.google.com/spreadsheets/d/1Nn1EvsFPtXldgpgVb3Rcng2K2cls68LFQsBh2FyW0Bg/edit?usp=sharing"",""สระบุรี!N230"")"),0)</f>
        <v>0</v>
      </c>
      <c r="CG70" s="87">
        <f t="shared" ca="1" si="104"/>
        <v>0</v>
      </c>
      <c r="CH70" s="86">
        <f ca="1">IFERROR(__xludf.DUMMYFUNCTION("IMPORTRANGE(""https://docs.google.com/spreadsheets/d/1Nn1EvsFPtXldgpgVb3Rcng2K2cls68LFQsBh2FyW0Bg/edit?usp=sharing"",""สระบุรี!L231"")"),0)</f>
        <v>0</v>
      </c>
      <c r="CI70" s="86">
        <f ca="1">IFERROR(__xludf.DUMMYFUNCTION("IMPORTRANGE(""https://docs.google.com/spreadsheets/d/1Nn1EvsFPtXldgpgVb3Rcng2K2cls68LFQsBh2FyW0Bg/edit?usp=sharing"",""สระบุรี!N231"")"),0)</f>
        <v>0</v>
      </c>
      <c r="CJ70" s="87">
        <f t="shared" ca="1" si="105"/>
        <v>0</v>
      </c>
      <c r="CK70" s="86">
        <f ca="1">IFERROR(__xludf.DUMMYFUNCTION("IMPORTRANGE(""https://docs.google.com/spreadsheets/d/1Nn1EvsFPtXldgpgVb3Rcng2K2cls68LFQsBh2FyW0Bg/edit?usp=sharing"",""สระบุรี!I233"")"),0)</f>
        <v>0</v>
      </c>
      <c r="CL70" s="86">
        <f ca="1">IFERROR(__xludf.DUMMYFUNCTION("IMPORTRANGE(""https://docs.google.com/spreadsheets/d/1Nn1EvsFPtXldgpgVb3Rcng2K2cls68LFQsBh2FyW0Bg/edit?usp=sharing"",""สระบุรี!J233"")"),0)</f>
        <v>0</v>
      </c>
      <c r="CM70" s="87">
        <f t="shared" ca="1" si="106"/>
        <v>0</v>
      </c>
      <c r="CN70" s="86">
        <f ca="1">IFERROR(__xludf.DUMMYFUNCTION("IMPORTRANGE(""https://docs.google.com/spreadsheets/d/1Nn1EvsFPtXldgpgVb3Rcng2K2cls68LFQsBh2FyW0Bg/edit?usp=sharing"",""สระบุรี!J235"")"),0)</f>
        <v>0</v>
      </c>
      <c r="CO70" s="86">
        <f ca="1">IFERROR(__xludf.DUMMYFUNCTION("IMPORTRANGE(""https://docs.google.com/spreadsheets/d/1Nn1EvsFPtXldgpgVb3Rcng2K2cls68LFQsBh2FyW0Bg/edit?usp=sharing"",""สระบุรี!J236"")"),0)</f>
        <v>0</v>
      </c>
    </row>
    <row r="71" spans="1:93" ht="21" customHeight="1" x14ac:dyDescent="0.3">
      <c r="A71" s="78">
        <v>19</v>
      </c>
      <c r="B71" s="79" t="s">
        <v>93</v>
      </c>
      <c r="C71" s="80">
        <f t="shared" ca="1" si="0"/>
        <v>12500</v>
      </c>
      <c r="D71" s="81">
        <f t="shared" ca="1" si="187"/>
        <v>12500</v>
      </c>
      <c r="E71" s="82">
        <f ca="1">IFERROR(__xludf.DUMMYFUNCTION("IMPORTRANGE(""https://docs.google.com/spreadsheets/d/1MeEWN-I1oV_STSDYn1IFDPWt_1FKiwhDph83XaGc0o0/edit?usp=sharing"",""งบพรบ!CP71"")"),0)</f>
        <v>0</v>
      </c>
      <c r="F71" s="82">
        <f ca="1">IFERROR(__xludf.DUMMYFUNCTION("IMPORTRANGE(""https://docs.google.com/spreadsheets/d/1MeEWN-I1oV_STSDYn1IFDPWt_1FKiwhDph83XaGc0o0/edit?usp=sharing"",""งบพรบ!CQ71"")"),12500)</f>
        <v>12500</v>
      </c>
      <c r="G71" s="82">
        <f ca="1">IFERROR(__xludf.DUMMYFUNCTION("IMPORTRANGE(""https://docs.google.com/spreadsheets/d/1MeEWN-I1oV_STSDYn1IFDPWt_1FKiwhDph83XaGc0o0/edit?usp=sharing"",""งบพรบ!CR71"")"),0)</f>
        <v>0</v>
      </c>
      <c r="H71" s="82">
        <f ca="1">IFERROR(__xludf.DUMMYFUNCTION("IMPORTRANGE(""https://docs.google.com/spreadsheets/d/1MeEWN-I1oV_STSDYn1IFDPWt_1FKiwhDph83XaGc0o0/edit?usp=sharing"",""งบพรบ!CT71"")"),7500)</f>
        <v>7500</v>
      </c>
      <c r="I71" s="82">
        <f ca="1">IFERROR(__xludf.DUMMYFUNCTION("IMPORTRANGE(""https://docs.google.com/spreadsheets/d/1MeEWN-I1oV_STSDYn1IFDPWt_1FKiwhDph83XaGc0o0/edit?usp=sharing"",""งบพรบ!CU71"")"),0)</f>
        <v>0</v>
      </c>
      <c r="J71" s="82">
        <f t="shared" ca="1" si="3"/>
        <v>2972</v>
      </c>
      <c r="K71" s="83">
        <f t="shared" ca="1" si="4"/>
        <v>23.776</v>
      </c>
      <c r="L71" s="82">
        <f ca="1">IFERROR(__xludf.DUMMYFUNCTION("IMPORTRANGE(""https://docs.google.com/spreadsheets/d/1MeEWN-I1oV_STSDYn1IFDPWt_1FKiwhDph83XaGc0o0/edit?usp=sharing"",""งบพรบ!CV71"")"),2972)</f>
        <v>2972</v>
      </c>
      <c r="M71" s="84">
        <f t="shared" ca="1" si="5"/>
        <v>23.776</v>
      </c>
      <c r="N71" s="84">
        <f t="shared" ca="1" si="6"/>
        <v>39.626666666666665</v>
      </c>
      <c r="O71" s="85">
        <f ca="1">IFERROR(__xludf.DUMMYFUNCTION("IMPORTRANGE(""https://docs.google.com/spreadsheets/d/1MeEWN-I1oV_STSDYn1IFDPWt_1FKiwhDph83XaGc0o0/edit?usp=sharing"",""งบพรบ!CW71"")"),0)</f>
        <v>0</v>
      </c>
      <c r="P71" s="85">
        <f t="shared" ca="1" si="108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IFERROR(__xludf.DUMMYFUNCTION("IMPORTRANGE(""https://docs.google.com/spreadsheets/d/149xufxukrnEciK3WPbNpHwUK8BKEJxp3UcBG3Al6dA4/edit?usp=sharing"",""สิงห์บุรี!L191"")"),6000)</f>
        <v>6000</v>
      </c>
      <c r="S71" s="86">
        <f ca="1">IFERROR(__xludf.DUMMYFUNCTION("IMPORTRANGE(""https://docs.google.com/spreadsheets/d/149xufxukrnEciK3WPbNpHwUK8BKEJxp3UcBG3Al6dA4/edit?usp=sharing"",""สิงห์บุรี!N191"")"),2972)</f>
        <v>2972</v>
      </c>
      <c r="T71" s="87">
        <f t="shared" ca="1" si="84"/>
        <v>49.533333333333331</v>
      </c>
      <c r="U71" s="86">
        <f ca="1">IFERROR(__xludf.DUMMYFUNCTION("IMPORTRANGE(""https://docs.google.com/spreadsheets/d/149xufxukrnEciK3WPbNpHwUK8BKEJxp3UcBG3Al6dA4/edit?usp=sharing"",""สิงห์บุรี!I193"")"),4)</f>
        <v>4</v>
      </c>
      <c r="V71" s="86">
        <f ca="1">IFERROR(__xludf.DUMMYFUNCTION("IMPORTRANGE(""https://docs.google.com/spreadsheets/d/149xufxukrnEciK3WPbNpHwUK8BKEJxp3UcBG3Al6dA4/edit?usp=sharing"",""สิงห์บุรี!J193"")"),2)</f>
        <v>2</v>
      </c>
      <c r="W71" s="87">
        <f t="shared" ca="1" si="85"/>
        <v>50</v>
      </c>
      <c r="X71" s="86">
        <f t="shared" ca="1" si="188"/>
        <v>81</v>
      </c>
      <c r="Y71" s="86">
        <f ca="1">IFERROR(__xludf.DUMMYFUNCTION("IMPORTRANGE(""https://docs.google.com/spreadsheets/d/149xufxukrnEciK3WPbNpHwUK8BKEJxp3UcBG3Al6dA4/edit?usp=sharing"",""สิงห์บุรี!J195"")"),81)</f>
        <v>81</v>
      </c>
      <c r="Z71" s="86">
        <f ca="1">IFERROR(__xludf.DUMMYFUNCTION("IMPORTRANGE(""https://docs.google.com/spreadsheets/d/149xufxukrnEciK3WPbNpHwUK8BKEJxp3UcBG3Al6dA4/edit?usp=sharing"",""สิงห์บุรี!J196"")"),0)</f>
        <v>0</v>
      </c>
      <c r="AA71" s="86">
        <f ca="1">IFERROR(__xludf.DUMMYFUNCTION("IMPORTRANGE(""https://docs.google.com/spreadsheets/d/149xufxukrnEciK3WPbNpHwUK8BKEJxp3UcBG3Al6dA4/edit?usp=sharing"",""สิงห์บุรี!L199"")"),0)</f>
        <v>0</v>
      </c>
      <c r="AB71" s="86">
        <f ca="1">IFERROR(__xludf.DUMMYFUNCTION("IMPORTRANGE(""https://docs.google.com/spreadsheets/d/149xufxukrnEciK3WPbNpHwUK8BKEJxp3UcBG3Al6dA4/edit?usp=sharing"",""สิงห์บุรี!N199"")"),0)</f>
        <v>0</v>
      </c>
      <c r="AC71" s="87">
        <f t="shared" ca="1" si="86"/>
        <v>0</v>
      </c>
      <c r="AD71" s="86">
        <f ca="1">IFERROR(__xludf.DUMMYFUNCTION("IMPORTRANGE(""https://docs.google.com/spreadsheets/d/149xufxukrnEciK3WPbNpHwUK8BKEJxp3UcBG3Al6dA4/edit?usp=sharing"",""สิงห์บุรี!L200"")"),0)</f>
        <v>0</v>
      </c>
      <c r="AE71" s="86">
        <f ca="1">IFERROR(__xludf.DUMMYFUNCTION("IMPORTRANGE(""https://docs.google.com/spreadsheets/d/149xufxukrnEciK3WPbNpHwUK8BKEJxp3UcBG3Al6dA4/edit?usp=sharing"",""สิงห์บุรี!N200"")"),0)</f>
        <v>0</v>
      </c>
      <c r="AF71" s="87">
        <f t="shared" ca="1" si="87"/>
        <v>0</v>
      </c>
      <c r="AG71" s="86">
        <f ca="1">IFERROR(__xludf.DUMMYFUNCTION("IMPORTRANGE(""https://docs.google.com/spreadsheets/d/149xufxukrnEciK3WPbNpHwUK8BKEJxp3UcBG3Al6dA4/edit?usp=sharing"",""สิงห์บุรี!L201"")"),0)</f>
        <v>0</v>
      </c>
      <c r="AH71" s="86">
        <f ca="1">IFERROR(__xludf.DUMMYFUNCTION("IMPORTRANGE(""https://docs.google.com/spreadsheets/d/149xufxukrnEciK3WPbNpHwUK8BKEJxp3UcBG3Al6dA4/edit?usp=sharing"",""สิงห์บุรี!N201"")"),0)</f>
        <v>0</v>
      </c>
      <c r="AI71" s="87">
        <f t="shared" ca="1" si="88"/>
        <v>0</v>
      </c>
      <c r="AJ71" s="86">
        <f ca="1">IFERROR(__xludf.DUMMYFUNCTION("IMPORTRANGE(""https://docs.google.com/spreadsheets/d/149xufxukrnEciK3WPbNpHwUK8BKEJxp3UcBG3Al6dA4/edit?usp=sharing"",""สิงห์บุรี!L202"")"),0)</f>
        <v>0</v>
      </c>
      <c r="AK71" s="86">
        <f ca="1">IFERROR(__xludf.DUMMYFUNCTION("IMPORTRANGE(""https://docs.google.com/spreadsheets/d/149xufxukrnEciK3WPbNpHwUK8BKEJxp3UcBG3Al6dA4/edit?usp=sharing"",""สิงห์บุรี!N202"")"),0)</f>
        <v>0</v>
      </c>
      <c r="AL71" s="87">
        <f t="shared" ca="1" si="89"/>
        <v>0</v>
      </c>
      <c r="AM71" s="86">
        <f ca="1">IFERROR(__xludf.DUMMYFUNCTION("IMPORTRANGE(""https://docs.google.com/spreadsheets/d/149xufxukrnEciK3WPbNpHwUK8BKEJxp3UcBG3Al6dA4/edit?usp=sharing"",""สิงห์บุรี!I204"")"),0)</f>
        <v>0</v>
      </c>
      <c r="AN71" s="86">
        <f ca="1">IFERROR(__xludf.DUMMYFUNCTION("IMPORTRANGE(""https://docs.google.com/spreadsheets/d/149xufxukrnEciK3WPbNpHwUK8BKEJxp3UcBG3Al6dA4/edit?usp=sharing"",""สิงห์บุรี!J204"")"),0)</f>
        <v>0</v>
      </c>
      <c r="AO71" s="87">
        <f t="shared" ca="1" si="90"/>
        <v>0</v>
      </c>
      <c r="AP71" s="298">
        <f ca="1">IFERROR(__xludf.DUMMYFUNCTION("IMPORTRANGE(""https://docs.google.com/spreadsheets/d/149xufxukrnEciK3WPbNpHwUK8BKEJxp3UcBG3Al6dA4/edit?usp=sharing"",""สิงห์บุรี!J206"")"),0)</f>
        <v>0</v>
      </c>
      <c r="AQ71" s="298">
        <f ca="1">IFERROR(__xludf.DUMMYFUNCTION("IMPORTRANGE(""https://docs.google.com/spreadsheets/d/149xufxukrnEciK3WPbNpHwUK8BKEJxp3UcBG3Al6dA4/edit?usp=sharing"",""สิงห์บุรี!J207"")"),0)</f>
        <v>0</v>
      </c>
      <c r="AR71" s="86">
        <f ca="1">IFERROR(__xludf.DUMMYFUNCTION("IMPORTRANGE(""https://docs.google.com/spreadsheets/d/149xufxukrnEciK3WPbNpHwUK8BKEJxp3UcBG3Al6dA4/edit?usp=sharing"",""สิงห์บุรี!L210"")"),0)</f>
        <v>0</v>
      </c>
      <c r="AS71" s="86">
        <f ca="1">IFERROR(__xludf.DUMMYFUNCTION("IMPORTRANGE(""https://docs.google.com/spreadsheets/d/149xufxukrnEciK3WPbNpHwUK8BKEJxp3UcBG3Al6dA4/edit?usp=sharing"",""สิงห์บุรี!N210"")"),0)</f>
        <v>0</v>
      </c>
      <c r="AT71" s="87">
        <f t="shared" ca="1" si="91"/>
        <v>0</v>
      </c>
      <c r="AU71" s="86">
        <f ca="1">IFERROR(__xludf.DUMMYFUNCTION("IMPORTRANGE(""https://docs.google.com/spreadsheets/d/149xufxukrnEciK3WPbNpHwUK8BKEJxp3UcBG3Al6dA4/edit?usp=sharing"",""สิงห์บุรี!L211"")"),0)</f>
        <v>0</v>
      </c>
      <c r="AV71" s="86">
        <f ca="1">IFERROR(__xludf.DUMMYFUNCTION("IMPORTRANGE(""https://docs.google.com/spreadsheets/d/149xufxukrnEciK3WPbNpHwUK8BKEJxp3UcBG3Al6dA4/edit?usp=sharing"",""สิงห์บุรี!N211"")"),0)</f>
        <v>0</v>
      </c>
      <c r="AW71" s="87">
        <f t="shared" ca="1" si="92"/>
        <v>0</v>
      </c>
      <c r="AX71" s="86">
        <f ca="1">IFERROR(__xludf.DUMMYFUNCTION("IMPORTRANGE(""https://docs.google.com/spreadsheets/d/149xufxukrnEciK3WPbNpHwUK8BKEJxp3UcBG3Al6dA4/edit?usp=sharing"",""สิงห์บุรี!L212"")"),0)</f>
        <v>0</v>
      </c>
      <c r="AY71" s="86">
        <f ca="1">IFERROR(__xludf.DUMMYFUNCTION("IMPORTRANGE(""https://docs.google.com/spreadsheets/d/149xufxukrnEciK3WPbNpHwUK8BKEJxp3UcBG3Al6dA4/edit?usp=sharing"",""สิงห์บุรี!N212"")"),0)</f>
        <v>0</v>
      </c>
      <c r="AZ71" s="87">
        <f t="shared" ca="1" si="93"/>
        <v>0</v>
      </c>
      <c r="BA71" s="86">
        <f ca="1">IFERROR(__xludf.DUMMYFUNCTION("IMPORTRANGE(""https://docs.google.com/spreadsheets/d/149xufxukrnEciK3WPbNpHwUK8BKEJxp3UcBG3Al6dA4/edit?usp=sharing"",""สิงห์บุรี!I214"")"),0)</f>
        <v>0</v>
      </c>
      <c r="BB71" s="86">
        <f ca="1">IFERROR(__xludf.DUMMYFUNCTION("IMPORTRANGE(""https://docs.google.com/spreadsheets/d/149xufxukrnEciK3WPbNpHwUK8BKEJxp3UcBG3Al6dA4/edit?usp=sharing"",""สิงห์บุรี!J214"")"),0)</f>
        <v>0</v>
      </c>
      <c r="BC71" s="87">
        <f t="shared" ca="1" si="94"/>
        <v>0</v>
      </c>
      <c r="BD71" s="86">
        <f ca="1">IFERROR(__xludf.DUMMYFUNCTION("IMPORTRANGE(""https://docs.google.com/spreadsheets/d/149xufxukrnEciK3WPbNpHwUK8BKEJxp3UcBG3Al6dA4/edit?usp=sharing"",""สิงห์บุรี!I215"")"),0)</f>
        <v>0</v>
      </c>
      <c r="BE71" s="86">
        <f ca="1">IFERROR(__xludf.DUMMYFUNCTION("IMPORTRANGE(""https://docs.google.com/spreadsheets/d/149xufxukrnEciK3WPbNpHwUK8BKEJxp3UcBG3Al6dA4/edit?usp=sharing"",""สิงห์บุรี!J215"")"),0)</f>
        <v>0</v>
      </c>
      <c r="BF71" s="87">
        <f t="shared" ca="1" si="95"/>
        <v>0</v>
      </c>
      <c r="BG71" s="86">
        <f ca="1">IFERROR(__xludf.DUMMYFUNCTION("IMPORTRANGE(""https://docs.google.com/spreadsheets/d/149xufxukrnEciK3WPbNpHwUK8BKEJxp3UcBG3Al6dA4/edit?usp=sharing"",""สิงห์บุรี!L218"")"),3000)</f>
        <v>3000</v>
      </c>
      <c r="BH71" s="86">
        <f ca="1">IFERROR(__xludf.DUMMYFUNCTION("IMPORTRANGE(""https://docs.google.com/spreadsheets/d/149xufxukrnEciK3WPbNpHwUK8BKEJxp3UcBG3Al6dA4/edit?usp=sharing"",""สิงห์บุรี!N218"")"),0)</f>
        <v>0</v>
      </c>
      <c r="BI71" s="87">
        <f t="shared" ca="1" si="96"/>
        <v>0</v>
      </c>
      <c r="BJ71" s="86">
        <f ca="1">IFERROR(__xludf.DUMMYFUNCTION("IMPORTRANGE(""https://docs.google.com/spreadsheets/d/149xufxukrnEciK3WPbNpHwUK8BKEJxp3UcBG3Al6dA4/edit?usp=sharing"",""สิงห์บุรี!L219"")"),3500)</f>
        <v>3500</v>
      </c>
      <c r="BK71" s="86">
        <f ca="1">IFERROR(__xludf.DUMMYFUNCTION("IMPORTRANGE(""https://docs.google.com/spreadsheets/d/149xufxukrnEciK3WPbNpHwUK8BKEJxp3UcBG3Al6dA4/edit?usp=sharing"",""สิงห์บุรี!N219"")"),0)</f>
        <v>0</v>
      </c>
      <c r="BL71" s="87">
        <f t="shared" ca="1" si="97"/>
        <v>0</v>
      </c>
      <c r="BM71" s="86">
        <f ca="1">IFERROR(__xludf.DUMMYFUNCTION("IMPORTRANGE(""https://docs.google.com/spreadsheets/d/149xufxukrnEciK3WPbNpHwUK8BKEJxp3UcBG3Al6dA4/edit?usp=sharing"",""สิงห์บุรี!L220"")"),0)</f>
        <v>0</v>
      </c>
      <c r="BN71" s="86">
        <f ca="1">IFERROR(__xludf.DUMMYFUNCTION("IMPORTRANGE(""https://docs.google.com/spreadsheets/d/149xufxukrnEciK3WPbNpHwUK8BKEJxp3UcBG3Al6dA4/edit?usp=sharing"",""สิงห์บุรี!N220"")"),0)</f>
        <v>0</v>
      </c>
      <c r="BO71" s="87">
        <f t="shared" ca="1" si="98"/>
        <v>0</v>
      </c>
      <c r="BP71" s="86">
        <f ca="1">IFERROR(__xludf.DUMMYFUNCTION("IMPORTRANGE(""https://docs.google.com/spreadsheets/d/149xufxukrnEciK3WPbNpHwUK8BKEJxp3UcBG3Al6dA4/edit?usp=sharing"",""สิงห์บุรี!I223"")"),10000)</f>
        <v>10000</v>
      </c>
      <c r="BQ71" s="86">
        <f ca="1">IFERROR(__xludf.DUMMYFUNCTION("IMPORTRANGE(""https://docs.google.com/spreadsheets/d/149xufxukrnEciK3WPbNpHwUK8BKEJxp3UcBG3Al6dA4/edit?usp=sharing"",""สิงห์บุรี!J223"")"),0)</f>
        <v>0</v>
      </c>
      <c r="BR71" s="87">
        <f t="shared" ca="1" si="99"/>
        <v>0</v>
      </c>
      <c r="BS71" s="86">
        <f ca="1">IFERROR(__xludf.DUMMYFUNCTION("IMPORTRANGE(""https://docs.google.com/spreadsheets/d/149xufxukrnEciK3WPbNpHwUK8BKEJxp3UcBG3Al6dA4/edit?usp=sharing"",""สิงห์บุรี!I224"")"),10000)</f>
        <v>10000</v>
      </c>
      <c r="BT71" s="86">
        <f ca="1">IFERROR(__xludf.DUMMYFUNCTION("IMPORTRANGE(""https://docs.google.com/spreadsheets/d/149xufxukrnEciK3WPbNpHwUK8BKEJxp3UcBG3Al6dA4/edit?usp=sharing"",""สิงห์บุรี!J224"")"),0)</f>
        <v>0</v>
      </c>
      <c r="BU71" s="87">
        <f t="shared" ca="1" si="100"/>
        <v>0</v>
      </c>
      <c r="BV71" s="86">
        <f ca="1">IFERROR(__xludf.DUMMYFUNCTION("IMPORTRANGE(""https://docs.google.com/spreadsheets/d/149xufxukrnEciK3WPbNpHwUK8BKEJxp3UcBG3Al6dA4/edit?usp=sharing"",""สิงห์บุรี!I225"")"),0)</f>
        <v>0</v>
      </c>
      <c r="BW71" s="86">
        <f ca="1">IFERROR(__xludf.DUMMYFUNCTION("IMPORTRANGE(""https://docs.google.com/spreadsheets/d/149xufxukrnEciK3WPbNpHwUK8BKEJxp3UcBG3Al6dA4/edit?usp=sharing"",""สิงห์บุรี!J225"")"),0)</f>
        <v>0</v>
      </c>
      <c r="BX71" s="87">
        <f t="shared" ca="1" si="101"/>
        <v>0</v>
      </c>
      <c r="BY71" s="86">
        <f ca="1">IFERROR(__xludf.DUMMYFUNCTION("IMPORTRANGE(""https://docs.google.com/spreadsheets/d/149xufxukrnEciK3WPbNpHwUK8BKEJxp3UcBG3Al6dA4/edit?usp=sharing"",""สิงห์บุรี!L228"")"),0)</f>
        <v>0</v>
      </c>
      <c r="BZ71" s="86">
        <f ca="1">IFERROR(__xludf.DUMMYFUNCTION("IMPORTRANGE(""https://docs.google.com/spreadsheets/d/149xufxukrnEciK3WPbNpHwUK8BKEJxp3UcBG3Al6dA4/edit?usp=sharing"",""สิงห์บุรี!N228"")"),0)</f>
        <v>0</v>
      </c>
      <c r="CA71" s="87">
        <f t="shared" ca="1" si="102"/>
        <v>0</v>
      </c>
      <c r="CB71" s="86">
        <f ca="1">IFERROR(__xludf.DUMMYFUNCTION("IMPORTRANGE(""https://docs.google.com/spreadsheets/d/149xufxukrnEciK3WPbNpHwUK8BKEJxp3UcBG3Al6dA4/edit?usp=sharing"",""สิงห์บุรี!L229"")"),0)</f>
        <v>0</v>
      </c>
      <c r="CC71" s="86">
        <f ca="1">IFERROR(__xludf.DUMMYFUNCTION("IMPORTRANGE(""https://docs.google.com/spreadsheets/d/149xufxukrnEciK3WPbNpHwUK8BKEJxp3UcBG3Al6dA4/edit?usp=sharing"",""สิงห์บุรี!N229"")"),0)</f>
        <v>0</v>
      </c>
      <c r="CD71" s="87">
        <f t="shared" ca="1" si="103"/>
        <v>0</v>
      </c>
      <c r="CE71" s="86">
        <f ca="1">IFERROR(__xludf.DUMMYFUNCTION("IMPORTRANGE(""https://docs.google.com/spreadsheets/d/149xufxukrnEciK3WPbNpHwUK8BKEJxp3UcBG3Al6dA4/edit?usp=sharing"",""สิงห์บุรี!L230"")"),0)</f>
        <v>0</v>
      </c>
      <c r="CF71" s="86">
        <f ca="1">IFERROR(__xludf.DUMMYFUNCTION("IMPORTRANGE(""https://docs.google.com/spreadsheets/d/149xufxukrnEciK3WPbNpHwUK8BKEJxp3UcBG3Al6dA4/edit?usp=sharing"",""สิงห์บุรี!N230"")"),0)</f>
        <v>0</v>
      </c>
      <c r="CG71" s="87">
        <f t="shared" ca="1" si="104"/>
        <v>0</v>
      </c>
      <c r="CH71" s="86">
        <f ca="1">IFERROR(__xludf.DUMMYFUNCTION("IMPORTRANGE(""https://docs.google.com/spreadsheets/d/149xufxukrnEciK3WPbNpHwUK8BKEJxp3UcBG3Al6dA4/edit?usp=sharing"",""สิงห์บุรี!L231"")"),0)</f>
        <v>0</v>
      </c>
      <c r="CI71" s="86">
        <f ca="1">IFERROR(__xludf.DUMMYFUNCTION("IMPORTRANGE(""https://docs.google.com/spreadsheets/d/149xufxukrnEciK3WPbNpHwUK8BKEJxp3UcBG3Al6dA4/edit?usp=sharing"",""สิงห์บุรี!N231"")"),0)</f>
        <v>0</v>
      </c>
      <c r="CJ71" s="87">
        <f t="shared" ca="1" si="105"/>
        <v>0</v>
      </c>
      <c r="CK71" s="86">
        <f ca="1">IFERROR(__xludf.DUMMYFUNCTION("IMPORTRANGE(""https://docs.google.com/spreadsheets/d/149xufxukrnEciK3WPbNpHwUK8BKEJxp3UcBG3Al6dA4/edit?usp=sharing"",""สิงห์บุรี!I233"")"),0)</f>
        <v>0</v>
      </c>
      <c r="CL71" s="86">
        <f ca="1">IFERROR(__xludf.DUMMYFUNCTION("IMPORTRANGE(""https://docs.google.com/spreadsheets/d/149xufxukrnEciK3WPbNpHwUK8BKEJxp3UcBG3Al6dA4/edit?usp=sharing"",""สิงห์บุรี!J233"")"),0)</f>
        <v>0</v>
      </c>
      <c r="CM71" s="87">
        <f t="shared" ca="1" si="106"/>
        <v>0</v>
      </c>
      <c r="CN71" s="86">
        <f ca="1">IFERROR(__xludf.DUMMYFUNCTION("IMPORTRANGE(""https://docs.google.com/spreadsheets/d/149xufxukrnEciK3WPbNpHwUK8BKEJxp3UcBG3Al6dA4/edit?usp=sharing"",""สิงห์บุรี!J235"")"),0)</f>
        <v>0</v>
      </c>
      <c r="CO71" s="86">
        <f ca="1">IFERROR(__xludf.DUMMYFUNCTION("IMPORTRANGE(""https://docs.google.com/spreadsheets/d/149xufxukrnEciK3WPbNpHwUK8BKEJxp3UcBG3Al6dA4/edit?usp=sharing"",""สิงห์บุรี!J236"")"),0)</f>
        <v>0</v>
      </c>
    </row>
    <row r="72" spans="1:93" ht="21" customHeight="1" x14ac:dyDescent="0.3">
      <c r="A72" s="78">
        <v>20</v>
      </c>
      <c r="B72" s="79" t="s">
        <v>94</v>
      </c>
      <c r="C72" s="80">
        <f t="shared" ca="1" si="0"/>
        <v>27000</v>
      </c>
      <c r="D72" s="81">
        <f t="shared" ca="1" si="187"/>
        <v>27000</v>
      </c>
      <c r="E72" s="82">
        <f ca="1">IFERROR(__xludf.DUMMYFUNCTION("IMPORTRANGE(""https://docs.google.com/spreadsheets/d/1MeEWN-I1oV_STSDYn1IFDPWt_1FKiwhDph83XaGc0o0/edit?usp=sharing"",""งบพรบ!CP72"")"),0)</f>
        <v>0</v>
      </c>
      <c r="F72" s="82">
        <f ca="1">IFERROR(__xludf.DUMMYFUNCTION("IMPORTRANGE(""https://docs.google.com/spreadsheets/d/1MeEWN-I1oV_STSDYn1IFDPWt_1FKiwhDph83XaGc0o0/edit?usp=sharing"",""งบพรบ!CQ72"")"),27000)</f>
        <v>27000</v>
      </c>
      <c r="G72" s="82">
        <f ca="1">IFERROR(__xludf.DUMMYFUNCTION("IMPORTRANGE(""https://docs.google.com/spreadsheets/d/1MeEWN-I1oV_STSDYn1IFDPWt_1FKiwhDph83XaGc0o0/edit?usp=sharing"",""งบพรบ!CR72"")"),0)</f>
        <v>0</v>
      </c>
      <c r="H72" s="82">
        <f ca="1">IFERROR(__xludf.DUMMYFUNCTION("IMPORTRANGE(""https://docs.google.com/spreadsheets/d/1MeEWN-I1oV_STSDYn1IFDPWt_1FKiwhDph83XaGc0o0/edit?usp=sharing"",""งบพรบ!CT72"")"),20500)</f>
        <v>20500</v>
      </c>
      <c r="I72" s="82">
        <f ca="1">IFERROR(__xludf.DUMMYFUNCTION("IMPORTRANGE(""https://docs.google.com/spreadsheets/d/1MeEWN-I1oV_STSDYn1IFDPWt_1FKiwhDph83XaGc0o0/edit?usp=sharing"",""งบพรบ!CU72"")"),0)</f>
        <v>0</v>
      </c>
      <c r="J72" s="82">
        <f t="shared" ca="1" si="3"/>
        <v>11050</v>
      </c>
      <c r="K72" s="83">
        <f t="shared" ca="1" si="4"/>
        <v>40.925925925925924</v>
      </c>
      <c r="L72" s="82">
        <f ca="1">IFERROR(__xludf.DUMMYFUNCTION("IMPORTRANGE(""https://docs.google.com/spreadsheets/d/1MeEWN-I1oV_STSDYn1IFDPWt_1FKiwhDph83XaGc0o0/edit?usp=sharing"",""งบพรบ!CV72"")"),11050)</f>
        <v>11050</v>
      </c>
      <c r="M72" s="84">
        <f t="shared" ca="1" si="5"/>
        <v>40.925925925925924</v>
      </c>
      <c r="N72" s="84">
        <f t="shared" ca="1" si="6"/>
        <v>53.902439024390247</v>
      </c>
      <c r="O72" s="85">
        <f ca="1">IFERROR(__xludf.DUMMYFUNCTION("IMPORTRANGE(""https://docs.google.com/spreadsheets/d/1MeEWN-I1oV_STSDYn1IFDPWt_1FKiwhDph83XaGc0o0/edit?usp=sharing"",""งบพรบ!CW72"")"),0)</f>
        <v>0</v>
      </c>
      <c r="P72" s="85">
        <f t="shared" ca="1" si="108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IFERROR(__xludf.DUMMYFUNCTION("IMPORTRANGE(""https://docs.google.com/spreadsheets/d/132g-zJpz2uMKimp17uOIx8A7o3w1Z25zwJyXnwsB56c/edit?usp=sharing"",""สุพรรณบุรี!L191"")"),6000)</f>
        <v>6000</v>
      </c>
      <c r="S72" s="86">
        <f ca="1">IFERROR(__xludf.DUMMYFUNCTION("IMPORTRANGE(""https://docs.google.com/spreadsheets/d/132g-zJpz2uMKimp17uOIx8A7o3w1Z25zwJyXnwsB56c/edit?usp=sharing"",""สุพรรณบุรี!N191"")"),3050)</f>
        <v>3050</v>
      </c>
      <c r="T72" s="87">
        <f t="shared" ca="1" si="84"/>
        <v>50.833333333333336</v>
      </c>
      <c r="U72" s="86">
        <f ca="1">IFERROR(__xludf.DUMMYFUNCTION("IMPORTRANGE(""https://docs.google.com/spreadsheets/d/132g-zJpz2uMKimp17uOIx8A7o3w1Z25zwJyXnwsB56c/edit?usp=sharing"",""สุพรรณบุรี!I193"")"),4)</f>
        <v>4</v>
      </c>
      <c r="V72" s="86">
        <f ca="1">IFERROR(__xludf.DUMMYFUNCTION("IMPORTRANGE(""https://docs.google.com/spreadsheets/d/132g-zJpz2uMKimp17uOIx8A7o3w1Z25zwJyXnwsB56c/edit?usp=sharing"",""สุพรรณบุรี!J193"")"),1)</f>
        <v>1</v>
      </c>
      <c r="W72" s="87">
        <f t="shared" ca="1" si="85"/>
        <v>25</v>
      </c>
      <c r="X72" s="86">
        <f t="shared" ca="1" si="188"/>
        <v>90</v>
      </c>
      <c r="Y72" s="86">
        <f ca="1">IFERROR(__xludf.DUMMYFUNCTION("IMPORTRANGE(""https://docs.google.com/spreadsheets/d/132g-zJpz2uMKimp17uOIx8A7o3w1Z25zwJyXnwsB56c/edit?usp=sharing"",""สุพรรณบุรี!J195"")"),90)</f>
        <v>90</v>
      </c>
      <c r="Z72" s="86">
        <f ca="1">IFERROR(__xludf.DUMMYFUNCTION("IMPORTRANGE(""https://docs.google.com/spreadsheets/d/132g-zJpz2uMKimp17uOIx8A7o3w1Z25zwJyXnwsB56c/edit?usp=sharing"",""สุพรรณบุรี!J196"")"),0)</f>
        <v>0</v>
      </c>
      <c r="AA72" s="86">
        <f ca="1">IFERROR(__xludf.DUMMYFUNCTION("IMPORTRANGE(""https://docs.google.com/spreadsheets/d/132g-zJpz2uMKimp17uOIx8A7o3w1Z25zwJyXnwsB56c/edit?usp=sharing"",""สุพรรณบุรี!L199"")"),1000)</f>
        <v>1000</v>
      </c>
      <c r="AB72" s="86">
        <f ca="1">IFERROR(__xludf.DUMMYFUNCTION("IMPORTRANGE(""https://docs.google.com/spreadsheets/d/132g-zJpz2uMKimp17uOIx8A7o3w1Z25zwJyXnwsB56c/edit?usp=sharing"",""สุพรรณบุรี!N199"")"),0)</f>
        <v>0</v>
      </c>
      <c r="AC72" s="87">
        <f t="shared" ca="1" si="86"/>
        <v>0</v>
      </c>
      <c r="AD72" s="86">
        <f ca="1">IFERROR(__xludf.DUMMYFUNCTION("IMPORTRANGE(""https://docs.google.com/spreadsheets/d/132g-zJpz2uMKimp17uOIx8A7o3w1Z25zwJyXnwsB56c/edit?usp=sharing"",""สุพรรณบุรี!L200"")"),8000)</f>
        <v>8000</v>
      </c>
      <c r="AE72" s="86">
        <f ca="1">IFERROR(__xludf.DUMMYFUNCTION("IMPORTRANGE(""https://docs.google.com/spreadsheets/d/132g-zJpz2uMKimp17uOIx8A7o3w1Z25zwJyXnwsB56c/edit?usp=sharing"",""สุพรรณบุรี!N200"")"),8000)</f>
        <v>8000</v>
      </c>
      <c r="AF72" s="87">
        <f t="shared" ca="1" si="87"/>
        <v>100</v>
      </c>
      <c r="AG72" s="86">
        <f ca="1">IFERROR(__xludf.DUMMYFUNCTION("IMPORTRANGE(""https://docs.google.com/spreadsheets/d/132g-zJpz2uMKimp17uOIx8A7o3w1Z25zwJyXnwsB56c/edit?usp=sharing"",""สุพรรณบุรี!L201"")"),4000)</f>
        <v>4000</v>
      </c>
      <c r="AH72" s="86">
        <f ca="1">IFERROR(__xludf.DUMMYFUNCTION("IMPORTRANGE(""https://docs.google.com/spreadsheets/d/132g-zJpz2uMKimp17uOIx8A7o3w1Z25zwJyXnwsB56c/edit?usp=sharing"",""สุพรรณบุรี!N201"")"),0)</f>
        <v>0</v>
      </c>
      <c r="AI72" s="87">
        <f t="shared" ca="1" si="88"/>
        <v>0</v>
      </c>
      <c r="AJ72" s="86">
        <f ca="1">IFERROR(__xludf.DUMMYFUNCTION("IMPORTRANGE(""https://docs.google.com/spreadsheets/d/132g-zJpz2uMKimp17uOIx8A7o3w1Z25zwJyXnwsB56c/edit?usp=sharing"",""สุพรรณบุรี!L202"")"),0)</f>
        <v>0</v>
      </c>
      <c r="AK72" s="86">
        <f ca="1">IFERROR(__xludf.DUMMYFUNCTION("IMPORTRANGE(""https://docs.google.com/spreadsheets/d/132g-zJpz2uMKimp17uOIx8A7o3w1Z25zwJyXnwsB56c/edit?usp=sharing"",""สุพรรณบุรี!N202"")"),0)</f>
        <v>0</v>
      </c>
      <c r="AL72" s="87">
        <f t="shared" ca="1" si="89"/>
        <v>0</v>
      </c>
      <c r="AM72" s="86">
        <f ca="1">IFERROR(__xludf.DUMMYFUNCTION("IMPORTRANGE(""https://docs.google.com/spreadsheets/d/132g-zJpz2uMKimp17uOIx8A7o3w1Z25zwJyXnwsB56c/edit?usp=sharing"",""สุพรรณบุรี!I204"")"),1)</f>
        <v>1</v>
      </c>
      <c r="AN72" s="86">
        <f ca="1">IFERROR(__xludf.DUMMYFUNCTION("IMPORTRANGE(""https://docs.google.com/spreadsheets/d/132g-zJpz2uMKimp17uOIx8A7o3w1Z25zwJyXnwsB56c/edit?usp=sharing"",""สุพรรณบุรี!J204"")"),1)</f>
        <v>1</v>
      </c>
      <c r="AO72" s="87">
        <f t="shared" ca="1" si="90"/>
        <v>100</v>
      </c>
      <c r="AP72" s="298">
        <f ca="1">IFERROR(__xludf.DUMMYFUNCTION("IMPORTRANGE(""https://docs.google.com/spreadsheets/d/132g-zJpz2uMKimp17uOIx8A7o3w1Z25zwJyXnwsB56c/edit?usp=sharing"",""สุพรรณบุรี!J206"")"),0)</f>
        <v>0</v>
      </c>
      <c r="AQ72" s="298">
        <f ca="1">IFERROR(__xludf.DUMMYFUNCTION("IMPORTRANGE(""https://docs.google.com/spreadsheets/d/132g-zJpz2uMKimp17uOIx8A7o3w1Z25zwJyXnwsB56c/edit?usp=sharing"",""สุพรรณบุรี!J207"")"),0)</f>
        <v>0</v>
      </c>
      <c r="AR72" s="86">
        <f ca="1">IFERROR(__xludf.DUMMYFUNCTION("IMPORTRANGE(""https://docs.google.com/spreadsheets/d/132g-zJpz2uMKimp17uOIx8A7o3w1Z25zwJyXnwsB56c/edit?usp=sharing"",""สุพรรณบุรี!L210"")"),0)</f>
        <v>0</v>
      </c>
      <c r="AS72" s="86">
        <f ca="1">IFERROR(__xludf.DUMMYFUNCTION("IMPORTRANGE(""https://docs.google.com/spreadsheets/d/132g-zJpz2uMKimp17uOIx8A7o3w1Z25zwJyXnwsB56c/edit?usp=sharing"",""สุพรรณบุรี!N210"")"),0)</f>
        <v>0</v>
      </c>
      <c r="AT72" s="87">
        <f t="shared" ca="1" si="91"/>
        <v>0</v>
      </c>
      <c r="AU72" s="86">
        <f ca="1">IFERROR(__xludf.DUMMYFUNCTION("IMPORTRANGE(""https://docs.google.com/spreadsheets/d/132g-zJpz2uMKimp17uOIx8A7o3w1Z25zwJyXnwsB56c/edit?usp=sharing"",""สุพรรณบุรี!L211"")"),0)</f>
        <v>0</v>
      </c>
      <c r="AV72" s="86">
        <f ca="1">IFERROR(__xludf.DUMMYFUNCTION("IMPORTRANGE(""https://docs.google.com/spreadsheets/d/132g-zJpz2uMKimp17uOIx8A7o3w1Z25zwJyXnwsB56c/edit?usp=sharing"",""สุพรรณบุรี!N211"")"),0)</f>
        <v>0</v>
      </c>
      <c r="AW72" s="87">
        <f t="shared" ca="1" si="92"/>
        <v>0</v>
      </c>
      <c r="AX72" s="86">
        <f ca="1">IFERROR(__xludf.DUMMYFUNCTION("IMPORTRANGE(""https://docs.google.com/spreadsheets/d/132g-zJpz2uMKimp17uOIx8A7o3w1Z25zwJyXnwsB56c/edit?usp=sharing"",""สุพรรณบุรี!L212"")"),0)</f>
        <v>0</v>
      </c>
      <c r="AY72" s="86">
        <f ca="1">IFERROR(__xludf.DUMMYFUNCTION("IMPORTRANGE(""https://docs.google.com/spreadsheets/d/132g-zJpz2uMKimp17uOIx8A7o3w1Z25zwJyXnwsB56c/edit?usp=sharing"",""สุพรรณบุรี!N212"")"),0)</f>
        <v>0</v>
      </c>
      <c r="AZ72" s="87">
        <f t="shared" ca="1" si="93"/>
        <v>0</v>
      </c>
      <c r="BA72" s="86">
        <f ca="1">IFERROR(__xludf.DUMMYFUNCTION("IMPORTRANGE(""https://docs.google.com/spreadsheets/d/132g-zJpz2uMKimp17uOIx8A7o3w1Z25zwJyXnwsB56c/edit?usp=sharing"",""สุพรรณบุรี!I214"")"),0)</f>
        <v>0</v>
      </c>
      <c r="BB72" s="86">
        <f ca="1">IFERROR(__xludf.DUMMYFUNCTION("IMPORTRANGE(""https://docs.google.com/spreadsheets/d/132g-zJpz2uMKimp17uOIx8A7o3w1Z25zwJyXnwsB56c/edit?usp=sharing"",""สุพรรณบุรี!J214"")"),0)</f>
        <v>0</v>
      </c>
      <c r="BC72" s="87">
        <f t="shared" ca="1" si="94"/>
        <v>0</v>
      </c>
      <c r="BD72" s="86">
        <f ca="1">IFERROR(__xludf.DUMMYFUNCTION("IMPORTRANGE(""https://docs.google.com/spreadsheets/d/132g-zJpz2uMKimp17uOIx8A7o3w1Z25zwJyXnwsB56c/edit?usp=sharing"",""สุพรรณบุรี!I215"")"),0)</f>
        <v>0</v>
      </c>
      <c r="BE72" s="86">
        <f ca="1">IFERROR(__xludf.DUMMYFUNCTION("IMPORTRANGE(""https://docs.google.com/spreadsheets/d/132g-zJpz2uMKimp17uOIx8A7o3w1Z25zwJyXnwsB56c/edit?usp=sharing"",""สุพรรณบุรี!J215"")"),0)</f>
        <v>0</v>
      </c>
      <c r="BF72" s="87">
        <f t="shared" ca="1" si="95"/>
        <v>0</v>
      </c>
      <c r="BG72" s="86">
        <f ca="1">IFERROR(__xludf.DUMMYFUNCTION("IMPORTRANGE(""https://docs.google.com/spreadsheets/d/132g-zJpz2uMKimp17uOIx8A7o3w1Z25zwJyXnwsB56c/edit?usp=sharing"",""สุพรรณบุรี!L218"")"),3000)</f>
        <v>3000</v>
      </c>
      <c r="BH72" s="86">
        <f ca="1">IFERROR(__xludf.DUMMYFUNCTION("IMPORTRANGE(""https://docs.google.com/spreadsheets/d/132g-zJpz2uMKimp17uOIx8A7o3w1Z25zwJyXnwsB56c/edit?usp=sharing"",""สุพรรณบุรี!N218"")"),0)</f>
        <v>0</v>
      </c>
      <c r="BI72" s="87">
        <f t="shared" ca="1" si="96"/>
        <v>0</v>
      </c>
      <c r="BJ72" s="86">
        <f ca="1">IFERROR(__xludf.DUMMYFUNCTION("IMPORTRANGE(""https://docs.google.com/spreadsheets/d/132g-zJpz2uMKimp17uOIx8A7o3w1Z25zwJyXnwsB56c/edit?usp=sharing"",""สุพรรณบุรี!L219"")"),5000)</f>
        <v>5000</v>
      </c>
      <c r="BK72" s="86">
        <f ca="1">IFERROR(__xludf.DUMMYFUNCTION("IMPORTRANGE(""https://docs.google.com/spreadsheets/d/132g-zJpz2uMKimp17uOIx8A7o3w1Z25zwJyXnwsB56c/edit?usp=sharing"",""สุพรรณบุรี!N219"")"),0)</f>
        <v>0</v>
      </c>
      <c r="BL72" s="87">
        <f t="shared" ca="1" si="97"/>
        <v>0</v>
      </c>
      <c r="BM72" s="86">
        <f ca="1">IFERROR(__xludf.DUMMYFUNCTION("IMPORTRANGE(""https://docs.google.com/spreadsheets/d/132g-zJpz2uMKimp17uOIx8A7o3w1Z25zwJyXnwsB56c/edit?usp=sharing"",""สุพรรณบุรี!L220"")"),0)</f>
        <v>0</v>
      </c>
      <c r="BN72" s="86">
        <f ca="1">IFERROR(__xludf.DUMMYFUNCTION("IMPORTRANGE(""https://docs.google.com/spreadsheets/d/132g-zJpz2uMKimp17uOIx8A7o3w1Z25zwJyXnwsB56c/edit?usp=sharing"",""สุพรรณบุรี!N220"")"),0)</f>
        <v>0</v>
      </c>
      <c r="BO72" s="87">
        <f t="shared" ca="1" si="98"/>
        <v>0</v>
      </c>
      <c r="BP72" s="86">
        <f ca="1">IFERROR(__xludf.DUMMYFUNCTION("IMPORTRANGE(""https://docs.google.com/spreadsheets/d/132g-zJpz2uMKimp17uOIx8A7o3w1Z25zwJyXnwsB56c/edit?usp=sharing"",""สุพรรณบุรี!I223"")"),20000)</f>
        <v>20000</v>
      </c>
      <c r="BQ72" s="86">
        <f ca="1">IFERROR(__xludf.DUMMYFUNCTION("IMPORTRANGE(""https://docs.google.com/spreadsheets/d/132g-zJpz2uMKimp17uOIx8A7o3w1Z25zwJyXnwsB56c/edit?usp=sharing"",""สุพรรณบุรี!J223"")"),0)</f>
        <v>0</v>
      </c>
      <c r="BR72" s="87">
        <f t="shared" ca="1" si="99"/>
        <v>0</v>
      </c>
      <c r="BS72" s="86">
        <f ca="1">IFERROR(__xludf.DUMMYFUNCTION("IMPORTRANGE(""https://docs.google.com/spreadsheets/d/132g-zJpz2uMKimp17uOIx8A7o3w1Z25zwJyXnwsB56c/edit?usp=sharing"",""สุพรรณบุรี!I224"")"),20000)</f>
        <v>20000</v>
      </c>
      <c r="BT72" s="86">
        <f ca="1">IFERROR(__xludf.DUMMYFUNCTION("IMPORTRANGE(""https://docs.google.com/spreadsheets/d/132g-zJpz2uMKimp17uOIx8A7o3w1Z25zwJyXnwsB56c/edit?usp=sharing"",""สุพรรณบุรี!J224"")"),0)</f>
        <v>0</v>
      </c>
      <c r="BU72" s="87">
        <f t="shared" ca="1" si="100"/>
        <v>0</v>
      </c>
      <c r="BV72" s="86">
        <f ca="1">IFERROR(__xludf.DUMMYFUNCTION("IMPORTRANGE(""https://docs.google.com/spreadsheets/d/132g-zJpz2uMKimp17uOIx8A7o3w1Z25zwJyXnwsB56c/edit?usp=sharing"",""สุพรรณบุรี!I225"")"),0)</f>
        <v>0</v>
      </c>
      <c r="BW72" s="86">
        <f ca="1">IFERROR(__xludf.DUMMYFUNCTION("IMPORTRANGE(""https://docs.google.com/spreadsheets/d/132g-zJpz2uMKimp17uOIx8A7o3w1Z25zwJyXnwsB56c/edit?usp=sharing"",""สุพรรณบุรี!J225"")"),0)</f>
        <v>0</v>
      </c>
      <c r="BX72" s="87">
        <f t="shared" ca="1" si="101"/>
        <v>0</v>
      </c>
      <c r="BY72" s="86">
        <f ca="1">IFERROR(__xludf.DUMMYFUNCTION("IMPORTRANGE(""https://docs.google.com/spreadsheets/d/132g-zJpz2uMKimp17uOIx8A7o3w1Z25zwJyXnwsB56c/edit?usp=sharing"",""สุพรรณบุรี!L228"")"),0)</f>
        <v>0</v>
      </c>
      <c r="BZ72" s="86">
        <f ca="1">IFERROR(__xludf.DUMMYFUNCTION("IMPORTRANGE(""https://docs.google.com/spreadsheets/d/132g-zJpz2uMKimp17uOIx8A7o3w1Z25zwJyXnwsB56c/edit?usp=sharing"",""สุพรรณบุรี!N228"")"),0)</f>
        <v>0</v>
      </c>
      <c r="CA72" s="87">
        <f t="shared" ca="1" si="102"/>
        <v>0</v>
      </c>
      <c r="CB72" s="86">
        <f ca="1">IFERROR(__xludf.DUMMYFUNCTION("IMPORTRANGE(""https://docs.google.com/spreadsheets/d/132g-zJpz2uMKimp17uOIx8A7o3w1Z25zwJyXnwsB56c/edit?usp=sharing"",""สุพรรณบุรี!L229"")"),0)</f>
        <v>0</v>
      </c>
      <c r="CC72" s="86">
        <f ca="1">IFERROR(__xludf.DUMMYFUNCTION("IMPORTRANGE(""https://docs.google.com/spreadsheets/d/132g-zJpz2uMKimp17uOIx8A7o3w1Z25zwJyXnwsB56c/edit?usp=sharing"",""สุพรรณบุรี!N229"")"),0)</f>
        <v>0</v>
      </c>
      <c r="CD72" s="87">
        <f t="shared" ca="1" si="103"/>
        <v>0</v>
      </c>
      <c r="CE72" s="86">
        <f ca="1">IFERROR(__xludf.DUMMYFUNCTION("IMPORTRANGE(""https://docs.google.com/spreadsheets/d/132g-zJpz2uMKimp17uOIx8A7o3w1Z25zwJyXnwsB56c/edit?usp=sharing"",""สุพรรณบุรี!L230"")"),0)</f>
        <v>0</v>
      </c>
      <c r="CF72" s="86">
        <f ca="1">IFERROR(__xludf.DUMMYFUNCTION("IMPORTRANGE(""https://docs.google.com/spreadsheets/d/132g-zJpz2uMKimp17uOIx8A7o3w1Z25zwJyXnwsB56c/edit?usp=sharing"",""สุพรรณบุรี!N230"")"),0)</f>
        <v>0</v>
      </c>
      <c r="CG72" s="87">
        <f t="shared" ca="1" si="104"/>
        <v>0</v>
      </c>
      <c r="CH72" s="86">
        <f ca="1">IFERROR(__xludf.DUMMYFUNCTION("IMPORTRANGE(""https://docs.google.com/spreadsheets/d/132g-zJpz2uMKimp17uOIx8A7o3w1Z25zwJyXnwsB56c/edit?usp=sharing"",""สุพรรณบุรี!L231"")"),0)</f>
        <v>0</v>
      </c>
      <c r="CI72" s="86">
        <f ca="1">IFERROR(__xludf.DUMMYFUNCTION("IMPORTRANGE(""https://docs.google.com/spreadsheets/d/132g-zJpz2uMKimp17uOIx8A7o3w1Z25zwJyXnwsB56c/edit?usp=sharing"",""สุพรรณบุรี!N231"")"),0)</f>
        <v>0</v>
      </c>
      <c r="CJ72" s="87">
        <f t="shared" ca="1" si="105"/>
        <v>0</v>
      </c>
      <c r="CK72" s="86">
        <f ca="1">IFERROR(__xludf.DUMMYFUNCTION("IMPORTRANGE(""https://docs.google.com/spreadsheets/d/132g-zJpz2uMKimp17uOIx8A7o3w1Z25zwJyXnwsB56c/edit?usp=sharing"",""สุพรรณบุรี!I233"")"),0)</f>
        <v>0</v>
      </c>
      <c r="CL72" s="86">
        <f ca="1">IFERROR(__xludf.DUMMYFUNCTION("IMPORTRANGE(""https://docs.google.com/spreadsheets/d/132g-zJpz2uMKimp17uOIx8A7o3w1Z25zwJyXnwsB56c/edit?usp=sharing"",""สุพรรณบุรี!J233"")"),0)</f>
        <v>0</v>
      </c>
      <c r="CM72" s="87">
        <f t="shared" ca="1" si="106"/>
        <v>0</v>
      </c>
      <c r="CN72" s="86">
        <f ca="1">IFERROR(__xludf.DUMMYFUNCTION("IMPORTRANGE(""https://docs.google.com/spreadsheets/d/132g-zJpz2uMKimp17uOIx8A7o3w1Z25zwJyXnwsB56c/edit?usp=sharing"",""สุพรรณบุรี!J235"")"),0)</f>
        <v>0</v>
      </c>
      <c r="CO72" s="86">
        <f ca="1">IFERROR(__xludf.DUMMYFUNCTION("IMPORTRANGE(""https://docs.google.com/spreadsheets/d/132g-zJpz2uMKimp17uOIx8A7o3w1Z25zwJyXnwsB56c/edit?usp=sharing"",""สุพรรณบุรี!J236"")"),0)</f>
        <v>0</v>
      </c>
    </row>
    <row r="73" spans="1:93" ht="21" customHeight="1" x14ac:dyDescent="0.3">
      <c r="A73" s="89">
        <v>21</v>
      </c>
      <c r="B73" s="90" t="s">
        <v>95</v>
      </c>
      <c r="C73" s="91">
        <f t="shared" ca="1" si="0"/>
        <v>11900</v>
      </c>
      <c r="D73" s="92">
        <f t="shared" ca="1" si="187"/>
        <v>11900</v>
      </c>
      <c r="E73" s="93">
        <f ca="1">IFERROR(__xludf.DUMMYFUNCTION("IMPORTRANGE(""https://docs.google.com/spreadsheets/d/1MeEWN-I1oV_STSDYn1IFDPWt_1FKiwhDph83XaGc0o0/edit?usp=sharing"",""งบพรบ!CP73"")"),0)</f>
        <v>0</v>
      </c>
      <c r="F73" s="93">
        <f ca="1">IFERROR(__xludf.DUMMYFUNCTION("IMPORTRANGE(""https://docs.google.com/spreadsheets/d/1MeEWN-I1oV_STSDYn1IFDPWt_1FKiwhDph83XaGc0o0/edit?usp=sharing"",""งบพรบ!CQ73"")"),11900)</f>
        <v>11900</v>
      </c>
      <c r="G73" s="93">
        <f ca="1">IFERROR(__xludf.DUMMYFUNCTION("IMPORTRANGE(""https://docs.google.com/spreadsheets/d/1MeEWN-I1oV_STSDYn1IFDPWt_1FKiwhDph83XaGc0o0/edit?usp=sharing"",""งบพรบ!CR73"")"),0)</f>
        <v>0</v>
      </c>
      <c r="H73" s="93">
        <f ca="1">IFERROR(__xludf.DUMMYFUNCTION("IMPORTRANGE(""https://docs.google.com/spreadsheets/d/1MeEWN-I1oV_STSDYn1IFDPWt_1FKiwhDph83XaGc0o0/edit?usp=sharing"",""งบพรบ!CT73"")"),7500)</f>
        <v>7500</v>
      </c>
      <c r="I73" s="93">
        <f ca="1">IFERROR(__xludf.DUMMYFUNCTION("IMPORTRANGE(""https://docs.google.com/spreadsheets/d/1MeEWN-I1oV_STSDYn1IFDPWt_1FKiwhDph83XaGc0o0/edit?usp=sharing"",""งบพรบ!CU73"")"),0)</f>
        <v>0</v>
      </c>
      <c r="J73" s="93">
        <f t="shared" ca="1" si="3"/>
        <v>2080</v>
      </c>
      <c r="K73" s="94">
        <f t="shared" ca="1" si="4"/>
        <v>17.478991596638654</v>
      </c>
      <c r="L73" s="93">
        <f ca="1">IFERROR(__xludf.DUMMYFUNCTION("IMPORTRANGE(""https://docs.google.com/spreadsheets/d/1MeEWN-I1oV_STSDYn1IFDPWt_1FKiwhDph83XaGc0o0/edit?usp=sharing"",""งบพรบ!CV73"")"),2080)</f>
        <v>2080</v>
      </c>
      <c r="M73" s="95">
        <f t="shared" ca="1" si="5"/>
        <v>17.478991596638654</v>
      </c>
      <c r="N73" s="95">
        <f t="shared" ca="1" si="6"/>
        <v>27.733333333333334</v>
      </c>
      <c r="O73" s="96">
        <f ca="1">IFERROR(__xludf.DUMMYFUNCTION("IMPORTRANGE(""https://docs.google.com/spreadsheets/d/1MeEWN-I1oV_STSDYn1IFDPWt_1FKiwhDph83XaGc0o0/edit?usp=sharing"",""งบพรบ!CW73"")"),0)</f>
        <v>0</v>
      </c>
      <c r="P73" s="96">
        <f t="shared" ca="1" si="108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IFERROR(__xludf.DUMMYFUNCTION("IMPORTRANGE(""https://docs.google.com/spreadsheets/d/12Q_U0nVnFdxDFwa0pej9xvx8ZvLC9Dpi_vRro_aiG5g/edit?usp=sharing"",""อ่างทอง!L191"")"),6000)</f>
        <v>6000</v>
      </c>
      <c r="S73" s="97">
        <f ca="1">IFERROR(__xludf.DUMMYFUNCTION("IMPORTRANGE(""https://docs.google.com/spreadsheets/d/12Q_U0nVnFdxDFwa0pej9xvx8ZvLC9Dpi_vRro_aiG5g/edit?usp=sharing"",""อ่างทอง!N191"")"),0)</f>
        <v>0</v>
      </c>
      <c r="T73" s="98">
        <f t="shared" ca="1" si="84"/>
        <v>0</v>
      </c>
      <c r="U73" s="97">
        <f ca="1">IFERROR(__xludf.DUMMYFUNCTION("IMPORTRANGE(""https://docs.google.com/spreadsheets/d/12Q_U0nVnFdxDFwa0pej9xvx8ZvLC9Dpi_vRro_aiG5g/edit?usp=sharing"",""อ่างทอง!I193"")"),4)</f>
        <v>4</v>
      </c>
      <c r="V73" s="97">
        <f ca="1">IFERROR(__xludf.DUMMYFUNCTION("IMPORTRANGE(""https://docs.google.com/spreadsheets/d/12Q_U0nVnFdxDFwa0pej9xvx8ZvLC9Dpi_vRro_aiG5g/edit?usp=sharing"",""อ่างทอง!J193"")"),0)</f>
        <v>0</v>
      </c>
      <c r="W73" s="98">
        <f t="shared" ca="1" si="85"/>
        <v>0</v>
      </c>
      <c r="X73" s="97">
        <f t="shared" ca="1" si="188"/>
        <v>0</v>
      </c>
      <c r="Y73" s="97">
        <f ca="1">IFERROR(__xludf.DUMMYFUNCTION("IMPORTRANGE(""https://docs.google.com/spreadsheets/d/12Q_U0nVnFdxDFwa0pej9xvx8ZvLC9Dpi_vRro_aiG5g/edit?usp=sharing"",""อ่างทอง!J195"")"),0)</f>
        <v>0</v>
      </c>
      <c r="Z73" s="97">
        <f ca="1">IFERROR(__xludf.DUMMYFUNCTION("IMPORTRANGE(""https://docs.google.com/spreadsheets/d/12Q_U0nVnFdxDFwa0pej9xvx8ZvLC9Dpi_vRro_aiG5g/edit?usp=sharing"",""อ่างทอง!J196"")"),0)</f>
        <v>0</v>
      </c>
      <c r="AA73" s="97">
        <f ca="1">IFERROR(__xludf.DUMMYFUNCTION("IMPORTRANGE(""https://docs.google.com/spreadsheets/d/12Q_U0nVnFdxDFwa0pej9xvx8ZvLC9Dpi_vRro_aiG5g/edit?usp=sharing"",""อ่างทอง!L199"")"),0)</f>
        <v>0</v>
      </c>
      <c r="AB73" s="97">
        <f ca="1">IFERROR(__xludf.DUMMYFUNCTION("IMPORTRANGE(""https://docs.google.com/spreadsheets/d/12Q_U0nVnFdxDFwa0pej9xvx8ZvLC9Dpi_vRro_aiG5g/edit?usp=sharing"",""อ่างทอง!N199"")"),0)</f>
        <v>0</v>
      </c>
      <c r="AC73" s="98">
        <f t="shared" ca="1" si="86"/>
        <v>0</v>
      </c>
      <c r="AD73" s="97">
        <f ca="1">IFERROR(__xludf.DUMMYFUNCTION("IMPORTRANGE(""https://docs.google.com/spreadsheets/d/12Q_U0nVnFdxDFwa0pej9xvx8ZvLC9Dpi_vRro_aiG5g/edit?usp=sharing"",""อ่างทอง!L200"")"),0)</f>
        <v>0</v>
      </c>
      <c r="AE73" s="97">
        <f ca="1">IFERROR(__xludf.DUMMYFUNCTION("IMPORTRANGE(""https://docs.google.com/spreadsheets/d/12Q_U0nVnFdxDFwa0pej9xvx8ZvLC9Dpi_vRro_aiG5g/edit?usp=sharing"",""อ่างทอง!N200"")"),0)</f>
        <v>0</v>
      </c>
      <c r="AF73" s="98">
        <f t="shared" ca="1" si="87"/>
        <v>0</v>
      </c>
      <c r="AG73" s="97">
        <f ca="1">IFERROR(__xludf.DUMMYFUNCTION("IMPORTRANGE(""https://docs.google.com/spreadsheets/d/12Q_U0nVnFdxDFwa0pej9xvx8ZvLC9Dpi_vRro_aiG5g/edit?usp=sharing"",""อ่างทอง!L201"")"),0)</f>
        <v>0</v>
      </c>
      <c r="AH73" s="97">
        <f ca="1">IFERROR(__xludf.DUMMYFUNCTION("IMPORTRANGE(""https://docs.google.com/spreadsheets/d/12Q_U0nVnFdxDFwa0pej9xvx8ZvLC9Dpi_vRro_aiG5g/edit?usp=sharing"",""อ่างทอง!N201"")"),0)</f>
        <v>0</v>
      </c>
      <c r="AI73" s="98">
        <f t="shared" ca="1" si="88"/>
        <v>0</v>
      </c>
      <c r="AJ73" s="97">
        <f ca="1">IFERROR(__xludf.DUMMYFUNCTION("IMPORTRANGE(""https://docs.google.com/spreadsheets/d/12Q_U0nVnFdxDFwa0pej9xvx8ZvLC9Dpi_vRro_aiG5g/edit?usp=sharing"",""อ่างทอง!L202"")"),0)</f>
        <v>0</v>
      </c>
      <c r="AK73" s="97">
        <f ca="1">IFERROR(__xludf.DUMMYFUNCTION("IMPORTRANGE(""https://docs.google.com/spreadsheets/d/12Q_U0nVnFdxDFwa0pej9xvx8ZvLC9Dpi_vRro_aiG5g/edit?usp=sharing"",""อ่างทอง!N202"")"),0)</f>
        <v>0</v>
      </c>
      <c r="AL73" s="98">
        <f t="shared" ca="1" si="89"/>
        <v>0</v>
      </c>
      <c r="AM73" s="97">
        <f ca="1">IFERROR(__xludf.DUMMYFUNCTION("IMPORTRANGE(""https://docs.google.com/spreadsheets/d/12Q_U0nVnFdxDFwa0pej9xvx8ZvLC9Dpi_vRro_aiG5g/edit?usp=sharing"",""อ่างทอง!I204"")"),0)</f>
        <v>0</v>
      </c>
      <c r="AN73" s="97">
        <f ca="1">IFERROR(__xludf.DUMMYFUNCTION("IMPORTRANGE(""https://docs.google.com/spreadsheets/d/12Q_U0nVnFdxDFwa0pej9xvx8ZvLC9Dpi_vRro_aiG5g/edit?usp=sharing"",""อ่างทอง!J204"")"),0)</f>
        <v>0</v>
      </c>
      <c r="AO73" s="98">
        <f t="shared" ca="1" si="90"/>
        <v>0</v>
      </c>
      <c r="AP73" s="299">
        <f ca="1">IFERROR(__xludf.DUMMYFUNCTION("IMPORTRANGE(""https://docs.google.com/spreadsheets/d/12Q_U0nVnFdxDFwa0pej9xvx8ZvLC9Dpi_vRro_aiG5g/edit?usp=sharing"",""อ่างทอง!J206"")"),0)</f>
        <v>0</v>
      </c>
      <c r="AQ73" s="299">
        <f ca="1">IFERROR(__xludf.DUMMYFUNCTION("IMPORTRANGE(""https://docs.google.com/spreadsheets/d/12Q_U0nVnFdxDFwa0pej9xvx8ZvLC9Dpi_vRro_aiG5g/edit?usp=sharing"",""อ่างทอง!J207"")"),0)</f>
        <v>0</v>
      </c>
      <c r="AR73" s="97">
        <f ca="1">IFERROR(__xludf.DUMMYFUNCTION("IMPORTRANGE(""https://docs.google.com/spreadsheets/d/12Q_U0nVnFdxDFwa0pej9xvx8ZvLC9Dpi_vRro_aiG5g/edit?usp=sharing"",""อ่างทอง!L210"")"),0)</f>
        <v>0</v>
      </c>
      <c r="AS73" s="97">
        <f ca="1">IFERROR(__xludf.DUMMYFUNCTION("IMPORTRANGE(""https://docs.google.com/spreadsheets/d/12Q_U0nVnFdxDFwa0pej9xvx8ZvLC9Dpi_vRro_aiG5g/edit?usp=sharing"",""อ่างทอง!N210"")"),0)</f>
        <v>0</v>
      </c>
      <c r="AT73" s="98">
        <f t="shared" ca="1" si="91"/>
        <v>0</v>
      </c>
      <c r="AU73" s="97">
        <f ca="1">IFERROR(__xludf.DUMMYFUNCTION("IMPORTRANGE(""https://docs.google.com/spreadsheets/d/12Q_U0nVnFdxDFwa0pej9xvx8ZvLC9Dpi_vRro_aiG5g/edit?usp=sharing"",""อ่างทอง!L211"")"),0)</f>
        <v>0</v>
      </c>
      <c r="AV73" s="97">
        <f ca="1">IFERROR(__xludf.DUMMYFUNCTION("IMPORTRANGE(""https://docs.google.com/spreadsheets/d/12Q_U0nVnFdxDFwa0pej9xvx8ZvLC9Dpi_vRro_aiG5g/edit?usp=sharing"",""อ่างทอง!N211"")"),0)</f>
        <v>0</v>
      </c>
      <c r="AW73" s="98">
        <f t="shared" ca="1" si="92"/>
        <v>0</v>
      </c>
      <c r="AX73" s="97">
        <f ca="1">IFERROR(__xludf.DUMMYFUNCTION("IMPORTRANGE(""https://docs.google.com/spreadsheets/d/12Q_U0nVnFdxDFwa0pej9xvx8ZvLC9Dpi_vRro_aiG5g/edit?usp=sharing"",""อ่างทอง!L212"")"),0)</f>
        <v>0</v>
      </c>
      <c r="AY73" s="97">
        <f ca="1">IFERROR(__xludf.DUMMYFUNCTION("IMPORTRANGE(""https://docs.google.com/spreadsheets/d/12Q_U0nVnFdxDFwa0pej9xvx8ZvLC9Dpi_vRro_aiG5g/edit?usp=sharing"",""อ่างทอง!N212"")"),0)</f>
        <v>0</v>
      </c>
      <c r="AZ73" s="98">
        <f t="shared" ca="1" si="93"/>
        <v>0</v>
      </c>
      <c r="BA73" s="97">
        <f ca="1">IFERROR(__xludf.DUMMYFUNCTION("IMPORTRANGE(""https://docs.google.com/spreadsheets/d/12Q_U0nVnFdxDFwa0pej9xvx8ZvLC9Dpi_vRro_aiG5g/edit?usp=sharing"",""อ่างทอง!I214"")"),0)</f>
        <v>0</v>
      </c>
      <c r="BB73" s="97">
        <f ca="1">IFERROR(__xludf.DUMMYFUNCTION("IMPORTRANGE(""https://docs.google.com/spreadsheets/d/12Q_U0nVnFdxDFwa0pej9xvx8ZvLC9Dpi_vRro_aiG5g/edit?usp=sharing"",""อ่างทอง!J214"")"),0)</f>
        <v>0</v>
      </c>
      <c r="BC73" s="98">
        <f t="shared" ca="1" si="94"/>
        <v>0</v>
      </c>
      <c r="BD73" s="97">
        <f ca="1">IFERROR(__xludf.DUMMYFUNCTION("IMPORTRANGE(""https://docs.google.com/spreadsheets/d/12Q_U0nVnFdxDFwa0pej9xvx8ZvLC9Dpi_vRro_aiG5g/edit?usp=sharing"",""อ่างทอง!I215"")"),0)</f>
        <v>0</v>
      </c>
      <c r="BE73" s="97">
        <f ca="1">IFERROR(__xludf.DUMMYFUNCTION("IMPORTRANGE(""https://docs.google.com/spreadsheets/d/12Q_U0nVnFdxDFwa0pej9xvx8ZvLC9Dpi_vRro_aiG5g/edit?usp=sharing"",""อ่างทอง!J215"")"),0)</f>
        <v>0</v>
      </c>
      <c r="BF73" s="98">
        <f t="shared" ca="1" si="95"/>
        <v>0</v>
      </c>
      <c r="BG73" s="97">
        <f ca="1">IFERROR(__xludf.DUMMYFUNCTION("IMPORTRANGE(""https://docs.google.com/spreadsheets/d/12Q_U0nVnFdxDFwa0pej9xvx8ZvLC9Dpi_vRro_aiG5g/edit?usp=sharing"",""อ่างทอง!L218"")"),3000)</f>
        <v>3000</v>
      </c>
      <c r="BH73" s="97">
        <f ca="1">IFERROR(__xludf.DUMMYFUNCTION("IMPORTRANGE(""https://docs.google.com/spreadsheets/d/12Q_U0nVnFdxDFwa0pej9xvx8ZvLC9Dpi_vRro_aiG5g/edit?usp=sharing"",""อ่างทอง!N218"")"),0)</f>
        <v>0</v>
      </c>
      <c r="BI73" s="98">
        <f t="shared" ca="1" si="96"/>
        <v>0</v>
      </c>
      <c r="BJ73" s="97">
        <f ca="1">IFERROR(__xludf.DUMMYFUNCTION("IMPORTRANGE(""https://docs.google.com/spreadsheets/d/12Q_U0nVnFdxDFwa0pej9xvx8ZvLC9Dpi_vRro_aiG5g/edit?usp=sharing"",""อ่างทอง!L219"")"),2900)</f>
        <v>2900</v>
      </c>
      <c r="BK73" s="97">
        <f ca="1">IFERROR(__xludf.DUMMYFUNCTION("IMPORTRANGE(""https://docs.google.com/spreadsheets/d/12Q_U0nVnFdxDFwa0pej9xvx8ZvLC9Dpi_vRro_aiG5g/edit?usp=sharing"",""อ่างทอง!N219"")"),0)</f>
        <v>0</v>
      </c>
      <c r="BL73" s="98">
        <f t="shared" ca="1" si="97"/>
        <v>0</v>
      </c>
      <c r="BM73" s="97">
        <f ca="1">IFERROR(__xludf.DUMMYFUNCTION("IMPORTRANGE(""https://docs.google.com/spreadsheets/d/12Q_U0nVnFdxDFwa0pej9xvx8ZvLC9Dpi_vRro_aiG5g/edit?usp=sharing"",""อ่างทอง!L220"")"),0)</f>
        <v>0</v>
      </c>
      <c r="BN73" s="97">
        <f ca="1">IFERROR(__xludf.DUMMYFUNCTION("IMPORTRANGE(""https://docs.google.com/spreadsheets/d/12Q_U0nVnFdxDFwa0pej9xvx8ZvLC9Dpi_vRro_aiG5g/edit?usp=sharing"",""อ่างทอง!N220"")"),0)</f>
        <v>0</v>
      </c>
      <c r="BO73" s="98">
        <f t="shared" ca="1" si="98"/>
        <v>0</v>
      </c>
      <c r="BP73" s="97">
        <f ca="1">IFERROR(__xludf.DUMMYFUNCTION("IMPORTRANGE(""https://docs.google.com/spreadsheets/d/12Q_U0nVnFdxDFwa0pej9xvx8ZvLC9Dpi_vRro_aiG5g/edit?usp=sharing"",""อ่างทอง!I223"")"),5000)</f>
        <v>5000</v>
      </c>
      <c r="BQ73" s="97">
        <f ca="1">IFERROR(__xludf.DUMMYFUNCTION("IMPORTRANGE(""https://docs.google.com/spreadsheets/d/12Q_U0nVnFdxDFwa0pej9xvx8ZvLC9Dpi_vRro_aiG5g/edit?usp=sharing"",""อ่างทอง!J223"")"),0)</f>
        <v>0</v>
      </c>
      <c r="BR73" s="98">
        <f t="shared" ca="1" si="99"/>
        <v>0</v>
      </c>
      <c r="BS73" s="97">
        <f ca="1">IFERROR(__xludf.DUMMYFUNCTION("IMPORTRANGE(""https://docs.google.com/spreadsheets/d/12Q_U0nVnFdxDFwa0pej9xvx8ZvLC9Dpi_vRro_aiG5g/edit?usp=sharing"",""อ่างทอง!I224"")"),5000)</f>
        <v>5000</v>
      </c>
      <c r="BT73" s="97">
        <f ca="1">IFERROR(__xludf.DUMMYFUNCTION("IMPORTRANGE(""https://docs.google.com/spreadsheets/d/12Q_U0nVnFdxDFwa0pej9xvx8ZvLC9Dpi_vRro_aiG5g/edit?usp=sharing"",""อ่างทอง!J224"")"),0)</f>
        <v>0</v>
      </c>
      <c r="BU73" s="98">
        <f t="shared" ca="1" si="100"/>
        <v>0</v>
      </c>
      <c r="BV73" s="97">
        <f ca="1">IFERROR(__xludf.DUMMYFUNCTION("IMPORTRANGE(""https://docs.google.com/spreadsheets/d/12Q_U0nVnFdxDFwa0pej9xvx8ZvLC9Dpi_vRro_aiG5g/edit?usp=sharing"",""อ่างทอง!I225"")"),0)</f>
        <v>0</v>
      </c>
      <c r="BW73" s="97">
        <f ca="1">IFERROR(__xludf.DUMMYFUNCTION("IMPORTRANGE(""https://docs.google.com/spreadsheets/d/12Q_U0nVnFdxDFwa0pej9xvx8ZvLC9Dpi_vRro_aiG5g/edit?usp=sharing"",""อ่างทอง!J225"")"),0)</f>
        <v>0</v>
      </c>
      <c r="BX73" s="98">
        <f t="shared" ca="1" si="101"/>
        <v>0</v>
      </c>
      <c r="BY73" s="97">
        <f ca="1">IFERROR(__xludf.DUMMYFUNCTION("IMPORTRANGE(""https://docs.google.com/spreadsheets/d/12Q_U0nVnFdxDFwa0pej9xvx8ZvLC9Dpi_vRro_aiG5g/edit?usp=sharing"",""อ่างทอง!L228"")"),0)</f>
        <v>0</v>
      </c>
      <c r="BZ73" s="97">
        <f ca="1">IFERROR(__xludf.DUMMYFUNCTION("IMPORTRANGE(""https://docs.google.com/spreadsheets/d/12Q_U0nVnFdxDFwa0pej9xvx8ZvLC9Dpi_vRro_aiG5g/edit?usp=sharing"",""อ่างทอง!N228"")"),0)</f>
        <v>0</v>
      </c>
      <c r="CA73" s="98">
        <f t="shared" ca="1" si="102"/>
        <v>0</v>
      </c>
      <c r="CB73" s="97">
        <f ca="1">IFERROR(__xludf.DUMMYFUNCTION("IMPORTRANGE(""https://docs.google.com/spreadsheets/d/12Q_U0nVnFdxDFwa0pej9xvx8ZvLC9Dpi_vRro_aiG5g/edit?usp=sharing"",""อ่างทอง!L229"")"),0)</f>
        <v>0</v>
      </c>
      <c r="CC73" s="97">
        <f ca="1">IFERROR(__xludf.DUMMYFUNCTION("IMPORTRANGE(""https://docs.google.com/spreadsheets/d/12Q_U0nVnFdxDFwa0pej9xvx8ZvLC9Dpi_vRro_aiG5g/edit?usp=sharing"",""อ่างทอง!N229"")"),0)</f>
        <v>0</v>
      </c>
      <c r="CD73" s="98">
        <f t="shared" ca="1" si="103"/>
        <v>0</v>
      </c>
      <c r="CE73" s="97">
        <f ca="1">IFERROR(__xludf.DUMMYFUNCTION("IMPORTRANGE(""https://docs.google.com/spreadsheets/d/12Q_U0nVnFdxDFwa0pej9xvx8ZvLC9Dpi_vRro_aiG5g/edit?usp=sharing"",""อ่างทอง!L230"")"),0)</f>
        <v>0</v>
      </c>
      <c r="CF73" s="97">
        <f ca="1">IFERROR(__xludf.DUMMYFUNCTION("IMPORTRANGE(""https://docs.google.com/spreadsheets/d/12Q_U0nVnFdxDFwa0pej9xvx8ZvLC9Dpi_vRro_aiG5g/edit?usp=sharing"",""อ่างทอง!N230"")"),0)</f>
        <v>0</v>
      </c>
      <c r="CG73" s="98">
        <f t="shared" ca="1" si="104"/>
        <v>0</v>
      </c>
      <c r="CH73" s="97">
        <f ca="1">IFERROR(__xludf.DUMMYFUNCTION("IMPORTRANGE(""https://docs.google.com/spreadsheets/d/12Q_U0nVnFdxDFwa0pej9xvx8ZvLC9Dpi_vRro_aiG5g/edit?usp=sharing"",""อ่างทอง!L231"")"),0)</f>
        <v>0</v>
      </c>
      <c r="CI73" s="97">
        <f ca="1">IFERROR(__xludf.DUMMYFUNCTION("IMPORTRANGE(""https://docs.google.com/spreadsheets/d/12Q_U0nVnFdxDFwa0pej9xvx8ZvLC9Dpi_vRro_aiG5g/edit?usp=sharing"",""อ่างทอง!N231"")"),0)</f>
        <v>0</v>
      </c>
      <c r="CJ73" s="98">
        <f t="shared" ca="1" si="105"/>
        <v>0</v>
      </c>
      <c r="CK73" s="97">
        <f ca="1">IFERROR(__xludf.DUMMYFUNCTION("IMPORTRANGE(""https://docs.google.com/spreadsheets/d/12Q_U0nVnFdxDFwa0pej9xvx8ZvLC9Dpi_vRro_aiG5g/edit?usp=sharing"",""อ่างทอง!I233"")"),0)</f>
        <v>0</v>
      </c>
      <c r="CL73" s="97">
        <f ca="1">IFERROR(__xludf.DUMMYFUNCTION("IMPORTRANGE(""https://docs.google.com/spreadsheets/d/12Q_U0nVnFdxDFwa0pej9xvx8ZvLC9Dpi_vRro_aiG5g/edit?usp=sharing"",""อ่างทอง!J233"")"),0)</f>
        <v>0</v>
      </c>
      <c r="CM73" s="98">
        <f t="shared" ca="1" si="106"/>
        <v>0</v>
      </c>
      <c r="CN73" s="97">
        <f ca="1">IFERROR(__xludf.DUMMYFUNCTION("IMPORTRANGE(""https://docs.google.com/spreadsheets/d/12Q_U0nVnFdxDFwa0pej9xvx8ZvLC9Dpi_vRro_aiG5g/edit?usp=sharing"",""อ่างทอง!J235"")"),0)</f>
        <v>0</v>
      </c>
      <c r="CO73" s="97">
        <f ca="1">IFERROR(__xludf.DUMMYFUNCTION("IMPORTRANGE(""https://docs.google.com/spreadsheets/d/12Q_U0nVnFdxDFwa0pej9xvx8ZvLC9Dpi_vRro_aiG5g/edit?usp=sharing"",""อ่างทอง!J236"")"),0)</f>
        <v>0</v>
      </c>
    </row>
    <row r="74" spans="1:93" ht="21" customHeight="1" x14ac:dyDescent="0.3">
      <c r="A74" s="377" t="s">
        <v>96</v>
      </c>
      <c r="B74" s="357"/>
      <c r="C74" s="104">
        <f t="shared" ca="1" si="0"/>
        <v>2070000</v>
      </c>
      <c r="D74" s="62">
        <f t="shared" ref="D74:I74" ca="1" si="189">SUM(D75:D88)</f>
        <v>2070000</v>
      </c>
      <c r="E74" s="62">
        <f t="shared" ca="1" si="189"/>
        <v>1025100</v>
      </c>
      <c r="F74" s="62">
        <f t="shared" ca="1" si="189"/>
        <v>1044900</v>
      </c>
      <c r="G74" s="62">
        <f t="shared" ca="1" si="189"/>
        <v>0</v>
      </c>
      <c r="H74" s="62">
        <f t="shared" ca="1" si="189"/>
        <v>1666875</v>
      </c>
      <c r="I74" s="62">
        <f t="shared" ca="1" si="189"/>
        <v>0</v>
      </c>
      <c r="J74" s="62">
        <f t="shared" ca="1" si="3"/>
        <v>755811.62</v>
      </c>
      <c r="K74" s="100">
        <f t="shared" ca="1" si="4"/>
        <v>36.512638647342996</v>
      </c>
      <c r="L74" s="62">
        <f ca="1">SUM(L75:L88)</f>
        <v>755811.62</v>
      </c>
      <c r="M74" s="101">
        <f t="shared" ca="1" si="5"/>
        <v>36.512638647342996</v>
      </c>
      <c r="N74" s="101">
        <f t="shared" ca="1" si="6"/>
        <v>45.343029321334832</v>
      </c>
      <c r="O74" s="102">
        <f ca="1">SUM(O75:O88)</f>
        <v>0</v>
      </c>
      <c r="P74" s="102">
        <f t="shared" ca="1" si="108"/>
        <v>0</v>
      </c>
      <c r="Q74" s="101">
        <f t="shared" ca="1" si="8"/>
        <v>0</v>
      </c>
      <c r="R74" s="62">
        <f t="shared" ref="R74:S74" ca="1" si="190">SUM(R75:R88)</f>
        <v>84000</v>
      </c>
      <c r="S74" s="62">
        <f t="shared" ca="1" si="190"/>
        <v>19584</v>
      </c>
      <c r="T74" s="101">
        <f t="shared" ca="1" si="84"/>
        <v>23.314285714285713</v>
      </c>
      <c r="U74" s="62">
        <f t="shared" ref="U74:V74" ca="1" si="191">SUM(U75:U88)</f>
        <v>56</v>
      </c>
      <c r="V74" s="62">
        <f t="shared" ca="1" si="191"/>
        <v>17</v>
      </c>
      <c r="W74" s="101">
        <f t="shared" ca="1" si="85"/>
        <v>30.357142857142858</v>
      </c>
      <c r="X74" s="62">
        <f t="shared" ref="X74:AB74" ca="1" si="192">SUM(X75:X88)</f>
        <v>578</v>
      </c>
      <c r="Y74" s="62">
        <f t="shared" ca="1" si="192"/>
        <v>578</v>
      </c>
      <c r="Z74" s="62">
        <f t="shared" ca="1" si="192"/>
        <v>0</v>
      </c>
      <c r="AA74" s="62">
        <f t="shared" ca="1" si="192"/>
        <v>28000</v>
      </c>
      <c r="AB74" s="62">
        <f t="shared" ca="1" si="192"/>
        <v>7980</v>
      </c>
      <c r="AC74" s="101">
        <f t="shared" ca="1" si="86"/>
        <v>28.5</v>
      </c>
      <c r="AD74" s="62">
        <f t="shared" ref="AD74:AE74" ca="1" si="193">SUM(AD75:AD88)</f>
        <v>224000</v>
      </c>
      <c r="AE74" s="62">
        <f t="shared" ca="1" si="193"/>
        <v>104000</v>
      </c>
      <c r="AF74" s="101">
        <f t="shared" ca="1" si="87"/>
        <v>46.428571428571431</v>
      </c>
      <c r="AG74" s="62">
        <f t="shared" ref="AG74:AH74" ca="1" si="194">SUM(AG75:AG88)</f>
        <v>112000</v>
      </c>
      <c r="AH74" s="62">
        <f t="shared" ca="1" si="194"/>
        <v>4000</v>
      </c>
      <c r="AI74" s="101">
        <f t="shared" ca="1" si="88"/>
        <v>3.5714285714285716</v>
      </c>
      <c r="AJ74" s="62">
        <f t="shared" ref="AJ74:AK74" ca="1" si="195">SUM(AJ75:AJ88)</f>
        <v>10000</v>
      </c>
      <c r="AK74" s="62">
        <f t="shared" ca="1" si="195"/>
        <v>0</v>
      </c>
      <c r="AL74" s="101">
        <f t="shared" ca="1" si="89"/>
        <v>0</v>
      </c>
      <c r="AM74" s="62">
        <f t="shared" ref="AM74:AN74" ca="1" si="196">SUM(AM75:AM88)</f>
        <v>28</v>
      </c>
      <c r="AN74" s="62">
        <f t="shared" ca="1" si="196"/>
        <v>13</v>
      </c>
      <c r="AO74" s="101">
        <f t="shared" ca="1" si="90"/>
        <v>46.428571428571431</v>
      </c>
      <c r="AP74" s="295">
        <f t="shared" ref="AP74:AS74" ca="1" si="197">SUM(AP75:AP88)</f>
        <v>3</v>
      </c>
      <c r="AQ74" s="295">
        <f t="shared" ca="1" si="197"/>
        <v>40</v>
      </c>
      <c r="AR74" s="62">
        <f t="shared" ca="1" si="197"/>
        <v>10000</v>
      </c>
      <c r="AS74" s="62">
        <f t="shared" ca="1" si="197"/>
        <v>500</v>
      </c>
      <c r="AT74" s="101">
        <f t="shared" ca="1" si="91"/>
        <v>5</v>
      </c>
      <c r="AU74" s="62">
        <f t="shared" ref="AU74:AV74" ca="1" si="198">SUM(AU75:AU88)</f>
        <v>50000</v>
      </c>
      <c r="AV74" s="62">
        <f t="shared" ca="1" si="198"/>
        <v>0</v>
      </c>
      <c r="AW74" s="101">
        <f t="shared" ca="1" si="92"/>
        <v>0</v>
      </c>
      <c r="AX74" s="62">
        <f t="shared" ref="AX74:AY74" ca="1" si="199">SUM(AX75:AX88)</f>
        <v>80000</v>
      </c>
      <c r="AY74" s="62">
        <f t="shared" ca="1" si="199"/>
        <v>58960</v>
      </c>
      <c r="AZ74" s="101">
        <f t="shared" ca="1" si="93"/>
        <v>73.7</v>
      </c>
      <c r="BA74" s="62">
        <f t="shared" ref="BA74:BB74" ca="1" si="200">SUM(BA75:BA88)</f>
        <v>10</v>
      </c>
      <c r="BB74" s="62">
        <f t="shared" ca="1" si="200"/>
        <v>0</v>
      </c>
      <c r="BC74" s="101">
        <f t="shared" ca="1" si="94"/>
        <v>0</v>
      </c>
      <c r="BD74" s="62">
        <f t="shared" ref="BD74:BE74" ca="1" si="201">SUM(BD75:BD88)</f>
        <v>10</v>
      </c>
      <c r="BE74" s="62">
        <f t="shared" ca="1" si="201"/>
        <v>7</v>
      </c>
      <c r="BF74" s="101">
        <f t="shared" ca="1" si="95"/>
        <v>70</v>
      </c>
      <c r="BG74" s="62">
        <f t="shared" ref="BG74:BH74" ca="1" si="202">SUM(BG75:BG88)</f>
        <v>43000</v>
      </c>
      <c r="BH74" s="62">
        <f t="shared" ca="1" si="202"/>
        <v>2370</v>
      </c>
      <c r="BI74" s="101">
        <f t="shared" ca="1" si="96"/>
        <v>5.5116279069767442</v>
      </c>
      <c r="BJ74" s="62">
        <f t="shared" ref="BJ74:BK74" ca="1" si="203">SUM(BJ75:BJ88)</f>
        <v>70600</v>
      </c>
      <c r="BK74" s="62">
        <f t="shared" ca="1" si="203"/>
        <v>0</v>
      </c>
      <c r="BL74" s="101">
        <f t="shared" ca="1" si="97"/>
        <v>0</v>
      </c>
      <c r="BM74" s="62">
        <f t="shared" ref="BM74:BN74" ca="1" si="204">SUM(BM75:BM88)</f>
        <v>40000</v>
      </c>
      <c r="BN74" s="62">
        <f t="shared" ca="1" si="204"/>
        <v>27360</v>
      </c>
      <c r="BO74" s="101">
        <f t="shared" ca="1" si="98"/>
        <v>68.400000000000006</v>
      </c>
      <c r="BP74" s="62">
        <f t="shared" ref="BP74:BQ74" ca="1" si="205">SUM(BP75:BP88)</f>
        <v>239000</v>
      </c>
      <c r="BQ74" s="62">
        <f t="shared" ca="1" si="205"/>
        <v>60000</v>
      </c>
      <c r="BR74" s="101">
        <f t="shared" ca="1" si="99"/>
        <v>25.10460251046025</v>
      </c>
      <c r="BS74" s="62">
        <f t="shared" ref="BS74:BT74" ca="1" si="206">SUM(BS75:BS88)</f>
        <v>239000</v>
      </c>
      <c r="BT74" s="62">
        <f t="shared" ca="1" si="206"/>
        <v>0</v>
      </c>
      <c r="BU74" s="101">
        <f t="shared" ca="1" si="100"/>
        <v>0</v>
      </c>
      <c r="BV74" s="62">
        <f t="shared" ref="BV74:BW74" ca="1" si="207">SUM(BV75:BV88)</f>
        <v>40</v>
      </c>
      <c r="BW74" s="62">
        <f t="shared" ca="1" si="207"/>
        <v>30</v>
      </c>
      <c r="BX74" s="101">
        <f t="shared" ca="1" si="101"/>
        <v>75</v>
      </c>
      <c r="BY74" s="62">
        <f t="shared" ref="BY74:BZ74" ca="1" si="208">SUM(BY75:BY88)</f>
        <v>165000</v>
      </c>
      <c r="BZ74" s="62">
        <f t="shared" ca="1" si="208"/>
        <v>62273.33</v>
      </c>
      <c r="CA74" s="101">
        <f t="shared" ca="1" si="102"/>
        <v>37.741412121212122</v>
      </c>
      <c r="CB74" s="62">
        <f t="shared" ref="CB74:CC74" ca="1" si="209">SUM(CB75:CB88)</f>
        <v>88300</v>
      </c>
      <c r="CC74" s="62">
        <f t="shared" ca="1" si="209"/>
        <v>25662</v>
      </c>
      <c r="CD74" s="101">
        <f t="shared" ca="1" si="103"/>
        <v>29.062287655719139</v>
      </c>
      <c r="CE74" s="62">
        <f t="shared" ref="CE74:CF74" ca="1" si="210">SUM(CE75:CE88)</f>
        <v>0</v>
      </c>
      <c r="CF74" s="62">
        <f t="shared" ca="1" si="210"/>
        <v>0</v>
      </c>
      <c r="CG74" s="101">
        <f t="shared" ca="1" si="104"/>
        <v>0</v>
      </c>
      <c r="CH74" s="62">
        <f t="shared" ref="CH74:CI74" ca="1" si="211">SUM(CH75:CH88)</f>
        <v>40000</v>
      </c>
      <c r="CI74" s="62">
        <f t="shared" ca="1" si="211"/>
        <v>0</v>
      </c>
      <c r="CJ74" s="101">
        <f t="shared" ca="1" si="105"/>
        <v>0</v>
      </c>
      <c r="CK74" s="62">
        <f t="shared" ref="CK74:CL74" ca="1" si="212">SUM(CK75:CK88)</f>
        <v>100</v>
      </c>
      <c r="CL74" s="62">
        <f t="shared" ca="1" si="212"/>
        <v>32</v>
      </c>
      <c r="CM74" s="101">
        <f t="shared" ca="1" si="106"/>
        <v>32</v>
      </c>
      <c r="CN74" s="62">
        <f t="shared" ref="CN74:CO74" ca="1" si="213">SUM(CN75:CN88)</f>
        <v>0</v>
      </c>
      <c r="CO74" s="62">
        <f t="shared" ca="1" si="213"/>
        <v>0</v>
      </c>
    </row>
    <row r="75" spans="1:93" ht="21" customHeight="1" x14ac:dyDescent="0.3">
      <c r="A75" s="68">
        <v>1</v>
      </c>
      <c r="B75" s="69" t="s">
        <v>97</v>
      </c>
      <c r="C75" s="103">
        <f t="shared" ca="1" si="0"/>
        <v>60500</v>
      </c>
      <c r="D75" s="71">
        <f t="shared" ref="D75:D88" ca="1" si="214">+E75+F75</f>
        <v>60500</v>
      </c>
      <c r="E75" s="72">
        <f ca="1">IFERROR(__xludf.DUMMYFUNCTION("IMPORTRANGE(""https://docs.google.com/spreadsheets/d/1MeEWN-I1oV_STSDYn1IFDPWt_1FKiwhDph83XaGc0o0/edit?usp=sharing"",""งบพรบ!CP75"")"),0)</f>
        <v>0</v>
      </c>
      <c r="F75" s="72">
        <f ca="1">IFERROR(__xludf.DUMMYFUNCTION("IMPORTRANGE(""https://docs.google.com/spreadsheets/d/1MeEWN-I1oV_STSDYn1IFDPWt_1FKiwhDph83XaGc0o0/edit?usp=sharing"",""งบพรบ!CQ75"")"),60500)</f>
        <v>60500</v>
      </c>
      <c r="G75" s="105">
        <f ca="1">IFERROR(__xludf.DUMMYFUNCTION("IMPORTRANGE(""https://docs.google.com/spreadsheets/d/1MeEWN-I1oV_STSDYn1IFDPWt_1FKiwhDph83XaGc0o0/edit?usp=sharing"",""งบพรบ!CR75"")"),0)</f>
        <v>0</v>
      </c>
      <c r="H75" s="105">
        <f ca="1">IFERROR(__xludf.DUMMYFUNCTION("IMPORTRANGE(""https://docs.google.com/spreadsheets/d/1MeEWN-I1oV_STSDYn1IFDPWt_1FKiwhDph83XaGc0o0/edit?usp=sharing"",""งบพรบ!CT75"")"),45500)</f>
        <v>45500</v>
      </c>
      <c r="I75" s="105">
        <f ca="1">IFERROR(__xludf.DUMMYFUNCTION("IMPORTRANGE(""https://docs.google.com/spreadsheets/d/1MeEWN-I1oV_STSDYn1IFDPWt_1FKiwhDph83XaGc0o0/edit?usp=sharing"",""งบพรบ!CU75"")"),0)</f>
        <v>0</v>
      </c>
      <c r="J75" s="105">
        <f t="shared" ca="1" si="3"/>
        <v>20897</v>
      </c>
      <c r="K75" s="106">
        <f t="shared" ca="1" si="4"/>
        <v>34.540495867768598</v>
      </c>
      <c r="L75" s="82">
        <f ca="1">IFERROR(__xludf.DUMMYFUNCTION("IMPORTRANGE(""https://docs.google.com/spreadsheets/d/1MeEWN-I1oV_STSDYn1IFDPWt_1FKiwhDph83XaGc0o0/edit?usp=sharing"",""งบพรบ!CV75"")"),20897)</f>
        <v>20897</v>
      </c>
      <c r="M75" s="75">
        <f t="shared" ca="1" si="5"/>
        <v>34.540495867768598</v>
      </c>
      <c r="N75" s="75">
        <f t="shared" ca="1" si="6"/>
        <v>45.927472527472524</v>
      </c>
      <c r="O75" s="76">
        <f ca="1">IFERROR(__xludf.DUMMYFUNCTION("IMPORTRANGE(""https://docs.google.com/spreadsheets/d/1MeEWN-I1oV_STSDYn1IFDPWt_1FKiwhDph83XaGc0o0/edit?usp=sharing"",""งบพรบ!CW75"")"),0)</f>
        <v>0</v>
      </c>
      <c r="P75" s="76">
        <f t="shared" ca="1" si="108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IFERROR(__xludf.DUMMYFUNCTION("IMPORTRANGE(""https://docs.google.com/spreadsheets/d/1kC41EOXpGBFOW658Fs3oD8beYlym0-zO54WY-2Qnp9I/edit?usp=sharing"",""กระบี่!L191"")"),6000)</f>
        <v>6000</v>
      </c>
      <c r="S75" s="73">
        <f ca="1">IFERROR(__xludf.DUMMYFUNCTION("IMPORTRANGE(""https://docs.google.com/spreadsheets/d/1kC41EOXpGBFOW658Fs3oD8beYlym0-zO54WY-2Qnp9I/edit?usp=sharing"",""กระบี่!N191"")"),1240)</f>
        <v>1240</v>
      </c>
      <c r="T75" s="77">
        <f t="shared" ca="1" si="84"/>
        <v>20.666666666666668</v>
      </c>
      <c r="U75" s="73">
        <f ca="1">IFERROR(__xludf.DUMMYFUNCTION("IMPORTRANGE(""https://docs.google.com/spreadsheets/d/1kC41EOXpGBFOW658Fs3oD8beYlym0-zO54WY-2Qnp9I/edit?usp=sharing"",""กระบี่!I193"")"),4)</f>
        <v>4</v>
      </c>
      <c r="V75" s="73">
        <f ca="1">IFERROR(__xludf.DUMMYFUNCTION("IMPORTRANGE(""https://docs.google.com/spreadsheets/d/1kC41EOXpGBFOW658Fs3oD8beYlym0-zO54WY-2Qnp9I/edit?usp=sharing"",""กระบี่!J193"")"),2)</f>
        <v>2</v>
      </c>
      <c r="W75" s="77">
        <f t="shared" ca="1" si="85"/>
        <v>50</v>
      </c>
      <c r="X75" s="73">
        <f t="shared" ref="X75:X88" ca="1" si="215">Y75+Z75</f>
        <v>34</v>
      </c>
      <c r="Y75" s="73">
        <f ca="1">IFERROR(__xludf.DUMMYFUNCTION("IMPORTRANGE(""https://docs.google.com/spreadsheets/d/1kC41EOXpGBFOW658Fs3oD8beYlym0-zO54WY-2Qnp9I/edit?usp=sharing"",""กระบี่!J195"")"),34)</f>
        <v>34</v>
      </c>
      <c r="Z75" s="73">
        <f ca="1">IFERROR(__xludf.DUMMYFUNCTION("IMPORTRANGE(""https://docs.google.com/spreadsheets/d/1kC41EOXpGBFOW658Fs3oD8beYlym0-zO54WY-2Qnp9I/edit?usp=sharing"",""กระบี่!J196"")"),0)</f>
        <v>0</v>
      </c>
      <c r="AA75" s="73">
        <f ca="1">IFERROR(__xludf.DUMMYFUNCTION("IMPORTRANGE(""https://docs.google.com/spreadsheets/d/1kC41EOXpGBFOW658Fs3oD8beYlym0-zO54WY-2Qnp9I/edit?usp=sharing"",""กระบี่!L199"")"),2000)</f>
        <v>2000</v>
      </c>
      <c r="AB75" s="73">
        <f ca="1">IFERROR(__xludf.DUMMYFUNCTION("IMPORTRANGE(""https://docs.google.com/spreadsheets/d/1kC41EOXpGBFOW658Fs3oD8beYlym0-zO54WY-2Qnp9I/edit?usp=sharing"",""กระบี่!N199"")"),740)</f>
        <v>740</v>
      </c>
      <c r="AC75" s="77">
        <f t="shared" ca="1" si="86"/>
        <v>37</v>
      </c>
      <c r="AD75" s="73">
        <f ca="1">IFERROR(__xludf.DUMMYFUNCTION("IMPORTRANGE(""https://docs.google.com/spreadsheets/d/1kC41EOXpGBFOW658Fs3oD8beYlym0-zO54WY-2Qnp9I/edit?usp=sharing"",""กระบี่!L200"")"),16000)</f>
        <v>16000</v>
      </c>
      <c r="AE75" s="73">
        <f ca="1">IFERROR(__xludf.DUMMYFUNCTION("IMPORTRANGE(""https://docs.google.com/spreadsheets/d/1kC41EOXpGBFOW658Fs3oD8beYlym0-zO54WY-2Qnp9I/edit?usp=sharing"",""กระบี่!N200"")"),0)</f>
        <v>0</v>
      </c>
      <c r="AF75" s="77">
        <f t="shared" ca="1" si="87"/>
        <v>0</v>
      </c>
      <c r="AG75" s="73">
        <f ca="1">IFERROR(__xludf.DUMMYFUNCTION("IMPORTRANGE(""https://docs.google.com/spreadsheets/d/1kC41EOXpGBFOW658Fs3oD8beYlym0-zO54WY-2Qnp9I/edit?usp=sharing"",""กระบี่!L201"")"),8000)</f>
        <v>8000</v>
      </c>
      <c r="AH75" s="73">
        <f ca="1">IFERROR(__xludf.DUMMYFUNCTION("IMPORTRANGE(""https://docs.google.com/spreadsheets/d/1kC41EOXpGBFOW658Fs3oD8beYlym0-zO54WY-2Qnp9I/edit?usp=sharing"",""กระบี่!N201"")"),0)</f>
        <v>0</v>
      </c>
      <c r="AI75" s="77">
        <f t="shared" ca="1" si="88"/>
        <v>0</v>
      </c>
      <c r="AJ75" s="73">
        <f ca="1">IFERROR(__xludf.DUMMYFUNCTION("IMPORTRANGE(""https://docs.google.com/spreadsheets/d/1kC41EOXpGBFOW658Fs3oD8beYlym0-zO54WY-2Qnp9I/edit?usp=sharing"",""กระบี่!L202"")"),0)</f>
        <v>0</v>
      </c>
      <c r="AK75" s="73">
        <f ca="1">IFERROR(__xludf.DUMMYFUNCTION("IMPORTRANGE(""https://docs.google.com/spreadsheets/d/1kC41EOXpGBFOW658Fs3oD8beYlym0-zO54WY-2Qnp9I/edit?usp=sharing"",""กระบี่!N202"")"),0)</f>
        <v>0</v>
      </c>
      <c r="AL75" s="77">
        <f t="shared" ca="1" si="89"/>
        <v>0</v>
      </c>
      <c r="AM75" s="73">
        <f ca="1">IFERROR(__xludf.DUMMYFUNCTION("IMPORTRANGE(""https://docs.google.com/spreadsheets/d/1kC41EOXpGBFOW658Fs3oD8beYlym0-zO54WY-2Qnp9I/edit?usp=sharing"",""กระบี่!I204"")"),2)</f>
        <v>2</v>
      </c>
      <c r="AN75" s="73">
        <f ca="1">IFERROR(__xludf.DUMMYFUNCTION("IMPORTRANGE(""https://docs.google.com/spreadsheets/d/1kC41EOXpGBFOW658Fs3oD8beYlym0-zO54WY-2Qnp9I/edit?usp=sharing"",""กระบี่!J204"")"),0)</f>
        <v>0</v>
      </c>
      <c r="AO75" s="77">
        <f t="shared" ca="1" si="90"/>
        <v>0</v>
      </c>
      <c r="AP75" s="298">
        <f ca="1">IFERROR(__xludf.DUMMYFUNCTION("IMPORTRANGE(""https://docs.google.com/spreadsheets/d/1kC41EOXpGBFOW658Fs3oD8beYlym0-zO54WY-2Qnp9I/edit?usp=sharing"",""กระบี่!J206"")"),0)</f>
        <v>0</v>
      </c>
      <c r="AQ75" s="298">
        <f ca="1">IFERROR(__xludf.DUMMYFUNCTION("IMPORTRANGE(""https://docs.google.com/spreadsheets/d/1kC41EOXpGBFOW658Fs3oD8beYlym0-zO54WY-2Qnp9I/edit?usp=sharing"",""กระบี่!J207"")"),0)</f>
        <v>0</v>
      </c>
      <c r="AR75" s="73">
        <f ca="1">IFERROR(__xludf.DUMMYFUNCTION("IMPORTRANGE(""https://docs.google.com/spreadsheets/d/1kC41EOXpGBFOW658Fs3oD8beYlym0-zO54WY-2Qnp9I/edit?usp=sharing"",""กระบี่!L210"")"),0)</f>
        <v>0</v>
      </c>
      <c r="AS75" s="73">
        <f ca="1">IFERROR(__xludf.DUMMYFUNCTION("IMPORTRANGE(""https://docs.google.com/spreadsheets/d/1kC41EOXpGBFOW658Fs3oD8beYlym0-zO54WY-2Qnp9I/edit?usp=sharing"",""กระบี่!N210"")"),0)</f>
        <v>0</v>
      </c>
      <c r="AT75" s="77">
        <f t="shared" ca="1" si="91"/>
        <v>0</v>
      </c>
      <c r="AU75" s="73">
        <f ca="1">IFERROR(__xludf.DUMMYFUNCTION("IMPORTRANGE(""https://docs.google.com/spreadsheets/d/1kC41EOXpGBFOW658Fs3oD8beYlym0-zO54WY-2Qnp9I/edit?usp=sharing"",""กระบี่!L211"")"),0)</f>
        <v>0</v>
      </c>
      <c r="AV75" s="73">
        <f ca="1">IFERROR(__xludf.DUMMYFUNCTION("IMPORTRANGE(""https://docs.google.com/spreadsheets/d/1kC41EOXpGBFOW658Fs3oD8beYlym0-zO54WY-2Qnp9I/edit?usp=sharing"",""กระบี่!N211"")"),0)</f>
        <v>0</v>
      </c>
      <c r="AW75" s="77">
        <f t="shared" ca="1" si="92"/>
        <v>0</v>
      </c>
      <c r="AX75" s="73">
        <f ca="1">IFERROR(__xludf.DUMMYFUNCTION("IMPORTRANGE(""https://docs.google.com/spreadsheets/d/1kC41EOXpGBFOW658Fs3oD8beYlym0-zO54WY-2Qnp9I/edit?usp=sharing"",""กระบี่!L212"")"),0)</f>
        <v>0</v>
      </c>
      <c r="AY75" s="73">
        <f ca="1">IFERROR(__xludf.DUMMYFUNCTION("IMPORTRANGE(""https://docs.google.com/spreadsheets/d/1kC41EOXpGBFOW658Fs3oD8beYlym0-zO54WY-2Qnp9I/edit?usp=sharing"",""กระบี่!N212"")"),0)</f>
        <v>0</v>
      </c>
      <c r="AZ75" s="77">
        <f t="shared" ca="1" si="93"/>
        <v>0</v>
      </c>
      <c r="BA75" s="73">
        <f ca="1">IFERROR(__xludf.DUMMYFUNCTION("IMPORTRANGE(""https://docs.google.com/spreadsheets/d/1kC41EOXpGBFOW658Fs3oD8beYlym0-zO54WY-2Qnp9I/edit?usp=sharing"",""กระบี่!I214"")"),0)</f>
        <v>0</v>
      </c>
      <c r="BB75" s="73">
        <f ca="1">IFERROR(__xludf.DUMMYFUNCTION("IMPORTRANGE(""https://docs.google.com/spreadsheets/d/1kC41EOXpGBFOW658Fs3oD8beYlym0-zO54WY-2Qnp9I/edit?usp=sharing"",""กระบี่!J214"")"),0)</f>
        <v>0</v>
      </c>
      <c r="BC75" s="77">
        <f t="shared" ca="1" si="94"/>
        <v>0</v>
      </c>
      <c r="BD75" s="73">
        <f ca="1">IFERROR(__xludf.DUMMYFUNCTION("IMPORTRANGE(""https://docs.google.com/spreadsheets/d/1kC41EOXpGBFOW658Fs3oD8beYlym0-zO54WY-2Qnp9I/edit?usp=sharing"",""กระบี่!I215"")"),0)</f>
        <v>0</v>
      </c>
      <c r="BE75" s="73">
        <f ca="1">IFERROR(__xludf.DUMMYFUNCTION("IMPORTRANGE(""https://docs.google.com/spreadsheets/d/1kC41EOXpGBFOW658Fs3oD8beYlym0-zO54WY-2Qnp9I/edit?usp=sharing"",""กระบี่!J215"")"),0)</f>
        <v>0</v>
      </c>
      <c r="BF75" s="77">
        <f t="shared" ca="1" si="95"/>
        <v>0</v>
      </c>
      <c r="BG75" s="73">
        <f ca="1">IFERROR(__xludf.DUMMYFUNCTION("IMPORTRANGE(""https://docs.google.com/spreadsheets/d/1kC41EOXpGBFOW658Fs3oD8beYlym0-zO54WY-2Qnp9I/edit?usp=sharing"",""กระบี่!L218"")"),5000)</f>
        <v>5000</v>
      </c>
      <c r="BH75" s="73">
        <f ca="1">IFERROR(__xludf.DUMMYFUNCTION("IMPORTRANGE(""https://docs.google.com/spreadsheets/d/1kC41EOXpGBFOW658Fs3oD8beYlym0-zO54WY-2Qnp9I/edit?usp=sharing"",""กระบี่!N218"")"),0)</f>
        <v>0</v>
      </c>
      <c r="BI75" s="77">
        <f t="shared" ca="1" si="96"/>
        <v>0</v>
      </c>
      <c r="BJ75" s="73">
        <f ca="1">IFERROR(__xludf.DUMMYFUNCTION("IMPORTRANGE(""https://docs.google.com/spreadsheets/d/1kC41EOXpGBFOW658Fs3oD8beYlym0-zO54WY-2Qnp9I/edit?usp=sharing"",""กระบี่!L219"")"),13500)</f>
        <v>13500</v>
      </c>
      <c r="BK75" s="73">
        <f ca="1">IFERROR(__xludf.DUMMYFUNCTION("IMPORTRANGE(""https://docs.google.com/spreadsheets/d/1kC41EOXpGBFOW658Fs3oD8beYlym0-zO54WY-2Qnp9I/edit?usp=sharing"",""กระบี่!N219"")"),0)</f>
        <v>0</v>
      </c>
      <c r="BL75" s="77">
        <f t="shared" ca="1" si="97"/>
        <v>0</v>
      </c>
      <c r="BM75" s="73">
        <f ca="1">IFERROR(__xludf.DUMMYFUNCTION("IMPORTRANGE(""https://docs.google.com/spreadsheets/d/1kC41EOXpGBFOW658Fs3oD8beYlym0-zO54WY-2Qnp9I/edit?usp=sharing"",""กระบี่!L220"")"),10000)</f>
        <v>10000</v>
      </c>
      <c r="BN75" s="73">
        <f ca="1">IFERROR(__xludf.DUMMYFUNCTION("IMPORTRANGE(""https://docs.google.com/spreadsheets/d/1kC41EOXpGBFOW658Fs3oD8beYlym0-zO54WY-2Qnp9I/edit?usp=sharing"",""กระบี่!N220"")"),10000)</f>
        <v>10000</v>
      </c>
      <c r="BO75" s="77">
        <f t="shared" ca="1" si="98"/>
        <v>100</v>
      </c>
      <c r="BP75" s="73">
        <f ca="1">IFERROR(__xludf.DUMMYFUNCTION("IMPORTRANGE(""https://docs.google.com/spreadsheets/d/1kC41EOXpGBFOW658Fs3oD8beYlym0-zO54WY-2Qnp9I/edit?usp=sharing"",""กระบี่!I223"")"),50000)</f>
        <v>50000</v>
      </c>
      <c r="BQ75" s="73">
        <f ca="1">IFERROR(__xludf.DUMMYFUNCTION("IMPORTRANGE(""https://docs.google.com/spreadsheets/d/1kC41EOXpGBFOW658Fs3oD8beYlym0-zO54WY-2Qnp9I/edit?usp=sharing"",""กระบี่!J223"")"),50000)</f>
        <v>50000</v>
      </c>
      <c r="BR75" s="77">
        <f t="shared" ca="1" si="99"/>
        <v>100</v>
      </c>
      <c r="BS75" s="73">
        <f ca="1">IFERROR(__xludf.DUMMYFUNCTION("IMPORTRANGE(""https://docs.google.com/spreadsheets/d/1kC41EOXpGBFOW658Fs3oD8beYlym0-zO54WY-2Qnp9I/edit?usp=sharing"",""กระบี่!I224"")"),50000)</f>
        <v>50000</v>
      </c>
      <c r="BT75" s="73">
        <f ca="1">IFERROR(__xludf.DUMMYFUNCTION("IMPORTRANGE(""https://docs.google.com/spreadsheets/d/1kC41EOXpGBFOW658Fs3oD8beYlym0-zO54WY-2Qnp9I/edit?usp=sharing"",""กระบี่!J224"")"),0)</f>
        <v>0</v>
      </c>
      <c r="BU75" s="77">
        <f t="shared" ca="1" si="100"/>
        <v>0</v>
      </c>
      <c r="BV75" s="73">
        <f ca="1">IFERROR(__xludf.DUMMYFUNCTION("IMPORTRANGE(""https://docs.google.com/spreadsheets/d/1kC41EOXpGBFOW658Fs3oD8beYlym0-zO54WY-2Qnp9I/edit?usp=sharing"",""กระบี่!I225"")"),10)</f>
        <v>10</v>
      </c>
      <c r="BW75" s="73">
        <f ca="1">IFERROR(__xludf.DUMMYFUNCTION("IMPORTRANGE(""https://docs.google.com/spreadsheets/d/1kC41EOXpGBFOW658Fs3oD8beYlym0-zO54WY-2Qnp9I/edit?usp=sharing"",""กระบี่!J225"")"),10)</f>
        <v>10</v>
      </c>
      <c r="BX75" s="77">
        <f t="shared" ca="1" si="101"/>
        <v>100</v>
      </c>
      <c r="BY75" s="73">
        <f ca="1">IFERROR(__xludf.DUMMYFUNCTION("IMPORTRANGE(""https://docs.google.com/spreadsheets/d/1kC41EOXpGBFOW658Fs3oD8beYlym0-zO54WY-2Qnp9I/edit?usp=sharing"",""กระบี่!L228"")"),0)</f>
        <v>0</v>
      </c>
      <c r="BZ75" s="73">
        <f ca="1">IFERROR(__xludf.DUMMYFUNCTION("IMPORTRANGE(""https://docs.google.com/spreadsheets/d/1kC41EOXpGBFOW658Fs3oD8beYlym0-zO54WY-2Qnp9I/edit?usp=sharing"",""กระบี่!N228"")"),0)</f>
        <v>0</v>
      </c>
      <c r="CA75" s="77">
        <f t="shared" ca="1" si="102"/>
        <v>0</v>
      </c>
      <c r="CB75" s="73">
        <f ca="1">IFERROR(__xludf.DUMMYFUNCTION("IMPORTRANGE(""https://docs.google.com/spreadsheets/d/1kC41EOXpGBFOW658Fs3oD8beYlym0-zO54WY-2Qnp9I/edit?usp=sharing"",""กระบี่!L229"")"),0)</f>
        <v>0</v>
      </c>
      <c r="CC75" s="73">
        <f ca="1">IFERROR(__xludf.DUMMYFUNCTION("IMPORTRANGE(""https://docs.google.com/spreadsheets/d/1kC41EOXpGBFOW658Fs3oD8beYlym0-zO54WY-2Qnp9I/edit?usp=sharing"",""กระบี่!N229"")"),0)</f>
        <v>0</v>
      </c>
      <c r="CD75" s="77">
        <f t="shared" ca="1" si="103"/>
        <v>0</v>
      </c>
      <c r="CE75" s="73">
        <f ca="1">IFERROR(__xludf.DUMMYFUNCTION("IMPORTRANGE(""https://docs.google.com/spreadsheets/d/1kC41EOXpGBFOW658Fs3oD8beYlym0-zO54WY-2Qnp9I/edit?usp=sharing"",""กระบี่!L230"")"),0)</f>
        <v>0</v>
      </c>
      <c r="CF75" s="73">
        <f ca="1">IFERROR(__xludf.DUMMYFUNCTION("IMPORTRANGE(""https://docs.google.com/spreadsheets/d/1kC41EOXpGBFOW658Fs3oD8beYlym0-zO54WY-2Qnp9I/edit?usp=sharing"",""กระบี่!N230"")"),0)</f>
        <v>0</v>
      </c>
      <c r="CG75" s="77">
        <f t="shared" ca="1" si="104"/>
        <v>0</v>
      </c>
      <c r="CH75" s="73">
        <f ca="1">IFERROR(__xludf.DUMMYFUNCTION("IMPORTRANGE(""https://docs.google.com/spreadsheets/d/1kC41EOXpGBFOW658Fs3oD8beYlym0-zO54WY-2Qnp9I/edit?usp=sharing"",""กระบี่!L231"")"),0)</f>
        <v>0</v>
      </c>
      <c r="CI75" s="73">
        <f ca="1">IFERROR(__xludf.DUMMYFUNCTION("IMPORTRANGE(""https://docs.google.com/spreadsheets/d/1kC41EOXpGBFOW658Fs3oD8beYlym0-zO54WY-2Qnp9I/edit?usp=sharing"",""กระบี่!N231"")"),0)</f>
        <v>0</v>
      </c>
      <c r="CJ75" s="77">
        <f t="shared" ca="1" si="105"/>
        <v>0</v>
      </c>
      <c r="CK75" s="73">
        <f ca="1">IFERROR(__xludf.DUMMYFUNCTION("IMPORTRANGE(""https://docs.google.com/spreadsheets/d/1kC41EOXpGBFOW658Fs3oD8beYlym0-zO54WY-2Qnp9I/edit?usp=sharing"",""กระบี่!I233"")"),0)</f>
        <v>0</v>
      </c>
      <c r="CL75" s="73">
        <f ca="1">IFERROR(__xludf.DUMMYFUNCTION("IMPORTRANGE(""https://docs.google.com/spreadsheets/d/1kC41EOXpGBFOW658Fs3oD8beYlym0-zO54WY-2Qnp9I/edit?usp=sharing"",""กระบี่!J233"")"),0)</f>
        <v>0</v>
      </c>
      <c r="CM75" s="77">
        <f t="shared" ca="1" si="106"/>
        <v>0</v>
      </c>
      <c r="CN75" s="73">
        <f ca="1">IFERROR(__xludf.DUMMYFUNCTION("IMPORTRANGE(""https://docs.google.com/spreadsheets/d/1kC41EOXpGBFOW658Fs3oD8beYlym0-zO54WY-2Qnp9I/edit?usp=sharing"",""กระบี่!J235"")"),0)</f>
        <v>0</v>
      </c>
      <c r="CO75" s="73">
        <f ca="1">IFERROR(__xludf.DUMMYFUNCTION("IMPORTRANGE(""https://docs.google.com/spreadsheets/d/1kC41EOXpGBFOW658Fs3oD8beYlym0-zO54WY-2Qnp9I/edit?usp=sharing"",""กระบี่!J236"")"),0)</f>
        <v>0</v>
      </c>
    </row>
    <row r="76" spans="1:93" ht="21" customHeight="1" x14ac:dyDescent="0.3">
      <c r="A76" s="78">
        <v>2</v>
      </c>
      <c r="B76" s="79" t="s">
        <v>98</v>
      </c>
      <c r="C76" s="80">
        <f t="shared" ca="1" si="0"/>
        <v>64000</v>
      </c>
      <c r="D76" s="81">
        <f t="shared" ca="1" si="214"/>
        <v>64000</v>
      </c>
      <c r="E76" s="82">
        <f ca="1">IFERROR(__xludf.DUMMYFUNCTION("IMPORTRANGE(""https://docs.google.com/spreadsheets/d/1MeEWN-I1oV_STSDYn1IFDPWt_1FKiwhDph83XaGc0o0/edit?usp=sharing"",""งบพรบ!CP76"")"),0)</f>
        <v>0</v>
      </c>
      <c r="F76" s="82">
        <f ca="1">IFERROR(__xludf.DUMMYFUNCTION("IMPORTRANGE(""https://docs.google.com/spreadsheets/d/1MeEWN-I1oV_STSDYn1IFDPWt_1FKiwhDph83XaGc0o0/edit?usp=sharing"",""งบพรบ!CQ76"")"),64000)</f>
        <v>64000</v>
      </c>
      <c r="G76" s="82">
        <f ca="1">IFERROR(__xludf.DUMMYFUNCTION("IMPORTRANGE(""https://docs.google.com/spreadsheets/d/1MeEWN-I1oV_STSDYn1IFDPWt_1FKiwhDph83XaGc0o0/edit?usp=sharing"",""งบพรบ!CR76"")"),0)</f>
        <v>0</v>
      </c>
      <c r="H76" s="82">
        <f ca="1">IFERROR(__xludf.DUMMYFUNCTION("IMPORTRANGE(""https://docs.google.com/spreadsheets/d/1MeEWN-I1oV_STSDYn1IFDPWt_1FKiwhDph83XaGc0o0/edit?usp=sharing"",""งบพรบ!CT76"")"),57500)</f>
        <v>57500</v>
      </c>
      <c r="I76" s="82">
        <f ca="1">IFERROR(__xludf.DUMMYFUNCTION("IMPORTRANGE(""https://docs.google.com/spreadsheets/d/1MeEWN-I1oV_STSDYn1IFDPWt_1FKiwhDph83XaGc0o0/edit?usp=sharing"",""งบพรบ!CU76"")"),0)</f>
        <v>0</v>
      </c>
      <c r="J76" s="82">
        <f t="shared" ca="1" si="3"/>
        <v>13800</v>
      </c>
      <c r="K76" s="83">
        <f t="shared" ca="1" si="4"/>
        <v>21.5625</v>
      </c>
      <c r="L76" s="82">
        <f ca="1">IFERROR(__xludf.DUMMYFUNCTION("IMPORTRANGE(""https://docs.google.com/spreadsheets/d/1MeEWN-I1oV_STSDYn1IFDPWt_1FKiwhDph83XaGc0o0/edit?usp=sharing"",""งบพรบ!CV76"")"),13800)</f>
        <v>13800</v>
      </c>
      <c r="M76" s="84">
        <f t="shared" ca="1" si="5"/>
        <v>21.5625</v>
      </c>
      <c r="N76" s="84">
        <f t="shared" ca="1" si="6"/>
        <v>24</v>
      </c>
      <c r="O76" s="85">
        <f ca="1">IFERROR(__xludf.DUMMYFUNCTION("IMPORTRANGE(""https://docs.google.com/spreadsheets/d/1MeEWN-I1oV_STSDYn1IFDPWt_1FKiwhDph83XaGc0o0/edit?usp=sharing"",""งบพรบ!CW76"")"),0)</f>
        <v>0</v>
      </c>
      <c r="P76" s="85">
        <f t="shared" ca="1" si="108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IFERROR(__xludf.DUMMYFUNCTION("IMPORTRANGE(""https://docs.google.com/spreadsheets/d/1FbzMZY_f3MDiEuK7RpCQKrilJ_kpX0Wm7QBZ1L7EjIU/edit?usp=sharing"",""ชุมพร!L191"")"),6000)</f>
        <v>6000</v>
      </c>
      <c r="S76" s="86">
        <f ca="1">IFERROR(__xludf.DUMMYFUNCTION("IMPORTRANGE(""https://docs.google.com/spreadsheets/d/1FbzMZY_f3MDiEuK7RpCQKrilJ_kpX0Wm7QBZ1L7EjIU/edit?usp=sharing"",""ชุมพร!N191"")"),2450)</f>
        <v>2450</v>
      </c>
      <c r="T76" s="87">
        <f t="shared" ca="1" si="84"/>
        <v>40.833333333333336</v>
      </c>
      <c r="U76" s="86">
        <f ca="1">IFERROR(__xludf.DUMMYFUNCTION("IMPORTRANGE(""https://docs.google.com/spreadsheets/d/1FbzMZY_f3MDiEuK7RpCQKrilJ_kpX0Wm7QBZ1L7EjIU/edit?usp=sharing"",""ชุมพร!I193"")"),4)</f>
        <v>4</v>
      </c>
      <c r="V76" s="86">
        <f ca="1">IFERROR(__xludf.DUMMYFUNCTION("IMPORTRANGE(""https://docs.google.com/spreadsheets/d/1FbzMZY_f3MDiEuK7RpCQKrilJ_kpX0Wm7QBZ1L7EjIU/edit?usp=sharing"",""ชุมพร!J193"")"),1)</f>
        <v>1</v>
      </c>
      <c r="W76" s="87">
        <f t="shared" ca="1" si="85"/>
        <v>25</v>
      </c>
      <c r="X76" s="86">
        <f t="shared" ca="1" si="215"/>
        <v>0</v>
      </c>
      <c r="Y76" s="86">
        <f ca="1">IFERROR(__xludf.DUMMYFUNCTION("IMPORTRANGE(""https://docs.google.com/spreadsheets/d/1FbzMZY_f3MDiEuK7RpCQKrilJ_kpX0Wm7QBZ1L7EjIU/edit?usp=sharing"",""ชุมพร!J195"")"),0)</f>
        <v>0</v>
      </c>
      <c r="Z76" s="86">
        <f ca="1">IFERROR(__xludf.DUMMYFUNCTION("IMPORTRANGE(""https://docs.google.com/spreadsheets/d/1FbzMZY_f3MDiEuK7RpCQKrilJ_kpX0Wm7QBZ1L7EjIU/edit?usp=sharing"",""ชุมพร!J196"")"),0)</f>
        <v>0</v>
      </c>
      <c r="AA76" s="86">
        <f ca="1">IFERROR(__xludf.DUMMYFUNCTION("IMPORTRANGE(""https://docs.google.com/spreadsheets/d/1FbzMZY_f3MDiEuK7RpCQKrilJ_kpX0Wm7QBZ1L7EjIU/edit?usp=sharing"",""ชุมพร!L199"")"),2000)</f>
        <v>2000</v>
      </c>
      <c r="AB76" s="86">
        <f ca="1">IFERROR(__xludf.DUMMYFUNCTION("IMPORTRANGE(""https://docs.google.com/spreadsheets/d/1FbzMZY_f3MDiEuK7RpCQKrilJ_kpX0Wm7QBZ1L7EjIU/edit?usp=sharing"",""ชุมพร!N199"")"),0)</f>
        <v>0</v>
      </c>
      <c r="AC76" s="87">
        <f t="shared" ca="1" si="86"/>
        <v>0</v>
      </c>
      <c r="AD76" s="86">
        <f ca="1">IFERROR(__xludf.DUMMYFUNCTION("IMPORTRANGE(""https://docs.google.com/spreadsheets/d/1FbzMZY_f3MDiEuK7RpCQKrilJ_kpX0Wm7QBZ1L7EjIU/edit?usp=sharing"",""ชุมพร!L200"")"),16000)</f>
        <v>16000</v>
      </c>
      <c r="AE76" s="86">
        <f ca="1">IFERROR(__xludf.DUMMYFUNCTION("IMPORTRANGE(""https://docs.google.com/spreadsheets/d/1FbzMZY_f3MDiEuK7RpCQKrilJ_kpX0Wm7QBZ1L7EjIU/edit?usp=sharing"",""ชุมพร!N200"")"),0)</f>
        <v>0</v>
      </c>
      <c r="AF76" s="87">
        <f t="shared" ca="1" si="87"/>
        <v>0</v>
      </c>
      <c r="AG76" s="86">
        <f ca="1">IFERROR(__xludf.DUMMYFUNCTION("IMPORTRANGE(""https://docs.google.com/spreadsheets/d/1FbzMZY_f3MDiEuK7RpCQKrilJ_kpX0Wm7QBZ1L7EjIU/edit?usp=sharing"",""ชุมพร!L201"")"),8000)</f>
        <v>8000</v>
      </c>
      <c r="AH76" s="86" t="str">
        <f ca="1">IFERROR(__xludf.DUMMYFUNCTION("IMPORTRANGE(""https://docs.google.com/spreadsheets/d/1FbzMZY_f3MDiEuK7RpCQKrilJ_kpX0Wm7QBZ1L7EjIU/edit?usp=sharing"",""ชุมพร!N201"")"),"")</f>
        <v/>
      </c>
      <c r="AI76" s="87" t="e">
        <f t="shared" ca="1" si="88"/>
        <v>#VALUE!</v>
      </c>
      <c r="AJ76" s="86">
        <f ca="1">IFERROR(__xludf.DUMMYFUNCTION("IMPORTRANGE(""https://docs.google.com/spreadsheets/d/1FbzMZY_f3MDiEuK7RpCQKrilJ_kpX0Wm7QBZ1L7EjIU/edit?usp=sharing"",""ชุมพร!L202"")"),0)</f>
        <v>0</v>
      </c>
      <c r="AK76" s="86">
        <f ca="1">IFERROR(__xludf.DUMMYFUNCTION("IMPORTRANGE(""https://docs.google.com/spreadsheets/d/1FbzMZY_f3MDiEuK7RpCQKrilJ_kpX0Wm7QBZ1L7EjIU/edit?usp=sharing"",""ชุมพร!N202"")"),0)</f>
        <v>0</v>
      </c>
      <c r="AL76" s="87">
        <f t="shared" ca="1" si="89"/>
        <v>0</v>
      </c>
      <c r="AM76" s="86">
        <f ca="1">IFERROR(__xludf.DUMMYFUNCTION("IMPORTRANGE(""https://docs.google.com/spreadsheets/d/1FbzMZY_f3MDiEuK7RpCQKrilJ_kpX0Wm7QBZ1L7EjIU/edit?usp=sharing"",""ชุมพร!I204"")"),2)</f>
        <v>2</v>
      </c>
      <c r="AN76" s="86">
        <f ca="1">IFERROR(__xludf.DUMMYFUNCTION("IMPORTRANGE(""https://docs.google.com/spreadsheets/d/1FbzMZY_f3MDiEuK7RpCQKrilJ_kpX0Wm7QBZ1L7EjIU/edit?usp=sharing"",""ชุมพร!J204"")"),0)</f>
        <v>0</v>
      </c>
      <c r="AO76" s="87">
        <f t="shared" ca="1" si="90"/>
        <v>0</v>
      </c>
      <c r="AP76" s="298">
        <f ca="1">IFERROR(__xludf.DUMMYFUNCTION("IMPORTRANGE(""https://docs.google.com/spreadsheets/d/1FbzMZY_f3MDiEuK7RpCQKrilJ_kpX0Wm7QBZ1L7EjIU/edit?usp=sharing"",""ชุมพร!J206"")"),0)</f>
        <v>0</v>
      </c>
      <c r="AQ76" s="298">
        <f ca="1">IFERROR(__xludf.DUMMYFUNCTION("IMPORTRANGE(""https://docs.google.com/spreadsheets/d/1FbzMZY_f3MDiEuK7RpCQKrilJ_kpX0Wm7QBZ1L7EjIU/edit?usp=sharing"",""ชุมพร!J207"")"),0)</f>
        <v>0</v>
      </c>
      <c r="AR76" s="86">
        <f ca="1">IFERROR(__xludf.DUMMYFUNCTION("IMPORTRANGE(""https://docs.google.com/spreadsheets/d/1FbzMZY_f3MDiEuK7RpCQKrilJ_kpX0Wm7QBZ1L7EjIU/edit?usp=sharing"",""ชุมพร!L210"")"),1000)</f>
        <v>1000</v>
      </c>
      <c r="AS76" s="86">
        <f ca="1">IFERROR(__xludf.DUMMYFUNCTION("IMPORTRANGE(""https://docs.google.com/spreadsheets/d/1FbzMZY_f3MDiEuK7RpCQKrilJ_kpX0Wm7QBZ1L7EjIU/edit?usp=sharing"",""ชุมพร!N210"")"),0)</f>
        <v>0</v>
      </c>
      <c r="AT76" s="87">
        <f t="shared" ca="1" si="91"/>
        <v>0</v>
      </c>
      <c r="AU76" s="86">
        <f ca="1">IFERROR(__xludf.DUMMYFUNCTION("IMPORTRANGE(""https://docs.google.com/spreadsheets/d/1FbzMZY_f3MDiEuK7RpCQKrilJ_kpX0Wm7QBZ1L7EjIU/edit?usp=sharing"",""ชุมพร!L211"")"),5000)</f>
        <v>5000</v>
      </c>
      <c r="AV76" s="86">
        <f ca="1">IFERROR(__xludf.DUMMYFUNCTION("IMPORTRANGE(""https://docs.google.com/spreadsheets/d/1FbzMZY_f3MDiEuK7RpCQKrilJ_kpX0Wm7QBZ1L7EjIU/edit?usp=sharing"",""ชุมพร!N211"")"),0)</f>
        <v>0</v>
      </c>
      <c r="AW76" s="87">
        <f t="shared" ca="1" si="92"/>
        <v>0</v>
      </c>
      <c r="AX76" s="86">
        <f ca="1">IFERROR(__xludf.DUMMYFUNCTION("IMPORTRANGE(""https://docs.google.com/spreadsheets/d/1FbzMZY_f3MDiEuK7RpCQKrilJ_kpX0Wm7QBZ1L7EjIU/edit?usp=sharing"",""ชุมพร!L212"")"),8000)</f>
        <v>8000</v>
      </c>
      <c r="AY76" s="86">
        <f ca="1">IFERROR(__xludf.DUMMYFUNCTION("IMPORTRANGE(""https://docs.google.com/spreadsheets/d/1FbzMZY_f3MDiEuK7RpCQKrilJ_kpX0Wm7QBZ1L7EjIU/edit?usp=sharing"",""ชุมพร!N212"")"),2960)</f>
        <v>2960</v>
      </c>
      <c r="AZ76" s="87">
        <f t="shared" ca="1" si="93"/>
        <v>37</v>
      </c>
      <c r="BA76" s="86">
        <f ca="1">IFERROR(__xludf.DUMMYFUNCTION("IMPORTRANGE(""https://docs.google.com/spreadsheets/d/1FbzMZY_f3MDiEuK7RpCQKrilJ_kpX0Wm7QBZ1L7EjIU/edit?usp=sharing"",""ชุมพร!I214"")"),1)</f>
        <v>1</v>
      </c>
      <c r="BB76" s="86">
        <f ca="1">IFERROR(__xludf.DUMMYFUNCTION("IMPORTRANGE(""https://docs.google.com/spreadsheets/d/1FbzMZY_f3MDiEuK7RpCQKrilJ_kpX0Wm7QBZ1L7EjIU/edit?usp=sharing"",""ชุมพร!J214"")"),0)</f>
        <v>0</v>
      </c>
      <c r="BC76" s="87">
        <f t="shared" ca="1" si="94"/>
        <v>0</v>
      </c>
      <c r="BD76" s="86">
        <f ca="1">IFERROR(__xludf.DUMMYFUNCTION("IMPORTRANGE(""https://docs.google.com/spreadsheets/d/1FbzMZY_f3MDiEuK7RpCQKrilJ_kpX0Wm7QBZ1L7EjIU/edit?usp=sharing"",""ชุมพร!I215"")"),1)</f>
        <v>1</v>
      </c>
      <c r="BE76" s="86">
        <f ca="1">IFERROR(__xludf.DUMMYFUNCTION("IMPORTRANGE(""https://docs.google.com/spreadsheets/d/1FbzMZY_f3MDiEuK7RpCQKrilJ_kpX0Wm7QBZ1L7EjIU/edit?usp=sharing"",""ชุมพร!J215"")"),0)</f>
        <v>0</v>
      </c>
      <c r="BF76" s="87">
        <f t="shared" ca="1" si="95"/>
        <v>0</v>
      </c>
      <c r="BG76" s="86">
        <f ca="1">IFERROR(__xludf.DUMMYFUNCTION("IMPORTRANGE(""https://docs.google.com/spreadsheets/d/1FbzMZY_f3MDiEuK7RpCQKrilJ_kpX0Wm7QBZ1L7EjIU/edit?usp=sharing"",""ชุมพร!L218"")"),3000)</f>
        <v>3000</v>
      </c>
      <c r="BH76" s="86">
        <f ca="1">IFERROR(__xludf.DUMMYFUNCTION("IMPORTRANGE(""https://docs.google.com/spreadsheets/d/1FbzMZY_f3MDiEuK7RpCQKrilJ_kpX0Wm7QBZ1L7EjIU/edit?usp=sharing"",""ชุมพร!N218"")"),1030)</f>
        <v>1030</v>
      </c>
      <c r="BI76" s="87">
        <f t="shared" ca="1" si="96"/>
        <v>34.333333333333336</v>
      </c>
      <c r="BJ76" s="86">
        <f ca="1">IFERROR(__xludf.DUMMYFUNCTION("IMPORTRANGE(""https://docs.google.com/spreadsheets/d/1FbzMZY_f3MDiEuK7RpCQKrilJ_kpX0Wm7QBZ1L7EjIU/edit?usp=sharing"",""ชุมพร!L219"")"),5000)</f>
        <v>5000</v>
      </c>
      <c r="BK76" s="86">
        <f ca="1">IFERROR(__xludf.DUMMYFUNCTION("IMPORTRANGE(""https://docs.google.com/spreadsheets/d/1FbzMZY_f3MDiEuK7RpCQKrilJ_kpX0Wm7QBZ1L7EjIU/edit?usp=sharing"",""ชุมพร!N219"")"),0)</f>
        <v>0</v>
      </c>
      <c r="BL76" s="87">
        <f t="shared" ca="1" si="97"/>
        <v>0</v>
      </c>
      <c r="BM76" s="86">
        <f ca="1">IFERROR(__xludf.DUMMYFUNCTION("IMPORTRANGE(""https://docs.google.com/spreadsheets/d/1FbzMZY_f3MDiEuK7RpCQKrilJ_kpX0Wm7QBZ1L7EjIU/edit?usp=sharing"",""ชุมพร!L220"")"),10000)</f>
        <v>10000</v>
      </c>
      <c r="BN76" s="86">
        <f ca="1">IFERROR(__xludf.DUMMYFUNCTION("IMPORTRANGE(""https://docs.google.com/spreadsheets/d/1FbzMZY_f3MDiEuK7RpCQKrilJ_kpX0Wm7QBZ1L7EjIU/edit?usp=sharing"",""ชุมพร!N220"")"),7360)</f>
        <v>7360</v>
      </c>
      <c r="BO76" s="87">
        <f t="shared" ca="1" si="98"/>
        <v>73.599999999999994</v>
      </c>
      <c r="BP76" s="86">
        <f ca="1">IFERROR(__xludf.DUMMYFUNCTION("IMPORTRANGE(""https://docs.google.com/spreadsheets/d/1FbzMZY_f3MDiEuK7RpCQKrilJ_kpX0Wm7QBZ1L7EjIU/edit?usp=sharing"",""ชุมพร!I223"")"),20000)</f>
        <v>20000</v>
      </c>
      <c r="BQ76" s="86">
        <f ca="1">IFERROR(__xludf.DUMMYFUNCTION("IMPORTRANGE(""https://docs.google.com/spreadsheets/d/1FbzMZY_f3MDiEuK7RpCQKrilJ_kpX0Wm7QBZ1L7EjIU/edit?usp=sharing"",""ชุมพร!J223"")"),0)</f>
        <v>0</v>
      </c>
      <c r="BR76" s="87">
        <f t="shared" ca="1" si="99"/>
        <v>0</v>
      </c>
      <c r="BS76" s="86">
        <f ca="1">IFERROR(__xludf.DUMMYFUNCTION("IMPORTRANGE(""https://docs.google.com/spreadsheets/d/1FbzMZY_f3MDiEuK7RpCQKrilJ_kpX0Wm7QBZ1L7EjIU/edit?usp=sharing"",""ชุมพร!I224"")"),20000)</f>
        <v>20000</v>
      </c>
      <c r="BT76" s="86">
        <f ca="1">IFERROR(__xludf.DUMMYFUNCTION("IMPORTRANGE(""https://docs.google.com/spreadsheets/d/1FbzMZY_f3MDiEuK7RpCQKrilJ_kpX0Wm7QBZ1L7EjIU/edit?usp=sharing"",""ชุมพร!J224"")"),0)</f>
        <v>0</v>
      </c>
      <c r="BU76" s="87">
        <f t="shared" ca="1" si="100"/>
        <v>0</v>
      </c>
      <c r="BV76" s="86">
        <f ca="1">IFERROR(__xludf.DUMMYFUNCTION("IMPORTRANGE(""https://docs.google.com/spreadsheets/d/1FbzMZY_f3MDiEuK7RpCQKrilJ_kpX0Wm7QBZ1L7EjIU/edit?usp=sharing"",""ชุมพร!I225"")"),10)</f>
        <v>10</v>
      </c>
      <c r="BW76" s="86">
        <f ca="1">IFERROR(__xludf.DUMMYFUNCTION("IMPORTRANGE(""https://docs.google.com/spreadsheets/d/1FbzMZY_f3MDiEuK7RpCQKrilJ_kpX0Wm7QBZ1L7EjIU/edit?usp=sharing"",""ชุมพร!J225"")"),10)</f>
        <v>10</v>
      </c>
      <c r="BX76" s="87">
        <f t="shared" ca="1" si="101"/>
        <v>100</v>
      </c>
      <c r="BY76" s="86">
        <f ca="1">IFERROR(__xludf.DUMMYFUNCTION("IMPORTRANGE(""https://docs.google.com/spreadsheets/d/1FbzMZY_f3MDiEuK7RpCQKrilJ_kpX0Wm7QBZ1L7EjIU/edit?usp=sharing"",""ชุมพร!L228"")"),0)</f>
        <v>0</v>
      </c>
      <c r="BZ76" s="86">
        <f ca="1">IFERROR(__xludf.DUMMYFUNCTION("IMPORTRANGE(""https://docs.google.com/spreadsheets/d/1FbzMZY_f3MDiEuK7RpCQKrilJ_kpX0Wm7QBZ1L7EjIU/edit?usp=sharing"",""ชุมพร!N228"")"),0)</f>
        <v>0</v>
      </c>
      <c r="CA76" s="87">
        <f t="shared" ca="1" si="102"/>
        <v>0</v>
      </c>
      <c r="CB76" s="86">
        <f ca="1">IFERROR(__xludf.DUMMYFUNCTION("IMPORTRANGE(""https://docs.google.com/spreadsheets/d/1FbzMZY_f3MDiEuK7RpCQKrilJ_kpX0Wm7QBZ1L7EjIU/edit?usp=sharing"",""ชุมพร!L229"")"),0)</f>
        <v>0</v>
      </c>
      <c r="CC76" s="86">
        <f ca="1">IFERROR(__xludf.DUMMYFUNCTION("IMPORTRANGE(""https://docs.google.com/spreadsheets/d/1FbzMZY_f3MDiEuK7RpCQKrilJ_kpX0Wm7QBZ1L7EjIU/edit?usp=sharing"",""ชุมพร!N229"")"),0)</f>
        <v>0</v>
      </c>
      <c r="CD76" s="87">
        <f t="shared" ca="1" si="103"/>
        <v>0</v>
      </c>
      <c r="CE76" s="86">
        <f ca="1">IFERROR(__xludf.DUMMYFUNCTION("IMPORTRANGE(""https://docs.google.com/spreadsheets/d/1FbzMZY_f3MDiEuK7RpCQKrilJ_kpX0Wm7QBZ1L7EjIU/edit?usp=sharing"",""ชุมพร!L230"")"),0)</f>
        <v>0</v>
      </c>
      <c r="CF76" s="86">
        <f ca="1">IFERROR(__xludf.DUMMYFUNCTION("IMPORTRANGE(""https://docs.google.com/spreadsheets/d/1FbzMZY_f3MDiEuK7RpCQKrilJ_kpX0Wm7QBZ1L7EjIU/edit?usp=sharing"",""ชุมพร!N230"")"),0)</f>
        <v>0</v>
      </c>
      <c r="CG76" s="87">
        <f t="shared" ca="1" si="104"/>
        <v>0</v>
      </c>
      <c r="CH76" s="86">
        <f ca="1">IFERROR(__xludf.DUMMYFUNCTION("IMPORTRANGE(""https://docs.google.com/spreadsheets/d/1FbzMZY_f3MDiEuK7RpCQKrilJ_kpX0Wm7QBZ1L7EjIU/edit?usp=sharing"",""ชุมพร!L231"")"),0)</f>
        <v>0</v>
      </c>
      <c r="CI76" s="86">
        <f ca="1">IFERROR(__xludf.DUMMYFUNCTION("IMPORTRANGE(""https://docs.google.com/spreadsheets/d/1FbzMZY_f3MDiEuK7RpCQKrilJ_kpX0Wm7QBZ1L7EjIU/edit?usp=sharing"",""ชุมพร!N231"")"),0)</f>
        <v>0</v>
      </c>
      <c r="CJ76" s="87">
        <f t="shared" ca="1" si="105"/>
        <v>0</v>
      </c>
      <c r="CK76" s="86">
        <f ca="1">IFERROR(__xludf.DUMMYFUNCTION("IMPORTRANGE(""https://docs.google.com/spreadsheets/d/1FbzMZY_f3MDiEuK7RpCQKrilJ_kpX0Wm7QBZ1L7EjIU/edit?usp=sharing"",""ชุมพร!I233"")"),0)</f>
        <v>0</v>
      </c>
      <c r="CL76" s="86">
        <f ca="1">IFERROR(__xludf.DUMMYFUNCTION("IMPORTRANGE(""https://docs.google.com/spreadsheets/d/1FbzMZY_f3MDiEuK7RpCQKrilJ_kpX0Wm7QBZ1L7EjIU/edit?usp=sharing"",""ชุมพร!J233"")"),0)</f>
        <v>0</v>
      </c>
      <c r="CM76" s="87">
        <f t="shared" ca="1" si="106"/>
        <v>0</v>
      </c>
      <c r="CN76" s="86">
        <f ca="1">IFERROR(__xludf.DUMMYFUNCTION("IMPORTRANGE(""https://docs.google.com/spreadsheets/d/1FbzMZY_f3MDiEuK7RpCQKrilJ_kpX0Wm7QBZ1L7EjIU/edit?usp=sharing"",""ชุมพร!J235"")"),0)</f>
        <v>0</v>
      </c>
      <c r="CO76" s="86">
        <f ca="1">IFERROR(__xludf.DUMMYFUNCTION("IMPORTRANGE(""https://docs.google.com/spreadsheets/d/1FbzMZY_f3MDiEuK7RpCQKrilJ_kpX0Wm7QBZ1L7EjIU/edit?usp=sharing"",""ชุมพร!J236"")"),0)</f>
        <v>0</v>
      </c>
    </row>
    <row r="77" spans="1:93" ht="21" customHeight="1" x14ac:dyDescent="0.3">
      <c r="A77" s="78">
        <v>3</v>
      </c>
      <c r="B77" s="79" t="s">
        <v>99</v>
      </c>
      <c r="C77" s="80">
        <f t="shared" ca="1" si="0"/>
        <v>206200</v>
      </c>
      <c r="D77" s="81">
        <f t="shared" ca="1" si="214"/>
        <v>206200</v>
      </c>
      <c r="E77" s="82">
        <f ca="1">IFERROR(__xludf.DUMMYFUNCTION("IMPORTRANGE(""https://docs.google.com/spreadsheets/d/1MeEWN-I1oV_STSDYn1IFDPWt_1FKiwhDph83XaGc0o0/edit?usp=sharing"",""งบพรบ!CP77"")"),170700)</f>
        <v>170700</v>
      </c>
      <c r="F77" s="82">
        <f ca="1">IFERROR(__xludf.DUMMYFUNCTION("IMPORTRANGE(""https://docs.google.com/spreadsheets/d/1MeEWN-I1oV_STSDYn1IFDPWt_1FKiwhDph83XaGc0o0/edit?usp=sharing"",""งบพรบ!CQ77"")"),35500)</f>
        <v>35500</v>
      </c>
      <c r="G77" s="82">
        <f ca="1">IFERROR(__xludf.DUMMYFUNCTION("IMPORTRANGE(""https://docs.google.com/spreadsheets/d/1MeEWN-I1oV_STSDYn1IFDPWt_1FKiwhDph83XaGc0o0/edit?usp=sharing"",""งบพรบ!CR77"")"),0)</f>
        <v>0</v>
      </c>
      <c r="H77" s="82">
        <f ca="1">IFERROR(__xludf.DUMMYFUNCTION("IMPORTRANGE(""https://docs.google.com/spreadsheets/d/1MeEWN-I1oV_STSDYn1IFDPWt_1FKiwhDph83XaGc0o0/edit?usp=sharing"",""งบพรบ!CT77"")"),158525)</f>
        <v>158525</v>
      </c>
      <c r="I77" s="82">
        <f ca="1">IFERROR(__xludf.DUMMYFUNCTION("IMPORTRANGE(""https://docs.google.com/spreadsheets/d/1MeEWN-I1oV_STSDYn1IFDPWt_1FKiwhDph83XaGc0o0/edit?usp=sharing"",""งบพรบ!CU77"")"),0)</f>
        <v>0</v>
      </c>
      <c r="J77" s="82">
        <f t="shared" ca="1" si="3"/>
        <v>73237.02</v>
      </c>
      <c r="K77" s="83">
        <f t="shared" ca="1" si="4"/>
        <v>35.517468477206599</v>
      </c>
      <c r="L77" s="82">
        <f ca="1">IFERROR(__xludf.DUMMYFUNCTION("IMPORTRANGE(""https://docs.google.com/spreadsheets/d/1MeEWN-I1oV_STSDYn1IFDPWt_1FKiwhDph83XaGc0o0/edit?usp=sharing"",""งบพรบ!CV77"")"),73237.02)</f>
        <v>73237.02</v>
      </c>
      <c r="M77" s="84">
        <f t="shared" ca="1" si="5"/>
        <v>35.517468477206599</v>
      </c>
      <c r="N77" s="84">
        <f t="shared" ca="1" si="6"/>
        <v>46.199034852546916</v>
      </c>
      <c r="O77" s="85">
        <f ca="1">IFERROR(__xludf.DUMMYFUNCTION("IMPORTRANGE(""https://docs.google.com/spreadsheets/d/1MeEWN-I1oV_STSDYn1IFDPWt_1FKiwhDph83XaGc0o0/edit?usp=sharing"",""งบพรบ!CW77"")"),0)</f>
        <v>0</v>
      </c>
      <c r="P77" s="85">
        <f t="shared" ca="1" si="108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IFERROR(__xludf.DUMMYFUNCTION("IMPORTRANGE(""https://docs.google.com/spreadsheets/d/1v5sN-00LrXuhBxw4dkh2GrG_z4l5oAqOdJRBCsUyMaM/edit?usp=sharing"",""ตรัง!L191"")"),6000)</f>
        <v>6000</v>
      </c>
      <c r="S77" s="86">
        <f ca="1">IFERROR(__xludf.DUMMYFUNCTION("IMPORTRANGE(""https://docs.google.com/spreadsheets/d/1v5sN-00LrXuhBxw4dkh2GrG_z4l5oAqOdJRBCsUyMaM/edit?usp=sharing"",""ตรัง!N191"")"),0)</f>
        <v>0</v>
      </c>
      <c r="T77" s="87">
        <f t="shared" ca="1" si="84"/>
        <v>0</v>
      </c>
      <c r="U77" s="86">
        <f ca="1">IFERROR(__xludf.DUMMYFUNCTION("IMPORTRANGE(""https://docs.google.com/spreadsheets/d/1v5sN-00LrXuhBxw4dkh2GrG_z4l5oAqOdJRBCsUyMaM/edit?usp=sharing"",""ตรัง!I193"")"),4)</f>
        <v>4</v>
      </c>
      <c r="V77" s="86">
        <f ca="1">IFERROR(__xludf.DUMMYFUNCTION("IMPORTRANGE(""https://docs.google.com/spreadsheets/d/1v5sN-00LrXuhBxw4dkh2GrG_z4l5oAqOdJRBCsUyMaM/edit?usp=sharing"",""ตรัง!J193"")"),1)</f>
        <v>1</v>
      </c>
      <c r="W77" s="87">
        <f t="shared" ca="1" si="85"/>
        <v>25</v>
      </c>
      <c r="X77" s="86">
        <f t="shared" ca="1" si="215"/>
        <v>27</v>
      </c>
      <c r="Y77" s="86">
        <f ca="1">IFERROR(__xludf.DUMMYFUNCTION("IMPORTRANGE(""https://docs.google.com/spreadsheets/d/1v5sN-00LrXuhBxw4dkh2GrG_z4l5oAqOdJRBCsUyMaM/edit?usp=sharing"",""ตรัง!J195"")"),27)</f>
        <v>27</v>
      </c>
      <c r="Z77" s="86">
        <f ca="1">IFERROR(__xludf.DUMMYFUNCTION("IMPORTRANGE(""https://docs.google.com/spreadsheets/d/1v5sN-00LrXuhBxw4dkh2GrG_z4l5oAqOdJRBCsUyMaM/edit?usp=sharing"",""ตรัง!J196"")"),0)</f>
        <v>0</v>
      </c>
      <c r="AA77" s="86">
        <f ca="1">IFERROR(__xludf.DUMMYFUNCTION("IMPORTRANGE(""https://docs.google.com/spreadsheets/d/1v5sN-00LrXuhBxw4dkh2GrG_z4l5oAqOdJRBCsUyMaM/edit?usp=sharing"",""ตรัง!L199"")"),1000)</f>
        <v>1000</v>
      </c>
      <c r="AB77" s="86">
        <f ca="1">IFERROR(__xludf.DUMMYFUNCTION("IMPORTRANGE(""https://docs.google.com/spreadsheets/d/1v5sN-00LrXuhBxw4dkh2GrG_z4l5oAqOdJRBCsUyMaM/edit?usp=sharing"",""ตรัง!N199"")"),0)</f>
        <v>0</v>
      </c>
      <c r="AC77" s="87">
        <f t="shared" ca="1" si="86"/>
        <v>0</v>
      </c>
      <c r="AD77" s="86">
        <f ca="1">IFERROR(__xludf.DUMMYFUNCTION("IMPORTRANGE(""https://docs.google.com/spreadsheets/d/1v5sN-00LrXuhBxw4dkh2GrG_z4l5oAqOdJRBCsUyMaM/edit?usp=sharing"",""ตรัง!L200"")"),8000)</f>
        <v>8000</v>
      </c>
      <c r="AE77" s="86">
        <f ca="1">IFERROR(__xludf.DUMMYFUNCTION("IMPORTRANGE(""https://docs.google.com/spreadsheets/d/1v5sN-00LrXuhBxw4dkh2GrG_z4l5oAqOdJRBCsUyMaM/edit?usp=sharing"",""ตรัง!N200"")"),0)</f>
        <v>0</v>
      </c>
      <c r="AF77" s="87">
        <f t="shared" ca="1" si="87"/>
        <v>0</v>
      </c>
      <c r="AG77" s="86">
        <f ca="1">IFERROR(__xludf.DUMMYFUNCTION("IMPORTRANGE(""https://docs.google.com/spreadsheets/d/1v5sN-00LrXuhBxw4dkh2GrG_z4l5oAqOdJRBCsUyMaM/edit?usp=sharing"",""ตรัง!L201"")"),4000)</f>
        <v>4000</v>
      </c>
      <c r="AH77" s="86">
        <f ca="1">IFERROR(__xludf.DUMMYFUNCTION("IMPORTRANGE(""https://docs.google.com/spreadsheets/d/1v5sN-00LrXuhBxw4dkh2GrG_z4l5oAqOdJRBCsUyMaM/edit?usp=sharing"",""ตรัง!N201"")"),0)</f>
        <v>0</v>
      </c>
      <c r="AI77" s="87">
        <f t="shared" ca="1" si="88"/>
        <v>0</v>
      </c>
      <c r="AJ77" s="86">
        <f ca="1">IFERROR(__xludf.DUMMYFUNCTION("IMPORTRANGE(""https://docs.google.com/spreadsheets/d/1v5sN-00LrXuhBxw4dkh2GrG_z4l5oAqOdJRBCsUyMaM/edit?usp=sharing"",""ตรัง!L202"")"),0)</f>
        <v>0</v>
      </c>
      <c r="AK77" s="86">
        <f ca="1">IFERROR(__xludf.DUMMYFUNCTION("IMPORTRANGE(""https://docs.google.com/spreadsheets/d/1v5sN-00LrXuhBxw4dkh2GrG_z4l5oAqOdJRBCsUyMaM/edit?usp=sharing"",""ตรัง!N202"")"),0)</f>
        <v>0</v>
      </c>
      <c r="AL77" s="87">
        <f t="shared" ca="1" si="89"/>
        <v>0</v>
      </c>
      <c r="AM77" s="86">
        <f ca="1">IFERROR(__xludf.DUMMYFUNCTION("IMPORTRANGE(""https://docs.google.com/spreadsheets/d/1v5sN-00LrXuhBxw4dkh2GrG_z4l5oAqOdJRBCsUyMaM/edit?usp=sharing"",""ตรัง!I204"")"),1)</f>
        <v>1</v>
      </c>
      <c r="AN77" s="86">
        <f ca="1">IFERROR(__xludf.DUMMYFUNCTION("IMPORTRANGE(""https://docs.google.com/spreadsheets/d/1v5sN-00LrXuhBxw4dkh2GrG_z4l5oAqOdJRBCsUyMaM/edit?usp=sharing"",""ตรัง!J204"")"),0)</f>
        <v>0</v>
      </c>
      <c r="AO77" s="87">
        <f t="shared" ca="1" si="90"/>
        <v>0</v>
      </c>
      <c r="AP77" s="298">
        <f ca="1">IFERROR(__xludf.DUMMYFUNCTION("IMPORTRANGE(""https://docs.google.com/spreadsheets/d/1v5sN-00LrXuhBxw4dkh2GrG_z4l5oAqOdJRBCsUyMaM/edit?usp=sharing"",""ตรัง!J206"")"),0)</f>
        <v>0</v>
      </c>
      <c r="AQ77" s="298">
        <f ca="1">IFERROR(__xludf.DUMMYFUNCTION("IMPORTRANGE(""https://docs.google.com/spreadsheets/d/1v5sN-00LrXuhBxw4dkh2GrG_z4l5oAqOdJRBCsUyMaM/edit?usp=sharing"",""ตรัง!J207"")"),0)</f>
        <v>0</v>
      </c>
      <c r="AR77" s="86">
        <f ca="1">IFERROR(__xludf.DUMMYFUNCTION("IMPORTRANGE(""https://docs.google.com/spreadsheets/d/1v5sN-00LrXuhBxw4dkh2GrG_z4l5oAqOdJRBCsUyMaM/edit?usp=sharing"",""ตรัง!L210"")"),0)</f>
        <v>0</v>
      </c>
      <c r="AS77" s="86">
        <f ca="1">IFERROR(__xludf.DUMMYFUNCTION("IMPORTRANGE(""https://docs.google.com/spreadsheets/d/1v5sN-00LrXuhBxw4dkh2GrG_z4l5oAqOdJRBCsUyMaM/edit?usp=sharing"",""ตรัง!N210"")"),0)</f>
        <v>0</v>
      </c>
      <c r="AT77" s="87">
        <f t="shared" ca="1" si="91"/>
        <v>0</v>
      </c>
      <c r="AU77" s="86">
        <f ca="1">IFERROR(__xludf.DUMMYFUNCTION("IMPORTRANGE(""https://docs.google.com/spreadsheets/d/1v5sN-00LrXuhBxw4dkh2GrG_z4l5oAqOdJRBCsUyMaM/edit?usp=sharing"",""ตรัง!L211"")"),0)</f>
        <v>0</v>
      </c>
      <c r="AV77" s="86">
        <f ca="1">IFERROR(__xludf.DUMMYFUNCTION("IMPORTRANGE(""https://docs.google.com/spreadsheets/d/1v5sN-00LrXuhBxw4dkh2GrG_z4l5oAqOdJRBCsUyMaM/edit?usp=sharing"",""ตรัง!N211"")"),0)</f>
        <v>0</v>
      </c>
      <c r="AW77" s="87">
        <f t="shared" ca="1" si="92"/>
        <v>0</v>
      </c>
      <c r="AX77" s="86">
        <f ca="1">IFERROR(__xludf.DUMMYFUNCTION("IMPORTRANGE(""https://docs.google.com/spreadsheets/d/1v5sN-00LrXuhBxw4dkh2GrG_z4l5oAqOdJRBCsUyMaM/edit?usp=sharing"",""ตรัง!L212"")"),0)</f>
        <v>0</v>
      </c>
      <c r="AY77" s="86">
        <f ca="1">IFERROR(__xludf.DUMMYFUNCTION("IMPORTRANGE(""https://docs.google.com/spreadsheets/d/1v5sN-00LrXuhBxw4dkh2GrG_z4l5oAqOdJRBCsUyMaM/edit?usp=sharing"",""ตรัง!N212"")"),0)</f>
        <v>0</v>
      </c>
      <c r="AZ77" s="87">
        <f t="shared" ca="1" si="93"/>
        <v>0</v>
      </c>
      <c r="BA77" s="86">
        <f ca="1">IFERROR(__xludf.DUMMYFUNCTION("IMPORTRANGE(""https://docs.google.com/spreadsheets/d/1v5sN-00LrXuhBxw4dkh2GrG_z4l5oAqOdJRBCsUyMaM/edit?usp=sharing"",""ตรัง!I214"")"),0)</f>
        <v>0</v>
      </c>
      <c r="BB77" s="86">
        <f ca="1">IFERROR(__xludf.DUMMYFUNCTION("IMPORTRANGE(""https://docs.google.com/spreadsheets/d/1v5sN-00LrXuhBxw4dkh2GrG_z4l5oAqOdJRBCsUyMaM/edit?usp=sharing"",""ตรัง!J214"")"),0)</f>
        <v>0</v>
      </c>
      <c r="BC77" s="87">
        <f t="shared" ca="1" si="94"/>
        <v>0</v>
      </c>
      <c r="BD77" s="86">
        <f ca="1">IFERROR(__xludf.DUMMYFUNCTION("IMPORTRANGE(""https://docs.google.com/spreadsheets/d/1v5sN-00LrXuhBxw4dkh2GrG_z4l5oAqOdJRBCsUyMaM/edit?usp=sharing"",""ตรัง!I215"")"),0)</f>
        <v>0</v>
      </c>
      <c r="BE77" s="86">
        <f ca="1">IFERROR(__xludf.DUMMYFUNCTION("IMPORTRANGE(""https://docs.google.com/spreadsheets/d/1v5sN-00LrXuhBxw4dkh2GrG_z4l5oAqOdJRBCsUyMaM/edit?usp=sharing"",""ตรัง!J215"")"),0)</f>
        <v>0</v>
      </c>
      <c r="BF77" s="87">
        <f t="shared" ca="1" si="95"/>
        <v>0</v>
      </c>
      <c r="BG77" s="86">
        <f ca="1">IFERROR(__xludf.DUMMYFUNCTION("IMPORTRANGE(""https://docs.google.com/spreadsheets/d/1v5sN-00LrXuhBxw4dkh2GrG_z4l5oAqOdJRBCsUyMaM/edit?usp=sharing"",""ตรัง!L218"")"),3000)</f>
        <v>3000</v>
      </c>
      <c r="BH77" s="86">
        <f ca="1">IFERROR(__xludf.DUMMYFUNCTION("IMPORTRANGE(""https://docs.google.com/spreadsheets/d/1v5sN-00LrXuhBxw4dkh2GrG_z4l5oAqOdJRBCsUyMaM/edit?usp=sharing"",""ตรัง!N218"")"),1100)</f>
        <v>1100</v>
      </c>
      <c r="BI77" s="87">
        <f t="shared" ca="1" si="96"/>
        <v>36.666666666666664</v>
      </c>
      <c r="BJ77" s="86">
        <f ca="1">IFERROR(__xludf.DUMMYFUNCTION("IMPORTRANGE(""https://docs.google.com/spreadsheets/d/1v5sN-00LrXuhBxw4dkh2GrG_z4l5oAqOdJRBCsUyMaM/edit?usp=sharing"",""ตรัง!L219"")"),3500)</f>
        <v>3500</v>
      </c>
      <c r="BK77" s="86">
        <f ca="1">IFERROR(__xludf.DUMMYFUNCTION("IMPORTRANGE(""https://docs.google.com/spreadsheets/d/1v5sN-00LrXuhBxw4dkh2GrG_z4l5oAqOdJRBCsUyMaM/edit?usp=sharing"",""ตรัง!N219"")"),0)</f>
        <v>0</v>
      </c>
      <c r="BL77" s="87">
        <f t="shared" ca="1" si="97"/>
        <v>0</v>
      </c>
      <c r="BM77" s="86">
        <f ca="1">IFERROR(__xludf.DUMMYFUNCTION("IMPORTRANGE(""https://docs.google.com/spreadsheets/d/1v5sN-00LrXuhBxw4dkh2GrG_z4l5oAqOdJRBCsUyMaM/edit?usp=sharing"",""ตรัง!L220"")"),10000)</f>
        <v>10000</v>
      </c>
      <c r="BN77" s="86">
        <f ca="1">IFERROR(__xludf.DUMMYFUNCTION("IMPORTRANGE(""https://docs.google.com/spreadsheets/d/1v5sN-00LrXuhBxw4dkh2GrG_z4l5oAqOdJRBCsUyMaM/edit?usp=sharing"",""ตรัง!N220"")"),0)</f>
        <v>0</v>
      </c>
      <c r="BO77" s="87">
        <f t="shared" ca="1" si="98"/>
        <v>0</v>
      </c>
      <c r="BP77" s="86">
        <f ca="1">IFERROR(__xludf.DUMMYFUNCTION("IMPORTRANGE(""https://docs.google.com/spreadsheets/d/1v5sN-00LrXuhBxw4dkh2GrG_z4l5oAqOdJRBCsUyMaM/edit?usp=sharing"",""ตรัง!I223"")"),10000)</f>
        <v>10000</v>
      </c>
      <c r="BQ77" s="86">
        <f ca="1">IFERROR(__xludf.DUMMYFUNCTION("IMPORTRANGE(""https://docs.google.com/spreadsheets/d/1v5sN-00LrXuhBxw4dkh2GrG_z4l5oAqOdJRBCsUyMaM/edit?usp=sharing"",""ตรัง!J223"")"),0)</f>
        <v>0</v>
      </c>
      <c r="BR77" s="87">
        <f t="shared" ca="1" si="99"/>
        <v>0</v>
      </c>
      <c r="BS77" s="86">
        <f ca="1">IFERROR(__xludf.DUMMYFUNCTION("IMPORTRANGE(""https://docs.google.com/spreadsheets/d/1v5sN-00LrXuhBxw4dkh2GrG_z4l5oAqOdJRBCsUyMaM/edit?usp=sharing"",""ตรัง!I224"")"),10000)</f>
        <v>10000</v>
      </c>
      <c r="BT77" s="86">
        <f ca="1">IFERROR(__xludf.DUMMYFUNCTION("IMPORTRANGE(""https://docs.google.com/spreadsheets/d/1v5sN-00LrXuhBxw4dkh2GrG_z4l5oAqOdJRBCsUyMaM/edit?usp=sharing"",""ตรัง!J224"")"),0)</f>
        <v>0</v>
      </c>
      <c r="BU77" s="87">
        <f t="shared" ca="1" si="100"/>
        <v>0</v>
      </c>
      <c r="BV77" s="86">
        <f ca="1">IFERROR(__xludf.DUMMYFUNCTION("IMPORTRANGE(""https://docs.google.com/spreadsheets/d/1v5sN-00LrXuhBxw4dkh2GrG_z4l5oAqOdJRBCsUyMaM/edit?usp=sharing"",""ตรัง!I225"")"),10)</f>
        <v>10</v>
      </c>
      <c r="BW77" s="86">
        <f ca="1">IFERROR(__xludf.DUMMYFUNCTION("IMPORTRANGE(""https://docs.google.com/spreadsheets/d/1v5sN-00LrXuhBxw4dkh2GrG_z4l5oAqOdJRBCsUyMaM/edit?usp=sharing"",""ตรัง!J225"")"),0)</f>
        <v>0</v>
      </c>
      <c r="BX77" s="87">
        <f t="shared" ca="1" si="101"/>
        <v>0</v>
      </c>
      <c r="BY77" s="86">
        <f ca="1">IFERROR(__xludf.DUMMYFUNCTION("IMPORTRANGE(""https://docs.google.com/spreadsheets/d/1v5sN-00LrXuhBxw4dkh2GrG_z4l5oAqOdJRBCsUyMaM/edit?usp=sharing"",""ตรัง!L228"")"),0)</f>
        <v>0</v>
      </c>
      <c r="BZ77" s="86">
        <f ca="1">IFERROR(__xludf.DUMMYFUNCTION("IMPORTRANGE(""https://docs.google.com/spreadsheets/d/1v5sN-00LrXuhBxw4dkh2GrG_z4l5oAqOdJRBCsUyMaM/edit?usp=sharing"",""ตรัง!N228"")"),0)</f>
        <v>0</v>
      </c>
      <c r="CA77" s="87">
        <f t="shared" ca="1" si="102"/>
        <v>0</v>
      </c>
      <c r="CB77" s="86">
        <f ca="1">IFERROR(__xludf.DUMMYFUNCTION("IMPORTRANGE(""https://docs.google.com/spreadsheets/d/1v5sN-00LrXuhBxw4dkh2GrG_z4l5oAqOdJRBCsUyMaM/edit?usp=sharing"",""ตรัง!L229"")"),0)</f>
        <v>0</v>
      </c>
      <c r="CC77" s="86">
        <f ca="1">IFERROR(__xludf.DUMMYFUNCTION("IMPORTRANGE(""https://docs.google.com/spreadsheets/d/1v5sN-00LrXuhBxw4dkh2GrG_z4l5oAqOdJRBCsUyMaM/edit?usp=sharing"",""ตรัง!N229"")"),0)</f>
        <v>0</v>
      </c>
      <c r="CD77" s="87">
        <f t="shared" ca="1" si="103"/>
        <v>0</v>
      </c>
      <c r="CE77" s="86">
        <f ca="1">IFERROR(__xludf.DUMMYFUNCTION("IMPORTRANGE(""https://docs.google.com/spreadsheets/d/1v5sN-00LrXuhBxw4dkh2GrG_z4l5oAqOdJRBCsUyMaM/edit?usp=sharing"",""ตรัง!L230"")"),0)</f>
        <v>0</v>
      </c>
      <c r="CF77" s="86">
        <f ca="1">IFERROR(__xludf.DUMMYFUNCTION("IMPORTRANGE(""https://docs.google.com/spreadsheets/d/1v5sN-00LrXuhBxw4dkh2GrG_z4l5oAqOdJRBCsUyMaM/edit?usp=sharing"",""ตรัง!N230"")"),0)</f>
        <v>0</v>
      </c>
      <c r="CG77" s="87">
        <f t="shared" ca="1" si="104"/>
        <v>0</v>
      </c>
      <c r="CH77" s="86">
        <f ca="1">IFERROR(__xludf.DUMMYFUNCTION("IMPORTRANGE(""https://docs.google.com/spreadsheets/d/1v5sN-00LrXuhBxw4dkh2GrG_z4l5oAqOdJRBCsUyMaM/edit?usp=sharing"",""ตรัง!L231"")"),0)</f>
        <v>0</v>
      </c>
      <c r="CI77" s="86">
        <f ca="1">IFERROR(__xludf.DUMMYFUNCTION("IMPORTRANGE(""https://docs.google.com/spreadsheets/d/1v5sN-00LrXuhBxw4dkh2GrG_z4l5oAqOdJRBCsUyMaM/edit?usp=sharing"",""ตรัง!N231"")"),0)</f>
        <v>0</v>
      </c>
      <c r="CJ77" s="87">
        <f t="shared" ca="1" si="105"/>
        <v>0</v>
      </c>
      <c r="CK77" s="86">
        <f ca="1">IFERROR(__xludf.DUMMYFUNCTION("IMPORTRANGE(""https://docs.google.com/spreadsheets/d/1v5sN-00LrXuhBxw4dkh2GrG_z4l5oAqOdJRBCsUyMaM/edit?usp=sharing"",""ตรัง!I233"")"),0)</f>
        <v>0</v>
      </c>
      <c r="CL77" s="86">
        <f ca="1">IFERROR(__xludf.DUMMYFUNCTION("IMPORTRANGE(""https://docs.google.com/spreadsheets/d/1v5sN-00LrXuhBxw4dkh2GrG_z4l5oAqOdJRBCsUyMaM/edit?usp=sharing"",""ตรัง!J233"")"),0)</f>
        <v>0</v>
      </c>
      <c r="CM77" s="87">
        <f t="shared" ca="1" si="106"/>
        <v>0</v>
      </c>
      <c r="CN77" s="86">
        <f ca="1">IFERROR(__xludf.DUMMYFUNCTION("IMPORTRANGE(""https://docs.google.com/spreadsheets/d/1v5sN-00LrXuhBxw4dkh2GrG_z4l5oAqOdJRBCsUyMaM/edit?usp=sharing"",""ตรัง!J235"")"),0)</f>
        <v>0</v>
      </c>
      <c r="CO77" s="86">
        <f ca="1">IFERROR(__xludf.DUMMYFUNCTION("IMPORTRANGE(""https://docs.google.com/spreadsheets/d/1v5sN-00LrXuhBxw4dkh2GrG_z4l5oAqOdJRBCsUyMaM/edit?usp=sharing"",""ตรัง!J236"")"),0)</f>
        <v>0</v>
      </c>
    </row>
    <row r="78" spans="1:93" ht="21" customHeight="1" x14ac:dyDescent="0.3">
      <c r="A78" s="78">
        <v>4</v>
      </c>
      <c r="B78" s="79" t="s">
        <v>100</v>
      </c>
      <c r="C78" s="80">
        <f t="shared" ca="1" si="0"/>
        <v>673400</v>
      </c>
      <c r="D78" s="81">
        <f t="shared" ca="1" si="214"/>
        <v>673400</v>
      </c>
      <c r="E78" s="82">
        <f ca="1">IFERROR(__xludf.DUMMYFUNCTION("IMPORTRANGE(""https://docs.google.com/spreadsheets/d/1MeEWN-I1oV_STSDYn1IFDPWt_1FKiwhDph83XaGc0o0/edit?usp=sharing"",""งบพรบ!CP78"")"),283600)</f>
        <v>283600</v>
      </c>
      <c r="F78" s="82">
        <f ca="1">IFERROR(__xludf.DUMMYFUNCTION("IMPORTRANGE(""https://docs.google.com/spreadsheets/d/1MeEWN-I1oV_STSDYn1IFDPWt_1FKiwhDph83XaGc0o0/edit?usp=sharing"",""งบพรบ!CQ78"")"),389800)</f>
        <v>389800</v>
      </c>
      <c r="G78" s="82">
        <f ca="1">IFERROR(__xludf.DUMMYFUNCTION("IMPORTRANGE(""https://docs.google.com/spreadsheets/d/1MeEWN-I1oV_STSDYn1IFDPWt_1FKiwhDph83XaGc0o0/edit?usp=sharing"",""งบพรบ!CR78"")"),0)</f>
        <v>0</v>
      </c>
      <c r="H78" s="82">
        <f ca="1">IFERROR(__xludf.DUMMYFUNCTION("IMPORTRANGE(""https://docs.google.com/spreadsheets/d/1MeEWN-I1oV_STSDYn1IFDPWt_1FKiwhDph83XaGc0o0/edit?usp=sharing"",""งบพรบ!CT78"")"),535500)</f>
        <v>535500</v>
      </c>
      <c r="I78" s="82">
        <f ca="1">IFERROR(__xludf.DUMMYFUNCTION("IMPORTRANGE(""https://docs.google.com/spreadsheets/d/1MeEWN-I1oV_STSDYn1IFDPWt_1FKiwhDph83XaGc0o0/edit?usp=sharing"",""งบพรบ!CU78"")"),0)</f>
        <v>0</v>
      </c>
      <c r="J78" s="82">
        <f t="shared" ca="1" si="3"/>
        <v>167253.01999999999</v>
      </c>
      <c r="K78" s="83">
        <f t="shared" ca="1" si="4"/>
        <v>24.837098307098305</v>
      </c>
      <c r="L78" s="82">
        <f ca="1">IFERROR(__xludf.DUMMYFUNCTION("IMPORTRANGE(""https://docs.google.com/spreadsheets/d/1MeEWN-I1oV_STSDYn1IFDPWt_1FKiwhDph83XaGc0o0/edit?usp=sharing"",""งบพรบ!CV78"")"),167253.02)</f>
        <v>167253.01999999999</v>
      </c>
      <c r="M78" s="84">
        <f t="shared" ca="1" si="5"/>
        <v>24.837098307098305</v>
      </c>
      <c r="N78" s="84">
        <f t="shared" ca="1" si="6"/>
        <v>31.233056956115774</v>
      </c>
      <c r="O78" s="85">
        <f ca="1">IFERROR(__xludf.DUMMYFUNCTION("IMPORTRANGE(""https://docs.google.com/spreadsheets/d/1MeEWN-I1oV_STSDYn1IFDPWt_1FKiwhDph83XaGc0o0/edit?usp=sharing"",""งบพรบ!CW78"")"),0)</f>
        <v>0</v>
      </c>
      <c r="P78" s="85">
        <f t="shared" ca="1" si="108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IFERROR(__xludf.DUMMYFUNCTION("IMPORTRANGE(""https://docs.google.com/spreadsheets/d/1T5rRTzFc79aSIvqnzkZNvwPstq829QYz_xALlO1Z0s8/edit?usp=sharing"",""นครศรีธรรมราช!L191"")"),6000)</f>
        <v>6000</v>
      </c>
      <c r="S78" s="86">
        <f ca="1">IFERROR(__xludf.DUMMYFUNCTION("IMPORTRANGE(""https://docs.google.com/spreadsheets/d/1T5rRTzFc79aSIvqnzkZNvwPstq829QYz_xALlO1Z0s8/edit?usp=sharing"",""นครศรีธรรมราช!N191"")"),860)</f>
        <v>860</v>
      </c>
      <c r="T78" s="87">
        <f t="shared" ca="1" si="84"/>
        <v>14.333333333333334</v>
      </c>
      <c r="U78" s="86">
        <f ca="1">IFERROR(__xludf.DUMMYFUNCTION("IMPORTRANGE(""https://docs.google.com/spreadsheets/d/1T5rRTzFc79aSIvqnzkZNvwPstq829QYz_xALlO1Z0s8/edit?usp=sharing"",""นครศรีธรรมราช!I193"")"),4)</f>
        <v>4</v>
      </c>
      <c r="V78" s="86">
        <f ca="1">IFERROR(__xludf.DUMMYFUNCTION("IMPORTRANGE(""https://docs.google.com/spreadsheets/d/1T5rRTzFc79aSIvqnzkZNvwPstq829QYz_xALlO1Z0s8/edit?usp=sharing"",""นครศรีธรรมราช!J193"")"),1)</f>
        <v>1</v>
      </c>
      <c r="W78" s="87">
        <f t="shared" ca="1" si="85"/>
        <v>25</v>
      </c>
      <c r="X78" s="86">
        <f t="shared" ca="1" si="215"/>
        <v>54</v>
      </c>
      <c r="Y78" s="86">
        <f ca="1">IFERROR(__xludf.DUMMYFUNCTION("IMPORTRANGE(""https://docs.google.com/spreadsheets/d/1T5rRTzFc79aSIvqnzkZNvwPstq829QYz_xALlO1Z0s8/edit?usp=sharing"",""นครศรีธรรมราช!J195"")"),54)</f>
        <v>54</v>
      </c>
      <c r="Z78" s="86">
        <f ca="1">IFERROR(__xludf.DUMMYFUNCTION("IMPORTRANGE(""https://docs.google.com/spreadsheets/d/1T5rRTzFc79aSIvqnzkZNvwPstq829QYz_xALlO1Z0s8/edit?usp=sharing"",""นครศรีธรรมราช!J196"")"),0)</f>
        <v>0</v>
      </c>
      <c r="AA78" s="86">
        <f ca="1">IFERROR(__xludf.DUMMYFUNCTION("IMPORTRANGE(""https://docs.google.com/spreadsheets/d/1T5rRTzFc79aSIvqnzkZNvwPstq829QYz_xALlO1Z0s8/edit?usp=sharing"",""นครศรีธรรมราช!L199"")"),3000)</f>
        <v>3000</v>
      </c>
      <c r="AB78" s="86">
        <f ca="1">IFERROR(__xludf.DUMMYFUNCTION("IMPORTRANGE(""https://docs.google.com/spreadsheets/d/1T5rRTzFc79aSIvqnzkZNvwPstq829QYz_xALlO1Z0s8/edit?usp=sharing"",""นครศรีธรรมราช!N199"")"),1100)</f>
        <v>1100</v>
      </c>
      <c r="AC78" s="87">
        <f t="shared" ca="1" si="86"/>
        <v>36.666666666666664</v>
      </c>
      <c r="AD78" s="86">
        <f ca="1">IFERROR(__xludf.DUMMYFUNCTION("IMPORTRANGE(""https://docs.google.com/spreadsheets/d/1T5rRTzFc79aSIvqnzkZNvwPstq829QYz_xALlO1Z0s8/edit?usp=sharing"",""นครศรีธรรมราช!L200"")"),24000)</f>
        <v>24000</v>
      </c>
      <c r="AE78" s="86">
        <f ca="1">IFERROR(__xludf.DUMMYFUNCTION("IMPORTRANGE(""https://docs.google.com/spreadsheets/d/1T5rRTzFc79aSIvqnzkZNvwPstq829QYz_xALlO1Z0s8/edit?usp=sharing"",""นครศรีธรรมราช!N200"")"),0)</f>
        <v>0</v>
      </c>
      <c r="AF78" s="87">
        <f t="shared" ca="1" si="87"/>
        <v>0</v>
      </c>
      <c r="AG78" s="86">
        <f ca="1">IFERROR(__xludf.DUMMYFUNCTION("IMPORTRANGE(""https://docs.google.com/spreadsheets/d/1T5rRTzFc79aSIvqnzkZNvwPstq829QYz_xALlO1Z0s8/edit?usp=sharing"",""นครศรีธรรมราช!L201"")"),12000)</f>
        <v>12000</v>
      </c>
      <c r="AH78" s="86">
        <f ca="1">IFERROR(__xludf.DUMMYFUNCTION("IMPORTRANGE(""https://docs.google.com/spreadsheets/d/1T5rRTzFc79aSIvqnzkZNvwPstq829QYz_xALlO1Z0s8/edit?usp=sharing"",""นครศรีธรรมราช!N201"")"),0)</f>
        <v>0</v>
      </c>
      <c r="AI78" s="87">
        <f t="shared" ca="1" si="88"/>
        <v>0</v>
      </c>
      <c r="AJ78" s="86">
        <f ca="1">IFERROR(__xludf.DUMMYFUNCTION("IMPORTRANGE(""https://docs.google.com/spreadsheets/d/1T5rRTzFc79aSIvqnzkZNvwPstq829QYz_xALlO1Z0s8/edit?usp=sharing"",""นครศรีธรรมราช!L202"")"),5000)</f>
        <v>5000</v>
      </c>
      <c r="AK78" s="86">
        <f ca="1">IFERROR(__xludf.DUMMYFUNCTION("IMPORTRANGE(""https://docs.google.com/spreadsheets/d/1T5rRTzFc79aSIvqnzkZNvwPstq829QYz_xALlO1Z0s8/edit?usp=sharing"",""นครศรีธรรมราช!N202"")"),0)</f>
        <v>0</v>
      </c>
      <c r="AL78" s="87">
        <f t="shared" ca="1" si="89"/>
        <v>0</v>
      </c>
      <c r="AM78" s="86">
        <f ca="1">IFERROR(__xludf.DUMMYFUNCTION("IMPORTRANGE(""https://docs.google.com/spreadsheets/d/1T5rRTzFc79aSIvqnzkZNvwPstq829QYz_xALlO1Z0s8/edit?usp=sharing"",""นครศรีธรรมราช!I204"")"),3)</f>
        <v>3</v>
      </c>
      <c r="AN78" s="86">
        <f ca="1">IFERROR(__xludf.DUMMYFUNCTION("IMPORTRANGE(""https://docs.google.com/spreadsheets/d/1T5rRTzFc79aSIvqnzkZNvwPstq829QYz_xALlO1Z0s8/edit?usp=sharing"",""นครศรีธรรมราช!J204"")"),0)</f>
        <v>0</v>
      </c>
      <c r="AO78" s="87">
        <f t="shared" ca="1" si="90"/>
        <v>0</v>
      </c>
      <c r="AP78" s="298">
        <f ca="1">IFERROR(__xludf.DUMMYFUNCTION("IMPORTRANGE(""https://docs.google.com/spreadsheets/d/1T5rRTzFc79aSIvqnzkZNvwPstq829QYz_xALlO1Z0s8/edit?usp=sharing"",""นครศรีธรรมราช!J206"")"),0)</f>
        <v>0</v>
      </c>
      <c r="AQ78" s="298">
        <f ca="1">IFERROR(__xludf.DUMMYFUNCTION("IMPORTRANGE(""https://docs.google.com/spreadsheets/d/1T5rRTzFc79aSIvqnzkZNvwPstq829QYz_xALlO1Z0s8/edit?usp=sharing"",""นครศรีธรรมราช!J207"")"),0)</f>
        <v>0</v>
      </c>
      <c r="AR78" s="86">
        <f ca="1">IFERROR(__xludf.DUMMYFUNCTION("IMPORTRANGE(""https://docs.google.com/spreadsheets/d/1T5rRTzFc79aSIvqnzkZNvwPstq829QYz_xALlO1Z0s8/edit?usp=sharing"",""นครศรีธรรมราช!L210"")"),2000)</f>
        <v>2000</v>
      </c>
      <c r="AS78" s="86">
        <f ca="1">IFERROR(__xludf.DUMMYFUNCTION("IMPORTRANGE(""https://docs.google.com/spreadsheets/d/1T5rRTzFc79aSIvqnzkZNvwPstq829QYz_xALlO1Z0s8/edit?usp=sharing"",""นครศรีธรรมราช!N210"")"),0)</f>
        <v>0</v>
      </c>
      <c r="AT78" s="87">
        <f t="shared" ca="1" si="91"/>
        <v>0</v>
      </c>
      <c r="AU78" s="86">
        <f ca="1">IFERROR(__xludf.DUMMYFUNCTION("IMPORTRANGE(""https://docs.google.com/spreadsheets/d/1T5rRTzFc79aSIvqnzkZNvwPstq829QYz_xALlO1Z0s8/edit?usp=sharing"",""นครศรีธรรมราช!L211"")"),10000)</f>
        <v>10000</v>
      </c>
      <c r="AV78" s="86">
        <f ca="1">IFERROR(__xludf.DUMMYFUNCTION("IMPORTRANGE(""https://docs.google.com/spreadsheets/d/1T5rRTzFc79aSIvqnzkZNvwPstq829QYz_xALlO1Z0s8/edit?usp=sharing"",""นครศรีธรรมราช!N211"")"),0)</f>
        <v>0</v>
      </c>
      <c r="AW78" s="87">
        <f t="shared" ca="1" si="92"/>
        <v>0</v>
      </c>
      <c r="AX78" s="86">
        <f ca="1">IFERROR(__xludf.DUMMYFUNCTION("IMPORTRANGE(""https://docs.google.com/spreadsheets/d/1T5rRTzFc79aSIvqnzkZNvwPstq829QYz_xALlO1Z0s8/edit?usp=sharing"",""นครศรีธรรมราช!L212"")"),16000)</f>
        <v>16000</v>
      </c>
      <c r="AY78" s="86">
        <f ca="1">IFERROR(__xludf.DUMMYFUNCTION("IMPORTRANGE(""https://docs.google.com/spreadsheets/d/1T5rRTzFc79aSIvqnzkZNvwPstq829QYz_xALlO1Z0s8/edit?usp=sharing"",""นครศรีธรรมราช!N212"")"),0)</f>
        <v>0</v>
      </c>
      <c r="AZ78" s="87">
        <f t="shared" ca="1" si="93"/>
        <v>0</v>
      </c>
      <c r="BA78" s="86">
        <f ca="1">IFERROR(__xludf.DUMMYFUNCTION("IMPORTRANGE(""https://docs.google.com/spreadsheets/d/1T5rRTzFc79aSIvqnzkZNvwPstq829QYz_xALlO1Z0s8/edit?usp=sharing"",""นครศรีธรรมราช!I214"")"),2)</f>
        <v>2</v>
      </c>
      <c r="BB78" s="86">
        <f ca="1">IFERROR(__xludf.DUMMYFUNCTION("IMPORTRANGE(""https://docs.google.com/spreadsheets/d/1T5rRTzFc79aSIvqnzkZNvwPstq829QYz_xALlO1Z0s8/edit?usp=sharing"",""นครศรีธรรมราช!J214"")"),0)</f>
        <v>0</v>
      </c>
      <c r="BC78" s="87">
        <f t="shared" ca="1" si="94"/>
        <v>0</v>
      </c>
      <c r="BD78" s="86">
        <f ca="1">IFERROR(__xludf.DUMMYFUNCTION("IMPORTRANGE(""https://docs.google.com/spreadsheets/d/1T5rRTzFc79aSIvqnzkZNvwPstq829QYz_xALlO1Z0s8/edit?usp=sharing"",""นครศรีธรรมราช!I215"")"),2)</f>
        <v>2</v>
      </c>
      <c r="BE78" s="86">
        <f ca="1">IFERROR(__xludf.DUMMYFUNCTION("IMPORTRANGE(""https://docs.google.com/spreadsheets/d/1T5rRTzFc79aSIvqnzkZNvwPstq829QYz_xALlO1Z0s8/edit?usp=sharing"",""นครศรีธรรมราช!J215"")"),0)</f>
        <v>0</v>
      </c>
      <c r="BF78" s="87">
        <f t="shared" ca="1" si="95"/>
        <v>0</v>
      </c>
      <c r="BG78" s="86">
        <f ca="1">IFERROR(__xludf.DUMMYFUNCTION("IMPORTRANGE(""https://docs.google.com/spreadsheets/d/1T5rRTzFc79aSIvqnzkZNvwPstq829QYz_xALlO1Z0s8/edit?usp=sharing"",""นครศรีธรรมราช!L218"")"),5000)</f>
        <v>5000</v>
      </c>
      <c r="BH78" s="86">
        <f ca="1">IFERROR(__xludf.DUMMYFUNCTION("IMPORTRANGE(""https://docs.google.com/spreadsheets/d/1T5rRTzFc79aSIvqnzkZNvwPstq829QYz_xALlO1Z0s8/edit?usp=sharing"",""นครศรีธรรมราช!N218"")"),0)</f>
        <v>0</v>
      </c>
      <c r="BI78" s="87">
        <f t="shared" ca="1" si="96"/>
        <v>0</v>
      </c>
      <c r="BJ78" s="86">
        <f ca="1">IFERROR(__xludf.DUMMYFUNCTION("IMPORTRANGE(""https://docs.google.com/spreadsheets/d/1T5rRTzFc79aSIvqnzkZNvwPstq829QYz_xALlO1Z0s8/edit?usp=sharing"",""นครศรีธรรมราช!L219"")"),13500)</f>
        <v>13500</v>
      </c>
      <c r="BK78" s="86">
        <f ca="1">IFERROR(__xludf.DUMMYFUNCTION("IMPORTRANGE(""https://docs.google.com/spreadsheets/d/1T5rRTzFc79aSIvqnzkZNvwPstq829QYz_xALlO1Z0s8/edit?usp=sharing"",""นครศรีธรรมราช!N219"")"),0)</f>
        <v>0</v>
      </c>
      <c r="BL78" s="87">
        <f t="shared" ca="1" si="97"/>
        <v>0</v>
      </c>
      <c r="BM78" s="86">
        <f ca="1">IFERROR(__xludf.DUMMYFUNCTION("IMPORTRANGE(""https://docs.google.com/spreadsheets/d/1T5rRTzFc79aSIvqnzkZNvwPstq829QYz_xALlO1Z0s8/edit?usp=sharing"",""นครศรีธรรมราช!L220"")"),0)</f>
        <v>0</v>
      </c>
      <c r="BN78" s="86">
        <f ca="1">IFERROR(__xludf.DUMMYFUNCTION("IMPORTRANGE(""https://docs.google.com/spreadsheets/d/1T5rRTzFc79aSIvqnzkZNvwPstq829QYz_xALlO1Z0s8/edit?usp=sharing"",""นครศรีธรรมราช!N220"")"),0)</f>
        <v>0</v>
      </c>
      <c r="BO78" s="87">
        <f t="shared" ca="1" si="98"/>
        <v>0</v>
      </c>
      <c r="BP78" s="86">
        <f ca="1">IFERROR(__xludf.DUMMYFUNCTION("IMPORTRANGE(""https://docs.google.com/spreadsheets/d/1T5rRTzFc79aSIvqnzkZNvwPstq829QYz_xALlO1Z0s8/edit?usp=sharing"",""นครศรีธรรมราช!I223"")"),50000)</f>
        <v>50000</v>
      </c>
      <c r="BQ78" s="86">
        <f ca="1">IFERROR(__xludf.DUMMYFUNCTION("IMPORTRANGE(""https://docs.google.com/spreadsheets/d/1T5rRTzFc79aSIvqnzkZNvwPstq829QYz_xALlO1Z0s8/edit?usp=sharing"",""นครศรีธรรมราช!J223"")"),0)</f>
        <v>0</v>
      </c>
      <c r="BR78" s="87">
        <f t="shared" ca="1" si="99"/>
        <v>0</v>
      </c>
      <c r="BS78" s="86">
        <f ca="1">IFERROR(__xludf.DUMMYFUNCTION("IMPORTRANGE(""https://docs.google.com/spreadsheets/d/1T5rRTzFc79aSIvqnzkZNvwPstq829QYz_xALlO1Z0s8/edit?usp=sharing"",""นครศรีธรรมราช!I224"")"),50000)</f>
        <v>50000</v>
      </c>
      <c r="BT78" s="86">
        <f ca="1">IFERROR(__xludf.DUMMYFUNCTION("IMPORTRANGE(""https://docs.google.com/spreadsheets/d/1T5rRTzFc79aSIvqnzkZNvwPstq829QYz_xALlO1Z0s8/edit?usp=sharing"",""นครศรีธรรมราช!J224"")"),0)</f>
        <v>0</v>
      </c>
      <c r="BU78" s="87">
        <f t="shared" ca="1" si="100"/>
        <v>0</v>
      </c>
      <c r="BV78" s="86">
        <f ca="1">IFERROR(__xludf.DUMMYFUNCTION("IMPORTRANGE(""https://docs.google.com/spreadsheets/d/1T5rRTzFc79aSIvqnzkZNvwPstq829QYz_xALlO1Z0s8/edit?usp=sharing"",""นครศรีธรรมราช!I225"")"),0)</f>
        <v>0</v>
      </c>
      <c r="BW78" s="86">
        <f ca="1">IFERROR(__xludf.DUMMYFUNCTION("IMPORTRANGE(""https://docs.google.com/spreadsheets/d/1T5rRTzFc79aSIvqnzkZNvwPstq829QYz_xALlO1Z0s8/edit?usp=sharing"",""นครศรีธรรมราช!J225"")"),0)</f>
        <v>0</v>
      </c>
      <c r="BX78" s="87">
        <f t="shared" ca="1" si="101"/>
        <v>0</v>
      </c>
      <c r="BY78" s="86">
        <f ca="1">IFERROR(__xludf.DUMMYFUNCTION("IMPORTRANGE(""https://docs.google.com/spreadsheets/d/1T5rRTzFc79aSIvqnzkZNvwPstq829QYz_xALlO1Z0s8/edit?usp=sharing"",""นครศรีธรรมราช!L228"")"),165000)</f>
        <v>165000</v>
      </c>
      <c r="BZ78" s="86">
        <f ca="1">IFERROR(__xludf.DUMMYFUNCTION("IMPORTRANGE(""https://docs.google.com/spreadsheets/d/1T5rRTzFc79aSIvqnzkZNvwPstq829QYz_xALlO1Z0s8/edit?usp=sharing"",""นครศรีธรรมราช!N228"")"),62273.33)</f>
        <v>62273.33</v>
      </c>
      <c r="CA78" s="87">
        <f t="shared" ca="1" si="102"/>
        <v>37.741412121212122</v>
      </c>
      <c r="CB78" s="86">
        <f ca="1">IFERROR(__xludf.DUMMYFUNCTION("IMPORTRANGE(""https://docs.google.com/spreadsheets/d/1T5rRTzFc79aSIvqnzkZNvwPstq829QYz_xALlO1Z0s8/edit?usp=sharing"",""นครศรีธรรมราช!L229"")"),88300)</f>
        <v>88300</v>
      </c>
      <c r="CC78" s="86">
        <f ca="1">IFERROR(__xludf.DUMMYFUNCTION("IMPORTRANGE(""https://docs.google.com/spreadsheets/d/1T5rRTzFc79aSIvqnzkZNvwPstq829QYz_xALlO1Z0s8/edit?usp=sharing"",""นครศรีธรรมราช!N229"")"),25662)</f>
        <v>25662</v>
      </c>
      <c r="CD78" s="87">
        <f t="shared" ca="1" si="103"/>
        <v>29.062287655719139</v>
      </c>
      <c r="CE78" s="86">
        <f ca="1">IFERROR(__xludf.DUMMYFUNCTION("IMPORTRANGE(""https://docs.google.com/spreadsheets/d/1T5rRTzFc79aSIvqnzkZNvwPstq829QYz_xALlO1Z0s8/edit?usp=sharing"",""นครศรีธรรมราช!L230"")"),0)</f>
        <v>0</v>
      </c>
      <c r="CF78" s="86">
        <f ca="1">IFERROR(__xludf.DUMMYFUNCTION("IMPORTRANGE(""https://docs.google.com/spreadsheets/d/1T5rRTzFc79aSIvqnzkZNvwPstq829QYz_xALlO1Z0s8/edit?usp=sharing"",""นครศรีธรรมราช!N230"")"),0)</f>
        <v>0</v>
      </c>
      <c r="CG78" s="87">
        <f t="shared" ca="1" si="104"/>
        <v>0</v>
      </c>
      <c r="CH78" s="86">
        <f ca="1">IFERROR(__xludf.DUMMYFUNCTION("IMPORTRANGE(""https://docs.google.com/spreadsheets/d/1T5rRTzFc79aSIvqnzkZNvwPstq829QYz_xALlO1Z0s8/edit?usp=sharing"",""นครศรีธรรมราช!L231"")"),40000)</f>
        <v>40000</v>
      </c>
      <c r="CI78" s="86">
        <f ca="1">IFERROR(__xludf.DUMMYFUNCTION("IMPORTRANGE(""https://docs.google.com/spreadsheets/d/1T5rRTzFc79aSIvqnzkZNvwPstq829QYz_xALlO1Z0s8/edit?usp=sharing"",""นครศรีธรรมราช!N231"")"),0)</f>
        <v>0</v>
      </c>
      <c r="CJ78" s="87">
        <f t="shared" ca="1" si="105"/>
        <v>0</v>
      </c>
      <c r="CK78" s="86">
        <f ca="1">IFERROR(__xludf.DUMMYFUNCTION("IMPORTRANGE(""https://docs.google.com/spreadsheets/d/1T5rRTzFc79aSIvqnzkZNvwPstq829QYz_xALlO1Z0s8/edit?usp=sharing"",""นครศรีธรรมราช!I233"")"),100)</f>
        <v>100</v>
      </c>
      <c r="CL78" s="86">
        <f ca="1">IFERROR(__xludf.DUMMYFUNCTION("IMPORTRANGE(""https://docs.google.com/spreadsheets/d/1T5rRTzFc79aSIvqnzkZNvwPstq829QYz_xALlO1Z0s8/edit?usp=sharing"",""นครศรีธรรมราช!J233"")"),32)</f>
        <v>32</v>
      </c>
      <c r="CM78" s="87">
        <f t="shared" ca="1" si="106"/>
        <v>32</v>
      </c>
      <c r="CN78" s="86">
        <f ca="1">IFERROR(__xludf.DUMMYFUNCTION("IMPORTRANGE(""https://docs.google.com/spreadsheets/d/1T5rRTzFc79aSIvqnzkZNvwPstq829QYz_xALlO1Z0s8/edit?usp=sharing"",""นครศรีธรรมราช!J235"")"),0)</f>
        <v>0</v>
      </c>
      <c r="CO78" s="86">
        <f ca="1">IFERROR(__xludf.DUMMYFUNCTION("IMPORTRANGE(""https://docs.google.com/spreadsheets/d/1T5rRTzFc79aSIvqnzkZNvwPstq829QYz_xALlO1Z0s8/edit?usp=sharing"",""นครศรีธรรมราช!J236"")"),0)</f>
        <v>0</v>
      </c>
    </row>
    <row r="79" spans="1:93" ht="21" customHeight="1" x14ac:dyDescent="0.3">
      <c r="A79" s="78">
        <v>5</v>
      </c>
      <c r="B79" s="79" t="s">
        <v>101</v>
      </c>
      <c r="C79" s="80">
        <f t="shared" ca="1" si="0"/>
        <v>281000</v>
      </c>
      <c r="D79" s="81">
        <f t="shared" ca="1" si="214"/>
        <v>281000</v>
      </c>
      <c r="E79" s="82">
        <f ca="1">IFERROR(__xludf.DUMMYFUNCTION("IMPORTRANGE(""https://docs.google.com/spreadsheets/d/1MeEWN-I1oV_STSDYn1IFDPWt_1FKiwhDph83XaGc0o0/edit?usp=sharing"",""งบพรบ!CP79"")"),268500)</f>
        <v>268500</v>
      </c>
      <c r="F79" s="82">
        <f ca="1">IFERROR(__xludf.DUMMYFUNCTION("IMPORTRANGE(""https://docs.google.com/spreadsheets/d/1MeEWN-I1oV_STSDYn1IFDPWt_1FKiwhDph83XaGc0o0/edit?usp=sharing"",""งบพรบ!CQ79"")"),12500)</f>
        <v>12500</v>
      </c>
      <c r="G79" s="82">
        <f ca="1">IFERROR(__xludf.DUMMYFUNCTION("IMPORTRANGE(""https://docs.google.com/spreadsheets/d/1MeEWN-I1oV_STSDYn1IFDPWt_1FKiwhDph83XaGc0o0/edit?usp=sharing"",""งบพรบ!CR79"")"),0)</f>
        <v>0</v>
      </c>
      <c r="H79" s="82">
        <f ca="1">IFERROR(__xludf.DUMMYFUNCTION("IMPORTRANGE(""https://docs.google.com/spreadsheets/d/1MeEWN-I1oV_STSDYn1IFDPWt_1FKiwhDph83XaGc0o0/edit?usp=sharing"",""งบพรบ!CT79"")"),208875)</f>
        <v>208875</v>
      </c>
      <c r="I79" s="82">
        <f ca="1">IFERROR(__xludf.DUMMYFUNCTION("IMPORTRANGE(""https://docs.google.com/spreadsheets/d/1MeEWN-I1oV_STSDYn1IFDPWt_1FKiwhDph83XaGc0o0/edit?usp=sharing"",""งบพรบ!CU79"")"),0)</f>
        <v>0</v>
      </c>
      <c r="J79" s="82">
        <f t="shared" ca="1" si="3"/>
        <v>91643.79</v>
      </c>
      <c r="K79" s="83">
        <f t="shared" ca="1" si="4"/>
        <v>32.613448398576516</v>
      </c>
      <c r="L79" s="82">
        <f ca="1">IFERROR(__xludf.DUMMYFUNCTION("IMPORTRANGE(""https://docs.google.com/spreadsheets/d/1MeEWN-I1oV_STSDYn1IFDPWt_1FKiwhDph83XaGc0o0/edit?usp=sharing"",""งบพรบ!CV79"")"),91643.79)</f>
        <v>91643.79</v>
      </c>
      <c r="M79" s="84">
        <f t="shared" ca="1" si="5"/>
        <v>32.613448398576516</v>
      </c>
      <c r="N79" s="84">
        <f t="shared" ca="1" si="6"/>
        <v>43.874944344703771</v>
      </c>
      <c r="O79" s="85">
        <f ca="1">IFERROR(__xludf.DUMMYFUNCTION("IMPORTRANGE(""https://docs.google.com/spreadsheets/d/1MeEWN-I1oV_STSDYn1IFDPWt_1FKiwhDph83XaGc0o0/edit?usp=sharing"",""งบพรบ!CW79"")"),0)</f>
        <v>0</v>
      </c>
      <c r="P79" s="85">
        <f t="shared" ca="1" si="108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IFERROR(__xludf.DUMMYFUNCTION("IMPORTRANGE(""https://docs.google.com/spreadsheets/d/1BeghqumK0IvCmRd2QOy6_afsZq7ZtAGrSnVJy2u7WmY/edit?usp=sharing"",""นราธิวาส!L191"")"),6000)</f>
        <v>6000</v>
      </c>
      <c r="S79" s="86">
        <f ca="1">IFERROR(__xludf.DUMMYFUNCTION("IMPORTRANGE(""https://docs.google.com/spreadsheets/d/1BeghqumK0IvCmRd2QOy6_afsZq7ZtAGrSnVJy2u7WmY/edit?usp=sharing"",""นราธิวาส!N191"")"),2400)</f>
        <v>2400</v>
      </c>
      <c r="T79" s="87">
        <f t="shared" ca="1" si="84"/>
        <v>40</v>
      </c>
      <c r="U79" s="86">
        <f ca="1">IFERROR(__xludf.DUMMYFUNCTION("IMPORTRANGE(""https://docs.google.com/spreadsheets/d/1BeghqumK0IvCmRd2QOy6_afsZq7ZtAGrSnVJy2u7WmY/edit?usp=sharing"",""นราธิวาส!I193"")"),4)</f>
        <v>4</v>
      </c>
      <c r="V79" s="86">
        <f ca="1">IFERROR(__xludf.DUMMYFUNCTION("IMPORTRANGE(""https://docs.google.com/spreadsheets/d/1BeghqumK0IvCmRd2QOy6_afsZq7ZtAGrSnVJy2u7WmY/edit?usp=sharing"",""นราธิวาส!J193"")"),1)</f>
        <v>1</v>
      </c>
      <c r="W79" s="87">
        <f t="shared" ca="1" si="85"/>
        <v>25</v>
      </c>
      <c r="X79" s="86">
        <f t="shared" ca="1" si="215"/>
        <v>39</v>
      </c>
      <c r="Y79" s="86">
        <f ca="1">IFERROR(__xludf.DUMMYFUNCTION("IMPORTRANGE(""https://docs.google.com/spreadsheets/d/1BeghqumK0IvCmRd2QOy6_afsZq7ZtAGrSnVJy2u7WmY/edit?usp=sharing"",""นราธิวาส!J195"")"),39)</f>
        <v>39</v>
      </c>
      <c r="Z79" s="86">
        <f ca="1">IFERROR(__xludf.DUMMYFUNCTION("IMPORTRANGE(""https://docs.google.com/spreadsheets/d/1BeghqumK0IvCmRd2QOy6_afsZq7ZtAGrSnVJy2u7WmY/edit?usp=sharing"",""นราธิวาส!J196"")"),0)</f>
        <v>0</v>
      </c>
      <c r="AA79" s="86">
        <f ca="1">IFERROR(__xludf.DUMMYFUNCTION("IMPORTRANGE(""https://docs.google.com/spreadsheets/d/1BeghqumK0IvCmRd2QOy6_afsZq7ZtAGrSnVJy2u7WmY/edit?usp=sharing"",""นราธิวาส!L199"")"),0)</f>
        <v>0</v>
      </c>
      <c r="AB79" s="86">
        <f ca="1">IFERROR(__xludf.DUMMYFUNCTION("IMPORTRANGE(""https://docs.google.com/spreadsheets/d/1BeghqumK0IvCmRd2QOy6_afsZq7ZtAGrSnVJy2u7WmY/edit?usp=sharing"",""นราธิวาส!N199"")"),0)</f>
        <v>0</v>
      </c>
      <c r="AC79" s="87">
        <f t="shared" ca="1" si="86"/>
        <v>0</v>
      </c>
      <c r="AD79" s="86">
        <f ca="1">IFERROR(__xludf.DUMMYFUNCTION("IMPORTRANGE(""https://docs.google.com/spreadsheets/d/1BeghqumK0IvCmRd2QOy6_afsZq7ZtAGrSnVJy2u7WmY/edit?usp=sharing"",""นราธิวาส!L200"")"),0)</f>
        <v>0</v>
      </c>
      <c r="AE79" s="86">
        <f ca="1">IFERROR(__xludf.DUMMYFUNCTION("IMPORTRANGE(""https://docs.google.com/spreadsheets/d/1BeghqumK0IvCmRd2QOy6_afsZq7ZtAGrSnVJy2u7WmY/edit?usp=sharing"",""นราธิวาส!N200"")"),0)</f>
        <v>0</v>
      </c>
      <c r="AF79" s="87">
        <f t="shared" ca="1" si="87"/>
        <v>0</v>
      </c>
      <c r="AG79" s="86">
        <f ca="1">IFERROR(__xludf.DUMMYFUNCTION("IMPORTRANGE(""https://docs.google.com/spreadsheets/d/1BeghqumK0IvCmRd2QOy6_afsZq7ZtAGrSnVJy2u7WmY/edit?usp=sharing"",""นราธิวาส!L201"")"),0)</f>
        <v>0</v>
      </c>
      <c r="AH79" s="86">
        <f ca="1">IFERROR(__xludf.DUMMYFUNCTION("IMPORTRANGE(""https://docs.google.com/spreadsheets/d/1BeghqumK0IvCmRd2QOy6_afsZq7ZtAGrSnVJy2u7WmY/edit?usp=sharing"",""นราธิวาส!N201"")"),0)</f>
        <v>0</v>
      </c>
      <c r="AI79" s="87">
        <f t="shared" ca="1" si="88"/>
        <v>0</v>
      </c>
      <c r="AJ79" s="86">
        <f ca="1">IFERROR(__xludf.DUMMYFUNCTION("IMPORTRANGE(""https://docs.google.com/spreadsheets/d/1BeghqumK0IvCmRd2QOy6_afsZq7ZtAGrSnVJy2u7WmY/edit?usp=sharing"",""นราธิวาส!L202"")"),0)</f>
        <v>0</v>
      </c>
      <c r="AK79" s="86">
        <f ca="1">IFERROR(__xludf.DUMMYFUNCTION("IMPORTRANGE(""https://docs.google.com/spreadsheets/d/1BeghqumK0IvCmRd2QOy6_afsZq7ZtAGrSnVJy2u7WmY/edit?usp=sharing"",""นราธิวาส!N202"")"),0)</f>
        <v>0</v>
      </c>
      <c r="AL79" s="87">
        <f t="shared" ca="1" si="89"/>
        <v>0</v>
      </c>
      <c r="AM79" s="86">
        <f ca="1">IFERROR(__xludf.DUMMYFUNCTION("IMPORTRANGE(""https://docs.google.com/spreadsheets/d/1BeghqumK0IvCmRd2QOy6_afsZq7ZtAGrSnVJy2u7WmY/edit?usp=sharing"",""นราธิวาส!I204"")"),0)</f>
        <v>0</v>
      </c>
      <c r="AN79" s="86">
        <f ca="1">IFERROR(__xludf.DUMMYFUNCTION("IMPORTRANGE(""https://docs.google.com/spreadsheets/d/1BeghqumK0IvCmRd2QOy6_afsZq7ZtAGrSnVJy2u7WmY/edit?usp=sharing"",""นราธิวาส!J204"")"),0)</f>
        <v>0</v>
      </c>
      <c r="AO79" s="87">
        <f t="shared" ca="1" si="90"/>
        <v>0</v>
      </c>
      <c r="AP79" s="298">
        <f ca="1">IFERROR(__xludf.DUMMYFUNCTION("IMPORTRANGE(""https://docs.google.com/spreadsheets/d/1BeghqumK0IvCmRd2QOy6_afsZq7ZtAGrSnVJy2u7WmY/edit?usp=sharing"",""นราธิวาส!J206"")"),0)</f>
        <v>0</v>
      </c>
      <c r="AQ79" s="298">
        <f ca="1">IFERROR(__xludf.DUMMYFUNCTION("IMPORTRANGE(""https://docs.google.com/spreadsheets/d/1BeghqumK0IvCmRd2QOy6_afsZq7ZtAGrSnVJy2u7WmY/edit?usp=sharing"",""นราธิวาส!J207"")"),0)</f>
        <v>0</v>
      </c>
      <c r="AR79" s="86">
        <f ca="1">IFERROR(__xludf.DUMMYFUNCTION("IMPORTRANGE(""https://docs.google.com/spreadsheets/d/1BeghqumK0IvCmRd2QOy6_afsZq7ZtAGrSnVJy2u7WmY/edit?usp=sharing"",""นราธิวาส!L210"")"),0)</f>
        <v>0</v>
      </c>
      <c r="AS79" s="86">
        <f ca="1">IFERROR(__xludf.DUMMYFUNCTION("IMPORTRANGE(""https://docs.google.com/spreadsheets/d/1BeghqumK0IvCmRd2QOy6_afsZq7ZtAGrSnVJy2u7WmY/edit?usp=sharing"",""นราธิวาส!N210"")"),0)</f>
        <v>0</v>
      </c>
      <c r="AT79" s="87">
        <f t="shared" ca="1" si="91"/>
        <v>0</v>
      </c>
      <c r="AU79" s="86">
        <f ca="1">IFERROR(__xludf.DUMMYFUNCTION("IMPORTRANGE(""https://docs.google.com/spreadsheets/d/1BeghqumK0IvCmRd2QOy6_afsZq7ZtAGrSnVJy2u7WmY/edit?usp=sharing"",""นราธิวาส!L211"")"),0)</f>
        <v>0</v>
      </c>
      <c r="AV79" s="86">
        <f ca="1">IFERROR(__xludf.DUMMYFUNCTION("IMPORTRANGE(""https://docs.google.com/spreadsheets/d/1BeghqumK0IvCmRd2QOy6_afsZq7ZtAGrSnVJy2u7WmY/edit?usp=sharing"",""นราธิวาส!N211"")"),0)</f>
        <v>0</v>
      </c>
      <c r="AW79" s="87">
        <f t="shared" ca="1" si="92"/>
        <v>0</v>
      </c>
      <c r="AX79" s="86">
        <f ca="1">IFERROR(__xludf.DUMMYFUNCTION("IMPORTRANGE(""https://docs.google.com/spreadsheets/d/1BeghqumK0IvCmRd2QOy6_afsZq7ZtAGrSnVJy2u7WmY/edit?usp=sharing"",""นราธิวาส!L212"")"),0)</f>
        <v>0</v>
      </c>
      <c r="AY79" s="86">
        <f ca="1">IFERROR(__xludf.DUMMYFUNCTION("IMPORTRANGE(""https://docs.google.com/spreadsheets/d/1BeghqumK0IvCmRd2QOy6_afsZq7ZtAGrSnVJy2u7WmY/edit?usp=sharing"",""นราธิวาส!N212"")"),0)</f>
        <v>0</v>
      </c>
      <c r="AZ79" s="87">
        <f t="shared" ca="1" si="93"/>
        <v>0</v>
      </c>
      <c r="BA79" s="86">
        <f ca="1">IFERROR(__xludf.DUMMYFUNCTION("IMPORTRANGE(""https://docs.google.com/spreadsheets/d/1BeghqumK0IvCmRd2QOy6_afsZq7ZtAGrSnVJy2u7WmY/edit?usp=sharing"",""นราธิวาส!I214"")"),0)</f>
        <v>0</v>
      </c>
      <c r="BB79" s="86">
        <f ca="1">IFERROR(__xludf.DUMMYFUNCTION("IMPORTRANGE(""https://docs.google.com/spreadsheets/d/1BeghqumK0IvCmRd2QOy6_afsZq7ZtAGrSnVJy2u7WmY/edit?usp=sharing"",""นราธิวาส!J214"")"),0)</f>
        <v>0</v>
      </c>
      <c r="BC79" s="87">
        <f t="shared" ca="1" si="94"/>
        <v>0</v>
      </c>
      <c r="BD79" s="86">
        <f ca="1">IFERROR(__xludf.DUMMYFUNCTION("IMPORTRANGE(""https://docs.google.com/spreadsheets/d/1BeghqumK0IvCmRd2QOy6_afsZq7ZtAGrSnVJy2u7WmY/edit?usp=sharing"",""นราธิวาส!I215"")"),0)</f>
        <v>0</v>
      </c>
      <c r="BE79" s="86">
        <f ca="1">IFERROR(__xludf.DUMMYFUNCTION("IMPORTRANGE(""https://docs.google.com/spreadsheets/d/1BeghqumK0IvCmRd2QOy6_afsZq7ZtAGrSnVJy2u7WmY/edit?usp=sharing"",""นราธิวาส!J215"")"),0)</f>
        <v>0</v>
      </c>
      <c r="BF79" s="87">
        <f t="shared" ca="1" si="95"/>
        <v>0</v>
      </c>
      <c r="BG79" s="86">
        <f ca="1">IFERROR(__xludf.DUMMYFUNCTION("IMPORTRANGE(""https://docs.google.com/spreadsheets/d/1BeghqumK0IvCmRd2QOy6_afsZq7ZtAGrSnVJy2u7WmY/edit?usp=sharing"",""นราธิวาส!L218"")"),3000)</f>
        <v>3000</v>
      </c>
      <c r="BH79" s="86" t="str">
        <f ca="1">IFERROR(__xludf.DUMMYFUNCTION("IMPORTRANGE(""https://docs.google.com/spreadsheets/d/1BeghqumK0IvCmRd2QOy6_afsZq7ZtAGrSnVJy2u7WmY/edit?usp=sharing"",""นราธิวาส!N218"")"),"")</f>
        <v/>
      </c>
      <c r="BI79" s="87" t="e">
        <f t="shared" ca="1" si="96"/>
        <v>#VALUE!</v>
      </c>
      <c r="BJ79" s="86">
        <f ca="1">IFERROR(__xludf.DUMMYFUNCTION("IMPORTRANGE(""https://docs.google.com/spreadsheets/d/1BeghqumK0IvCmRd2QOy6_afsZq7ZtAGrSnVJy2u7WmY/edit?usp=sharing"",""นราธิวาส!L219"")"),3500)</f>
        <v>3500</v>
      </c>
      <c r="BK79" s="86">
        <f ca="1">IFERROR(__xludf.DUMMYFUNCTION("IMPORTRANGE(""https://docs.google.com/spreadsheets/d/1BeghqumK0IvCmRd2QOy6_afsZq7ZtAGrSnVJy2u7WmY/edit?usp=sharing"",""นราธิวาส!N219"")"),0)</f>
        <v>0</v>
      </c>
      <c r="BL79" s="87">
        <f t="shared" ca="1" si="97"/>
        <v>0</v>
      </c>
      <c r="BM79" s="86">
        <f ca="1">IFERROR(__xludf.DUMMYFUNCTION("IMPORTRANGE(""https://docs.google.com/spreadsheets/d/1BeghqumK0IvCmRd2QOy6_afsZq7ZtAGrSnVJy2u7WmY/edit?usp=sharing"",""นราธิวาส!L220"")"),0)</f>
        <v>0</v>
      </c>
      <c r="BN79" s="86">
        <f ca="1">IFERROR(__xludf.DUMMYFUNCTION("IMPORTRANGE(""https://docs.google.com/spreadsheets/d/1BeghqumK0IvCmRd2QOy6_afsZq7ZtAGrSnVJy2u7WmY/edit?usp=sharing"",""นราธิวาส!N220"")"),0)</f>
        <v>0</v>
      </c>
      <c r="BO79" s="87">
        <f t="shared" ca="1" si="98"/>
        <v>0</v>
      </c>
      <c r="BP79" s="86">
        <f ca="1">IFERROR(__xludf.DUMMYFUNCTION("IMPORTRANGE(""https://docs.google.com/spreadsheets/d/1BeghqumK0IvCmRd2QOy6_afsZq7ZtAGrSnVJy2u7WmY/edit?usp=sharing"",""นราธิวาส!I223"")"),10000)</f>
        <v>10000</v>
      </c>
      <c r="BQ79" s="86">
        <f ca="1">IFERROR(__xludf.DUMMYFUNCTION("IMPORTRANGE(""https://docs.google.com/spreadsheets/d/1BeghqumK0IvCmRd2QOy6_afsZq7ZtAGrSnVJy2u7WmY/edit?usp=sharing"",""นราธิวาส!J223"")"),0)</f>
        <v>0</v>
      </c>
      <c r="BR79" s="87">
        <f t="shared" ca="1" si="99"/>
        <v>0</v>
      </c>
      <c r="BS79" s="86">
        <f ca="1">IFERROR(__xludf.DUMMYFUNCTION("IMPORTRANGE(""https://docs.google.com/spreadsheets/d/1BeghqumK0IvCmRd2QOy6_afsZq7ZtAGrSnVJy2u7WmY/edit?usp=sharing"",""นราธิวาส!I224"")"),10000)</f>
        <v>10000</v>
      </c>
      <c r="BT79" s="86">
        <f ca="1">IFERROR(__xludf.DUMMYFUNCTION("IMPORTRANGE(""https://docs.google.com/spreadsheets/d/1BeghqumK0IvCmRd2QOy6_afsZq7ZtAGrSnVJy2u7WmY/edit?usp=sharing"",""นราธิวาส!J224"")"),0)</f>
        <v>0</v>
      </c>
      <c r="BU79" s="87">
        <f t="shared" ca="1" si="100"/>
        <v>0</v>
      </c>
      <c r="BV79" s="86">
        <f ca="1">IFERROR(__xludf.DUMMYFUNCTION("IMPORTRANGE(""https://docs.google.com/spreadsheets/d/1BeghqumK0IvCmRd2QOy6_afsZq7ZtAGrSnVJy2u7WmY/edit?usp=sharing"",""นราธิวาส!I225"")"),0)</f>
        <v>0</v>
      </c>
      <c r="BW79" s="86">
        <f ca="1">IFERROR(__xludf.DUMMYFUNCTION("IMPORTRANGE(""https://docs.google.com/spreadsheets/d/1BeghqumK0IvCmRd2QOy6_afsZq7ZtAGrSnVJy2u7WmY/edit?usp=sharing"",""นราธิวาส!J225"")"),0)</f>
        <v>0</v>
      </c>
      <c r="BX79" s="87">
        <f t="shared" ca="1" si="101"/>
        <v>0</v>
      </c>
      <c r="BY79" s="86">
        <f ca="1">IFERROR(__xludf.DUMMYFUNCTION("IMPORTRANGE(""https://docs.google.com/spreadsheets/d/1BeghqumK0IvCmRd2QOy6_afsZq7ZtAGrSnVJy2u7WmY/edit?usp=sharing"",""นราธิวาส!L228"")"),0)</f>
        <v>0</v>
      </c>
      <c r="BZ79" s="86">
        <f ca="1">IFERROR(__xludf.DUMMYFUNCTION("IMPORTRANGE(""https://docs.google.com/spreadsheets/d/1BeghqumK0IvCmRd2QOy6_afsZq7ZtAGrSnVJy2u7WmY/edit?usp=sharing"",""นราธิวาส!N228"")"),0)</f>
        <v>0</v>
      </c>
      <c r="CA79" s="87">
        <f t="shared" ca="1" si="102"/>
        <v>0</v>
      </c>
      <c r="CB79" s="86">
        <f ca="1">IFERROR(__xludf.DUMMYFUNCTION("IMPORTRANGE(""https://docs.google.com/spreadsheets/d/1BeghqumK0IvCmRd2QOy6_afsZq7ZtAGrSnVJy2u7WmY/edit?usp=sharing"",""นราธิวาส!L229"")"),0)</f>
        <v>0</v>
      </c>
      <c r="CC79" s="86">
        <f ca="1">IFERROR(__xludf.DUMMYFUNCTION("IMPORTRANGE(""https://docs.google.com/spreadsheets/d/1BeghqumK0IvCmRd2QOy6_afsZq7ZtAGrSnVJy2u7WmY/edit?usp=sharing"",""นราธิวาส!N229"")"),0)</f>
        <v>0</v>
      </c>
      <c r="CD79" s="87">
        <f t="shared" ca="1" si="103"/>
        <v>0</v>
      </c>
      <c r="CE79" s="86">
        <f ca="1">IFERROR(__xludf.DUMMYFUNCTION("IMPORTRANGE(""https://docs.google.com/spreadsheets/d/1BeghqumK0IvCmRd2QOy6_afsZq7ZtAGrSnVJy2u7WmY/edit?usp=sharing"",""นราธิวาส!L230"")"),0)</f>
        <v>0</v>
      </c>
      <c r="CF79" s="86">
        <f ca="1">IFERROR(__xludf.DUMMYFUNCTION("IMPORTRANGE(""https://docs.google.com/spreadsheets/d/1BeghqumK0IvCmRd2QOy6_afsZq7ZtAGrSnVJy2u7WmY/edit?usp=sharing"",""นราธิวาส!N230"")"),0)</f>
        <v>0</v>
      </c>
      <c r="CG79" s="87">
        <f t="shared" ca="1" si="104"/>
        <v>0</v>
      </c>
      <c r="CH79" s="86">
        <f ca="1">IFERROR(__xludf.DUMMYFUNCTION("IMPORTRANGE(""https://docs.google.com/spreadsheets/d/1BeghqumK0IvCmRd2QOy6_afsZq7ZtAGrSnVJy2u7WmY/edit?usp=sharing"",""นราธิวาส!L231"")"),0)</f>
        <v>0</v>
      </c>
      <c r="CI79" s="86">
        <f ca="1">IFERROR(__xludf.DUMMYFUNCTION("IMPORTRANGE(""https://docs.google.com/spreadsheets/d/1BeghqumK0IvCmRd2QOy6_afsZq7ZtAGrSnVJy2u7WmY/edit?usp=sharing"",""นราธิวาส!N231"")"),0)</f>
        <v>0</v>
      </c>
      <c r="CJ79" s="87">
        <f t="shared" ca="1" si="105"/>
        <v>0</v>
      </c>
      <c r="CK79" s="86">
        <f ca="1">IFERROR(__xludf.DUMMYFUNCTION("IMPORTRANGE(""https://docs.google.com/spreadsheets/d/1BeghqumK0IvCmRd2QOy6_afsZq7ZtAGrSnVJy2u7WmY/edit?usp=sharing"",""นราธิวาส!I233"")"),0)</f>
        <v>0</v>
      </c>
      <c r="CL79" s="86">
        <f ca="1">IFERROR(__xludf.DUMMYFUNCTION("IMPORTRANGE(""https://docs.google.com/spreadsheets/d/1BeghqumK0IvCmRd2QOy6_afsZq7ZtAGrSnVJy2u7WmY/edit?usp=sharing"",""นราธิวาส!J233"")"),0)</f>
        <v>0</v>
      </c>
      <c r="CM79" s="87">
        <f t="shared" ca="1" si="106"/>
        <v>0</v>
      </c>
      <c r="CN79" s="86">
        <f ca="1">IFERROR(__xludf.DUMMYFUNCTION("IMPORTRANGE(""https://docs.google.com/spreadsheets/d/1BeghqumK0IvCmRd2QOy6_afsZq7ZtAGrSnVJy2u7WmY/edit?usp=sharing"",""นราธิวาส!J235"")"),0)</f>
        <v>0</v>
      </c>
      <c r="CO79" s="86">
        <f ca="1">IFERROR(__xludf.DUMMYFUNCTION("IMPORTRANGE(""https://docs.google.com/spreadsheets/d/1BeghqumK0IvCmRd2QOy6_afsZq7ZtAGrSnVJy2u7WmY/edit?usp=sharing"",""นราธิวาส!J236"")"),0)</f>
        <v>0</v>
      </c>
    </row>
    <row r="80" spans="1:93" ht="21" customHeight="1" x14ac:dyDescent="0.3">
      <c r="A80" s="78">
        <v>6</v>
      </c>
      <c r="B80" s="79" t="s">
        <v>102</v>
      </c>
      <c r="C80" s="80">
        <f t="shared" ca="1" si="0"/>
        <v>208400</v>
      </c>
      <c r="D80" s="81">
        <f t="shared" ca="1" si="214"/>
        <v>208400</v>
      </c>
      <c r="E80" s="82">
        <f ca="1">IFERROR(__xludf.DUMMYFUNCTION("IMPORTRANGE(""https://docs.google.com/spreadsheets/d/1MeEWN-I1oV_STSDYn1IFDPWt_1FKiwhDph83XaGc0o0/edit?usp=sharing"",""งบพรบ!CP80"")"),159300)</f>
        <v>159300</v>
      </c>
      <c r="F80" s="82">
        <f ca="1">IFERROR(__xludf.DUMMYFUNCTION("IMPORTRANGE(""https://docs.google.com/spreadsheets/d/1MeEWN-I1oV_STSDYn1IFDPWt_1FKiwhDph83XaGc0o0/edit?usp=sharing"",""งบพรบ!CQ80"")"),49100)</f>
        <v>49100</v>
      </c>
      <c r="G80" s="82">
        <f ca="1">IFERROR(__xludf.DUMMYFUNCTION("IMPORTRANGE(""https://docs.google.com/spreadsheets/d/1MeEWN-I1oV_STSDYn1IFDPWt_1FKiwhDph83XaGc0o0/edit?usp=sharing"",""งบพรบ!CR80"")"),0)</f>
        <v>0</v>
      </c>
      <c r="H80" s="82">
        <f ca="1">IFERROR(__xludf.DUMMYFUNCTION("IMPORTRANGE(""https://docs.google.com/spreadsheets/d/1MeEWN-I1oV_STSDYn1IFDPWt_1FKiwhDph83XaGc0o0/edit?usp=sharing"",""งบพรบ!CT80"")"),162975)</f>
        <v>162975</v>
      </c>
      <c r="I80" s="82">
        <f ca="1">IFERROR(__xludf.DUMMYFUNCTION("IMPORTRANGE(""https://docs.google.com/spreadsheets/d/1MeEWN-I1oV_STSDYn1IFDPWt_1FKiwhDph83XaGc0o0/edit?usp=sharing"",""งบพรบ!CU80"")"),0)</f>
        <v>0</v>
      </c>
      <c r="J80" s="82">
        <f t="shared" ca="1" si="3"/>
        <v>145850.79</v>
      </c>
      <c r="K80" s="83">
        <f t="shared" ca="1" si="4"/>
        <v>69.985983685220731</v>
      </c>
      <c r="L80" s="82">
        <f ca="1">IFERROR(__xludf.DUMMYFUNCTION("IMPORTRANGE(""https://docs.google.com/spreadsheets/d/1MeEWN-I1oV_STSDYn1IFDPWt_1FKiwhDph83XaGc0o0/edit?usp=sharing"",""งบพรบ!CV80"")"),145850.79)</f>
        <v>145850.79</v>
      </c>
      <c r="M80" s="84">
        <f t="shared" ca="1" si="5"/>
        <v>69.985983685220731</v>
      </c>
      <c r="N80" s="84">
        <f t="shared" ca="1" si="6"/>
        <v>89.492738150023015</v>
      </c>
      <c r="O80" s="85">
        <f ca="1">IFERROR(__xludf.DUMMYFUNCTION("IMPORTRANGE(""https://docs.google.com/spreadsheets/d/1MeEWN-I1oV_STSDYn1IFDPWt_1FKiwhDph83XaGc0o0/edit?usp=sharing"",""งบพรบ!CW80"")"),0)</f>
        <v>0</v>
      </c>
      <c r="P80" s="85">
        <f t="shared" ca="1" si="108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IFERROR(__xludf.DUMMYFUNCTION("IMPORTRANGE(""https://docs.google.com/spreadsheets/d/1IwnW3-jjRf74MCLW-6PiFwMUffRQXZwZA7YM609NmRc/edit?usp=sharing"",""ปัตตานี!L191"")"),6000)</f>
        <v>6000</v>
      </c>
      <c r="S80" s="86">
        <f ca="1">IFERROR(__xludf.DUMMYFUNCTION("IMPORTRANGE(""https://docs.google.com/spreadsheets/d/1IwnW3-jjRf74MCLW-6PiFwMUffRQXZwZA7YM609NmRc/edit?usp=sharing"",""ปัตตานี!N191"")"),3000)</f>
        <v>3000</v>
      </c>
      <c r="T80" s="87">
        <f t="shared" ca="1" si="84"/>
        <v>50</v>
      </c>
      <c r="U80" s="86">
        <f ca="1">IFERROR(__xludf.DUMMYFUNCTION("IMPORTRANGE(""https://docs.google.com/spreadsheets/d/1IwnW3-jjRf74MCLW-6PiFwMUffRQXZwZA7YM609NmRc/edit?usp=sharing"",""ปัตตานี!I193"")"),4)</f>
        <v>4</v>
      </c>
      <c r="V80" s="86">
        <f ca="1">IFERROR(__xludf.DUMMYFUNCTION("IMPORTRANGE(""https://docs.google.com/spreadsheets/d/1IwnW3-jjRf74MCLW-6PiFwMUffRQXZwZA7YM609NmRc/edit?usp=sharing"",""ปัตตานี!J193"")"),1)</f>
        <v>1</v>
      </c>
      <c r="W80" s="87">
        <f t="shared" ca="1" si="85"/>
        <v>25</v>
      </c>
      <c r="X80" s="86">
        <f t="shared" ca="1" si="215"/>
        <v>49</v>
      </c>
      <c r="Y80" s="86">
        <f ca="1">IFERROR(__xludf.DUMMYFUNCTION("IMPORTRANGE(""https://docs.google.com/spreadsheets/d/1IwnW3-jjRf74MCLW-6PiFwMUffRQXZwZA7YM609NmRc/edit?usp=sharing"",""ปัตตานี!J195"")"),49)</f>
        <v>49</v>
      </c>
      <c r="Z80" s="86">
        <f ca="1">IFERROR(__xludf.DUMMYFUNCTION("IMPORTRANGE(""https://docs.google.com/spreadsheets/d/1IwnW3-jjRf74MCLW-6PiFwMUffRQXZwZA7YM609NmRc/edit?usp=sharing"",""ปัตตานี!J196"")"),0)</f>
        <v>0</v>
      </c>
      <c r="AA80" s="86">
        <f ca="1">IFERROR(__xludf.DUMMYFUNCTION("IMPORTRANGE(""https://docs.google.com/spreadsheets/d/1IwnW3-jjRf74MCLW-6PiFwMUffRQXZwZA7YM609NmRc/edit?usp=sharing"",""ปัตตานี!L199"")"),2000)</f>
        <v>2000</v>
      </c>
      <c r="AB80" s="86">
        <f ca="1">IFERROR(__xludf.DUMMYFUNCTION("IMPORTRANGE(""https://docs.google.com/spreadsheets/d/1IwnW3-jjRf74MCLW-6PiFwMUffRQXZwZA7YM609NmRc/edit?usp=sharing"",""ปัตตานี!N199"")"),240)</f>
        <v>240</v>
      </c>
      <c r="AC80" s="87">
        <f t="shared" ca="1" si="86"/>
        <v>12</v>
      </c>
      <c r="AD80" s="86">
        <f ca="1">IFERROR(__xludf.DUMMYFUNCTION("IMPORTRANGE(""https://docs.google.com/spreadsheets/d/1IwnW3-jjRf74MCLW-6PiFwMUffRQXZwZA7YM609NmRc/edit?usp=sharing"",""ปัตตานี!L200"")"),16000)</f>
        <v>16000</v>
      </c>
      <c r="AE80" s="86">
        <f ca="1">IFERROR(__xludf.DUMMYFUNCTION("IMPORTRANGE(""https://docs.google.com/spreadsheets/d/1IwnW3-jjRf74MCLW-6PiFwMUffRQXZwZA7YM609NmRc/edit?usp=sharing"",""ปัตตานี!N200"")"),16000)</f>
        <v>16000</v>
      </c>
      <c r="AF80" s="87">
        <f t="shared" ca="1" si="87"/>
        <v>100</v>
      </c>
      <c r="AG80" s="86">
        <f ca="1">IFERROR(__xludf.DUMMYFUNCTION("IMPORTRANGE(""https://docs.google.com/spreadsheets/d/1IwnW3-jjRf74MCLW-6PiFwMUffRQXZwZA7YM609NmRc/edit?usp=sharing"",""ปัตตานี!L201"")"),8000)</f>
        <v>8000</v>
      </c>
      <c r="AH80" s="86">
        <f ca="1">IFERROR(__xludf.DUMMYFUNCTION("IMPORTRANGE(""https://docs.google.com/spreadsheets/d/1IwnW3-jjRf74MCLW-6PiFwMUffRQXZwZA7YM609NmRc/edit?usp=sharing"",""ปัตตานี!N201"")"),0)</f>
        <v>0</v>
      </c>
      <c r="AI80" s="87">
        <f t="shared" ca="1" si="88"/>
        <v>0</v>
      </c>
      <c r="AJ80" s="86">
        <f ca="1">IFERROR(__xludf.DUMMYFUNCTION("IMPORTRANGE(""https://docs.google.com/spreadsheets/d/1IwnW3-jjRf74MCLW-6PiFwMUffRQXZwZA7YM609NmRc/edit?usp=sharing"",""ปัตตานี!L202"")"),0)</f>
        <v>0</v>
      </c>
      <c r="AK80" s="86">
        <f ca="1">IFERROR(__xludf.DUMMYFUNCTION("IMPORTRANGE(""https://docs.google.com/spreadsheets/d/1IwnW3-jjRf74MCLW-6PiFwMUffRQXZwZA7YM609NmRc/edit?usp=sharing"",""ปัตตานี!N202"")"),0)</f>
        <v>0</v>
      </c>
      <c r="AL80" s="87">
        <f t="shared" ca="1" si="89"/>
        <v>0</v>
      </c>
      <c r="AM80" s="86">
        <f ca="1">IFERROR(__xludf.DUMMYFUNCTION("IMPORTRANGE(""https://docs.google.com/spreadsheets/d/1IwnW3-jjRf74MCLW-6PiFwMUffRQXZwZA7YM609NmRc/edit?usp=sharing"",""ปัตตานี!I204"")"),2)</f>
        <v>2</v>
      </c>
      <c r="AN80" s="86">
        <f ca="1">IFERROR(__xludf.DUMMYFUNCTION("IMPORTRANGE(""https://docs.google.com/spreadsheets/d/1IwnW3-jjRf74MCLW-6PiFwMUffRQXZwZA7YM609NmRc/edit?usp=sharing"",""ปัตตานี!J204"")"),0)</f>
        <v>0</v>
      </c>
      <c r="AO80" s="87">
        <f t="shared" ca="1" si="90"/>
        <v>0</v>
      </c>
      <c r="AP80" s="298">
        <f ca="1">IFERROR(__xludf.DUMMYFUNCTION("IMPORTRANGE(""https://docs.google.com/spreadsheets/d/1IwnW3-jjRf74MCLW-6PiFwMUffRQXZwZA7YM609NmRc/edit?usp=sharing"",""ปัตตานี!J206"")"),0)</f>
        <v>0</v>
      </c>
      <c r="AQ80" s="298">
        <f ca="1">IFERROR(__xludf.DUMMYFUNCTION("IMPORTRANGE(""https://docs.google.com/spreadsheets/d/1IwnW3-jjRf74MCLW-6PiFwMUffRQXZwZA7YM609NmRc/edit?usp=sharing"",""ปัตตานี!J207"")"),0)</f>
        <v>0</v>
      </c>
      <c r="AR80" s="86">
        <f ca="1">IFERROR(__xludf.DUMMYFUNCTION("IMPORTRANGE(""https://docs.google.com/spreadsheets/d/1IwnW3-jjRf74MCLW-6PiFwMUffRQXZwZA7YM609NmRc/edit?usp=sharing"",""ปัตตานี!L210"")"),0)</f>
        <v>0</v>
      </c>
      <c r="AS80" s="86">
        <f ca="1">IFERROR(__xludf.DUMMYFUNCTION("IMPORTRANGE(""https://docs.google.com/spreadsheets/d/1IwnW3-jjRf74MCLW-6PiFwMUffRQXZwZA7YM609NmRc/edit?usp=sharing"",""ปัตตานี!N210"")"),0)</f>
        <v>0</v>
      </c>
      <c r="AT80" s="87">
        <f t="shared" ca="1" si="91"/>
        <v>0</v>
      </c>
      <c r="AU80" s="86">
        <f ca="1">IFERROR(__xludf.DUMMYFUNCTION("IMPORTRANGE(""https://docs.google.com/spreadsheets/d/1IwnW3-jjRf74MCLW-6PiFwMUffRQXZwZA7YM609NmRc/edit?usp=sharing"",""ปัตตานี!L211"")"),0)</f>
        <v>0</v>
      </c>
      <c r="AV80" s="86">
        <f ca="1">IFERROR(__xludf.DUMMYFUNCTION("IMPORTRANGE(""https://docs.google.com/spreadsheets/d/1IwnW3-jjRf74MCLW-6PiFwMUffRQXZwZA7YM609NmRc/edit?usp=sharing"",""ปัตตานี!N211"")"),0)</f>
        <v>0</v>
      </c>
      <c r="AW80" s="87">
        <f t="shared" ca="1" si="92"/>
        <v>0</v>
      </c>
      <c r="AX80" s="86">
        <f ca="1">IFERROR(__xludf.DUMMYFUNCTION("IMPORTRANGE(""https://docs.google.com/spreadsheets/d/1IwnW3-jjRf74MCLW-6PiFwMUffRQXZwZA7YM609NmRc/edit?usp=sharing"",""ปัตตานี!L212"")"),0)</f>
        <v>0</v>
      </c>
      <c r="AY80" s="86">
        <f ca="1">IFERROR(__xludf.DUMMYFUNCTION("IMPORTRANGE(""https://docs.google.com/spreadsheets/d/1IwnW3-jjRf74MCLW-6PiFwMUffRQXZwZA7YM609NmRc/edit?usp=sharing"",""ปัตตานี!N212"")"),0)</f>
        <v>0</v>
      </c>
      <c r="AZ80" s="87">
        <f t="shared" ca="1" si="93"/>
        <v>0</v>
      </c>
      <c r="BA80" s="86">
        <f ca="1">IFERROR(__xludf.DUMMYFUNCTION("IMPORTRANGE(""https://docs.google.com/spreadsheets/d/1IwnW3-jjRf74MCLW-6PiFwMUffRQXZwZA7YM609NmRc/edit?usp=sharing"",""ปัตตานี!I214"")"),0)</f>
        <v>0</v>
      </c>
      <c r="BB80" s="86">
        <f ca="1">IFERROR(__xludf.DUMMYFUNCTION("IMPORTRANGE(""https://docs.google.com/spreadsheets/d/1IwnW3-jjRf74MCLW-6PiFwMUffRQXZwZA7YM609NmRc/edit?usp=sharing"",""ปัตตานี!J214"")"),0)</f>
        <v>0</v>
      </c>
      <c r="BC80" s="87">
        <f t="shared" ca="1" si="94"/>
        <v>0</v>
      </c>
      <c r="BD80" s="86">
        <f ca="1">IFERROR(__xludf.DUMMYFUNCTION("IMPORTRANGE(""https://docs.google.com/spreadsheets/d/1IwnW3-jjRf74MCLW-6PiFwMUffRQXZwZA7YM609NmRc/edit?usp=sharing"",""ปัตตานี!I215"")"),0)</f>
        <v>0</v>
      </c>
      <c r="BE80" s="86">
        <f ca="1">IFERROR(__xludf.DUMMYFUNCTION("IMPORTRANGE(""https://docs.google.com/spreadsheets/d/1IwnW3-jjRf74MCLW-6PiFwMUffRQXZwZA7YM609NmRc/edit?usp=sharing"",""ปัตตานี!J215"")"),0)</f>
        <v>0</v>
      </c>
      <c r="BF80" s="87">
        <f t="shared" ca="1" si="95"/>
        <v>0</v>
      </c>
      <c r="BG80" s="86">
        <f ca="1">IFERROR(__xludf.DUMMYFUNCTION("IMPORTRANGE(""https://docs.google.com/spreadsheets/d/1IwnW3-jjRf74MCLW-6PiFwMUffRQXZwZA7YM609NmRc/edit?usp=sharing"",""ปัตตานี!L218"")"),3000)</f>
        <v>3000</v>
      </c>
      <c r="BH80" s="86">
        <f ca="1">IFERROR(__xludf.DUMMYFUNCTION("IMPORTRANGE(""https://docs.google.com/spreadsheets/d/1IwnW3-jjRf74MCLW-6PiFwMUffRQXZwZA7YM609NmRc/edit?usp=sharing"",""ปัตตานี!N218"")"),240)</f>
        <v>240</v>
      </c>
      <c r="BI80" s="87">
        <f t="shared" ca="1" si="96"/>
        <v>8</v>
      </c>
      <c r="BJ80" s="86">
        <f ca="1">IFERROR(__xludf.DUMMYFUNCTION("IMPORTRANGE(""https://docs.google.com/spreadsheets/d/1IwnW3-jjRf74MCLW-6PiFwMUffRQXZwZA7YM609NmRc/edit?usp=sharing"",""ปัตตานี!L219"")"),4100)</f>
        <v>4100</v>
      </c>
      <c r="BK80" s="86">
        <f ca="1">IFERROR(__xludf.DUMMYFUNCTION("IMPORTRANGE(""https://docs.google.com/spreadsheets/d/1IwnW3-jjRf74MCLW-6PiFwMUffRQXZwZA7YM609NmRc/edit?usp=sharing"",""ปัตตานี!N219"")"),0)</f>
        <v>0</v>
      </c>
      <c r="BL80" s="87">
        <f t="shared" ca="1" si="97"/>
        <v>0</v>
      </c>
      <c r="BM80" s="86">
        <f ca="1">IFERROR(__xludf.DUMMYFUNCTION("IMPORTRANGE(""https://docs.google.com/spreadsheets/d/1IwnW3-jjRf74MCLW-6PiFwMUffRQXZwZA7YM609NmRc/edit?usp=sharing"",""ปัตตานี!L220"")"),10000)</f>
        <v>10000</v>
      </c>
      <c r="BN80" s="86">
        <f ca="1">IFERROR(__xludf.DUMMYFUNCTION("IMPORTRANGE(""https://docs.google.com/spreadsheets/d/1IwnW3-jjRf74MCLW-6PiFwMUffRQXZwZA7YM609NmRc/edit?usp=sharing"",""ปัตตานี!N220"")"),10000)</f>
        <v>10000</v>
      </c>
      <c r="BO80" s="87">
        <f t="shared" ca="1" si="98"/>
        <v>100</v>
      </c>
      <c r="BP80" s="86">
        <f ca="1">IFERROR(__xludf.DUMMYFUNCTION("IMPORTRANGE(""https://docs.google.com/spreadsheets/d/1IwnW3-jjRf74MCLW-6PiFwMUffRQXZwZA7YM609NmRc/edit?usp=sharing"",""ปัตตานี!I223"")"),12800)</f>
        <v>12800</v>
      </c>
      <c r="BQ80" s="86">
        <f ca="1">IFERROR(__xludf.DUMMYFUNCTION("IMPORTRANGE(""https://docs.google.com/spreadsheets/d/1IwnW3-jjRf74MCLW-6PiFwMUffRQXZwZA7YM609NmRc/edit?usp=sharing"",""ปัตตานี!J223"")"),0)</f>
        <v>0</v>
      </c>
      <c r="BR80" s="87">
        <f t="shared" ca="1" si="99"/>
        <v>0</v>
      </c>
      <c r="BS80" s="86">
        <f ca="1">IFERROR(__xludf.DUMMYFUNCTION("IMPORTRANGE(""https://docs.google.com/spreadsheets/d/1IwnW3-jjRf74MCLW-6PiFwMUffRQXZwZA7YM609NmRc/edit?usp=sharing"",""ปัตตานี!I224"")"),12800)</f>
        <v>12800</v>
      </c>
      <c r="BT80" s="86">
        <f ca="1">IFERROR(__xludf.DUMMYFUNCTION("IMPORTRANGE(""https://docs.google.com/spreadsheets/d/1IwnW3-jjRf74MCLW-6PiFwMUffRQXZwZA7YM609NmRc/edit?usp=sharing"",""ปัตตานี!J224"")"),0)</f>
        <v>0</v>
      </c>
      <c r="BU80" s="87">
        <f t="shared" ca="1" si="100"/>
        <v>0</v>
      </c>
      <c r="BV80" s="86">
        <f ca="1">IFERROR(__xludf.DUMMYFUNCTION("IMPORTRANGE(""https://docs.google.com/spreadsheets/d/1IwnW3-jjRf74MCLW-6PiFwMUffRQXZwZA7YM609NmRc/edit?usp=sharing"",""ปัตตานี!I225"")"),10)</f>
        <v>10</v>
      </c>
      <c r="BW80" s="86">
        <f ca="1">IFERROR(__xludf.DUMMYFUNCTION("IMPORTRANGE(""https://docs.google.com/spreadsheets/d/1IwnW3-jjRf74MCLW-6PiFwMUffRQXZwZA7YM609NmRc/edit?usp=sharing"",""ปัตตานี!J225"")"),10)</f>
        <v>10</v>
      </c>
      <c r="BX80" s="87">
        <f t="shared" ca="1" si="101"/>
        <v>100</v>
      </c>
      <c r="BY80" s="86">
        <f ca="1">IFERROR(__xludf.DUMMYFUNCTION("IMPORTRANGE(""https://docs.google.com/spreadsheets/d/1IwnW3-jjRf74MCLW-6PiFwMUffRQXZwZA7YM609NmRc/edit?usp=sharing"",""ปัตตานี!L228"")"),0)</f>
        <v>0</v>
      </c>
      <c r="BZ80" s="86">
        <f ca="1">IFERROR(__xludf.DUMMYFUNCTION("IMPORTRANGE(""https://docs.google.com/spreadsheets/d/1IwnW3-jjRf74MCLW-6PiFwMUffRQXZwZA7YM609NmRc/edit?usp=sharing"",""ปัตตานี!N228"")"),0)</f>
        <v>0</v>
      </c>
      <c r="CA80" s="87">
        <f t="shared" ca="1" si="102"/>
        <v>0</v>
      </c>
      <c r="CB80" s="86">
        <f ca="1">IFERROR(__xludf.DUMMYFUNCTION("IMPORTRANGE(""https://docs.google.com/spreadsheets/d/1IwnW3-jjRf74MCLW-6PiFwMUffRQXZwZA7YM609NmRc/edit?usp=sharing"",""ปัตตานี!L229"")"),0)</f>
        <v>0</v>
      </c>
      <c r="CC80" s="86">
        <f ca="1">IFERROR(__xludf.DUMMYFUNCTION("IMPORTRANGE(""https://docs.google.com/spreadsheets/d/1IwnW3-jjRf74MCLW-6PiFwMUffRQXZwZA7YM609NmRc/edit?usp=sharing"",""ปัตตานี!N229"")"),0)</f>
        <v>0</v>
      </c>
      <c r="CD80" s="87">
        <f t="shared" ca="1" si="103"/>
        <v>0</v>
      </c>
      <c r="CE80" s="86">
        <f ca="1">IFERROR(__xludf.DUMMYFUNCTION("IMPORTRANGE(""https://docs.google.com/spreadsheets/d/1IwnW3-jjRf74MCLW-6PiFwMUffRQXZwZA7YM609NmRc/edit?usp=sharing"",""ปัตตานี!L230"")"),0)</f>
        <v>0</v>
      </c>
      <c r="CF80" s="86">
        <f ca="1">IFERROR(__xludf.DUMMYFUNCTION("IMPORTRANGE(""https://docs.google.com/spreadsheets/d/1IwnW3-jjRf74MCLW-6PiFwMUffRQXZwZA7YM609NmRc/edit?usp=sharing"",""ปัตตานี!N230"")"),0)</f>
        <v>0</v>
      </c>
      <c r="CG80" s="87">
        <f t="shared" ca="1" si="104"/>
        <v>0</v>
      </c>
      <c r="CH80" s="86">
        <f ca="1">IFERROR(__xludf.DUMMYFUNCTION("IMPORTRANGE(""https://docs.google.com/spreadsheets/d/1IwnW3-jjRf74MCLW-6PiFwMUffRQXZwZA7YM609NmRc/edit?usp=sharing"",""ปัตตานี!L231"")"),0)</f>
        <v>0</v>
      </c>
      <c r="CI80" s="86">
        <f ca="1">IFERROR(__xludf.DUMMYFUNCTION("IMPORTRANGE(""https://docs.google.com/spreadsheets/d/1IwnW3-jjRf74MCLW-6PiFwMUffRQXZwZA7YM609NmRc/edit?usp=sharing"",""ปัตตานี!N231"")"),0)</f>
        <v>0</v>
      </c>
      <c r="CJ80" s="87">
        <f t="shared" ca="1" si="105"/>
        <v>0</v>
      </c>
      <c r="CK80" s="86">
        <f ca="1">IFERROR(__xludf.DUMMYFUNCTION("IMPORTRANGE(""https://docs.google.com/spreadsheets/d/1IwnW3-jjRf74MCLW-6PiFwMUffRQXZwZA7YM609NmRc/edit?usp=sharing"",""ปัตตานี!I233"")"),0)</f>
        <v>0</v>
      </c>
      <c r="CL80" s="86">
        <f ca="1">IFERROR(__xludf.DUMMYFUNCTION("IMPORTRANGE(""https://docs.google.com/spreadsheets/d/1IwnW3-jjRf74MCLW-6PiFwMUffRQXZwZA7YM609NmRc/edit?usp=sharing"",""ปัตตานี!J233"")"),0)</f>
        <v>0</v>
      </c>
      <c r="CM80" s="87">
        <f t="shared" ca="1" si="106"/>
        <v>0</v>
      </c>
      <c r="CN80" s="86">
        <f ca="1">IFERROR(__xludf.DUMMYFUNCTION("IMPORTRANGE(""https://docs.google.com/spreadsheets/d/1IwnW3-jjRf74MCLW-6PiFwMUffRQXZwZA7YM609NmRc/edit?usp=sharing"",""ปัตตานี!J235"")"),0)</f>
        <v>0</v>
      </c>
      <c r="CO80" s="86">
        <f ca="1">IFERROR(__xludf.DUMMYFUNCTION("IMPORTRANGE(""https://docs.google.com/spreadsheets/d/1IwnW3-jjRf74MCLW-6PiFwMUffRQXZwZA7YM609NmRc/edit?usp=sharing"",""ปัตตานี!J236"")"),0)</f>
        <v>0</v>
      </c>
    </row>
    <row r="81" spans="1:93" ht="21" customHeight="1" x14ac:dyDescent="0.3">
      <c r="A81" s="78">
        <v>7</v>
      </c>
      <c r="B81" s="79" t="s">
        <v>103</v>
      </c>
      <c r="C81" s="80">
        <f t="shared" ca="1" si="0"/>
        <v>45000</v>
      </c>
      <c r="D81" s="81">
        <f t="shared" ca="1" si="214"/>
        <v>45000</v>
      </c>
      <c r="E81" s="82">
        <f ca="1">IFERROR(__xludf.DUMMYFUNCTION("IMPORTRANGE(""https://docs.google.com/spreadsheets/d/1MeEWN-I1oV_STSDYn1IFDPWt_1FKiwhDph83XaGc0o0/edit?usp=sharing"",""งบพรบ!CP81"")"),0)</f>
        <v>0</v>
      </c>
      <c r="F81" s="82">
        <f ca="1">IFERROR(__xludf.DUMMYFUNCTION("IMPORTRANGE(""https://docs.google.com/spreadsheets/d/1MeEWN-I1oV_STSDYn1IFDPWt_1FKiwhDph83XaGc0o0/edit?usp=sharing"",""งบพรบ!CQ81"")"),45000)</f>
        <v>45000</v>
      </c>
      <c r="G81" s="82">
        <f ca="1">IFERROR(__xludf.DUMMYFUNCTION("IMPORTRANGE(""https://docs.google.com/spreadsheets/d/1MeEWN-I1oV_STSDYn1IFDPWt_1FKiwhDph83XaGc0o0/edit?usp=sharing"",""งบพรบ!CR81"")"),0)</f>
        <v>0</v>
      </c>
      <c r="H81" s="82">
        <f ca="1">IFERROR(__xludf.DUMMYFUNCTION("IMPORTRANGE(""https://docs.google.com/spreadsheets/d/1MeEWN-I1oV_STSDYn1IFDPWt_1FKiwhDph83XaGc0o0/edit?usp=sharing"",""งบพรบ!CT81"")"),38500)</f>
        <v>38500</v>
      </c>
      <c r="I81" s="82">
        <f ca="1">IFERROR(__xludf.DUMMYFUNCTION("IMPORTRANGE(""https://docs.google.com/spreadsheets/d/1MeEWN-I1oV_STSDYn1IFDPWt_1FKiwhDph83XaGc0o0/edit?usp=sharing"",""งบพรบ!CU81"")"),0)</f>
        <v>0</v>
      </c>
      <c r="J81" s="82">
        <f t="shared" ca="1" si="3"/>
        <v>44895</v>
      </c>
      <c r="K81" s="83">
        <f t="shared" ca="1" si="4"/>
        <v>99.766666666666666</v>
      </c>
      <c r="L81" s="82">
        <f ca="1">IFERROR(__xludf.DUMMYFUNCTION("IMPORTRANGE(""https://docs.google.com/spreadsheets/d/1MeEWN-I1oV_STSDYn1IFDPWt_1FKiwhDph83XaGc0o0/edit?usp=sharing"",""งบพรบ!CV81"")"),44895)</f>
        <v>44895</v>
      </c>
      <c r="M81" s="84">
        <f t="shared" ca="1" si="5"/>
        <v>99.766666666666666</v>
      </c>
      <c r="N81" s="84">
        <f t="shared" ca="1" si="6"/>
        <v>116.6103896103896</v>
      </c>
      <c r="O81" s="85">
        <f ca="1">IFERROR(__xludf.DUMMYFUNCTION("IMPORTRANGE(""https://docs.google.com/spreadsheets/d/1MeEWN-I1oV_STSDYn1IFDPWt_1FKiwhDph83XaGc0o0/edit?usp=sharing"",""งบพรบ!CW81"")"),0)</f>
        <v>0</v>
      </c>
      <c r="P81" s="85">
        <f t="shared" ca="1" si="108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IFERROR(__xludf.DUMMYFUNCTION("IMPORTRANGE(""https://docs.google.com/spreadsheets/d/1vl4QWbWdFruual5o_wdo6ZSqXZ_it806oja4CctTLKs/edit?usp=sharing"",""พังงา!L191"")"),6000)</f>
        <v>6000</v>
      </c>
      <c r="S81" s="86">
        <f ca="1">IFERROR(__xludf.DUMMYFUNCTION("IMPORTRANGE(""https://docs.google.com/spreadsheets/d/1vl4QWbWdFruual5o_wdo6ZSqXZ_it806oja4CctTLKs/edit?usp=sharing"",""พังงา!N191"")"),2830)</f>
        <v>2830</v>
      </c>
      <c r="T81" s="87">
        <f t="shared" ca="1" si="84"/>
        <v>47.166666666666664</v>
      </c>
      <c r="U81" s="86">
        <f ca="1">IFERROR(__xludf.DUMMYFUNCTION("IMPORTRANGE(""https://docs.google.com/spreadsheets/d/1vl4QWbWdFruual5o_wdo6ZSqXZ_it806oja4CctTLKs/edit?usp=sharing"",""พังงา!I193"")"),4)</f>
        <v>4</v>
      </c>
      <c r="V81" s="86">
        <f ca="1">IFERROR(__xludf.DUMMYFUNCTION("IMPORTRANGE(""https://docs.google.com/spreadsheets/d/1vl4QWbWdFruual5o_wdo6ZSqXZ_it806oja4CctTLKs/edit?usp=sharing"",""พังงา!J193"")"),2)</f>
        <v>2</v>
      </c>
      <c r="W81" s="87">
        <f t="shared" ca="1" si="85"/>
        <v>50</v>
      </c>
      <c r="X81" s="86">
        <f t="shared" ca="1" si="215"/>
        <v>40</v>
      </c>
      <c r="Y81" s="86">
        <f ca="1">IFERROR(__xludf.DUMMYFUNCTION("IMPORTRANGE(""https://docs.google.com/spreadsheets/d/1vl4QWbWdFruual5o_wdo6ZSqXZ_it806oja4CctTLKs/edit?usp=sharing"",""พังงา!J195"")"),40)</f>
        <v>40</v>
      </c>
      <c r="Z81" s="86">
        <f ca="1">IFERROR(__xludf.DUMMYFUNCTION("IMPORTRANGE(""https://docs.google.com/spreadsheets/d/1vl4QWbWdFruual5o_wdo6ZSqXZ_it806oja4CctTLKs/edit?usp=sharing"",""พังงา!J196"")"),0)</f>
        <v>0</v>
      </c>
      <c r="AA81" s="86">
        <f ca="1">IFERROR(__xludf.DUMMYFUNCTION("IMPORTRANGE(""https://docs.google.com/spreadsheets/d/1vl4QWbWdFruual5o_wdo6ZSqXZ_it806oja4CctTLKs/edit?usp=sharing"",""พังงา!L199"")"),2000)</f>
        <v>2000</v>
      </c>
      <c r="AB81" s="86">
        <f ca="1">IFERROR(__xludf.DUMMYFUNCTION("IMPORTRANGE(""https://docs.google.com/spreadsheets/d/1vl4QWbWdFruual5o_wdo6ZSqXZ_it806oja4CctTLKs/edit?usp=sharing"",""พังงา!N199"")"),1000)</f>
        <v>1000</v>
      </c>
      <c r="AC81" s="87">
        <f t="shared" ca="1" si="86"/>
        <v>50</v>
      </c>
      <c r="AD81" s="86">
        <f ca="1">IFERROR(__xludf.DUMMYFUNCTION("IMPORTRANGE(""https://docs.google.com/spreadsheets/d/1vl4QWbWdFruual5o_wdo6ZSqXZ_it806oja4CctTLKs/edit?usp=sharing"",""พังงา!L200"")"),16000)</f>
        <v>16000</v>
      </c>
      <c r="AE81" s="86">
        <f ca="1">IFERROR(__xludf.DUMMYFUNCTION("IMPORTRANGE(""https://docs.google.com/spreadsheets/d/1vl4QWbWdFruual5o_wdo6ZSqXZ_it806oja4CctTLKs/edit?usp=sharing"",""พังงา!N200"")"),8000)</f>
        <v>8000</v>
      </c>
      <c r="AF81" s="87">
        <f t="shared" ca="1" si="87"/>
        <v>50</v>
      </c>
      <c r="AG81" s="86">
        <f ca="1">IFERROR(__xludf.DUMMYFUNCTION("IMPORTRANGE(""https://docs.google.com/spreadsheets/d/1vl4QWbWdFruual5o_wdo6ZSqXZ_it806oja4CctTLKs/edit?usp=sharing"",""พังงา!L201"")"),8000)</f>
        <v>8000</v>
      </c>
      <c r="AH81" s="86">
        <f ca="1">IFERROR(__xludf.DUMMYFUNCTION("IMPORTRANGE(""https://docs.google.com/spreadsheets/d/1vl4QWbWdFruual5o_wdo6ZSqXZ_it806oja4CctTLKs/edit?usp=sharing"",""พังงา!N201"")"),0)</f>
        <v>0</v>
      </c>
      <c r="AI81" s="87">
        <f t="shared" ca="1" si="88"/>
        <v>0</v>
      </c>
      <c r="AJ81" s="86">
        <f ca="1">IFERROR(__xludf.DUMMYFUNCTION("IMPORTRANGE(""https://docs.google.com/spreadsheets/d/1vl4QWbWdFruual5o_wdo6ZSqXZ_it806oja4CctTLKs/edit?usp=sharing"",""พังงา!L202"")"),5000)</f>
        <v>5000</v>
      </c>
      <c r="AK81" s="86">
        <f ca="1">IFERROR(__xludf.DUMMYFUNCTION("IMPORTRANGE(""https://docs.google.com/spreadsheets/d/1vl4QWbWdFruual5o_wdo6ZSqXZ_it806oja4CctTLKs/edit?usp=sharing"",""พังงา!N202"")"),0)</f>
        <v>0</v>
      </c>
      <c r="AL81" s="87">
        <f t="shared" ca="1" si="89"/>
        <v>0</v>
      </c>
      <c r="AM81" s="86">
        <f ca="1">IFERROR(__xludf.DUMMYFUNCTION("IMPORTRANGE(""https://docs.google.com/spreadsheets/d/1vl4QWbWdFruual5o_wdo6ZSqXZ_it806oja4CctTLKs/edit?usp=sharing"",""พังงา!I204"")"),2)</f>
        <v>2</v>
      </c>
      <c r="AN81" s="86">
        <f ca="1">IFERROR(__xludf.DUMMYFUNCTION("IMPORTRANGE(""https://docs.google.com/spreadsheets/d/1vl4QWbWdFruual5o_wdo6ZSqXZ_it806oja4CctTLKs/edit?usp=sharing"",""พังงา!J204"")"),1)</f>
        <v>1</v>
      </c>
      <c r="AO81" s="87">
        <f t="shared" ca="1" si="90"/>
        <v>50</v>
      </c>
      <c r="AP81" s="298">
        <f ca="1">IFERROR(__xludf.DUMMYFUNCTION("IMPORTRANGE(""https://docs.google.com/spreadsheets/d/1vl4QWbWdFruual5o_wdo6ZSqXZ_it806oja4CctTLKs/edit?usp=sharing"",""พังงา!J206"")"),0)</f>
        <v>0</v>
      </c>
      <c r="AQ81" s="298">
        <f ca="1">IFERROR(__xludf.DUMMYFUNCTION("IMPORTRANGE(""https://docs.google.com/spreadsheets/d/1vl4QWbWdFruual5o_wdo6ZSqXZ_it806oja4CctTLKs/edit?usp=sharing"",""พังงา!J207"")"),0)</f>
        <v>0</v>
      </c>
      <c r="AR81" s="86">
        <f ca="1">IFERROR(__xludf.DUMMYFUNCTION("IMPORTRANGE(""https://docs.google.com/spreadsheets/d/1vl4QWbWdFruual5o_wdo6ZSqXZ_it806oja4CctTLKs/edit?usp=sharing"",""พังงา!L210"")"),0)</f>
        <v>0</v>
      </c>
      <c r="AS81" s="86">
        <f ca="1">IFERROR(__xludf.DUMMYFUNCTION("IMPORTRANGE(""https://docs.google.com/spreadsheets/d/1vl4QWbWdFruual5o_wdo6ZSqXZ_it806oja4CctTLKs/edit?usp=sharing"",""พังงา!N210"")"),0)</f>
        <v>0</v>
      </c>
      <c r="AT81" s="87">
        <f t="shared" ca="1" si="91"/>
        <v>0</v>
      </c>
      <c r="AU81" s="86">
        <f ca="1">IFERROR(__xludf.DUMMYFUNCTION("IMPORTRANGE(""https://docs.google.com/spreadsheets/d/1vl4QWbWdFruual5o_wdo6ZSqXZ_it806oja4CctTLKs/edit?usp=sharing"",""พังงา!L211"")"),0)</f>
        <v>0</v>
      </c>
      <c r="AV81" s="86">
        <f ca="1">IFERROR(__xludf.DUMMYFUNCTION("IMPORTRANGE(""https://docs.google.com/spreadsheets/d/1vl4QWbWdFruual5o_wdo6ZSqXZ_it806oja4CctTLKs/edit?usp=sharing"",""พังงา!N211"")"),0)</f>
        <v>0</v>
      </c>
      <c r="AW81" s="87">
        <f t="shared" ca="1" si="92"/>
        <v>0</v>
      </c>
      <c r="AX81" s="86">
        <f ca="1">IFERROR(__xludf.DUMMYFUNCTION("IMPORTRANGE(""https://docs.google.com/spreadsheets/d/1vl4QWbWdFruual5o_wdo6ZSqXZ_it806oja4CctTLKs/edit?usp=sharing"",""พังงา!L212"")"),0)</f>
        <v>0</v>
      </c>
      <c r="AY81" s="86">
        <f ca="1">IFERROR(__xludf.DUMMYFUNCTION("IMPORTRANGE(""https://docs.google.com/spreadsheets/d/1vl4QWbWdFruual5o_wdo6ZSqXZ_it806oja4CctTLKs/edit?usp=sharing"",""พังงา!N212"")"),0)</f>
        <v>0</v>
      </c>
      <c r="AZ81" s="87">
        <f t="shared" ca="1" si="93"/>
        <v>0</v>
      </c>
      <c r="BA81" s="86">
        <f ca="1">IFERROR(__xludf.DUMMYFUNCTION("IMPORTRANGE(""https://docs.google.com/spreadsheets/d/1vl4QWbWdFruual5o_wdo6ZSqXZ_it806oja4CctTLKs/edit?usp=sharing"",""พังงา!I214"")"),0)</f>
        <v>0</v>
      </c>
      <c r="BB81" s="86">
        <f ca="1">IFERROR(__xludf.DUMMYFUNCTION("IMPORTRANGE(""https://docs.google.com/spreadsheets/d/1vl4QWbWdFruual5o_wdo6ZSqXZ_it806oja4CctTLKs/edit?usp=sharing"",""พังงา!J214"")"),0)</f>
        <v>0</v>
      </c>
      <c r="BC81" s="87">
        <f t="shared" ca="1" si="94"/>
        <v>0</v>
      </c>
      <c r="BD81" s="86">
        <f ca="1">IFERROR(__xludf.DUMMYFUNCTION("IMPORTRANGE(""https://docs.google.com/spreadsheets/d/1vl4QWbWdFruual5o_wdo6ZSqXZ_it806oja4CctTLKs/edit?usp=sharing"",""พังงา!I215"")"),0)</f>
        <v>0</v>
      </c>
      <c r="BE81" s="86">
        <f ca="1">IFERROR(__xludf.DUMMYFUNCTION("IMPORTRANGE(""https://docs.google.com/spreadsheets/d/1vl4QWbWdFruual5o_wdo6ZSqXZ_it806oja4CctTLKs/edit?usp=sharing"",""พังงา!J215"")"),0)</f>
        <v>0</v>
      </c>
      <c r="BF81" s="87">
        <f t="shared" ca="1" si="95"/>
        <v>0</v>
      </c>
      <c r="BG81" s="86">
        <f ca="1">IFERROR(__xludf.DUMMYFUNCTION("IMPORTRANGE(""https://docs.google.com/spreadsheets/d/1vl4QWbWdFruual5o_wdo6ZSqXZ_it806oja4CctTLKs/edit?usp=sharing"",""พังงา!L218"")"),3000)</f>
        <v>3000</v>
      </c>
      <c r="BH81" s="86">
        <f ca="1">IFERROR(__xludf.DUMMYFUNCTION("IMPORTRANGE(""https://docs.google.com/spreadsheets/d/1vl4QWbWdFruual5o_wdo6ZSqXZ_it806oja4CctTLKs/edit?usp=sharing"",""พังงา!N218"")"),0)</f>
        <v>0</v>
      </c>
      <c r="BI81" s="87">
        <f t="shared" ca="1" si="96"/>
        <v>0</v>
      </c>
      <c r="BJ81" s="86">
        <f ca="1">IFERROR(__xludf.DUMMYFUNCTION("IMPORTRANGE(""https://docs.google.com/spreadsheets/d/1vl4QWbWdFruual5o_wdo6ZSqXZ_it806oja4CctTLKs/edit?usp=sharing"",""พังงา!L219"")"),5000)</f>
        <v>5000</v>
      </c>
      <c r="BK81" s="86">
        <f ca="1">IFERROR(__xludf.DUMMYFUNCTION("IMPORTRANGE(""https://docs.google.com/spreadsheets/d/1vl4QWbWdFruual5o_wdo6ZSqXZ_it806oja4CctTLKs/edit?usp=sharing"",""พังงา!N219"")"),0)</f>
        <v>0</v>
      </c>
      <c r="BL81" s="87">
        <f t="shared" ca="1" si="97"/>
        <v>0</v>
      </c>
      <c r="BM81" s="86">
        <f ca="1">IFERROR(__xludf.DUMMYFUNCTION("IMPORTRANGE(""https://docs.google.com/spreadsheets/d/1vl4QWbWdFruual5o_wdo6ZSqXZ_it806oja4CctTLKs/edit?usp=sharing"",""พังงา!L220"")"),0)</f>
        <v>0</v>
      </c>
      <c r="BN81" s="86">
        <f ca="1">IFERROR(__xludf.DUMMYFUNCTION("IMPORTRANGE(""https://docs.google.com/spreadsheets/d/1vl4QWbWdFruual5o_wdo6ZSqXZ_it806oja4CctTLKs/edit?usp=sharing"",""พังงา!N220"")"),0)</f>
        <v>0</v>
      </c>
      <c r="BO81" s="87">
        <f t="shared" ca="1" si="98"/>
        <v>0</v>
      </c>
      <c r="BP81" s="86">
        <f ca="1">IFERROR(__xludf.DUMMYFUNCTION("IMPORTRANGE(""https://docs.google.com/spreadsheets/d/1vl4QWbWdFruual5o_wdo6ZSqXZ_it806oja4CctTLKs/edit?usp=sharing"",""พังงา!I223"")"),20000)</f>
        <v>20000</v>
      </c>
      <c r="BQ81" s="86">
        <f ca="1">IFERROR(__xludf.DUMMYFUNCTION("IMPORTRANGE(""https://docs.google.com/spreadsheets/d/1vl4QWbWdFruual5o_wdo6ZSqXZ_it806oja4CctTLKs/edit?usp=sharing"",""พังงา!J223"")"),0)</f>
        <v>0</v>
      </c>
      <c r="BR81" s="87">
        <f t="shared" ca="1" si="99"/>
        <v>0</v>
      </c>
      <c r="BS81" s="86">
        <f ca="1">IFERROR(__xludf.DUMMYFUNCTION("IMPORTRANGE(""https://docs.google.com/spreadsheets/d/1vl4QWbWdFruual5o_wdo6ZSqXZ_it806oja4CctTLKs/edit?usp=sharing"",""พังงา!I224"")"),20000)</f>
        <v>20000</v>
      </c>
      <c r="BT81" s="86">
        <f ca="1">IFERROR(__xludf.DUMMYFUNCTION("IMPORTRANGE(""https://docs.google.com/spreadsheets/d/1vl4QWbWdFruual5o_wdo6ZSqXZ_it806oja4CctTLKs/edit?usp=sharing"",""พังงา!J224"")"),0)</f>
        <v>0</v>
      </c>
      <c r="BU81" s="87">
        <f t="shared" ca="1" si="100"/>
        <v>0</v>
      </c>
      <c r="BV81" s="86">
        <f ca="1">IFERROR(__xludf.DUMMYFUNCTION("IMPORTRANGE(""https://docs.google.com/spreadsheets/d/1vl4QWbWdFruual5o_wdo6ZSqXZ_it806oja4CctTLKs/edit?usp=sharing"",""พังงา!I225"")"),0)</f>
        <v>0</v>
      </c>
      <c r="BW81" s="86">
        <f ca="1">IFERROR(__xludf.DUMMYFUNCTION("IMPORTRANGE(""https://docs.google.com/spreadsheets/d/1vl4QWbWdFruual5o_wdo6ZSqXZ_it806oja4CctTLKs/edit?usp=sharing"",""พังงา!J225"")"),0)</f>
        <v>0</v>
      </c>
      <c r="BX81" s="87">
        <f t="shared" ca="1" si="101"/>
        <v>0</v>
      </c>
      <c r="BY81" s="86">
        <f ca="1">IFERROR(__xludf.DUMMYFUNCTION("IMPORTRANGE(""https://docs.google.com/spreadsheets/d/1vl4QWbWdFruual5o_wdo6ZSqXZ_it806oja4CctTLKs/edit?usp=sharing"",""พังงา!L228"")"),0)</f>
        <v>0</v>
      </c>
      <c r="BZ81" s="86">
        <f ca="1">IFERROR(__xludf.DUMMYFUNCTION("IMPORTRANGE(""https://docs.google.com/spreadsheets/d/1vl4QWbWdFruual5o_wdo6ZSqXZ_it806oja4CctTLKs/edit?usp=sharing"",""พังงา!N228"")"),0)</f>
        <v>0</v>
      </c>
      <c r="CA81" s="87">
        <f t="shared" ca="1" si="102"/>
        <v>0</v>
      </c>
      <c r="CB81" s="86">
        <f ca="1">IFERROR(__xludf.DUMMYFUNCTION("IMPORTRANGE(""https://docs.google.com/spreadsheets/d/1vl4QWbWdFruual5o_wdo6ZSqXZ_it806oja4CctTLKs/edit?usp=sharing"",""พังงา!L229"")"),0)</f>
        <v>0</v>
      </c>
      <c r="CC81" s="86">
        <f ca="1">IFERROR(__xludf.DUMMYFUNCTION("IMPORTRANGE(""https://docs.google.com/spreadsheets/d/1vl4QWbWdFruual5o_wdo6ZSqXZ_it806oja4CctTLKs/edit?usp=sharing"",""พังงา!N229"")"),0)</f>
        <v>0</v>
      </c>
      <c r="CD81" s="87">
        <f t="shared" ca="1" si="103"/>
        <v>0</v>
      </c>
      <c r="CE81" s="86">
        <f ca="1">IFERROR(__xludf.DUMMYFUNCTION("IMPORTRANGE(""https://docs.google.com/spreadsheets/d/1vl4QWbWdFruual5o_wdo6ZSqXZ_it806oja4CctTLKs/edit?usp=sharing"",""พังงา!L230"")"),0)</f>
        <v>0</v>
      </c>
      <c r="CF81" s="86">
        <f ca="1">IFERROR(__xludf.DUMMYFUNCTION("IMPORTRANGE(""https://docs.google.com/spreadsheets/d/1vl4QWbWdFruual5o_wdo6ZSqXZ_it806oja4CctTLKs/edit?usp=sharing"",""พังงา!N230"")"),0)</f>
        <v>0</v>
      </c>
      <c r="CG81" s="87">
        <f t="shared" ca="1" si="104"/>
        <v>0</v>
      </c>
      <c r="CH81" s="86">
        <f ca="1">IFERROR(__xludf.DUMMYFUNCTION("IMPORTRANGE(""https://docs.google.com/spreadsheets/d/1vl4QWbWdFruual5o_wdo6ZSqXZ_it806oja4CctTLKs/edit?usp=sharing"",""พังงา!L231"")"),0)</f>
        <v>0</v>
      </c>
      <c r="CI81" s="86">
        <f ca="1">IFERROR(__xludf.DUMMYFUNCTION("IMPORTRANGE(""https://docs.google.com/spreadsheets/d/1vl4QWbWdFruual5o_wdo6ZSqXZ_it806oja4CctTLKs/edit?usp=sharing"",""พังงา!N231"")"),0)</f>
        <v>0</v>
      </c>
      <c r="CJ81" s="87">
        <f t="shared" ca="1" si="105"/>
        <v>0</v>
      </c>
      <c r="CK81" s="86">
        <f ca="1">IFERROR(__xludf.DUMMYFUNCTION("IMPORTRANGE(""https://docs.google.com/spreadsheets/d/1vl4QWbWdFruual5o_wdo6ZSqXZ_it806oja4CctTLKs/edit?usp=sharing"",""พังงา!I233"")"),0)</f>
        <v>0</v>
      </c>
      <c r="CL81" s="86">
        <f ca="1">IFERROR(__xludf.DUMMYFUNCTION("IMPORTRANGE(""https://docs.google.com/spreadsheets/d/1vl4QWbWdFruual5o_wdo6ZSqXZ_it806oja4CctTLKs/edit?usp=sharing"",""พังงา!J233"")"),0)</f>
        <v>0</v>
      </c>
      <c r="CM81" s="87">
        <f t="shared" ca="1" si="106"/>
        <v>0</v>
      </c>
      <c r="CN81" s="86">
        <f ca="1">IFERROR(__xludf.DUMMYFUNCTION("IMPORTRANGE(""https://docs.google.com/spreadsheets/d/1vl4QWbWdFruual5o_wdo6ZSqXZ_it806oja4CctTLKs/edit?usp=sharing"",""พังงา!J235"")"),0)</f>
        <v>0</v>
      </c>
      <c r="CO81" s="86">
        <f ca="1">IFERROR(__xludf.DUMMYFUNCTION("IMPORTRANGE(""https://docs.google.com/spreadsheets/d/1vl4QWbWdFruual5o_wdo6ZSqXZ_it806oja4CctTLKs/edit?usp=sharing"",""พังงา!J236"")"),0)</f>
        <v>0</v>
      </c>
    </row>
    <row r="82" spans="1:93" ht="21" customHeight="1" x14ac:dyDescent="0.3">
      <c r="A82" s="78">
        <v>8</v>
      </c>
      <c r="B82" s="79" t="s">
        <v>104</v>
      </c>
      <c r="C82" s="80">
        <f t="shared" ca="1" si="0"/>
        <v>38500</v>
      </c>
      <c r="D82" s="81">
        <f t="shared" ca="1" si="214"/>
        <v>38500</v>
      </c>
      <c r="E82" s="82">
        <f ca="1">IFERROR(__xludf.DUMMYFUNCTION("IMPORTRANGE(""https://docs.google.com/spreadsheets/d/1MeEWN-I1oV_STSDYn1IFDPWt_1FKiwhDph83XaGc0o0/edit?usp=sharing"",""งบพรบ!CP82"")"),0)</f>
        <v>0</v>
      </c>
      <c r="F82" s="82">
        <f ca="1">IFERROR(__xludf.DUMMYFUNCTION("IMPORTRANGE(""https://docs.google.com/spreadsheets/d/1MeEWN-I1oV_STSDYn1IFDPWt_1FKiwhDph83XaGc0o0/edit?usp=sharing"",""งบพรบ!CQ82"")"),38500)</f>
        <v>38500</v>
      </c>
      <c r="G82" s="82">
        <f ca="1">IFERROR(__xludf.DUMMYFUNCTION("IMPORTRANGE(""https://docs.google.com/spreadsheets/d/1MeEWN-I1oV_STSDYn1IFDPWt_1FKiwhDph83XaGc0o0/edit?usp=sharing"",""งบพรบ!CR82"")"),0)</f>
        <v>0</v>
      </c>
      <c r="H82" s="82">
        <f ca="1">IFERROR(__xludf.DUMMYFUNCTION("IMPORTRANGE(""https://docs.google.com/spreadsheets/d/1MeEWN-I1oV_STSDYn1IFDPWt_1FKiwhDph83XaGc0o0/edit?usp=sharing"",""งบพรบ!CT82"")"),33500)</f>
        <v>33500</v>
      </c>
      <c r="I82" s="82">
        <f ca="1">IFERROR(__xludf.DUMMYFUNCTION("IMPORTRANGE(""https://docs.google.com/spreadsheets/d/1MeEWN-I1oV_STSDYn1IFDPWt_1FKiwhDph83XaGc0o0/edit?usp=sharing"",""งบพรบ!CU82"")"),0)</f>
        <v>0</v>
      </c>
      <c r="J82" s="82">
        <f t="shared" ca="1" si="3"/>
        <v>17144</v>
      </c>
      <c r="K82" s="83">
        <f t="shared" ca="1" si="4"/>
        <v>44.529870129870133</v>
      </c>
      <c r="L82" s="82">
        <f ca="1">IFERROR(__xludf.DUMMYFUNCTION("IMPORTRANGE(""https://docs.google.com/spreadsheets/d/1MeEWN-I1oV_STSDYn1IFDPWt_1FKiwhDph83XaGc0o0/edit?usp=sharing"",""งบพรบ!CV82"")"),17144)</f>
        <v>17144</v>
      </c>
      <c r="M82" s="84">
        <f t="shared" ca="1" si="5"/>
        <v>44.529870129870133</v>
      </c>
      <c r="N82" s="84">
        <f t="shared" ca="1" si="6"/>
        <v>51.176119402985073</v>
      </c>
      <c r="O82" s="85">
        <f ca="1">IFERROR(__xludf.DUMMYFUNCTION("IMPORTRANGE(""https://docs.google.com/spreadsheets/d/1MeEWN-I1oV_STSDYn1IFDPWt_1FKiwhDph83XaGc0o0/edit?usp=sharing"",""งบพรบ!CW82"")"),0)</f>
        <v>0</v>
      </c>
      <c r="P82" s="85">
        <f t="shared" ca="1" si="108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IFERROR(__xludf.DUMMYFUNCTION("IMPORTRANGE(""https://docs.google.com/spreadsheets/d/1b6QssHQp2FoAPSMKHOy273KNzAomaIKhtdlvuZ_zDNE/edit?usp=sharing"",""พัทลุง!L191"")"),6000)</f>
        <v>6000</v>
      </c>
      <c r="S82" s="86">
        <f ca="1">IFERROR(__xludf.DUMMYFUNCTION("IMPORTRANGE(""https://docs.google.com/spreadsheets/d/1b6QssHQp2FoAPSMKHOy273KNzAomaIKhtdlvuZ_zDNE/edit?usp=sharing"",""พัทลุง!N191"")"),0)</f>
        <v>0</v>
      </c>
      <c r="T82" s="87">
        <f t="shared" ca="1" si="84"/>
        <v>0</v>
      </c>
      <c r="U82" s="86">
        <f ca="1">IFERROR(__xludf.DUMMYFUNCTION("IMPORTRANGE(""https://docs.google.com/spreadsheets/d/1b6QssHQp2FoAPSMKHOy273KNzAomaIKhtdlvuZ_zDNE/edit?usp=sharing"",""พัทลุง!I193"")"),4)</f>
        <v>4</v>
      </c>
      <c r="V82" s="86">
        <f ca="1">IFERROR(__xludf.DUMMYFUNCTION("IMPORTRANGE(""https://docs.google.com/spreadsheets/d/1b6QssHQp2FoAPSMKHOy273KNzAomaIKhtdlvuZ_zDNE/edit?usp=sharing"",""พัทลุง!J193"")"),1)</f>
        <v>1</v>
      </c>
      <c r="W82" s="87">
        <f t="shared" ca="1" si="85"/>
        <v>25</v>
      </c>
      <c r="X82" s="86">
        <f t="shared" ca="1" si="215"/>
        <v>34</v>
      </c>
      <c r="Y82" s="86">
        <f ca="1">IFERROR(__xludf.DUMMYFUNCTION("IMPORTRANGE(""https://docs.google.com/spreadsheets/d/1b6QssHQp2FoAPSMKHOy273KNzAomaIKhtdlvuZ_zDNE/edit?usp=sharing"",""พัทลุง!J195"")"),34)</f>
        <v>34</v>
      </c>
      <c r="Z82" s="86">
        <f ca="1">IFERROR(__xludf.DUMMYFUNCTION("IMPORTRANGE(""https://docs.google.com/spreadsheets/d/1b6QssHQp2FoAPSMKHOy273KNzAomaIKhtdlvuZ_zDNE/edit?usp=sharing"",""พัทลุง!J196"")"),0)</f>
        <v>0</v>
      </c>
      <c r="AA82" s="86">
        <f ca="1">IFERROR(__xludf.DUMMYFUNCTION("IMPORTRANGE(""https://docs.google.com/spreadsheets/d/1b6QssHQp2FoAPSMKHOy273KNzAomaIKhtdlvuZ_zDNE/edit?usp=sharing"",""พัทลุง!L199"")"),2000)</f>
        <v>2000</v>
      </c>
      <c r="AB82" s="86">
        <f ca="1">IFERROR(__xludf.DUMMYFUNCTION("IMPORTRANGE(""https://docs.google.com/spreadsheets/d/1b6QssHQp2FoAPSMKHOy273KNzAomaIKhtdlvuZ_zDNE/edit?usp=sharing"",""พัทลุง!N199"")"),0)</f>
        <v>0</v>
      </c>
      <c r="AC82" s="87">
        <f t="shared" ca="1" si="86"/>
        <v>0</v>
      </c>
      <c r="AD82" s="86">
        <f ca="1">IFERROR(__xludf.DUMMYFUNCTION("IMPORTRANGE(""https://docs.google.com/spreadsheets/d/1b6QssHQp2FoAPSMKHOy273KNzAomaIKhtdlvuZ_zDNE/edit?usp=sharing"",""พัทลุง!L200"")"),16000)</f>
        <v>16000</v>
      </c>
      <c r="AE82" s="86">
        <f ca="1">IFERROR(__xludf.DUMMYFUNCTION("IMPORTRANGE(""https://docs.google.com/spreadsheets/d/1b6QssHQp2FoAPSMKHOy273KNzAomaIKhtdlvuZ_zDNE/edit?usp=sharing"",""พัทลุง!N200"")"),0)</f>
        <v>0</v>
      </c>
      <c r="AF82" s="87">
        <f t="shared" ca="1" si="87"/>
        <v>0</v>
      </c>
      <c r="AG82" s="86">
        <f ca="1">IFERROR(__xludf.DUMMYFUNCTION("IMPORTRANGE(""https://docs.google.com/spreadsheets/d/1b6QssHQp2FoAPSMKHOy273KNzAomaIKhtdlvuZ_zDNE/edit?usp=sharing"",""พัทลุง!L201"")"),8000)</f>
        <v>8000</v>
      </c>
      <c r="AH82" s="86">
        <f ca="1">IFERROR(__xludf.DUMMYFUNCTION("IMPORTRANGE(""https://docs.google.com/spreadsheets/d/1b6QssHQp2FoAPSMKHOy273KNzAomaIKhtdlvuZ_zDNE/edit?usp=sharing"",""พัทลุง!N201"")"),0)</f>
        <v>0</v>
      </c>
      <c r="AI82" s="87">
        <f t="shared" ca="1" si="88"/>
        <v>0</v>
      </c>
      <c r="AJ82" s="86">
        <f ca="1">IFERROR(__xludf.DUMMYFUNCTION("IMPORTRANGE(""https://docs.google.com/spreadsheets/d/1b6QssHQp2FoAPSMKHOy273KNzAomaIKhtdlvuZ_zDNE/edit?usp=sharing"",""พัทลุง!L202"")"),0)</f>
        <v>0</v>
      </c>
      <c r="AK82" s="86">
        <f ca="1">IFERROR(__xludf.DUMMYFUNCTION("IMPORTRANGE(""https://docs.google.com/spreadsheets/d/1b6QssHQp2FoAPSMKHOy273KNzAomaIKhtdlvuZ_zDNE/edit?usp=sharing"",""พัทลุง!N202"")"),0)</f>
        <v>0</v>
      </c>
      <c r="AL82" s="87">
        <f t="shared" ca="1" si="89"/>
        <v>0</v>
      </c>
      <c r="AM82" s="86">
        <f ca="1">IFERROR(__xludf.DUMMYFUNCTION("IMPORTRANGE(""https://docs.google.com/spreadsheets/d/1b6QssHQp2FoAPSMKHOy273KNzAomaIKhtdlvuZ_zDNE/edit?usp=sharing"",""พัทลุง!I204"")"),2)</f>
        <v>2</v>
      </c>
      <c r="AN82" s="86">
        <f ca="1">IFERROR(__xludf.DUMMYFUNCTION("IMPORTRANGE(""https://docs.google.com/spreadsheets/d/1b6QssHQp2FoAPSMKHOy273KNzAomaIKhtdlvuZ_zDNE/edit?usp=sharing"",""พัทลุง!J204"")"),2)</f>
        <v>2</v>
      </c>
      <c r="AO82" s="87">
        <f t="shared" ca="1" si="90"/>
        <v>100</v>
      </c>
      <c r="AP82" s="298">
        <f ca="1">IFERROR(__xludf.DUMMYFUNCTION("IMPORTRANGE(""https://docs.google.com/spreadsheets/d/1b6QssHQp2FoAPSMKHOy273KNzAomaIKhtdlvuZ_zDNE/edit?usp=sharing"",""พัทลุง!J206"")"),2)</f>
        <v>2</v>
      </c>
      <c r="AQ82" s="298">
        <f ca="1">IFERROR(__xludf.DUMMYFUNCTION("IMPORTRANGE(""https://docs.google.com/spreadsheets/d/1b6QssHQp2FoAPSMKHOy273KNzAomaIKhtdlvuZ_zDNE/edit?usp=sharing"",""พัทลุง!J207"")"),40)</f>
        <v>40</v>
      </c>
      <c r="AR82" s="86">
        <f ca="1">IFERROR(__xludf.DUMMYFUNCTION("IMPORTRANGE(""https://docs.google.com/spreadsheets/d/1b6QssHQp2FoAPSMKHOy273KNzAomaIKhtdlvuZ_zDNE/edit?usp=sharing"",""พัทลุง!L210"")"),0)</f>
        <v>0</v>
      </c>
      <c r="AS82" s="86">
        <f ca="1">IFERROR(__xludf.DUMMYFUNCTION("IMPORTRANGE(""https://docs.google.com/spreadsheets/d/1b6QssHQp2FoAPSMKHOy273KNzAomaIKhtdlvuZ_zDNE/edit?usp=sharing"",""พัทลุง!N210"")"),0)</f>
        <v>0</v>
      </c>
      <c r="AT82" s="87">
        <f t="shared" ca="1" si="91"/>
        <v>0</v>
      </c>
      <c r="AU82" s="86">
        <f ca="1">IFERROR(__xludf.DUMMYFUNCTION("IMPORTRANGE(""https://docs.google.com/spreadsheets/d/1b6QssHQp2FoAPSMKHOy273KNzAomaIKhtdlvuZ_zDNE/edit?usp=sharing"",""พัทลุง!L211"")"),0)</f>
        <v>0</v>
      </c>
      <c r="AV82" s="86">
        <f ca="1">IFERROR(__xludf.DUMMYFUNCTION("IMPORTRANGE(""https://docs.google.com/spreadsheets/d/1b6QssHQp2FoAPSMKHOy273KNzAomaIKhtdlvuZ_zDNE/edit?usp=sharing"",""พัทลุง!N211"")"),0)</f>
        <v>0</v>
      </c>
      <c r="AW82" s="87">
        <f t="shared" ca="1" si="92"/>
        <v>0</v>
      </c>
      <c r="AX82" s="86">
        <f ca="1">IFERROR(__xludf.DUMMYFUNCTION("IMPORTRANGE(""https://docs.google.com/spreadsheets/d/1b6QssHQp2FoAPSMKHOy273KNzAomaIKhtdlvuZ_zDNE/edit?usp=sharing"",""พัทลุง!L212"")"),0)</f>
        <v>0</v>
      </c>
      <c r="AY82" s="86">
        <f ca="1">IFERROR(__xludf.DUMMYFUNCTION("IMPORTRANGE(""https://docs.google.com/spreadsheets/d/1b6QssHQp2FoAPSMKHOy273KNzAomaIKhtdlvuZ_zDNE/edit?usp=sharing"",""พัทลุง!N212"")"),0)</f>
        <v>0</v>
      </c>
      <c r="AZ82" s="87">
        <f t="shared" ca="1" si="93"/>
        <v>0</v>
      </c>
      <c r="BA82" s="86">
        <f ca="1">IFERROR(__xludf.DUMMYFUNCTION("IMPORTRANGE(""https://docs.google.com/spreadsheets/d/1b6QssHQp2FoAPSMKHOy273KNzAomaIKhtdlvuZ_zDNE/edit?usp=sharing"",""พัทลุง!I214"")"),0)</f>
        <v>0</v>
      </c>
      <c r="BB82" s="86">
        <f ca="1">IFERROR(__xludf.DUMMYFUNCTION("IMPORTRANGE(""https://docs.google.com/spreadsheets/d/1b6QssHQp2FoAPSMKHOy273KNzAomaIKhtdlvuZ_zDNE/edit?usp=sharing"",""พัทลุง!J214"")"),0)</f>
        <v>0</v>
      </c>
      <c r="BC82" s="87">
        <f t="shared" ca="1" si="94"/>
        <v>0</v>
      </c>
      <c r="BD82" s="86">
        <f ca="1">IFERROR(__xludf.DUMMYFUNCTION("IMPORTRANGE(""https://docs.google.com/spreadsheets/d/1b6QssHQp2FoAPSMKHOy273KNzAomaIKhtdlvuZ_zDNE/edit?usp=sharing"",""พัทลุง!I215"")"),0)</f>
        <v>0</v>
      </c>
      <c r="BE82" s="86">
        <f ca="1">IFERROR(__xludf.DUMMYFUNCTION("IMPORTRANGE(""https://docs.google.com/spreadsheets/d/1b6QssHQp2FoAPSMKHOy273KNzAomaIKhtdlvuZ_zDNE/edit?usp=sharing"",""พัทลุง!J215"")"),0)</f>
        <v>0</v>
      </c>
      <c r="BF82" s="87">
        <f t="shared" ca="1" si="95"/>
        <v>0</v>
      </c>
      <c r="BG82" s="86">
        <f ca="1">IFERROR(__xludf.DUMMYFUNCTION("IMPORTRANGE(""https://docs.google.com/spreadsheets/d/1b6QssHQp2FoAPSMKHOy273KNzAomaIKhtdlvuZ_zDNE/edit?usp=sharing"",""พัทลุง!L218"")"),3000)</f>
        <v>3000</v>
      </c>
      <c r="BH82" s="86">
        <f ca="1">IFERROR(__xludf.DUMMYFUNCTION("IMPORTRANGE(""https://docs.google.com/spreadsheets/d/1b6QssHQp2FoAPSMKHOy273KNzAomaIKhtdlvuZ_zDNE/edit?usp=sharing"",""พัทลุง!N218"")"),0)</f>
        <v>0</v>
      </c>
      <c r="BI82" s="87">
        <f t="shared" ca="1" si="96"/>
        <v>0</v>
      </c>
      <c r="BJ82" s="86">
        <f ca="1">IFERROR(__xludf.DUMMYFUNCTION("IMPORTRANGE(""https://docs.google.com/spreadsheets/d/1b6QssHQp2FoAPSMKHOy273KNzAomaIKhtdlvuZ_zDNE/edit?usp=sharing"",""พัทลุง!L219"")"),3500)</f>
        <v>3500</v>
      </c>
      <c r="BK82" s="86">
        <f ca="1">IFERROR(__xludf.DUMMYFUNCTION("IMPORTRANGE(""https://docs.google.com/spreadsheets/d/1b6QssHQp2FoAPSMKHOy273KNzAomaIKhtdlvuZ_zDNE/edit?usp=sharing"",""พัทลุง!N219"")"),0)</f>
        <v>0</v>
      </c>
      <c r="BL82" s="87">
        <f t="shared" ca="1" si="97"/>
        <v>0</v>
      </c>
      <c r="BM82" s="86">
        <f ca="1">IFERROR(__xludf.DUMMYFUNCTION("IMPORTRANGE(""https://docs.google.com/spreadsheets/d/1b6QssHQp2FoAPSMKHOy273KNzAomaIKhtdlvuZ_zDNE/edit?usp=sharing"",""พัทลุง!L220"")"),0)</f>
        <v>0</v>
      </c>
      <c r="BN82" s="86">
        <f ca="1">IFERROR(__xludf.DUMMYFUNCTION("IMPORTRANGE(""https://docs.google.com/spreadsheets/d/1b6QssHQp2FoAPSMKHOy273KNzAomaIKhtdlvuZ_zDNE/edit?usp=sharing"",""พัทลุง!N220"")"),0)</f>
        <v>0</v>
      </c>
      <c r="BO82" s="87">
        <f t="shared" ca="1" si="98"/>
        <v>0</v>
      </c>
      <c r="BP82" s="86">
        <f ca="1">IFERROR(__xludf.DUMMYFUNCTION("IMPORTRANGE(""https://docs.google.com/spreadsheets/d/1b6QssHQp2FoAPSMKHOy273KNzAomaIKhtdlvuZ_zDNE/edit?usp=sharing"",""พัทลุง!I223"")"),10000)</f>
        <v>10000</v>
      </c>
      <c r="BQ82" s="86">
        <f ca="1">IFERROR(__xludf.DUMMYFUNCTION("IMPORTRANGE(""https://docs.google.com/spreadsheets/d/1b6QssHQp2FoAPSMKHOy273KNzAomaIKhtdlvuZ_zDNE/edit?usp=sharing"",""พัทลุง!J223"")"),0)</f>
        <v>0</v>
      </c>
      <c r="BR82" s="87">
        <f t="shared" ca="1" si="99"/>
        <v>0</v>
      </c>
      <c r="BS82" s="86">
        <f ca="1">IFERROR(__xludf.DUMMYFUNCTION("IMPORTRANGE(""https://docs.google.com/spreadsheets/d/1b6QssHQp2FoAPSMKHOy273KNzAomaIKhtdlvuZ_zDNE/edit?usp=sharing"",""พัทลุง!I224"")"),10000)</f>
        <v>10000</v>
      </c>
      <c r="BT82" s="86">
        <f ca="1">IFERROR(__xludf.DUMMYFUNCTION("IMPORTRANGE(""https://docs.google.com/spreadsheets/d/1b6QssHQp2FoAPSMKHOy273KNzAomaIKhtdlvuZ_zDNE/edit?usp=sharing"",""พัทลุง!J224"")"),0)</f>
        <v>0</v>
      </c>
      <c r="BU82" s="87">
        <f t="shared" ca="1" si="100"/>
        <v>0</v>
      </c>
      <c r="BV82" s="86">
        <f ca="1">IFERROR(__xludf.DUMMYFUNCTION("IMPORTRANGE(""https://docs.google.com/spreadsheets/d/1b6QssHQp2FoAPSMKHOy273KNzAomaIKhtdlvuZ_zDNE/edit?usp=sharing"",""พัทลุง!I225"")"),0)</f>
        <v>0</v>
      </c>
      <c r="BW82" s="86">
        <f ca="1">IFERROR(__xludf.DUMMYFUNCTION("IMPORTRANGE(""https://docs.google.com/spreadsheets/d/1b6QssHQp2FoAPSMKHOy273KNzAomaIKhtdlvuZ_zDNE/edit?usp=sharing"",""พัทลุง!J225"")"),0)</f>
        <v>0</v>
      </c>
      <c r="BX82" s="87">
        <f t="shared" ca="1" si="101"/>
        <v>0</v>
      </c>
      <c r="BY82" s="86">
        <f ca="1">IFERROR(__xludf.DUMMYFUNCTION("IMPORTRANGE(""https://docs.google.com/spreadsheets/d/1b6QssHQp2FoAPSMKHOy273KNzAomaIKhtdlvuZ_zDNE/edit?usp=sharing"",""พัทลุง!L228"")"),0)</f>
        <v>0</v>
      </c>
      <c r="BZ82" s="86">
        <f ca="1">IFERROR(__xludf.DUMMYFUNCTION("IMPORTRANGE(""https://docs.google.com/spreadsheets/d/1b6QssHQp2FoAPSMKHOy273KNzAomaIKhtdlvuZ_zDNE/edit?usp=sharing"",""พัทลุง!N228"")"),0)</f>
        <v>0</v>
      </c>
      <c r="CA82" s="87">
        <f t="shared" ca="1" si="102"/>
        <v>0</v>
      </c>
      <c r="CB82" s="86">
        <f ca="1">IFERROR(__xludf.DUMMYFUNCTION("IMPORTRANGE(""https://docs.google.com/spreadsheets/d/1b6QssHQp2FoAPSMKHOy273KNzAomaIKhtdlvuZ_zDNE/edit?usp=sharing"",""พัทลุง!L229"")"),0)</f>
        <v>0</v>
      </c>
      <c r="CC82" s="86">
        <f ca="1">IFERROR(__xludf.DUMMYFUNCTION("IMPORTRANGE(""https://docs.google.com/spreadsheets/d/1b6QssHQp2FoAPSMKHOy273KNzAomaIKhtdlvuZ_zDNE/edit?usp=sharing"",""พัทลุง!N229"")"),0)</f>
        <v>0</v>
      </c>
      <c r="CD82" s="87">
        <f t="shared" ca="1" si="103"/>
        <v>0</v>
      </c>
      <c r="CE82" s="86">
        <f ca="1">IFERROR(__xludf.DUMMYFUNCTION("IMPORTRANGE(""https://docs.google.com/spreadsheets/d/1b6QssHQp2FoAPSMKHOy273KNzAomaIKhtdlvuZ_zDNE/edit?usp=sharing"",""พัทลุง!L230"")"),0)</f>
        <v>0</v>
      </c>
      <c r="CF82" s="86">
        <f ca="1">IFERROR(__xludf.DUMMYFUNCTION("IMPORTRANGE(""https://docs.google.com/spreadsheets/d/1b6QssHQp2FoAPSMKHOy273KNzAomaIKhtdlvuZ_zDNE/edit?usp=sharing"",""พัทลุง!N230"")"),0)</f>
        <v>0</v>
      </c>
      <c r="CG82" s="87">
        <f t="shared" ca="1" si="104"/>
        <v>0</v>
      </c>
      <c r="CH82" s="86">
        <f ca="1">IFERROR(__xludf.DUMMYFUNCTION("IMPORTRANGE(""https://docs.google.com/spreadsheets/d/1b6QssHQp2FoAPSMKHOy273KNzAomaIKhtdlvuZ_zDNE/edit?usp=sharing"",""พัทลุง!L231"")"),0)</f>
        <v>0</v>
      </c>
      <c r="CI82" s="86">
        <f ca="1">IFERROR(__xludf.DUMMYFUNCTION("IMPORTRANGE(""https://docs.google.com/spreadsheets/d/1b6QssHQp2FoAPSMKHOy273KNzAomaIKhtdlvuZ_zDNE/edit?usp=sharing"",""พัทลุง!N231"")"),0)</f>
        <v>0</v>
      </c>
      <c r="CJ82" s="87">
        <f t="shared" ca="1" si="105"/>
        <v>0</v>
      </c>
      <c r="CK82" s="86">
        <f ca="1">IFERROR(__xludf.DUMMYFUNCTION("IMPORTRANGE(""https://docs.google.com/spreadsheets/d/1b6QssHQp2FoAPSMKHOy273KNzAomaIKhtdlvuZ_zDNE/edit?usp=sharing"",""พัทลุง!I233"")"),0)</f>
        <v>0</v>
      </c>
      <c r="CL82" s="86">
        <f ca="1">IFERROR(__xludf.DUMMYFUNCTION("IMPORTRANGE(""https://docs.google.com/spreadsheets/d/1b6QssHQp2FoAPSMKHOy273KNzAomaIKhtdlvuZ_zDNE/edit?usp=sharing"",""พัทลุง!J233"")"),0)</f>
        <v>0</v>
      </c>
      <c r="CM82" s="87">
        <f t="shared" ca="1" si="106"/>
        <v>0</v>
      </c>
      <c r="CN82" s="86">
        <f ca="1">IFERROR(__xludf.DUMMYFUNCTION("IMPORTRANGE(""https://docs.google.com/spreadsheets/d/1b6QssHQp2FoAPSMKHOy273KNzAomaIKhtdlvuZ_zDNE/edit?usp=sharing"",""พัทลุง!J235"")"),0)</f>
        <v>0</v>
      </c>
      <c r="CO82" s="86">
        <f ca="1">IFERROR(__xludf.DUMMYFUNCTION("IMPORTRANGE(""https://docs.google.com/spreadsheets/d/1b6QssHQp2FoAPSMKHOy273KNzAomaIKhtdlvuZ_zDNE/edit?usp=sharing"",""พัทลุง!J236"")"),0)</f>
        <v>0</v>
      </c>
    </row>
    <row r="83" spans="1:93" ht="21" customHeight="1" x14ac:dyDescent="0.3">
      <c r="A83" s="78">
        <v>9</v>
      </c>
      <c r="B83" s="79" t="s">
        <v>105</v>
      </c>
      <c r="C83" s="80">
        <f t="shared" ca="1" si="0"/>
        <v>6000</v>
      </c>
      <c r="D83" s="81">
        <f t="shared" ca="1" si="214"/>
        <v>6000</v>
      </c>
      <c r="E83" s="82">
        <f ca="1">IFERROR(__xludf.DUMMYFUNCTION("IMPORTRANGE(""https://docs.google.com/spreadsheets/d/1MeEWN-I1oV_STSDYn1IFDPWt_1FKiwhDph83XaGc0o0/edit?usp=sharing"",""งบพรบ!CP83"")"),0)</f>
        <v>0</v>
      </c>
      <c r="F83" s="82">
        <f ca="1">IFERROR(__xludf.DUMMYFUNCTION("IMPORTRANGE(""https://docs.google.com/spreadsheets/d/1MeEWN-I1oV_STSDYn1IFDPWt_1FKiwhDph83XaGc0o0/edit?usp=sharing"",""งบพรบ!CQ83"")"),6000)</f>
        <v>6000</v>
      </c>
      <c r="G83" s="82">
        <f ca="1">IFERROR(__xludf.DUMMYFUNCTION("IMPORTRANGE(""https://docs.google.com/spreadsheets/d/1MeEWN-I1oV_STSDYn1IFDPWt_1FKiwhDph83XaGc0o0/edit?usp=sharing"",""งบพรบ!CR83"")"),0)</f>
        <v>0</v>
      </c>
      <c r="H83" s="82">
        <f ca="1">IFERROR(__xludf.DUMMYFUNCTION("IMPORTRANGE(""https://docs.google.com/spreadsheets/d/1MeEWN-I1oV_STSDYn1IFDPWt_1FKiwhDph83XaGc0o0/edit?usp=sharing"",""งบพรบ!CT83"")"),4500)</f>
        <v>4500</v>
      </c>
      <c r="I83" s="82">
        <f ca="1">IFERROR(__xludf.DUMMYFUNCTION("IMPORTRANGE(""https://docs.google.com/spreadsheets/d/1MeEWN-I1oV_STSDYn1IFDPWt_1FKiwhDph83XaGc0o0/edit?usp=sharing"",""งบพรบ!CU83"")"),0)</f>
        <v>0</v>
      </c>
      <c r="J83" s="82">
        <f t="shared" ca="1" si="3"/>
        <v>1624</v>
      </c>
      <c r="K83" s="83">
        <f t="shared" ca="1" si="4"/>
        <v>27.066666666666666</v>
      </c>
      <c r="L83" s="82">
        <f ca="1">IFERROR(__xludf.DUMMYFUNCTION("IMPORTRANGE(""https://docs.google.com/spreadsheets/d/1MeEWN-I1oV_STSDYn1IFDPWt_1FKiwhDph83XaGc0o0/edit?usp=sharing"",""งบพรบ!CV83"")"),1624)</f>
        <v>1624</v>
      </c>
      <c r="M83" s="84">
        <f t="shared" ca="1" si="5"/>
        <v>27.066666666666666</v>
      </c>
      <c r="N83" s="84">
        <f t="shared" ca="1" si="6"/>
        <v>36.088888888888889</v>
      </c>
      <c r="O83" s="85">
        <f ca="1">IFERROR(__xludf.DUMMYFUNCTION("IMPORTRANGE(""https://docs.google.com/spreadsheets/d/1MeEWN-I1oV_STSDYn1IFDPWt_1FKiwhDph83XaGc0o0/edit?usp=sharing"",""งบพรบ!CW83"")"),0)</f>
        <v>0</v>
      </c>
      <c r="P83" s="85">
        <f t="shared" ca="1" si="108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IFERROR(__xludf.DUMMYFUNCTION("IMPORTRANGE(""https://docs.google.com/spreadsheets/d/1o7UZe4_OqlqtLDHrj01Z2YFRSZDf1DMy1n3XViHaxRc/edit?usp=sharing"",""ภูเก็ต!L191"")"),6000)</f>
        <v>6000</v>
      </c>
      <c r="S83" s="86">
        <f ca="1">IFERROR(__xludf.DUMMYFUNCTION("IMPORTRANGE(""https://docs.google.com/spreadsheets/d/1o7UZe4_OqlqtLDHrj01Z2YFRSZDf1DMy1n3XViHaxRc/edit?usp=sharing"",""ภูเก็ต!N191"")"),1624)</f>
        <v>1624</v>
      </c>
      <c r="T83" s="87">
        <f t="shared" ca="1" si="84"/>
        <v>27.066666666666666</v>
      </c>
      <c r="U83" s="86">
        <f ca="1">IFERROR(__xludf.DUMMYFUNCTION("IMPORTRANGE(""https://docs.google.com/spreadsheets/d/1o7UZe4_OqlqtLDHrj01Z2YFRSZDf1DMy1n3XViHaxRc/edit?usp=sharing"",""ภูเก็ต!I193"")"),4)</f>
        <v>4</v>
      </c>
      <c r="V83" s="86">
        <f ca="1">IFERROR(__xludf.DUMMYFUNCTION("IMPORTRANGE(""https://docs.google.com/spreadsheets/d/1o7UZe4_OqlqtLDHrj01Z2YFRSZDf1DMy1n3XViHaxRc/edit?usp=sharing"",""ภูเก็ต!J193"")"),1)</f>
        <v>1</v>
      </c>
      <c r="W83" s="87">
        <f t="shared" ca="1" si="85"/>
        <v>25</v>
      </c>
      <c r="X83" s="86">
        <f t="shared" ca="1" si="215"/>
        <v>44</v>
      </c>
      <c r="Y83" s="86">
        <f ca="1">IFERROR(__xludf.DUMMYFUNCTION("IMPORTRANGE(""https://docs.google.com/spreadsheets/d/1o7UZe4_OqlqtLDHrj01Z2YFRSZDf1DMy1n3XViHaxRc/edit?usp=sharing"",""ภูเก็ต!J195"")"),44)</f>
        <v>44</v>
      </c>
      <c r="Z83" s="86">
        <f ca="1">IFERROR(__xludf.DUMMYFUNCTION("IMPORTRANGE(""https://docs.google.com/spreadsheets/d/1o7UZe4_OqlqtLDHrj01Z2YFRSZDf1DMy1n3XViHaxRc/edit?usp=sharing"",""ภูเก็ต!J196"")"),0)</f>
        <v>0</v>
      </c>
      <c r="AA83" s="86">
        <f ca="1">IFERROR(__xludf.DUMMYFUNCTION("IMPORTRANGE(""https://docs.google.com/spreadsheets/d/1o7UZe4_OqlqtLDHrj01Z2YFRSZDf1DMy1n3XViHaxRc/edit?usp=sharing"",""ภูเก็ต!L199"")"),0)</f>
        <v>0</v>
      </c>
      <c r="AB83" s="86">
        <f ca="1">IFERROR(__xludf.DUMMYFUNCTION("IMPORTRANGE(""https://docs.google.com/spreadsheets/d/1o7UZe4_OqlqtLDHrj01Z2YFRSZDf1DMy1n3XViHaxRc/edit?usp=sharing"",""ภูเก็ต!N199"")"),0)</f>
        <v>0</v>
      </c>
      <c r="AC83" s="87">
        <f t="shared" ca="1" si="86"/>
        <v>0</v>
      </c>
      <c r="AD83" s="86">
        <f ca="1">IFERROR(__xludf.DUMMYFUNCTION("IMPORTRANGE(""https://docs.google.com/spreadsheets/d/1o7UZe4_OqlqtLDHrj01Z2YFRSZDf1DMy1n3XViHaxRc/edit?usp=sharing"",""ภูเก็ต!L200"")"),0)</f>
        <v>0</v>
      </c>
      <c r="AE83" s="86">
        <f ca="1">IFERROR(__xludf.DUMMYFUNCTION("IMPORTRANGE(""https://docs.google.com/spreadsheets/d/1o7UZe4_OqlqtLDHrj01Z2YFRSZDf1DMy1n3XViHaxRc/edit?usp=sharing"",""ภูเก็ต!N200"")"),0)</f>
        <v>0</v>
      </c>
      <c r="AF83" s="87">
        <f t="shared" ca="1" si="87"/>
        <v>0</v>
      </c>
      <c r="AG83" s="86">
        <f ca="1">IFERROR(__xludf.DUMMYFUNCTION("IMPORTRANGE(""https://docs.google.com/spreadsheets/d/1o7UZe4_OqlqtLDHrj01Z2YFRSZDf1DMy1n3XViHaxRc/edit?usp=sharing"",""ภูเก็ต!L201"")"),0)</f>
        <v>0</v>
      </c>
      <c r="AH83" s="86">
        <f ca="1">IFERROR(__xludf.DUMMYFUNCTION("IMPORTRANGE(""https://docs.google.com/spreadsheets/d/1o7UZe4_OqlqtLDHrj01Z2YFRSZDf1DMy1n3XViHaxRc/edit?usp=sharing"",""ภูเก็ต!N201"")"),0)</f>
        <v>0</v>
      </c>
      <c r="AI83" s="87">
        <f t="shared" ca="1" si="88"/>
        <v>0</v>
      </c>
      <c r="AJ83" s="86">
        <f ca="1">IFERROR(__xludf.DUMMYFUNCTION("IMPORTRANGE(""https://docs.google.com/spreadsheets/d/1o7UZe4_OqlqtLDHrj01Z2YFRSZDf1DMy1n3XViHaxRc/edit?usp=sharing"",""ภูเก็ต!L202"")"),0)</f>
        <v>0</v>
      </c>
      <c r="AK83" s="86">
        <f ca="1">IFERROR(__xludf.DUMMYFUNCTION("IMPORTRANGE(""https://docs.google.com/spreadsheets/d/1o7UZe4_OqlqtLDHrj01Z2YFRSZDf1DMy1n3XViHaxRc/edit?usp=sharing"",""ภูเก็ต!N202"")"),0)</f>
        <v>0</v>
      </c>
      <c r="AL83" s="87">
        <f t="shared" ca="1" si="89"/>
        <v>0</v>
      </c>
      <c r="AM83" s="86">
        <f ca="1">IFERROR(__xludf.DUMMYFUNCTION("IMPORTRANGE(""https://docs.google.com/spreadsheets/d/1o7UZe4_OqlqtLDHrj01Z2YFRSZDf1DMy1n3XViHaxRc/edit?usp=sharing"",""ภูเก็ต!I204"")"),0)</f>
        <v>0</v>
      </c>
      <c r="AN83" s="86">
        <f ca="1">IFERROR(__xludf.DUMMYFUNCTION("IMPORTRANGE(""https://docs.google.com/spreadsheets/d/1o7UZe4_OqlqtLDHrj01Z2YFRSZDf1DMy1n3XViHaxRc/edit?usp=sharing"",""ภูเก็ต!J204"")"),0)</f>
        <v>0</v>
      </c>
      <c r="AO83" s="87">
        <f t="shared" ca="1" si="90"/>
        <v>0</v>
      </c>
      <c r="AP83" s="298">
        <f ca="1">IFERROR(__xludf.DUMMYFUNCTION("IMPORTRANGE(""https://docs.google.com/spreadsheets/d/1o7UZe4_OqlqtLDHrj01Z2YFRSZDf1DMy1n3XViHaxRc/edit?usp=sharing"",""ภูเก็ต!J206"")"),0)</f>
        <v>0</v>
      </c>
      <c r="AQ83" s="298">
        <f ca="1">IFERROR(__xludf.DUMMYFUNCTION("IMPORTRANGE(""https://docs.google.com/spreadsheets/d/1o7UZe4_OqlqtLDHrj01Z2YFRSZDf1DMy1n3XViHaxRc/edit?usp=sharing"",""ภูเก็ต!J207"")"),0)</f>
        <v>0</v>
      </c>
      <c r="AR83" s="86">
        <f ca="1">IFERROR(__xludf.DUMMYFUNCTION("IMPORTRANGE(""https://docs.google.com/spreadsheets/d/1o7UZe4_OqlqtLDHrj01Z2YFRSZDf1DMy1n3XViHaxRc/edit?usp=sharing"",""ภูเก็ต!L210"")"),0)</f>
        <v>0</v>
      </c>
      <c r="AS83" s="86">
        <f ca="1">IFERROR(__xludf.DUMMYFUNCTION("IMPORTRANGE(""https://docs.google.com/spreadsheets/d/1o7UZe4_OqlqtLDHrj01Z2YFRSZDf1DMy1n3XViHaxRc/edit?usp=sharing"",""ภูเก็ต!N210"")"),0)</f>
        <v>0</v>
      </c>
      <c r="AT83" s="87">
        <f t="shared" ca="1" si="91"/>
        <v>0</v>
      </c>
      <c r="AU83" s="86">
        <f ca="1">IFERROR(__xludf.DUMMYFUNCTION("IMPORTRANGE(""https://docs.google.com/spreadsheets/d/1o7UZe4_OqlqtLDHrj01Z2YFRSZDf1DMy1n3XViHaxRc/edit?usp=sharing"",""ภูเก็ต!L211"")"),0)</f>
        <v>0</v>
      </c>
      <c r="AV83" s="86">
        <f ca="1">IFERROR(__xludf.DUMMYFUNCTION("IMPORTRANGE(""https://docs.google.com/spreadsheets/d/1o7UZe4_OqlqtLDHrj01Z2YFRSZDf1DMy1n3XViHaxRc/edit?usp=sharing"",""ภูเก็ต!N211"")"),0)</f>
        <v>0</v>
      </c>
      <c r="AW83" s="87">
        <f t="shared" ca="1" si="92"/>
        <v>0</v>
      </c>
      <c r="AX83" s="86">
        <f ca="1">IFERROR(__xludf.DUMMYFUNCTION("IMPORTRANGE(""https://docs.google.com/spreadsheets/d/1o7UZe4_OqlqtLDHrj01Z2YFRSZDf1DMy1n3XViHaxRc/edit?usp=sharing"",""ภูเก็ต!L212"")"),0)</f>
        <v>0</v>
      </c>
      <c r="AY83" s="86">
        <f ca="1">IFERROR(__xludf.DUMMYFUNCTION("IMPORTRANGE(""https://docs.google.com/spreadsheets/d/1o7UZe4_OqlqtLDHrj01Z2YFRSZDf1DMy1n3XViHaxRc/edit?usp=sharing"",""ภูเก็ต!N212"")"),0)</f>
        <v>0</v>
      </c>
      <c r="AZ83" s="87">
        <f t="shared" ca="1" si="93"/>
        <v>0</v>
      </c>
      <c r="BA83" s="86">
        <f ca="1">IFERROR(__xludf.DUMMYFUNCTION("IMPORTRANGE(""https://docs.google.com/spreadsheets/d/1o7UZe4_OqlqtLDHrj01Z2YFRSZDf1DMy1n3XViHaxRc/edit?usp=sharing"",""ภูเก็ต!I214"")"),0)</f>
        <v>0</v>
      </c>
      <c r="BB83" s="86">
        <f ca="1">IFERROR(__xludf.DUMMYFUNCTION("IMPORTRANGE(""https://docs.google.com/spreadsheets/d/1o7UZe4_OqlqtLDHrj01Z2YFRSZDf1DMy1n3XViHaxRc/edit?usp=sharing"",""ภูเก็ต!J214"")"),0)</f>
        <v>0</v>
      </c>
      <c r="BC83" s="87">
        <f t="shared" ca="1" si="94"/>
        <v>0</v>
      </c>
      <c r="BD83" s="86">
        <f ca="1">IFERROR(__xludf.DUMMYFUNCTION("IMPORTRANGE(""https://docs.google.com/spreadsheets/d/1o7UZe4_OqlqtLDHrj01Z2YFRSZDf1DMy1n3XViHaxRc/edit?usp=sharing"",""ภูเก็ต!I215"")"),0)</f>
        <v>0</v>
      </c>
      <c r="BE83" s="86">
        <f ca="1">IFERROR(__xludf.DUMMYFUNCTION("IMPORTRANGE(""https://docs.google.com/spreadsheets/d/1o7UZe4_OqlqtLDHrj01Z2YFRSZDf1DMy1n3XViHaxRc/edit?usp=sharing"",""ภูเก็ต!J215"")"),0)</f>
        <v>0</v>
      </c>
      <c r="BF83" s="87">
        <f t="shared" ca="1" si="95"/>
        <v>0</v>
      </c>
      <c r="BG83" s="86">
        <f ca="1">IFERROR(__xludf.DUMMYFUNCTION("IMPORTRANGE(""https://docs.google.com/spreadsheets/d/1o7UZe4_OqlqtLDHrj01Z2YFRSZDf1DMy1n3XViHaxRc/edit?usp=sharing"",""ภูเก็ต!L218"")"),0)</f>
        <v>0</v>
      </c>
      <c r="BH83" s="86">
        <f ca="1">IFERROR(__xludf.DUMMYFUNCTION("IMPORTRANGE(""https://docs.google.com/spreadsheets/d/1o7UZe4_OqlqtLDHrj01Z2YFRSZDf1DMy1n3XViHaxRc/edit?usp=sharing"",""ภูเก็ต!N218"")"),0)</f>
        <v>0</v>
      </c>
      <c r="BI83" s="87">
        <f t="shared" ca="1" si="96"/>
        <v>0</v>
      </c>
      <c r="BJ83" s="86">
        <f ca="1">IFERROR(__xludf.DUMMYFUNCTION("IMPORTRANGE(""https://docs.google.com/spreadsheets/d/1o7UZe4_OqlqtLDHrj01Z2YFRSZDf1DMy1n3XViHaxRc/edit?usp=sharing"",""ภูเก็ต!L219"")"),0)</f>
        <v>0</v>
      </c>
      <c r="BK83" s="86">
        <f ca="1">IFERROR(__xludf.DUMMYFUNCTION("IMPORTRANGE(""https://docs.google.com/spreadsheets/d/1o7UZe4_OqlqtLDHrj01Z2YFRSZDf1DMy1n3XViHaxRc/edit?usp=sharing"",""ภูเก็ต!N219"")"),0)</f>
        <v>0</v>
      </c>
      <c r="BL83" s="87">
        <f t="shared" ca="1" si="97"/>
        <v>0</v>
      </c>
      <c r="BM83" s="86">
        <f ca="1">IFERROR(__xludf.DUMMYFUNCTION("IMPORTRANGE(""https://docs.google.com/spreadsheets/d/1o7UZe4_OqlqtLDHrj01Z2YFRSZDf1DMy1n3XViHaxRc/edit?usp=sharing"",""ภูเก็ต!L220"")"),0)</f>
        <v>0</v>
      </c>
      <c r="BN83" s="86">
        <f ca="1">IFERROR(__xludf.DUMMYFUNCTION("IMPORTRANGE(""https://docs.google.com/spreadsheets/d/1o7UZe4_OqlqtLDHrj01Z2YFRSZDf1DMy1n3XViHaxRc/edit?usp=sharing"",""ภูเก็ต!N220"")"),0)</f>
        <v>0</v>
      </c>
      <c r="BO83" s="87">
        <f t="shared" ca="1" si="98"/>
        <v>0</v>
      </c>
      <c r="BP83" s="86">
        <f ca="1">IFERROR(__xludf.DUMMYFUNCTION("IMPORTRANGE(""https://docs.google.com/spreadsheets/d/1o7UZe4_OqlqtLDHrj01Z2YFRSZDf1DMy1n3XViHaxRc/edit?usp=sharing"",""ภูเก็ต!I223"")"),0)</f>
        <v>0</v>
      </c>
      <c r="BQ83" s="86">
        <f ca="1">IFERROR(__xludf.DUMMYFUNCTION("IMPORTRANGE(""https://docs.google.com/spreadsheets/d/1o7UZe4_OqlqtLDHrj01Z2YFRSZDf1DMy1n3XViHaxRc/edit?usp=sharing"",""ภูเก็ต!J223"")"),0)</f>
        <v>0</v>
      </c>
      <c r="BR83" s="87">
        <f t="shared" ca="1" si="99"/>
        <v>0</v>
      </c>
      <c r="BS83" s="86">
        <f ca="1">IFERROR(__xludf.DUMMYFUNCTION("IMPORTRANGE(""https://docs.google.com/spreadsheets/d/1o7UZe4_OqlqtLDHrj01Z2YFRSZDf1DMy1n3XViHaxRc/edit?usp=sharing"",""ภูเก็ต!I224"")"),0)</f>
        <v>0</v>
      </c>
      <c r="BT83" s="86">
        <f ca="1">IFERROR(__xludf.DUMMYFUNCTION("IMPORTRANGE(""https://docs.google.com/spreadsheets/d/1o7UZe4_OqlqtLDHrj01Z2YFRSZDf1DMy1n3XViHaxRc/edit?usp=sharing"",""ภูเก็ต!J224"")"),0)</f>
        <v>0</v>
      </c>
      <c r="BU83" s="87">
        <f t="shared" ca="1" si="100"/>
        <v>0</v>
      </c>
      <c r="BV83" s="86">
        <f ca="1">IFERROR(__xludf.DUMMYFUNCTION("IMPORTRANGE(""https://docs.google.com/spreadsheets/d/1o7UZe4_OqlqtLDHrj01Z2YFRSZDf1DMy1n3XViHaxRc/edit?usp=sharing"",""ภูเก็ต!I225"")"),0)</f>
        <v>0</v>
      </c>
      <c r="BW83" s="86">
        <f ca="1">IFERROR(__xludf.DUMMYFUNCTION("IMPORTRANGE(""https://docs.google.com/spreadsheets/d/1o7UZe4_OqlqtLDHrj01Z2YFRSZDf1DMy1n3XViHaxRc/edit?usp=sharing"",""ภูเก็ต!J225"")"),0)</f>
        <v>0</v>
      </c>
      <c r="BX83" s="87">
        <f t="shared" ca="1" si="101"/>
        <v>0</v>
      </c>
      <c r="BY83" s="86">
        <f ca="1">IFERROR(__xludf.DUMMYFUNCTION("IMPORTRANGE(""https://docs.google.com/spreadsheets/d/1o7UZe4_OqlqtLDHrj01Z2YFRSZDf1DMy1n3XViHaxRc/edit?usp=sharing"",""ภูเก็ต!L228"")"),0)</f>
        <v>0</v>
      </c>
      <c r="BZ83" s="86">
        <f ca="1">IFERROR(__xludf.DUMMYFUNCTION("IMPORTRANGE(""https://docs.google.com/spreadsheets/d/1o7UZe4_OqlqtLDHrj01Z2YFRSZDf1DMy1n3XViHaxRc/edit?usp=sharing"",""ภูเก็ต!N228"")"),0)</f>
        <v>0</v>
      </c>
      <c r="CA83" s="87">
        <f t="shared" ca="1" si="102"/>
        <v>0</v>
      </c>
      <c r="CB83" s="86">
        <f ca="1">IFERROR(__xludf.DUMMYFUNCTION("IMPORTRANGE(""https://docs.google.com/spreadsheets/d/1o7UZe4_OqlqtLDHrj01Z2YFRSZDf1DMy1n3XViHaxRc/edit?usp=sharing"",""ภูเก็ต!L229"")"),0)</f>
        <v>0</v>
      </c>
      <c r="CC83" s="86">
        <f ca="1">IFERROR(__xludf.DUMMYFUNCTION("IMPORTRANGE(""https://docs.google.com/spreadsheets/d/1o7UZe4_OqlqtLDHrj01Z2YFRSZDf1DMy1n3XViHaxRc/edit?usp=sharing"",""ภูเก็ต!N229"")"),0)</f>
        <v>0</v>
      </c>
      <c r="CD83" s="87">
        <f t="shared" ca="1" si="103"/>
        <v>0</v>
      </c>
      <c r="CE83" s="86">
        <f ca="1">IFERROR(__xludf.DUMMYFUNCTION("IMPORTRANGE(""https://docs.google.com/spreadsheets/d/1o7UZe4_OqlqtLDHrj01Z2YFRSZDf1DMy1n3XViHaxRc/edit?usp=sharing"",""ภูเก็ต!L230"")"),0)</f>
        <v>0</v>
      </c>
      <c r="CF83" s="86">
        <f ca="1">IFERROR(__xludf.DUMMYFUNCTION("IMPORTRANGE(""https://docs.google.com/spreadsheets/d/1o7UZe4_OqlqtLDHrj01Z2YFRSZDf1DMy1n3XViHaxRc/edit?usp=sharing"",""ภูเก็ต!N230"")"),0)</f>
        <v>0</v>
      </c>
      <c r="CG83" s="87">
        <f t="shared" ca="1" si="104"/>
        <v>0</v>
      </c>
      <c r="CH83" s="86">
        <f ca="1">IFERROR(__xludf.DUMMYFUNCTION("IMPORTRANGE(""https://docs.google.com/spreadsheets/d/1o7UZe4_OqlqtLDHrj01Z2YFRSZDf1DMy1n3XViHaxRc/edit?usp=sharing"",""ภูเก็ต!L231"")"),0)</f>
        <v>0</v>
      </c>
      <c r="CI83" s="86">
        <f ca="1">IFERROR(__xludf.DUMMYFUNCTION("IMPORTRANGE(""https://docs.google.com/spreadsheets/d/1o7UZe4_OqlqtLDHrj01Z2YFRSZDf1DMy1n3XViHaxRc/edit?usp=sharing"",""ภูเก็ต!N231"")"),0)</f>
        <v>0</v>
      </c>
      <c r="CJ83" s="87">
        <f t="shared" ca="1" si="105"/>
        <v>0</v>
      </c>
      <c r="CK83" s="86">
        <f ca="1">IFERROR(__xludf.DUMMYFUNCTION("IMPORTRANGE(""https://docs.google.com/spreadsheets/d/1o7UZe4_OqlqtLDHrj01Z2YFRSZDf1DMy1n3XViHaxRc/edit?usp=sharing"",""ภูเก็ต!I233"")"),0)</f>
        <v>0</v>
      </c>
      <c r="CL83" s="86">
        <f ca="1">IFERROR(__xludf.DUMMYFUNCTION("IMPORTRANGE(""https://docs.google.com/spreadsheets/d/1o7UZe4_OqlqtLDHrj01Z2YFRSZDf1DMy1n3XViHaxRc/edit?usp=sharing"",""ภูเก็ต!J233"")"),0)</f>
        <v>0</v>
      </c>
      <c r="CM83" s="87">
        <f t="shared" ca="1" si="106"/>
        <v>0</v>
      </c>
      <c r="CN83" s="86">
        <f ca="1">IFERROR(__xludf.DUMMYFUNCTION("IMPORTRANGE(""https://docs.google.com/spreadsheets/d/1o7UZe4_OqlqtLDHrj01Z2YFRSZDf1DMy1n3XViHaxRc/edit?usp=sharing"",""ภูเก็ต!J235"")"),0)</f>
        <v>0</v>
      </c>
      <c r="CO83" s="86">
        <f ca="1">IFERROR(__xludf.DUMMYFUNCTION("IMPORTRANGE(""https://docs.google.com/spreadsheets/d/1o7UZe4_OqlqtLDHrj01Z2YFRSZDf1DMy1n3XViHaxRc/edit?usp=sharing"",""ภูเก็ต!J236"")"),0)</f>
        <v>0</v>
      </c>
    </row>
    <row r="84" spans="1:93" ht="21" customHeight="1" x14ac:dyDescent="0.3">
      <c r="A84" s="78">
        <v>10</v>
      </c>
      <c r="B84" s="79" t="s">
        <v>106</v>
      </c>
      <c r="C84" s="80">
        <f t="shared" ca="1" si="0"/>
        <v>25800</v>
      </c>
      <c r="D84" s="81">
        <f t="shared" ca="1" si="214"/>
        <v>25800</v>
      </c>
      <c r="E84" s="82">
        <f ca="1">IFERROR(__xludf.DUMMYFUNCTION("IMPORTRANGE(""https://docs.google.com/spreadsheets/d/1MeEWN-I1oV_STSDYn1IFDPWt_1FKiwhDph83XaGc0o0/edit?usp=sharing"",""งบพรบ!CP84"")"),0)</f>
        <v>0</v>
      </c>
      <c r="F84" s="82">
        <f ca="1">IFERROR(__xludf.DUMMYFUNCTION("IMPORTRANGE(""https://docs.google.com/spreadsheets/d/1MeEWN-I1oV_STSDYn1IFDPWt_1FKiwhDph83XaGc0o0/edit?usp=sharing"",""งบพรบ!CQ84"")"),25800)</f>
        <v>25800</v>
      </c>
      <c r="G84" s="82">
        <f ca="1">IFERROR(__xludf.DUMMYFUNCTION("IMPORTRANGE(""https://docs.google.com/spreadsheets/d/1MeEWN-I1oV_STSDYn1IFDPWt_1FKiwhDph83XaGc0o0/edit?usp=sharing"",""งบพรบ!CR84"")"),0)</f>
        <v>0</v>
      </c>
      <c r="H84" s="82">
        <f ca="1">IFERROR(__xludf.DUMMYFUNCTION("IMPORTRANGE(""https://docs.google.com/spreadsheets/d/1MeEWN-I1oV_STSDYn1IFDPWt_1FKiwhDph83XaGc0o0/edit?usp=sharing"",""งบพรบ!CT84"")"),20500)</f>
        <v>20500</v>
      </c>
      <c r="I84" s="82">
        <f ca="1">IFERROR(__xludf.DUMMYFUNCTION("IMPORTRANGE(""https://docs.google.com/spreadsheets/d/1MeEWN-I1oV_STSDYn1IFDPWt_1FKiwhDph83XaGc0o0/edit?usp=sharing"",""งบพรบ!CU84"")"),0)</f>
        <v>0</v>
      </c>
      <c r="J84" s="82">
        <f t="shared" ca="1" si="3"/>
        <v>12000</v>
      </c>
      <c r="K84" s="83">
        <f t="shared" ca="1" si="4"/>
        <v>46.511627906976742</v>
      </c>
      <c r="L84" s="82">
        <f ca="1">IFERROR(__xludf.DUMMYFUNCTION("IMPORTRANGE(""https://docs.google.com/spreadsheets/d/1MeEWN-I1oV_STSDYn1IFDPWt_1FKiwhDph83XaGc0o0/edit?usp=sharing"",""งบพรบ!CV84"")"),12000)</f>
        <v>12000</v>
      </c>
      <c r="M84" s="84">
        <f t="shared" ca="1" si="5"/>
        <v>46.511627906976742</v>
      </c>
      <c r="N84" s="84">
        <f t="shared" ca="1" si="6"/>
        <v>58.536585365853661</v>
      </c>
      <c r="O84" s="85">
        <f ca="1">IFERROR(__xludf.DUMMYFUNCTION("IMPORTRANGE(""https://docs.google.com/spreadsheets/d/1MeEWN-I1oV_STSDYn1IFDPWt_1FKiwhDph83XaGc0o0/edit?usp=sharing"",""งบพรบ!CW84"")"),0)</f>
        <v>0</v>
      </c>
      <c r="P84" s="85">
        <f t="shared" ca="1" si="108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IFERROR(__xludf.DUMMYFUNCTION("IMPORTRANGE(""https://docs.google.com/spreadsheets/d/1ctPm1vUzcUCPuOj9-eoHUD85PqINFqUB0TjdSWmR5-c/edit?usp=sharing"",""ยะลา!L191"")"),6000)</f>
        <v>6000</v>
      </c>
      <c r="S84" s="86">
        <f ca="1">IFERROR(__xludf.DUMMYFUNCTION("IMPORTRANGE(""https://docs.google.com/spreadsheets/d/1ctPm1vUzcUCPuOj9-eoHUD85PqINFqUB0TjdSWmR5-c/edit?usp=sharing"",""ยะลา!N191"")"),0)</f>
        <v>0</v>
      </c>
      <c r="T84" s="87">
        <f t="shared" ca="1" si="84"/>
        <v>0</v>
      </c>
      <c r="U84" s="86">
        <f ca="1">IFERROR(__xludf.DUMMYFUNCTION("IMPORTRANGE(""https://docs.google.com/spreadsheets/d/1ctPm1vUzcUCPuOj9-eoHUD85PqINFqUB0TjdSWmR5-c/edit?usp=sharing"",""ยะลา!I193"")"),4)</f>
        <v>4</v>
      </c>
      <c r="V84" s="86">
        <f ca="1">IFERROR(__xludf.DUMMYFUNCTION("IMPORTRANGE(""https://docs.google.com/spreadsheets/d/1ctPm1vUzcUCPuOj9-eoHUD85PqINFqUB0TjdSWmR5-c/edit?usp=sharing"",""ยะลา!J193"")"),2)</f>
        <v>2</v>
      </c>
      <c r="W84" s="87">
        <f t="shared" ca="1" si="85"/>
        <v>50</v>
      </c>
      <c r="X84" s="86">
        <f t="shared" ca="1" si="215"/>
        <v>81</v>
      </c>
      <c r="Y84" s="86">
        <f ca="1">IFERROR(__xludf.DUMMYFUNCTION("IMPORTRANGE(""https://docs.google.com/spreadsheets/d/1ctPm1vUzcUCPuOj9-eoHUD85PqINFqUB0TjdSWmR5-c/edit?usp=sharing"",""ยะลา!J195"")"),81)</f>
        <v>81</v>
      </c>
      <c r="Z84" s="86">
        <f ca="1">IFERROR(__xludf.DUMMYFUNCTION("IMPORTRANGE(""https://docs.google.com/spreadsheets/d/1ctPm1vUzcUCPuOj9-eoHUD85PqINFqUB0TjdSWmR5-c/edit?usp=sharing"",""ยะลา!J196"")"),0)</f>
        <v>0</v>
      </c>
      <c r="AA84" s="86">
        <f ca="1">IFERROR(__xludf.DUMMYFUNCTION("IMPORTRANGE(""https://docs.google.com/spreadsheets/d/1ctPm1vUzcUCPuOj9-eoHUD85PqINFqUB0TjdSWmR5-c/edit?usp=sharing"",""ยะลา!L199"")"),1000)</f>
        <v>1000</v>
      </c>
      <c r="AB84" s="86">
        <f ca="1">IFERROR(__xludf.DUMMYFUNCTION("IMPORTRANGE(""https://docs.google.com/spreadsheets/d/1ctPm1vUzcUCPuOj9-eoHUD85PqINFqUB0TjdSWmR5-c/edit?usp=sharing"",""ยะลา!N199"")"),0)</f>
        <v>0</v>
      </c>
      <c r="AC84" s="87">
        <f t="shared" ca="1" si="86"/>
        <v>0</v>
      </c>
      <c r="AD84" s="86">
        <f ca="1">IFERROR(__xludf.DUMMYFUNCTION("IMPORTRANGE(""https://docs.google.com/spreadsheets/d/1ctPm1vUzcUCPuOj9-eoHUD85PqINFqUB0TjdSWmR5-c/edit?usp=sharing"",""ยะลา!L200"")"),8000)</f>
        <v>8000</v>
      </c>
      <c r="AE84" s="86">
        <f ca="1">IFERROR(__xludf.DUMMYFUNCTION("IMPORTRANGE(""https://docs.google.com/spreadsheets/d/1ctPm1vUzcUCPuOj9-eoHUD85PqINFqUB0TjdSWmR5-c/edit?usp=sharing"",""ยะลา!N200"")"),8000)</f>
        <v>8000</v>
      </c>
      <c r="AF84" s="87">
        <f t="shared" ca="1" si="87"/>
        <v>100</v>
      </c>
      <c r="AG84" s="86">
        <f ca="1">IFERROR(__xludf.DUMMYFUNCTION("IMPORTRANGE(""https://docs.google.com/spreadsheets/d/1ctPm1vUzcUCPuOj9-eoHUD85PqINFqUB0TjdSWmR5-c/edit?usp=sharing"",""ยะลา!L201"")"),4000)</f>
        <v>4000</v>
      </c>
      <c r="AH84" s="86">
        <f ca="1">IFERROR(__xludf.DUMMYFUNCTION("IMPORTRANGE(""https://docs.google.com/spreadsheets/d/1ctPm1vUzcUCPuOj9-eoHUD85PqINFqUB0TjdSWmR5-c/edit?usp=sharing"",""ยะลา!N201"")"),4000)</f>
        <v>4000</v>
      </c>
      <c r="AI84" s="87">
        <f t="shared" ca="1" si="88"/>
        <v>100</v>
      </c>
      <c r="AJ84" s="86">
        <f ca="1">IFERROR(__xludf.DUMMYFUNCTION("IMPORTRANGE(""https://docs.google.com/spreadsheets/d/1ctPm1vUzcUCPuOj9-eoHUD85PqINFqUB0TjdSWmR5-c/edit?usp=sharing"",""ยะลา!L202"")"),0)</f>
        <v>0</v>
      </c>
      <c r="AK84" s="86">
        <f ca="1">IFERROR(__xludf.DUMMYFUNCTION("IMPORTRANGE(""https://docs.google.com/spreadsheets/d/1ctPm1vUzcUCPuOj9-eoHUD85PqINFqUB0TjdSWmR5-c/edit?usp=sharing"",""ยะลา!N202"")"),0)</f>
        <v>0</v>
      </c>
      <c r="AL84" s="87">
        <f t="shared" ca="1" si="89"/>
        <v>0</v>
      </c>
      <c r="AM84" s="86">
        <f ca="1">IFERROR(__xludf.DUMMYFUNCTION("IMPORTRANGE(""https://docs.google.com/spreadsheets/d/1ctPm1vUzcUCPuOj9-eoHUD85PqINFqUB0TjdSWmR5-c/edit?usp=sharing"",""ยะลา!I204"")"),1)</f>
        <v>1</v>
      </c>
      <c r="AN84" s="86">
        <f ca="1">IFERROR(__xludf.DUMMYFUNCTION("IMPORTRANGE(""https://docs.google.com/spreadsheets/d/1ctPm1vUzcUCPuOj9-eoHUD85PqINFqUB0TjdSWmR5-c/edit?usp=sharing"",""ยะลา!J204"")"),1)</f>
        <v>1</v>
      </c>
      <c r="AO84" s="87">
        <f t="shared" ca="1" si="90"/>
        <v>100</v>
      </c>
      <c r="AP84" s="298">
        <f ca="1">IFERROR(__xludf.DUMMYFUNCTION("IMPORTRANGE(""https://docs.google.com/spreadsheets/d/1ctPm1vUzcUCPuOj9-eoHUD85PqINFqUB0TjdSWmR5-c/edit?usp=sharing"",""ยะลา!J206"")"),1)</f>
        <v>1</v>
      </c>
      <c r="AQ84" s="298">
        <f ca="1">IFERROR(__xludf.DUMMYFUNCTION("IMPORTRANGE(""https://docs.google.com/spreadsheets/d/1ctPm1vUzcUCPuOj9-eoHUD85PqINFqUB0TjdSWmR5-c/edit?usp=sharing"",""ยะลา!J207"")"),0)</f>
        <v>0</v>
      </c>
      <c r="AR84" s="86">
        <f ca="1">IFERROR(__xludf.DUMMYFUNCTION("IMPORTRANGE(""https://docs.google.com/spreadsheets/d/1ctPm1vUzcUCPuOj9-eoHUD85PqINFqUB0TjdSWmR5-c/edit?usp=sharing"",""ยะลา!L210"")"),0)</f>
        <v>0</v>
      </c>
      <c r="AS84" s="86">
        <f ca="1">IFERROR(__xludf.DUMMYFUNCTION("IMPORTRANGE(""https://docs.google.com/spreadsheets/d/1ctPm1vUzcUCPuOj9-eoHUD85PqINFqUB0TjdSWmR5-c/edit?usp=sharing"",""ยะลา!N210"")"),0)</f>
        <v>0</v>
      </c>
      <c r="AT84" s="87">
        <f t="shared" ca="1" si="91"/>
        <v>0</v>
      </c>
      <c r="AU84" s="86">
        <f ca="1">IFERROR(__xludf.DUMMYFUNCTION("IMPORTRANGE(""https://docs.google.com/spreadsheets/d/1ctPm1vUzcUCPuOj9-eoHUD85PqINFqUB0TjdSWmR5-c/edit?usp=sharing"",""ยะลา!L211"")"),0)</f>
        <v>0</v>
      </c>
      <c r="AV84" s="86">
        <f ca="1">IFERROR(__xludf.DUMMYFUNCTION("IMPORTRANGE(""https://docs.google.com/spreadsheets/d/1ctPm1vUzcUCPuOj9-eoHUD85PqINFqUB0TjdSWmR5-c/edit?usp=sharing"",""ยะลา!N211"")"),0)</f>
        <v>0</v>
      </c>
      <c r="AW84" s="87">
        <f t="shared" ca="1" si="92"/>
        <v>0</v>
      </c>
      <c r="AX84" s="86">
        <f ca="1">IFERROR(__xludf.DUMMYFUNCTION("IMPORTRANGE(""https://docs.google.com/spreadsheets/d/1ctPm1vUzcUCPuOj9-eoHUD85PqINFqUB0TjdSWmR5-c/edit?usp=sharing"",""ยะลา!L212"")"),0)</f>
        <v>0</v>
      </c>
      <c r="AY84" s="86">
        <f ca="1">IFERROR(__xludf.DUMMYFUNCTION("IMPORTRANGE(""https://docs.google.com/spreadsheets/d/1ctPm1vUzcUCPuOj9-eoHUD85PqINFqUB0TjdSWmR5-c/edit?usp=sharing"",""ยะลา!N212"")"),0)</f>
        <v>0</v>
      </c>
      <c r="AZ84" s="87">
        <f t="shared" ca="1" si="93"/>
        <v>0</v>
      </c>
      <c r="BA84" s="86">
        <f ca="1">IFERROR(__xludf.DUMMYFUNCTION("IMPORTRANGE(""https://docs.google.com/spreadsheets/d/1ctPm1vUzcUCPuOj9-eoHUD85PqINFqUB0TjdSWmR5-c/edit?usp=sharing"",""ยะลา!I214"")"),0)</f>
        <v>0</v>
      </c>
      <c r="BB84" s="86">
        <f ca="1">IFERROR(__xludf.DUMMYFUNCTION("IMPORTRANGE(""https://docs.google.com/spreadsheets/d/1ctPm1vUzcUCPuOj9-eoHUD85PqINFqUB0TjdSWmR5-c/edit?usp=sharing"",""ยะลา!J214"")"),0)</f>
        <v>0</v>
      </c>
      <c r="BC84" s="87">
        <f t="shared" ca="1" si="94"/>
        <v>0</v>
      </c>
      <c r="BD84" s="86">
        <f ca="1">IFERROR(__xludf.DUMMYFUNCTION("IMPORTRANGE(""https://docs.google.com/spreadsheets/d/1ctPm1vUzcUCPuOj9-eoHUD85PqINFqUB0TjdSWmR5-c/edit?usp=sharing"",""ยะลา!I215"")"),0)</f>
        <v>0</v>
      </c>
      <c r="BE84" s="86">
        <f ca="1">IFERROR(__xludf.DUMMYFUNCTION("IMPORTRANGE(""https://docs.google.com/spreadsheets/d/1ctPm1vUzcUCPuOj9-eoHUD85PqINFqUB0TjdSWmR5-c/edit?usp=sharing"",""ยะลา!J215"")"),0)</f>
        <v>0</v>
      </c>
      <c r="BF84" s="87">
        <f t="shared" ca="1" si="95"/>
        <v>0</v>
      </c>
      <c r="BG84" s="86">
        <f ca="1">IFERROR(__xludf.DUMMYFUNCTION("IMPORTRANGE(""https://docs.google.com/spreadsheets/d/1ctPm1vUzcUCPuOj9-eoHUD85PqINFqUB0TjdSWmR5-c/edit?usp=sharing"",""ยะลา!L218"")"),3000)</f>
        <v>3000</v>
      </c>
      <c r="BH84" s="86">
        <f ca="1">IFERROR(__xludf.DUMMYFUNCTION("IMPORTRANGE(""https://docs.google.com/spreadsheets/d/1ctPm1vUzcUCPuOj9-eoHUD85PqINFqUB0TjdSWmR5-c/edit?usp=sharing"",""ยะลา!N218"")"),0)</f>
        <v>0</v>
      </c>
      <c r="BI84" s="87">
        <f t="shared" ca="1" si="96"/>
        <v>0</v>
      </c>
      <c r="BJ84" s="86">
        <f ca="1">IFERROR(__xludf.DUMMYFUNCTION("IMPORTRANGE(""https://docs.google.com/spreadsheets/d/1ctPm1vUzcUCPuOj9-eoHUD85PqINFqUB0TjdSWmR5-c/edit?usp=sharing"",""ยะลา!L219"")"),3800)</f>
        <v>3800</v>
      </c>
      <c r="BK84" s="86">
        <f ca="1">IFERROR(__xludf.DUMMYFUNCTION("IMPORTRANGE(""https://docs.google.com/spreadsheets/d/1ctPm1vUzcUCPuOj9-eoHUD85PqINFqUB0TjdSWmR5-c/edit?usp=sharing"",""ยะลา!N219"")"),0)</f>
        <v>0</v>
      </c>
      <c r="BL84" s="87">
        <f t="shared" ca="1" si="97"/>
        <v>0</v>
      </c>
      <c r="BM84" s="86">
        <f ca="1">IFERROR(__xludf.DUMMYFUNCTION("IMPORTRANGE(""https://docs.google.com/spreadsheets/d/1ctPm1vUzcUCPuOj9-eoHUD85PqINFqUB0TjdSWmR5-c/edit?usp=sharing"",""ยะลา!L220"")"),0)</f>
        <v>0</v>
      </c>
      <c r="BN84" s="86">
        <f ca="1">IFERROR(__xludf.DUMMYFUNCTION("IMPORTRANGE(""https://docs.google.com/spreadsheets/d/1ctPm1vUzcUCPuOj9-eoHUD85PqINFqUB0TjdSWmR5-c/edit?usp=sharing"",""ยะลา!N220"")"),0)</f>
        <v>0</v>
      </c>
      <c r="BO84" s="87">
        <f t="shared" ca="1" si="98"/>
        <v>0</v>
      </c>
      <c r="BP84" s="86">
        <f ca="1">IFERROR(__xludf.DUMMYFUNCTION("IMPORTRANGE(""https://docs.google.com/spreadsheets/d/1ctPm1vUzcUCPuOj9-eoHUD85PqINFqUB0TjdSWmR5-c/edit?usp=sharing"",""ยะลา!I223"")"),12000)</f>
        <v>12000</v>
      </c>
      <c r="BQ84" s="86">
        <f ca="1">IFERROR(__xludf.DUMMYFUNCTION("IMPORTRANGE(""https://docs.google.com/spreadsheets/d/1ctPm1vUzcUCPuOj9-eoHUD85PqINFqUB0TjdSWmR5-c/edit?usp=sharing"",""ยะลา!J223"")"),0)</f>
        <v>0</v>
      </c>
      <c r="BR84" s="87">
        <f t="shared" ca="1" si="99"/>
        <v>0</v>
      </c>
      <c r="BS84" s="86">
        <f ca="1">IFERROR(__xludf.DUMMYFUNCTION("IMPORTRANGE(""https://docs.google.com/spreadsheets/d/1ctPm1vUzcUCPuOj9-eoHUD85PqINFqUB0TjdSWmR5-c/edit?usp=sharing"",""ยะลา!I224"")"),12000)</f>
        <v>12000</v>
      </c>
      <c r="BT84" s="86">
        <f ca="1">IFERROR(__xludf.DUMMYFUNCTION("IMPORTRANGE(""https://docs.google.com/spreadsheets/d/1ctPm1vUzcUCPuOj9-eoHUD85PqINFqUB0TjdSWmR5-c/edit?usp=sharing"",""ยะลา!J224"")"),0)</f>
        <v>0</v>
      </c>
      <c r="BU84" s="87">
        <f t="shared" ca="1" si="100"/>
        <v>0</v>
      </c>
      <c r="BV84" s="86">
        <f ca="1">IFERROR(__xludf.DUMMYFUNCTION("IMPORTRANGE(""https://docs.google.com/spreadsheets/d/1ctPm1vUzcUCPuOj9-eoHUD85PqINFqUB0TjdSWmR5-c/edit?usp=sharing"",""ยะลา!I225"")"),0)</f>
        <v>0</v>
      </c>
      <c r="BW84" s="86">
        <f ca="1">IFERROR(__xludf.DUMMYFUNCTION("IMPORTRANGE(""https://docs.google.com/spreadsheets/d/1ctPm1vUzcUCPuOj9-eoHUD85PqINFqUB0TjdSWmR5-c/edit?usp=sharing"",""ยะลา!J225"")"),0)</f>
        <v>0</v>
      </c>
      <c r="BX84" s="87">
        <f t="shared" ca="1" si="101"/>
        <v>0</v>
      </c>
      <c r="BY84" s="86">
        <f ca="1">IFERROR(__xludf.DUMMYFUNCTION("IMPORTRANGE(""https://docs.google.com/spreadsheets/d/1ctPm1vUzcUCPuOj9-eoHUD85PqINFqUB0TjdSWmR5-c/edit?usp=sharing"",""ยะลา!L228"")"),0)</f>
        <v>0</v>
      </c>
      <c r="BZ84" s="86">
        <f ca="1">IFERROR(__xludf.DUMMYFUNCTION("IMPORTRANGE(""https://docs.google.com/spreadsheets/d/1ctPm1vUzcUCPuOj9-eoHUD85PqINFqUB0TjdSWmR5-c/edit?usp=sharing"",""ยะลา!N228"")"),0)</f>
        <v>0</v>
      </c>
      <c r="CA84" s="87">
        <f t="shared" ca="1" si="102"/>
        <v>0</v>
      </c>
      <c r="CB84" s="86">
        <f ca="1">IFERROR(__xludf.DUMMYFUNCTION("IMPORTRANGE(""https://docs.google.com/spreadsheets/d/1ctPm1vUzcUCPuOj9-eoHUD85PqINFqUB0TjdSWmR5-c/edit?usp=sharing"",""ยะลา!L229"")"),0)</f>
        <v>0</v>
      </c>
      <c r="CC84" s="86">
        <f ca="1">IFERROR(__xludf.DUMMYFUNCTION("IMPORTRANGE(""https://docs.google.com/spreadsheets/d/1ctPm1vUzcUCPuOj9-eoHUD85PqINFqUB0TjdSWmR5-c/edit?usp=sharing"",""ยะลา!N229"")"),0)</f>
        <v>0</v>
      </c>
      <c r="CD84" s="87">
        <f t="shared" ca="1" si="103"/>
        <v>0</v>
      </c>
      <c r="CE84" s="86">
        <f ca="1">IFERROR(__xludf.DUMMYFUNCTION("IMPORTRANGE(""https://docs.google.com/spreadsheets/d/1ctPm1vUzcUCPuOj9-eoHUD85PqINFqUB0TjdSWmR5-c/edit?usp=sharing"",""ยะลา!L230"")"),0)</f>
        <v>0</v>
      </c>
      <c r="CF84" s="86">
        <f ca="1">IFERROR(__xludf.DUMMYFUNCTION("IMPORTRANGE(""https://docs.google.com/spreadsheets/d/1ctPm1vUzcUCPuOj9-eoHUD85PqINFqUB0TjdSWmR5-c/edit?usp=sharing"",""ยะลา!N230"")"),0)</f>
        <v>0</v>
      </c>
      <c r="CG84" s="87">
        <f t="shared" ca="1" si="104"/>
        <v>0</v>
      </c>
      <c r="CH84" s="86">
        <f ca="1">IFERROR(__xludf.DUMMYFUNCTION("IMPORTRANGE(""https://docs.google.com/spreadsheets/d/1ctPm1vUzcUCPuOj9-eoHUD85PqINFqUB0TjdSWmR5-c/edit?usp=sharing"",""ยะลา!L231"")"),0)</f>
        <v>0</v>
      </c>
      <c r="CI84" s="86">
        <f ca="1">IFERROR(__xludf.DUMMYFUNCTION("IMPORTRANGE(""https://docs.google.com/spreadsheets/d/1ctPm1vUzcUCPuOj9-eoHUD85PqINFqUB0TjdSWmR5-c/edit?usp=sharing"",""ยะลา!N231"")"),0)</f>
        <v>0</v>
      </c>
      <c r="CJ84" s="87">
        <f t="shared" ca="1" si="105"/>
        <v>0</v>
      </c>
      <c r="CK84" s="86">
        <f ca="1">IFERROR(__xludf.DUMMYFUNCTION("IMPORTRANGE(""https://docs.google.com/spreadsheets/d/1ctPm1vUzcUCPuOj9-eoHUD85PqINFqUB0TjdSWmR5-c/edit?usp=sharing"",""ยะลา!I233"")"),0)</f>
        <v>0</v>
      </c>
      <c r="CL84" s="86">
        <f ca="1">IFERROR(__xludf.DUMMYFUNCTION("IMPORTRANGE(""https://docs.google.com/spreadsheets/d/1ctPm1vUzcUCPuOj9-eoHUD85PqINFqUB0TjdSWmR5-c/edit?usp=sharing"",""ยะลา!J233"")"),0)</f>
        <v>0</v>
      </c>
      <c r="CM84" s="87">
        <f t="shared" ca="1" si="106"/>
        <v>0</v>
      </c>
      <c r="CN84" s="86">
        <f ca="1">IFERROR(__xludf.DUMMYFUNCTION("IMPORTRANGE(""https://docs.google.com/spreadsheets/d/1ctPm1vUzcUCPuOj9-eoHUD85PqINFqUB0TjdSWmR5-c/edit?usp=sharing"",""ยะลา!J235"")"),0)</f>
        <v>0</v>
      </c>
      <c r="CO84" s="86">
        <f ca="1">IFERROR(__xludf.DUMMYFUNCTION("IMPORTRANGE(""https://docs.google.com/spreadsheets/d/1ctPm1vUzcUCPuOj9-eoHUD85PqINFqUB0TjdSWmR5-c/edit?usp=sharing"",""ยะลา!J236"")"),0)</f>
        <v>0</v>
      </c>
    </row>
    <row r="85" spans="1:93" ht="21" customHeight="1" x14ac:dyDescent="0.3">
      <c r="A85" s="78">
        <v>11</v>
      </c>
      <c r="B85" s="79" t="s">
        <v>107</v>
      </c>
      <c r="C85" s="80">
        <f t="shared" ca="1" si="0"/>
        <v>182100</v>
      </c>
      <c r="D85" s="81">
        <f t="shared" ca="1" si="214"/>
        <v>182100</v>
      </c>
      <c r="E85" s="82">
        <f ca="1">IFERROR(__xludf.DUMMYFUNCTION("IMPORTRANGE(""https://docs.google.com/spreadsheets/d/1MeEWN-I1oV_STSDYn1IFDPWt_1FKiwhDph83XaGc0o0/edit?usp=sharing"",""งบพรบ!CP85"")"),143000)</f>
        <v>143000</v>
      </c>
      <c r="F85" s="82">
        <f ca="1">IFERROR(__xludf.DUMMYFUNCTION("IMPORTRANGE(""https://docs.google.com/spreadsheets/d/1MeEWN-I1oV_STSDYn1IFDPWt_1FKiwhDph83XaGc0o0/edit?usp=sharing"",""งบพรบ!CQ85"")"),39100)</f>
        <v>39100</v>
      </c>
      <c r="G85" s="82">
        <f ca="1">IFERROR(__xludf.DUMMYFUNCTION("IMPORTRANGE(""https://docs.google.com/spreadsheets/d/1MeEWN-I1oV_STSDYn1IFDPWt_1FKiwhDph83XaGc0o0/edit?usp=sharing"",""งบพรบ!CR85"")"),0)</f>
        <v>0</v>
      </c>
      <c r="H85" s="82">
        <f ca="1">IFERROR(__xludf.DUMMYFUNCTION("IMPORTRANGE(""https://docs.google.com/spreadsheets/d/1MeEWN-I1oV_STSDYn1IFDPWt_1FKiwhDph83XaGc0o0/edit?usp=sharing"",""งบพรบ!CT85"")"),137500)</f>
        <v>137500</v>
      </c>
      <c r="I85" s="82">
        <f ca="1">IFERROR(__xludf.DUMMYFUNCTION("IMPORTRANGE(""https://docs.google.com/spreadsheets/d/1MeEWN-I1oV_STSDYn1IFDPWt_1FKiwhDph83XaGc0o0/edit?usp=sharing"",""งบพรบ!CU85"")"),0)</f>
        <v>0</v>
      </c>
      <c r="J85" s="82">
        <f t="shared" ca="1" si="3"/>
        <v>11027</v>
      </c>
      <c r="K85" s="83">
        <f t="shared" ca="1" si="4"/>
        <v>6.0554640307523337</v>
      </c>
      <c r="L85" s="82">
        <f ca="1">IFERROR(__xludf.DUMMYFUNCTION("IMPORTRANGE(""https://docs.google.com/spreadsheets/d/1MeEWN-I1oV_STSDYn1IFDPWt_1FKiwhDph83XaGc0o0/edit?usp=sharing"",""งบพรบ!CV85"")"),11027)</f>
        <v>11027</v>
      </c>
      <c r="M85" s="84">
        <f t="shared" ca="1" si="5"/>
        <v>6.0554640307523337</v>
      </c>
      <c r="N85" s="84">
        <f t="shared" ca="1" si="6"/>
        <v>8.0196363636363639</v>
      </c>
      <c r="O85" s="85">
        <f ca="1">IFERROR(__xludf.DUMMYFUNCTION("IMPORTRANGE(""https://docs.google.com/spreadsheets/d/1MeEWN-I1oV_STSDYn1IFDPWt_1FKiwhDph83XaGc0o0/edit?usp=sharing"",""งบพรบ!CW85"")"),0)</f>
        <v>0</v>
      </c>
      <c r="P85" s="85">
        <f t="shared" ca="1" si="108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IFERROR(__xludf.DUMMYFUNCTION("IMPORTRANGE(""https://docs.google.com/spreadsheets/d/1YiDIE7Klmt8osgdapRqYWNr7iPGFSsiJqq46S7PYRE0/edit?usp=sharing"",""ระนอง!L191"")"),6000)</f>
        <v>6000</v>
      </c>
      <c r="S85" s="86">
        <f ca="1">IFERROR(__xludf.DUMMYFUNCTION("IMPORTRANGE(""https://docs.google.com/spreadsheets/d/1YiDIE7Klmt8osgdapRqYWNr7iPGFSsiJqq46S7PYRE0/edit?usp=sharing"",""ระนอง!N191"")"),0)</f>
        <v>0</v>
      </c>
      <c r="T85" s="87">
        <f t="shared" ca="1" si="84"/>
        <v>0</v>
      </c>
      <c r="U85" s="86">
        <f ca="1">IFERROR(__xludf.DUMMYFUNCTION("IMPORTRANGE(""https://docs.google.com/spreadsheets/d/1YiDIE7Klmt8osgdapRqYWNr7iPGFSsiJqq46S7PYRE0/edit?usp=sharing"",""ระนอง!I193"")"),4)</f>
        <v>4</v>
      </c>
      <c r="V85" s="86">
        <f ca="1">IFERROR(__xludf.DUMMYFUNCTION("IMPORTRANGE(""https://docs.google.com/spreadsheets/d/1YiDIE7Klmt8osgdapRqYWNr7iPGFSsiJqq46S7PYRE0/edit?usp=sharing"",""ระนอง!J193"")"),1)</f>
        <v>1</v>
      </c>
      <c r="W85" s="87">
        <f t="shared" ca="1" si="85"/>
        <v>25</v>
      </c>
      <c r="X85" s="86">
        <f t="shared" ca="1" si="215"/>
        <v>42</v>
      </c>
      <c r="Y85" s="86">
        <f ca="1">IFERROR(__xludf.DUMMYFUNCTION("IMPORTRANGE(""https://docs.google.com/spreadsheets/d/1YiDIE7Klmt8osgdapRqYWNr7iPGFSsiJqq46S7PYRE0/edit?usp=sharing"",""ระนอง!J195"")"),42)</f>
        <v>42</v>
      </c>
      <c r="Z85" s="86">
        <f ca="1">IFERROR(__xludf.DUMMYFUNCTION("IMPORTRANGE(""https://docs.google.com/spreadsheets/d/1YiDIE7Klmt8osgdapRqYWNr7iPGFSsiJqq46S7PYRE0/edit?usp=sharing"",""ระนอง!J196"")"),0)</f>
        <v>0</v>
      </c>
      <c r="AA85" s="86">
        <f ca="1">IFERROR(__xludf.DUMMYFUNCTION("IMPORTRANGE(""https://docs.google.com/spreadsheets/d/1YiDIE7Klmt8osgdapRqYWNr7iPGFSsiJqq46S7PYRE0/edit?usp=sharing"",""ระนอง!L199"")"),2000)</f>
        <v>2000</v>
      </c>
      <c r="AB85" s="86">
        <f ca="1">IFERROR(__xludf.DUMMYFUNCTION("IMPORTRANGE(""https://docs.google.com/spreadsheets/d/1YiDIE7Klmt8osgdapRqYWNr7iPGFSsiJqq46S7PYRE0/edit?usp=sharing"",""ระนอง!N199"")"),0)</f>
        <v>0</v>
      </c>
      <c r="AC85" s="87">
        <f t="shared" ca="1" si="86"/>
        <v>0</v>
      </c>
      <c r="AD85" s="86">
        <f ca="1">IFERROR(__xludf.DUMMYFUNCTION("IMPORTRANGE(""https://docs.google.com/spreadsheets/d/1YiDIE7Klmt8osgdapRqYWNr7iPGFSsiJqq46S7PYRE0/edit?usp=sharing"",""ระนอง!L200"")"),16000)</f>
        <v>16000</v>
      </c>
      <c r="AE85" s="86">
        <f ca="1">IFERROR(__xludf.DUMMYFUNCTION("IMPORTRANGE(""https://docs.google.com/spreadsheets/d/1YiDIE7Klmt8osgdapRqYWNr7iPGFSsiJqq46S7PYRE0/edit?usp=sharing"",""ระนอง!N200"")"),0)</f>
        <v>0</v>
      </c>
      <c r="AF85" s="87">
        <f t="shared" ca="1" si="87"/>
        <v>0</v>
      </c>
      <c r="AG85" s="86">
        <f ca="1">IFERROR(__xludf.DUMMYFUNCTION("IMPORTRANGE(""https://docs.google.com/spreadsheets/d/1YiDIE7Klmt8osgdapRqYWNr7iPGFSsiJqq46S7PYRE0/edit?usp=sharing"",""ระนอง!L201"")"),8000)</f>
        <v>8000</v>
      </c>
      <c r="AH85" s="86">
        <f ca="1">IFERROR(__xludf.DUMMYFUNCTION("IMPORTRANGE(""https://docs.google.com/spreadsheets/d/1YiDIE7Klmt8osgdapRqYWNr7iPGFSsiJqq46S7PYRE0/edit?usp=sharing"",""ระนอง!N201"")"),0)</f>
        <v>0</v>
      </c>
      <c r="AI85" s="87">
        <f t="shared" ca="1" si="88"/>
        <v>0</v>
      </c>
      <c r="AJ85" s="86">
        <f ca="1">IFERROR(__xludf.DUMMYFUNCTION("IMPORTRANGE(""https://docs.google.com/spreadsheets/d/1YiDIE7Klmt8osgdapRqYWNr7iPGFSsiJqq46S7PYRE0/edit?usp=sharing"",""ระนอง!L202"")"),0)</f>
        <v>0</v>
      </c>
      <c r="AK85" s="86">
        <f ca="1">IFERROR(__xludf.DUMMYFUNCTION("IMPORTRANGE(""https://docs.google.com/spreadsheets/d/1YiDIE7Klmt8osgdapRqYWNr7iPGFSsiJqq46S7PYRE0/edit?usp=sharing"",""ระนอง!N202"")"),0)</f>
        <v>0</v>
      </c>
      <c r="AL85" s="87">
        <f t="shared" ca="1" si="89"/>
        <v>0</v>
      </c>
      <c r="AM85" s="86">
        <f ca="1">IFERROR(__xludf.DUMMYFUNCTION("IMPORTRANGE(""https://docs.google.com/spreadsheets/d/1YiDIE7Klmt8osgdapRqYWNr7iPGFSsiJqq46S7PYRE0/edit?usp=sharing"",""ระนอง!I204"")"),2)</f>
        <v>2</v>
      </c>
      <c r="AN85" s="86">
        <f ca="1">IFERROR(__xludf.DUMMYFUNCTION("IMPORTRANGE(""https://docs.google.com/spreadsheets/d/1YiDIE7Klmt8osgdapRqYWNr7iPGFSsiJqq46S7PYRE0/edit?usp=sharing"",""ระนอง!J204"")"),0)</f>
        <v>0</v>
      </c>
      <c r="AO85" s="87">
        <f t="shared" ca="1" si="90"/>
        <v>0</v>
      </c>
      <c r="AP85" s="298">
        <f ca="1">IFERROR(__xludf.DUMMYFUNCTION("IMPORTRANGE(""https://docs.google.com/spreadsheets/d/1YiDIE7Klmt8osgdapRqYWNr7iPGFSsiJqq46S7PYRE0/edit?usp=sharing"",""ระนอง!J206"")"),0)</f>
        <v>0</v>
      </c>
      <c r="AQ85" s="298">
        <f ca="1">IFERROR(__xludf.DUMMYFUNCTION("IMPORTRANGE(""https://docs.google.com/spreadsheets/d/1YiDIE7Klmt8osgdapRqYWNr7iPGFSsiJqq46S7PYRE0/edit?usp=sharing"",""ระนอง!J207"")"),0)</f>
        <v>0</v>
      </c>
      <c r="AR85" s="86">
        <f ca="1">IFERROR(__xludf.DUMMYFUNCTION("IMPORTRANGE(""https://docs.google.com/spreadsheets/d/1YiDIE7Klmt8osgdapRqYWNr7iPGFSsiJqq46S7PYRE0/edit?usp=sharing"",""ระนอง!L210"")"),0)</f>
        <v>0</v>
      </c>
      <c r="AS85" s="86">
        <f ca="1">IFERROR(__xludf.DUMMYFUNCTION("IMPORTRANGE(""https://docs.google.com/spreadsheets/d/1YiDIE7Klmt8osgdapRqYWNr7iPGFSsiJqq46S7PYRE0/edit?usp=sharing"",""ระนอง!N210"")"),0)</f>
        <v>0</v>
      </c>
      <c r="AT85" s="87">
        <f t="shared" ca="1" si="91"/>
        <v>0</v>
      </c>
      <c r="AU85" s="86">
        <f ca="1">IFERROR(__xludf.DUMMYFUNCTION("IMPORTRANGE(""https://docs.google.com/spreadsheets/d/1YiDIE7Klmt8osgdapRqYWNr7iPGFSsiJqq46S7PYRE0/edit?usp=sharing"",""ระนอง!L211"")"),0)</f>
        <v>0</v>
      </c>
      <c r="AV85" s="86">
        <f ca="1">IFERROR(__xludf.DUMMYFUNCTION("IMPORTRANGE(""https://docs.google.com/spreadsheets/d/1YiDIE7Klmt8osgdapRqYWNr7iPGFSsiJqq46S7PYRE0/edit?usp=sharing"",""ระนอง!N211"")"),0)</f>
        <v>0</v>
      </c>
      <c r="AW85" s="87">
        <f t="shared" ca="1" si="92"/>
        <v>0</v>
      </c>
      <c r="AX85" s="86">
        <f ca="1">IFERROR(__xludf.DUMMYFUNCTION("IMPORTRANGE(""https://docs.google.com/spreadsheets/d/1YiDIE7Klmt8osgdapRqYWNr7iPGFSsiJqq46S7PYRE0/edit?usp=sharing"",""ระนอง!L212"")"),0)</f>
        <v>0</v>
      </c>
      <c r="AY85" s="86">
        <f ca="1">IFERROR(__xludf.DUMMYFUNCTION("IMPORTRANGE(""https://docs.google.com/spreadsheets/d/1YiDIE7Klmt8osgdapRqYWNr7iPGFSsiJqq46S7PYRE0/edit?usp=sharing"",""ระนอง!N212"")"),0)</f>
        <v>0</v>
      </c>
      <c r="AZ85" s="87">
        <f t="shared" ca="1" si="93"/>
        <v>0</v>
      </c>
      <c r="BA85" s="86">
        <f ca="1">IFERROR(__xludf.DUMMYFUNCTION("IMPORTRANGE(""https://docs.google.com/spreadsheets/d/1YiDIE7Klmt8osgdapRqYWNr7iPGFSsiJqq46S7PYRE0/edit?usp=sharing"",""ระนอง!I214"")"),0)</f>
        <v>0</v>
      </c>
      <c r="BB85" s="86">
        <f ca="1">IFERROR(__xludf.DUMMYFUNCTION("IMPORTRANGE(""https://docs.google.com/spreadsheets/d/1YiDIE7Klmt8osgdapRqYWNr7iPGFSsiJqq46S7PYRE0/edit?usp=sharing"",""ระนอง!J214"")"),0)</f>
        <v>0</v>
      </c>
      <c r="BC85" s="87">
        <f t="shared" ca="1" si="94"/>
        <v>0</v>
      </c>
      <c r="BD85" s="86">
        <f ca="1">IFERROR(__xludf.DUMMYFUNCTION("IMPORTRANGE(""https://docs.google.com/spreadsheets/d/1YiDIE7Klmt8osgdapRqYWNr7iPGFSsiJqq46S7PYRE0/edit?usp=sharing"",""ระนอง!I215"")"),0)</f>
        <v>0</v>
      </c>
      <c r="BE85" s="86">
        <f ca="1">IFERROR(__xludf.DUMMYFUNCTION("IMPORTRANGE(""https://docs.google.com/spreadsheets/d/1YiDIE7Klmt8osgdapRqYWNr7iPGFSsiJqq46S7PYRE0/edit?usp=sharing"",""ระนอง!J215"")"),0)</f>
        <v>0</v>
      </c>
      <c r="BF85" s="87">
        <f t="shared" ca="1" si="95"/>
        <v>0</v>
      </c>
      <c r="BG85" s="86">
        <f ca="1">IFERROR(__xludf.DUMMYFUNCTION("IMPORTRANGE(""https://docs.google.com/spreadsheets/d/1YiDIE7Klmt8osgdapRqYWNr7iPGFSsiJqq46S7PYRE0/edit?usp=sharing"",""ระนอง!L218"")"),3000)</f>
        <v>3000</v>
      </c>
      <c r="BH85" s="86">
        <f ca="1">IFERROR(__xludf.DUMMYFUNCTION("IMPORTRANGE(""https://docs.google.com/spreadsheets/d/1YiDIE7Klmt8osgdapRqYWNr7iPGFSsiJqq46S7PYRE0/edit?usp=sharing"",""ระนอง!N218"")"),0)</f>
        <v>0</v>
      </c>
      <c r="BI85" s="87">
        <f t="shared" ca="1" si="96"/>
        <v>0</v>
      </c>
      <c r="BJ85" s="86">
        <f ca="1">IFERROR(__xludf.DUMMYFUNCTION("IMPORTRANGE(""https://docs.google.com/spreadsheets/d/1YiDIE7Klmt8osgdapRqYWNr7iPGFSsiJqq46S7PYRE0/edit?usp=sharing"",""ระนอง!L219"")"),4100)</f>
        <v>4100</v>
      </c>
      <c r="BK85" s="86">
        <f ca="1">IFERROR(__xludf.DUMMYFUNCTION("IMPORTRANGE(""https://docs.google.com/spreadsheets/d/1YiDIE7Klmt8osgdapRqYWNr7iPGFSsiJqq46S7PYRE0/edit?usp=sharing"",""ระนอง!N219"")"),0)</f>
        <v>0</v>
      </c>
      <c r="BL85" s="87">
        <f t="shared" ca="1" si="97"/>
        <v>0</v>
      </c>
      <c r="BM85" s="86">
        <f ca="1">IFERROR(__xludf.DUMMYFUNCTION("IMPORTRANGE(""https://docs.google.com/spreadsheets/d/1YiDIE7Klmt8osgdapRqYWNr7iPGFSsiJqq46S7PYRE0/edit?usp=sharing"",""ระนอง!L220"")"),0)</f>
        <v>0</v>
      </c>
      <c r="BN85" s="86">
        <f ca="1">IFERROR(__xludf.DUMMYFUNCTION("IMPORTRANGE(""https://docs.google.com/spreadsheets/d/1YiDIE7Klmt8osgdapRqYWNr7iPGFSsiJqq46S7PYRE0/edit?usp=sharing"",""ระนอง!N220"")"),0)</f>
        <v>0</v>
      </c>
      <c r="BO85" s="87">
        <f t="shared" ca="1" si="98"/>
        <v>0</v>
      </c>
      <c r="BP85" s="86">
        <f ca="1">IFERROR(__xludf.DUMMYFUNCTION("IMPORTRANGE(""https://docs.google.com/spreadsheets/d/1YiDIE7Klmt8osgdapRqYWNr7iPGFSsiJqq46S7PYRE0/edit?usp=sharing"",""ระนอง!I223"")"),12800)</f>
        <v>12800</v>
      </c>
      <c r="BQ85" s="86">
        <f ca="1">IFERROR(__xludf.DUMMYFUNCTION("IMPORTRANGE(""https://docs.google.com/spreadsheets/d/1YiDIE7Klmt8osgdapRqYWNr7iPGFSsiJqq46S7PYRE0/edit?usp=sharing"",""ระนอง!J223"")"),0)</f>
        <v>0</v>
      </c>
      <c r="BR85" s="87">
        <f t="shared" ca="1" si="99"/>
        <v>0</v>
      </c>
      <c r="BS85" s="86">
        <f ca="1">IFERROR(__xludf.DUMMYFUNCTION("IMPORTRANGE(""https://docs.google.com/spreadsheets/d/1YiDIE7Klmt8osgdapRqYWNr7iPGFSsiJqq46S7PYRE0/edit?usp=sharing"",""ระนอง!I224"")"),12800)</f>
        <v>12800</v>
      </c>
      <c r="BT85" s="86">
        <f ca="1">IFERROR(__xludf.DUMMYFUNCTION("IMPORTRANGE(""https://docs.google.com/spreadsheets/d/1YiDIE7Klmt8osgdapRqYWNr7iPGFSsiJqq46S7PYRE0/edit?usp=sharing"",""ระนอง!J224"")"),0)</f>
        <v>0</v>
      </c>
      <c r="BU85" s="87">
        <f t="shared" ca="1" si="100"/>
        <v>0</v>
      </c>
      <c r="BV85" s="86">
        <f ca="1">IFERROR(__xludf.DUMMYFUNCTION("IMPORTRANGE(""https://docs.google.com/spreadsheets/d/1YiDIE7Klmt8osgdapRqYWNr7iPGFSsiJqq46S7PYRE0/edit?usp=sharing"",""ระนอง!I225"")"),0)</f>
        <v>0</v>
      </c>
      <c r="BW85" s="86">
        <f ca="1">IFERROR(__xludf.DUMMYFUNCTION("IMPORTRANGE(""https://docs.google.com/spreadsheets/d/1YiDIE7Klmt8osgdapRqYWNr7iPGFSsiJqq46S7PYRE0/edit?usp=sharing"",""ระนอง!J225"")"),0)</f>
        <v>0</v>
      </c>
      <c r="BX85" s="87">
        <f t="shared" ca="1" si="101"/>
        <v>0</v>
      </c>
      <c r="BY85" s="86">
        <f ca="1">IFERROR(__xludf.DUMMYFUNCTION("IMPORTRANGE(""https://docs.google.com/spreadsheets/d/1YiDIE7Klmt8osgdapRqYWNr7iPGFSsiJqq46S7PYRE0/edit?usp=sharing"",""ระนอง!L228"")"),0)</f>
        <v>0</v>
      </c>
      <c r="BZ85" s="86">
        <f ca="1">IFERROR(__xludf.DUMMYFUNCTION("IMPORTRANGE(""https://docs.google.com/spreadsheets/d/1YiDIE7Klmt8osgdapRqYWNr7iPGFSsiJqq46S7PYRE0/edit?usp=sharing"",""ระนอง!N228"")"),0)</f>
        <v>0</v>
      </c>
      <c r="CA85" s="87">
        <f t="shared" ca="1" si="102"/>
        <v>0</v>
      </c>
      <c r="CB85" s="86">
        <f ca="1">IFERROR(__xludf.DUMMYFUNCTION("IMPORTRANGE(""https://docs.google.com/spreadsheets/d/1YiDIE7Klmt8osgdapRqYWNr7iPGFSsiJqq46S7PYRE0/edit?usp=sharing"",""ระนอง!L229"")"),0)</f>
        <v>0</v>
      </c>
      <c r="CC85" s="86">
        <f ca="1">IFERROR(__xludf.DUMMYFUNCTION("IMPORTRANGE(""https://docs.google.com/spreadsheets/d/1YiDIE7Klmt8osgdapRqYWNr7iPGFSsiJqq46S7PYRE0/edit?usp=sharing"",""ระนอง!N229"")"),0)</f>
        <v>0</v>
      </c>
      <c r="CD85" s="87">
        <f t="shared" ca="1" si="103"/>
        <v>0</v>
      </c>
      <c r="CE85" s="86">
        <f ca="1">IFERROR(__xludf.DUMMYFUNCTION("IMPORTRANGE(""https://docs.google.com/spreadsheets/d/1YiDIE7Klmt8osgdapRqYWNr7iPGFSsiJqq46S7PYRE0/edit?usp=sharing"",""ระนอง!L230"")"),0)</f>
        <v>0</v>
      </c>
      <c r="CF85" s="86">
        <f ca="1">IFERROR(__xludf.DUMMYFUNCTION("IMPORTRANGE(""https://docs.google.com/spreadsheets/d/1YiDIE7Klmt8osgdapRqYWNr7iPGFSsiJqq46S7PYRE0/edit?usp=sharing"",""ระนอง!N230"")"),0)</f>
        <v>0</v>
      </c>
      <c r="CG85" s="87">
        <f t="shared" ca="1" si="104"/>
        <v>0</v>
      </c>
      <c r="CH85" s="86">
        <f ca="1">IFERROR(__xludf.DUMMYFUNCTION("IMPORTRANGE(""https://docs.google.com/spreadsheets/d/1YiDIE7Klmt8osgdapRqYWNr7iPGFSsiJqq46S7PYRE0/edit?usp=sharing"",""ระนอง!L231"")"),0)</f>
        <v>0</v>
      </c>
      <c r="CI85" s="86">
        <f ca="1">IFERROR(__xludf.DUMMYFUNCTION("IMPORTRANGE(""https://docs.google.com/spreadsheets/d/1YiDIE7Klmt8osgdapRqYWNr7iPGFSsiJqq46S7PYRE0/edit?usp=sharing"",""ระนอง!N231"")"),0)</f>
        <v>0</v>
      </c>
      <c r="CJ85" s="87">
        <f t="shared" ca="1" si="105"/>
        <v>0</v>
      </c>
      <c r="CK85" s="86">
        <f ca="1">IFERROR(__xludf.DUMMYFUNCTION("IMPORTRANGE(""https://docs.google.com/spreadsheets/d/1YiDIE7Klmt8osgdapRqYWNr7iPGFSsiJqq46S7PYRE0/edit?usp=sharing"",""ระนอง!I233"")"),0)</f>
        <v>0</v>
      </c>
      <c r="CL85" s="86">
        <f ca="1">IFERROR(__xludf.DUMMYFUNCTION("IMPORTRANGE(""https://docs.google.com/spreadsheets/d/1YiDIE7Klmt8osgdapRqYWNr7iPGFSsiJqq46S7PYRE0/edit?usp=sharing"",""ระนอง!J233"")"),0)</f>
        <v>0</v>
      </c>
      <c r="CM85" s="87">
        <f t="shared" ca="1" si="106"/>
        <v>0</v>
      </c>
      <c r="CN85" s="86">
        <f ca="1">IFERROR(__xludf.DUMMYFUNCTION("IMPORTRANGE(""https://docs.google.com/spreadsheets/d/1YiDIE7Klmt8osgdapRqYWNr7iPGFSsiJqq46S7PYRE0/edit?usp=sharing"",""ระนอง!J235"")"),0)</f>
        <v>0</v>
      </c>
      <c r="CO85" s="86">
        <f ca="1">IFERROR(__xludf.DUMMYFUNCTION("IMPORTRANGE(""https://docs.google.com/spreadsheets/d/1YiDIE7Klmt8osgdapRqYWNr7iPGFSsiJqq46S7PYRE0/edit?usp=sharing"",""ระนอง!J236"")"),0)</f>
        <v>0</v>
      </c>
    </row>
    <row r="86" spans="1:93" ht="24" customHeight="1" x14ac:dyDescent="0.3">
      <c r="A86" s="78">
        <v>12</v>
      </c>
      <c r="B86" s="79" t="s">
        <v>108</v>
      </c>
      <c r="C86" s="80">
        <f t="shared" ca="1" si="0"/>
        <v>176400</v>
      </c>
      <c r="D86" s="81">
        <f t="shared" ca="1" si="214"/>
        <v>176400</v>
      </c>
      <c r="E86" s="82">
        <f ca="1">IFERROR(__xludf.DUMMYFUNCTION("IMPORTRANGE(""https://docs.google.com/spreadsheets/d/1MeEWN-I1oV_STSDYn1IFDPWt_1FKiwhDph83XaGc0o0/edit?usp=sharing"",""งบพรบ!CP86"")"),0)</f>
        <v>0</v>
      </c>
      <c r="F86" s="82">
        <f ca="1">IFERROR(__xludf.DUMMYFUNCTION("IMPORTRANGE(""https://docs.google.com/spreadsheets/d/1MeEWN-I1oV_STSDYn1IFDPWt_1FKiwhDph83XaGc0o0/edit?usp=sharing"",""งบพรบ!CQ86"")"),176400)</f>
        <v>176400</v>
      </c>
      <c r="G86" s="82">
        <f ca="1">IFERROR(__xludf.DUMMYFUNCTION("IMPORTRANGE(""https://docs.google.com/spreadsheets/d/1MeEWN-I1oV_STSDYn1IFDPWt_1FKiwhDph83XaGc0o0/edit?usp=sharing"",""งบพรบ!CR86"")"),0)</f>
        <v>0</v>
      </c>
      <c r="H86" s="82">
        <f ca="1">IFERROR(__xludf.DUMMYFUNCTION("IMPORTRANGE(""https://docs.google.com/spreadsheets/d/1MeEWN-I1oV_STSDYn1IFDPWt_1FKiwhDph83XaGc0o0/edit?usp=sharing"",""งบพรบ!CT86"")"),170500)</f>
        <v>170500</v>
      </c>
      <c r="I86" s="82">
        <f ca="1">IFERROR(__xludf.DUMMYFUNCTION("IMPORTRANGE(""https://docs.google.com/spreadsheets/d/1MeEWN-I1oV_STSDYn1IFDPWt_1FKiwhDph83XaGc0o0/edit?usp=sharing"",""งบพรบ!CU86"")"),0)</f>
        <v>0</v>
      </c>
      <c r="J86" s="82">
        <f t="shared" ca="1" si="3"/>
        <v>102650</v>
      </c>
      <c r="K86" s="83">
        <f t="shared" ca="1" si="4"/>
        <v>58.191609977324262</v>
      </c>
      <c r="L86" s="82">
        <f ca="1">IFERROR(__xludf.DUMMYFUNCTION("IMPORTRANGE(""https://docs.google.com/spreadsheets/d/1MeEWN-I1oV_STSDYn1IFDPWt_1FKiwhDph83XaGc0o0/edit?usp=sharing"",""งบพรบ!CV86"")"),102650)</f>
        <v>102650</v>
      </c>
      <c r="M86" s="84">
        <f t="shared" ca="1" si="5"/>
        <v>58.191609977324262</v>
      </c>
      <c r="N86" s="84">
        <f t="shared" ca="1" si="6"/>
        <v>60.205278592375365</v>
      </c>
      <c r="O86" s="85">
        <f ca="1">IFERROR(__xludf.DUMMYFUNCTION("IMPORTRANGE(""https://docs.google.com/spreadsheets/d/1MeEWN-I1oV_STSDYn1IFDPWt_1FKiwhDph83XaGc0o0/edit?usp=sharing"",""งบพรบ!CW86"")"),0)</f>
        <v>0</v>
      </c>
      <c r="P86" s="85">
        <f t="shared" ca="1" si="108"/>
        <v>0</v>
      </c>
      <c r="Q86" s="84">
        <f t="shared" ca="1" si="8"/>
        <v>0</v>
      </c>
      <c r="R86" s="86">
        <f ca="1">IFERROR(__xludf.DUMMYFUNCTION("IMPORTRANGE(""https://docs.google.com/spreadsheets/d/16o_4B-V7AWw_6E93bSpXj_XxVv1oVQctk-B6z1dNEWU/edit?usp=sharing"",""สงขลา!L191"")"),6000)</f>
        <v>6000</v>
      </c>
      <c r="S86" s="86">
        <f ca="1">IFERROR(__xludf.DUMMYFUNCTION("IMPORTRANGE(""https://docs.google.com/spreadsheets/d/16o_4B-V7AWw_6E93bSpXj_XxVv1oVQctk-B6z1dNEWU/edit?usp=sharing"",""สงขลา!N191"")"),2980)</f>
        <v>2980</v>
      </c>
      <c r="T86" s="87">
        <f t="shared" ca="1" si="84"/>
        <v>49.666666666666664</v>
      </c>
      <c r="U86" s="86">
        <f ca="1">IFERROR(__xludf.DUMMYFUNCTION("IMPORTRANGE(""https://docs.google.com/spreadsheets/d/16o_4B-V7AWw_6E93bSpXj_XxVv1oVQctk-B6z1dNEWU/edit?usp=sharing"",""สงขลา!I193"")"),4)</f>
        <v>4</v>
      </c>
      <c r="V86" s="86">
        <f ca="1">IFERROR(__xludf.DUMMYFUNCTION("IMPORTRANGE(""https://docs.google.com/spreadsheets/d/16o_4B-V7AWw_6E93bSpXj_XxVv1oVQctk-B6z1dNEWU/edit?usp=sharing"",""สงขลา!J193"")"),1)</f>
        <v>1</v>
      </c>
      <c r="W86" s="87">
        <f t="shared" ca="1" si="85"/>
        <v>25</v>
      </c>
      <c r="X86" s="86">
        <f t="shared" ca="1" si="215"/>
        <v>84</v>
      </c>
      <c r="Y86" s="86">
        <f ca="1">IFERROR(__xludf.DUMMYFUNCTION("IMPORTRANGE(""https://docs.google.com/spreadsheets/d/16o_4B-V7AWw_6E93bSpXj_XxVv1oVQctk-B6z1dNEWU/edit?usp=sharing"",""สงขลา!J195"")"),84)</f>
        <v>84</v>
      </c>
      <c r="Z86" s="86">
        <f ca="1">IFERROR(__xludf.DUMMYFUNCTION("IMPORTRANGE(""https://docs.google.com/spreadsheets/d/16o_4B-V7AWw_6E93bSpXj_XxVv1oVQctk-B6z1dNEWU/edit?usp=sharing"",""สงขลา!J196"")"),0)</f>
        <v>0</v>
      </c>
      <c r="AA86" s="86">
        <f ca="1">IFERROR(__xludf.DUMMYFUNCTION("IMPORTRANGE(""https://docs.google.com/spreadsheets/d/16o_4B-V7AWw_6E93bSpXj_XxVv1oVQctk-B6z1dNEWU/edit?usp=sharing"",""สงขลา!L199"")"),5000)</f>
        <v>5000</v>
      </c>
      <c r="AB86" s="86">
        <f ca="1">IFERROR(__xludf.DUMMYFUNCTION("IMPORTRANGE(""https://docs.google.com/spreadsheets/d/16o_4B-V7AWw_6E93bSpXj_XxVv1oVQctk-B6z1dNEWU/edit?usp=sharing"",""สงขลา!N199"")"),3170)</f>
        <v>3170</v>
      </c>
      <c r="AC86" s="87">
        <f t="shared" ca="1" si="86"/>
        <v>63.4</v>
      </c>
      <c r="AD86" s="86">
        <f ca="1">IFERROR(__xludf.DUMMYFUNCTION("IMPORTRANGE(""https://docs.google.com/spreadsheets/d/16o_4B-V7AWw_6E93bSpXj_XxVv1oVQctk-B6z1dNEWU/edit?usp=sharing"",""สงขลา!L200"")"),40000)</f>
        <v>40000</v>
      </c>
      <c r="AE86" s="86">
        <f ca="1">IFERROR(__xludf.DUMMYFUNCTION("IMPORTRANGE(""https://docs.google.com/spreadsheets/d/16o_4B-V7AWw_6E93bSpXj_XxVv1oVQctk-B6z1dNEWU/edit?usp=sharing"",""สงขลา!N200"")"),40000)</f>
        <v>40000</v>
      </c>
      <c r="AF86" s="87">
        <f t="shared" ca="1" si="87"/>
        <v>100</v>
      </c>
      <c r="AG86" s="86">
        <f ca="1">IFERROR(__xludf.DUMMYFUNCTION("IMPORTRANGE(""https://docs.google.com/spreadsheets/d/16o_4B-V7AWw_6E93bSpXj_XxVv1oVQctk-B6z1dNEWU/edit?usp=sharing"",""สงขลา!L201"")"),20000)</f>
        <v>20000</v>
      </c>
      <c r="AH86" s="86">
        <f ca="1">IFERROR(__xludf.DUMMYFUNCTION("IMPORTRANGE(""https://docs.google.com/spreadsheets/d/16o_4B-V7AWw_6E93bSpXj_XxVv1oVQctk-B6z1dNEWU/edit?usp=sharing"",""สงขลา!N201"")"),0)</f>
        <v>0</v>
      </c>
      <c r="AI86" s="87">
        <f t="shared" ca="1" si="88"/>
        <v>0</v>
      </c>
      <c r="AJ86" s="86">
        <f ca="1">IFERROR(__xludf.DUMMYFUNCTION("IMPORTRANGE(""https://docs.google.com/spreadsheets/d/16o_4B-V7AWw_6E93bSpXj_XxVv1oVQctk-B6z1dNEWU/edit?usp=sharing"",""สงขลา!L202"")"),0)</f>
        <v>0</v>
      </c>
      <c r="AK86" s="86">
        <f ca="1">IFERROR(__xludf.DUMMYFUNCTION("IMPORTRANGE(""https://docs.google.com/spreadsheets/d/16o_4B-V7AWw_6E93bSpXj_XxVv1oVQctk-B6z1dNEWU/edit?usp=sharing"",""สงขลา!N202"")"),0)</f>
        <v>0</v>
      </c>
      <c r="AL86" s="87">
        <f t="shared" ca="1" si="89"/>
        <v>0</v>
      </c>
      <c r="AM86" s="86">
        <f ca="1">IFERROR(__xludf.DUMMYFUNCTION("IMPORTRANGE(""https://docs.google.com/spreadsheets/d/16o_4B-V7AWw_6E93bSpXj_XxVv1oVQctk-B6z1dNEWU/edit?usp=sharing"",""สงขลา!I204"")"),5)</f>
        <v>5</v>
      </c>
      <c r="AN86" s="86">
        <f ca="1">IFERROR(__xludf.DUMMYFUNCTION("IMPORTRANGE(""https://docs.google.com/spreadsheets/d/16o_4B-V7AWw_6E93bSpXj_XxVv1oVQctk-B6z1dNEWU/edit?usp=sharing"",""สงขลา!J204"")"),5)</f>
        <v>5</v>
      </c>
      <c r="AO86" s="87">
        <f t="shared" ca="1" si="90"/>
        <v>100</v>
      </c>
      <c r="AP86" s="298" t="str">
        <f ca="1">IFERROR(__xludf.DUMMYFUNCTION("IMPORTRANGE(""https://docs.google.com/spreadsheets/d/16o_4B-V7AWw_6E93bSpXj_XxVv1oVQctk-B6z1dNEWU/edit?usp=sharing"",""สงขลา!J206"")"),"")</f>
        <v/>
      </c>
      <c r="AQ86" s="298">
        <f ca="1">IFERROR(__xludf.DUMMYFUNCTION("IMPORTRANGE(""https://docs.google.com/spreadsheets/d/16o_4B-V7AWw_6E93bSpXj_XxVv1oVQctk-B6z1dNEWU/edit?usp=sharing"",""สงขลา!J207"")"),0)</f>
        <v>0</v>
      </c>
      <c r="AR86" s="86">
        <f ca="1">IFERROR(__xludf.DUMMYFUNCTION("IMPORTRANGE(""https://docs.google.com/spreadsheets/d/16o_4B-V7AWw_6E93bSpXj_XxVv1oVQctk-B6z1dNEWU/edit?usp=sharing"",""สงขลา!L210"")"),7000)</f>
        <v>7000</v>
      </c>
      <c r="AS86" s="86">
        <f ca="1">IFERROR(__xludf.DUMMYFUNCTION("IMPORTRANGE(""https://docs.google.com/spreadsheets/d/16o_4B-V7AWw_6E93bSpXj_XxVv1oVQctk-B6z1dNEWU/edit?usp=sharing"",""สงขลา!N210"")"),500)</f>
        <v>500</v>
      </c>
      <c r="AT86" s="87">
        <f t="shared" ca="1" si="91"/>
        <v>7.1428571428571432</v>
      </c>
      <c r="AU86" s="86">
        <f ca="1">IFERROR(__xludf.DUMMYFUNCTION("IMPORTRANGE(""https://docs.google.com/spreadsheets/d/16o_4B-V7AWw_6E93bSpXj_XxVv1oVQctk-B6z1dNEWU/edit?usp=sharing"",""สงขลา!L211"")"),35000)</f>
        <v>35000</v>
      </c>
      <c r="AV86" s="86">
        <f ca="1">IFERROR(__xludf.DUMMYFUNCTION("IMPORTRANGE(""https://docs.google.com/spreadsheets/d/16o_4B-V7AWw_6E93bSpXj_XxVv1oVQctk-B6z1dNEWU/edit?usp=sharing"",""สงขลา!N211"")"),0)</f>
        <v>0</v>
      </c>
      <c r="AW86" s="87">
        <f t="shared" ca="1" si="92"/>
        <v>0</v>
      </c>
      <c r="AX86" s="86">
        <f ca="1">IFERROR(__xludf.DUMMYFUNCTION("IMPORTRANGE(""https://docs.google.com/spreadsheets/d/16o_4B-V7AWw_6E93bSpXj_XxVv1oVQctk-B6z1dNEWU/edit?usp=sharing"",""สงขลา!L212"")"),56000)</f>
        <v>56000</v>
      </c>
      <c r="AY86" s="86">
        <f ca="1">IFERROR(__xludf.DUMMYFUNCTION("IMPORTRANGE(""https://docs.google.com/spreadsheets/d/16o_4B-V7AWw_6E93bSpXj_XxVv1oVQctk-B6z1dNEWU/edit?usp=sharing"",""สงขลา!N212"")"),56000)</f>
        <v>56000</v>
      </c>
      <c r="AZ86" s="87">
        <f t="shared" ca="1" si="93"/>
        <v>100</v>
      </c>
      <c r="BA86" s="86">
        <f ca="1">IFERROR(__xludf.DUMMYFUNCTION("IMPORTRANGE(""https://docs.google.com/spreadsheets/d/16o_4B-V7AWw_6E93bSpXj_XxVv1oVQctk-B6z1dNEWU/edit?usp=sharing"",""สงขลา!I214"")"),7)</f>
        <v>7</v>
      </c>
      <c r="BB86" s="86">
        <f ca="1">IFERROR(__xludf.DUMMYFUNCTION("IMPORTRANGE(""https://docs.google.com/spreadsheets/d/16o_4B-V7AWw_6E93bSpXj_XxVv1oVQctk-B6z1dNEWU/edit?usp=sharing"",""สงขลา!J214"")"),0)</f>
        <v>0</v>
      </c>
      <c r="BC86" s="87">
        <f t="shared" ca="1" si="94"/>
        <v>0</v>
      </c>
      <c r="BD86" s="86">
        <f ca="1">IFERROR(__xludf.DUMMYFUNCTION("IMPORTRANGE(""https://docs.google.com/spreadsheets/d/16o_4B-V7AWw_6E93bSpXj_XxVv1oVQctk-B6z1dNEWU/edit?usp=sharing"",""สงขลา!I215"")"),7)</f>
        <v>7</v>
      </c>
      <c r="BE86" s="86">
        <f ca="1">IFERROR(__xludf.DUMMYFUNCTION("IMPORTRANGE(""https://docs.google.com/spreadsheets/d/16o_4B-V7AWw_6E93bSpXj_XxVv1oVQctk-B6z1dNEWU/edit?usp=sharing"",""สงขลา!J215"")"),7)</f>
        <v>7</v>
      </c>
      <c r="BF86" s="87">
        <f t="shared" ca="1" si="95"/>
        <v>100</v>
      </c>
      <c r="BG86" s="86">
        <f ca="1">IFERROR(__xludf.DUMMYFUNCTION("IMPORTRANGE(""https://docs.google.com/spreadsheets/d/16o_4B-V7AWw_6E93bSpXj_XxVv1oVQctk-B6z1dNEWU/edit?usp=sharing"",""สงขลา!L218"")"),3000)</f>
        <v>3000</v>
      </c>
      <c r="BH86" s="86">
        <f ca="1">IFERROR(__xludf.DUMMYFUNCTION("IMPORTRANGE(""https://docs.google.com/spreadsheets/d/16o_4B-V7AWw_6E93bSpXj_XxVv1oVQctk-B6z1dNEWU/edit?usp=sharing"",""สงขลา!N218"")"),0)</f>
        <v>0</v>
      </c>
      <c r="BI86" s="87">
        <f t="shared" ca="1" si="96"/>
        <v>0</v>
      </c>
      <c r="BJ86" s="86">
        <f ca="1">IFERROR(__xludf.DUMMYFUNCTION("IMPORTRANGE(""https://docs.google.com/spreadsheets/d/16o_4B-V7AWw_6E93bSpXj_XxVv1oVQctk-B6z1dNEWU/edit?usp=sharing"",""สงขลา!L219"")"),4400)</f>
        <v>4400</v>
      </c>
      <c r="BK86" s="86">
        <f ca="1">IFERROR(__xludf.DUMMYFUNCTION("IMPORTRANGE(""https://docs.google.com/spreadsheets/d/16o_4B-V7AWw_6E93bSpXj_XxVv1oVQctk-B6z1dNEWU/edit?usp=sharing"",""สงขลา!N219"")"),0)</f>
        <v>0</v>
      </c>
      <c r="BL86" s="87">
        <f t="shared" ca="1" si="97"/>
        <v>0</v>
      </c>
      <c r="BM86" s="86">
        <f ca="1">IFERROR(__xludf.DUMMYFUNCTION("IMPORTRANGE(""https://docs.google.com/spreadsheets/d/16o_4B-V7AWw_6E93bSpXj_XxVv1oVQctk-B6z1dNEWU/edit?usp=sharing"",""สงขลา!L220"")"),0)</f>
        <v>0</v>
      </c>
      <c r="BN86" s="86">
        <f ca="1">IFERROR(__xludf.DUMMYFUNCTION("IMPORTRANGE(""https://docs.google.com/spreadsheets/d/16o_4B-V7AWw_6E93bSpXj_XxVv1oVQctk-B6z1dNEWU/edit?usp=sharing"",""สงขลา!N220"")"),0)</f>
        <v>0</v>
      </c>
      <c r="BO86" s="87">
        <f t="shared" ca="1" si="98"/>
        <v>0</v>
      </c>
      <c r="BP86" s="86">
        <f ca="1">IFERROR(__xludf.DUMMYFUNCTION("IMPORTRANGE(""https://docs.google.com/spreadsheets/d/16o_4B-V7AWw_6E93bSpXj_XxVv1oVQctk-B6z1dNEWU/edit?usp=sharing"",""สงขลา!I223"")"),15000)</f>
        <v>15000</v>
      </c>
      <c r="BQ86" s="86">
        <f ca="1">IFERROR(__xludf.DUMMYFUNCTION("IMPORTRANGE(""https://docs.google.com/spreadsheets/d/16o_4B-V7AWw_6E93bSpXj_XxVv1oVQctk-B6z1dNEWU/edit?usp=sharing"",""สงขลา!J223"")"),0)</f>
        <v>0</v>
      </c>
      <c r="BR86" s="87">
        <f t="shared" ca="1" si="99"/>
        <v>0</v>
      </c>
      <c r="BS86" s="86">
        <f ca="1">IFERROR(__xludf.DUMMYFUNCTION("IMPORTRANGE(""https://docs.google.com/spreadsheets/d/16o_4B-V7AWw_6E93bSpXj_XxVv1oVQctk-B6z1dNEWU/edit?usp=sharing"",""สงขลา!I224"")"),15000)</f>
        <v>15000</v>
      </c>
      <c r="BT86" s="86">
        <f ca="1">IFERROR(__xludf.DUMMYFUNCTION("IMPORTRANGE(""https://docs.google.com/spreadsheets/d/16o_4B-V7AWw_6E93bSpXj_XxVv1oVQctk-B6z1dNEWU/edit?usp=sharing"",""สงขลา!J224"")"),0)</f>
        <v>0</v>
      </c>
      <c r="BU86" s="87">
        <f t="shared" ca="1" si="100"/>
        <v>0</v>
      </c>
      <c r="BV86" s="86">
        <f ca="1">IFERROR(__xludf.DUMMYFUNCTION("IMPORTRANGE(""https://docs.google.com/spreadsheets/d/16o_4B-V7AWw_6E93bSpXj_XxVv1oVQctk-B6z1dNEWU/edit?usp=sharing"",""สงขลา!I225"")"),0)</f>
        <v>0</v>
      </c>
      <c r="BW86" s="86">
        <f ca="1">IFERROR(__xludf.DUMMYFUNCTION("IMPORTRANGE(""https://docs.google.com/spreadsheets/d/16o_4B-V7AWw_6E93bSpXj_XxVv1oVQctk-B6z1dNEWU/edit?usp=sharing"",""สงขลา!J225"")"),0)</f>
        <v>0</v>
      </c>
      <c r="BX86" s="87">
        <f t="shared" ca="1" si="101"/>
        <v>0</v>
      </c>
      <c r="BY86" s="86">
        <f ca="1">IFERROR(__xludf.DUMMYFUNCTION("IMPORTRANGE(""https://docs.google.com/spreadsheets/d/16o_4B-V7AWw_6E93bSpXj_XxVv1oVQctk-B6z1dNEWU/edit?usp=sharing"",""สงขลา!L228"")"),0)</f>
        <v>0</v>
      </c>
      <c r="BZ86" s="86">
        <f ca="1">IFERROR(__xludf.DUMMYFUNCTION("IMPORTRANGE(""https://docs.google.com/spreadsheets/d/16o_4B-V7AWw_6E93bSpXj_XxVv1oVQctk-B6z1dNEWU/edit?usp=sharing"",""สงขลา!N228"")"),0)</f>
        <v>0</v>
      </c>
      <c r="CA86" s="87">
        <f t="shared" ca="1" si="102"/>
        <v>0</v>
      </c>
      <c r="CB86" s="86">
        <f ca="1">IFERROR(__xludf.DUMMYFUNCTION("IMPORTRANGE(""https://docs.google.com/spreadsheets/d/16o_4B-V7AWw_6E93bSpXj_XxVv1oVQctk-B6z1dNEWU/edit?usp=sharing"",""สงขลา!L229"")"),0)</f>
        <v>0</v>
      </c>
      <c r="CC86" s="86">
        <f ca="1">IFERROR(__xludf.DUMMYFUNCTION("IMPORTRANGE(""https://docs.google.com/spreadsheets/d/16o_4B-V7AWw_6E93bSpXj_XxVv1oVQctk-B6z1dNEWU/edit?usp=sharing"",""สงขลา!N229"")"),0)</f>
        <v>0</v>
      </c>
      <c r="CD86" s="87">
        <f t="shared" ca="1" si="103"/>
        <v>0</v>
      </c>
      <c r="CE86" s="86">
        <f ca="1">IFERROR(__xludf.DUMMYFUNCTION("IMPORTRANGE(""https://docs.google.com/spreadsheets/d/16o_4B-V7AWw_6E93bSpXj_XxVv1oVQctk-B6z1dNEWU/edit?usp=sharing"",""สงขลา!L230"")"),0)</f>
        <v>0</v>
      </c>
      <c r="CF86" s="86">
        <f ca="1">IFERROR(__xludf.DUMMYFUNCTION("IMPORTRANGE(""https://docs.google.com/spreadsheets/d/16o_4B-V7AWw_6E93bSpXj_XxVv1oVQctk-B6z1dNEWU/edit?usp=sharing"",""สงขลา!N230"")"),0)</f>
        <v>0</v>
      </c>
      <c r="CG86" s="87">
        <f t="shared" ca="1" si="104"/>
        <v>0</v>
      </c>
      <c r="CH86" s="86">
        <f ca="1">IFERROR(__xludf.DUMMYFUNCTION("IMPORTRANGE(""https://docs.google.com/spreadsheets/d/16o_4B-V7AWw_6E93bSpXj_XxVv1oVQctk-B6z1dNEWU/edit?usp=sharing"",""สงขลา!L231"")"),0)</f>
        <v>0</v>
      </c>
      <c r="CI86" s="86">
        <f ca="1">IFERROR(__xludf.DUMMYFUNCTION("IMPORTRANGE(""https://docs.google.com/spreadsheets/d/16o_4B-V7AWw_6E93bSpXj_XxVv1oVQctk-B6z1dNEWU/edit?usp=sharing"",""สงขลา!N231"")"),0)</f>
        <v>0</v>
      </c>
      <c r="CJ86" s="87">
        <f t="shared" ca="1" si="105"/>
        <v>0</v>
      </c>
      <c r="CK86" s="86">
        <f ca="1">IFERROR(__xludf.DUMMYFUNCTION("IMPORTRANGE(""https://docs.google.com/spreadsheets/d/16o_4B-V7AWw_6E93bSpXj_XxVv1oVQctk-B6z1dNEWU/edit?usp=sharing"",""สงขลา!I233"")"),0)</f>
        <v>0</v>
      </c>
      <c r="CL86" s="86">
        <f ca="1">IFERROR(__xludf.DUMMYFUNCTION("IMPORTRANGE(""https://docs.google.com/spreadsheets/d/16o_4B-V7AWw_6E93bSpXj_XxVv1oVQctk-B6z1dNEWU/edit?usp=sharing"",""สงขลา!J233"")"),0)</f>
        <v>0</v>
      </c>
      <c r="CM86" s="87">
        <f t="shared" ca="1" si="106"/>
        <v>0</v>
      </c>
      <c r="CN86" s="86">
        <f ca="1">IFERROR(__xludf.DUMMYFUNCTION("IMPORTRANGE(""https://docs.google.com/spreadsheets/d/16o_4B-V7AWw_6E93bSpXj_XxVv1oVQctk-B6z1dNEWU/edit?usp=sharing"",""สงขลา!J235"")"),0)</f>
        <v>0</v>
      </c>
      <c r="CO86" s="86">
        <f ca="1">IFERROR(__xludf.DUMMYFUNCTION("IMPORTRANGE(""https://docs.google.com/spreadsheets/d/16o_4B-V7AWw_6E93bSpXj_XxVv1oVQctk-B6z1dNEWU/edit?usp=sharing"",""สงขลา!J236"")"),0)</f>
        <v>0</v>
      </c>
    </row>
    <row r="87" spans="1:93" ht="24" customHeight="1" x14ac:dyDescent="0.3">
      <c r="A87" s="78">
        <v>13</v>
      </c>
      <c r="B87" s="79" t="s">
        <v>109</v>
      </c>
      <c r="C87" s="80">
        <f t="shared" ca="1" si="0"/>
        <v>38200</v>
      </c>
      <c r="D87" s="81">
        <f t="shared" ca="1" si="214"/>
        <v>38200</v>
      </c>
      <c r="E87" s="82">
        <f ca="1">IFERROR(__xludf.DUMMYFUNCTION("IMPORTRANGE(""https://docs.google.com/spreadsheets/d/1MeEWN-I1oV_STSDYn1IFDPWt_1FKiwhDph83XaGc0o0/edit?usp=sharing"",""งบพรบ!CP87"")"),0)</f>
        <v>0</v>
      </c>
      <c r="F87" s="82">
        <f ca="1">IFERROR(__xludf.DUMMYFUNCTION("IMPORTRANGE(""https://docs.google.com/spreadsheets/d/1MeEWN-I1oV_STSDYn1IFDPWt_1FKiwhDph83XaGc0o0/edit?usp=sharing"",""งบพรบ!CQ87"")"),38200)</f>
        <v>38200</v>
      </c>
      <c r="G87" s="82">
        <f ca="1">IFERROR(__xludf.DUMMYFUNCTION("IMPORTRANGE(""https://docs.google.com/spreadsheets/d/1MeEWN-I1oV_STSDYn1IFDPWt_1FKiwhDph83XaGc0o0/edit?usp=sharing"",""งบพรบ!CR87"")"),0)</f>
        <v>0</v>
      </c>
      <c r="H87" s="82">
        <f ca="1">IFERROR(__xludf.DUMMYFUNCTION("IMPORTRANGE(""https://docs.google.com/spreadsheets/d/1MeEWN-I1oV_STSDYn1IFDPWt_1FKiwhDph83XaGc0o0/edit?usp=sharing"",""งบพรบ!CT87"")"),33500)</f>
        <v>33500</v>
      </c>
      <c r="I87" s="82">
        <f ca="1">IFERROR(__xludf.DUMMYFUNCTION("IMPORTRANGE(""https://docs.google.com/spreadsheets/d/1MeEWN-I1oV_STSDYn1IFDPWt_1FKiwhDph83XaGc0o0/edit?usp=sharing"",""งบพรบ!CU87"")"),0)</f>
        <v>0</v>
      </c>
      <c r="J87" s="82">
        <f t="shared" ca="1" si="3"/>
        <v>17860</v>
      </c>
      <c r="K87" s="83">
        <f t="shared" ca="1" si="4"/>
        <v>46.753926701570684</v>
      </c>
      <c r="L87" s="82">
        <f ca="1">IFERROR(__xludf.DUMMYFUNCTION("IMPORTRANGE(""https://docs.google.com/spreadsheets/d/1MeEWN-I1oV_STSDYn1IFDPWt_1FKiwhDph83XaGc0o0/edit?usp=sharing"",""งบพรบ!CV87"")"),17860)</f>
        <v>17860</v>
      </c>
      <c r="M87" s="84">
        <f t="shared" ca="1" si="5"/>
        <v>46.753926701570684</v>
      </c>
      <c r="N87" s="84">
        <f t="shared" ca="1" si="6"/>
        <v>53.313432835820898</v>
      </c>
      <c r="O87" s="85">
        <f ca="1">IFERROR(__xludf.DUMMYFUNCTION("IMPORTRANGE(""https://docs.google.com/spreadsheets/d/1MeEWN-I1oV_STSDYn1IFDPWt_1FKiwhDph83XaGc0o0/edit?usp=sharing"",""งบพรบ!CW87"")"),0)</f>
        <v>0</v>
      </c>
      <c r="P87" s="85">
        <f t="shared" ca="1" si="108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IFERROR(__xludf.DUMMYFUNCTION("IMPORTRANGE(""https://docs.google.com/spreadsheets/d/16cywr71Fj4fA5OGRHsZh30ZG2gwJhMAQv69oVBzYHv0/edit?usp=sharing"",""สตูล!L191"")"),6000)</f>
        <v>6000</v>
      </c>
      <c r="S87" s="86">
        <f ca="1">IFERROR(__xludf.DUMMYFUNCTION("IMPORTRANGE(""https://docs.google.com/spreadsheets/d/16cywr71Fj4fA5OGRHsZh30ZG2gwJhMAQv69oVBzYHv0/edit?usp=sharing"",""สตูล!N191"")"),0)</f>
        <v>0</v>
      </c>
      <c r="T87" s="87">
        <f t="shared" ca="1" si="84"/>
        <v>0</v>
      </c>
      <c r="U87" s="86">
        <f ca="1">IFERROR(__xludf.DUMMYFUNCTION("IMPORTRANGE(""https://docs.google.com/spreadsheets/d/16cywr71Fj4fA5OGRHsZh30ZG2gwJhMAQv69oVBzYHv0/edit?usp=sharing"",""สตูล!I193"")"),4)</f>
        <v>4</v>
      </c>
      <c r="V87" s="86">
        <f ca="1">IFERROR(__xludf.DUMMYFUNCTION("IMPORTRANGE(""https://docs.google.com/spreadsheets/d/16cywr71Fj4fA5OGRHsZh30ZG2gwJhMAQv69oVBzYHv0/edit?usp=sharing"",""สตูล!J193"")"),1)</f>
        <v>1</v>
      </c>
      <c r="W87" s="87">
        <f t="shared" ca="1" si="85"/>
        <v>25</v>
      </c>
      <c r="X87" s="86">
        <f t="shared" ca="1" si="215"/>
        <v>25</v>
      </c>
      <c r="Y87" s="86">
        <f ca="1">IFERROR(__xludf.DUMMYFUNCTION("IMPORTRANGE(""https://docs.google.com/spreadsheets/d/16cywr71Fj4fA5OGRHsZh30ZG2gwJhMAQv69oVBzYHv0/edit?usp=sharing"",""สตูล!J195"")"),25)</f>
        <v>25</v>
      </c>
      <c r="Z87" s="86">
        <f ca="1">IFERROR(__xludf.DUMMYFUNCTION("IMPORTRANGE(""https://docs.google.com/spreadsheets/d/16cywr71Fj4fA5OGRHsZh30ZG2gwJhMAQv69oVBzYHv0/edit?usp=sharing"",""สตูล!J196"")"),0)</f>
        <v>0</v>
      </c>
      <c r="AA87" s="86">
        <f ca="1">IFERROR(__xludf.DUMMYFUNCTION("IMPORTRANGE(""https://docs.google.com/spreadsheets/d/16cywr71Fj4fA5OGRHsZh30ZG2gwJhMAQv69oVBzYHv0/edit?usp=sharing"",""สตูล!L199"")"),2000)</f>
        <v>2000</v>
      </c>
      <c r="AB87" s="86">
        <f ca="1">IFERROR(__xludf.DUMMYFUNCTION("IMPORTRANGE(""https://docs.google.com/spreadsheets/d/16cywr71Fj4fA5OGRHsZh30ZG2gwJhMAQv69oVBzYHv0/edit?usp=sharing"",""สตูล!N199"")"),0)</f>
        <v>0</v>
      </c>
      <c r="AC87" s="87">
        <f t="shared" ca="1" si="86"/>
        <v>0</v>
      </c>
      <c r="AD87" s="86">
        <f ca="1">IFERROR(__xludf.DUMMYFUNCTION("IMPORTRANGE(""https://docs.google.com/spreadsheets/d/16cywr71Fj4fA5OGRHsZh30ZG2gwJhMAQv69oVBzYHv0/edit?usp=sharing"",""สตูล!L200"")"),16000)</f>
        <v>16000</v>
      </c>
      <c r="AE87" s="86">
        <f ca="1">IFERROR(__xludf.DUMMYFUNCTION("IMPORTRANGE(""https://docs.google.com/spreadsheets/d/16cywr71Fj4fA5OGRHsZh30ZG2gwJhMAQv69oVBzYHv0/edit?usp=sharing"",""สตูล!N200"")"),0)</f>
        <v>0</v>
      </c>
      <c r="AF87" s="87">
        <f t="shared" ca="1" si="87"/>
        <v>0</v>
      </c>
      <c r="AG87" s="86">
        <f ca="1">IFERROR(__xludf.DUMMYFUNCTION("IMPORTRANGE(""https://docs.google.com/spreadsheets/d/16cywr71Fj4fA5OGRHsZh30ZG2gwJhMAQv69oVBzYHv0/edit?usp=sharing"",""สตูล!L201"")"),8000)</f>
        <v>8000</v>
      </c>
      <c r="AH87" s="86">
        <f ca="1">IFERROR(__xludf.DUMMYFUNCTION("IMPORTRANGE(""https://docs.google.com/spreadsheets/d/16cywr71Fj4fA5OGRHsZh30ZG2gwJhMAQv69oVBzYHv0/edit?usp=sharing"",""สตูล!N201"")"),0)</f>
        <v>0</v>
      </c>
      <c r="AI87" s="87">
        <f t="shared" ca="1" si="88"/>
        <v>0</v>
      </c>
      <c r="AJ87" s="86">
        <f ca="1">IFERROR(__xludf.DUMMYFUNCTION("IMPORTRANGE(""https://docs.google.com/spreadsheets/d/16cywr71Fj4fA5OGRHsZh30ZG2gwJhMAQv69oVBzYHv0/edit?usp=sharing"",""สตูล!L202"")"),0)</f>
        <v>0</v>
      </c>
      <c r="AK87" s="86">
        <f ca="1">IFERROR(__xludf.DUMMYFUNCTION("IMPORTRANGE(""https://docs.google.com/spreadsheets/d/16cywr71Fj4fA5OGRHsZh30ZG2gwJhMAQv69oVBzYHv0/edit?usp=sharing"",""สตูล!N202"")"),0)</f>
        <v>0</v>
      </c>
      <c r="AL87" s="87">
        <f t="shared" ca="1" si="89"/>
        <v>0</v>
      </c>
      <c r="AM87" s="86">
        <f ca="1">IFERROR(__xludf.DUMMYFUNCTION("IMPORTRANGE(""https://docs.google.com/spreadsheets/d/16cywr71Fj4fA5OGRHsZh30ZG2gwJhMAQv69oVBzYHv0/edit?usp=sharing"",""สตูล!I204"")"),2)</f>
        <v>2</v>
      </c>
      <c r="AN87" s="86">
        <f ca="1">IFERROR(__xludf.DUMMYFUNCTION("IMPORTRANGE(""https://docs.google.com/spreadsheets/d/16cywr71Fj4fA5OGRHsZh30ZG2gwJhMAQv69oVBzYHv0/edit?usp=sharing"",""สตูล!J204"")"),0)</f>
        <v>0</v>
      </c>
      <c r="AO87" s="87">
        <f t="shared" ca="1" si="90"/>
        <v>0</v>
      </c>
      <c r="AP87" s="298">
        <f ca="1">IFERROR(__xludf.DUMMYFUNCTION("IMPORTRANGE(""https://docs.google.com/spreadsheets/d/16cywr71Fj4fA5OGRHsZh30ZG2gwJhMAQv69oVBzYHv0/edit?usp=sharing"",""สตูล!J206"")"),0)</f>
        <v>0</v>
      </c>
      <c r="AQ87" s="298">
        <f ca="1">IFERROR(__xludf.DUMMYFUNCTION("IMPORTRANGE(""https://docs.google.com/spreadsheets/d/16cywr71Fj4fA5OGRHsZh30ZG2gwJhMAQv69oVBzYHv0/edit?usp=sharing"",""สตูล!J207"")"),0)</f>
        <v>0</v>
      </c>
      <c r="AR87" s="86">
        <f ca="1">IFERROR(__xludf.DUMMYFUNCTION("IMPORTRANGE(""https://docs.google.com/spreadsheets/d/16cywr71Fj4fA5OGRHsZh30ZG2gwJhMAQv69oVBzYHv0/edit?usp=sharing"",""สตูล!L210"")"),0)</f>
        <v>0</v>
      </c>
      <c r="AS87" s="86">
        <f ca="1">IFERROR(__xludf.DUMMYFUNCTION("IMPORTRANGE(""https://docs.google.com/spreadsheets/d/16cywr71Fj4fA5OGRHsZh30ZG2gwJhMAQv69oVBzYHv0/edit?usp=sharing"",""สตูล!N210"")"),0)</f>
        <v>0</v>
      </c>
      <c r="AT87" s="87">
        <f t="shared" ca="1" si="91"/>
        <v>0</v>
      </c>
      <c r="AU87" s="86">
        <f ca="1">IFERROR(__xludf.DUMMYFUNCTION("IMPORTRANGE(""https://docs.google.com/spreadsheets/d/16cywr71Fj4fA5OGRHsZh30ZG2gwJhMAQv69oVBzYHv0/edit?usp=sharing"",""สตูล!L211"")"),0)</f>
        <v>0</v>
      </c>
      <c r="AV87" s="86">
        <f ca="1">IFERROR(__xludf.DUMMYFUNCTION("IMPORTRANGE(""https://docs.google.com/spreadsheets/d/16cywr71Fj4fA5OGRHsZh30ZG2gwJhMAQv69oVBzYHv0/edit?usp=sharing"",""สตูล!N211"")"),0)</f>
        <v>0</v>
      </c>
      <c r="AW87" s="87">
        <f t="shared" ca="1" si="92"/>
        <v>0</v>
      </c>
      <c r="AX87" s="86">
        <f ca="1">IFERROR(__xludf.DUMMYFUNCTION("IMPORTRANGE(""https://docs.google.com/spreadsheets/d/16cywr71Fj4fA5OGRHsZh30ZG2gwJhMAQv69oVBzYHv0/edit?usp=sharing"",""สตูล!L212"")"),0)</f>
        <v>0</v>
      </c>
      <c r="AY87" s="86">
        <f ca="1">IFERROR(__xludf.DUMMYFUNCTION("IMPORTRANGE(""https://docs.google.com/spreadsheets/d/16cywr71Fj4fA5OGRHsZh30ZG2gwJhMAQv69oVBzYHv0/edit?usp=sharing"",""สตูล!N212"")"),0)</f>
        <v>0</v>
      </c>
      <c r="AZ87" s="87">
        <f t="shared" ca="1" si="93"/>
        <v>0</v>
      </c>
      <c r="BA87" s="86">
        <f ca="1">IFERROR(__xludf.DUMMYFUNCTION("IMPORTRANGE(""https://docs.google.com/spreadsheets/d/16cywr71Fj4fA5OGRHsZh30ZG2gwJhMAQv69oVBzYHv0/edit?usp=sharing"",""สตูล!I214"")"),0)</f>
        <v>0</v>
      </c>
      <c r="BB87" s="86">
        <f ca="1">IFERROR(__xludf.DUMMYFUNCTION("IMPORTRANGE(""https://docs.google.com/spreadsheets/d/16cywr71Fj4fA5OGRHsZh30ZG2gwJhMAQv69oVBzYHv0/edit?usp=sharing"",""สตูล!J214"")"),0)</f>
        <v>0</v>
      </c>
      <c r="BC87" s="87">
        <f t="shared" ca="1" si="94"/>
        <v>0</v>
      </c>
      <c r="BD87" s="86">
        <f ca="1">IFERROR(__xludf.DUMMYFUNCTION("IMPORTRANGE(""https://docs.google.com/spreadsheets/d/16cywr71Fj4fA5OGRHsZh30ZG2gwJhMAQv69oVBzYHv0/edit?usp=sharing"",""สตูล!I215"")"),0)</f>
        <v>0</v>
      </c>
      <c r="BE87" s="86">
        <f ca="1">IFERROR(__xludf.DUMMYFUNCTION("IMPORTRANGE(""https://docs.google.com/spreadsheets/d/16cywr71Fj4fA5OGRHsZh30ZG2gwJhMAQv69oVBzYHv0/edit?usp=sharing"",""สตูล!J215"")"),0)</f>
        <v>0</v>
      </c>
      <c r="BF87" s="87">
        <f t="shared" ca="1" si="95"/>
        <v>0</v>
      </c>
      <c r="BG87" s="86">
        <f ca="1">IFERROR(__xludf.DUMMYFUNCTION("IMPORTRANGE(""https://docs.google.com/spreadsheets/d/16cywr71Fj4fA5OGRHsZh30ZG2gwJhMAQv69oVBzYHv0/edit?usp=sharing"",""สตูล!L218"")"),3000)</f>
        <v>3000</v>
      </c>
      <c r="BH87" s="86">
        <f ca="1">IFERROR(__xludf.DUMMYFUNCTION("IMPORTRANGE(""https://docs.google.com/spreadsheets/d/16cywr71Fj4fA5OGRHsZh30ZG2gwJhMAQv69oVBzYHv0/edit?usp=sharing"",""สตูล!N218"")"),0)</f>
        <v>0</v>
      </c>
      <c r="BI87" s="87">
        <f t="shared" ca="1" si="96"/>
        <v>0</v>
      </c>
      <c r="BJ87" s="86">
        <f ca="1">IFERROR(__xludf.DUMMYFUNCTION("IMPORTRANGE(""https://docs.google.com/spreadsheets/d/16cywr71Fj4fA5OGRHsZh30ZG2gwJhMAQv69oVBzYHv0/edit?usp=sharing"",""สตูล!L219"")"),3200)</f>
        <v>3200</v>
      </c>
      <c r="BK87" s="86">
        <f ca="1">IFERROR(__xludf.DUMMYFUNCTION("IMPORTRANGE(""https://docs.google.com/spreadsheets/d/16cywr71Fj4fA5OGRHsZh30ZG2gwJhMAQv69oVBzYHv0/edit?usp=sharing"",""สตูล!N219"")"),0)</f>
        <v>0</v>
      </c>
      <c r="BL87" s="87">
        <f t="shared" ca="1" si="97"/>
        <v>0</v>
      </c>
      <c r="BM87" s="86">
        <f ca="1">IFERROR(__xludf.DUMMYFUNCTION("IMPORTRANGE(""https://docs.google.com/spreadsheets/d/16cywr71Fj4fA5OGRHsZh30ZG2gwJhMAQv69oVBzYHv0/edit?usp=sharing"",""สตูล!L220"")"),0)</f>
        <v>0</v>
      </c>
      <c r="BN87" s="86">
        <f ca="1">IFERROR(__xludf.DUMMYFUNCTION("IMPORTRANGE(""https://docs.google.com/spreadsheets/d/16cywr71Fj4fA5OGRHsZh30ZG2gwJhMAQv69oVBzYHv0/edit?usp=sharing"",""สตูล!N220"")"),0)</f>
        <v>0</v>
      </c>
      <c r="BO87" s="87">
        <f t="shared" ca="1" si="98"/>
        <v>0</v>
      </c>
      <c r="BP87" s="86">
        <f ca="1">IFERROR(__xludf.DUMMYFUNCTION("IMPORTRANGE(""https://docs.google.com/spreadsheets/d/16cywr71Fj4fA5OGRHsZh30ZG2gwJhMAQv69oVBzYHv0/edit?usp=sharing"",""สตูล!I223"")"),6400)</f>
        <v>6400</v>
      </c>
      <c r="BQ87" s="86">
        <f ca="1">IFERROR(__xludf.DUMMYFUNCTION("IMPORTRANGE(""https://docs.google.com/spreadsheets/d/16cywr71Fj4fA5OGRHsZh30ZG2gwJhMAQv69oVBzYHv0/edit?usp=sharing"",""สตูล!J223"")"),0)</f>
        <v>0</v>
      </c>
      <c r="BR87" s="87">
        <f t="shared" ca="1" si="99"/>
        <v>0</v>
      </c>
      <c r="BS87" s="86">
        <f ca="1">IFERROR(__xludf.DUMMYFUNCTION("IMPORTRANGE(""https://docs.google.com/spreadsheets/d/16cywr71Fj4fA5OGRHsZh30ZG2gwJhMAQv69oVBzYHv0/edit?usp=sharing"",""สตูล!I224"")"),6400)</f>
        <v>6400</v>
      </c>
      <c r="BT87" s="86">
        <f ca="1">IFERROR(__xludf.DUMMYFUNCTION("IMPORTRANGE(""https://docs.google.com/spreadsheets/d/16cywr71Fj4fA5OGRHsZh30ZG2gwJhMAQv69oVBzYHv0/edit?usp=sharing"",""สตูล!J224"")"),0)</f>
        <v>0</v>
      </c>
      <c r="BU87" s="87">
        <f t="shared" ca="1" si="100"/>
        <v>0</v>
      </c>
      <c r="BV87" s="86">
        <f ca="1">IFERROR(__xludf.DUMMYFUNCTION("IMPORTRANGE(""https://docs.google.com/spreadsheets/d/16cywr71Fj4fA5OGRHsZh30ZG2gwJhMAQv69oVBzYHv0/edit?usp=sharing"",""สตูล!I225"")"),0)</f>
        <v>0</v>
      </c>
      <c r="BW87" s="86">
        <f ca="1">IFERROR(__xludf.DUMMYFUNCTION("IMPORTRANGE(""https://docs.google.com/spreadsheets/d/16cywr71Fj4fA5OGRHsZh30ZG2gwJhMAQv69oVBzYHv0/edit?usp=sharing"",""สตูล!J225"")"),0)</f>
        <v>0</v>
      </c>
      <c r="BX87" s="87">
        <f t="shared" ca="1" si="101"/>
        <v>0</v>
      </c>
      <c r="BY87" s="86">
        <f ca="1">IFERROR(__xludf.DUMMYFUNCTION("IMPORTRANGE(""https://docs.google.com/spreadsheets/d/16cywr71Fj4fA5OGRHsZh30ZG2gwJhMAQv69oVBzYHv0/edit?usp=sharing"",""สตูล!L228"")"),0)</f>
        <v>0</v>
      </c>
      <c r="BZ87" s="86">
        <f ca="1">IFERROR(__xludf.DUMMYFUNCTION("IMPORTRANGE(""https://docs.google.com/spreadsheets/d/16cywr71Fj4fA5OGRHsZh30ZG2gwJhMAQv69oVBzYHv0/edit?usp=sharing"",""สตูล!N228"")"),0)</f>
        <v>0</v>
      </c>
      <c r="CA87" s="87">
        <f t="shared" ca="1" si="102"/>
        <v>0</v>
      </c>
      <c r="CB87" s="86">
        <f ca="1">IFERROR(__xludf.DUMMYFUNCTION("IMPORTRANGE(""https://docs.google.com/spreadsheets/d/16cywr71Fj4fA5OGRHsZh30ZG2gwJhMAQv69oVBzYHv0/edit?usp=sharing"",""สตูล!L229"")"),0)</f>
        <v>0</v>
      </c>
      <c r="CC87" s="86">
        <f ca="1">IFERROR(__xludf.DUMMYFUNCTION("IMPORTRANGE(""https://docs.google.com/spreadsheets/d/16cywr71Fj4fA5OGRHsZh30ZG2gwJhMAQv69oVBzYHv0/edit?usp=sharing"",""สตูล!N229"")"),0)</f>
        <v>0</v>
      </c>
      <c r="CD87" s="87">
        <f t="shared" ca="1" si="103"/>
        <v>0</v>
      </c>
      <c r="CE87" s="86">
        <f ca="1">IFERROR(__xludf.DUMMYFUNCTION("IMPORTRANGE(""https://docs.google.com/spreadsheets/d/16cywr71Fj4fA5OGRHsZh30ZG2gwJhMAQv69oVBzYHv0/edit?usp=sharing"",""สตูล!L230"")"),0)</f>
        <v>0</v>
      </c>
      <c r="CF87" s="86">
        <f ca="1">IFERROR(__xludf.DUMMYFUNCTION("IMPORTRANGE(""https://docs.google.com/spreadsheets/d/16cywr71Fj4fA5OGRHsZh30ZG2gwJhMAQv69oVBzYHv0/edit?usp=sharing"",""สตูล!N230"")"),0)</f>
        <v>0</v>
      </c>
      <c r="CG87" s="87">
        <f t="shared" ca="1" si="104"/>
        <v>0</v>
      </c>
      <c r="CH87" s="86">
        <f ca="1">IFERROR(__xludf.DUMMYFUNCTION("IMPORTRANGE(""https://docs.google.com/spreadsheets/d/16cywr71Fj4fA5OGRHsZh30ZG2gwJhMAQv69oVBzYHv0/edit?usp=sharing"",""สตูล!L231"")"),0)</f>
        <v>0</v>
      </c>
      <c r="CI87" s="86">
        <f ca="1">IFERROR(__xludf.DUMMYFUNCTION("IMPORTRANGE(""https://docs.google.com/spreadsheets/d/16cywr71Fj4fA5OGRHsZh30ZG2gwJhMAQv69oVBzYHv0/edit?usp=sharing"",""สตูล!N231"")"),0)</f>
        <v>0</v>
      </c>
      <c r="CJ87" s="87">
        <f t="shared" ca="1" si="105"/>
        <v>0</v>
      </c>
      <c r="CK87" s="86">
        <f ca="1">IFERROR(__xludf.DUMMYFUNCTION("IMPORTRANGE(""https://docs.google.com/spreadsheets/d/16cywr71Fj4fA5OGRHsZh30ZG2gwJhMAQv69oVBzYHv0/edit?usp=sharing"",""สตูล!I233"")"),0)</f>
        <v>0</v>
      </c>
      <c r="CL87" s="86">
        <f ca="1">IFERROR(__xludf.DUMMYFUNCTION("IMPORTRANGE(""https://docs.google.com/spreadsheets/d/16cywr71Fj4fA5OGRHsZh30ZG2gwJhMAQv69oVBzYHv0/edit?usp=sharing"",""สตูล!J233"")"),0)</f>
        <v>0</v>
      </c>
      <c r="CM87" s="87">
        <f t="shared" ca="1" si="106"/>
        <v>0</v>
      </c>
      <c r="CN87" s="86">
        <f ca="1">IFERROR(__xludf.DUMMYFUNCTION("IMPORTRANGE(""https://docs.google.com/spreadsheets/d/16cywr71Fj4fA5OGRHsZh30ZG2gwJhMAQv69oVBzYHv0/edit?usp=sharing"",""สตูล!J235"")"),0)</f>
        <v>0</v>
      </c>
      <c r="CO87" s="86">
        <f ca="1">IFERROR(__xludf.DUMMYFUNCTION("IMPORTRANGE(""https://docs.google.com/spreadsheets/d/16cywr71Fj4fA5OGRHsZh30ZG2gwJhMAQv69oVBzYHv0/edit?usp=sharing"",""สตูล!J236"")"),0)</f>
        <v>0</v>
      </c>
    </row>
    <row r="88" spans="1:93" ht="24" customHeight="1" x14ac:dyDescent="0.3">
      <c r="A88" s="89">
        <v>14</v>
      </c>
      <c r="B88" s="90" t="s">
        <v>110</v>
      </c>
      <c r="C88" s="91">
        <f t="shared" ca="1" si="0"/>
        <v>64500</v>
      </c>
      <c r="D88" s="92">
        <f t="shared" ca="1" si="214"/>
        <v>64500</v>
      </c>
      <c r="E88" s="93">
        <f ca="1">IFERROR(__xludf.DUMMYFUNCTION("IMPORTRANGE(""https://docs.google.com/spreadsheets/d/1MeEWN-I1oV_STSDYn1IFDPWt_1FKiwhDph83XaGc0o0/edit?usp=sharing"",""งบพรบ!CP88"")"),0)</f>
        <v>0</v>
      </c>
      <c r="F88" s="93">
        <f ca="1">IFERROR(__xludf.DUMMYFUNCTION("IMPORTRANGE(""https://docs.google.com/spreadsheets/d/1MeEWN-I1oV_STSDYn1IFDPWt_1FKiwhDph83XaGc0o0/edit?usp=sharing"",""งบพรบ!CQ88"")"),64500)</f>
        <v>64500</v>
      </c>
      <c r="G88" s="93">
        <f ca="1">IFERROR(__xludf.DUMMYFUNCTION("IMPORTRANGE(""https://docs.google.com/spreadsheets/d/1MeEWN-I1oV_STSDYn1IFDPWt_1FKiwhDph83XaGc0o0/edit?usp=sharing"",""งบพรบ!CR88"")"),0)</f>
        <v>0</v>
      </c>
      <c r="H88" s="93">
        <f ca="1">IFERROR(__xludf.DUMMYFUNCTION("IMPORTRANGE(""https://docs.google.com/spreadsheets/d/1MeEWN-I1oV_STSDYn1IFDPWt_1FKiwhDph83XaGc0o0/edit?usp=sharing"",""งบพรบ!CT88"")"),59500)</f>
        <v>59500</v>
      </c>
      <c r="I88" s="93">
        <f ca="1">IFERROR(__xludf.DUMMYFUNCTION("IMPORTRANGE(""https://docs.google.com/spreadsheets/d/1MeEWN-I1oV_STSDYn1IFDPWt_1FKiwhDph83XaGc0o0/edit?usp=sharing"",""งบพรบ!CU88"")"),0)</f>
        <v>0</v>
      </c>
      <c r="J88" s="93">
        <f t="shared" ca="1" si="3"/>
        <v>35930</v>
      </c>
      <c r="K88" s="94">
        <f t="shared" ca="1" si="4"/>
        <v>55.70542635658915</v>
      </c>
      <c r="L88" s="93">
        <f ca="1">IFERROR(__xludf.DUMMYFUNCTION("IMPORTRANGE(""https://docs.google.com/spreadsheets/d/1MeEWN-I1oV_STSDYn1IFDPWt_1FKiwhDph83XaGc0o0/edit?usp=sharing"",""งบพรบ!CV88"")"),35930)</f>
        <v>35930</v>
      </c>
      <c r="M88" s="95">
        <f t="shared" ca="1" si="5"/>
        <v>55.70542635658915</v>
      </c>
      <c r="N88" s="95">
        <f t="shared" ca="1" si="6"/>
        <v>60.386554621848738</v>
      </c>
      <c r="O88" s="96">
        <f ca="1">IFERROR(__xludf.DUMMYFUNCTION("IMPORTRANGE(""https://docs.google.com/spreadsheets/d/1MeEWN-I1oV_STSDYn1IFDPWt_1FKiwhDph83XaGc0o0/edit?usp=sharing"",""งบพรบ!CW88"")"),0)</f>
        <v>0</v>
      </c>
      <c r="P88" s="96">
        <f t="shared" ca="1" si="108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IFERROR(__xludf.DUMMYFUNCTION("IMPORTRANGE(""https://docs.google.com/spreadsheets/d/1vO9Sws6kMtrVtyvrAJptINXjK8TFBoX9xLYOVK_C8bQ/edit?usp=sharing"",""สุราษฎร์ธานี!L191"")"),6000)</f>
        <v>6000</v>
      </c>
      <c r="S88" s="97">
        <f ca="1">IFERROR(__xludf.DUMMYFUNCTION("IMPORTRANGE(""https://docs.google.com/spreadsheets/d/1vO9Sws6kMtrVtyvrAJptINXjK8TFBoX9xLYOVK_C8bQ/edit?usp=sharing"",""สุราษฎร์ธานี!N191"")"),2200)</f>
        <v>2200</v>
      </c>
      <c r="T88" s="98">
        <f t="shared" ca="1" si="84"/>
        <v>36.666666666666664</v>
      </c>
      <c r="U88" s="97">
        <f ca="1">IFERROR(__xludf.DUMMYFUNCTION("IMPORTRANGE(""https://docs.google.com/spreadsheets/d/1vO9Sws6kMtrVtyvrAJptINXjK8TFBoX9xLYOVK_C8bQ/edit?usp=sharing"",""สุราษฎร์ธานี!I193"")"),4)</f>
        <v>4</v>
      </c>
      <c r="V88" s="97">
        <f ca="1">IFERROR(__xludf.DUMMYFUNCTION("IMPORTRANGE(""https://docs.google.com/spreadsheets/d/1vO9Sws6kMtrVtyvrAJptINXjK8TFBoX9xLYOVK_C8bQ/edit?usp=sharing"",""สุราษฎร์ธานี!J193"")"),1)</f>
        <v>1</v>
      </c>
      <c r="W88" s="98">
        <f t="shared" ca="1" si="85"/>
        <v>25</v>
      </c>
      <c r="X88" s="97">
        <f t="shared" ca="1" si="215"/>
        <v>25</v>
      </c>
      <c r="Y88" s="97">
        <f ca="1">IFERROR(__xludf.DUMMYFUNCTION("IMPORTRANGE(""https://docs.google.com/spreadsheets/d/1vO9Sws6kMtrVtyvrAJptINXjK8TFBoX9xLYOVK_C8bQ/edit?usp=sharing"",""สุราษฎร์ธานี!J195"")"),25)</f>
        <v>25</v>
      </c>
      <c r="Z88" s="97">
        <f ca="1">IFERROR(__xludf.DUMMYFUNCTION("IMPORTRANGE(""https://docs.google.com/spreadsheets/d/1vO9Sws6kMtrVtyvrAJptINXjK8TFBoX9xLYOVK_C8bQ/edit?usp=sharing"",""สุราษฎร์ธานี!J196"")"),0)</f>
        <v>0</v>
      </c>
      <c r="AA88" s="97">
        <f ca="1">IFERROR(__xludf.DUMMYFUNCTION("IMPORTRANGE(""https://docs.google.com/spreadsheets/d/1vO9Sws6kMtrVtyvrAJptINXjK8TFBoX9xLYOVK_C8bQ/edit?usp=sharing"",""สุราษฎร์ธานี!L199"")"),4000)</f>
        <v>4000</v>
      </c>
      <c r="AB88" s="97">
        <f ca="1">IFERROR(__xludf.DUMMYFUNCTION("IMPORTRANGE(""https://docs.google.com/spreadsheets/d/1vO9Sws6kMtrVtyvrAJptINXjK8TFBoX9xLYOVK_C8bQ/edit?usp=sharing"",""สุราษฎร์ธานี!N199"")"),1730)</f>
        <v>1730</v>
      </c>
      <c r="AC88" s="98">
        <f t="shared" ca="1" si="86"/>
        <v>43.25</v>
      </c>
      <c r="AD88" s="97">
        <f ca="1">IFERROR(__xludf.DUMMYFUNCTION("IMPORTRANGE(""https://docs.google.com/spreadsheets/d/1vO9Sws6kMtrVtyvrAJptINXjK8TFBoX9xLYOVK_C8bQ/edit?usp=sharing"",""สุราษฎร์ธานี!L200"")"),32000)</f>
        <v>32000</v>
      </c>
      <c r="AE88" s="97">
        <f ca="1">IFERROR(__xludf.DUMMYFUNCTION("IMPORTRANGE(""https://docs.google.com/spreadsheets/d/1vO9Sws6kMtrVtyvrAJptINXjK8TFBoX9xLYOVK_C8bQ/edit?usp=sharing"",""สุราษฎร์ธานี!N200"")"),32000)</f>
        <v>32000</v>
      </c>
      <c r="AF88" s="98">
        <f t="shared" ca="1" si="87"/>
        <v>100</v>
      </c>
      <c r="AG88" s="97">
        <f ca="1">IFERROR(__xludf.DUMMYFUNCTION("IMPORTRANGE(""https://docs.google.com/spreadsheets/d/1vO9Sws6kMtrVtyvrAJptINXjK8TFBoX9xLYOVK_C8bQ/edit?usp=sharing"",""สุราษฎร์ธานี!L201"")"),16000)</f>
        <v>16000</v>
      </c>
      <c r="AH88" s="97">
        <f ca="1">IFERROR(__xludf.DUMMYFUNCTION("IMPORTRANGE(""https://docs.google.com/spreadsheets/d/1vO9Sws6kMtrVtyvrAJptINXjK8TFBoX9xLYOVK_C8bQ/edit?usp=sharing"",""สุราษฎร์ธานี!N201"")"),0)</f>
        <v>0</v>
      </c>
      <c r="AI88" s="98">
        <f t="shared" ca="1" si="88"/>
        <v>0</v>
      </c>
      <c r="AJ88" s="97">
        <f ca="1">IFERROR(__xludf.DUMMYFUNCTION("IMPORTRANGE(""https://docs.google.com/spreadsheets/d/1vO9Sws6kMtrVtyvrAJptINXjK8TFBoX9xLYOVK_C8bQ/edit?usp=sharing"",""สุราษฎร์ธานี!L202"")"),0)</f>
        <v>0</v>
      </c>
      <c r="AK88" s="97">
        <f ca="1">IFERROR(__xludf.DUMMYFUNCTION("IMPORTRANGE(""https://docs.google.com/spreadsheets/d/1vO9Sws6kMtrVtyvrAJptINXjK8TFBoX9xLYOVK_C8bQ/edit?usp=sharing"",""สุราษฎร์ธานี!N202"")"),0)</f>
        <v>0</v>
      </c>
      <c r="AL88" s="98">
        <f t="shared" ca="1" si="89"/>
        <v>0</v>
      </c>
      <c r="AM88" s="97">
        <f ca="1">IFERROR(__xludf.DUMMYFUNCTION("IMPORTRANGE(""https://docs.google.com/spreadsheets/d/1vO9Sws6kMtrVtyvrAJptINXjK8TFBoX9xLYOVK_C8bQ/edit?usp=sharing"",""สุราษฎร์ธานี!I204"")"),4)</f>
        <v>4</v>
      </c>
      <c r="AN88" s="97">
        <f ca="1">IFERROR(__xludf.DUMMYFUNCTION("IMPORTRANGE(""https://docs.google.com/spreadsheets/d/1vO9Sws6kMtrVtyvrAJptINXjK8TFBoX9xLYOVK_C8bQ/edit?usp=sharing"",""สุราษฎร์ธานี!J204"")"),4)</f>
        <v>4</v>
      </c>
      <c r="AO88" s="98">
        <f t="shared" ca="1" si="90"/>
        <v>100</v>
      </c>
      <c r="AP88" s="299">
        <f ca="1">IFERROR(__xludf.DUMMYFUNCTION("IMPORTRANGE(""https://docs.google.com/spreadsheets/d/1vO9Sws6kMtrVtyvrAJptINXjK8TFBoX9xLYOVK_C8bQ/edit?usp=sharing"",""สุราษฎร์ธานี!J206"")"),0)</f>
        <v>0</v>
      </c>
      <c r="AQ88" s="299">
        <f ca="1">IFERROR(__xludf.DUMMYFUNCTION("IMPORTRANGE(""https://docs.google.com/spreadsheets/d/1vO9Sws6kMtrVtyvrAJptINXjK8TFBoX9xLYOVK_C8bQ/edit?usp=sharing"",""สุราษฎร์ธานี!J207"")"),0)</f>
        <v>0</v>
      </c>
      <c r="AR88" s="97">
        <f ca="1">IFERROR(__xludf.DUMMYFUNCTION("IMPORTRANGE(""https://docs.google.com/spreadsheets/d/1vO9Sws6kMtrVtyvrAJptINXjK8TFBoX9xLYOVK_C8bQ/edit?usp=sharing"",""สุราษฎร์ธานี!L210"")"),0)</f>
        <v>0</v>
      </c>
      <c r="AS88" s="97">
        <f ca="1">IFERROR(__xludf.DUMMYFUNCTION("IMPORTRANGE(""https://docs.google.com/spreadsheets/d/1vO9Sws6kMtrVtyvrAJptINXjK8TFBoX9xLYOVK_C8bQ/edit?usp=sharing"",""สุราษฎร์ธานี!N210"")"),0)</f>
        <v>0</v>
      </c>
      <c r="AT88" s="98">
        <f t="shared" ca="1" si="91"/>
        <v>0</v>
      </c>
      <c r="AU88" s="97">
        <f ca="1">IFERROR(__xludf.DUMMYFUNCTION("IMPORTRANGE(""https://docs.google.com/spreadsheets/d/1vO9Sws6kMtrVtyvrAJptINXjK8TFBoX9xLYOVK_C8bQ/edit?usp=sharing"",""สุราษฎร์ธานี!L211"")"),0)</f>
        <v>0</v>
      </c>
      <c r="AV88" s="97">
        <f ca="1">IFERROR(__xludf.DUMMYFUNCTION("IMPORTRANGE(""https://docs.google.com/spreadsheets/d/1vO9Sws6kMtrVtyvrAJptINXjK8TFBoX9xLYOVK_C8bQ/edit?usp=sharing"",""สุราษฎร์ธานี!N211"")"),0)</f>
        <v>0</v>
      </c>
      <c r="AW88" s="98">
        <f t="shared" ca="1" si="92"/>
        <v>0</v>
      </c>
      <c r="AX88" s="97">
        <f ca="1">IFERROR(__xludf.DUMMYFUNCTION("IMPORTRANGE(""https://docs.google.com/spreadsheets/d/1vO9Sws6kMtrVtyvrAJptINXjK8TFBoX9xLYOVK_C8bQ/edit?usp=sharing"",""สุราษฎร์ธานี!L212"")"),0)</f>
        <v>0</v>
      </c>
      <c r="AY88" s="97">
        <f ca="1">IFERROR(__xludf.DUMMYFUNCTION("IMPORTRANGE(""https://docs.google.com/spreadsheets/d/1vO9Sws6kMtrVtyvrAJptINXjK8TFBoX9xLYOVK_C8bQ/edit?usp=sharing"",""สุราษฎร์ธานี!N212"")"),0)</f>
        <v>0</v>
      </c>
      <c r="AZ88" s="98">
        <f t="shared" ca="1" si="93"/>
        <v>0</v>
      </c>
      <c r="BA88" s="97">
        <f ca="1">IFERROR(__xludf.DUMMYFUNCTION("IMPORTRANGE(""https://docs.google.com/spreadsheets/d/1vO9Sws6kMtrVtyvrAJptINXjK8TFBoX9xLYOVK_C8bQ/edit?usp=sharing"",""สุราษฎร์ธานี!I214"")"),0)</f>
        <v>0</v>
      </c>
      <c r="BB88" s="97">
        <f ca="1">IFERROR(__xludf.DUMMYFUNCTION("IMPORTRANGE(""https://docs.google.com/spreadsheets/d/1vO9Sws6kMtrVtyvrAJptINXjK8TFBoX9xLYOVK_C8bQ/edit?usp=sharing"",""สุราษฎร์ธานี!J214"")"),0)</f>
        <v>0</v>
      </c>
      <c r="BC88" s="98">
        <f t="shared" ca="1" si="94"/>
        <v>0</v>
      </c>
      <c r="BD88" s="97">
        <f ca="1">IFERROR(__xludf.DUMMYFUNCTION("IMPORTRANGE(""https://docs.google.com/spreadsheets/d/1vO9Sws6kMtrVtyvrAJptINXjK8TFBoX9xLYOVK_C8bQ/edit?usp=sharing"",""สุราษฎร์ธานี!I215"")"),0)</f>
        <v>0</v>
      </c>
      <c r="BE88" s="97">
        <f ca="1">IFERROR(__xludf.DUMMYFUNCTION("IMPORTRANGE(""https://docs.google.com/spreadsheets/d/1vO9Sws6kMtrVtyvrAJptINXjK8TFBoX9xLYOVK_C8bQ/edit?usp=sharing"",""สุราษฎร์ธานี!J215"")"),0)</f>
        <v>0</v>
      </c>
      <c r="BF88" s="98">
        <f t="shared" ca="1" si="95"/>
        <v>0</v>
      </c>
      <c r="BG88" s="97">
        <f ca="1">IFERROR(__xludf.DUMMYFUNCTION("IMPORTRANGE(""https://docs.google.com/spreadsheets/d/1vO9Sws6kMtrVtyvrAJptINXjK8TFBoX9xLYOVK_C8bQ/edit?usp=sharing"",""สุราษฎร์ธานี!L218"")"),3000)</f>
        <v>3000</v>
      </c>
      <c r="BH88" s="97">
        <f ca="1">IFERROR(__xludf.DUMMYFUNCTION("IMPORTRANGE(""https://docs.google.com/spreadsheets/d/1vO9Sws6kMtrVtyvrAJptINXjK8TFBoX9xLYOVK_C8bQ/edit?usp=sharing"",""สุราษฎร์ธานี!N218"")"),0)</f>
        <v>0</v>
      </c>
      <c r="BI88" s="98">
        <f t="shared" ca="1" si="96"/>
        <v>0</v>
      </c>
      <c r="BJ88" s="97">
        <f ca="1">IFERROR(__xludf.DUMMYFUNCTION("IMPORTRANGE(""https://docs.google.com/spreadsheets/d/1vO9Sws6kMtrVtyvrAJptINXjK8TFBoX9xLYOVK_C8bQ/edit?usp=sharing"",""สุราษฎร์ธานี!L219"")"),3500)</f>
        <v>3500</v>
      </c>
      <c r="BK88" s="97">
        <f ca="1">IFERROR(__xludf.DUMMYFUNCTION("IMPORTRANGE(""https://docs.google.com/spreadsheets/d/1vO9Sws6kMtrVtyvrAJptINXjK8TFBoX9xLYOVK_C8bQ/edit?usp=sharing"",""สุราษฎร์ธานี!N219"")"),0)</f>
        <v>0</v>
      </c>
      <c r="BL88" s="98">
        <f t="shared" ca="1" si="97"/>
        <v>0</v>
      </c>
      <c r="BM88" s="97">
        <f ca="1">IFERROR(__xludf.DUMMYFUNCTION("IMPORTRANGE(""https://docs.google.com/spreadsheets/d/1vO9Sws6kMtrVtyvrAJptINXjK8TFBoX9xLYOVK_C8bQ/edit?usp=sharing"",""สุราษฎร์ธานี!L220"")"),0)</f>
        <v>0</v>
      </c>
      <c r="BN88" s="97">
        <f ca="1">IFERROR(__xludf.DUMMYFUNCTION("IMPORTRANGE(""https://docs.google.com/spreadsheets/d/1vO9Sws6kMtrVtyvrAJptINXjK8TFBoX9xLYOVK_C8bQ/edit?usp=sharing"",""สุราษฎร์ธานี!N220"")"),0)</f>
        <v>0</v>
      </c>
      <c r="BO88" s="98">
        <f t="shared" ca="1" si="98"/>
        <v>0</v>
      </c>
      <c r="BP88" s="97">
        <f ca="1">IFERROR(__xludf.DUMMYFUNCTION("IMPORTRANGE(""https://docs.google.com/spreadsheets/d/1vO9Sws6kMtrVtyvrAJptINXjK8TFBoX9xLYOVK_C8bQ/edit?usp=sharing"",""สุราษฎร์ธานี!I223"")"),10000)</f>
        <v>10000</v>
      </c>
      <c r="BQ88" s="97">
        <f ca="1">IFERROR(__xludf.DUMMYFUNCTION("IMPORTRANGE(""https://docs.google.com/spreadsheets/d/1vO9Sws6kMtrVtyvrAJptINXjK8TFBoX9xLYOVK_C8bQ/edit?usp=sharing"",""สุราษฎร์ธานี!J223"")"),10000)</f>
        <v>10000</v>
      </c>
      <c r="BR88" s="98">
        <f t="shared" ca="1" si="99"/>
        <v>100</v>
      </c>
      <c r="BS88" s="97">
        <f ca="1">IFERROR(__xludf.DUMMYFUNCTION("IMPORTRANGE(""https://docs.google.com/spreadsheets/d/1vO9Sws6kMtrVtyvrAJptINXjK8TFBoX9xLYOVK_C8bQ/edit?usp=sharing"",""สุราษฎร์ธานี!I224"")"),10000)</f>
        <v>10000</v>
      </c>
      <c r="BT88" s="97">
        <f ca="1">IFERROR(__xludf.DUMMYFUNCTION("IMPORTRANGE(""https://docs.google.com/spreadsheets/d/1vO9Sws6kMtrVtyvrAJptINXjK8TFBoX9xLYOVK_C8bQ/edit?usp=sharing"",""สุราษฎร์ธานี!J224"")"),0)</f>
        <v>0</v>
      </c>
      <c r="BU88" s="98">
        <f t="shared" ca="1" si="100"/>
        <v>0</v>
      </c>
      <c r="BV88" s="97">
        <f ca="1">IFERROR(__xludf.DUMMYFUNCTION("IMPORTRANGE(""https://docs.google.com/spreadsheets/d/1vO9Sws6kMtrVtyvrAJptINXjK8TFBoX9xLYOVK_C8bQ/edit?usp=sharing"",""สุราษฎร์ธานี!I225"")"),0)</f>
        <v>0</v>
      </c>
      <c r="BW88" s="97">
        <f ca="1">IFERROR(__xludf.DUMMYFUNCTION("IMPORTRANGE(""https://docs.google.com/spreadsheets/d/1vO9Sws6kMtrVtyvrAJptINXjK8TFBoX9xLYOVK_C8bQ/edit?usp=sharing"",""สุราษฎร์ธานี!J225"")"),0)</f>
        <v>0</v>
      </c>
      <c r="BX88" s="98">
        <f t="shared" ca="1" si="101"/>
        <v>0</v>
      </c>
      <c r="BY88" s="97">
        <f ca="1">IFERROR(__xludf.DUMMYFUNCTION("IMPORTRANGE(""https://docs.google.com/spreadsheets/d/1vO9Sws6kMtrVtyvrAJptINXjK8TFBoX9xLYOVK_C8bQ/edit?usp=sharing"",""สุราษฎร์ธานี!L228"")"),0)</f>
        <v>0</v>
      </c>
      <c r="BZ88" s="97">
        <f ca="1">IFERROR(__xludf.DUMMYFUNCTION("IMPORTRANGE(""https://docs.google.com/spreadsheets/d/1vO9Sws6kMtrVtyvrAJptINXjK8TFBoX9xLYOVK_C8bQ/edit?usp=sharing"",""สุราษฎร์ธานี!N228"")"),0)</f>
        <v>0</v>
      </c>
      <c r="CA88" s="98">
        <f t="shared" ca="1" si="102"/>
        <v>0</v>
      </c>
      <c r="CB88" s="97">
        <f ca="1">IFERROR(__xludf.DUMMYFUNCTION("IMPORTRANGE(""https://docs.google.com/spreadsheets/d/1vO9Sws6kMtrVtyvrAJptINXjK8TFBoX9xLYOVK_C8bQ/edit?usp=sharing"",""สุราษฎร์ธานี!L229"")"),0)</f>
        <v>0</v>
      </c>
      <c r="CC88" s="97">
        <f ca="1">IFERROR(__xludf.DUMMYFUNCTION("IMPORTRANGE(""https://docs.google.com/spreadsheets/d/1vO9Sws6kMtrVtyvrAJptINXjK8TFBoX9xLYOVK_C8bQ/edit?usp=sharing"",""สุราษฎร์ธานี!N229"")"),0)</f>
        <v>0</v>
      </c>
      <c r="CD88" s="98">
        <f t="shared" ca="1" si="103"/>
        <v>0</v>
      </c>
      <c r="CE88" s="97">
        <f ca="1">IFERROR(__xludf.DUMMYFUNCTION("IMPORTRANGE(""https://docs.google.com/spreadsheets/d/1vO9Sws6kMtrVtyvrAJptINXjK8TFBoX9xLYOVK_C8bQ/edit?usp=sharing"",""สุราษฎร์ธานี!L230"")"),0)</f>
        <v>0</v>
      </c>
      <c r="CF88" s="97">
        <f ca="1">IFERROR(__xludf.DUMMYFUNCTION("IMPORTRANGE(""https://docs.google.com/spreadsheets/d/1vO9Sws6kMtrVtyvrAJptINXjK8TFBoX9xLYOVK_C8bQ/edit?usp=sharing"",""สุราษฎร์ธานี!N230"")"),0)</f>
        <v>0</v>
      </c>
      <c r="CG88" s="98">
        <f t="shared" ca="1" si="104"/>
        <v>0</v>
      </c>
      <c r="CH88" s="97">
        <f ca="1">IFERROR(__xludf.DUMMYFUNCTION("IMPORTRANGE(""https://docs.google.com/spreadsheets/d/1vO9Sws6kMtrVtyvrAJptINXjK8TFBoX9xLYOVK_C8bQ/edit?usp=sharing"",""สุราษฎร์ธานี!L231"")"),0)</f>
        <v>0</v>
      </c>
      <c r="CI88" s="97">
        <f ca="1">IFERROR(__xludf.DUMMYFUNCTION("IMPORTRANGE(""https://docs.google.com/spreadsheets/d/1vO9Sws6kMtrVtyvrAJptINXjK8TFBoX9xLYOVK_C8bQ/edit?usp=sharing"",""สุราษฎร์ธานี!N231"")"),0)</f>
        <v>0</v>
      </c>
      <c r="CJ88" s="98">
        <f t="shared" ca="1" si="105"/>
        <v>0</v>
      </c>
      <c r="CK88" s="97">
        <f ca="1">IFERROR(__xludf.DUMMYFUNCTION("IMPORTRANGE(""https://docs.google.com/spreadsheets/d/1vO9Sws6kMtrVtyvrAJptINXjK8TFBoX9xLYOVK_C8bQ/edit?usp=sharing"",""สุราษฎร์ธานี!I233"")"),0)</f>
        <v>0</v>
      </c>
      <c r="CL88" s="97">
        <f ca="1">IFERROR(__xludf.DUMMYFUNCTION("IMPORTRANGE(""https://docs.google.com/spreadsheets/d/1vO9Sws6kMtrVtyvrAJptINXjK8TFBoX9xLYOVK_C8bQ/edit?usp=sharing"",""สุราษฎร์ธานี!J233"")"),0)</f>
        <v>0</v>
      </c>
      <c r="CM88" s="98">
        <f t="shared" ca="1" si="106"/>
        <v>0</v>
      </c>
      <c r="CN88" s="97">
        <f ca="1">IFERROR(__xludf.DUMMYFUNCTION("IMPORTRANGE(""https://docs.google.com/spreadsheets/d/1vO9Sws6kMtrVtyvrAJptINXjK8TFBoX9xLYOVK_C8bQ/edit?usp=sharing"",""สุราษฎร์ธานี!J235"")"),0)</f>
        <v>0</v>
      </c>
      <c r="CO88" s="97">
        <f ca="1">IFERROR(__xludf.DUMMYFUNCTION("IMPORTRANGE(""https://docs.google.com/spreadsheets/d/1vO9Sws6kMtrVtyvrAJptINXjK8TFBoX9xLYOVK_C8bQ/edit?usp=sharing"",""สุราษฎร์ธานี!J236"")"),0)</f>
        <v>0</v>
      </c>
    </row>
    <row r="89" spans="1:93" ht="21" hidden="1" customHeight="1" x14ac:dyDescent="0.2">
      <c r="A89" s="381" t="s">
        <v>111</v>
      </c>
      <c r="B89" s="357"/>
      <c r="C89" s="107">
        <f t="shared" ca="1" si="0"/>
        <v>3310370</v>
      </c>
      <c r="D89" s="46">
        <f t="shared" ref="D89:I89" ca="1" si="216">+D90+D91+D92+D93+D94+D95+D96+D97+D98+D99+D100+D101+D102+D103</f>
        <v>3310370</v>
      </c>
      <c r="E89" s="46">
        <f t="shared" ca="1" si="216"/>
        <v>619800</v>
      </c>
      <c r="F89" s="46">
        <f t="shared" ca="1" si="216"/>
        <v>2690570</v>
      </c>
      <c r="G89" s="46">
        <f t="shared" ca="1" si="216"/>
        <v>0</v>
      </c>
      <c r="H89" s="46">
        <f t="shared" ca="1" si="216"/>
        <v>1382820</v>
      </c>
      <c r="I89" s="46">
        <f t="shared" ca="1" si="216"/>
        <v>0</v>
      </c>
      <c r="J89" s="46">
        <f t="shared" ca="1" si="3"/>
        <v>529718.87</v>
      </c>
      <c r="K89" s="48">
        <f t="shared" ca="1" si="4"/>
        <v>16.001802517543357</v>
      </c>
      <c r="L89" s="46">
        <f ca="1">+L90+L91+L92+L93+L94+L95+L96+L97+L98+L99+L100+L101+L102+L103</f>
        <v>529718.87</v>
      </c>
      <c r="M89" s="49">
        <f t="shared" ca="1" si="5"/>
        <v>16.001802517543357</v>
      </c>
      <c r="N89" s="49">
        <f t="shared" ca="1" si="6"/>
        <v>38.307145543165419</v>
      </c>
      <c r="O89" s="50">
        <f ca="1">+O90+O91+O92+O93+O94+O95+O96+O97+O98+O99+O100+O101+O102+O103</f>
        <v>0</v>
      </c>
      <c r="P89" s="50">
        <f t="shared" ca="1" si="108"/>
        <v>0</v>
      </c>
      <c r="Q89" s="49">
        <f t="shared" ca="1" si="8"/>
        <v>0</v>
      </c>
      <c r="R89" s="46"/>
      <c r="S89" s="46"/>
      <c r="T89" s="49"/>
      <c r="U89" s="46"/>
      <c r="V89" s="46"/>
      <c r="W89" s="49"/>
      <c r="X89" s="46"/>
      <c r="Y89" s="46"/>
      <c r="Z89" s="46"/>
      <c r="AA89" s="46"/>
      <c r="AB89" s="46"/>
      <c r="AC89" s="49"/>
      <c r="AD89" s="46"/>
      <c r="AE89" s="46"/>
      <c r="AF89" s="49"/>
      <c r="AG89" s="46"/>
      <c r="AH89" s="46"/>
      <c r="AI89" s="49"/>
      <c r="AJ89" s="46"/>
      <c r="AK89" s="46"/>
      <c r="AL89" s="49"/>
      <c r="AM89" s="46"/>
      <c r="AN89" s="46"/>
      <c r="AO89" s="49"/>
      <c r="AP89" s="296"/>
      <c r="AQ89" s="296"/>
      <c r="AR89" s="46"/>
      <c r="AS89" s="46"/>
      <c r="AT89" s="49"/>
      <c r="AU89" s="46"/>
      <c r="AV89" s="46"/>
      <c r="AW89" s="49"/>
      <c r="AX89" s="46"/>
      <c r="AY89" s="46"/>
      <c r="AZ89" s="49"/>
      <c r="BA89" s="46"/>
      <c r="BB89" s="46"/>
      <c r="BC89" s="49"/>
      <c r="BD89" s="46"/>
      <c r="BE89" s="46"/>
      <c r="BF89" s="49"/>
      <c r="BG89" s="46"/>
      <c r="BH89" s="46"/>
      <c r="BI89" s="49"/>
      <c r="BJ89" s="46"/>
      <c r="BK89" s="46"/>
      <c r="BL89" s="49"/>
      <c r="BM89" s="46"/>
      <c r="BN89" s="46"/>
      <c r="BO89" s="49"/>
      <c r="BP89" s="46"/>
      <c r="BQ89" s="46"/>
      <c r="BR89" s="49"/>
      <c r="BS89" s="46"/>
      <c r="BT89" s="46"/>
      <c r="BU89" s="49"/>
      <c r="BV89" s="46"/>
      <c r="BW89" s="46"/>
      <c r="BX89" s="49"/>
      <c r="BY89" s="46"/>
      <c r="BZ89" s="46"/>
      <c r="CA89" s="49"/>
      <c r="CB89" s="46"/>
      <c r="CC89" s="46"/>
      <c r="CD89" s="49"/>
      <c r="CE89" s="46"/>
      <c r="CF89" s="46"/>
      <c r="CG89" s="49"/>
      <c r="CH89" s="46"/>
      <c r="CI89" s="46"/>
      <c r="CJ89" s="49"/>
      <c r="CK89" s="46"/>
      <c r="CL89" s="46"/>
      <c r="CM89" s="49"/>
      <c r="CN89" s="46"/>
      <c r="CO89" s="46"/>
    </row>
    <row r="90" spans="1:93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217">+E90+F90</f>
        <v>0</v>
      </c>
      <c r="E90" s="72">
        <f ca="1">IFERROR(__xludf.DUMMYFUNCTION("IMPORTRANGE(""https://docs.google.com/spreadsheets/d/1MeEWN-I1oV_STSDYn1IFDPWt_1FKiwhDph83XaGc0o0/edit?usp=sharing"",""งบพรบ!CP90"")"),0)</f>
        <v>0</v>
      </c>
      <c r="F90" s="72">
        <f ca="1">IFERROR(__xludf.DUMMYFUNCTION("IMPORTRANGE(""https://docs.google.com/spreadsheets/d/1MeEWN-I1oV_STSDYn1IFDPWt_1FKiwhDph83XaGc0o0/edit?usp=sharing"",""งบพรบ!CQ90"")"),0)</f>
        <v>0</v>
      </c>
      <c r="G90" s="72">
        <f ca="1">IFERROR(__xludf.DUMMYFUNCTION("IMPORTRANGE(""https://docs.google.com/spreadsheets/d/1MeEWN-I1oV_STSDYn1IFDPWt_1FKiwhDph83XaGc0o0/edit?usp=sharing"",""งบพรบ!CR90"")"),0)</f>
        <v>0</v>
      </c>
      <c r="H90" s="72">
        <f ca="1">IFERROR(__xludf.DUMMYFUNCTION("IMPORTRANGE(""https://docs.google.com/spreadsheets/d/1MeEWN-I1oV_STSDYn1IFDPWt_1FKiwhDph83XaGc0o0/edit?usp=sharing"",""งบพรบ!CT90"")"),0)</f>
        <v>0</v>
      </c>
      <c r="I90" s="72">
        <f ca="1">IFERROR(__xludf.DUMMYFUNCTION("IMPORTRANGE(""https://docs.google.com/spreadsheets/d/1MeEWN-I1oV_STSDYn1IFDPWt_1FKiwhDph83XaGc0o0/edit?usp=sharing"",""งบพรบ!CU90"")"),0)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IFERROR(__xludf.DUMMYFUNCTION("IMPORTRANGE(""https://docs.google.com/spreadsheets/d/1MeEWN-I1oV_STSDYn1IFDPWt_1FKiwhDph83XaGc0o0/edit?usp=sharing"",""งบพรบ!CV90"")"),0)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IFERROR(__xludf.DUMMYFUNCTION("IMPORTRANGE(""https://docs.google.com/spreadsheets/d/1MeEWN-I1oV_STSDYn1IFDPWt_1FKiwhDph83XaGc0o0/edit?usp=sharing"",""งบพรบ!CW90"")"),0)</f>
        <v>0</v>
      </c>
      <c r="P90" s="76">
        <f t="shared" ca="1" si="108"/>
        <v>0</v>
      </c>
      <c r="Q90" s="75">
        <f t="shared" ca="1" si="8"/>
        <v>0</v>
      </c>
      <c r="R90" s="72"/>
      <c r="S90" s="72"/>
      <c r="T90" s="75"/>
      <c r="U90" s="72"/>
      <c r="V90" s="72"/>
      <c r="W90" s="75"/>
      <c r="X90" s="72"/>
      <c r="Y90" s="72"/>
      <c r="Z90" s="72"/>
      <c r="AA90" s="72"/>
      <c r="AB90" s="72"/>
      <c r="AC90" s="75"/>
      <c r="AD90" s="72"/>
      <c r="AE90" s="72"/>
      <c r="AF90" s="75"/>
      <c r="AG90" s="72"/>
      <c r="AH90" s="72"/>
      <c r="AI90" s="75"/>
      <c r="AJ90" s="72"/>
      <c r="AK90" s="72"/>
      <c r="AL90" s="75"/>
      <c r="AM90" s="72"/>
      <c r="AN90" s="72"/>
      <c r="AO90" s="75"/>
      <c r="AP90" s="300"/>
      <c r="AQ90" s="300"/>
      <c r="AR90" s="72"/>
      <c r="AS90" s="72"/>
      <c r="AT90" s="75"/>
      <c r="AU90" s="72"/>
      <c r="AV90" s="72"/>
      <c r="AW90" s="75"/>
      <c r="AX90" s="72"/>
      <c r="AY90" s="72"/>
      <c r="AZ90" s="75"/>
      <c r="BA90" s="72"/>
      <c r="BB90" s="72"/>
      <c r="BC90" s="75"/>
      <c r="BD90" s="72"/>
      <c r="BE90" s="72"/>
      <c r="BF90" s="75"/>
      <c r="BG90" s="72"/>
      <c r="BH90" s="72"/>
      <c r="BI90" s="75"/>
      <c r="BJ90" s="72"/>
      <c r="BK90" s="72"/>
      <c r="BL90" s="75"/>
      <c r="BM90" s="72"/>
      <c r="BN90" s="72"/>
      <c r="BO90" s="75"/>
      <c r="BP90" s="72"/>
      <c r="BQ90" s="72"/>
      <c r="BR90" s="75"/>
      <c r="BS90" s="72"/>
      <c r="BT90" s="72"/>
      <c r="BU90" s="75"/>
      <c r="BV90" s="72"/>
      <c r="BW90" s="72"/>
      <c r="BX90" s="75"/>
      <c r="BY90" s="72"/>
      <c r="BZ90" s="72"/>
      <c r="CA90" s="75"/>
      <c r="CB90" s="72"/>
      <c r="CC90" s="72"/>
      <c r="CD90" s="75"/>
      <c r="CE90" s="72"/>
      <c r="CF90" s="72"/>
      <c r="CG90" s="75"/>
      <c r="CH90" s="72"/>
      <c r="CI90" s="72"/>
      <c r="CJ90" s="75"/>
      <c r="CK90" s="72"/>
      <c r="CL90" s="72"/>
      <c r="CM90" s="75"/>
      <c r="CN90" s="72"/>
      <c r="CO90" s="72"/>
    </row>
    <row r="91" spans="1:93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217"/>
        <v>0</v>
      </c>
      <c r="E91" s="82">
        <f ca="1">IFERROR(__xludf.DUMMYFUNCTION("IMPORTRANGE(""https://docs.google.com/spreadsheets/d/1MeEWN-I1oV_STSDYn1IFDPWt_1FKiwhDph83XaGc0o0/edit?usp=sharing"",""งบพรบ!CP91"")"),0)</f>
        <v>0</v>
      </c>
      <c r="F91" s="82">
        <f ca="1">IFERROR(__xludf.DUMMYFUNCTION("IMPORTRANGE(""https://docs.google.com/spreadsheets/d/1MeEWN-I1oV_STSDYn1IFDPWt_1FKiwhDph83XaGc0o0/edit?usp=sharing"",""งบพรบ!CQ91"")"),0)</f>
        <v>0</v>
      </c>
      <c r="G91" s="82">
        <f ca="1">IFERROR(__xludf.DUMMYFUNCTION("IMPORTRANGE(""https://docs.google.com/spreadsheets/d/1MeEWN-I1oV_STSDYn1IFDPWt_1FKiwhDph83XaGc0o0/edit?usp=sharing"",""งบพรบ!CR91"")"),0)</f>
        <v>0</v>
      </c>
      <c r="H91" s="82">
        <f ca="1">IFERROR(__xludf.DUMMYFUNCTION("IMPORTRANGE(""https://docs.google.com/spreadsheets/d/1MeEWN-I1oV_STSDYn1IFDPWt_1FKiwhDph83XaGc0o0/edit?usp=sharing"",""งบพรบ!CT91"")"),0)</f>
        <v>0</v>
      </c>
      <c r="I91" s="82">
        <f ca="1">IFERROR(__xludf.DUMMYFUNCTION("IMPORTRANGE(""https://docs.google.com/spreadsheets/d/1MeEWN-I1oV_STSDYn1IFDPWt_1FKiwhDph83XaGc0o0/edit?usp=sharing"",""งบพรบ!CU91"")"),0)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IFERROR(__xludf.DUMMYFUNCTION("IMPORTRANGE(""https://docs.google.com/spreadsheets/d/1MeEWN-I1oV_STSDYn1IFDPWt_1FKiwhDph83XaGc0o0/edit?usp=sharing"",""งบพรบ!CV91"")"),0)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IFERROR(__xludf.DUMMYFUNCTION("IMPORTRANGE(""https://docs.google.com/spreadsheets/d/1MeEWN-I1oV_STSDYn1IFDPWt_1FKiwhDph83XaGc0o0/edit?usp=sharing"",""งบพรบ!CW91"")"),0)</f>
        <v>0</v>
      </c>
      <c r="P91" s="85">
        <f t="shared" ca="1" si="108"/>
        <v>0</v>
      </c>
      <c r="Q91" s="84">
        <f t="shared" ca="1" si="8"/>
        <v>0</v>
      </c>
      <c r="R91" s="82"/>
      <c r="S91" s="82"/>
      <c r="T91" s="84"/>
      <c r="U91" s="82"/>
      <c r="V91" s="82"/>
      <c r="W91" s="84"/>
      <c r="X91" s="82"/>
      <c r="Y91" s="82"/>
      <c r="Z91" s="82"/>
      <c r="AA91" s="82"/>
      <c r="AB91" s="82"/>
      <c r="AC91" s="84"/>
      <c r="AD91" s="82"/>
      <c r="AE91" s="82"/>
      <c r="AF91" s="84"/>
      <c r="AG91" s="82"/>
      <c r="AH91" s="82"/>
      <c r="AI91" s="84"/>
      <c r="AJ91" s="82"/>
      <c r="AK91" s="82"/>
      <c r="AL91" s="84"/>
      <c r="AM91" s="82"/>
      <c r="AN91" s="82"/>
      <c r="AO91" s="84"/>
      <c r="AP91" s="300"/>
      <c r="AQ91" s="300"/>
      <c r="AR91" s="82"/>
      <c r="AS91" s="82"/>
      <c r="AT91" s="84"/>
      <c r="AU91" s="82"/>
      <c r="AV91" s="82"/>
      <c r="AW91" s="84"/>
      <c r="AX91" s="82"/>
      <c r="AY91" s="82"/>
      <c r="AZ91" s="84"/>
      <c r="BA91" s="82"/>
      <c r="BB91" s="82"/>
      <c r="BC91" s="84"/>
      <c r="BD91" s="82"/>
      <c r="BE91" s="82"/>
      <c r="BF91" s="84"/>
      <c r="BG91" s="82"/>
      <c r="BH91" s="82"/>
      <c r="BI91" s="84"/>
      <c r="BJ91" s="82"/>
      <c r="BK91" s="82"/>
      <c r="BL91" s="84"/>
      <c r="BM91" s="82"/>
      <c r="BN91" s="82"/>
      <c r="BO91" s="84"/>
      <c r="BP91" s="82"/>
      <c r="BQ91" s="82"/>
      <c r="BR91" s="84"/>
      <c r="BS91" s="82"/>
      <c r="BT91" s="82"/>
      <c r="BU91" s="84"/>
      <c r="BV91" s="82"/>
      <c r="BW91" s="82"/>
      <c r="BX91" s="84"/>
      <c r="BY91" s="82"/>
      <c r="BZ91" s="82"/>
      <c r="CA91" s="84"/>
      <c r="CB91" s="82"/>
      <c r="CC91" s="82"/>
      <c r="CD91" s="84"/>
      <c r="CE91" s="82"/>
      <c r="CF91" s="82"/>
      <c r="CG91" s="84"/>
      <c r="CH91" s="82"/>
      <c r="CI91" s="82"/>
      <c r="CJ91" s="84"/>
      <c r="CK91" s="82"/>
      <c r="CL91" s="82"/>
      <c r="CM91" s="84"/>
      <c r="CN91" s="82"/>
      <c r="CO91" s="82"/>
    </row>
    <row r="92" spans="1:93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217"/>
        <v>0</v>
      </c>
      <c r="E92" s="82">
        <f ca="1">IFERROR(__xludf.DUMMYFUNCTION("IMPORTRANGE(""https://docs.google.com/spreadsheets/d/1MeEWN-I1oV_STSDYn1IFDPWt_1FKiwhDph83XaGc0o0/edit?usp=sharing"",""งบพรบ!CP92"")"),0)</f>
        <v>0</v>
      </c>
      <c r="F92" s="82">
        <f ca="1">IFERROR(__xludf.DUMMYFUNCTION("IMPORTRANGE(""https://docs.google.com/spreadsheets/d/1MeEWN-I1oV_STSDYn1IFDPWt_1FKiwhDph83XaGc0o0/edit?usp=sharing"",""งบพรบ!CQ92"")"),0)</f>
        <v>0</v>
      </c>
      <c r="G92" s="82">
        <f ca="1">IFERROR(__xludf.DUMMYFUNCTION("IMPORTRANGE(""https://docs.google.com/spreadsheets/d/1MeEWN-I1oV_STSDYn1IFDPWt_1FKiwhDph83XaGc0o0/edit?usp=sharing"",""งบพรบ!CR92"")"),0)</f>
        <v>0</v>
      </c>
      <c r="H92" s="82">
        <f ca="1">IFERROR(__xludf.DUMMYFUNCTION("IMPORTRANGE(""https://docs.google.com/spreadsheets/d/1MeEWN-I1oV_STSDYn1IFDPWt_1FKiwhDph83XaGc0o0/edit?usp=sharing"",""งบพรบ!CT92"")"),23650)</f>
        <v>23650</v>
      </c>
      <c r="I92" s="82">
        <f ca="1">IFERROR(__xludf.DUMMYFUNCTION("IMPORTRANGE(""https://docs.google.com/spreadsheets/d/1MeEWN-I1oV_STSDYn1IFDPWt_1FKiwhDph83XaGc0o0/edit?usp=sharing"",""งบพรบ!CU92"")"),0)</f>
        <v>0</v>
      </c>
      <c r="J92" s="82">
        <f t="shared" ca="1" si="3"/>
        <v>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IFERROR(__xludf.DUMMYFUNCTION("IMPORTRANGE(""https://docs.google.com/spreadsheets/d/1MeEWN-I1oV_STSDYn1IFDPWt_1FKiwhDph83XaGc0o0/edit?usp=sharing"",""งบพรบ!CV92"")"),0)</f>
        <v>0</v>
      </c>
      <c r="M92" s="84">
        <f t="shared" ca="1" si="5"/>
        <v>0</v>
      </c>
      <c r="N92" s="84">
        <f t="shared" ca="1" si="6"/>
        <v>0</v>
      </c>
      <c r="O92" s="85">
        <f ca="1">IFERROR(__xludf.DUMMYFUNCTION("IMPORTRANGE(""https://docs.google.com/spreadsheets/d/1MeEWN-I1oV_STSDYn1IFDPWt_1FKiwhDph83XaGc0o0/edit?usp=sharing"",""งบพรบ!CW92"")"),0)</f>
        <v>0</v>
      </c>
      <c r="P92" s="85">
        <f t="shared" ca="1" si="108"/>
        <v>0</v>
      </c>
      <c r="Q92" s="84">
        <f t="shared" ca="1" si="8"/>
        <v>0</v>
      </c>
      <c r="R92" s="82"/>
      <c r="S92" s="82"/>
      <c r="T92" s="84"/>
      <c r="U92" s="82"/>
      <c r="V92" s="82"/>
      <c r="W92" s="84"/>
      <c r="X92" s="82"/>
      <c r="Y92" s="82"/>
      <c r="Z92" s="82"/>
      <c r="AA92" s="82"/>
      <c r="AB92" s="82"/>
      <c r="AC92" s="84"/>
      <c r="AD92" s="82"/>
      <c r="AE92" s="82"/>
      <c r="AF92" s="84"/>
      <c r="AG92" s="82"/>
      <c r="AH92" s="82"/>
      <c r="AI92" s="84"/>
      <c r="AJ92" s="82"/>
      <c r="AK92" s="82"/>
      <c r="AL92" s="84"/>
      <c r="AM92" s="82"/>
      <c r="AN92" s="82"/>
      <c r="AO92" s="84"/>
      <c r="AP92" s="300"/>
      <c r="AQ92" s="300"/>
      <c r="AR92" s="82"/>
      <c r="AS92" s="82"/>
      <c r="AT92" s="84"/>
      <c r="AU92" s="82"/>
      <c r="AV92" s="82"/>
      <c r="AW92" s="84"/>
      <c r="AX92" s="82"/>
      <c r="AY92" s="82"/>
      <c r="AZ92" s="84"/>
      <c r="BA92" s="82"/>
      <c r="BB92" s="82"/>
      <c r="BC92" s="84"/>
      <c r="BD92" s="82"/>
      <c r="BE92" s="82"/>
      <c r="BF92" s="84"/>
      <c r="BG92" s="82"/>
      <c r="BH92" s="82"/>
      <c r="BI92" s="84"/>
      <c r="BJ92" s="82"/>
      <c r="BK92" s="82"/>
      <c r="BL92" s="84"/>
      <c r="BM92" s="82"/>
      <c r="BN92" s="82"/>
      <c r="BO92" s="84"/>
      <c r="BP92" s="82"/>
      <c r="BQ92" s="82"/>
      <c r="BR92" s="84"/>
      <c r="BS92" s="82"/>
      <c r="BT92" s="82"/>
      <c r="BU92" s="84"/>
      <c r="BV92" s="82"/>
      <c r="BW92" s="82"/>
      <c r="BX92" s="84"/>
      <c r="BY92" s="82"/>
      <c r="BZ92" s="82"/>
      <c r="CA92" s="84"/>
      <c r="CB92" s="82"/>
      <c r="CC92" s="82"/>
      <c r="CD92" s="84"/>
      <c r="CE92" s="82"/>
      <c r="CF92" s="82"/>
      <c r="CG92" s="84"/>
      <c r="CH92" s="82"/>
      <c r="CI92" s="82"/>
      <c r="CJ92" s="84"/>
      <c r="CK92" s="82"/>
      <c r="CL92" s="82"/>
      <c r="CM92" s="84"/>
      <c r="CN92" s="82"/>
      <c r="CO92" s="82"/>
    </row>
    <row r="93" spans="1:93" ht="24" hidden="1" customHeight="1" x14ac:dyDescent="0.2">
      <c r="A93" s="111">
        <f t="shared" ref="A93:A103" si="218">+A92+1</f>
        <v>4</v>
      </c>
      <c r="B93" s="112" t="s">
        <v>115</v>
      </c>
      <c r="C93" s="80">
        <f t="shared" ca="1" si="0"/>
        <v>0</v>
      </c>
      <c r="D93" s="81">
        <f t="shared" ca="1" si="217"/>
        <v>0</v>
      </c>
      <c r="E93" s="82">
        <f ca="1">IFERROR(__xludf.DUMMYFUNCTION("IMPORTRANGE(""https://docs.google.com/spreadsheets/d/1MeEWN-I1oV_STSDYn1IFDPWt_1FKiwhDph83XaGc0o0/edit?usp=sharing"",""งบพรบ!CP93"")"),0)</f>
        <v>0</v>
      </c>
      <c r="F93" s="82">
        <f ca="1">IFERROR(__xludf.DUMMYFUNCTION("IMPORTRANGE(""https://docs.google.com/spreadsheets/d/1MeEWN-I1oV_STSDYn1IFDPWt_1FKiwhDph83XaGc0o0/edit?usp=sharing"",""งบพรบ!CQ93"")"),0)</f>
        <v>0</v>
      </c>
      <c r="G93" s="82">
        <f ca="1">IFERROR(__xludf.DUMMYFUNCTION("IMPORTRANGE(""https://docs.google.com/spreadsheets/d/1MeEWN-I1oV_STSDYn1IFDPWt_1FKiwhDph83XaGc0o0/edit?usp=sharing"",""งบพรบ!CR93"")"),0)</f>
        <v>0</v>
      </c>
      <c r="H93" s="82">
        <f ca="1">IFERROR(__xludf.DUMMYFUNCTION("IMPORTRANGE(""https://docs.google.com/spreadsheets/d/1MeEWN-I1oV_STSDYn1IFDPWt_1FKiwhDph83XaGc0o0/edit?usp=sharing"",""งบพรบ!CT93"")"),0)</f>
        <v>0</v>
      </c>
      <c r="I93" s="82">
        <f ca="1">IFERROR(__xludf.DUMMYFUNCTION("IMPORTRANGE(""https://docs.google.com/spreadsheets/d/1MeEWN-I1oV_STSDYn1IFDPWt_1FKiwhDph83XaGc0o0/edit?usp=sharing"",""งบพรบ!CU93"")"),0)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IFERROR(__xludf.DUMMYFUNCTION("IMPORTRANGE(""https://docs.google.com/spreadsheets/d/1MeEWN-I1oV_STSDYn1IFDPWt_1FKiwhDph83XaGc0o0/edit?usp=sharing"",""งบพรบ!CV93"")"),0)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IFERROR(__xludf.DUMMYFUNCTION("IMPORTRANGE(""https://docs.google.com/spreadsheets/d/1MeEWN-I1oV_STSDYn1IFDPWt_1FKiwhDph83XaGc0o0/edit?usp=sharing"",""งบพรบ!CW93"")"),0)</f>
        <v>0</v>
      </c>
      <c r="P93" s="85">
        <f t="shared" ca="1" si="108"/>
        <v>0</v>
      </c>
      <c r="Q93" s="84">
        <f t="shared" ca="1" si="8"/>
        <v>0</v>
      </c>
      <c r="R93" s="82"/>
      <c r="S93" s="82"/>
      <c r="T93" s="84"/>
      <c r="U93" s="82"/>
      <c r="V93" s="82"/>
      <c r="W93" s="84"/>
      <c r="X93" s="82"/>
      <c r="Y93" s="82"/>
      <c r="Z93" s="82"/>
      <c r="AA93" s="82"/>
      <c r="AB93" s="82"/>
      <c r="AC93" s="84"/>
      <c r="AD93" s="82"/>
      <c r="AE93" s="82"/>
      <c r="AF93" s="84"/>
      <c r="AG93" s="82"/>
      <c r="AH93" s="82"/>
      <c r="AI93" s="84"/>
      <c r="AJ93" s="82"/>
      <c r="AK93" s="82"/>
      <c r="AL93" s="84"/>
      <c r="AM93" s="82"/>
      <c r="AN93" s="82"/>
      <c r="AO93" s="84"/>
      <c r="AP93" s="300"/>
      <c r="AQ93" s="300"/>
      <c r="AR93" s="82"/>
      <c r="AS93" s="82"/>
      <c r="AT93" s="84"/>
      <c r="AU93" s="82"/>
      <c r="AV93" s="82"/>
      <c r="AW93" s="84"/>
      <c r="AX93" s="82"/>
      <c r="AY93" s="82"/>
      <c r="AZ93" s="84"/>
      <c r="BA93" s="82"/>
      <c r="BB93" s="82"/>
      <c r="BC93" s="84"/>
      <c r="BD93" s="82"/>
      <c r="BE93" s="82"/>
      <c r="BF93" s="84"/>
      <c r="BG93" s="82"/>
      <c r="BH93" s="82"/>
      <c r="BI93" s="84"/>
      <c r="BJ93" s="82"/>
      <c r="BK93" s="82"/>
      <c r="BL93" s="84"/>
      <c r="BM93" s="82"/>
      <c r="BN93" s="82"/>
      <c r="BO93" s="84"/>
      <c r="BP93" s="82"/>
      <c r="BQ93" s="82"/>
      <c r="BR93" s="84"/>
      <c r="BS93" s="82"/>
      <c r="BT93" s="82"/>
      <c r="BU93" s="84"/>
      <c r="BV93" s="82"/>
      <c r="BW93" s="82"/>
      <c r="BX93" s="84"/>
      <c r="BY93" s="82"/>
      <c r="BZ93" s="82"/>
      <c r="CA93" s="84"/>
      <c r="CB93" s="82"/>
      <c r="CC93" s="82"/>
      <c r="CD93" s="84"/>
      <c r="CE93" s="82"/>
      <c r="CF93" s="82"/>
      <c r="CG93" s="84"/>
      <c r="CH93" s="82"/>
      <c r="CI93" s="82"/>
      <c r="CJ93" s="84"/>
      <c r="CK93" s="82"/>
      <c r="CL93" s="82"/>
      <c r="CM93" s="84"/>
      <c r="CN93" s="82"/>
      <c r="CO93" s="82"/>
    </row>
    <row r="94" spans="1:93" ht="24" hidden="1" customHeight="1" x14ac:dyDescent="0.2">
      <c r="A94" s="111">
        <f t="shared" si="218"/>
        <v>5</v>
      </c>
      <c r="B94" s="112" t="s">
        <v>116</v>
      </c>
      <c r="C94" s="80">
        <f t="shared" ca="1" si="0"/>
        <v>0</v>
      </c>
      <c r="D94" s="81">
        <f t="shared" ca="1" si="217"/>
        <v>0</v>
      </c>
      <c r="E94" s="82">
        <f ca="1">IFERROR(__xludf.DUMMYFUNCTION("IMPORTRANGE(""https://docs.google.com/spreadsheets/d/1MeEWN-I1oV_STSDYn1IFDPWt_1FKiwhDph83XaGc0o0/edit?usp=sharing"",""งบพรบ!CP94"")"),0)</f>
        <v>0</v>
      </c>
      <c r="F94" s="82">
        <f ca="1">IFERROR(__xludf.DUMMYFUNCTION("IMPORTRANGE(""https://docs.google.com/spreadsheets/d/1MeEWN-I1oV_STSDYn1IFDPWt_1FKiwhDph83XaGc0o0/edit?usp=sharing"",""งบพรบ!CQ94"")"),0)</f>
        <v>0</v>
      </c>
      <c r="G94" s="82">
        <f ca="1">IFERROR(__xludf.DUMMYFUNCTION("IMPORTRANGE(""https://docs.google.com/spreadsheets/d/1MeEWN-I1oV_STSDYn1IFDPWt_1FKiwhDph83XaGc0o0/edit?usp=sharing"",""งบพรบ!CR94"")"),0)</f>
        <v>0</v>
      </c>
      <c r="H94" s="82">
        <f ca="1">IFERROR(__xludf.DUMMYFUNCTION("IMPORTRANGE(""https://docs.google.com/spreadsheets/d/1MeEWN-I1oV_STSDYn1IFDPWt_1FKiwhDph83XaGc0o0/edit?usp=sharing"",""งบพรบ!CT94"")"),0)</f>
        <v>0</v>
      </c>
      <c r="I94" s="82">
        <f ca="1">IFERROR(__xludf.DUMMYFUNCTION("IMPORTRANGE(""https://docs.google.com/spreadsheets/d/1MeEWN-I1oV_STSDYn1IFDPWt_1FKiwhDph83XaGc0o0/edit?usp=sharing"",""งบพรบ!CU94"")"),0)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IFERROR(__xludf.DUMMYFUNCTION("IMPORTRANGE(""https://docs.google.com/spreadsheets/d/1MeEWN-I1oV_STSDYn1IFDPWt_1FKiwhDph83XaGc0o0/edit?usp=sharing"",""งบพรบ!CV94"")"),0)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IFERROR(__xludf.DUMMYFUNCTION("IMPORTRANGE(""https://docs.google.com/spreadsheets/d/1MeEWN-I1oV_STSDYn1IFDPWt_1FKiwhDph83XaGc0o0/edit?usp=sharing"",""งบพรบ!CW94"")"),0)</f>
        <v>0</v>
      </c>
      <c r="P94" s="85">
        <f t="shared" ca="1" si="108"/>
        <v>0</v>
      </c>
      <c r="Q94" s="84">
        <f t="shared" ca="1" si="8"/>
        <v>0</v>
      </c>
      <c r="R94" s="82"/>
      <c r="S94" s="82"/>
      <c r="T94" s="84"/>
      <c r="U94" s="82"/>
      <c r="V94" s="82"/>
      <c r="W94" s="84"/>
      <c r="X94" s="82"/>
      <c r="Y94" s="82"/>
      <c r="Z94" s="82"/>
      <c r="AA94" s="82"/>
      <c r="AB94" s="82"/>
      <c r="AC94" s="84"/>
      <c r="AD94" s="82"/>
      <c r="AE94" s="82"/>
      <c r="AF94" s="84"/>
      <c r="AG94" s="82"/>
      <c r="AH94" s="82"/>
      <c r="AI94" s="84"/>
      <c r="AJ94" s="82"/>
      <c r="AK94" s="82"/>
      <c r="AL94" s="84"/>
      <c r="AM94" s="82"/>
      <c r="AN94" s="82"/>
      <c r="AO94" s="84"/>
      <c r="AP94" s="300"/>
      <c r="AQ94" s="300"/>
      <c r="AR94" s="82"/>
      <c r="AS94" s="82"/>
      <c r="AT94" s="84"/>
      <c r="AU94" s="82"/>
      <c r="AV94" s="82"/>
      <c r="AW94" s="84"/>
      <c r="AX94" s="82"/>
      <c r="AY94" s="82"/>
      <c r="AZ94" s="84"/>
      <c r="BA94" s="82"/>
      <c r="BB94" s="82"/>
      <c r="BC94" s="84"/>
      <c r="BD94" s="82"/>
      <c r="BE94" s="82"/>
      <c r="BF94" s="84"/>
      <c r="BG94" s="82"/>
      <c r="BH94" s="82"/>
      <c r="BI94" s="84"/>
      <c r="BJ94" s="82"/>
      <c r="BK94" s="82"/>
      <c r="BL94" s="84"/>
      <c r="BM94" s="82"/>
      <c r="BN94" s="82"/>
      <c r="BO94" s="84"/>
      <c r="BP94" s="82"/>
      <c r="BQ94" s="82"/>
      <c r="BR94" s="84"/>
      <c r="BS94" s="82"/>
      <c r="BT94" s="82"/>
      <c r="BU94" s="84"/>
      <c r="BV94" s="82"/>
      <c r="BW94" s="82"/>
      <c r="BX94" s="84"/>
      <c r="BY94" s="82"/>
      <c r="BZ94" s="82"/>
      <c r="CA94" s="84"/>
      <c r="CB94" s="82"/>
      <c r="CC94" s="82"/>
      <c r="CD94" s="84"/>
      <c r="CE94" s="82"/>
      <c r="CF94" s="82"/>
      <c r="CG94" s="84"/>
      <c r="CH94" s="82"/>
      <c r="CI94" s="82"/>
      <c r="CJ94" s="84"/>
      <c r="CK94" s="82"/>
      <c r="CL94" s="82"/>
      <c r="CM94" s="84"/>
      <c r="CN94" s="82"/>
      <c r="CO94" s="82"/>
    </row>
    <row r="95" spans="1:93" ht="24" hidden="1" customHeight="1" x14ac:dyDescent="0.2">
      <c r="A95" s="111">
        <f t="shared" si="218"/>
        <v>6</v>
      </c>
      <c r="B95" s="112" t="s">
        <v>117</v>
      </c>
      <c r="C95" s="80">
        <f t="shared" ca="1" si="0"/>
        <v>0</v>
      </c>
      <c r="D95" s="81">
        <f t="shared" ca="1" si="217"/>
        <v>0</v>
      </c>
      <c r="E95" s="82">
        <f ca="1">IFERROR(__xludf.DUMMYFUNCTION("IMPORTRANGE(""https://docs.google.com/spreadsheets/d/1MeEWN-I1oV_STSDYn1IFDPWt_1FKiwhDph83XaGc0o0/edit?usp=sharing"",""งบพรบ!CP95"")"),0)</f>
        <v>0</v>
      </c>
      <c r="F95" s="82">
        <f ca="1">IFERROR(__xludf.DUMMYFUNCTION("IMPORTRANGE(""https://docs.google.com/spreadsheets/d/1MeEWN-I1oV_STSDYn1IFDPWt_1FKiwhDph83XaGc0o0/edit?usp=sharing"",""งบพรบ!CQ95"")"),0)</f>
        <v>0</v>
      </c>
      <c r="G95" s="82">
        <f ca="1">IFERROR(__xludf.DUMMYFUNCTION("IMPORTRANGE(""https://docs.google.com/spreadsheets/d/1MeEWN-I1oV_STSDYn1IFDPWt_1FKiwhDph83XaGc0o0/edit?usp=sharing"",""งบพรบ!CR95"")"),0)</f>
        <v>0</v>
      </c>
      <c r="H95" s="82">
        <f ca="1">IFERROR(__xludf.DUMMYFUNCTION("IMPORTRANGE(""https://docs.google.com/spreadsheets/d/1MeEWN-I1oV_STSDYn1IFDPWt_1FKiwhDph83XaGc0o0/edit?usp=sharing"",""งบพรบ!CT95"")"),0)</f>
        <v>0</v>
      </c>
      <c r="I95" s="82">
        <f ca="1">IFERROR(__xludf.DUMMYFUNCTION("IMPORTRANGE(""https://docs.google.com/spreadsheets/d/1MeEWN-I1oV_STSDYn1IFDPWt_1FKiwhDph83XaGc0o0/edit?usp=sharing"",""งบพรบ!CU95"")"),0)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IFERROR(__xludf.DUMMYFUNCTION("IMPORTRANGE(""https://docs.google.com/spreadsheets/d/1MeEWN-I1oV_STSDYn1IFDPWt_1FKiwhDph83XaGc0o0/edit?usp=sharing"",""งบพรบ!CV95"")"),0)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IFERROR(__xludf.DUMMYFUNCTION("IMPORTRANGE(""https://docs.google.com/spreadsheets/d/1MeEWN-I1oV_STSDYn1IFDPWt_1FKiwhDph83XaGc0o0/edit?usp=sharing"",""งบพรบ!CW95"")"),0)</f>
        <v>0</v>
      </c>
      <c r="P95" s="85">
        <f t="shared" ca="1" si="108"/>
        <v>0</v>
      </c>
      <c r="Q95" s="84">
        <f t="shared" ca="1" si="8"/>
        <v>0</v>
      </c>
      <c r="R95" s="82"/>
      <c r="S95" s="82"/>
      <c r="T95" s="84"/>
      <c r="U95" s="82"/>
      <c r="V95" s="82"/>
      <c r="W95" s="84"/>
      <c r="X95" s="82"/>
      <c r="Y95" s="82"/>
      <c r="Z95" s="82"/>
      <c r="AA95" s="82"/>
      <c r="AB95" s="82"/>
      <c r="AC95" s="84"/>
      <c r="AD95" s="82"/>
      <c r="AE95" s="82"/>
      <c r="AF95" s="84"/>
      <c r="AG95" s="82"/>
      <c r="AH95" s="82"/>
      <c r="AI95" s="84"/>
      <c r="AJ95" s="82"/>
      <c r="AK95" s="82"/>
      <c r="AL95" s="84"/>
      <c r="AM95" s="82"/>
      <c r="AN95" s="82"/>
      <c r="AO95" s="84"/>
      <c r="AP95" s="300"/>
      <c r="AQ95" s="300"/>
      <c r="AR95" s="82"/>
      <c r="AS95" s="82"/>
      <c r="AT95" s="84"/>
      <c r="AU95" s="82"/>
      <c r="AV95" s="82"/>
      <c r="AW95" s="84"/>
      <c r="AX95" s="82"/>
      <c r="AY95" s="82"/>
      <c r="AZ95" s="84"/>
      <c r="BA95" s="82"/>
      <c r="BB95" s="82"/>
      <c r="BC95" s="84"/>
      <c r="BD95" s="82"/>
      <c r="BE95" s="82"/>
      <c r="BF95" s="84"/>
      <c r="BG95" s="82"/>
      <c r="BH95" s="82"/>
      <c r="BI95" s="84"/>
      <c r="BJ95" s="82"/>
      <c r="BK95" s="82"/>
      <c r="BL95" s="84"/>
      <c r="BM95" s="82"/>
      <c r="BN95" s="82"/>
      <c r="BO95" s="84"/>
      <c r="BP95" s="82"/>
      <c r="BQ95" s="82"/>
      <c r="BR95" s="84"/>
      <c r="BS95" s="82"/>
      <c r="BT95" s="82"/>
      <c r="BU95" s="84"/>
      <c r="BV95" s="82"/>
      <c r="BW95" s="82"/>
      <c r="BX95" s="84"/>
      <c r="BY95" s="82"/>
      <c r="BZ95" s="82"/>
      <c r="CA95" s="84"/>
      <c r="CB95" s="82"/>
      <c r="CC95" s="82"/>
      <c r="CD95" s="84"/>
      <c r="CE95" s="82"/>
      <c r="CF95" s="82"/>
      <c r="CG95" s="84"/>
      <c r="CH95" s="82"/>
      <c r="CI95" s="82"/>
      <c r="CJ95" s="84"/>
      <c r="CK95" s="82"/>
      <c r="CL95" s="82"/>
      <c r="CM95" s="84"/>
      <c r="CN95" s="82"/>
      <c r="CO95" s="82"/>
    </row>
    <row r="96" spans="1:93" ht="24" hidden="1" customHeight="1" x14ac:dyDescent="0.2">
      <c r="A96" s="111">
        <f t="shared" si="218"/>
        <v>7</v>
      </c>
      <c r="B96" s="112" t="s">
        <v>118</v>
      </c>
      <c r="C96" s="80">
        <f t="shared" ca="1" si="0"/>
        <v>0</v>
      </c>
      <c r="D96" s="81">
        <f t="shared" ca="1" si="217"/>
        <v>0</v>
      </c>
      <c r="E96" s="82">
        <f ca="1">IFERROR(__xludf.DUMMYFUNCTION("IMPORTRANGE(""https://docs.google.com/spreadsheets/d/1MeEWN-I1oV_STSDYn1IFDPWt_1FKiwhDph83XaGc0o0/edit?usp=sharing"",""งบพรบ!CP96"")"),0)</f>
        <v>0</v>
      </c>
      <c r="F96" s="82">
        <f ca="1">IFERROR(__xludf.DUMMYFUNCTION("IMPORTRANGE(""https://docs.google.com/spreadsheets/d/1MeEWN-I1oV_STSDYn1IFDPWt_1FKiwhDph83XaGc0o0/edit?usp=sharing"",""งบพรบ!CQ96"")"),0)</f>
        <v>0</v>
      </c>
      <c r="G96" s="82">
        <f ca="1">IFERROR(__xludf.DUMMYFUNCTION("IMPORTRANGE(""https://docs.google.com/spreadsheets/d/1MeEWN-I1oV_STSDYn1IFDPWt_1FKiwhDph83XaGc0o0/edit?usp=sharing"",""งบพรบ!CR96"")"),0)</f>
        <v>0</v>
      </c>
      <c r="H96" s="82">
        <f ca="1">IFERROR(__xludf.DUMMYFUNCTION("IMPORTRANGE(""https://docs.google.com/spreadsheets/d/1MeEWN-I1oV_STSDYn1IFDPWt_1FKiwhDph83XaGc0o0/edit?usp=sharing"",""งบพรบ!CT96"")"),0)</f>
        <v>0</v>
      </c>
      <c r="I96" s="82">
        <f ca="1">IFERROR(__xludf.DUMMYFUNCTION("IMPORTRANGE(""https://docs.google.com/spreadsheets/d/1MeEWN-I1oV_STSDYn1IFDPWt_1FKiwhDph83XaGc0o0/edit?usp=sharing"",""งบพรบ!CU96"")"),0)</f>
        <v>0</v>
      </c>
      <c r="J96" s="82">
        <f t="shared" ca="1" si="3"/>
        <v>0</v>
      </c>
      <c r="K96" s="83">
        <f t="shared" ca="1" si="4"/>
        <v>0</v>
      </c>
      <c r="L96" s="82">
        <f ca="1">IFERROR(__xludf.DUMMYFUNCTION("IMPORTRANGE(""https://docs.google.com/spreadsheets/d/1MeEWN-I1oV_STSDYn1IFDPWt_1FKiwhDph83XaGc0o0/edit?usp=sharing"",""งบพรบ!CV96"")"),0)</f>
        <v>0</v>
      </c>
      <c r="M96" s="84">
        <f t="shared" ca="1" si="5"/>
        <v>0</v>
      </c>
      <c r="N96" s="84">
        <f t="shared" ca="1" si="6"/>
        <v>0</v>
      </c>
      <c r="O96" s="85">
        <f ca="1">IFERROR(__xludf.DUMMYFUNCTION("IMPORTRANGE(""https://docs.google.com/spreadsheets/d/1MeEWN-I1oV_STSDYn1IFDPWt_1FKiwhDph83XaGc0o0/edit?usp=sharing"",""งบพรบ!CW96"")"),0)</f>
        <v>0</v>
      </c>
      <c r="P96" s="85">
        <f t="shared" ca="1" si="108"/>
        <v>0</v>
      </c>
      <c r="Q96" s="84">
        <f t="shared" ca="1" si="8"/>
        <v>0</v>
      </c>
      <c r="R96" s="82"/>
      <c r="S96" s="82"/>
      <c r="T96" s="84"/>
      <c r="U96" s="82"/>
      <c r="V96" s="82"/>
      <c r="W96" s="84"/>
      <c r="X96" s="82"/>
      <c r="Y96" s="82"/>
      <c r="Z96" s="82"/>
      <c r="AA96" s="82"/>
      <c r="AB96" s="82"/>
      <c r="AC96" s="84"/>
      <c r="AD96" s="82"/>
      <c r="AE96" s="82"/>
      <c r="AF96" s="84"/>
      <c r="AG96" s="82"/>
      <c r="AH96" s="82"/>
      <c r="AI96" s="84"/>
      <c r="AJ96" s="82"/>
      <c r="AK96" s="82"/>
      <c r="AL96" s="84"/>
      <c r="AM96" s="82"/>
      <c r="AN96" s="82"/>
      <c r="AO96" s="84"/>
      <c r="AP96" s="300"/>
      <c r="AQ96" s="300"/>
      <c r="AR96" s="82"/>
      <c r="AS96" s="82"/>
      <c r="AT96" s="84"/>
      <c r="AU96" s="82"/>
      <c r="AV96" s="82"/>
      <c r="AW96" s="84"/>
      <c r="AX96" s="82"/>
      <c r="AY96" s="82"/>
      <c r="AZ96" s="84"/>
      <c r="BA96" s="82"/>
      <c r="BB96" s="82"/>
      <c r="BC96" s="84"/>
      <c r="BD96" s="82"/>
      <c r="BE96" s="82"/>
      <c r="BF96" s="84"/>
      <c r="BG96" s="82"/>
      <c r="BH96" s="82"/>
      <c r="BI96" s="84"/>
      <c r="BJ96" s="82"/>
      <c r="BK96" s="82"/>
      <c r="BL96" s="84"/>
      <c r="BM96" s="82"/>
      <c r="BN96" s="82"/>
      <c r="BO96" s="84"/>
      <c r="BP96" s="82"/>
      <c r="BQ96" s="82"/>
      <c r="BR96" s="84"/>
      <c r="BS96" s="82"/>
      <c r="BT96" s="82"/>
      <c r="BU96" s="84"/>
      <c r="BV96" s="82"/>
      <c r="BW96" s="82"/>
      <c r="BX96" s="84"/>
      <c r="BY96" s="82"/>
      <c r="BZ96" s="82"/>
      <c r="CA96" s="84"/>
      <c r="CB96" s="82"/>
      <c r="CC96" s="82"/>
      <c r="CD96" s="84"/>
      <c r="CE96" s="82"/>
      <c r="CF96" s="82"/>
      <c r="CG96" s="84"/>
      <c r="CH96" s="82"/>
      <c r="CI96" s="82"/>
      <c r="CJ96" s="84"/>
      <c r="CK96" s="82"/>
      <c r="CL96" s="82"/>
      <c r="CM96" s="84"/>
      <c r="CN96" s="82"/>
      <c r="CO96" s="82"/>
    </row>
    <row r="97" spans="1:93" ht="24" hidden="1" customHeight="1" x14ac:dyDescent="0.2">
      <c r="A97" s="111">
        <f t="shared" si="218"/>
        <v>8</v>
      </c>
      <c r="B97" s="112" t="s">
        <v>119</v>
      </c>
      <c r="C97" s="80">
        <f t="shared" ca="1" si="0"/>
        <v>0</v>
      </c>
      <c r="D97" s="81">
        <f t="shared" ca="1" si="217"/>
        <v>0</v>
      </c>
      <c r="E97" s="82">
        <f ca="1">IFERROR(__xludf.DUMMYFUNCTION("IMPORTRANGE(""https://docs.google.com/spreadsheets/d/1MeEWN-I1oV_STSDYn1IFDPWt_1FKiwhDph83XaGc0o0/edit?usp=sharing"",""งบพรบ!CP97"")"),0)</f>
        <v>0</v>
      </c>
      <c r="F97" s="82">
        <f ca="1">IFERROR(__xludf.DUMMYFUNCTION("IMPORTRANGE(""https://docs.google.com/spreadsheets/d/1MeEWN-I1oV_STSDYn1IFDPWt_1FKiwhDph83XaGc0o0/edit?usp=sharing"",""งบพรบ!CQ97"")"),0)</f>
        <v>0</v>
      </c>
      <c r="G97" s="82">
        <f ca="1">IFERROR(__xludf.DUMMYFUNCTION("IMPORTRANGE(""https://docs.google.com/spreadsheets/d/1MeEWN-I1oV_STSDYn1IFDPWt_1FKiwhDph83XaGc0o0/edit?usp=sharing"",""งบพรบ!CR97"")"),0)</f>
        <v>0</v>
      </c>
      <c r="H97" s="82">
        <f ca="1">IFERROR(__xludf.DUMMYFUNCTION("IMPORTRANGE(""https://docs.google.com/spreadsheets/d/1MeEWN-I1oV_STSDYn1IFDPWt_1FKiwhDph83XaGc0o0/edit?usp=sharing"",""งบพรบ!CT97"")"),0)</f>
        <v>0</v>
      </c>
      <c r="I97" s="82">
        <f ca="1">IFERROR(__xludf.DUMMYFUNCTION("IMPORTRANGE(""https://docs.google.com/spreadsheets/d/1MeEWN-I1oV_STSDYn1IFDPWt_1FKiwhDph83XaGc0o0/edit?usp=sharing"",""งบพรบ!CU97"")"),0)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IFERROR(__xludf.DUMMYFUNCTION("IMPORTRANGE(""https://docs.google.com/spreadsheets/d/1MeEWN-I1oV_STSDYn1IFDPWt_1FKiwhDph83XaGc0o0/edit?usp=sharing"",""งบพรบ!CV97"")"),0)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IFERROR(__xludf.DUMMYFUNCTION("IMPORTRANGE(""https://docs.google.com/spreadsheets/d/1MeEWN-I1oV_STSDYn1IFDPWt_1FKiwhDph83XaGc0o0/edit?usp=sharing"",""งบพรบ!CW97"")"),0)</f>
        <v>0</v>
      </c>
      <c r="P97" s="85">
        <f t="shared" ca="1" si="108"/>
        <v>0</v>
      </c>
      <c r="Q97" s="84">
        <f t="shared" ca="1" si="8"/>
        <v>0</v>
      </c>
      <c r="R97" s="82"/>
      <c r="S97" s="82"/>
      <c r="T97" s="84"/>
      <c r="U97" s="82"/>
      <c r="V97" s="82"/>
      <c r="W97" s="84"/>
      <c r="X97" s="82"/>
      <c r="Y97" s="82"/>
      <c r="Z97" s="82"/>
      <c r="AA97" s="82"/>
      <c r="AB97" s="82"/>
      <c r="AC97" s="84"/>
      <c r="AD97" s="82"/>
      <c r="AE97" s="82"/>
      <c r="AF97" s="84"/>
      <c r="AG97" s="82"/>
      <c r="AH97" s="82"/>
      <c r="AI97" s="84"/>
      <c r="AJ97" s="82"/>
      <c r="AK97" s="82"/>
      <c r="AL97" s="84"/>
      <c r="AM97" s="82"/>
      <c r="AN97" s="82"/>
      <c r="AO97" s="84"/>
      <c r="AP97" s="300"/>
      <c r="AQ97" s="300"/>
      <c r="AR97" s="82"/>
      <c r="AS97" s="82"/>
      <c r="AT97" s="84"/>
      <c r="AU97" s="82"/>
      <c r="AV97" s="82"/>
      <c r="AW97" s="84"/>
      <c r="AX97" s="82"/>
      <c r="AY97" s="82"/>
      <c r="AZ97" s="84"/>
      <c r="BA97" s="82"/>
      <c r="BB97" s="82"/>
      <c r="BC97" s="84"/>
      <c r="BD97" s="82"/>
      <c r="BE97" s="82"/>
      <c r="BF97" s="84"/>
      <c r="BG97" s="82"/>
      <c r="BH97" s="82"/>
      <c r="BI97" s="84"/>
      <c r="BJ97" s="82"/>
      <c r="BK97" s="82"/>
      <c r="BL97" s="84"/>
      <c r="BM97" s="82"/>
      <c r="BN97" s="82"/>
      <c r="BO97" s="84"/>
      <c r="BP97" s="82"/>
      <c r="BQ97" s="82"/>
      <c r="BR97" s="84"/>
      <c r="BS97" s="82"/>
      <c r="BT97" s="82"/>
      <c r="BU97" s="84"/>
      <c r="BV97" s="82"/>
      <c r="BW97" s="82"/>
      <c r="BX97" s="84"/>
      <c r="BY97" s="82"/>
      <c r="BZ97" s="82"/>
      <c r="CA97" s="84"/>
      <c r="CB97" s="82"/>
      <c r="CC97" s="82"/>
      <c r="CD97" s="84"/>
      <c r="CE97" s="82"/>
      <c r="CF97" s="82"/>
      <c r="CG97" s="84"/>
      <c r="CH97" s="82"/>
      <c r="CI97" s="82"/>
      <c r="CJ97" s="84"/>
      <c r="CK97" s="82"/>
      <c r="CL97" s="82"/>
      <c r="CM97" s="84"/>
      <c r="CN97" s="82"/>
      <c r="CO97" s="82"/>
    </row>
    <row r="98" spans="1:93" ht="24" hidden="1" customHeight="1" x14ac:dyDescent="0.2">
      <c r="A98" s="111">
        <f t="shared" si="218"/>
        <v>9</v>
      </c>
      <c r="B98" s="112" t="s">
        <v>120</v>
      </c>
      <c r="C98" s="80">
        <f t="shared" ca="1" si="0"/>
        <v>0</v>
      </c>
      <c r="D98" s="81">
        <f t="shared" ca="1" si="217"/>
        <v>0</v>
      </c>
      <c r="E98" s="82">
        <f ca="1">IFERROR(__xludf.DUMMYFUNCTION("IMPORTRANGE(""https://docs.google.com/spreadsheets/d/1MeEWN-I1oV_STSDYn1IFDPWt_1FKiwhDph83XaGc0o0/edit?usp=sharing"",""งบพรบ!CP98"")"),0)</f>
        <v>0</v>
      </c>
      <c r="F98" s="82">
        <f ca="1">IFERROR(__xludf.DUMMYFUNCTION("IMPORTRANGE(""https://docs.google.com/spreadsheets/d/1MeEWN-I1oV_STSDYn1IFDPWt_1FKiwhDph83XaGc0o0/edit?usp=sharing"",""งบพรบ!CQ98"")"),0)</f>
        <v>0</v>
      </c>
      <c r="G98" s="82">
        <f ca="1">IFERROR(__xludf.DUMMYFUNCTION("IMPORTRANGE(""https://docs.google.com/spreadsheets/d/1MeEWN-I1oV_STSDYn1IFDPWt_1FKiwhDph83XaGc0o0/edit?usp=sharing"",""งบพรบ!CR98"")"),0)</f>
        <v>0</v>
      </c>
      <c r="H98" s="82">
        <f ca="1">IFERROR(__xludf.DUMMYFUNCTION("IMPORTRANGE(""https://docs.google.com/spreadsheets/d/1MeEWN-I1oV_STSDYn1IFDPWt_1FKiwhDph83XaGc0o0/edit?usp=sharing"",""งบพรบ!CT98"")"),0)</f>
        <v>0</v>
      </c>
      <c r="I98" s="82">
        <f ca="1">IFERROR(__xludf.DUMMYFUNCTION("IMPORTRANGE(""https://docs.google.com/spreadsheets/d/1MeEWN-I1oV_STSDYn1IFDPWt_1FKiwhDph83XaGc0o0/edit?usp=sharing"",""งบพรบ!CU98"")"),0)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IFERROR(__xludf.DUMMYFUNCTION("IMPORTRANGE(""https://docs.google.com/spreadsheets/d/1MeEWN-I1oV_STSDYn1IFDPWt_1FKiwhDph83XaGc0o0/edit?usp=sharing"",""งบพรบ!CV98"")"),0)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IFERROR(__xludf.DUMMYFUNCTION("IMPORTRANGE(""https://docs.google.com/spreadsheets/d/1MeEWN-I1oV_STSDYn1IFDPWt_1FKiwhDph83XaGc0o0/edit?usp=sharing"",""งบพรบ!CW98"")"),0)</f>
        <v>0</v>
      </c>
      <c r="P98" s="85">
        <f t="shared" ca="1" si="108"/>
        <v>0</v>
      </c>
      <c r="Q98" s="84">
        <f t="shared" ca="1" si="8"/>
        <v>0</v>
      </c>
      <c r="R98" s="82"/>
      <c r="S98" s="82"/>
      <c r="T98" s="84"/>
      <c r="U98" s="82"/>
      <c r="V98" s="82"/>
      <c r="W98" s="84"/>
      <c r="X98" s="82"/>
      <c r="Y98" s="82"/>
      <c r="Z98" s="82"/>
      <c r="AA98" s="82"/>
      <c r="AB98" s="82"/>
      <c r="AC98" s="84"/>
      <c r="AD98" s="82"/>
      <c r="AE98" s="82"/>
      <c r="AF98" s="84"/>
      <c r="AG98" s="82"/>
      <c r="AH98" s="82"/>
      <c r="AI98" s="84"/>
      <c r="AJ98" s="82"/>
      <c r="AK98" s="82"/>
      <c r="AL98" s="84"/>
      <c r="AM98" s="82"/>
      <c r="AN98" s="82"/>
      <c r="AO98" s="84"/>
      <c r="AP98" s="300"/>
      <c r="AQ98" s="300"/>
      <c r="AR98" s="82"/>
      <c r="AS98" s="82"/>
      <c r="AT98" s="84"/>
      <c r="AU98" s="82"/>
      <c r="AV98" s="82"/>
      <c r="AW98" s="84"/>
      <c r="AX98" s="82"/>
      <c r="AY98" s="82"/>
      <c r="AZ98" s="84"/>
      <c r="BA98" s="82"/>
      <c r="BB98" s="82"/>
      <c r="BC98" s="84"/>
      <c r="BD98" s="82"/>
      <c r="BE98" s="82"/>
      <c r="BF98" s="84"/>
      <c r="BG98" s="82"/>
      <c r="BH98" s="82"/>
      <c r="BI98" s="84"/>
      <c r="BJ98" s="82"/>
      <c r="BK98" s="82"/>
      <c r="BL98" s="84"/>
      <c r="BM98" s="82"/>
      <c r="BN98" s="82"/>
      <c r="BO98" s="84"/>
      <c r="BP98" s="82"/>
      <c r="BQ98" s="82"/>
      <c r="BR98" s="84"/>
      <c r="BS98" s="82"/>
      <c r="BT98" s="82"/>
      <c r="BU98" s="84"/>
      <c r="BV98" s="82"/>
      <c r="BW98" s="82"/>
      <c r="BX98" s="84"/>
      <c r="BY98" s="82"/>
      <c r="BZ98" s="82"/>
      <c r="CA98" s="84"/>
      <c r="CB98" s="82"/>
      <c r="CC98" s="82"/>
      <c r="CD98" s="84"/>
      <c r="CE98" s="82"/>
      <c r="CF98" s="82"/>
      <c r="CG98" s="84"/>
      <c r="CH98" s="82"/>
      <c r="CI98" s="82"/>
      <c r="CJ98" s="84"/>
      <c r="CK98" s="82"/>
      <c r="CL98" s="82"/>
      <c r="CM98" s="84"/>
      <c r="CN98" s="82"/>
      <c r="CO98" s="82"/>
    </row>
    <row r="99" spans="1:93" ht="24" hidden="1" customHeight="1" x14ac:dyDescent="0.2">
      <c r="A99" s="111">
        <f t="shared" si="218"/>
        <v>10</v>
      </c>
      <c r="B99" s="112" t="s">
        <v>121</v>
      </c>
      <c r="C99" s="80">
        <f t="shared" ca="1" si="0"/>
        <v>0</v>
      </c>
      <c r="D99" s="81">
        <f t="shared" ca="1" si="217"/>
        <v>0</v>
      </c>
      <c r="E99" s="82">
        <f ca="1">IFERROR(__xludf.DUMMYFUNCTION("IMPORTRANGE(""https://docs.google.com/spreadsheets/d/1MeEWN-I1oV_STSDYn1IFDPWt_1FKiwhDph83XaGc0o0/edit?usp=sharing"",""งบพรบ!CP99"")"),0)</f>
        <v>0</v>
      </c>
      <c r="F99" s="82">
        <f ca="1">IFERROR(__xludf.DUMMYFUNCTION("IMPORTRANGE(""https://docs.google.com/spreadsheets/d/1MeEWN-I1oV_STSDYn1IFDPWt_1FKiwhDph83XaGc0o0/edit?usp=sharing"",""งบพรบ!CQ99"")"),0)</f>
        <v>0</v>
      </c>
      <c r="G99" s="82">
        <f ca="1">IFERROR(__xludf.DUMMYFUNCTION("IMPORTRANGE(""https://docs.google.com/spreadsheets/d/1MeEWN-I1oV_STSDYn1IFDPWt_1FKiwhDph83XaGc0o0/edit?usp=sharing"",""งบพรบ!CR99"")"),0)</f>
        <v>0</v>
      </c>
      <c r="H99" s="82">
        <f ca="1">IFERROR(__xludf.DUMMYFUNCTION("IMPORTRANGE(""https://docs.google.com/spreadsheets/d/1MeEWN-I1oV_STSDYn1IFDPWt_1FKiwhDph83XaGc0o0/edit?usp=sharing"",""งบพรบ!CT99"")"),0)</f>
        <v>0</v>
      </c>
      <c r="I99" s="82">
        <f ca="1">IFERROR(__xludf.DUMMYFUNCTION("IMPORTRANGE(""https://docs.google.com/spreadsheets/d/1MeEWN-I1oV_STSDYn1IFDPWt_1FKiwhDph83XaGc0o0/edit?usp=sharing"",""งบพรบ!CU99"")"),0)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IFERROR(__xludf.DUMMYFUNCTION("IMPORTRANGE(""https://docs.google.com/spreadsheets/d/1MeEWN-I1oV_STSDYn1IFDPWt_1FKiwhDph83XaGc0o0/edit?usp=sharing"",""งบพรบ!CV99"")"),0)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IFERROR(__xludf.DUMMYFUNCTION("IMPORTRANGE(""https://docs.google.com/spreadsheets/d/1MeEWN-I1oV_STSDYn1IFDPWt_1FKiwhDph83XaGc0o0/edit?usp=sharing"",""งบพรบ!CW99"")"),0)</f>
        <v>0</v>
      </c>
      <c r="P99" s="85">
        <f t="shared" ca="1" si="108"/>
        <v>0</v>
      </c>
      <c r="Q99" s="84">
        <f t="shared" ca="1" si="8"/>
        <v>0</v>
      </c>
      <c r="R99" s="82"/>
      <c r="S99" s="82"/>
      <c r="T99" s="84"/>
      <c r="U99" s="82"/>
      <c r="V99" s="82"/>
      <c r="W99" s="84"/>
      <c r="X99" s="82"/>
      <c r="Y99" s="82"/>
      <c r="Z99" s="82"/>
      <c r="AA99" s="82"/>
      <c r="AB99" s="82"/>
      <c r="AC99" s="84"/>
      <c r="AD99" s="82"/>
      <c r="AE99" s="82"/>
      <c r="AF99" s="84"/>
      <c r="AG99" s="82"/>
      <c r="AH99" s="82"/>
      <c r="AI99" s="84"/>
      <c r="AJ99" s="82"/>
      <c r="AK99" s="82"/>
      <c r="AL99" s="84"/>
      <c r="AM99" s="82"/>
      <c r="AN99" s="82"/>
      <c r="AO99" s="84"/>
      <c r="AP99" s="300"/>
      <c r="AQ99" s="300"/>
      <c r="AR99" s="82"/>
      <c r="AS99" s="82"/>
      <c r="AT99" s="84"/>
      <c r="AU99" s="82"/>
      <c r="AV99" s="82"/>
      <c r="AW99" s="84"/>
      <c r="AX99" s="82"/>
      <c r="AY99" s="82"/>
      <c r="AZ99" s="84"/>
      <c r="BA99" s="82"/>
      <c r="BB99" s="82"/>
      <c r="BC99" s="84"/>
      <c r="BD99" s="82"/>
      <c r="BE99" s="82"/>
      <c r="BF99" s="84"/>
      <c r="BG99" s="82"/>
      <c r="BH99" s="82"/>
      <c r="BI99" s="84"/>
      <c r="BJ99" s="82"/>
      <c r="BK99" s="82"/>
      <c r="BL99" s="84"/>
      <c r="BM99" s="82"/>
      <c r="BN99" s="82"/>
      <c r="BO99" s="84"/>
      <c r="BP99" s="82"/>
      <c r="BQ99" s="82"/>
      <c r="BR99" s="84"/>
      <c r="BS99" s="82"/>
      <c r="BT99" s="82"/>
      <c r="BU99" s="84"/>
      <c r="BV99" s="82"/>
      <c r="BW99" s="82"/>
      <c r="BX99" s="84"/>
      <c r="BY99" s="82"/>
      <c r="BZ99" s="82"/>
      <c r="CA99" s="84"/>
      <c r="CB99" s="82"/>
      <c r="CC99" s="82"/>
      <c r="CD99" s="84"/>
      <c r="CE99" s="82"/>
      <c r="CF99" s="82"/>
      <c r="CG99" s="84"/>
      <c r="CH99" s="82"/>
      <c r="CI99" s="82"/>
      <c r="CJ99" s="84"/>
      <c r="CK99" s="82"/>
      <c r="CL99" s="82"/>
      <c r="CM99" s="84"/>
      <c r="CN99" s="82"/>
      <c r="CO99" s="82"/>
    </row>
    <row r="100" spans="1:93" ht="24" hidden="1" customHeight="1" x14ac:dyDescent="0.2">
      <c r="A100" s="111">
        <f t="shared" si="218"/>
        <v>11</v>
      </c>
      <c r="B100" s="112" t="s">
        <v>122</v>
      </c>
      <c r="C100" s="80">
        <f t="shared" ca="1" si="0"/>
        <v>0</v>
      </c>
      <c r="D100" s="81">
        <f t="shared" ca="1" si="217"/>
        <v>0</v>
      </c>
      <c r="E100" s="82">
        <f ca="1">IFERROR(__xludf.DUMMYFUNCTION("IMPORTRANGE(""https://docs.google.com/spreadsheets/d/1MeEWN-I1oV_STSDYn1IFDPWt_1FKiwhDph83XaGc0o0/edit?usp=sharing"",""งบพรบ!CP100"")"),0)</f>
        <v>0</v>
      </c>
      <c r="F100" s="82">
        <f ca="1">IFERROR(__xludf.DUMMYFUNCTION("IMPORTRANGE(""https://docs.google.com/spreadsheets/d/1MeEWN-I1oV_STSDYn1IFDPWt_1FKiwhDph83XaGc0o0/edit?usp=sharing"",""งบพรบ!CQ100"")"),0)</f>
        <v>0</v>
      </c>
      <c r="G100" s="82">
        <f ca="1">IFERROR(__xludf.DUMMYFUNCTION("IMPORTRANGE(""https://docs.google.com/spreadsheets/d/1MeEWN-I1oV_STSDYn1IFDPWt_1FKiwhDph83XaGc0o0/edit?usp=sharing"",""งบพรบ!CR100"")"),0)</f>
        <v>0</v>
      </c>
      <c r="H100" s="82">
        <f ca="1">IFERROR(__xludf.DUMMYFUNCTION("IMPORTRANGE(""https://docs.google.com/spreadsheets/d/1MeEWN-I1oV_STSDYn1IFDPWt_1FKiwhDph83XaGc0o0/edit?usp=sharing"",""งบพรบ!CT100"")"),0)</f>
        <v>0</v>
      </c>
      <c r="I100" s="82">
        <f ca="1">IFERROR(__xludf.DUMMYFUNCTION("IMPORTRANGE(""https://docs.google.com/spreadsheets/d/1MeEWN-I1oV_STSDYn1IFDPWt_1FKiwhDph83XaGc0o0/edit?usp=sharing"",""งบพรบ!CU100"")"),0)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IFERROR(__xludf.DUMMYFUNCTION("IMPORTRANGE(""https://docs.google.com/spreadsheets/d/1MeEWN-I1oV_STSDYn1IFDPWt_1FKiwhDph83XaGc0o0/edit?usp=sharing"",""งบพรบ!CV100"")"),0)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IFERROR(__xludf.DUMMYFUNCTION("IMPORTRANGE(""https://docs.google.com/spreadsheets/d/1MeEWN-I1oV_STSDYn1IFDPWt_1FKiwhDph83XaGc0o0/edit?usp=sharing"",""งบพรบ!CW100"")"),0)</f>
        <v>0</v>
      </c>
      <c r="P100" s="85">
        <f t="shared" ca="1" si="108"/>
        <v>0</v>
      </c>
      <c r="Q100" s="84">
        <f t="shared" ca="1" si="8"/>
        <v>0</v>
      </c>
      <c r="R100" s="82"/>
      <c r="S100" s="82"/>
      <c r="T100" s="84"/>
      <c r="U100" s="82"/>
      <c r="V100" s="82"/>
      <c r="W100" s="84"/>
      <c r="X100" s="82"/>
      <c r="Y100" s="82"/>
      <c r="Z100" s="82"/>
      <c r="AA100" s="82"/>
      <c r="AB100" s="82"/>
      <c r="AC100" s="84"/>
      <c r="AD100" s="82"/>
      <c r="AE100" s="82"/>
      <c r="AF100" s="84"/>
      <c r="AG100" s="82"/>
      <c r="AH100" s="82"/>
      <c r="AI100" s="84"/>
      <c r="AJ100" s="82"/>
      <c r="AK100" s="82"/>
      <c r="AL100" s="84"/>
      <c r="AM100" s="82"/>
      <c r="AN100" s="82"/>
      <c r="AO100" s="84"/>
      <c r="AP100" s="300"/>
      <c r="AQ100" s="300"/>
      <c r="AR100" s="82"/>
      <c r="AS100" s="82"/>
      <c r="AT100" s="84"/>
      <c r="AU100" s="82"/>
      <c r="AV100" s="82"/>
      <c r="AW100" s="84"/>
      <c r="AX100" s="82"/>
      <c r="AY100" s="82"/>
      <c r="AZ100" s="84"/>
      <c r="BA100" s="82"/>
      <c r="BB100" s="82"/>
      <c r="BC100" s="84"/>
      <c r="BD100" s="82"/>
      <c r="BE100" s="82"/>
      <c r="BF100" s="84"/>
      <c r="BG100" s="82"/>
      <c r="BH100" s="82"/>
      <c r="BI100" s="84"/>
      <c r="BJ100" s="82"/>
      <c r="BK100" s="82"/>
      <c r="BL100" s="84"/>
      <c r="BM100" s="82"/>
      <c r="BN100" s="82"/>
      <c r="BO100" s="84"/>
      <c r="BP100" s="82"/>
      <c r="BQ100" s="82"/>
      <c r="BR100" s="84"/>
      <c r="BS100" s="82"/>
      <c r="BT100" s="82"/>
      <c r="BU100" s="84"/>
      <c r="BV100" s="82"/>
      <c r="BW100" s="82"/>
      <c r="BX100" s="84"/>
      <c r="BY100" s="82"/>
      <c r="BZ100" s="82"/>
      <c r="CA100" s="84"/>
      <c r="CB100" s="82"/>
      <c r="CC100" s="82"/>
      <c r="CD100" s="84"/>
      <c r="CE100" s="82"/>
      <c r="CF100" s="82"/>
      <c r="CG100" s="84"/>
      <c r="CH100" s="82"/>
      <c r="CI100" s="82"/>
      <c r="CJ100" s="84"/>
      <c r="CK100" s="82"/>
      <c r="CL100" s="82"/>
      <c r="CM100" s="84"/>
      <c r="CN100" s="82"/>
      <c r="CO100" s="82"/>
    </row>
    <row r="101" spans="1:93" ht="24" hidden="1" customHeight="1" x14ac:dyDescent="0.2">
      <c r="A101" s="111">
        <f t="shared" si="218"/>
        <v>12</v>
      </c>
      <c r="B101" s="112" t="s">
        <v>123</v>
      </c>
      <c r="C101" s="80">
        <f t="shared" ca="1" si="0"/>
        <v>0</v>
      </c>
      <c r="D101" s="81">
        <f t="shared" ca="1" si="217"/>
        <v>0</v>
      </c>
      <c r="E101" s="82">
        <f ca="1">IFERROR(__xludf.DUMMYFUNCTION("IMPORTRANGE(""https://docs.google.com/spreadsheets/d/1MeEWN-I1oV_STSDYn1IFDPWt_1FKiwhDph83XaGc0o0/edit?usp=sharing"",""งบพรบ!CP101"")"),0)</f>
        <v>0</v>
      </c>
      <c r="F101" s="82">
        <f ca="1">IFERROR(__xludf.DUMMYFUNCTION("IMPORTRANGE(""https://docs.google.com/spreadsheets/d/1MeEWN-I1oV_STSDYn1IFDPWt_1FKiwhDph83XaGc0o0/edit?usp=sharing"",""งบพรบ!CQ101"")"),0)</f>
        <v>0</v>
      </c>
      <c r="G101" s="82">
        <f ca="1">IFERROR(__xludf.DUMMYFUNCTION("IMPORTRANGE(""https://docs.google.com/spreadsheets/d/1MeEWN-I1oV_STSDYn1IFDPWt_1FKiwhDph83XaGc0o0/edit?usp=sharing"",""งบพรบ!CR101"")"),0)</f>
        <v>0</v>
      </c>
      <c r="H101" s="82">
        <f ca="1">IFERROR(__xludf.DUMMYFUNCTION("IMPORTRANGE(""https://docs.google.com/spreadsheets/d/1MeEWN-I1oV_STSDYn1IFDPWt_1FKiwhDph83XaGc0o0/edit?usp=sharing"",""งบพรบ!CT101"")"),0)</f>
        <v>0</v>
      </c>
      <c r="I101" s="82">
        <f ca="1">IFERROR(__xludf.DUMMYFUNCTION("IMPORTRANGE(""https://docs.google.com/spreadsheets/d/1MeEWN-I1oV_STSDYn1IFDPWt_1FKiwhDph83XaGc0o0/edit?usp=sharing"",""งบพรบ!CU101"")"),0)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IFERROR(__xludf.DUMMYFUNCTION("IMPORTRANGE(""https://docs.google.com/spreadsheets/d/1MeEWN-I1oV_STSDYn1IFDPWt_1FKiwhDph83XaGc0o0/edit?usp=sharing"",""งบพรบ!CV101"")"),0)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IFERROR(__xludf.DUMMYFUNCTION("IMPORTRANGE(""https://docs.google.com/spreadsheets/d/1MeEWN-I1oV_STSDYn1IFDPWt_1FKiwhDph83XaGc0o0/edit?usp=sharing"",""งบพรบ!CW101"")"),0)</f>
        <v>0</v>
      </c>
      <c r="P101" s="85">
        <f t="shared" ca="1" si="108"/>
        <v>0</v>
      </c>
      <c r="Q101" s="84">
        <f t="shared" ca="1" si="8"/>
        <v>0</v>
      </c>
      <c r="R101" s="82"/>
      <c r="S101" s="82"/>
      <c r="T101" s="84"/>
      <c r="U101" s="82"/>
      <c r="V101" s="82"/>
      <c r="W101" s="84"/>
      <c r="X101" s="82"/>
      <c r="Y101" s="82"/>
      <c r="Z101" s="82"/>
      <c r="AA101" s="82"/>
      <c r="AB101" s="82"/>
      <c r="AC101" s="84"/>
      <c r="AD101" s="82"/>
      <c r="AE101" s="82"/>
      <c r="AF101" s="84"/>
      <c r="AG101" s="82"/>
      <c r="AH101" s="82"/>
      <c r="AI101" s="84"/>
      <c r="AJ101" s="82"/>
      <c r="AK101" s="82"/>
      <c r="AL101" s="84"/>
      <c r="AM101" s="82"/>
      <c r="AN101" s="82"/>
      <c r="AO101" s="84"/>
      <c r="AP101" s="300"/>
      <c r="AQ101" s="300"/>
      <c r="AR101" s="82"/>
      <c r="AS101" s="82"/>
      <c r="AT101" s="84"/>
      <c r="AU101" s="82"/>
      <c r="AV101" s="82"/>
      <c r="AW101" s="84"/>
      <c r="AX101" s="82"/>
      <c r="AY101" s="82"/>
      <c r="AZ101" s="84"/>
      <c r="BA101" s="82"/>
      <c r="BB101" s="82"/>
      <c r="BC101" s="84"/>
      <c r="BD101" s="82"/>
      <c r="BE101" s="82"/>
      <c r="BF101" s="84"/>
      <c r="BG101" s="82"/>
      <c r="BH101" s="82"/>
      <c r="BI101" s="84"/>
      <c r="BJ101" s="82"/>
      <c r="BK101" s="82"/>
      <c r="BL101" s="84"/>
      <c r="BM101" s="82"/>
      <c r="BN101" s="82"/>
      <c r="BO101" s="84"/>
      <c r="BP101" s="82"/>
      <c r="BQ101" s="82"/>
      <c r="BR101" s="84"/>
      <c r="BS101" s="82"/>
      <c r="BT101" s="82"/>
      <c r="BU101" s="84"/>
      <c r="BV101" s="82"/>
      <c r="BW101" s="82"/>
      <c r="BX101" s="84"/>
      <c r="BY101" s="82"/>
      <c r="BZ101" s="82"/>
      <c r="CA101" s="84"/>
      <c r="CB101" s="82"/>
      <c r="CC101" s="82"/>
      <c r="CD101" s="84"/>
      <c r="CE101" s="82"/>
      <c r="CF101" s="82"/>
      <c r="CG101" s="84"/>
      <c r="CH101" s="82"/>
      <c r="CI101" s="82"/>
      <c r="CJ101" s="84"/>
      <c r="CK101" s="82"/>
      <c r="CL101" s="82"/>
      <c r="CM101" s="84"/>
      <c r="CN101" s="82"/>
      <c r="CO101" s="82"/>
    </row>
    <row r="102" spans="1:93" ht="24" hidden="1" customHeight="1" x14ac:dyDescent="0.2">
      <c r="A102" s="111">
        <f t="shared" si="218"/>
        <v>13</v>
      </c>
      <c r="B102" s="112" t="s">
        <v>124</v>
      </c>
      <c r="C102" s="80">
        <f t="shared" ca="1" si="0"/>
        <v>3310370</v>
      </c>
      <c r="D102" s="81">
        <f t="shared" ca="1" si="217"/>
        <v>3310370</v>
      </c>
      <c r="E102" s="82">
        <f ca="1">IFERROR(__xludf.DUMMYFUNCTION("IMPORTRANGE(""https://docs.google.com/spreadsheets/d/1MeEWN-I1oV_STSDYn1IFDPWt_1FKiwhDph83XaGc0o0/edit?usp=sharing"",""งบพรบ!CP102"")"),619800)</f>
        <v>619800</v>
      </c>
      <c r="F102" s="82">
        <f ca="1">IFERROR(__xludf.DUMMYFUNCTION("IMPORTRANGE(""https://docs.google.com/spreadsheets/d/1MeEWN-I1oV_STSDYn1IFDPWt_1FKiwhDph83XaGc0o0/edit?usp=sharing"",""งบพรบ!CQ102"")"),2690570)</f>
        <v>2690570</v>
      </c>
      <c r="G102" s="82">
        <f ca="1">IFERROR(__xludf.DUMMYFUNCTION("IMPORTRANGE(""https://docs.google.com/spreadsheets/d/1MeEWN-I1oV_STSDYn1IFDPWt_1FKiwhDph83XaGc0o0/edit?usp=sharing"",""งบพรบ!CR102"")"),0)</f>
        <v>0</v>
      </c>
      <c r="H102" s="82">
        <f ca="1">IFERROR(__xludf.DUMMYFUNCTION("IMPORTRANGE(""https://docs.google.com/spreadsheets/d/1MeEWN-I1oV_STSDYn1IFDPWt_1FKiwhDph83XaGc0o0/edit?usp=sharing"",""งบพรบ!CT102"")"),1359170)</f>
        <v>1359170</v>
      </c>
      <c r="I102" s="82">
        <f ca="1">IFERROR(__xludf.DUMMYFUNCTION("IMPORTRANGE(""https://docs.google.com/spreadsheets/d/1MeEWN-I1oV_STSDYn1IFDPWt_1FKiwhDph83XaGc0o0/edit?usp=sharing"",""งบพรบ!CU102"")"),0)</f>
        <v>0</v>
      </c>
      <c r="J102" s="82">
        <f t="shared" ca="1" si="3"/>
        <v>529718.87</v>
      </c>
      <c r="K102" s="83">
        <f t="shared" ca="1" si="4"/>
        <v>16.001802517543357</v>
      </c>
      <c r="L102" s="82">
        <f ca="1">IFERROR(__xludf.DUMMYFUNCTION("IMPORTRANGE(""https://docs.google.com/spreadsheets/d/1MeEWN-I1oV_STSDYn1IFDPWt_1FKiwhDph83XaGc0o0/edit?usp=sharing"",""งบพรบ!CV102"")"),529718.87)</f>
        <v>529718.87</v>
      </c>
      <c r="M102" s="84">
        <f t="shared" ca="1" si="5"/>
        <v>16.001802517543357</v>
      </c>
      <c r="N102" s="84">
        <f t="shared" ca="1" si="6"/>
        <v>38.973702333041487</v>
      </c>
      <c r="O102" s="85">
        <f ca="1">IFERROR(__xludf.DUMMYFUNCTION("IMPORTRANGE(""https://docs.google.com/spreadsheets/d/1MeEWN-I1oV_STSDYn1IFDPWt_1FKiwhDph83XaGc0o0/edit?usp=sharing"",""งบพรบ!CW102"")"),0)</f>
        <v>0</v>
      </c>
      <c r="P102" s="85">
        <f t="shared" ca="1" si="108"/>
        <v>0</v>
      </c>
      <c r="Q102" s="84">
        <f t="shared" ca="1" si="8"/>
        <v>0</v>
      </c>
      <c r="R102" s="82"/>
      <c r="S102" s="82"/>
      <c r="T102" s="84"/>
      <c r="U102" s="82"/>
      <c r="V102" s="82"/>
      <c r="W102" s="84"/>
      <c r="X102" s="82"/>
      <c r="Y102" s="82"/>
      <c r="Z102" s="82"/>
      <c r="AA102" s="82"/>
      <c r="AB102" s="82"/>
      <c r="AC102" s="84"/>
      <c r="AD102" s="82"/>
      <c r="AE102" s="82"/>
      <c r="AF102" s="84"/>
      <c r="AG102" s="82"/>
      <c r="AH102" s="82"/>
      <c r="AI102" s="84"/>
      <c r="AJ102" s="82"/>
      <c r="AK102" s="82"/>
      <c r="AL102" s="84"/>
      <c r="AM102" s="82"/>
      <c r="AN102" s="82"/>
      <c r="AO102" s="84"/>
      <c r="AP102" s="300"/>
      <c r="AQ102" s="300"/>
      <c r="AR102" s="82"/>
      <c r="AS102" s="82"/>
      <c r="AT102" s="84"/>
      <c r="AU102" s="82"/>
      <c r="AV102" s="82"/>
      <c r="AW102" s="84"/>
      <c r="AX102" s="82"/>
      <c r="AY102" s="82"/>
      <c r="AZ102" s="84"/>
      <c r="BA102" s="82"/>
      <c r="BB102" s="82"/>
      <c r="BC102" s="84"/>
      <c r="BD102" s="82"/>
      <c r="BE102" s="82"/>
      <c r="BF102" s="84"/>
      <c r="BG102" s="82"/>
      <c r="BH102" s="82"/>
      <c r="BI102" s="84"/>
      <c r="BJ102" s="82"/>
      <c r="BK102" s="82"/>
      <c r="BL102" s="84"/>
      <c r="BM102" s="82"/>
      <c r="BN102" s="82"/>
      <c r="BO102" s="84"/>
      <c r="BP102" s="82"/>
      <c r="BQ102" s="82"/>
      <c r="BR102" s="84"/>
      <c r="BS102" s="82"/>
      <c r="BT102" s="82"/>
      <c r="BU102" s="84"/>
      <c r="BV102" s="82"/>
      <c r="BW102" s="82"/>
      <c r="BX102" s="84"/>
      <c r="BY102" s="82"/>
      <c r="BZ102" s="82"/>
      <c r="CA102" s="84"/>
      <c r="CB102" s="82"/>
      <c r="CC102" s="82"/>
      <c r="CD102" s="84"/>
      <c r="CE102" s="82"/>
      <c r="CF102" s="82"/>
      <c r="CG102" s="84"/>
      <c r="CH102" s="82"/>
      <c r="CI102" s="82"/>
      <c r="CJ102" s="84"/>
      <c r="CK102" s="82"/>
      <c r="CL102" s="82"/>
      <c r="CM102" s="84"/>
      <c r="CN102" s="82"/>
      <c r="CO102" s="82"/>
    </row>
    <row r="103" spans="1:93" ht="24" hidden="1" customHeight="1" x14ac:dyDescent="0.2">
      <c r="A103" s="113">
        <f t="shared" si="218"/>
        <v>14</v>
      </c>
      <c r="B103" s="114" t="s">
        <v>125</v>
      </c>
      <c r="C103" s="91">
        <f t="shared" ca="1" si="0"/>
        <v>0</v>
      </c>
      <c r="D103" s="92">
        <f t="shared" ca="1" si="217"/>
        <v>0</v>
      </c>
      <c r="E103" s="93">
        <f ca="1">IFERROR(__xludf.DUMMYFUNCTION("IMPORTRANGE(""https://docs.google.com/spreadsheets/d/1MeEWN-I1oV_STSDYn1IFDPWt_1FKiwhDph83XaGc0o0/edit?usp=sharing"",""งบพรบ!CP103"")"),0)</f>
        <v>0</v>
      </c>
      <c r="F103" s="93">
        <f ca="1">IFERROR(__xludf.DUMMYFUNCTION("IMPORTRANGE(""https://docs.google.com/spreadsheets/d/1MeEWN-I1oV_STSDYn1IFDPWt_1FKiwhDph83XaGc0o0/edit?usp=sharing"",""งบพรบ!CQ103"")"),0)</f>
        <v>0</v>
      </c>
      <c r="G103" s="93">
        <f ca="1">IFERROR(__xludf.DUMMYFUNCTION("IMPORTRANGE(""https://docs.google.com/spreadsheets/d/1MeEWN-I1oV_STSDYn1IFDPWt_1FKiwhDph83XaGc0o0/edit?usp=sharing"",""งบพรบ!CR103"")"),0)</f>
        <v>0</v>
      </c>
      <c r="H103" s="93">
        <f ca="1">IFERROR(__xludf.DUMMYFUNCTION("IMPORTRANGE(""https://docs.google.com/spreadsheets/d/1MeEWN-I1oV_STSDYn1IFDPWt_1FKiwhDph83XaGc0o0/edit?usp=sharing"",""งบพรบ!CT103"")"),0)</f>
        <v>0</v>
      </c>
      <c r="I103" s="93">
        <f ca="1">IFERROR(__xludf.DUMMYFUNCTION("IMPORTRANGE(""https://docs.google.com/spreadsheets/d/1MeEWN-I1oV_STSDYn1IFDPWt_1FKiwhDph83XaGc0o0/edit?usp=sharing"",""งบพรบ!CU103"")"),0)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IFERROR(__xludf.DUMMYFUNCTION("IMPORTRANGE(""https://docs.google.com/spreadsheets/d/1MeEWN-I1oV_STSDYn1IFDPWt_1FKiwhDph83XaGc0o0/edit?usp=sharing"",""งบพรบ!CV103"")"),0)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IFERROR(__xludf.DUMMYFUNCTION("IMPORTRANGE(""https://docs.google.com/spreadsheets/d/1MeEWN-I1oV_STSDYn1IFDPWt_1FKiwhDph83XaGc0o0/edit?usp=sharing"",""งบพรบ!CW103"")"),0)</f>
        <v>0</v>
      </c>
      <c r="P103" s="96">
        <f t="shared" ca="1" si="108"/>
        <v>0</v>
      </c>
      <c r="Q103" s="95">
        <f t="shared" ca="1" si="8"/>
        <v>0</v>
      </c>
      <c r="R103" s="93"/>
      <c r="S103" s="93"/>
      <c r="T103" s="95"/>
      <c r="U103" s="93"/>
      <c r="V103" s="93"/>
      <c r="W103" s="95"/>
      <c r="X103" s="93"/>
      <c r="Y103" s="93"/>
      <c r="Z103" s="93"/>
      <c r="AA103" s="93"/>
      <c r="AB103" s="93"/>
      <c r="AC103" s="95"/>
      <c r="AD103" s="93"/>
      <c r="AE103" s="93"/>
      <c r="AF103" s="95"/>
      <c r="AG103" s="93"/>
      <c r="AH103" s="93"/>
      <c r="AI103" s="95"/>
      <c r="AJ103" s="93"/>
      <c r="AK103" s="93"/>
      <c r="AL103" s="95"/>
      <c r="AM103" s="93"/>
      <c r="AN103" s="93"/>
      <c r="AO103" s="95"/>
      <c r="AP103" s="301"/>
      <c r="AQ103" s="301"/>
      <c r="AR103" s="93"/>
      <c r="AS103" s="93"/>
      <c r="AT103" s="95"/>
      <c r="AU103" s="93"/>
      <c r="AV103" s="93"/>
      <c r="AW103" s="95"/>
      <c r="AX103" s="93"/>
      <c r="AY103" s="93"/>
      <c r="AZ103" s="95"/>
      <c r="BA103" s="93"/>
      <c r="BB103" s="93"/>
      <c r="BC103" s="95"/>
      <c r="BD103" s="93"/>
      <c r="BE103" s="93"/>
      <c r="BF103" s="95"/>
      <c r="BG103" s="93"/>
      <c r="BH103" s="93"/>
      <c r="BI103" s="95"/>
      <c r="BJ103" s="93"/>
      <c r="BK103" s="93"/>
      <c r="BL103" s="95"/>
      <c r="BM103" s="93"/>
      <c r="BN103" s="93"/>
      <c r="BO103" s="95"/>
      <c r="BP103" s="93"/>
      <c r="BQ103" s="93"/>
      <c r="BR103" s="95"/>
      <c r="BS103" s="93"/>
      <c r="BT103" s="93"/>
      <c r="BU103" s="95"/>
      <c r="BV103" s="93"/>
      <c r="BW103" s="93"/>
      <c r="BX103" s="95"/>
      <c r="BY103" s="93"/>
      <c r="BZ103" s="93"/>
      <c r="CA103" s="95"/>
      <c r="CB103" s="93"/>
      <c r="CC103" s="93"/>
      <c r="CD103" s="95"/>
      <c r="CE103" s="93"/>
      <c r="CF103" s="93"/>
      <c r="CG103" s="95"/>
      <c r="CH103" s="93"/>
      <c r="CI103" s="93"/>
      <c r="CJ103" s="95"/>
      <c r="CK103" s="93"/>
      <c r="CL103" s="93"/>
      <c r="CM103" s="95"/>
      <c r="CN103" s="93"/>
      <c r="CO103" s="93"/>
    </row>
    <row r="104" spans="1:93" ht="21" hidden="1" customHeight="1" x14ac:dyDescent="0.2">
      <c r="A104" s="381" t="s">
        <v>126</v>
      </c>
      <c r="B104" s="357"/>
      <c r="C104" s="107">
        <f t="shared" ca="1" si="0"/>
        <v>2701500</v>
      </c>
      <c r="D104" s="46">
        <f ca="1">SUM(D105:D116)</f>
        <v>2701500</v>
      </c>
      <c r="E104" s="46">
        <f ca="1">IFERROR(__xludf.DUMMYFUNCTION("IMPORTRANGE(""https://docs.google.com/spreadsheets/d/1MeEWN-I1oV_STSDYn1IFDPWt_1FKiwhDph83XaGc0o0/edit?usp=sharing"",""งบพรบ!CP104"")"),2701500)</f>
        <v>2701500</v>
      </c>
      <c r="F104" s="46">
        <f ca="1">IFERROR(__xludf.DUMMYFUNCTION("IMPORTRANGE(""https://docs.google.com/spreadsheets/d/1MeEWN-I1oV_STSDYn1IFDPWt_1FKiwhDph83XaGc0o0/edit?usp=sharing"",""งบพรบ!CQ104"")"),0)</f>
        <v>0</v>
      </c>
      <c r="G104" s="46">
        <f ca="1">IFERROR(__xludf.DUMMYFUNCTION("IMPORTRANGE(""https://docs.google.com/spreadsheets/d/1MeEWN-I1oV_STSDYn1IFDPWt_1FKiwhDph83XaGc0o0/edit?usp=sharing"",""งบพรบ!CR104"")"),0)</f>
        <v>0</v>
      </c>
      <c r="H104" s="46">
        <f ca="1">IFERROR(__xludf.DUMMYFUNCTION("IMPORTRANGE(""https://docs.google.com/spreadsheets/d/1MeEWN-I1oV_STSDYn1IFDPWt_1FKiwhDph83XaGc0o0/edit?usp=sharing"",""งบพรบ!CT104"")"),2151750)</f>
        <v>2151750</v>
      </c>
      <c r="I104" s="46">
        <f ca="1">IFERROR(__xludf.DUMMYFUNCTION("IMPORTRANGE(""https://docs.google.com/spreadsheets/d/1MeEWN-I1oV_STSDYn1IFDPWt_1FKiwhDph83XaGc0o0/edit?usp=sharing"",""งบพรบ!CU104"")"),0)</f>
        <v>0</v>
      </c>
      <c r="J104" s="46">
        <f t="shared" ca="1" si="3"/>
        <v>74537.27</v>
      </c>
      <c r="K104" s="48">
        <f t="shared" ca="1" si="4"/>
        <v>2.7591067925226724</v>
      </c>
      <c r="L104" s="46">
        <f ca="1">IFERROR(__xludf.DUMMYFUNCTION("IMPORTRANGE(""https://docs.google.com/spreadsheets/d/1MeEWN-I1oV_STSDYn1IFDPWt_1FKiwhDph83XaGc0o0/edit?usp=sharing"",""งบพรบ!CV104"")"),74537.27)</f>
        <v>74537.27</v>
      </c>
      <c r="M104" s="48">
        <f t="shared" ca="1" si="5"/>
        <v>2.7591067925226724</v>
      </c>
      <c r="N104" s="48">
        <f t="shared" ca="1" si="6"/>
        <v>3.4640302079702567</v>
      </c>
      <c r="O104" s="46">
        <f ca="1">IFERROR(__xludf.DUMMYFUNCTION("IMPORTRANGE(""https://docs.google.com/spreadsheets/d/1MeEWN-I1oV_STSDYn1IFDPWt_1FKiwhDph83XaGc0o0/edit?usp=sharing"",""งบพรบ!CW104"")"),0)</f>
        <v>0</v>
      </c>
      <c r="P104" s="46">
        <f t="shared" ca="1" si="108"/>
        <v>0</v>
      </c>
      <c r="Q104" s="46">
        <f t="shared" ca="1" si="8"/>
        <v>0</v>
      </c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296"/>
      <c r="AQ104" s="29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</row>
    <row r="105" spans="1:93" ht="24" hidden="1" customHeight="1" x14ac:dyDescent="0.2">
      <c r="A105" s="108">
        <v>1</v>
      </c>
      <c r="B105" s="115" t="s">
        <v>127</v>
      </c>
      <c r="C105" s="116">
        <f t="shared" ca="1" si="0"/>
        <v>251500</v>
      </c>
      <c r="D105" s="71">
        <f t="shared" ref="D105:D116" ca="1" si="219">+E105+F105</f>
        <v>251500</v>
      </c>
      <c r="E105" s="72">
        <f ca="1">IFERROR(__xludf.DUMMYFUNCTION("IMPORTRANGE(""https://docs.google.com/spreadsheets/d/1MeEWN-I1oV_STSDYn1IFDPWt_1FKiwhDph83XaGc0o0/edit?usp=sharing"",""งบพรบ!CP105"")"),251500)</f>
        <v>251500</v>
      </c>
      <c r="F105" s="72">
        <f ca="1">IFERROR(__xludf.DUMMYFUNCTION("IMPORTRANGE(""https://docs.google.com/spreadsheets/d/1MeEWN-I1oV_STSDYn1IFDPWt_1FKiwhDph83XaGc0o0/edit?usp=sharing"",""งบพรบ!CQ105"")"),0)</f>
        <v>0</v>
      </c>
      <c r="G105" s="72">
        <f ca="1">IFERROR(__xludf.DUMMYFUNCTION("IMPORTRANGE(""https://docs.google.com/spreadsheets/d/1MeEWN-I1oV_STSDYn1IFDPWt_1FKiwhDph83XaGc0o0/edit?usp=sharing"",""งบพรบ!CR105"")"),0)</f>
        <v>0</v>
      </c>
      <c r="H105" s="72">
        <f ca="1">IFERROR(__xludf.DUMMYFUNCTION("IMPORTRANGE(""https://docs.google.com/spreadsheets/d/1MeEWN-I1oV_STSDYn1IFDPWt_1FKiwhDph83XaGc0o0/edit?usp=sharing"",""งบพรบ!CT105"")"),251500)</f>
        <v>251500</v>
      </c>
      <c r="I105" s="72">
        <f ca="1">IFERROR(__xludf.DUMMYFUNCTION("IMPORTRANGE(""https://docs.google.com/spreadsheets/d/1MeEWN-I1oV_STSDYn1IFDPWt_1FKiwhDph83XaGc0o0/edit?usp=sharing"",""งบพรบ!CU105"")"),0)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IFERROR(__xludf.DUMMYFUNCTION("IMPORTRANGE(""https://docs.google.com/spreadsheets/d/1MeEWN-I1oV_STSDYn1IFDPWt_1FKiwhDph83XaGc0o0/edit?usp=sharing"",""งบพรบ!CV105"")"),0)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IFERROR(__xludf.DUMMYFUNCTION("IMPORTRANGE(""https://docs.google.com/spreadsheets/d/1MeEWN-I1oV_STSDYn1IFDPWt_1FKiwhDph83XaGc0o0/edit?usp=sharing"",""งบพรบ!CW105"")"),0)</f>
        <v>0</v>
      </c>
      <c r="P105" s="76">
        <f t="shared" ca="1" si="108"/>
        <v>0</v>
      </c>
      <c r="Q105" s="75">
        <f t="shared" ca="1" si="8"/>
        <v>0</v>
      </c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300"/>
      <c r="AQ105" s="300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</row>
    <row r="106" spans="1:93" ht="24" hidden="1" customHeight="1" x14ac:dyDescent="0.2">
      <c r="A106" s="111">
        <v>2</v>
      </c>
      <c r="B106" s="117" t="s">
        <v>128</v>
      </c>
      <c r="C106" s="118">
        <f t="shared" ca="1" si="0"/>
        <v>300000</v>
      </c>
      <c r="D106" s="81">
        <f t="shared" ca="1" si="219"/>
        <v>300000</v>
      </c>
      <c r="E106" s="82">
        <f ca="1">IFERROR(__xludf.DUMMYFUNCTION("IMPORTRANGE(""https://docs.google.com/spreadsheets/d/1MeEWN-I1oV_STSDYn1IFDPWt_1FKiwhDph83XaGc0o0/edit?usp=sharing"",""งบพรบ!CP106"")"),300000)</f>
        <v>300000</v>
      </c>
      <c r="F106" s="82">
        <f ca="1">IFERROR(__xludf.DUMMYFUNCTION("IMPORTRANGE(""https://docs.google.com/spreadsheets/d/1MeEWN-I1oV_STSDYn1IFDPWt_1FKiwhDph83XaGc0o0/edit?usp=sharing"",""งบพรบ!CQ106"")"),0)</f>
        <v>0</v>
      </c>
      <c r="G106" s="82">
        <f ca="1">IFERROR(__xludf.DUMMYFUNCTION("IMPORTRANGE(""https://docs.google.com/spreadsheets/d/1MeEWN-I1oV_STSDYn1IFDPWt_1FKiwhDph83XaGc0o0/edit?usp=sharing"",""งบพรบ!CR106"")"),0)</f>
        <v>0</v>
      </c>
      <c r="H106" s="82">
        <f ca="1">IFERROR(__xludf.DUMMYFUNCTION("IMPORTRANGE(""https://docs.google.com/spreadsheets/d/1MeEWN-I1oV_STSDYn1IFDPWt_1FKiwhDph83XaGc0o0/edit?usp=sharing"",""งบพรบ!CT106"")"),43550)</f>
        <v>43550</v>
      </c>
      <c r="I106" s="82">
        <f ca="1">IFERROR(__xludf.DUMMYFUNCTION("IMPORTRANGE(""https://docs.google.com/spreadsheets/d/1MeEWN-I1oV_STSDYn1IFDPWt_1FKiwhDph83XaGc0o0/edit?usp=sharing"",""งบพรบ!CU106"")"),0)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IFERROR(__xludf.DUMMYFUNCTION("IMPORTRANGE(""https://docs.google.com/spreadsheets/d/1MeEWN-I1oV_STSDYn1IFDPWt_1FKiwhDph83XaGc0o0/edit?usp=sharing"",""งบพรบ!CV106"")"),0)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IFERROR(__xludf.DUMMYFUNCTION("IMPORTRANGE(""https://docs.google.com/spreadsheets/d/1MeEWN-I1oV_STSDYn1IFDPWt_1FKiwhDph83XaGc0o0/edit?usp=sharing"",""งบพรบ!CW106"")"),0)</f>
        <v>0</v>
      </c>
      <c r="P106" s="85">
        <f t="shared" ca="1" si="108"/>
        <v>0</v>
      </c>
      <c r="Q106" s="84">
        <f t="shared" ca="1" si="8"/>
        <v>0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300"/>
      <c r="AQ106" s="300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</row>
    <row r="107" spans="1:93" ht="24" hidden="1" customHeight="1" x14ac:dyDescent="0.2">
      <c r="A107" s="111">
        <v>3</v>
      </c>
      <c r="B107" s="117" t="s">
        <v>129</v>
      </c>
      <c r="C107" s="118">
        <f t="shared" ca="1" si="0"/>
        <v>1000000</v>
      </c>
      <c r="D107" s="81">
        <f t="shared" ca="1" si="219"/>
        <v>1000000</v>
      </c>
      <c r="E107" s="82">
        <f ca="1">IFERROR(__xludf.DUMMYFUNCTION("IMPORTRANGE(""https://docs.google.com/spreadsheets/d/1MeEWN-I1oV_STSDYn1IFDPWt_1FKiwhDph83XaGc0o0/edit?usp=sharing"",""งบพรบ!CP107"")"),1000000)</f>
        <v>1000000</v>
      </c>
      <c r="F107" s="82">
        <f ca="1">IFERROR(__xludf.DUMMYFUNCTION("IMPORTRANGE(""https://docs.google.com/spreadsheets/d/1MeEWN-I1oV_STSDYn1IFDPWt_1FKiwhDph83XaGc0o0/edit?usp=sharing"",""งบพรบ!CQ107"")"),0)</f>
        <v>0</v>
      </c>
      <c r="G107" s="82">
        <f ca="1">IFERROR(__xludf.DUMMYFUNCTION("IMPORTRANGE(""https://docs.google.com/spreadsheets/d/1MeEWN-I1oV_STSDYn1IFDPWt_1FKiwhDph83XaGc0o0/edit?usp=sharing"",""งบพรบ!CR107"")"),0)</f>
        <v>0</v>
      </c>
      <c r="H107" s="82">
        <f ca="1">IFERROR(__xludf.DUMMYFUNCTION("IMPORTRANGE(""https://docs.google.com/spreadsheets/d/1MeEWN-I1oV_STSDYn1IFDPWt_1FKiwhDph83XaGc0o0/edit?usp=sharing"",""งบพรบ!CT107"")"),1000000)</f>
        <v>1000000</v>
      </c>
      <c r="I107" s="82">
        <f ca="1">IFERROR(__xludf.DUMMYFUNCTION("IMPORTRANGE(""https://docs.google.com/spreadsheets/d/1MeEWN-I1oV_STSDYn1IFDPWt_1FKiwhDph83XaGc0o0/edit?usp=sharing"",""งบพรบ!CU107"")"),0)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IFERROR(__xludf.DUMMYFUNCTION("IMPORTRANGE(""https://docs.google.com/spreadsheets/d/1MeEWN-I1oV_STSDYn1IFDPWt_1FKiwhDph83XaGc0o0/edit?usp=sharing"",""งบพรบ!CV107"")"),0)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IFERROR(__xludf.DUMMYFUNCTION("IMPORTRANGE(""https://docs.google.com/spreadsheets/d/1MeEWN-I1oV_STSDYn1IFDPWt_1FKiwhDph83XaGc0o0/edit?usp=sharing"",""งบพรบ!CW107"")"),0)</f>
        <v>0</v>
      </c>
      <c r="P107" s="85">
        <f t="shared" ca="1" si="108"/>
        <v>0</v>
      </c>
      <c r="Q107" s="84">
        <f t="shared" ca="1" si="8"/>
        <v>0</v>
      </c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300"/>
      <c r="AQ107" s="300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</row>
    <row r="108" spans="1:93" ht="24" hidden="1" customHeight="1" x14ac:dyDescent="0.2">
      <c r="A108" s="119">
        <v>4</v>
      </c>
      <c r="B108" s="117" t="s">
        <v>130</v>
      </c>
      <c r="C108" s="118">
        <f t="shared" ca="1" si="0"/>
        <v>500000</v>
      </c>
      <c r="D108" s="81">
        <f t="shared" ca="1" si="219"/>
        <v>500000</v>
      </c>
      <c r="E108" s="82">
        <f ca="1">IFERROR(__xludf.DUMMYFUNCTION("IMPORTRANGE(""https://docs.google.com/spreadsheets/d/1MeEWN-I1oV_STSDYn1IFDPWt_1FKiwhDph83XaGc0o0/edit?usp=sharing"",""งบพรบ!CP108"")"),500000)</f>
        <v>500000</v>
      </c>
      <c r="F108" s="82">
        <f ca="1">IFERROR(__xludf.DUMMYFUNCTION("IMPORTRANGE(""https://docs.google.com/spreadsheets/d/1MeEWN-I1oV_STSDYn1IFDPWt_1FKiwhDph83XaGc0o0/edit?usp=sharing"",""งบพรบ!CQ108"")"),0)</f>
        <v>0</v>
      </c>
      <c r="G108" s="82">
        <f ca="1">IFERROR(__xludf.DUMMYFUNCTION("IMPORTRANGE(""https://docs.google.com/spreadsheets/d/1MeEWN-I1oV_STSDYn1IFDPWt_1FKiwhDph83XaGc0o0/edit?usp=sharing"",""งบพรบ!CR108"")"),0)</f>
        <v>0</v>
      </c>
      <c r="H108" s="82">
        <f ca="1">IFERROR(__xludf.DUMMYFUNCTION("IMPORTRANGE(""https://docs.google.com/spreadsheets/d/1MeEWN-I1oV_STSDYn1IFDPWt_1FKiwhDph83XaGc0o0/edit?usp=sharing"",""งบพรบ!CT108"")"),206700)</f>
        <v>206700</v>
      </c>
      <c r="I108" s="82">
        <f ca="1">IFERROR(__xludf.DUMMYFUNCTION("IMPORTRANGE(""https://docs.google.com/spreadsheets/d/1MeEWN-I1oV_STSDYn1IFDPWt_1FKiwhDph83XaGc0o0/edit?usp=sharing"",""งบพรบ!CU108"")"),0)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IFERROR(__xludf.DUMMYFUNCTION("IMPORTRANGE(""https://docs.google.com/spreadsheets/d/1MeEWN-I1oV_STSDYn1IFDPWt_1FKiwhDph83XaGc0o0/edit?usp=sharing"",""งบพรบ!CV108"")"),0)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IFERROR(__xludf.DUMMYFUNCTION("IMPORTRANGE(""https://docs.google.com/spreadsheets/d/1MeEWN-I1oV_STSDYn1IFDPWt_1FKiwhDph83XaGc0o0/edit?usp=sharing"",""งบพรบ!CW108"")"),0)</f>
        <v>0</v>
      </c>
      <c r="P108" s="85">
        <f t="shared" ca="1" si="108"/>
        <v>0</v>
      </c>
      <c r="Q108" s="84">
        <f t="shared" ca="1" si="8"/>
        <v>0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300"/>
      <c r="AQ108" s="300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</row>
    <row r="109" spans="1:93" ht="24" hidden="1" customHeight="1" x14ac:dyDescent="0.2">
      <c r="A109" s="119">
        <v>5</v>
      </c>
      <c r="B109" s="117" t="s">
        <v>131</v>
      </c>
      <c r="C109" s="118">
        <f t="shared" ca="1" si="0"/>
        <v>650000</v>
      </c>
      <c r="D109" s="81">
        <f t="shared" ca="1" si="219"/>
        <v>650000</v>
      </c>
      <c r="E109" s="82">
        <f ca="1">IFERROR(__xludf.DUMMYFUNCTION("IMPORTRANGE(""https://docs.google.com/spreadsheets/d/1MeEWN-I1oV_STSDYn1IFDPWt_1FKiwhDph83XaGc0o0/edit?usp=sharing"",""งบพรบ!CP109"")"),650000)</f>
        <v>650000</v>
      </c>
      <c r="F109" s="82">
        <f ca="1">IFERROR(__xludf.DUMMYFUNCTION("IMPORTRANGE(""https://docs.google.com/spreadsheets/d/1MeEWN-I1oV_STSDYn1IFDPWt_1FKiwhDph83XaGc0o0/edit?usp=sharing"",""งบพรบ!CQ109"")"),0)</f>
        <v>0</v>
      </c>
      <c r="G109" s="82">
        <f ca="1">IFERROR(__xludf.DUMMYFUNCTION("IMPORTRANGE(""https://docs.google.com/spreadsheets/d/1MeEWN-I1oV_STSDYn1IFDPWt_1FKiwhDph83XaGc0o0/edit?usp=sharing"",""งบพรบ!CR109"")"),0)</f>
        <v>0</v>
      </c>
      <c r="H109" s="82">
        <f ca="1">IFERROR(__xludf.DUMMYFUNCTION("IMPORTRANGE(""https://docs.google.com/spreadsheets/d/1MeEWN-I1oV_STSDYn1IFDPWt_1FKiwhDph83XaGc0o0/edit?usp=sharing"",""งบพรบ!CT109"")"),650000)</f>
        <v>650000</v>
      </c>
      <c r="I109" s="82">
        <f ca="1">IFERROR(__xludf.DUMMYFUNCTION("IMPORTRANGE(""https://docs.google.com/spreadsheets/d/1MeEWN-I1oV_STSDYn1IFDPWt_1FKiwhDph83XaGc0o0/edit?usp=sharing"",""งบพรบ!CU109"")"),0)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IFERROR(__xludf.DUMMYFUNCTION("IMPORTRANGE(""https://docs.google.com/spreadsheets/d/1MeEWN-I1oV_STSDYn1IFDPWt_1FKiwhDph83XaGc0o0/edit?usp=sharing"",""งบพรบ!CV109"")"),0)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IFERROR(__xludf.DUMMYFUNCTION("IMPORTRANGE(""https://docs.google.com/spreadsheets/d/1MeEWN-I1oV_STSDYn1IFDPWt_1FKiwhDph83XaGc0o0/edit?usp=sharing"",""งบพรบ!CW109"")"),0)</f>
        <v>0</v>
      </c>
      <c r="P109" s="85">
        <f t="shared" ca="1" si="108"/>
        <v>0</v>
      </c>
      <c r="Q109" s="84">
        <f t="shared" ca="1" si="8"/>
        <v>0</v>
      </c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300"/>
      <c r="AQ109" s="300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</row>
    <row r="110" spans="1:93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219"/>
        <v>0</v>
      </c>
      <c r="E110" s="82">
        <f ca="1">IFERROR(__xludf.DUMMYFUNCTION("IMPORTRANGE(""https://docs.google.com/spreadsheets/d/1MeEWN-I1oV_STSDYn1IFDPWt_1FKiwhDph83XaGc0o0/edit?usp=sharing"",""งบพรบ!CP110"")"),0)</f>
        <v>0</v>
      </c>
      <c r="F110" s="82">
        <f ca="1">IFERROR(__xludf.DUMMYFUNCTION("IMPORTRANGE(""https://docs.google.com/spreadsheets/d/1MeEWN-I1oV_STSDYn1IFDPWt_1FKiwhDph83XaGc0o0/edit?usp=sharing"",""งบพรบ!CQ110"")"),0)</f>
        <v>0</v>
      </c>
      <c r="G110" s="82">
        <f ca="1">IFERROR(__xludf.DUMMYFUNCTION("IMPORTRANGE(""https://docs.google.com/spreadsheets/d/1MeEWN-I1oV_STSDYn1IFDPWt_1FKiwhDph83XaGc0o0/edit?usp=sharing"",""งบพรบ!CR110"")"),0)</f>
        <v>0</v>
      </c>
      <c r="H110" s="82">
        <f ca="1">IFERROR(__xludf.DUMMYFUNCTION("IMPORTRANGE(""https://docs.google.com/spreadsheets/d/1MeEWN-I1oV_STSDYn1IFDPWt_1FKiwhDph83XaGc0o0/edit?usp=sharing"",""งบพรบ!CT110"")"),0)</f>
        <v>0</v>
      </c>
      <c r="I110" s="82">
        <f ca="1">IFERROR(__xludf.DUMMYFUNCTION("IMPORTRANGE(""https://docs.google.com/spreadsheets/d/1MeEWN-I1oV_STSDYn1IFDPWt_1FKiwhDph83XaGc0o0/edit?usp=sharing"",""งบพรบ!CU110"")"),0)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IFERROR(__xludf.DUMMYFUNCTION("IMPORTRANGE(""https://docs.google.com/spreadsheets/d/1MeEWN-I1oV_STSDYn1IFDPWt_1FKiwhDph83XaGc0o0/edit?usp=sharing"",""งบพรบ!CV110"")"),0)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IFERROR(__xludf.DUMMYFUNCTION("IMPORTRANGE(""https://docs.google.com/spreadsheets/d/1MeEWN-I1oV_STSDYn1IFDPWt_1FKiwhDph83XaGc0o0/edit?usp=sharing"",""งบพรบ!CW110"")"),0)</f>
        <v>0</v>
      </c>
      <c r="P110" s="85">
        <f t="shared" ca="1" si="108"/>
        <v>0</v>
      </c>
      <c r="Q110" s="84">
        <f t="shared" ca="1" si="8"/>
        <v>0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300"/>
      <c r="AQ110" s="300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</row>
    <row r="111" spans="1:93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219"/>
        <v>0</v>
      </c>
      <c r="E111" s="82">
        <f ca="1">IFERROR(__xludf.DUMMYFUNCTION("IMPORTRANGE(""https://docs.google.com/spreadsheets/d/1MeEWN-I1oV_STSDYn1IFDPWt_1FKiwhDph83XaGc0o0/edit?usp=sharing"",""งบพรบ!CP111"")"),0)</f>
        <v>0</v>
      </c>
      <c r="F111" s="82">
        <f ca="1">IFERROR(__xludf.DUMMYFUNCTION("IMPORTRANGE(""https://docs.google.com/spreadsheets/d/1MeEWN-I1oV_STSDYn1IFDPWt_1FKiwhDph83XaGc0o0/edit?usp=sharing"",""งบพรบ!CQ111"")"),0)</f>
        <v>0</v>
      </c>
      <c r="G111" s="82">
        <f ca="1">IFERROR(__xludf.DUMMYFUNCTION("IMPORTRANGE(""https://docs.google.com/spreadsheets/d/1MeEWN-I1oV_STSDYn1IFDPWt_1FKiwhDph83XaGc0o0/edit?usp=sharing"",""งบพรบ!CR111"")"),0)</f>
        <v>0</v>
      </c>
      <c r="H111" s="82">
        <f ca="1">IFERROR(__xludf.DUMMYFUNCTION("IMPORTRANGE(""https://docs.google.com/spreadsheets/d/1MeEWN-I1oV_STSDYn1IFDPWt_1FKiwhDph83XaGc0o0/edit?usp=sharing"",""งบพรบ!CT111"")"),0)</f>
        <v>0</v>
      </c>
      <c r="I111" s="82">
        <f ca="1">IFERROR(__xludf.DUMMYFUNCTION("IMPORTRANGE(""https://docs.google.com/spreadsheets/d/1MeEWN-I1oV_STSDYn1IFDPWt_1FKiwhDph83XaGc0o0/edit?usp=sharing"",""งบพรบ!CU111"")"),0)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IFERROR(__xludf.DUMMYFUNCTION("IMPORTRANGE(""https://docs.google.com/spreadsheets/d/1MeEWN-I1oV_STSDYn1IFDPWt_1FKiwhDph83XaGc0o0/edit?usp=sharing"",""งบพรบ!CV111"")"),0)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IFERROR(__xludf.DUMMYFUNCTION("IMPORTRANGE(""https://docs.google.com/spreadsheets/d/1MeEWN-I1oV_STSDYn1IFDPWt_1FKiwhDph83XaGc0o0/edit?usp=sharing"",""งบพรบ!CW111"")"),0)</f>
        <v>0</v>
      </c>
      <c r="P111" s="85">
        <f t="shared" ca="1" si="108"/>
        <v>0</v>
      </c>
      <c r="Q111" s="84">
        <f t="shared" ca="1" si="8"/>
        <v>0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300"/>
      <c r="AQ111" s="300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</row>
    <row r="112" spans="1:93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219"/>
        <v>0</v>
      </c>
      <c r="E112" s="82">
        <f ca="1">IFERROR(__xludf.DUMMYFUNCTION("IMPORTRANGE(""https://docs.google.com/spreadsheets/d/1MeEWN-I1oV_STSDYn1IFDPWt_1FKiwhDph83XaGc0o0/edit?usp=sharing"",""งบพรบ!CP112"")"),0)</f>
        <v>0</v>
      </c>
      <c r="F112" s="82">
        <f ca="1">IFERROR(__xludf.DUMMYFUNCTION("IMPORTRANGE(""https://docs.google.com/spreadsheets/d/1MeEWN-I1oV_STSDYn1IFDPWt_1FKiwhDph83XaGc0o0/edit?usp=sharing"",""งบพรบ!CQ112"")"),0)</f>
        <v>0</v>
      </c>
      <c r="G112" s="82">
        <f ca="1">IFERROR(__xludf.DUMMYFUNCTION("IMPORTRANGE(""https://docs.google.com/spreadsheets/d/1MeEWN-I1oV_STSDYn1IFDPWt_1FKiwhDph83XaGc0o0/edit?usp=sharing"",""งบพรบ!CR112"")"),0)</f>
        <v>0</v>
      </c>
      <c r="H112" s="82">
        <f ca="1">IFERROR(__xludf.DUMMYFUNCTION("IMPORTRANGE(""https://docs.google.com/spreadsheets/d/1MeEWN-I1oV_STSDYn1IFDPWt_1FKiwhDph83XaGc0o0/edit?usp=sharing"",""งบพรบ!CT112"")"),0)</f>
        <v>0</v>
      </c>
      <c r="I112" s="82">
        <f ca="1">IFERROR(__xludf.DUMMYFUNCTION("IMPORTRANGE(""https://docs.google.com/spreadsheets/d/1MeEWN-I1oV_STSDYn1IFDPWt_1FKiwhDph83XaGc0o0/edit?usp=sharing"",""งบพรบ!CU112"")"),0)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IFERROR(__xludf.DUMMYFUNCTION("IMPORTRANGE(""https://docs.google.com/spreadsheets/d/1MeEWN-I1oV_STSDYn1IFDPWt_1FKiwhDph83XaGc0o0/edit?usp=sharing"",""งบพรบ!CV112"")"),0)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IFERROR(__xludf.DUMMYFUNCTION("IMPORTRANGE(""https://docs.google.com/spreadsheets/d/1MeEWN-I1oV_STSDYn1IFDPWt_1FKiwhDph83XaGc0o0/edit?usp=sharing"",""งบพรบ!CW112"")"),0)</f>
        <v>0</v>
      </c>
      <c r="P112" s="85">
        <f t="shared" ca="1" si="108"/>
        <v>0</v>
      </c>
      <c r="Q112" s="84">
        <f t="shared" ca="1" si="8"/>
        <v>0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300"/>
      <c r="AQ112" s="300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</row>
    <row r="113" spans="1:93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219"/>
        <v>0</v>
      </c>
      <c r="E113" s="82">
        <f ca="1">IFERROR(__xludf.DUMMYFUNCTION("IMPORTRANGE(""https://docs.google.com/spreadsheets/d/1MeEWN-I1oV_STSDYn1IFDPWt_1FKiwhDph83XaGc0o0/edit?usp=sharing"",""งบพรบ!CP113"")"),0)</f>
        <v>0</v>
      </c>
      <c r="F113" s="82">
        <f ca="1">IFERROR(__xludf.DUMMYFUNCTION("IMPORTRANGE(""https://docs.google.com/spreadsheets/d/1MeEWN-I1oV_STSDYn1IFDPWt_1FKiwhDph83XaGc0o0/edit?usp=sharing"",""งบพรบ!CQ113"")"),0)</f>
        <v>0</v>
      </c>
      <c r="G113" s="82">
        <f ca="1">IFERROR(__xludf.DUMMYFUNCTION("IMPORTRANGE(""https://docs.google.com/spreadsheets/d/1MeEWN-I1oV_STSDYn1IFDPWt_1FKiwhDph83XaGc0o0/edit?usp=sharing"",""งบพรบ!CR113"")"),0)</f>
        <v>0</v>
      </c>
      <c r="H113" s="82">
        <f ca="1">IFERROR(__xludf.DUMMYFUNCTION("IMPORTRANGE(""https://docs.google.com/spreadsheets/d/1MeEWN-I1oV_STSDYn1IFDPWt_1FKiwhDph83XaGc0o0/edit?usp=sharing"",""งบพรบ!CT113"")"),0)</f>
        <v>0</v>
      </c>
      <c r="I113" s="82">
        <f ca="1">IFERROR(__xludf.DUMMYFUNCTION("IMPORTRANGE(""https://docs.google.com/spreadsheets/d/1MeEWN-I1oV_STSDYn1IFDPWt_1FKiwhDph83XaGc0o0/edit?usp=sharing"",""งบพรบ!CU113"")"),0)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IFERROR(__xludf.DUMMYFUNCTION("IMPORTRANGE(""https://docs.google.com/spreadsheets/d/1MeEWN-I1oV_STSDYn1IFDPWt_1FKiwhDph83XaGc0o0/edit?usp=sharing"",""งบพรบ!CV113"")"),0)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IFERROR(__xludf.DUMMYFUNCTION("IMPORTRANGE(""https://docs.google.com/spreadsheets/d/1MeEWN-I1oV_STSDYn1IFDPWt_1FKiwhDph83XaGc0o0/edit?usp=sharing"",""งบพรบ!CW113"")"),0)</f>
        <v>0</v>
      </c>
      <c r="P113" s="85">
        <f t="shared" ca="1" si="108"/>
        <v>0</v>
      </c>
      <c r="Q113" s="84">
        <f t="shared" ca="1" si="8"/>
        <v>0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300"/>
      <c r="AQ113" s="300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</row>
    <row r="114" spans="1:93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219"/>
        <v>0</v>
      </c>
      <c r="E114" s="82">
        <f ca="1">IFERROR(__xludf.DUMMYFUNCTION("IMPORTRANGE(""https://docs.google.com/spreadsheets/d/1MeEWN-I1oV_STSDYn1IFDPWt_1FKiwhDph83XaGc0o0/edit?usp=sharing"",""งบพรบ!CP114"")"),0)</f>
        <v>0</v>
      </c>
      <c r="F114" s="82">
        <f ca="1">IFERROR(__xludf.DUMMYFUNCTION("IMPORTRANGE(""https://docs.google.com/spreadsheets/d/1MeEWN-I1oV_STSDYn1IFDPWt_1FKiwhDph83XaGc0o0/edit?usp=sharing"",""งบพรบ!CQ114"")"),0)</f>
        <v>0</v>
      </c>
      <c r="G114" s="82">
        <f ca="1">IFERROR(__xludf.DUMMYFUNCTION("IMPORTRANGE(""https://docs.google.com/spreadsheets/d/1MeEWN-I1oV_STSDYn1IFDPWt_1FKiwhDph83XaGc0o0/edit?usp=sharing"",""งบพรบ!CR114"")"),0)</f>
        <v>0</v>
      </c>
      <c r="H114" s="82">
        <f ca="1">IFERROR(__xludf.DUMMYFUNCTION("IMPORTRANGE(""https://docs.google.com/spreadsheets/d/1MeEWN-I1oV_STSDYn1IFDPWt_1FKiwhDph83XaGc0o0/edit?usp=sharing"",""งบพรบ!CT114"")"),0)</f>
        <v>0</v>
      </c>
      <c r="I114" s="82">
        <f ca="1">IFERROR(__xludf.DUMMYFUNCTION("IMPORTRANGE(""https://docs.google.com/spreadsheets/d/1MeEWN-I1oV_STSDYn1IFDPWt_1FKiwhDph83XaGc0o0/edit?usp=sharing"",""งบพรบ!CU114"")"),0)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IFERROR(__xludf.DUMMYFUNCTION("IMPORTRANGE(""https://docs.google.com/spreadsheets/d/1MeEWN-I1oV_STSDYn1IFDPWt_1FKiwhDph83XaGc0o0/edit?usp=sharing"",""งบพรบ!CV114"")"),0)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IFERROR(__xludf.DUMMYFUNCTION("IMPORTRANGE(""https://docs.google.com/spreadsheets/d/1MeEWN-I1oV_STSDYn1IFDPWt_1FKiwhDph83XaGc0o0/edit?usp=sharing"",""งบพรบ!CW114"")"),0)</f>
        <v>0</v>
      </c>
      <c r="P114" s="85">
        <f t="shared" ca="1" si="108"/>
        <v>0</v>
      </c>
      <c r="Q114" s="84">
        <f t="shared" ca="1" si="8"/>
        <v>0</v>
      </c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300"/>
      <c r="AQ114" s="300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</row>
    <row r="115" spans="1:93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219"/>
        <v>0</v>
      </c>
      <c r="E115" s="82">
        <f ca="1">IFERROR(__xludf.DUMMYFUNCTION("IMPORTRANGE(""https://docs.google.com/spreadsheets/d/1MeEWN-I1oV_STSDYn1IFDPWt_1FKiwhDph83XaGc0o0/edit?usp=sharing"",""งบพรบ!CP115"")"),0)</f>
        <v>0</v>
      </c>
      <c r="F115" s="82">
        <f ca="1">IFERROR(__xludf.DUMMYFUNCTION("IMPORTRANGE(""https://docs.google.com/spreadsheets/d/1MeEWN-I1oV_STSDYn1IFDPWt_1FKiwhDph83XaGc0o0/edit?usp=sharing"",""งบพรบ!CQ115"")"),0)</f>
        <v>0</v>
      </c>
      <c r="G115" s="82">
        <f ca="1">IFERROR(__xludf.DUMMYFUNCTION("IMPORTRANGE(""https://docs.google.com/spreadsheets/d/1MeEWN-I1oV_STSDYn1IFDPWt_1FKiwhDph83XaGc0o0/edit?usp=sharing"",""งบพรบ!CR115"")"),0)</f>
        <v>0</v>
      </c>
      <c r="H115" s="82">
        <f ca="1">IFERROR(__xludf.DUMMYFUNCTION("IMPORTRANGE(""https://docs.google.com/spreadsheets/d/1MeEWN-I1oV_STSDYn1IFDPWt_1FKiwhDph83XaGc0o0/edit?usp=sharing"",""งบพรบ!CT115"")"),0)</f>
        <v>0</v>
      </c>
      <c r="I115" s="82">
        <f ca="1">IFERROR(__xludf.DUMMYFUNCTION("IMPORTRANGE(""https://docs.google.com/spreadsheets/d/1MeEWN-I1oV_STSDYn1IFDPWt_1FKiwhDph83XaGc0o0/edit?usp=sharing"",""งบพรบ!CU115"")"),0)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IFERROR(__xludf.DUMMYFUNCTION("IMPORTRANGE(""https://docs.google.com/spreadsheets/d/1MeEWN-I1oV_STSDYn1IFDPWt_1FKiwhDph83XaGc0o0/edit?usp=sharing"",""งบพรบ!CV115"")"),0)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IFERROR(__xludf.DUMMYFUNCTION("IMPORTRANGE(""https://docs.google.com/spreadsheets/d/1MeEWN-I1oV_STSDYn1IFDPWt_1FKiwhDph83XaGc0o0/edit?usp=sharing"",""งบพรบ!CW115"")"),0)</f>
        <v>0</v>
      </c>
      <c r="P115" s="85">
        <f t="shared" ca="1" si="108"/>
        <v>0</v>
      </c>
      <c r="Q115" s="84">
        <f t="shared" ca="1" si="8"/>
        <v>0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300"/>
      <c r="AQ115" s="300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</row>
    <row r="116" spans="1:93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219"/>
        <v>0</v>
      </c>
      <c r="E116" s="82">
        <f ca="1">IFERROR(__xludf.DUMMYFUNCTION("IMPORTRANGE(""https://docs.google.com/spreadsheets/d/1MeEWN-I1oV_STSDYn1IFDPWt_1FKiwhDph83XaGc0o0/edit?usp=sharing"",""งบพรบ!CP116"")"),0)</f>
        <v>0</v>
      </c>
      <c r="F116" s="82">
        <f ca="1">IFERROR(__xludf.DUMMYFUNCTION("IMPORTRANGE(""https://docs.google.com/spreadsheets/d/1MeEWN-I1oV_STSDYn1IFDPWt_1FKiwhDph83XaGc0o0/edit?usp=sharing"",""งบพรบ!CQ116"")"),0)</f>
        <v>0</v>
      </c>
      <c r="G116" s="82">
        <f ca="1">IFERROR(__xludf.DUMMYFUNCTION("IMPORTRANGE(""https://docs.google.com/spreadsheets/d/1MeEWN-I1oV_STSDYn1IFDPWt_1FKiwhDph83XaGc0o0/edit?usp=sharing"",""งบพรบ!CR116"")"),0)</f>
        <v>0</v>
      </c>
      <c r="H116" s="82">
        <f ca="1">IFERROR(__xludf.DUMMYFUNCTION("IMPORTRANGE(""https://docs.google.com/spreadsheets/d/1MeEWN-I1oV_STSDYn1IFDPWt_1FKiwhDph83XaGc0o0/edit?usp=sharing"",""งบพรบ!CT116"")"),0)</f>
        <v>0</v>
      </c>
      <c r="I116" s="82">
        <f ca="1">IFERROR(__xludf.DUMMYFUNCTION("IMPORTRANGE(""https://docs.google.com/spreadsheets/d/1MeEWN-I1oV_STSDYn1IFDPWt_1FKiwhDph83XaGc0o0/edit?usp=sharing"",""งบพรบ!CU116"")"),0)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IFERROR(__xludf.DUMMYFUNCTION("IMPORTRANGE(""https://docs.google.com/spreadsheets/d/1MeEWN-I1oV_STSDYn1IFDPWt_1FKiwhDph83XaGc0o0/edit?usp=sharing"",""งบพรบ!CV116"")"),0)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IFERROR(__xludf.DUMMYFUNCTION("IMPORTRANGE(""https://docs.google.com/spreadsheets/d/1MeEWN-I1oV_STSDYn1IFDPWt_1FKiwhDph83XaGc0o0/edit?usp=sharing"",""งบพรบ!CW116"")"),0)</f>
        <v>0</v>
      </c>
      <c r="P116" s="85">
        <f t="shared" ca="1" si="108"/>
        <v>0</v>
      </c>
      <c r="Q116" s="84">
        <f t="shared" ca="1" si="8"/>
        <v>0</v>
      </c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300"/>
      <c r="AQ116" s="300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</row>
    <row r="117" spans="1:9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  <c r="U117" s="2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</row>
    <row r="118" spans="1:9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  <c r="U118" s="2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</row>
    <row r="119" spans="1:9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  <c r="U119" s="2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</row>
    <row r="120" spans="1:9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  <c r="U120" s="2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</row>
    <row r="121" spans="1:9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  <c r="U121" s="2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</row>
    <row r="122" spans="1:9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  <c r="U122" s="2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</row>
    <row r="123" spans="1:9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  <c r="U123" s="2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</row>
    <row r="124" spans="1:9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  <c r="U124" s="2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</row>
    <row r="125" spans="1:9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  <c r="U125" s="2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</row>
    <row r="126" spans="1:9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  <c r="U126" s="2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</row>
    <row r="127" spans="1:9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  <c r="U127" s="2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</row>
    <row r="128" spans="1:9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  <c r="U128" s="2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</row>
    <row r="129" spans="1:9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  <c r="U129" s="2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</row>
    <row r="130" spans="1:9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  <c r="U130" s="2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</row>
    <row r="131" spans="1:9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  <c r="U131" s="2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</row>
    <row r="132" spans="1:9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  <c r="U132" s="2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</row>
    <row r="133" spans="1:9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  <c r="U133" s="2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</row>
    <row r="134" spans="1:9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  <c r="U134" s="2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</row>
    <row r="135" spans="1:9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  <c r="U135" s="2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</row>
    <row r="136" spans="1:9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  <c r="U136" s="2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</row>
    <row r="137" spans="1:9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  <c r="U137" s="2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</row>
    <row r="138" spans="1:9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  <c r="U138" s="2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</row>
    <row r="139" spans="1:9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  <c r="U139" s="2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</row>
    <row r="140" spans="1:9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  <c r="U140" s="2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  <c r="U141" s="2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</row>
    <row r="142" spans="1:9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  <c r="U142" s="2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</row>
    <row r="143" spans="1:9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  <c r="U143" s="2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</row>
    <row r="144" spans="1:9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  <c r="U144" s="2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  <c r="U145" s="2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</row>
    <row r="146" spans="1:9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  <c r="U146" s="2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</row>
    <row r="147" spans="1:9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  <c r="U147" s="2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</row>
    <row r="148" spans="1:9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  <c r="U148" s="2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</row>
    <row r="149" spans="1:9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  <c r="U149" s="2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</row>
    <row r="150" spans="1:9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  <c r="U150" s="2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</row>
    <row r="151" spans="1:9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  <c r="U151" s="2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</row>
    <row r="152" spans="1:9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  <c r="U152" s="2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</row>
    <row r="153" spans="1:9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  <c r="U153" s="2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  <c r="U154" s="2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</row>
    <row r="155" spans="1:9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  <c r="U155" s="2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</row>
    <row r="156" spans="1:9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  <c r="U156" s="2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</row>
    <row r="157" spans="1:9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  <c r="U157" s="2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</row>
    <row r="158" spans="1:9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  <c r="U158" s="2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</row>
    <row r="159" spans="1:9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  <c r="U159" s="2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</row>
    <row r="160" spans="1:9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  <c r="U160" s="2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</row>
    <row r="161" spans="1:9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  <c r="U161" s="2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</row>
    <row r="162" spans="1:9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  <c r="U162" s="2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</row>
    <row r="163" spans="1:9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  <c r="U163" s="2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</row>
    <row r="164" spans="1:9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  <c r="U164" s="2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</row>
    <row r="165" spans="1:9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  <c r="U165" s="2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</row>
    <row r="166" spans="1:9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  <c r="U166" s="2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</row>
    <row r="167" spans="1:9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  <c r="U167" s="2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</row>
    <row r="168" spans="1:9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  <c r="U168" s="2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</row>
    <row r="169" spans="1:9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  <c r="U169" s="2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</row>
    <row r="170" spans="1:9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  <c r="U170" s="2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</row>
    <row r="171" spans="1:9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  <c r="U171" s="2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</row>
    <row r="172" spans="1:9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  <c r="U172" s="2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</row>
    <row r="173" spans="1:9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  <c r="U173" s="2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</row>
    <row r="174" spans="1:9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  <c r="U174" s="2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</row>
    <row r="175" spans="1:9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  <c r="U175" s="2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</row>
    <row r="176" spans="1:9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  <c r="U176" s="2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</row>
    <row r="177" spans="1:9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  <c r="U177" s="2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</row>
    <row r="178" spans="1:9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  <c r="U178" s="2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</row>
    <row r="179" spans="1:9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  <c r="U179" s="2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</row>
    <row r="180" spans="1:9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  <c r="U180" s="2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</row>
    <row r="181" spans="1:9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  <c r="U181" s="2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</row>
    <row r="182" spans="1:9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  <c r="U182" s="2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</row>
    <row r="183" spans="1:9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  <c r="U183" s="2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</row>
    <row r="184" spans="1:9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  <c r="U184" s="2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</row>
    <row r="185" spans="1:9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  <c r="U185" s="2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</row>
    <row r="186" spans="1:9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  <c r="U186" s="2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</row>
    <row r="187" spans="1:9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  <c r="U187" s="2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</row>
    <row r="188" spans="1:9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  <c r="U188" s="2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</row>
    <row r="189" spans="1:9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  <c r="U189" s="2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</row>
    <row r="190" spans="1:9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  <c r="U190" s="2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</row>
    <row r="191" spans="1:9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  <c r="U191" s="2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</row>
    <row r="192" spans="1:9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  <c r="U192" s="2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</row>
    <row r="193" spans="1:9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  <c r="U193" s="2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</row>
    <row r="194" spans="1:9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  <c r="U194" s="2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</row>
    <row r="195" spans="1:9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  <c r="U195" s="2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</row>
    <row r="196" spans="1:9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  <c r="U196" s="2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</row>
    <row r="197" spans="1:9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  <c r="U197" s="2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</row>
    <row r="198" spans="1:9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  <c r="U198" s="2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</row>
    <row r="199" spans="1:9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  <c r="U199" s="2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</row>
    <row r="200" spans="1:9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  <c r="U200" s="2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</row>
    <row r="201" spans="1:9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  <c r="U201" s="2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</row>
    <row r="202" spans="1:9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  <c r="U202" s="2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</row>
    <row r="203" spans="1:9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  <c r="U203" s="2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</row>
    <row r="204" spans="1:9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  <c r="U204" s="2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</row>
    <row r="205" spans="1:9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  <c r="U205" s="2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</row>
    <row r="206" spans="1:9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  <c r="U206" s="2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</row>
    <row r="207" spans="1:9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  <c r="U207" s="2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</row>
    <row r="208" spans="1:9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  <c r="U208" s="2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</row>
    <row r="209" spans="1:9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  <c r="U209" s="2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</row>
    <row r="210" spans="1:9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  <c r="U210" s="2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</row>
    <row r="211" spans="1:9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  <c r="U211" s="2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</row>
    <row r="212" spans="1:9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  <c r="U212" s="2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</row>
    <row r="213" spans="1:9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  <c r="U213" s="2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</row>
    <row r="214" spans="1:9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  <c r="U214" s="2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</row>
    <row r="215" spans="1:9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  <c r="U215" s="2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</row>
    <row r="216" spans="1:9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  <c r="U216" s="2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</row>
    <row r="217" spans="1:9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  <c r="U217" s="2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</row>
    <row r="218" spans="1:9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  <c r="U218" s="2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</row>
    <row r="219" spans="1:9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  <c r="U219" s="2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</row>
    <row r="220" spans="1:9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  <c r="U220" s="2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</row>
    <row r="221" spans="1:9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  <c r="U221" s="2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</row>
    <row r="222" spans="1:9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  <c r="U222" s="2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</row>
    <row r="223" spans="1:9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  <c r="U223" s="2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</row>
    <row r="224" spans="1:9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  <c r="U224" s="2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</row>
    <row r="225" spans="1:9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  <c r="U225" s="2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</row>
    <row r="226" spans="1:9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  <c r="U226" s="2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</row>
    <row r="227" spans="1:9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  <c r="U227" s="2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</row>
    <row r="228" spans="1:9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  <c r="U228" s="2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</row>
    <row r="229" spans="1:9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  <c r="U229" s="2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</row>
    <row r="230" spans="1:9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  <c r="U230" s="2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</row>
    <row r="231" spans="1:9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  <c r="U231" s="2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</row>
    <row r="232" spans="1:9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  <c r="U232" s="2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</row>
    <row r="233" spans="1:9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  <c r="U233" s="2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</row>
    <row r="234" spans="1:9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  <c r="U234" s="2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</row>
    <row r="235" spans="1:9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  <c r="U235" s="2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</row>
    <row r="236" spans="1:9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  <c r="U236" s="2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</row>
    <row r="237" spans="1:9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  <c r="U237" s="2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</row>
    <row r="238" spans="1:9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  <c r="U238" s="2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</row>
    <row r="239" spans="1:9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  <c r="U239" s="2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</row>
    <row r="240" spans="1:9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  <c r="U240" s="2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</row>
    <row r="241" spans="1:9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  <c r="U241" s="2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</row>
    <row r="242" spans="1:9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  <c r="U242" s="2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</row>
    <row r="243" spans="1:9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  <c r="U243" s="2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</row>
    <row r="244" spans="1:9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  <c r="U244" s="2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</row>
    <row r="245" spans="1:9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  <c r="U245" s="2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</row>
    <row r="246" spans="1:9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  <c r="U246" s="2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</row>
    <row r="247" spans="1:9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  <c r="U247" s="2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</row>
    <row r="248" spans="1:9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  <c r="U248" s="2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</row>
    <row r="249" spans="1:9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  <c r="U249" s="2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</row>
    <row r="250" spans="1:9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  <c r="U250" s="2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</row>
    <row r="251" spans="1:9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  <c r="U251" s="2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</row>
    <row r="252" spans="1:9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  <c r="U252" s="2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</row>
    <row r="253" spans="1:9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  <c r="U253" s="2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</row>
    <row r="254" spans="1:9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  <c r="U254" s="2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</row>
    <row r="255" spans="1:9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  <c r="U255" s="2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</row>
    <row r="256" spans="1:9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  <c r="U256" s="2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</row>
    <row r="257" spans="1:9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  <c r="U257" s="2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</row>
    <row r="258" spans="1:9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  <c r="U258" s="2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</row>
    <row r="259" spans="1:9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  <c r="U259" s="2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</row>
    <row r="260" spans="1:9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  <c r="U260" s="2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</row>
    <row r="261" spans="1:9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  <c r="U261" s="2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</row>
    <row r="262" spans="1:9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  <c r="U262" s="2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</row>
    <row r="263" spans="1:9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  <c r="U263" s="2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</row>
    <row r="264" spans="1:9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  <c r="U264" s="2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</row>
    <row r="265" spans="1:9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  <c r="U265" s="2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</row>
    <row r="266" spans="1:9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  <c r="U266" s="2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</row>
    <row r="267" spans="1:9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  <c r="U267" s="2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</row>
    <row r="268" spans="1:9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  <c r="U268" s="2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</row>
    <row r="269" spans="1:9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  <c r="U269" s="2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</row>
    <row r="270" spans="1:9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  <c r="U270" s="2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</row>
    <row r="271" spans="1:9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  <c r="U271" s="2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</row>
    <row r="272" spans="1:9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  <c r="U272" s="2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</row>
    <row r="273" spans="1:9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  <c r="U273" s="2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</row>
    <row r="274" spans="1:9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  <c r="U274" s="2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</row>
    <row r="275" spans="1:9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  <c r="U275" s="2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</row>
    <row r="276" spans="1:9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  <c r="U276" s="2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</row>
    <row r="277" spans="1:9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  <c r="U277" s="2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</row>
    <row r="278" spans="1:9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  <c r="U278" s="2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</row>
    <row r="279" spans="1:9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  <c r="U279" s="2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</row>
    <row r="280" spans="1:9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  <c r="U280" s="2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</row>
    <row r="281" spans="1:9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  <c r="U281" s="2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</row>
    <row r="282" spans="1:9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  <c r="U282" s="2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</row>
    <row r="283" spans="1:9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  <c r="U283" s="2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</row>
    <row r="284" spans="1:9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  <c r="U284" s="2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</row>
    <row r="285" spans="1:9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  <c r="U285" s="2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</row>
    <row r="286" spans="1:9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  <c r="U286" s="2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</row>
    <row r="287" spans="1:9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  <c r="U287" s="2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</row>
    <row r="288" spans="1:9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  <c r="U288" s="2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</row>
    <row r="289" spans="1:9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  <c r="U289" s="2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</row>
    <row r="290" spans="1:9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  <c r="U290" s="2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</row>
    <row r="291" spans="1:9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  <c r="U291" s="2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</row>
    <row r="292" spans="1:9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  <c r="U292" s="2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</row>
    <row r="293" spans="1:9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  <c r="U293" s="2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</row>
    <row r="294" spans="1:9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  <c r="U294" s="2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</row>
    <row r="295" spans="1:9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  <c r="U295" s="2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</row>
    <row r="296" spans="1:9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  <c r="U296" s="2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</row>
    <row r="297" spans="1:9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  <c r="U297" s="2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</row>
    <row r="298" spans="1:9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  <c r="U298" s="2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</row>
    <row r="299" spans="1:9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  <c r="U299" s="2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</row>
    <row r="300" spans="1:9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  <c r="U300" s="2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</row>
    <row r="301" spans="1:9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  <c r="U301" s="2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</row>
    <row r="302" spans="1:9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  <c r="U302" s="2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</row>
    <row r="303" spans="1:9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  <c r="U303" s="2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</row>
    <row r="304" spans="1:9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  <c r="U304" s="2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</row>
    <row r="305" spans="1:9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  <c r="U305" s="2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</row>
    <row r="306" spans="1:9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  <c r="U306" s="2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</row>
    <row r="307" spans="1:9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  <c r="U307" s="2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</row>
    <row r="308" spans="1:9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  <c r="U308" s="2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</row>
    <row r="309" spans="1:9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  <c r="U309" s="2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</row>
    <row r="310" spans="1:9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  <c r="U310" s="2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</row>
    <row r="311" spans="1:9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  <c r="U311" s="2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</row>
    <row r="312" spans="1:9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  <c r="U312" s="2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</row>
    <row r="313" spans="1:9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  <c r="U313" s="2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</row>
    <row r="314" spans="1:93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1"/>
      <c r="U314" s="120"/>
      <c r="V314" s="120"/>
      <c r="W314" s="121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120"/>
      <c r="BE314" s="120"/>
      <c r="BF314" s="120"/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  <c r="BS314" s="120"/>
      <c r="BT314" s="120"/>
      <c r="BU314" s="120"/>
      <c r="BV314" s="120"/>
      <c r="BW314" s="120"/>
      <c r="BX314" s="120"/>
      <c r="BY314" s="120"/>
      <c r="BZ314" s="120"/>
      <c r="CA314" s="120"/>
      <c r="CB314" s="120"/>
      <c r="CC314" s="120"/>
      <c r="CD314" s="120"/>
      <c r="CE314" s="120"/>
      <c r="CF314" s="120"/>
      <c r="CG314" s="120"/>
      <c r="CH314" s="120"/>
      <c r="CI314" s="120"/>
      <c r="CJ314" s="120"/>
      <c r="CK314" s="120"/>
      <c r="CL314" s="120"/>
      <c r="CM314" s="120"/>
      <c r="CN314" s="120"/>
      <c r="CO314" s="120"/>
    </row>
    <row r="315" spans="1:93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1"/>
      <c r="U315" s="120"/>
      <c r="V315" s="120"/>
      <c r="W315" s="121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/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  <c r="BS315" s="120"/>
      <c r="BT315" s="120"/>
      <c r="BU315" s="120"/>
      <c r="BV315" s="120"/>
      <c r="BW315" s="120"/>
      <c r="BX315" s="120"/>
      <c r="BY315" s="120"/>
      <c r="BZ315" s="120"/>
      <c r="CA315" s="120"/>
      <c r="CB315" s="120"/>
      <c r="CC315" s="120"/>
      <c r="CD315" s="120"/>
      <c r="CE315" s="120"/>
      <c r="CF315" s="120"/>
      <c r="CG315" s="120"/>
      <c r="CH315" s="120"/>
      <c r="CI315" s="120"/>
      <c r="CJ315" s="120"/>
      <c r="CK315" s="120"/>
      <c r="CL315" s="120"/>
      <c r="CM315" s="120"/>
      <c r="CN315" s="120"/>
      <c r="CO315" s="120"/>
    </row>
    <row r="316" spans="1:93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1"/>
      <c r="U316" s="120"/>
      <c r="V316" s="120"/>
      <c r="W316" s="121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120"/>
      <c r="BE316" s="120"/>
      <c r="BF316" s="120"/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  <c r="BR316" s="120"/>
      <c r="BS316" s="120"/>
      <c r="BT316" s="120"/>
      <c r="BU316" s="120"/>
      <c r="BV316" s="120"/>
      <c r="BW316" s="120"/>
      <c r="BX316" s="120"/>
      <c r="BY316" s="120"/>
      <c r="BZ316" s="120"/>
      <c r="CA316" s="120"/>
      <c r="CB316" s="120"/>
      <c r="CC316" s="120"/>
      <c r="CD316" s="120"/>
      <c r="CE316" s="120"/>
      <c r="CF316" s="120"/>
      <c r="CG316" s="120"/>
      <c r="CH316" s="120"/>
      <c r="CI316" s="120"/>
      <c r="CJ316" s="120"/>
      <c r="CK316" s="120"/>
      <c r="CL316" s="120"/>
      <c r="CM316" s="120"/>
      <c r="CN316" s="120"/>
      <c r="CO316" s="120"/>
    </row>
    <row r="317" spans="1:93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1"/>
      <c r="U317" s="120"/>
      <c r="V317" s="120"/>
      <c r="W317" s="121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  <c r="BS317" s="120"/>
      <c r="BT317" s="120"/>
      <c r="BU317" s="120"/>
      <c r="BV317" s="120"/>
      <c r="BW317" s="120"/>
      <c r="BX317" s="120"/>
      <c r="BY317" s="120"/>
      <c r="BZ317" s="120"/>
      <c r="CA317" s="120"/>
      <c r="CB317" s="120"/>
      <c r="CC317" s="120"/>
      <c r="CD317" s="120"/>
      <c r="CE317" s="120"/>
      <c r="CF317" s="120"/>
      <c r="CG317" s="120"/>
      <c r="CH317" s="120"/>
      <c r="CI317" s="120"/>
      <c r="CJ317" s="120"/>
      <c r="CK317" s="120"/>
      <c r="CL317" s="120"/>
      <c r="CM317" s="120"/>
      <c r="CN317" s="120"/>
      <c r="CO317" s="120"/>
    </row>
    <row r="318" spans="1:93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1"/>
      <c r="U318" s="120"/>
      <c r="V318" s="120"/>
      <c r="W318" s="121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20"/>
      <c r="AW318" s="120"/>
      <c r="AX318" s="120"/>
      <c r="AY318" s="120"/>
      <c r="AZ318" s="120"/>
      <c r="BA318" s="120"/>
      <c r="BB318" s="120"/>
      <c r="BC318" s="120"/>
      <c r="BD318" s="120"/>
      <c r="BE318" s="120"/>
      <c r="BF318" s="120"/>
      <c r="BG318" s="120"/>
      <c r="BH318" s="120"/>
      <c r="BI318" s="120"/>
      <c r="BJ318" s="120"/>
      <c r="BK318" s="120"/>
      <c r="BL318" s="120"/>
      <c r="BM318" s="120"/>
      <c r="BN318" s="120"/>
      <c r="BO318" s="120"/>
      <c r="BP318" s="120"/>
      <c r="BQ318" s="120"/>
      <c r="BR318" s="120"/>
      <c r="BS318" s="120"/>
      <c r="BT318" s="120"/>
      <c r="BU318" s="120"/>
      <c r="BV318" s="120"/>
      <c r="BW318" s="120"/>
      <c r="BX318" s="120"/>
      <c r="BY318" s="120"/>
      <c r="BZ318" s="120"/>
      <c r="CA318" s="120"/>
      <c r="CB318" s="120"/>
      <c r="CC318" s="120"/>
      <c r="CD318" s="120"/>
      <c r="CE318" s="120"/>
      <c r="CF318" s="120"/>
      <c r="CG318" s="120"/>
      <c r="CH318" s="120"/>
      <c r="CI318" s="120"/>
      <c r="CJ318" s="120"/>
      <c r="CK318" s="120"/>
      <c r="CL318" s="120"/>
      <c r="CM318" s="120"/>
      <c r="CN318" s="120"/>
      <c r="CO318" s="120"/>
    </row>
    <row r="319" spans="1:93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1"/>
      <c r="U319" s="120"/>
      <c r="V319" s="120"/>
      <c r="W319" s="121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  <c r="BS319" s="120"/>
      <c r="BT319" s="120"/>
      <c r="BU319" s="120"/>
      <c r="BV319" s="120"/>
      <c r="BW319" s="120"/>
      <c r="BX319" s="120"/>
      <c r="BY319" s="120"/>
      <c r="BZ319" s="120"/>
      <c r="CA319" s="120"/>
      <c r="CB319" s="120"/>
      <c r="CC319" s="120"/>
      <c r="CD319" s="120"/>
      <c r="CE319" s="120"/>
      <c r="CF319" s="120"/>
      <c r="CG319" s="120"/>
      <c r="CH319" s="120"/>
      <c r="CI319" s="120"/>
      <c r="CJ319" s="120"/>
      <c r="CK319" s="120"/>
      <c r="CL319" s="120"/>
      <c r="CM319" s="120"/>
      <c r="CN319" s="120"/>
      <c r="CO319" s="120"/>
    </row>
    <row r="320" spans="1:93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1"/>
      <c r="U320" s="120"/>
      <c r="V320" s="120"/>
      <c r="W320" s="121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20"/>
      <c r="AW320" s="120"/>
      <c r="AX320" s="120"/>
      <c r="AY320" s="120"/>
      <c r="AZ320" s="120"/>
      <c r="BA320" s="120"/>
      <c r="BB320" s="120"/>
      <c r="BC320" s="120"/>
      <c r="BD320" s="120"/>
      <c r="BE320" s="120"/>
      <c r="BF320" s="120"/>
      <c r="BG320" s="120"/>
      <c r="BH320" s="120"/>
      <c r="BI320" s="120"/>
      <c r="BJ320" s="120"/>
      <c r="BK320" s="120"/>
      <c r="BL320" s="120"/>
      <c r="BM320" s="120"/>
      <c r="BN320" s="120"/>
      <c r="BO320" s="120"/>
      <c r="BP320" s="120"/>
      <c r="BQ320" s="120"/>
      <c r="BR320" s="120"/>
      <c r="BS320" s="120"/>
      <c r="BT320" s="120"/>
      <c r="BU320" s="120"/>
      <c r="BV320" s="120"/>
      <c r="BW320" s="120"/>
      <c r="BX320" s="120"/>
      <c r="BY320" s="120"/>
      <c r="BZ320" s="120"/>
      <c r="CA320" s="120"/>
      <c r="CB320" s="120"/>
      <c r="CC320" s="120"/>
      <c r="CD320" s="120"/>
      <c r="CE320" s="120"/>
      <c r="CF320" s="120"/>
      <c r="CG320" s="120"/>
      <c r="CH320" s="120"/>
      <c r="CI320" s="120"/>
      <c r="CJ320" s="120"/>
      <c r="CK320" s="120"/>
      <c r="CL320" s="120"/>
      <c r="CM320" s="120"/>
      <c r="CN320" s="120"/>
      <c r="CO320" s="120"/>
    </row>
    <row r="321" spans="1:93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1"/>
      <c r="U321" s="120"/>
      <c r="V321" s="120"/>
      <c r="W321" s="121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20"/>
      <c r="AR321" s="120"/>
      <c r="AS321" s="120"/>
      <c r="AT321" s="120"/>
      <c r="AU321" s="120"/>
      <c r="AV321" s="120"/>
      <c r="AW321" s="120"/>
      <c r="AX321" s="120"/>
      <c r="AY321" s="120"/>
      <c r="AZ321" s="120"/>
      <c r="BA321" s="120"/>
      <c r="BB321" s="120"/>
      <c r="BC321" s="120"/>
      <c r="BD321" s="120"/>
      <c r="BE321" s="120"/>
      <c r="BF321" s="120"/>
      <c r="BG321" s="120"/>
      <c r="BH321" s="120"/>
      <c r="BI321" s="120"/>
      <c r="BJ321" s="120"/>
      <c r="BK321" s="120"/>
      <c r="BL321" s="120"/>
      <c r="BM321" s="120"/>
      <c r="BN321" s="120"/>
      <c r="BO321" s="120"/>
      <c r="BP321" s="120"/>
      <c r="BQ321" s="120"/>
      <c r="BR321" s="120"/>
      <c r="BS321" s="120"/>
      <c r="BT321" s="120"/>
      <c r="BU321" s="120"/>
      <c r="BV321" s="120"/>
      <c r="BW321" s="120"/>
      <c r="BX321" s="120"/>
      <c r="BY321" s="120"/>
      <c r="BZ321" s="120"/>
      <c r="CA321" s="120"/>
      <c r="CB321" s="120"/>
      <c r="CC321" s="120"/>
      <c r="CD321" s="120"/>
      <c r="CE321" s="120"/>
      <c r="CF321" s="120"/>
      <c r="CG321" s="120"/>
      <c r="CH321" s="120"/>
      <c r="CI321" s="120"/>
      <c r="CJ321" s="120"/>
      <c r="CK321" s="120"/>
      <c r="CL321" s="120"/>
      <c r="CM321" s="120"/>
      <c r="CN321" s="120"/>
      <c r="CO321" s="120"/>
    </row>
    <row r="322" spans="1:93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1"/>
      <c r="U322" s="120"/>
      <c r="V322" s="120"/>
      <c r="W322" s="121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20"/>
      <c r="AW322" s="120"/>
      <c r="AX322" s="120"/>
      <c r="AY322" s="120"/>
      <c r="AZ322" s="120"/>
      <c r="BA322" s="120"/>
      <c r="BB322" s="120"/>
      <c r="BC322" s="120"/>
      <c r="BD322" s="120"/>
      <c r="BE322" s="120"/>
      <c r="BF322" s="120"/>
      <c r="BG322" s="120"/>
      <c r="BH322" s="120"/>
      <c r="BI322" s="120"/>
      <c r="BJ322" s="120"/>
      <c r="BK322" s="120"/>
      <c r="BL322" s="120"/>
      <c r="BM322" s="120"/>
      <c r="BN322" s="120"/>
      <c r="BO322" s="120"/>
      <c r="BP322" s="120"/>
      <c r="BQ322" s="120"/>
      <c r="BR322" s="120"/>
      <c r="BS322" s="120"/>
      <c r="BT322" s="120"/>
      <c r="BU322" s="120"/>
      <c r="BV322" s="120"/>
      <c r="BW322" s="120"/>
      <c r="BX322" s="120"/>
      <c r="BY322" s="120"/>
      <c r="BZ322" s="120"/>
      <c r="CA322" s="120"/>
      <c r="CB322" s="120"/>
      <c r="CC322" s="120"/>
      <c r="CD322" s="120"/>
      <c r="CE322" s="120"/>
      <c r="CF322" s="120"/>
      <c r="CG322" s="120"/>
      <c r="CH322" s="120"/>
      <c r="CI322" s="120"/>
      <c r="CJ322" s="120"/>
      <c r="CK322" s="120"/>
      <c r="CL322" s="120"/>
      <c r="CM322" s="120"/>
      <c r="CN322" s="120"/>
      <c r="CO322" s="120"/>
    </row>
    <row r="323" spans="1:93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1"/>
      <c r="U323" s="120"/>
      <c r="V323" s="120"/>
      <c r="W323" s="121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120"/>
      <c r="AR323" s="120"/>
      <c r="AS323" s="120"/>
      <c r="AT323" s="120"/>
      <c r="AU323" s="120"/>
      <c r="AV323" s="120"/>
      <c r="AW323" s="120"/>
      <c r="AX323" s="120"/>
      <c r="AY323" s="120"/>
      <c r="AZ323" s="120"/>
      <c r="BA323" s="120"/>
      <c r="BB323" s="120"/>
      <c r="BC323" s="120"/>
      <c r="BD323" s="120"/>
      <c r="BE323" s="120"/>
      <c r="BF323" s="120"/>
      <c r="BG323" s="120"/>
      <c r="BH323" s="120"/>
      <c r="BI323" s="120"/>
      <c r="BJ323" s="120"/>
      <c r="BK323" s="120"/>
      <c r="BL323" s="120"/>
      <c r="BM323" s="120"/>
      <c r="BN323" s="120"/>
      <c r="BO323" s="120"/>
      <c r="BP323" s="120"/>
      <c r="BQ323" s="120"/>
      <c r="BR323" s="120"/>
      <c r="BS323" s="120"/>
      <c r="BT323" s="120"/>
      <c r="BU323" s="120"/>
      <c r="BV323" s="120"/>
      <c r="BW323" s="120"/>
      <c r="BX323" s="120"/>
      <c r="BY323" s="120"/>
      <c r="BZ323" s="120"/>
      <c r="CA323" s="120"/>
      <c r="CB323" s="120"/>
      <c r="CC323" s="120"/>
      <c r="CD323" s="120"/>
      <c r="CE323" s="120"/>
      <c r="CF323" s="120"/>
      <c r="CG323" s="120"/>
      <c r="CH323" s="120"/>
      <c r="CI323" s="120"/>
      <c r="CJ323" s="120"/>
      <c r="CK323" s="120"/>
      <c r="CL323" s="120"/>
      <c r="CM323" s="120"/>
      <c r="CN323" s="120"/>
      <c r="CO323" s="120"/>
    </row>
    <row r="324" spans="1:93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1"/>
      <c r="U324" s="120"/>
      <c r="V324" s="120"/>
      <c r="W324" s="121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/>
      <c r="BT324" s="120"/>
      <c r="BU324" s="120"/>
      <c r="BV324" s="120"/>
      <c r="BW324" s="120"/>
      <c r="BX324" s="120"/>
      <c r="BY324" s="120"/>
      <c r="BZ324" s="120"/>
      <c r="CA324" s="120"/>
      <c r="CB324" s="120"/>
      <c r="CC324" s="120"/>
      <c r="CD324" s="120"/>
      <c r="CE324" s="120"/>
      <c r="CF324" s="120"/>
      <c r="CG324" s="120"/>
      <c r="CH324" s="120"/>
      <c r="CI324" s="120"/>
      <c r="CJ324" s="120"/>
      <c r="CK324" s="120"/>
      <c r="CL324" s="120"/>
      <c r="CM324" s="120"/>
      <c r="CN324" s="120"/>
      <c r="CO324" s="120"/>
    </row>
    <row r="325" spans="1:93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1"/>
      <c r="U325" s="120"/>
      <c r="V325" s="120"/>
      <c r="W325" s="121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120"/>
      <c r="AR325" s="120"/>
      <c r="AS325" s="120"/>
      <c r="AT325" s="120"/>
      <c r="AU325" s="120"/>
      <c r="AV325" s="120"/>
      <c r="AW325" s="120"/>
      <c r="AX325" s="120"/>
      <c r="AY325" s="120"/>
      <c r="AZ325" s="120"/>
      <c r="BA325" s="120"/>
      <c r="BB325" s="120"/>
      <c r="BC325" s="120"/>
      <c r="BD325" s="120"/>
      <c r="BE325" s="120"/>
      <c r="BF325" s="120"/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  <c r="BS325" s="120"/>
      <c r="BT325" s="120"/>
      <c r="BU325" s="120"/>
      <c r="BV325" s="120"/>
      <c r="BW325" s="120"/>
      <c r="BX325" s="120"/>
      <c r="BY325" s="120"/>
      <c r="BZ325" s="120"/>
      <c r="CA325" s="120"/>
      <c r="CB325" s="120"/>
      <c r="CC325" s="120"/>
      <c r="CD325" s="120"/>
      <c r="CE325" s="120"/>
      <c r="CF325" s="120"/>
      <c r="CG325" s="120"/>
      <c r="CH325" s="120"/>
      <c r="CI325" s="120"/>
      <c r="CJ325" s="120"/>
      <c r="CK325" s="120"/>
      <c r="CL325" s="120"/>
      <c r="CM325" s="120"/>
      <c r="CN325" s="120"/>
      <c r="CO325" s="120"/>
    </row>
    <row r="326" spans="1:93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1"/>
      <c r="U326" s="120"/>
      <c r="V326" s="120"/>
      <c r="W326" s="121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120"/>
      <c r="AR326" s="120"/>
      <c r="AS326" s="120"/>
      <c r="AT326" s="120"/>
      <c r="AU326" s="120"/>
      <c r="AV326" s="120"/>
      <c r="AW326" s="120"/>
      <c r="AX326" s="120"/>
      <c r="AY326" s="120"/>
      <c r="AZ326" s="120"/>
      <c r="BA326" s="120"/>
      <c r="BB326" s="120"/>
      <c r="BC326" s="120"/>
      <c r="BD326" s="120"/>
      <c r="BE326" s="120"/>
      <c r="BF326" s="120"/>
      <c r="BG326" s="120"/>
      <c r="BH326" s="120"/>
      <c r="BI326" s="120"/>
      <c r="BJ326" s="120"/>
      <c r="BK326" s="120"/>
      <c r="BL326" s="120"/>
      <c r="BM326" s="120"/>
      <c r="BN326" s="120"/>
      <c r="BO326" s="120"/>
      <c r="BP326" s="120"/>
      <c r="BQ326" s="120"/>
      <c r="BR326" s="120"/>
      <c r="BS326" s="120"/>
      <c r="BT326" s="120"/>
      <c r="BU326" s="120"/>
      <c r="BV326" s="120"/>
      <c r="BW326" s="120"/>
      <c r="BX326" s="120"/>
      <c r="BY326" s="120"/>
      <c r="BZ326" s="120"/>
      <c r="CA326" s="120"/>
      <c r="CB326" s="120"/>
      <c r="CC326" s="120"/>
      <c r="CD326" s="120"/>
      <c r="CE326" s="120"/>
      <c r="CF326" s="120"/>
      <c r="CG326" s="120"/>
      <c r="CH326" s="120"/>
      <c r="CI326" s="120"/>
      <c r="CJ326" s="120"/>
      <c r="CK326" s="120"/>
      <c r="CL326" s="120"/>
      <c r="CM326" s="120"/>
      <c r="CN326" s="120"/>
      <c r="CO326" s="120"/>
    </row>
    <row r="327" spans="1:93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1"/>
      <c r="U327" s="120"/>
      <c r="V327" s="120"/>
      <c r="W327" s="121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120"/>
      <c r="AR327" s="120"/>
      <c r="AS327" s="120"/>
      <c r="AT327" s="120"/>
      <c r="AU327" s="120"/>
      <c r="AV327" s="120"/>
      <c r="AW327" s="120"/>
      <c r="AX327" s="120"/>
      <c r="AY327" s="120"/>
      <c r="AZ327" s="120"/>
      <c r="BA327" s="120"/>
      <c r="BB327" s="120"/>
      <c r="BC327" s="120"/>
      <c r="BD327" s="120"/>
      <c r="BE327" s="120"/>
      <c r="BF327" s="120"/>
      <c r="BG327" s="120"/>
      <c r="BH327" s="120"/>
      <c r="BI327" s="120"/>
      <c r="BJ327" s="120"/>
      <c r="BK327" s="120"/>
      <c r="BL327" s="120"/>
      <c r="BM327" s="120"/>
      <c r="BN327" s="120"/>
      <c r="BO327" s="120"/>
      <c r="BP327" s="120"/>
      <c r="BQ327" s="120"/>
      <c r="BR327" s="120"/>
      <c r="BS327" s="120"/>
      <c r="BT327" s="120"/>
      <c r="BU327" s="120"/>
      <c r="BV327" s="120"/>
      <c r="BW327" s="120"/>
      <c r="BX327" s="120"/>
      <c r="BY327" s="120"/>
      <c r="BZ327" s="120"/>
      <c r="CA327" s="120"/>
      <c r="CB327" s="120"/>
      <c r="CC327" s="120"/>
      <c r="CD327" s="120"/>
      <c r="CE327" s="120"/>
      <c r="CF327" s="120"/>
      <c r="CG327" s="120"/>
      <c r="CH327" s="120"/>
      <c r="CI327" s="120"/>
      <c r="CJ327" s="120"/>
      <c r="CK327" s="120"/>
      <c r="CL327" s="120"/>
      <c r="CM327" s="120"/>
      <c r="CN327" s="120"/>
      <c r="CO327" s="120"/>
    </row>
    <row r="328" spans="1:93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1"/>
      <c r="U328" s="120"/>
      <c r="V328" s="120"/>
      <c r="W328" s="121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120"/>
      <c r="AR328" s="120"/>
      <c r="AS328" s="120"/>
      <c r="AT328" s="120"/>
      <c r="AU328" s="120"/>
      <c r="AV328" s="120"/>
      <c r="AW328" s="120"/>
      <c r="AX328" s="120"/>
      <c r="AY328" s="120"/>
      <c r="AZ328" s="120"/>
      <c r="BA328" s="120"/>
      <c r="BB328" s="120"/>
      <c r="BC328" s="120"/>
      <c r="BD328" s="120"/>
      <c r="BE328" s="120"/>
      <c r="BF328" s="120"/>
      <c r="BG328" s="120"/>
      <c r="BH328" s="120"/>
      <c r="BI328" s="120"/>
      <c r="BJ328" s="120"/>
      <c r="BK328" s="120"/>
      <c r="BL328" s="120"/>
      <c r="BM328" s="120"/>
      <c r="BN328" s="120"/>
      <c r="BO328" s="120"/>
      <c r="BP328" s="120"/>
      <c r="BQ328" s="120"/>
      <c r="BR328" s="120"/>
      <c r="BS328" s="120"/>
      <c r="BT328" s="120"/>
      <c r="BU328" s="120"/>
      <c r="BV328" s="120"/>
      <c r="BW328" s="120"/>
      <c r="BX328" s="120"/>
      <c r="BY328" s="120"/>
      <c r="BZ328" s="120"/>
      <c r="CA328" s="120"/>
      <c r="CB328" s="120"/>
      <c r="CC328" s="120"/>
      <c r="CD328" s="120"/>
      <c r="CE328" s="120"/>
      <c r="CF328" s="120"/>
      <c r="CG328" s="120"/>
      <c r="CH328" s="120"/>
      <c r="CI328" s="120"/>
      <c r="CJ328" s="120"/>
      <c r="CK328" s="120"/>
      <c r="CL328" s="120"/>
      <c r="CM328" s="120"/>
      <c r="CN328" s="120"/>
      <c r="CO328" s="120"/>
    </row>
    <row r="329" spans="1:93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1"/>
      <c r="U329" s="120"/>
      <c r="V329" s="120"/>
      <c r="W329" s="121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120"/>
      <c r="AR329" s="120"/>
      <c r="AS329" s="120"/>
      <c r="AT329" s="120"/>
      <c r="AU329" s="120"/>
      <c r="AV329" s="120"/>
      <c r="AW329" s="120"/>
      <c r="AX329" s="120"/>
      <c r="AY329" s="120"/>
      <c r="AZ329" s="120"/>
      <c r="BA329" s="120"/>
      <c r="BB329" s="120"/>
      <c r="BC329" s="120"/>
      <c r="BD329" s="120"/>
      <c r="BE329" s="120"/>
      <c r="BF329" s="120"/>
      <c r="BG329" s="120"/>
      <c r="BH329" s="120"/>
      <c r="BI329" s="120"/>
      <c r="BJ329" s="120"/>
      <c r="BK329" s="120"/>
      <c r="BL329" s="120"/>
      <c r="BM329" s="120"/>
      <c r="BN329" s="120"/>
      <c r="BO329" s="120"/>
      <c r="BP329" s="120"/>
      <c r="BQ329" s="120"/>
      <c r="BR329" s="120"/>
      <c r="BS329" s="120"/>
      <c r="BT329" s="120"/>
      <c r="BU329" s="120"/>
      <c r="BV329" s="120"/>
      <c r="BW329" s="120"/>
      <c r="BX329" s="120"/>
      <c r="BY329" s="120"/>
      <c r="BZ329" s="120"/>
      <c r="CA329" s="120"/>
      <c r="CB329" s="120"/>
      <c r="CC329" s="120"/>
      <c r="CD329" s="120"/>
      <c r="CE329" s="120"/>
      <c r="CF329" s="120"/>
      <c r="CG329" s="120"/>
      <c r="CH329" s="120"/>
      <c r="CI329" s="120"/>
      <c r="CJ329" s="120"/>
      <c r="CK329" s="120"/>
      <c r="CL329" s="120"/>
      <c r="CM329" s="120"/>
      <c r="CN329" s="120"/>
      <c r="CO329" s="120"/>
    </row>
    <row r="330" spans="1:93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1"/>
      <c r="U330" s="120"/>
      <c r="V330" s="120"/>
      <c r="W330" s="121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20"/>
      <c r="AW330" s="120"/>
      <c r="AX330" s="120"/>
      <c r="AY330" s="120"/>
      <c r="AZ330" s="120"/>
      <c r="BA330" s="120"/>
      <c r="BB330" s="120"/>
      <c r="BC330" s="120"/>
      <c r="BD330" s="120"/>
      <c r="BE330" s="120"/>
      <c r="BF330" s="120"/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  <c r="BR330" s="120"/>
      <c r="BS330" s="120"/>
      <c r="BT330" s="120"/>
      <c r="BU330" s="120"/>
      <c r="BV330" s="120"/>
      <c r="BW330" s="120"/>
      <c r="BX330" s="120"/>
      <c r="BY330" s="120"/>
      <c r="BZ330" s="120"/>
      <c r="CA330" s="120"/>
      <c r="CB330" s="120"/>
      <c r="CC330" s="120"/>
      <c r="CD330" s="120"/>
      <c r="CE330" s="120"/>
      <c r="CF330" s="120"/>
      <c r="CG330" s="120"/>
      <c r="CH330" s="120"/>
      <c r="CI330" s="120"/>
      <c r="CJ330" s="120"/>
      <c r="CK330" s="120"/>
      <c r="CL330" s="120"/>
      <c r="CM330" s="120"/>
      <c r="CN330" s="120"/>
      <c r="CO330" s="120"/>
    </row>
    <row r="331" spans="1:93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1"/>
      <c r="U331" s="120"/>
      <c r="V331" s="120"/>
      <c r="W331" s="121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120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20"/>
      <c r="BB331" s="120"/>
      <c r="BC331" s="120"/>
      <c r="BD331" s="120"/>
      <c r="BE331" s="120"/>
      <c r="BF331" s="120"/>
      <c r="BG331" s="120"/>
      <c r="BH331" s="120"/>
      <c r="BI331" s="120"/>
      <c r="BJ331" s="120"/>
      <c r="BK331" s="120"/>
      <c r="BL331" s="120"/>
      <c r="BM331" s="120"/>
      <c r="BN331" s="120"/>
      <c r="BO331" s="120"/>
      <c r="BP331" s="120"/>
      <c r="BQ331" s="120"/>
      <c r="BR331" s="120"/>
      <c r="BS331" s="120"/>
      <c r="BT331" s="120"/>
      <c r="BU331" s="120"/>
      <c r="BV331" s="120"/>
      <c r="BW331" s="120"/>
      <c r="BX331" s="120"/>
      <c r="BY331" s="120"/>
      <c r="BZ331" s="120"/>
      <c r="CA331" s="120"/>
      <c r="CB331" s="120"/>
      <c r="CC331" s="120"/>
      <c r="CD331" s="120"/>
      <c r="CE331" s="120"/>
      <c r="CF331" s="120"/>
      <c r="CG331" s="120"/>
      <c r="CH331" s="120"/>
      <c r="CI331" s="120"/>
      <c r="CJ331" s="120"/>
      <c r="CK331" s="120"/>
      <c r="CL331" s="120"/>
      <c r="CM331" s="120"/>
      <c r="CN331" s="120"/>
      <c r="CO331" s="120"/>
    </row>
    <row r="332" spans="1:93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1"/>
      <c r="U332" s="120"/>
      <c r="V332" s="120"/>
      <c r="W332" s="121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120"/>
      <c r="AR332" s="120"/>
      <c r="AS332" s="120"/>
      <c r="AT332" s="120"/>
      <c r="AU332" s="120"/>
      <c r="AV332" s="120"/>
      <c r="AW332" s="120"/>
      <c r="AX332" s="120"/>
      <c r="AY332" s="120"/>
      <c r="AZ332" s="120"/>
      <c r="BA332" s="120"/>
      <c r="BB332" s="120"/>
      <c r="BC332" s="120"/>
      <c r="BD332" s="120"/>
      <c r="BE332" s="120"/>
      <c r="BF332" s="120"/>
      <c r="BG332" s="120"/>
      <c r="BH332" s="120"/>
      <c r="BI332" s="120"/>
      <c r="BJ332" s="120"/>
      <c r="BK332" s="120"/>
      <c r="BL332" s="120"/>
      <c r="BM332" s="120"/>
      <c r="BN332" s="120"/>
      <c r="BO332" s="120"/>
      <c r="BP332" s="120"/>
      <c r="BQ332" s="120"/>
      <c r="BR332" s="120"/>
      <c r="BS332" s="120"/>
      <c r="BT332" s="120"/>
      <c r="BU332" s="120"/>
      <c r="BV332" s="120"/>
      <c r="BW332" s="120"/>
      <c r="BX332" s="120"/>
      <c r="BY332" s="120"/>
      <c r="BZ332" s="120"/>
      <c r="CA332" s="120"/>
      <c r="CB332" s="120"/>
      <c r="CC332" s="120"/>
      <c r="CD332" s="120"/>
      <c r="CE332" s="120"/>
      <c r="CF332" s="120"/>
      <c r="CG332" s="120"/>
      <c r="CH332" s="120"/>
      <c r="CI332" s="120"/>
      <c r="CJ332" s="120"/>
      <c r="CK332" s="120"/>
      <c r="CL332" s="120"/>
      <c r="CM332" s="120"/>
      <c r="CN332" s="120"/>
      <c r="CO332" s="120"/>
    </row>
    <row r="333" spans="1:93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1"/>
      <c r="U333" s="120"/>
      <c r="V333" s="120"/>
      <c r="W333" s="121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120"/>
      <c r="AR333" s="120"/>
      <c r="AS333" s="120"/>
      <c r="AT333" s="120"/>
      <c r="AU333" s="120"/>
      <c r="AV333" s="120"/>
      <c r="AW333" s="120"/>
      <c r="AX333" s="120"/>
      <c r="AY333" s="120"/>
      <c r="AZ333" s="120"/>
      <c r="BA333" s="120"/>
      <c r="BB333" s="120"/>
      <c r="BC333" s="120"/>
      <c r="BD333" s="120"/>
      <c r="BE333" s="120"/>
      <c r="BF333" s="120"/>
      <c r="BG333" s="120"/>
      <c r="BH333" s="120"/>
      <c r="BI333" s="120"/>
      <c r="BJ333" s="120"/>
      <c r="BK333" s="120"/>
      <c r="BL333" s="120"/>
      <c r="BM333" s="120"/>
      <c r="BN333" s="120"/>
      <c r="BO333" s="120"/>
      <c r="BP333" s="120"/>
      <c r="BQ333" s="120"/>
      <c r="BR333" s="120"/>
      <c r="BS333" s="120"/>
      <c r="BT333" s="120"/>
      <c r="BU333" s="120"/>
      <c r="BV333" s="120"/>
      <c r="BW333" s="120"/>
      <c r="BX333" s="120"/>
      <c r="BY333" s="120"/>
      <c r="BZ333" s="120"/>
      <c r="CA333" s="120"/>
      <c r="CB333" s="120"/>
      <c r="CC333" s="120"/>
      <c r="CD333" s="120"/>
      <c r="CE333" s="120"/>
      <c r="CF333" s="120"/>
      <c r="CG333" s="120"/>
      <c r="CH333" s="120"/>
      <c r="CI333" s="120"/>
      <c r="CJ333" s="120"/>
      <c r="CK333" s="120"/>
      <c r="CL333" s="120"/>
      <c r="CM333" s="120"/>
      <c r="CN333" s="120"/>
      <c r="CO333" s="120"/>
    </row>
    <row r="334" spans="1:93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1"/>
      <c r="U334" s="120"/>
      <c r="V334" s="120"/>
      <c r="W334" s="121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120"/>
      <c r="AR334" s="120"/>
      <c r="AS334" s="120"/>
      <c r="AT334" s="120"/>
      <c r="AU334" s="120"/>
      <c r="AV334" s="120"/>
      <c r="AW334" s="120"/>
      <c r="AX334" s="120"/>
      <c r="AY334" s="120"/>
      <c r="AZ334" s="120"/>
      <c r="BA334" s="120"/>
      <c r="BB334" s="120"/>
      <c r="BC334" s="120"/>
      <c r="BD334" s="120"/>
      <c r="BE334" s="120"/>
      <c r="BF334" s="120"/>
      <c r="BG334" s="120"/>
      <c r="BH334" s="120"/>
      <c r="BI334" s="120"/>
      <c r="BJ334" s="120"/>
      <c r="BK334" s="120"/>
      <c r="BL334" s="120"/>
      <c r="BM334" s="120"/>
      <c r="BN334" s="120"/>
      <c r="BO334" s="120"/>
      <c r="BP334" s="120"/>
      <c r="BQ334" s="120"/>
      <c r="BR334" s="120"/>
      <c r="BS334" s="120"/>
      <c r="BT334" s="120"/>
      <c r="BU334" s="120"/>
      <c r="BV334" s="120"/>
      <c r="BW334" s="120"/>
      <c r="BX334" s="120"/>
      <c r="BY334" s="120"/>
      <c r="BZ334" s="120"/>
      <c r="CA334" s="120"/>
      <c r="CB334" s="120"/>
      <c r="CC334" s="120"/>
      <c r="CD334" s="120"/>
      <c r="CE334" s="120"/>
      <c r="CF334" s="120"/>
      <c r="CG334" s="120"/>
      <c r="CH334" s="120"/>
      <c r="CI334" s="120"/>
      <c r="CJ334" s="120"/>
      <c r="CK334" s="120"/>
      <c r="CL334" s="120"/>
      <c r="CM334" s="120"/>
      <c r="CN334" s="120"/>
      <c r="CO334" s="120"/>
    </row>
    <row r="335" spans="1:93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1"/>
      <c r="U335" s="120"/>
      <c r="V335" s="120"/>
      <c r="W335" s="121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120"/>
      <c r="AR335" s="120"/>
      <c r="AS335" s="120"/>
      <c r="AT335" s="120"/>
      <c r="AU335" s="120"/>
      <c r="AV335" s="120"/>
      <c r="AW335" s="120"/>
      <c r="AX335" s="120"/>
      <c r="AY335" s="120"/>
      <c r="AZ335" s="120"/>
      <c r="BA335" s="120"/>
      <c r="BB335" s="120"/>
      <c r="BC335" s="120"/>
      <c r="BD335" s="120"/>
      <c r="BE335" s="120"/>
      <c r="BF335" s="120"/>
      <c r="BG335" s="120"/>
      <c r="BH335" s="120"/>
      <c r="BI335" s="120"/>
      <c r="BJ335" s="120"/>
      <c r="BK335" s="120"/>
      <c r="BL335" s="120"/>
      <c r="BM335" s="120"/>
      <c r="BN335" s="120"/>
      <c r="BO335" s="120"/>
      <c r="BP335" s="120"/>
      <c r="BQ335" s="120"/>
      <c r="BR335" s="120"/>
      <c r="BS335" s="120"/>
      <c r="BT335" s="120"/>
      <c r="BU335" s="120"/>
      <c r="BV335" s="120"/>
      <c r="BW335" s="120"/>
      <c r="BX335" s="120"/>
      <c r="BY335" s="120"/>
      <c r="BZ335" s="120"/>
      <c r="CA335" s="120"/>
      <c r="CB335" s="120"/>
      <c r="CC335" s="120"/>
      <c r="CD335" s="120"/>
      <c r="CE335" s="120"/>
      <c r="CF335" s="120"/>
      <c r="CG335" s="120"/>
      <c r="CH335" s="120"/>
      <c r="CI335" s="120"/>
      <c r="CJ335" s="120"/>
      <c r="CK335" s="120"/>
      <c r="CL335" s="120"/>
      <c r="CM335" s="120"/>
      <c r="CN335" s="120"/>
      <c r="CO335" s="120"/>
    </row>
    <row r="336" spans="1:93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1"/>
      <c r="U336" s="120"/>
      <c r="V336" s="120"/>
      <c r="W336" s="121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120"/>
      <c r="AR336" s="120"/>
      <c r="AS336" s="120"/>
      <c r="AT336" s="120"/>
      <c r="AU336" s="120"/>
      <c r="AV336" s="120"/>
      <c r="AW336" s="120"/>
      <c r="AX336" s="120"/>
      <c r="AY336" s="120"/>
      <c r="AZ336" s="120"/>
      <c r="BA336" s="120"/>
      <c r="BB336" s="120"/>
      <c r="BC336" s="120"/>
      <c r="BD336" s="120"/>
      <c r="BE336" s="120"/>
      <c r="BF336" s="120"/>
      <c r="BG336" s="120"/>
      <c r="BH336" s="120"/>
      <c r="BI336" s="120"/>
      <c r="BJ336" s="120"/>
      <c r="BK336" s="120"/>
      <c r="BL336" s="120"/>
      <c r="BM336" s="120"/>
      <c r="BN336" s="120"/>
      <c r="BO336" s="120"/>
      <c r="BP336" s="120"/>
      <c r="BQ336" s="120"/>
      <c r="BR336" s="120"/>
      <c r="BS336" s="120"/>
      <c r="BT336" s="120"/>
      <c r="BU336" s="120"/>
      <c r="BV336" s="120"/>
      <c r="BW336" s="120"/>
      <c r="BX336" s="120"/>
      <c r="BY336" s="120"/>
      <c r="BZ336" s="120"/>
      <c r="CA336" s="120"/>
      <c r="CB336" s="120"/>
      <c r="CC336" s="120"/>
      <c r="CD336" s="120"/>
      <c r="CE336" s="120"/>
      <c r="CF336" s="120"/>
      <c r="CG336" s="120"/>
      <c r="CH336" s="120"/>
      <c r="CI336" s="120"/>
      <c r="CJ336" s="120"/>
      <c r="CK336" s="120"/>
      <c r="CL336" s="120"/>
      <c r="CM336" s="120"/>
      <c r="CN336" s="120"/>
      <c r="CO336" s="120"/>
    </row>
    <row r="337" spans="1:93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1"/>
      <c r="U337" s="120"/>
      <c r="V337" s="120"/>
      <c r="W337" s="121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120"/>
      <c r="AR337" s="120"/>
      <c r="AS337" s="120"/>
      <c r="AT337" s="120"/>
      <c r="AU337" s="120"/>
      <c r="AV337" s="120"/>
      <c r="AW337" s="120"/>
      <c r="AX337" s="120"/>
      <c r="AY337" s="120"/>
      <c r="AZ337" s="120"/>
      <c r="BA337" s="120"/>
      <c r="BB337" s="120"/>
      <c r="BC337" s="120"/>
      <c r="BD337" s="120"/>
      <c r="BE337" s="120"/>
      <c r="BF337" s="120"/>
      <c r="BG337" s="120"/>
      <c r="BH337" s="120"/>
      <c r="BI337" s="120"/>
      <c r="BJ337" s="120"/>
      <c r="BK337" s="120"/>
      <c r="BL337" s="120"/>
      <c r="BM337" s="120"/>
      <c r="BN337" s="120"/>
      <c r="BO337" s="120"/>
      <c r="BP337" s="120"/>
      <c r="BQ337" s="120"/>
      <c r="BR337" s="120"/>
      <c r="BS337" s="120"/>
      <c r="BT337" s="120"/>
      <c r="BU337" s="120"/>
      <c r="BV337" s="120"/>
      <c r="BW337" s="120"/>
      <c r="BX337" s="120"/>
      <c r="BY337" s="120"/>
      <c r="BZ337" s="120"/>
      <c r="CA337" s="120"/>
      <c r="CB337" s="120"/>
      <c r="CC337" s="120"/>
      <c r="CD337" s="120"/>
      <c r="CE337" s="120"/>
      <c r="CF337" s="120"/>
      <c r="CG337" s="120"/>
      <c r="CH337" s="120"/>
      <c r="CI337" s="120"/>
      <c r="CJ337" s="120"/>
      <c r="CK337" s="120"/>
      <c r="CL337" s="120"/>
      <c r="CM337" s="120"/>
      <c r="CN337" s="120"/>
      <c r="CO337" s="120"/>
    </row>
    <row r="338" spans="1:93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1"/>
      <c r="U338" s="120"/>
      <c r="V338" s="120"/>
      <c r="W338" s="121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20"/>
      <c r="AW338" s="120"/>
      <c r="AX338" s="120"/>
      <c r="AY338" s="120"/>
      <c r="AZ338" s="120"/>
      <c r="BA338" s="120"/>
      <c r="BB338" s="120"/>
      <c r="BC338" s="120"/>
      <c r="BD338" s="120"/>
      <c r="BE338" s="120"/>
      <c r="BF338" s="120"/>
      <c r="BG338" s="120"/>
      <c r="BH338" s="120"/>
      <c r="BI338" s="120"/>
      <c r="BJ338" s="120"/>
      <c r="BK338" s="120"/>
      <c r="BL338" s="120"/>
      <c r="BM338" s="120"/>
      <c r="BN338" s="120"/>
      <c r="BO338" s="120"/>
      <c r="BP338" s="120"/>
      <c r="BQ338" s="120"/>
      <c r="BR338" s="120"/>
      <c r="BS338" s="120"/>
      <c r="BT338" s="120"/>
      <c r="BU338" s="120"/>
      <c r="BV338" s="120"/>
      <c r="BW338" s="120"/>
      <c r="BX338" s="120"/>
      <c r="BY338" s="120"/>
      <c r="BZ338" s="120"/>
      <c r="CA338" s="120"/>
      <c r="CB338" s="120"/>
      <c r="CC338" s="120"/>
      <c r="CD338" s="120"/>
      <c r="CE338" s="120"/>
      <c r="CF338" s="120"/>
      <c r="CG338" s="120"/>
      <c r="CH338" s="120"/>
      <c r="CI338" s="120"/>
      <c r="CJ338" s="120"/>
      <c r="CK338" s="120"/>
      <c r="CL338" s="120"/>
      <c r="CM338" s="120"/>
      <c r="CN338" s="120"/>
      <c r="CO338" s="120"/>
    </row>
    <row r="339" spans="1:93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1"/>
      <c r="U339" s="120"/>
      <c r="V339" s="120"/>
      <c r="W339" s="121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120"/>
      <c r="AR339" s="120"/>
      <c r="AS339" s="120"/>
      <c r="AT339" s="120"/>
      <c r="AU339" s="120"/>
      <c r="AV339" s="120"/>
      <c r="AW339" s="120"/>
      <c r="AX339" s="120"/>
      <c r="AY339" s="120"/>
      <c r="AZ339" s="120"/>
      <c r="BA339" s="120"/>
      <c r="BB339" s="120"/>
      <c r="BC339" s="120"/>
      <c r="BD339" s="120"/>
      <c r="BE339" s="120"/>
      <c r="BF339" s="120"/>
      <c r="BG339" s="120"/>
      <c r="BH339" s="120"/>
      <c r="BI339" s="120"/>
      <c r="BJ339" s="120"/>
      <c r="BK339" s="120"/>
      <c r="BL339" s="120"/>
      <c r="BM339" s="120"/>
      <c r="BN339" s="120"/>
      <c r="BO339" s="120"/>
      <c r="BP339" s="120"/>
      <c r="BQ339" s="120"/>
      <c r="BR339" s="120"/>
      <c r="BS339" s="120"/>
      <c r="BT339" s="120"/>
      <c r="BU339" s="120"/>
      <c r="BV339" s="120"/>
      <c r="BW339" s="120"/>
      <c r="BX339" s="120"/>
      <c r="BY339" s="120"/>
      <c r="BZ339" s="120"/>
      <c r="CA339" s="120"/>
      <c r="CB339" s="120"/>
      <c r="CC339" s="120"/>
      <c r="CD339" s="120"/>
      <c r="CE339" s="120"/>
      <c r="CF339" s="120"/>
      <c r="CG339" s="120"/>
      <c r="CH339" s="120"/>
      <c r="CI339" s="120"/>
      <c r="CJ339" s="120"/>
      <c r="CK339" s="120"/>
      <c r="CL339" s="120"/>
      <c r="CM339" s="120"/>
      <c r="CN339" s="120"/>
      <c r="CO339" s="120"/>
    </row>
    <row r="340" spans="1:93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1"/>
      <c r="U340" s="120"/>
      <c r="V340" s="120"/>
      <c r="W340" s="121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120"/>
      <c r="AR340" s="120"/>
      <c r="AS340" s="120"/>
      <c r="AT340" s="120"/>
      <c r="AU340" s="120"/>
      <c r="AV340" s="120"/>
      <c r="AW340" s="120"/>
      <c r="AX340" s="120"/>
      <c r="AY340" s="120"/>
      <c r="AZ340" s="120"/>
      <c r="BA340" s="120"/>
      <c r="BB340" s="120"/>
      <c r="BC340" s="120"/>
      <c r="BD340" s="120"/>
      <c r="BE340" s="120"/>
      <c r="BF340" s="120"/>
      <c r="BG340" s="120"/>
      <c r="BH340" s="120"/>
      <c r="BI340" s="120"/>
      <c r="BJ340" s="120"/>
      <c r="BK340" s="120"/>
      <c r="BL340" s="120"/>
      <c r="BM340" s="120"/>
      <c r="BN340" s="120"/>
      <c r="BO340" s="120"/>
      <c r="BP340" s="120"/>
      <c r="BQ340" s="120"/>
      <c r="BR340" s="120"/>
      <c r="BS340" s="120"/>
      <c r="BT340" s="120"/>
      <c r="BU340" s="120"/>
      <c r="BV340" s="120"/>
      <c r="BW340" s="120"/>
      <c r="BX340" s="120"/>
      <c r="BY340" s="120"/>
      <c r="BZ340" s="120"/>
      <c r="CA340" s="120"/>
      <c r="CB340" s="120"/>
      <c r="CC340" s="120"/>
      <c r="CD340" s="120"/>
      <c r="CE340" s="120"/>
      <c r="CF340" s="120"/>
      <c r="CG340" s="120"/>
      <c r="CH340" s="120"/>
      <c r="CI340" s="120"/>
      <c r="CJ340" s="120"/>
      <c r="CK340" s="120"/>
      <c r="CL340" s="120"/>
      <c r="CM340" s="120"/>
      <c r="CN340" s="120"/>
      <c r="CO340" s="120"/>
    </row>
    <row r="341" spans="1:93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1"/>
      <c r="U341" s="120"/>
      <c r="V341" s="120"/>
      <c r="W341" s="121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120"/>
      <c r="AR341" s="120"/>
      <c r="AS341" s="120"/>
      <c r="AT341" s="120"/>
      <c r="AU341" s="120"/>
      <c r="AV341" s="120"/>
      <c r="AW341" s="120"/>
      <c r="AX341" s="120"/>
      <c r="AY341" s="120"/>
      <c r="AZ341" s="120"/>
      <c r="BA341" s="120"/>
      <c r="BB341" s="120"/>
      <c r="BC341" s="120"/>
      <c r="BD341" s="120"/>
      <c r="BE341" s="120"/>
      <c r="BF341" s="120"/>
      <c r="BG341" s="120"/>
      <c r="BH341" s="120"/>
      <c r="BI341" s="120"/>
      <c r="BJ341" s="120"/>
      <c r="BK341" s="120"/>
      <c r="BL341" s="120"/>
      <c r="BM341" s="120"/>
      <c r="BN341" s="120"/>
      <c r="BO341" s="120"/>
      <c r="BP341" s="120"/>
      <c r="BQ341" s="120"/>
      <c r="BR341" s="120"/>
      <c r="BS341" s="120"/>
      <c r="BT341" s="120"/>
      <c r="BU341" s="120"/>
      <c r="BV341" s="120"/>
      <c r="BW341" s="120"/>
      <c r="BX341" s="120"/>
      <c r="BY341" s="120"/>
      <c r="BZ341" s="120"/>
      <c r="CA341" s="120"/>
      <c r="CB341" s="120"/>
      <c r="CC341" s="120"/>
      <c r="CD341" s="120"/>
      <c r="CE341" s="120"/>
      <c r="CF341" s="120"/>
      <c r="CG341" s="120"/>
      <c r="CH341" s="120"/>
      <c r="CI341" s="120"/>
      <c r="CJ341" s="120"/>
      <c r="CK341" s="120"/>
      <c r="CL341" s="120"/>
      <c r="CM341" s="120"/>
      <c r="CN341" s="120"/>
      <c r="CO341" s="120"/>
    </row>
    <row r="342" spans="1:93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1"/>
      <c r="U342" s="120"/>
      <c r="V342" s="120"/>
      <c r="W342" s="121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120"/>
      <c r="AR342" s="120"/>
      <c r="AS342" s="120"/>
      <c r="AT342" s="120"/>
      <c r="AU342" s="120"/>
      <c r="AV342" s="120"/>
      <c r="AW342" s="120"/>
      <c r="AX342" s="120"/>
      <c r="AY342" s="120"/>
      <c r="AZ342" s="120"/>
      <c r="BA342" s="120"/>
      <c r="BB342" s="120"/>
      <c r="BC342" s="120"/>
      <c r="BD342" s="120"/>
      <c r="BE342" s="120"/>
      <c r="BF342" s="120"/>
      <c r="BG342" s="120"/>
      <c r="BH342" s="120"/>
      <c r="BI342" s="120"/>
      <c r="BJ342" s="120"/>
      <c r="BK342" s="120"/>
      <c r="BL342" s="120"/>
      <c r="BM342" s="120"/>
      <c r="BN342" s="120"/>
      <c r="BO342" s="120"/>
      <c r="BP342" s="120"/>
      <c r="BQ342" s="120"/>
      <c r="BR342" s="120"/>
      <c r="BS342" s="120"/>
      <c r="BT342" s="120"/>
      <c r="BU342" s="120"/>
      <c r="BV342" s="120"/>
      <c r="BW342" s="120"/>
      <c r="BX342" s="120"/>
      <c r="BY342" s="120"/>
      <c r="BZ342" s="120"/>
      <c r="CA342" s="120"/>
      <c r="CB342" s="120"/>
      <c r="CC342" s="120"/>
      <c r="CD342" s="120"/>
      <c r="CE342" s="120"/>
      <c r="CF342" s="120"/>
      <c r="CG342" s="120"/>
      <c r="CH342" s="120"/>
      <c r="CI342" s="120"/>
      <c r="CJ342" s="120"/>
      <c r="CK342" s="120"/>
      <c r="CL342" s="120"/>
      <c r="CM342" s="120"/>
      <c r="CN342" s="120"/>
      <c r="CO342" s="120"/>
    </row>
    <row r="343" spans="1:93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1"/>
      <c r="U343" s="120"/>
      <c r="V343" s="120"/>
      <c r="W343" s="121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  <c r="BF343" s="120"/>
      <c r="BG343" s="120"/>
      <c r="BH343" s="120"/>
      <c r="BI343" s="120"/>
      <c r="BJ343" s="120"/>
      <c r="BK343" s="120"/>
      <c r="BL343" s="120"/>
      <c r="BM343" s="120"/>
      <c r="BN343" s="120"/>
      <c r="BO343" s="120"/>
      <c r="BP343" s="120"/>
      <c r="BQ343" s="120"/>
      <c r="BR343" s="120"/>
      <c r="BS343" s="120"/>
      <c r="BT343" s="120"/>
      <c r="BU343" s="120"/>
      <c r="BV343" s="120"/>
      <c r="BW343" s="120"/>
      <c r="BX343" s="120"/>
      <c r="BY343" s="120"/>
      <c r="BZ343" s="120"/>
      <c r="CA343" s="120"/>
      <c r="CB343" s="120"/>
      <c r="CC343" s="120"/>
      <c r="CD343" s="120"/>
      <c r="CE343" s="120"/>
      <c r="CF343" s="120"/>
      <c r="CG343" s="120"/>
      <c r="CH343" s="120"/>
      <c r="CI343" s="120"/>
      <c r="CJ343" s="120"/>
      <c r="CK343" s="120"/>
      <c r="CL343" s="120"/>
      <c r="CM343" s="120"/>
      <c r="CN343" s="120"/>
      <c r="CO343" s="120"/>
    </row>
    <row r="344" spans="1:93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1"/>
      <c r="U344" s="120"/>
      <c r="V344" s="120"/>
      <c r="W344" s="121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120"/>
      <c r="AR344" s="120"/>
      <c r="AS344" s="120"/>
      <c r="AT344" s="120"/>
      <c r="AU344" s="120"/>
      <c r="AV344" s="120"/>
      <c r="AW344" s="120"/>
      <c r="AX344" s="120"/>
      <c r="AY344" s="120"/>
      <c r="AZ344" s="120"/>
      <c r="BA344" s="120"/>
      <c r="BB344" s="120"/>
      <c r="BC344" s="120"/>
      <c r="BD344" s="120"/>
      <c r="BE344" s="120"/>
      <c r="BF344" s="120"/>
      <c r="BG344" s="120"/>
      <c r="BH344" s="120"/>
      <c r="BI344" s="120"/>
      <c r="BJ344" s="120"/>
      <c r="BK344" s="120"/>
      <c r="BL344" s="120"/>
      <c r="BM344" s="120"/>
      <c r="BN344" s="120"/>
      <c r="BO344" s="120"/>
      <c r="BP344" s="120"/>
      <c r="BQ344" s="120"/>
      <c r="BR344" s="120"/>
      <c r="BS344" s="120"/>
      <c r="BT344" s="120"/>
      <c r="BU344" s="120"/>
      <c r="BV344" s="120"/>
      <c r="BW344" s="120"/>
      <c r="BX344" s="120"/>
      <c r="BY344" s="120"/>
      <c r="BZ344" s="120"/>
      <c r="CA344" s="120"/>
      <c r="CB344" s="120"/>
      <c r="CC344" s="120"/>
      <c r="CD344" s="120"/>
      <c r="CE344" s="120"/>
      <c r="CF344" s="120"/>
      <c r="CG344" s="120"/>
      <c r="CH344" s="120"/>
      <c r="CI344" s="120"/>
      <c r="CJ344" s="120"/>
      <c r="CK344" s="120"/>
      <c r="CL344" s="120"/>
      <c r="CM344" s="120"/>
      <c r="CN344" s="120"/>
      <c r="CO344" s="120"/>
    </row>
    <row r="345" spans="1:93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1"/>
      <c r="U345" s="120"/>
      <c r="V345" s="120"/>
      <c r="W345" s="121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120"/>
      <c r="AR345" s="120"/>
      <c r="AS345" s="120"/>
      <c r="AT345" s="120"/>
      <c r="AU345" s="120"/>
      <c r="AV345" s="120"/>
      <c r="AW345" s="120"/>
      <c r="AX345" s="120"/>
      <c r="AY345" s="120"/>
      <c r="AZ345" s="120"/>
      <c r="BA345" s="120"/>
      <c r="BB345" s="120"/>
      <c r="BC345" s="120"/>
      <c r="BD345" s="120"/>
      <c r="BE345" s="120"/>
      <c r="BF345" s="120"/>
      <c r="BG345" s="120"/>
      <c r="BH345" s="120"/>
      <c r="BI345" s="120"/>
      <c r="BJ345" s="120"/>
      <c r="BK345" s="120"/>
      <c r="BL345" s="120"/>
      <c r="BM345" s="120"/>
      <c r="BN345" s="120"/>
      <c r="BO345" s="120"/>
      <c r="BP345" s="120"/>
      <c r="BQ345" s="120"/>
      <c r="BR345" s="120"/>
      <c r="BS345" s="120"/>
      <c r="BT345" s="120"/>
      <c r="BU345" s="120"/>
      <c r="BV345" s="120"/>
      <c r="BW345" s="120"/>
      <c r="BX345" s="120"/>
      <c r="BY345" s="120"/>
      <c r="BZ345" s="120"/>
      <c r="CA345" s="120"/>
      <c r="CB345" s="120"/>
      <c r="CC345" s="120"/>
      <c r="CD345" s="120"/>
      <c r="CE345" s="120"/>
      <c r="CF345" s="120"/>
      <c r="CG345" s="120"/>
      <c r="CH345" s="120"/>
      <c r="CI345" s="120"/>
      <c r="CJ345" s="120"/>
      <c r="CK345" s="120"/>
      <c r="CL345" s="120"/>
      <c r="CM345" s="120"/>
      <c r="CN345" s="120"/>
      <c r="CO345" s="120"/>
    </row>
    <row r="346" spans="1:93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1"/>
      <c r="U346" s="120"/>
      <c r="V346" s="120"/>
      <c r="W346" s="121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20"/>
      <c r="AW346" s="120"/>
      <c r="AX346" s="120"/>
      <c r="AY346" s="120"/>
      <c r="AZ346" s="120"/>
      <c r="BA346" s="120"/>
      <c r="BB346" s="120"/>
      <c r="BC346" s="120"/>
      <c r="BD346" s="120"/>
      <c r="BE346" s="120"/>
      <c r="BF346" s="120"/>
      <c r="BG346" s="120"/>
      <c r="BH346" s="120"/>
      <c r="BI346" s="120"/>
      <c r="BJ346" s="120"/>
      <c r="BK346" s="120"/>
      <c r="BL346" s="120"/>
      <c r="BM346" s="120"/>
      <c r="BN346" s="120"/>
      <c r="BO346" s="120"/>
      <c r="BP346" s="120"/>
      <c r="BQ346" s="120"/>
      <c r="BR346" s="120"/>
      <c r="BS346" s="120"/>
      <c r="BT346" s="120"/>
      <c r="BU346" s="120"/>
      <c r="BV346" s="120"/>
      <c r="BW346" s="120"/>
      <c r="BX346" s="120"/>
      <c r="BY346" s="120"/>
      <c r="BZ346" s="120"/>
      <c r="CA346" s="120"/>
      <c r="CB346" s="120"/>
      <c r="CC346" s="120"/>
      <c r="CD346" s="120"/>
      <c r="CE346" s="120"/>
      <c r="CF346" s="120"/>
      <c r="CG346" s="120"/>
      <c r="CH346" s="120"/>
      <c r="CI346" s="120"/>
      <c r="CJ346" s="120"/>
      <c r="CK346" s="120"/>
      <c r="CL346" s="120"/>
      <c r="CM346" s="120"/>
      <c r="CN346" s="120"/>
      <c r="CO346" s="120"/>
    </row>
    <row r="347" spans="1:93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1"/>
      <c r="U347" s="120"/>
      <c r="V347" s="120"/>
      <c r="W347" s="121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120"/>
      <c r="AR347" s="120"/>
      <c r="AS347" s="120"/>
      <c r="AT347" s="120"/>
      <c r="AU347" s="120"/>
      <c r="AV347" s="120"/>
      <c r="AW347" s="120"/>
      <c r="AX347" s="120"/>
      <c r="AY347" s="120"/>
      <c r="AZ347" s="120"/>
      <c r="BA347" s="120"/>
      <c r="BB347" s="120"/>
      <c r="BC347" s="120"/>
      <c r="BD347" s="120"/>
      <c r="BE347" s="120"/>
      <c r="BF347" s="120"/>
      <c r="BG347" s="120"/>
      <c r="BH347" s="120"/>
      <c r="BI347" s="120"/>
      <c r="BJ347" s="120"/>
      <c r="BK347" s="120"/>
      <c r="BL347" s="120"/>
      <c r="BM347" s="120"/>
      <c r="BN347" s="120"/>
      <c r="BO347" s="120"/>
      <c r="BP347" s="120"/>
      <c r="BQ347" s="120"/>
      <c r="BR347" s="120"/>
      <c r="BS347" s="120"/>
      <c r="BT347" s="120"/>
      <c r="BU347" s="120"/>
      <c r="BV347" s="120"/>
      <c r="BW347" s="120"/>
      <c r="BX347" s="120"/>
      <c r="BY347" s="120"/>
      <c r="BZ347" s="120"/>
      <c r="CA347" s="120"/>
      <c r="CB347" s="120"/>
      <c r="CC347" s="120"/>
      <c r="CD347" s="120"/>
      <c r="CE347" s="120"/>
      <c r="CF347" s="120"/>
      <c r="CG347" s="120"/>
      <c r="CH347" s="120"/>
      <c r="CI347" s="120"/>
      <c r="CJ347" s="120"/>
      <c r="CK347" s="120"/>
      <c r="CL347" s="120"/>
      <c r="CM347" s="120"/>
      <c r="CN347" s="120"/>
      <c r="CO347" s="120"/>
    </row>
    <row r="348" spans="1:93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1"/>
      <c r="U348" s="120"/>
      <c r="V348" s="120"/>
      <c r="W348" s="121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120"/>
      <c r="AR348" s="120"/>
      <c r="AS348" s="120"/>
      <c r="AT348" s="120"/>
      <c r="AU348" s="120"/>
      <c r="AV348" s="120"/>
      <c r="AW348" s="120"/>
      <c r="AX348" s="120"/>
      <c r="AY348" s="120"/>
      <c r="AZ348" s="120"/>
      <c r="BA348" s="120"/>
      <c r="BB348" s="120"/>
      <c r="BC348" s="120"/>
      <c r="BD348" s="120"/>
      <c r="BE348" s="120"/>
      <c r="BF348" s="120"/>
      <c r="BG348" s="120"/>
      <c r="BH348" s="120"/>
      <c r="BI348" s="120"/>
      <c r="BJ348" s="120"/>
      <c r="BK348" s="120"/>
      <c r="BL348" s="120"/>
      <c r="BM348" s="120"/>
      <c r="BN348" s="120"/>
      <c r="BO348" s="120"/>
      <c r="BP348" s="120"/>
      <c r="BQ348" s="120"/>
      <c r="BR348" s="120"/>
      <c r="BS348" s="120"/>
      <c r="BT348" s="120"/>
      <c r="BU348" s="120"/>
      <c r="BV348" s="120"/>
      <c r="BW348" s="120"/>
      <c r="BX348" s="120"/>
      <c r="BY348" s="120"/>
      <c r="BZ348" s="120"/>
      <c r="CA348" s="120"/>
      <c r="CB348" s="120"/>
      <c r="CC348" s="120"/>
      <c r="CD348" s="120"/>
      <c r="CE348" s="120"/>
      <c r="CF348" s="120"/>
      <c r="CG348" s="120"/>
      <c r="CH348" s="120"/>
      <c r="CI348" s="120"/>
      <c r="CJ348" s="120"/>
      <c r="CK348" s="120"/>
      <c r="CL348" s="120"/>
      <c r="CM348" s="120"/>
      <c r="CN348" s="120"/>
      <c r="CO348" s="120"/>
    </row>
    <row r="349" spans="1:93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1"/>
      <c r="U349" s="120"/>
      <c r="V349" s="120"/>
      <c r="W349" s="121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120"/>
      <c r="AR349" s="120"/>
      <c r="AS349" s="120"/>
      <c r="AT349" s="120"/>
      <c r="AU349" s="120"/>
      <c r="AV349" s="120"/>
      <c r="AW349" s="120"/>
      <c r="AX349" s="120"/>
      <c r="AY349" s="120"/>
      <c r="AZ349" s="120"/>
      <c r="BA349" s="120"/>
      <c r="BB349" s="120"/>
      <c r="BC349" s="120"/>
      <c r="BD349" s="120"/>
      <c r="BE349" s="120"/>
      <c r="BF349" s="120"/>
      <c r="BG349" s="120"/>
      <c r="BH349" s="120"/>
      <c r="BI349" s="120"/>
      <c r="BJ349" s="120"/>
      <c r="BK349" s="120"/>
      <c r="BL349" s="120"/>
      <c r="BM349" s="120"/>
      <c r="BN349" s="120"/>
      <c r="BO349" s="120"/>
      <c r="BP349" s="120"/>
      <c r="BQ349" s="120"/>
      <c r="BR349" s="120"/>
      <c r="BS349" s="120"/>
      <c r="BT349" s="120"/>
      <c r="BU349" s="120"/>
      <c r="BV349" s="120"/>
      <c r="BW349" s="120"/>
      <c r="BX349" s="120"/>
      <c r="BY349" s="120"/>
      <c r="BZ349" s="120"/>
      <c r="CA349" s="120"/>
      <c r="CB349" s="120"/>
      <c r="CC349" s="120"/>
      <c r="CD349" s="120"/>
      <c r="CE349" s="120"/>
      <c r="CF349" s="120"/>
      <c r="CG349" s="120"/>
      <c r="CH349" s="120"/>
      <c r="CI349" s="120"/>
      <c r="CJ349" s="120"/>
      <c r="CK349" s="120"/>
      <c r="CL349" s="120"/>
      <c r="CM349" s="120"/>
      <c r="CN349" s="120"/>
      <c r="CO349" s="120"/>
    </row>
    <row r="350" spans="1:93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1"/>
      <c r="U350" s="120"/>
      <c r="V350" s="120"/>
      <c r="W350" s="121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120"/>
      <c r="AR350" s="120"/>
      <c r="AS350" s="120"/>
      <c r="AT350" s="120"/>
      <c r="AU350" s="120"/>
      <c r="AV350" s="120"/>
      <c r="AW350" s="120"/>
      <c r="AX350" s="120"/>
      <c r="AY350" s="120"/>
      <c r="AZ350" s="120"/>
      <c r="BA350" s="120"/>
      <c r="BB350" s="120"/>
      <c r="BC350" s="120"/>
      <c r="BD350" s="120"/>
      <c r="BE350" s="120"/>
      <c r="BF350" s="120"/>
      <c r="BG350" s="120"/>
      <c r="BH350" s="120"/>
      <c r="BI350" s="120"/>
      <c r="BJ350" s="120"/>
      <c r="BK350" s="120"/>
      <c r="BL350" s="120"/>
      <c r="BM350" s="120"/>
      <c r="BN350" s="120"/>
      <c r="BO350" s="120"/>
      <c r="BP350" s="120"/>
      <c r="BQ350" s="120"/>
      <c r="BR350" s="120"/>
      <c r="BS350" s="120"/>
      <c r="BT350" s="120"/>
      <c r="BU350" s="120"/>
      <c r="BV350" s="120"/>
      <c r="BW350" s="120"/>
      <c r="BX350" s="120"/>
      <c r="BY350" s="120"/>
      <c r="BZ350" s="120"/>
      <c r="CA350" s="120"/>
      <c r="CB350" s="120"/>
      <c r="CC350" s="120"/>
      <c r="CD350" s="120"/>
      <c r="CE350" s="120"/>
      <c r="CF350" s="120"/>
      <c r="CG350" s="120"/>
      <c r="CH350" s="120"/>
      <c r="CI350" s="120"/>
      <c r="CJ350" s="120"/>
      <c r="CK350" s="120"/>
      <c r="CL350" s="120"/>
      <c r="CM350" s="120"/>
      <c r="CN350" s="120"/>
      <c r="CO350" s="120"/>
    </row>
    <row r="351" spans="1:93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1"/>
      <c r="U351" s="120"/>
      <c r="V351" s="120"/>
      <c r="W351" s="121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120"/>
      <c r="AR351" s="120"/>
      <c r="AS351" s="120"/>
      <c r="AT351" s="120"/>
      <c r="AU351" s="120"/>
      <c r="AV351" s="120"/>
      <c r="AW351" s="120"/>
      <c r="AX351" s="120"/>
      <c r="AY351" s="120"/>
      <c r="AZ351" s="120"/>
      <c r="BA351" s="120"/>
      <c r="BB351" s="120"/>
      <c r="BC351" s="120"/>
      <c r="BD351" s="120"/>
      <c r="BE351" s="120"/>
      <c r="BF351" s="120"/>
      <c r="BG351" s="120"/>
      <c r="BH351" s="120"/>
      <c r="BI351" s="120"/>
      <c r="BJ351" s="120"/>
      <c r="BK351" s="120"/>
      <c r="BL351" s="120"/>
      <c r="BM351" s="120"/>
      <c r="BN351" s="120"/>
      <c r="BO351" s="120"/>
      <c r="BP351" s="120"/>
      <c r="BQ351" s="120"/>
      <c r="BR351" s="120"/>
      <c r="BS351" s="120"/>
      <c r="BT351" s="120"/>
      <c r="BU351" s="120"/>
      <c r="BV351" s="120"/>
      <c r="BW351" s="120"/>
      <c r="BX351" s="120"/>
      <c r="BY351" s="120"/>
      <c r="BZ351" s="120"/>
      <c r="CA351" s="120"/>
      <c r="CB351" s="120"/>
      <c r="CC351" s="120"/>
      <c r="CD351" s="120"/>
      <c r="CE351" s="120"/>
      <c r="CF351" s="120"/>
      <c r="CG351" s="120"/>
      <c r="CH351" s="120"/>
      <c r="CI351" s="120"/>
      <c r="CJ351" s="120"/>
      <c r="CK351" s="120"/>
      <c r="CL351" s="120"/>
      <c r="CM351" s="120"/>
      <c r="CN351" s="120"/>
      <c r="CO351" s="120"/>
    </row>
    <row r="352" spans="1:93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1"/>
      <c r="U352" s="120"/>
      <c r="V352" s="120"/>
      <c r="W352" s="121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120"/>
      <c r="AR352" s="120"/>
      <c r="AS352" s="120"/>
      <c r="AT352" s="120"/>
      <c r="AU352" s="120"/>
      <c r="AV352" s="120"/>
      <c r="AW352" s="120"/>
      <c r="AX352" s="120"/>
      <c r="AY352" s="120"/>
      <c r="AZ352" s="120"/>
      <c r="BA352" s="120"/>
      <c r="BB352" s="120"/>
      <c r="BC352" s="120"/>
      <c r="BD352" s="120"/>
      <c r="BE352" s="120"/>
      <c r="BF352" s="120"/>
      <c r="BG352" s="120"/>
      <c r="BH352" s="120"/>
      <c r="BI352" s="120"/>
      <c r="BJ352" s="120"/>
      <c r="BK352" s="120"/>
      <c r="BL352" s="120"/>
      <c r="BM352" s="120"/>
      <c r="BN352" s="120"/>
      <c r="BO352" s="120"/>
      <c r="BP352" s="120"/>
      <c r="BQ352" s="120"/>
      <c r="BR352" s="120"/>
      <c r="BS352" s="120"/>
      <c r="BT352" s="120"/>
      <c r="BU352" s="120"/>
      <c r="BV352" s="120"/>
      <c r="BW352" s="120"/>
      <c r="BX352" s="120"/>
      <c r="BY352" s="120"/>
      <c r="BZ352" s="120"/>
      <c r="CA352" s="120"/>
      <c r="CB352" s="120"/>
      <c r="CC352" s="120"/>
      <c r="CD352" s="120"/>
      <c r="CE352" s="120"/>
      <c r="CF352" s="120"/>
      <c r="CG352" s="120"/>
      <c r="CH352" s="120"/>
      <c r="CI352" s="120"/>
      <c r="CJ352" s="120"/>
      <c r="CK352" s="120"/>
      <c r="CL352" s="120"/>
      <c r="CM352" s="120"/>
      <c r="CN352" s="120"/>
      <c r="CO352" s="120"/>
    </row>
    <row r="353" spans="1:93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1"/>
      <c r="U353" s="120"/>
      <c r="V353" s="120"/>
      <c r="W353" s="121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120"/>
      <c r="AR353" s="120"/>
      <c r="AS353" s="120"/>
      <c r="AT353" s="120"/>
      <c r="AU353" s="120"/>
      <c r="AV353" s="120"/>
      <c r="AW353" s="120"/>
      <c r="AX353" s="120"/>
      <c r="AY353" s="120"/>
      <c r="AZ353" s="120"/>
      <c r="BA353" s="120"/>
      <c r="BB353" s="120"/>
      <c r="BC353" s="120"/>
      <c r="BD353" s="120"/>
      <c r="BE353" s="120"/>
      <c r="BF353" s="120"/>
      <c r="BG353" s="120"/>
      <c r="BH353" s="120"/>
      <c r="BI353" s="120"/>
      <c r="BJ353" s="120"/>
      <c r="BK353" s="120"/>
      <c r="BL353" s="120"/>
      <c r="BM353" s="120"/>
      <c r="BN353" s="120"/>
      <c r="BO353" s="120"/>
      <c r="BP353" s="120"/>
      <c r="BQ353" s="120"/>
      <c r="BR353" s="120"/>
      <c r="BS353" s="120"/>
      <c r="BT353" s="120"/>
      <c r="BU353" s="120"/>
      <c r="BV353" s="120"/>
      <c r="BW353" s="120"/>
      <c r="BX353" s="120"/>
      <c r="BY353" s="120"/>
      <c r="BZ353" s="120"/>
      <c r="CA353" s="120"/>
      <c r="CB353" s="120"/>
      <c r="CC353" s="120"/>
      <c r="CD353" s="120"/>
      <c r="CE353" s="120"/>
      <c r="CF353" s="120"/>
      <c r="CG353" s="120"/>
      <c r="CH353" s="120"/>
      <c r="CI353" s="120"/>
      <c r="CJ353" s="120"/>
      <c r="CK353" s="120"/>
      <c r="CL353" s="120"/>
      <c r="CM353" s="120"/>
      <c r="CN353" s="120"/>
      <c r="CO353" s="120"/>
    </row>
    <row r="354" spans="1:93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1"/>
      <c r="U354" s="120"/>
      <c r="V354" s="120"/>
      <c r="W354" s="121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120"/>
      <c r="AR354" s="120"/>
      <c r="AS354" s="120"/>
      <c r="AT354" s="120"/>
      <c r="AU354" s="120"/>
      <c r="AV354" s="120"/>
      <c r="AW354" s="120"/>
      <c r="AX354" s="120"/>
      <c r="AY354" s="120"/>
      <c r="AZ354" s="120"/>
      <c r="BA354" s="120"/>
      <c r="BB354" s="120"/>
      <c r="BC354" s="120"/>
      <c r="BD354" s="120"/>
      <c r="BE354" s="120"/>
      <c r="BF354" s="120"/>
      <c r="BG354" s="120"/>
      <c r="BH354" s="120"/>
      <c r="BI354" s="120"/>
      <c r="BJ354" s="120"/>
      <c r="BK354" s="120"/>
      <c r="BL354" s="120"/>
      <c r="BM354" s="120"/>
      <c r="BN354" s="120"/>
      <c r="BO354" s="120"/>
      <c r="BP354" s="120"/>
      <c r="BQ354" s="120"/>
      <c r="BR354" s="120"/>
      <c r="BS354" s="120"/>
      <c r="BT354" s="120"/>
      <c r="BU354" s="120"/>
      <c r="BV354" s="120"/>
      <c r="BW354" s="120"/>
      <c r="BX354" s="120"/>
      <c r="BY354" s="120"/>
      <c r="BZ354" s="120"/>
      <c r="CA354" s="120"/>
      <c r="CB354" s="120"/>
      <c r="CC354" s="120"/>
      <c r="CD354" s="120"/>
      <c r="CE354" s="120"/>
      <c r="CF354" s="120"/>
      <c r="CG354" s="120"/>
      <c r="CH354" s="120"/>
      <c r="CI354" s="120"/>
      <c r="CJ354" s="120"/>
      <c r="CK354" s="120"/>
      <c r="CL354" s="120"/>
      <c r="CM354" s="120"/>
      <c r="CN354" s="120"/>
      <c r="CO354" s="120"/>
    </row>
    <row r="355" spans="1:93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1"/>
      <c r="U355" s="120"/>
      <c r="V355" s="120"/>
      <c r="W355" s="121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120"/>
      <c r="AR355" s="120"/>
      <c r="AS355" s="120"/>
      <c r="AT355" s="120"/>
      <c r="AU355" s="120"/>
      <c r="AV355" s="120"/>
      <c r="AW355" s="120"/>
      <c r="AX355" s="120"/>
      <c r="AY355" s="120"/>
      <c r="AZ355" s="120"/>
      <c r="BA355" s="120"/>
      <c r="BB355" s="120"/>
      <c r="BC355" s="120"/>
      <c r="BD355" s="120"/>
      <c r="BE355" s="120"/>
      <c r="BF355" s="120"/>
      <c r="BG355" s="120"/>
      <c r="BH355" s="120"/>
      <c r="BI355" s="120"/>
      <c r="BJ355" s="120"/>
      <c r="BK355" s="120"/>
      <c r="BL355" s="120"/>
      <c r="BM355" s="120"/>
      <c r="BN355" s="120"/>
      <c r="BO355" s="120"/>
      <c r="BP355" s="120"/>
      <c r="BQ355" s="120"/>
      <c r="BR355" s="120"/>
      <c r="BS355" s="120"/>
      <c r="BT355" s="120"/>
      <c r="BU355" s="120"/>
      <c r="BV355" s="120"/>
      <c r="BW355" s="120"/>
      <c r="BX355" s="120"/>
      <c r="BY355" s="120"/>
      <c r="BZ355" s="120"/>
      <c r="CA355" s="120"/>
      <c r="CB355" s="120"/>
      <c r="CC355" s="120"/>
      <c r="CD355" s="120"/>
      <c r="CE355" s="120"/>
      <c r="CF355" s="120"/>
      <c r="CG355" s="120"/>
      <c r="CH355" s="120"/>
      <c r="CI355" s="120"/>
      <c r="CJ355" s="120"/>
      <c r="CK355" s="120"/>
      <c r="CL355" s="120"/>
      <c r="CM355" s="120"/>
      <c r="CN355" s="120"/>
      <c r="CO355" s="120"/>
    </row>
    <row r="356" spans="1:93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1"/>
      <c r="U356" s="120"/>
      <c r="V356" s="120"/>
      <c r="W356" s="121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120"/>
      <c r="AR356" s="120"/>
      <c r="AS356" s="120"/>
      <c r="AT356" s="120"/>
      <c r="AU356" s="120"/>
      <c r="AV356" s="120"/>
      <c r="AW356" s="120"/>
      <c r="AX356" s="120"/>
      <c r="AY356" s="120"/>
      <c r="AZ356" s="120"/>
      <c r="BA356" s="120"/>
      <c r="BB356" s="120"/>
      <c r="BC356" s="120"/>
      <c r="BD356" s="120"/>
      <c r="BE356" s="120"/>
      <c r="BF356" s="120"/>
      <c r="BG356" s="120"/>
      <c r="BH356" s="120"/>
      <c r="BI356" s="120"/>
      <c r="BJ356" s="120"/>
      <c r="BK356" s="120"/>
      <c r="BL356" s="120"/>
      <c r="BM356" s="120"/>
      <c r="BN356" s="120"/>
      <c r="BO356" s="120"/>
      <c r="BP356" s="120"/>
      <c r="BQ356" s="120"/>
      <c r="BR356" s="120"/>
      <c r="BS356" s="120"/>
      <c r="BT356" s="120"/>
      <c r="BU356" s="120"/>
      <c r="BV356" s="120"/>
      <c r="BW356" s="120"/>
      <c r="BX356" s="120"/>
      <c r="BY356" s="120"/>
      <c r="BZ356" s="120"/>
      <c r="CA356" s="120"/>
      <c r="CB356" s="120"/>
      <c r="CC356" s="120"/>
      <c r="CD356" s="120"/>
      <c r="CE356" s="120"/>
      <c r="CF356" s="120"/>
      <c r="CG356" s="120"/>
      <c r="CH356" s="120"/>
      <c r="CI356" s="120"/>
      <c r="CJ356" s="120"/>
      <c r="CK356" s="120"/>
      <c r="CL356" s="120"/>
      <c r="CM356" s="120"/>
      <c r="CN356" s="120"/>
      <c r="CO356" s="120"/>
    </row>
    <row r="357" spans="1:93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1"/>
      <c r="U357" s="120"/>
      <c r="V357" s="120"/>
      <c r="W357" s="121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120"/>
      <c r="AR357" s="120"/>
      <c r="AS357" s="120"/>
      <c r="AT357" s="120"/>
      <c r="AU357" s="120"/>
      <c r="AV357" s="120"/>
      <c r="AW357" s="120"/>
      <c r="AX357" s="120"/>
      <c r="AY357" s="120"/>
      <c r="AZ357" s="120"/>
      <c r="BA357" s="120"/>
      <c r="BB357" s="120"/>
      <c r="BC357" s="120"/>
      <c r="BD357" s="120"/>
      <c r="BE357" s="120"/>
      <c r="BF357" s="120"/>
      <c r="BG357" s="120"/>
      <c r="BH357" s="120"/>
      <c r="BI357" s="120"/>
      <c r="BJ357" s="120"/>
      <c r="BK357" s="120"/>
      <c r="BL357" s="120"/>
      <c r="BM357" s="120"/>
      <c r="BN357" s="120"/>
      <c r="BO357" s="120"/>
      <c r="BP357" s="120"/>
      <c r="BQ357" s="120"/>
      <c r="BR357" s="120"/>
      <c r="BS357" s="120"/>
      <c r="BT357" s="120"/>
      <c r="BU357" s="120"/>
      <c r="BV357" s="120"/>
      <c r="BW357" s="120"/>
      <c r="BX357" s="120"/>
      <c r="BY357" s="120"/>
      <c r="BZ357" s="120"/>
      <c r="CA357" s="120"/>
      <c r="CB357" s="120"/>
      <c r="CC357" s="120"/>
      <c r="CD357" s="120"/>
      <c r="CE357" s="120"/>
      <c r="CF357" s="120"/>
      <c r="CG357" s="120"/>
      <c r="CH357" s="120"/>
      <c r="CI357" s="120"/>
      <c r="CJ357" s="120"/>
      <c r="CK357" s="120"/>
      <c r="CL357" s="120"/>
      <c r="CM357" s="120"/>
      <c r="CN357" s="120"/>
      <c r="CO357" s="120"/>
    </row>
    <row r="358" spans="1:93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1"/>
      <c r="U358" s="120"/>
      <c r="V358" s="120"/>
      <c r="W358" s="121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120"/>
      <c r="AR358" s="120"/>
      <c r="AS358" s="120"/>
      <c r="AT358" s="120"/>
      <c r="AU358" s="120"/>
      <c r="AV358" s="120"/>
      <c r="AW358" s="120"/>
      <c r="AX358" s="120"/>
      <c r="AY358" s="120"/>
      <c r="AZ358" s="120"/>
      <c r="BA358" s="120"/>
      <c r="BB358" s="120"/>
      <c r="BC358" s="120"/>
      <c r="BD358" s="120"/>
      <c r="BE358" s="120"/>
      <c r="BF358" s="120"/>
      <c r="BG358" s="120"/>
      <c r="BH358" s="120"/>
      <c r="BI358" s="120"/>
      <c r="BJ358" s="120"/>
      <c r="BK358" s="120"/>
      <c r="BL358" s="120"/>
      <c r="BM358" s="120"/>
      <c r="BN358" s="120"/>
      <c r="BO358" s="120"/>
      <c r="BP358" s="120"/>
      <c r="BQ358" s="120"/>
      <c r="BR358" s="120"/>
      <c r="BS358" s="120"/>
      <c r="BT358" s="120"/>
      <c r="BU358" s="120"/>
      <c r="BV358" s="120"/>
      <c r="BW358" s="120"/>
      <c r="BX358" s="120"/>
      <c r="BY358" s="120"/>
      <c r="BZ358" s="120"/>
      <c r="CA358" s="120"/>
      <c r="CB358" s="120"/>
      <c r="CC358" s="120"/>
      <c r="CD358" s="120"/>
      <c r="CE358" s="120"/>
      <c r="CF358" s="120"/>
      <c r="CG358" s="120"/>
      <c r="CH358" s="120"/>
      <c r="CI358" s="120"/>
      <c r="CJ358" s="120"/>
      <c r="CK358" s="120"/>
      <c r="CL358" s="120"/>
      <c r="CM358" s="120"/>
      <c r="CN358" s="120"/>
      <c r="CO358" s="120"/>
    </row>
    <row r="359" spans="1:93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1"/>
      <c r="U359" s="120"/>
      <c r="V359" s="120"/>
      <c r="W359" s="121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120"/>
      <c r="AR359" s="120"/>
      <c r="AS359" s="120"/>
      <c r="AT359" s="120"/>
      <c r="AU359" s="120"/>
      <c r="AV359" s="120"/>
      <c r="AW359" s="120"/>
      <c r="AX359" s="120"/>
      <c r="AY359" s="120"/>
      <c r="AZ359" s="120"/>
      <c r="BA359" s="120"/>
      <c r="BB359" s="120"/>
      <c r="BC359" s="120"/>
      <c r="BD359" s="120"/>
      <c r="BE359" s="120"/>
      <c r="BF359" s="120"/>
      <c r="BG359" s="120"/>
      <c r="BH359" s="120"/>
      <c r="BI359" s="120"/>
      <c r="BJ359" s="120"/>
      <c r="BK359" s="120"/>
      <c r="BL359" s="120"/>
      <c r="BM359" s="120"/>
      <c r="BN359" s="120"/>
      <c r="BO359" s="120"/>
      <c r="BP359" s="120"/>
      <c r="BQ359" s="120"/>
      <c r="BR359" s="120"/>
      <c r="BS359" s="120"/>
      <c r="BT359" s="120"/>
      <c r="BU359" s="120"/>
      <c r="BV359" s="120"/>
      <c r="BW359" s="120"/>
      <c r="BX359" s="120"/>
      <c r="BY359" s="120"/>
      <c r="BZ359" s="120"/>
      <c r="CA359" s="120"/>
      <c r="CB359" s="120"/>
      <c r="CC359" s="120"/>
      <c r="CD359" s="120"/>
      <c r="CE359" s="120"/>
      <c r="CF359" s="120"/>
      <c r="CG359" s="120"/>
      <c r="CH359" s="120"/>
      <c r="CI359" s="120"/>
      <c r="CJ359" s="120"/>
      <c r="CK359" s="120"/>
      <c r="CL359" s="120"/>
      <c r="CM359" s="120"/>
      <c r="CN359" s="120"/>
      <c r="CO359" s="120"/>
    </row>
    <row r="360" spans="1:93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1"/>
      <c r="U360" s="120"/>
      <c r="V360" s="120"/>
      <c r="W360" s="121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120"/>
      <c r="AR360" s="120"/>
      <c r="AS360" s="120"/>
      <c r="AT360" s="120"/>
      <c r="AU360" s="120"/>
      <c r="AV360" s="120"/>
      <c r="AW360" s="120"/>
      <c r="AX360" s="120"/>
      <c r="AY360" s="120"/>
      <c r="AZ360" s="120"/>
      <c r="BA360" s="120"/>
      <c r="BB360" s="120"/>
      <c r="BC360" s="120"/>
      <c r="BD360" s="120"/>
      <c r="BE360" s="120"/>
      <c r="BF360" s="120"/>
      <c r="BG360" s="120"/>
      <c r="BH360" s="120"/>
      <c r="BI360" s="120"/>
      <c r="BJ360" s="120"/>
      <c r="BK360" s="120"/>
      <c r="BL360" s="120"/>
      <c r="BM360" s="120"/>
      <c r="BN360" s="120"/>
      <c r="BO360" s="120"/>
      <c r="BP360" s="120"/>
      <c r="BQ360" s="120"/>
      <c r="BR360" s="120"/>
      <c r="BS360" s="120"/>
      <c r="BT360" s="120"/>
      <c r="BU360" s="120"/>
      <c r="BV360" s="120"/>
      <c r="BW360" s="120"/>
      <c r="BX360" s="120"/>
      <c r="BY360" s="120"/>
      <c r="BZ360" s="120"/>
      <c r="CA360" s="120"/>
      <c r="CB360" s="120"/>
      <c r="CC360" s="120"/>
      <c r="CD360" s="120"/>
      <c r="CE360" s="120"/>
      <c r="CF360" s="120"/>
      <c r="CG360" s="120"/>
      <c r="CH360" s="120"/>
      <c r="CI360" s="120"/>
      <c r="CJ360" s="120"/>
      <c r="CK360" s="120"/>
      <c r="CL360" s="120"/>
      <c r="CM360" s="120"/>
      <c r="CN360" s="120"/>
      <c r="CO360" s="120"/>
    </row>
    <row r="361" spans="1:93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1"/>
      <c r="U361" s="120"/>
      <c r="V361" s="120"/>
      <c r="W361" s="121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120"/>
      <c r="AR361" s="120"/>
      <c r="AS361" s="120"/>
      <c r="AT361" s="120"/>
      <c r="AU361" s="120"/>
      <c r="AV361" s="120"/>
      <c r="AW361" s="120"/>
      <c r="AX361" s="120"/>
      <c r="AY361" s="120"/>
      <c r="AZ361" s="120"/>
      <c r="BA361" s="120"/>
      <c r="BB361" s="120"/>
      <c r="BC361" s="120"/>
      <c r="BD361" s="120"/>
      <c r="BE361" s="120"/>
      <c r="BF361" s="120"/>
      <c r="BG361" s="120"/>
      <c r="BH361" s="120"/>
      <c r="BI361" s="120"/>
      <c r="BJ361" s="120"/>
      <c r="BK361" s="120"/>
      <c r="BL361" s="120"/>
      <c r="BM361" s="120"/>
      <c r="BN361" s="120"/>
      <c r="BO361" s="120"/>
      <c r="BP361" s="120"/>
      <c r="BQ361" s="120"/>
      <c r="BR361" s="120"/>
      <c r="BS361" s="120"/>
      <c r="BT361" s="120"/>
      <c r="BU361" s="120"/>
      <c r="BV361" s="120"/>
      <c r="BW361" s="120"/>
      <c r="BX361" s="120"/>
      <c r="BY361" s="120"/>
      <c r="BZ361" s="120"/>
      <c r="CA361" s="120"/>
      <c r="CB361" s="120"/>
      <c r="CC361" s="120"/>
      <c r="CD361" s="120"/>
      <c r="CE361" s="120"/>
      <c r="CF361" s="120"/>
      <c r="CG361" s="120"/>
      <c r="CH361" s="120"/>
      <c r="CI361" s="120"/>
      <c r="CJ361" s="120"/>
      <c r="CK361" s="120"/>
      <c r="CL361" s="120"/>
      <c r="CM361" s="120"/>
      <c r="CN361" s="120"/>
      <c r="CO361" s="120"/>
    </row>
    <row r="362" spans="1:93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1"/>
      <c r="U362" s="120"/>
      <c r="V362" s="120"/>
      <c r="W362" s="121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120"/>
      <c r="AR362" s="120"/>
      <c r="AS362" s="120"/>
      <c r="AT362" s="120"/>
      <c r="AU362" s="120"/>
      <c r="AV362" s="120"/>
      <c r="AW362" s="120"/>
      <c r="AX362" s="120"/>
      <c r="AY362" s="120"/>
      <c r="AZ362" s="120"/>
      <c r="BA362" s="120"/>
      <c r="BB362" s="120"/>
      <c r="BC362" s="120"/>
      <c r="BD362" s="120"/>
      <c r="BE362" s="120"/>
      <c r="BF362" s="120"/>
      <c r="BG362" s="120"/>
      <c r="BH362" s="120"/>
      <c r="BI362" s="120"/>
      <c r="BJ362" s="120"/>
      <c r="BK362" s="120"/>
      <c r="BL362" s="120"/>
      <c r="BM362" s="120"/>
      <c r="BN362" s="120"/>
      <c r="BO362" s="120"/>
      <c r="BP362" s="120"/>
      <c r="BQ362" s="120"/>
      <c r="BR362" s="120"/>
      <c r="BS362" s="120"/>
      <c r="BT362" s="120"/>
      <c r="BU362" s="120"/>
      <c r="BV362" s="120"/>
      <c r="BW362" s="120"/>
      <c r="BX362" s="120"/>
      <c r="BY362" s="120"/>
      <c r="BZ362" s="120"/>
      <c r="CA362" s="120"/>
      <c r="CB362" s="120"/>
      <c r="CC362" s="120"/>
      <c r="CD362" s="120"/>
      <c r="CE362" s="120"/>
      <c r="CF362" s="120"/>
      <c r="CG362" s="120"/>
      <c r="CH362" s="120"/>
      <c r="CI362" s="120"/>
      <c r="CJ362" s="120"/>
      <c r="CK362" s="120"/>
      <c r="CL362" s="120"/>
      <c r="CM362" s="120"/>
      <c r="CN362" s="120"/>
      <c r="CO362" s="120"/>
    </row>
    <row r="363" spans="1:93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1"/>
      <c r="U363" s="120"/>
      <c r="V363" s="120"/>
      <c r="W363" s="121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120"/>
      <c r="AR363" s="120"/>
      <c r="AS363" s="120"/>
      <c r="AT363" s="120"/>
      <c r="AU363" s="120"/>
      <c r="AV363" s="120"/>
      <c r="AW363" s="120"/>
      <c r="AX363" s="120"/>
      <c r="AY363" s="120"/>
      <c r="AZ363" s="120"/>
      <c r="BA363" s="120"/>
      <c r="BB363" s="120"/>
      <c r="BC363" s="120"/>
      <c r="BD363" s="120"/>
      <c r="BE363" s="120"/>
      <c r="BF363" s="120"/>
      <c r="BG363" s="120"/>
      <c r="BH363" s="120"/>
      <c r="BI363" s="120"/>
      <c r="BJ363" s="120"/>
      <c r="BK363" s="120"/>
      <c r="BL363" s="120"/>
      <c r="BM363" s="120"/>
      <c r="BN363" s="120"/>
      <c r="BO363" s="120"/>
      <c r="BP363" s="120"/>
      <c r="BQ363" s="120"/>
      <c r="BR363" s="120"/>
      <c r="BS363" s="120"/>
      <c r="BT363" s="120"/>
      <c r="BU363" s="120"/>
      <c r="BV363" s="120"/>
      <c r="BW363" s="120"/>
      <c r="BX363" s="120"/>
      <c r="BY363" s="120"/>
      <c r="BZ363" s="120"/>
      <c r="CA363" s="120"/>
      <c r="CB363" s="120"/>
      <c r="CC363" s="120"/>
      <c r="CD363" s="120"/>
      <c r="CE363" s="120"/>
      <c r="CF363" s="120"/>
      <c r="CG363" s="120"/>
      <c r="CH363" s="120"/>
      <c r="CI363" s="120"/>
      <c r="CJ363" s="120"/>
      <c r="CK363" s="120"/>
      <c r="CL363" s="120"/>
      <c r="CM363" s="120"/>
      <c r="CN363" s="120"/>
      <c r="CO363" s="120"/>
    </row>
    <row r="364" spans="1:93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1"/>
      <c r="U364" s="120"/>
      <c r="V364" s="120"/>
      <c r="W364" s="121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120"/>
      <c r="AR364" s="120"/>
      <c r="AS364" s="120"/>
      <c r="AT364" s="120"/>
      <c r="AU364" s="120"/>
      <c r="AV364" s="120"/>
      <c r="AW364" s="120"/>
      <c r="AX364" s="120"/>
      <c r="AY364" s="120"/>
      <c r="AZ364" s="120"/>
      <c r="BA364" s="120"/>
      <c r="BB364" s="120"/>
      <c r="BC364" s="120"/>
      <c r="BD364" s="120"/>
      <c r="BE364" s="120"/>
      <c r="BF364" s="120"/>
      <c r="BG364" s="120"/>
      <c r="BH364" s="120"/>
      <c r="BI364" s="120"/>
      <c r="BJ364" s="120"/>
      <c r="BK364" s="120"/>
      <c r="BL364" s="120"/>
      <c r="BM364" s="120"/>
      <c r="BN364" s="120"/>
      <c r="BO364" s="120"/>
      <c r="BP364" s="120"/>
      <c r="BQ364" s="120"/>
      <c r="BR364" s="120"/>
      <c r="BS364" s="120"/>
      <c r="BT364" s="120"/>
      <c r="BU364" s="120"/>
      <c r="BV364" s="120"/>
      <c r="BW364" s="120"/>
      <c r="BX364" s="120"/>
      <c r="BY364" s="120"/>
      <c r="BZ364" s="120"/>
      <c r="CA364" s="120"/>
      <c r="CB364" s="120"/>
      <c r="CC364" s="120"/>
      <c r="CD364" s="120"/>
      <c r="CE364" s="120"/>
      <c r="CF364" s="120"/>
      <c r="CG364" s="120"/>
      <c r="CH364" s="120"/>
      <c r="CI364" s="120"/>
      <c r="CJ364" s="120"/>
      <c r="CK364" s="120"/>
      <c r="CL364" s="120"/>
      <c r="CM364" s="120"/>
      <c r="CN364" s="120"/>
      <c r="CO364" s="120"/>
    </row>
    <row r="365" spans="1:93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1"/>
      <c r="U365" s="120"/>
      <c r="V365" s="120"/>
      <c r="W365" s="121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20"/>
      <c r="AW365" s="120"/>
      <c r="AX365" s="120"/>
      <c r="AY365" s="120"/>
      <c r="AZ365" s="120"/>
      <c r="BA365" s="120"/>
      <c r="BB365" s="120"/>
      <c r="BC365" s="120"/>
      <c r="BD365" s="120"/>
      <c r="BE365" s="120"/>
      <c r="BF365" s="120"/>
      <c r="BG365" s="120"/>
      <c r="BH365" s="120"/>
      <c r="BI365" s="120"/>
      <c r="BJ365" s="120"/>
      <c r="BK365" s="120"/>
      <c r="BL365" s="120"/>
      <c r="BM365" s="120"/>
      <c r="BN365" s="120"/>
      <c r="BO365" s="120"/>
      <c r="BP365" s="120"/>
      <c r="BQ365" s="120"/>
      <c r="BR365" s="120"/>
      <c r="BS365" s="120"/>
      <c r="BT365" s="120"/>
      <c r="BU365" s="120"/>
      <c r="BV365" s="120"/>
      <c r="BW365" s="120"/>
      <c r="BX365" s="120"/>
      <c r="BY365" s="120"/>
      <c r="BZ365" s="120"/>
      <c r="CA365" s="120"/>
      <c r="CB365" s="120"/>
      <c r="CC365" s="120"/>
      <c r="CD365" s="120"/>
      <c r="CE365" s="120"/>
      <c r="CF365" s="120"/>
      <c r="CG365" s="120"/>
      <c r="CH365" s="120"/>
      <c r="CI365" s="120"/>
      <c r="CJ365" s="120"/>
      <c r="CK365" s="120"/>
      <c r="CL365" s="120"/>
      <c r="CM365" s="120"/>
      <c r="CN365" s="120"/>
      <c r="CO365" s="120"/>
    </row>
    <row r="366" spans="1:93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1"/>
      <c r="U366" s="120"/>
      <c r="V366" s="120"/>
      <c r="W366" s="121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120"/>
      <c r="AR366" s="120"/>
      <c r="AS366" s="120"/>
      <c r="AT366" s="120"/>
      <c r="AU366" s="120"/>
      <c r="AV366" s="120"/>
      <c r="AW366" s="120"/>
      <c r="AX366" s="120"/>
      <c r="AY366" s="120"/>
      <c r="AZ366" s="120"/>
      <c r="BA366" s="120"/>
      <c r="BB366" s="120"/>
      <c r="BC366" s="120"/>
      <c r="BD366" s="120"/>
      <c r="BE366" s="120"/>
      <c r="BF366" s="120"/>
      <c r="BG366" s="120"/>
      <c r="BH366" s="120"/>
      <c r="BI366" s="120"/>
      <c r="BJ366" s="120"/>
      <c r="BK366" s="120"/>
      <c r="BL366" s="120"/>
      <c r="BM366" s="120"/>
      <c r="BN366" s="120"/>
      <c r="BO366" s="120"/>
      <c r="BP366" s="120"/>
      <c r="BQ366" s="120"/>
      <c r="BR366" s="120"/>
      <c r="BS366" s="120"/>
      <c r="BT366" s="120"/>
      <c r="BU366" s="120"/>
      <c r="BV366" s="120"/>
      <c r="BW366" s="120"/>
      <c r="BX366" s="120"/>
      <c r="BY366" s="120"/>
      <c r="BZ366" s="120"/>
      <c r="CA366" s="120"/>
      <c r="CB366" s="120"/>
      <c r="CC366" s="120"/>
      <c r="CD366" s="120"/>
      <c r="CE366" s="120"/>
      <c r="CF366" s="120"/>
      <c r="CG366" s="120"/>
      <c r="CH366" s="120"/>
      <c r="CI366" s="120"/>
      <c r="CJ366" s="120"/>
      <c r="CK366" s="120"/>
      <c r="CL366" s="120"/>
      <c r="CM366" s="120"/>
      <c r="CN366" s="120"/>
      <c r="CO366" s="120"/>
    </row>
    <row r="367" spans="1:93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1"/>
      <c r="U367" s="120"/>
      <c r="V367" s="120"/>
      <c r="W367" s="121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120"/>
      <c r="AR367" s="120"/>
      <c r="AS367" s="120"/>
      <c r="AT367" s="120"/>
      <c r="AU367" s="120"/>
      <c r="AV367" s="120"/>
      <c r="AW367" s="120"/>
      <c r="AX367" s="120"/>
      <c r="AY367" s="120"/>
      <c r="AZ367" s="120"/>
      <c r="BA367" s="120"/>
      <c r="BB367" s="120"/>
      <c r="BC367" s="120"/>
      <c r="BD367" s="120"/>
      <c r="BE367" s="120"/>
      <c r="BF367" s="120"/>
      <c r="BG367" s="120"/>
      <c r="BH367" s="120"/>
      <c r="BI367" s="120"/>
      <c r="BJ367" s="120"/>
      <c r="BK367" s="120"/>
      <c r="BL367" s="120"/>
      <c r="BM367" s="120"/>
      <c r="BN367" s="120"/>
      <c r="BO367" s="120"/>
      <c r="BP367" s="120"/>
      <c r="BQ367" s="120"/>
      <c r="BR367" s="120"/>
      <c r="BS367" s="120"/>
      <c r="BT367" s="120"/>
      <c r="BU367" s="120"/>
      <c r="BV367" s="120"/>
      <c r="BW367" s="120"/>
      <c r="BX367" s="120"/>
      <c r="BY367" s="120"/>
      <c r="BZ367" s="120"/>
      <c r="CA367" s="120"/>
      <c r="CB367" s="120"/>
      <c r="CC367" s="120"/>
      <c r="CD367" s="120"/>
      <c r="CE367" s="120"/>
      <c r="CF367" s="120"/>
      <c r="CG367" s="120"/>
      <c r="CH367" s="120"/>
      <c r="CI367" s="120"/>
      <c r="CJ367" s="120"/>
      <c r="CK367" s="120"/>
      <c r="CL367" s="120"/>
      <c r="CM367" s="120"/>
      <c r="CN367" s="120"/>
      <c r="CO367" s="120"/>
    </row>
    <row r="368" spans="1:93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1"/>
      <c r="U368" s="120"/>
      <c r="V368" s="120"/>
      <c r="W368" s="121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120"/>
      <c r="AR368" s="120"/>
      <c r="AS368" s="120"/>
      <c r="AT368" s="120"/>
      <c r="AU368" s="120"/>
      <c r="AV368" s="120"/>
      <c r="AW368" s="120"/>
      <c r="AX368" s="120"/>
      <c r="AY368" s="120"/>
      <c r="AZ368" s="120"/>
      <c r="BA368" s="120"/>
      <c r="BB368" s="120"/>
      <c r="BC368" s="120"/>
      <c r="BD368" s="120"/>
      <c r="BE368" s="120"/>
      <c r="BF368" s="120"/>
      <c r="BG368" s="120"/>
      <c r="BH368" s="120"/>
      <c r="BI368" s="120"/>
      <c r="BJ368" s="120"/>
      <c r="BK368" s="120"/>
      <c r="BL368" s="120"/>
      <c r="BM368" s="120"/>
      <c r="BN368" s="120"/>
      <c r="BO368" s="120"/>
      <c r="BP368" s="120"/>
      <c r="BQ368" s="120"/>
      <c r="BR368" s="120"/>
      <c r="BS368" s="120"/>
      <c r="BT368" s="120"/>
      <c r="BU368" s="120"/>
      <c r="BV368" s="120"/>
      <c r="BW368" s="120"/>
      <c r="BX368" s="120"/>
      <c r="BY368" s="120"/>
      <c r="BZ368" s="120"/>
      <c r="CA368" s="120"/>
      <c r="CB368" s="120"/>
      <c r="CC368" s="120"/>
      <c r="CD368" s="120"/>
      <c r="CE368" s="120"/>
      <c r="CF368" s="120"/>
      <c r="CG368" s="120"/>
      <c r="CH368" s="120"/>
      <c r="CI368" s="120"/>
      <c r="CJ368" s="120"/>
      <c r="CK368" s="120"/>
      <c r="CL368" s="120"/>
      <c r="CM368" s="120"/>
      <c r="CN368" s="120"/>
      <c r="CO368" s="120"/>
    </row>
    <row r="369" spans="1:93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1"/>
      <c r="U369" s="120"/>
      <c r="V369" s="120"/>
      <c r="W369" s="121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20"/>
      <c r="BW369" s="120"/>
      <c r="BX369" s="120"/>
      <c r="BY369" s="120"/>
      <c r="BZ369" s="120"/>
      <c r="CA369" s="120"/>
      <c r="CB369" s="120"/>
      <c r="CC369" s="120"/>
      <c r="CD369" s="120"/>
      <c r="CE369" s="120"/>
      <c r="CF369" s="120"/>
      <c r="CG369" s="120"/>
      <c r="CH369" s="120"/>
      <c r="CI369" s="120"/>
      <c r="CJ369" s="120"/>
      <c r="CK369" s="120"/>
      <c r="CL369" s="120"/>
      <c r="CM369" s="120"/>
      <c r="CN369" s="120"/>
      <c r="CO369" s="120"/>
    </row>
    <row r="370" spans="1:93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1"/>
      <c r="U370" s="120"/>
      <c r="V370" s="120"/>
      <c r="W370" s="121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120"/>
      <c r="AR370" s="120"/>
      <c r="AS370" s="120"/>
      <c r="AT370" s="120"/>
      <c r="AU370" s="120"/>
      <c r="AV370" s="120"/>
      <c r="AW370" s="120"/>
      <c r="AX370" s="120"/>
      <c r="AY370" s="120"/>
      <c r="AZ370" s="120"/>
      <c r="BA370" s="120"/>
      <c r="BB370" s="120"/>
      <c r="BC370" s="120"/>
      <c r="BD370" s="120"/>
      <c r="BE370" s="120"/>
      <c r="BF370" s="120"/>
      <c r="BG370" s="120"/>
      <c r="BH370" s="120"/>
      <c r="BI370" s="120"/>
      <c r="BJ370" s="120"/>
      <c r="BK370" s="120"/>
      <c r="BL370" s="120"/>
      <c r="BM370" s="120"/>
      <c r="BN370" s="120"/>
      <c r="BO370" s="120"/>
      <c r="BP370" s="120"/>
      <c r="BQ370" s="120"/>
      <c r="BR370" s="120"/>
      <c r="BS370" s="120"/>
      <c r="BT370" s="120"/>
      <c r="BU370" s="120"/>
      <c r="BV370" s="120"/>
      <c r="BW370" s="120"/>
      <c r="BX370" s="120"/>
      <c r="BY370" s="120"/>
      <c r="BZ370" s="120"/>
      <c r="CA370" s="120"/>
      <c r="CB370" s="120"/>
      <c r="CC370" s="120"/>
      <c r="CD370" s="120"/>
      <c r="CE370" s="120"/>
      <c r="CF370" s="120"/>
      <c r="CG370" s="120"/>
      <c r="CH370" s="120"/>
      <c r="CI370" s="120"/>
      <c r="CJ370" s="120"/>
      <c r="CK370" s="120"/>
      <c r="CL370" s="120"/>
      <c r="CM370" s="120"/>
      <c r="CN370" s="120"/>
      <c r="CO370" s="120"/>
    </row>
    <row r="371" spans="1:93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1"/>
      <c r="U371" s="120"/>
      <c r="V371" s="120"/>
      <c r="W371" s="121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120"/>
      <c r="AR371" s="120"/>
      <c r="AS371" s="120"/>
      <c r="AT371" s="120"/>
      <c r="AU371" s="120"/>
      <c r="AV371" s="120"/>
      <c r="AW371" s="120"/>
      <c r="AX371" s="120"/>
      <c r="AY371" s="120"/>
      <c r="AZ371" s="120"/>
      <c r="BA371" s="120"/>
      <c r="BB371" s="120"/>
      <c r="BC371" s="120"/>
      <c r="BD371" s="120"/>
      <c r="BE371" s="120"/>
      <c r="BF371" s="120"/>
      <c r="BG371" s="120"/>
      <c r="BH371" s="120"/>
      <c r="BI371" s="120"/>
      <c r="BJ371" s="120"/>
      <c r="BK371" s="120"/>
      <c r="BL371" s="120"/>
      <c r="BM371" s="120"/>
      <c r="BN371" s="120"/>
      <c r="BO371" s="120"/>
      <c r="BP371" s="120"/>
      <c r="BQ371" s="120"/>
      <c r="BR371" s="120"/>
      <c r="BS371" s="120"/>
      <c r="BT371" s="120"/>
      <c r="BU371" s="120"/>
      <c r="BV371" s="120"/>
      <c r="BW371" s="120"/>
      <c r="BX371" s="120"/>
      <c r="BY371" s="120"/>
      <c r="BZ371" s="120"/>
      <c r="CA371" s="120"/>
      <c r="CB371" s="120"/>
      <c r="CC371" s="120"/>
      <c r="CD371" s="120"/>
      <c r="CE371" s="120"/>
      <c r="CF371" s="120"/>
      <c r="CG371" s="120"/>
      <c r="CH371" s="120"/>
      <c r="CI371" s="120"/>
      <c r="CJ371" s="120"/>
      <c r="CK371" s="120"/>
      <c r="CL371" s="120"/>
      <c r="CM371" s="120"/>
      <c r="CN371" s="120"/>
      <c r="CO371" s="120"/>
    </row>
    <row r="372" spans="1:93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1"/>
      <c r="U372" s="120"/>
      <c r="V372" s="120"/>
      <c r="W372" s="121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120"/>
      <c r="AR372" s="120"/>
      <c r="AS372" s="120"/>
      <c r="AT372" s="120"/>
      <c r="AU372" s="120"/>
      <c r="AV372" s="120"/>
      <c r="AW372" s="120"/>
      <c r="AX372" s="120"/>
      <c r="AY372" s="120"/>
      <c r="AZ372" s="120"/>
      <c r="BA372" s="120"/>
      <c r="BB372" s="120"/>
      <c r="BC372" s="120"/>
      <c r="BD372" s="120"/>
      <c r="BE372" s="120"/>
      <c r="BF372" s="120"/>
      <c r="BG372" s="120"/>
      <c r="BH372" s="120"/>
      <c r="BI372" s="120"/>
      <c r="BJ372" s="120"/>
      <c r="BK372" s="120"/>
      <c r="BL372" s="120"/>
      <c r="BM372" s="120"/>
      <c r="BN372" s="120"/>
      <c r="BO372" s="120"/>
      <c r="BP372" s="120"/>
      <c r="BQ372" s="120"/>
      <c r="BR372" s="120"/>
      <c r="BS372" s="120"/>
      <c r="BT372" s="120"/>
      <c r="BU372" s="120"/>
      <c r="BV372" s="120"/>
      <c r="BW372" s="120"/>
      <c r="BX372" s="120"/>
      <c r="BY372" s="120"/>
      <c r="BZ372" s="120"/>
      <c r="CA372" s="120"/>
      <c r="CB372" s="120"/>
      <c r="CC372" s="120"/>
      <c r="CD372" s="120"/>
      <c r="CE372" s="120"/>
      <c r="CF372" s="120"/>
      <c r="CG372" s="120"/>
      <c r="CH372" s="120"/>
      <c r="CI372" s="120"/>
      <c r="CJ372" s="120"/>
      <c r="CK372" s="120"/>
      <c r="CL372" s="120"/>
      <c r="CM372" s="120"/>
      <c r="CN372" s="120"/>
      <c r="CO372" s="120"/>
    </row>
    <row r="373" spans="1:93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1"/>
      <c r="U373" s="120"/>
      <c r="V373" s="120"/>
      <c r="W373" s="121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120"/>
      <c r="AR373" s="120"/>
      <c r="AS373" s="120"/>
      <c r="AT373" s="120"/>
      <c r="AU373" s="120"/>
      <c r="AV373" s="120"/>
      <c r="AW373" s="120"/>
      <c r="AX373" s="120"/>
      <c r="AY373" s="120"/>
      <c r="AZ373" s="120"/>
      <c r="BA373" s="120"/>
      <c r="BB373" s="120"/>
      <c r="BC373" s="120"/>
      <c r="BD373" s="120"/>
      <c r="BE373" s="120"/>
      <c r="BF373" s="120"/>
      <c r="BG373" s="120"/>
      <c r="BH373" s="120"/>
      <c r="BI373" s="120"/>
      <c r="BJ373" s="120"/>
      <c r="BK373" s="120"/>
      <c r="BL373" s="120"/>
      <c r="BM373" s="120"/>
      <c r="BN373" s="120"/>
      <c r="BO373" s="120"/>
      <c r="BP373" s="120"/>
      <c r="BQ373" s="120"/>
      <c r="BR373" s="120"/>
      <c r="BS373" s="120"/>
      <c r="BT373" s="120"/>
      <c r="BU373" s="120"/>
      <c r="BV373" s="120"/>
      <c r="BW373" s="120"/>
      <c r="BX373" s="120"/>
      <c r="BY373" s="120"/>
      <c r="BZ373" s="120"/>
      <c r="CA373" s="120"/>
      <c r="CB373" s="120"/>
      <c r="CC373" s="120"/>
      <c r="CD373" s="120"/>
      <c r="CE373" s="120"/>
      <c r="CF373" s="120"/>
      <c r="CG373" s="120"/>
      <c r="CH373" s="120"/>
      <c r="CI373" s="120"/>
      <c r="CJ373" s="120"/>
      <c r="CK373" s="120"/>
      <c r="CL373" s="120"/>
      <c r="CM373" s="120"/>
      <c r="CN373" s="120"/>
      <c r="CO373" s="120"/>
    </row>
    <row r="374" spans="1:93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1"/>
      <c r="U374" s="120"/>
      <c r="V374" s="120"/>
      <c r="W374" s="121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120"/>
      <c r="AR374" s="120"/>
      <c r="AS374" s="120"/>
      <c r="AT374" s="120"/>
      <c r="AU374" s="120"/>
      <c r="AV374" s="120"/>
      <c r="AW374" s="120"/>
      <c r="AX374" s="120"/>
      <c r="AY374" s="120"/>
      <c r="AZ374" s="120"/>
      <c r="BA374" s="120"/>
      <c r="BB374" s="120"/>
      <c r="BC374" s="120"/>
      <c r="BD374" s="120"/>
      <c r="BE374" s="120"/>
      <c r="BF374" s="120"/>
      <c r="BG374" s="120"/>
      <c r="BH374" s="120"/>
      <c r="BI374" s="120"/>
      <c r="BJ374" s="120"/>
      <c r="BK374" s="120"/>
      <c r="BL374" s="120"/>
      <c r="BM374" s="120"/>
      <c r="BN374" s="120"/>
      <c r="BO374" s="120"/>
      <c r="BP374" s="120"/>
      <c r="BQ374" s="120"/>
      <c r="BR374" s="120"/>
      <c r="BS374" s="120"/>
      <c r="BT374" s="120"/>
      <c r="BU374" s="120"/>
      <c r="BV374" s="120"/>
      <c r="BW374" s="120"/>
      <c r="BX374" s="120"/>
      <c r="BY374" s="120"/>
      <c r="BZ374" s="120"/>
      <c r="CA374" s="120"/>
      <c r="CB374" s="120"/>
      <c r="CC374" s="120"/>
      <c r="CD374" s="120"/>
      <c r="CE374" s="120"/>
      <c r="CF374" s="120"/>
      <c r="CG374" s="120"/>
      <c r="CH374" s="120"/>
      <c r="CI374" s="120"/>
      <c r="CJ374" s="120"/>
      <c r="CK374" s="120"/>
      <c r="CL374" s="120"/>
      <c r="CM374" s="120"/>
      <c r="CN374" s="120"/>
      <c r="CO374" s="120"/>
    </row>
    <row r="375" spans="1:93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1"/>
      <c r="U375" s="120"/>
      <c r="V375" s="120"/>
      <c r="W375" s="121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120"/>
      <c r="AR375" s="120"/>
      <c r="AS375" s="120"/>
      <c r="AT375" s="120"/>
      <c r="AU375" s="120"/>
      <c r="AV375" s="120"/>
      <c r="AW375" s="120"/>
      <c r="AX375" s="120"/>
      <c r="AY375" s="120"/>
      <c r="AZ375" s="120"/>
      <c r="BA375" s="120"/>
      <c r="BB375" s="120"/>
      <c r="BC375" s="120"/>
      <c r="BD375" s="120"/>
      <c r="BE375" s="120"/>
      <c r="BF375" s="120"/>
      <c r="BG375" s="120"/>
      <c r="BH375" s="120"/>
      <c r="BI375" s="120"/>
      <c r="BJ375" s="120"/>
      <c r="BK375" s="120"/>
      <c r="BL375" s="120"/>
      <c r="BM375" s="120"/>
      <c r="BN375" s="120"/>
      <c r="BO375" s="120"/>
      <c r="BP375" s="120"/>
      <c r="BQ375" s="120"/>
      <c r="BR375" s="120"/>
      <c r="BS375" s="120"/>
      <c r="BT375" s="120"/>
      <c r="BU375" s="120"/>
      <c r="BV375" s="120"/>
      <c r="BW375" s="120"/>
      <c r="BX375" s="120"/>
      <c r="BY375" s="120"/>
      <c r="BZ375" s="120"/>
      <c r="CA375" s="120"/>
      <c r="CB375" s="120"/>
      <c r="CC375" s="120"/>
      <c r="CD375" s="120"/>
      <c r="CE375" s="120"/>
      <c r="CF375" s="120"/>
      <c r="CG375" s="120"/>
      <c r="CH375" s="120"/>
      <c r="CI375" s="120"/>
      <c r="CJ375" s="120"/>
      <c r="CK375" s="120"/>
      <c r="CL375" s="120"/>
      <c r="CM375" s="120"/>
      <c r="CN375" s="120"/>
      <c r="CO375" s="120"/>
    </row>
    <row r="376" spans="1:93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1"/>
      <c r="U376" s="120"/>
      <c r="V376" s="120"/>
      <c r="W376" s="121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120"/>
      <c r="AR376" s="120"/>
      <c r="AS376" s="120"/>
      <c r="AT376" s="120"/>
      <c r="AU376" s="120"/>
      <c r="AV376" s="120"/>
      <c r="AW376" s="120"/>
      <c r="AX376" s="120"/>
      <c r="AY376" s="120"/>
      <c r="AZ376" s="120"/>
      <c r="BA376" s="120"/>
      <c r="BB376" s="120"/>
      <c r="BC376" s="120"/>
      <c r="BD376" s="120"/>
      <c r="BE376" s="120"/>
      <c r="BF376" s="120"/>
      <c r="BG376" s="120"/>
      <c r="BH376" s="120"/>
      <c r="BI376" s="120"/>
      <c r="BJ376" s="120"/>
      <c r="BK376" s="120"/>
      <c r="BL376" s="120"/>
      <c r="BM376" s="120"/>
      <c r="BN376" s="120"/>
      <c r="BO376" s="120"/>
      <c r="BP376" s="120"/>
      <c r="BQ376" s="120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0"/>
      <c r="CB376" s="120"/>
      <c r="CC376" s="120"/>
      <c r="CD376" s="120"/>
      <c r="CE376" s="120"/>
      <c r="CF376" s="120"/>
      <c r="CG376" s="120"/>
      <c r="CH376" s="120"/>
      <c r="CI376" s="120"/>
      <c r="CJ376" s="120"/>
      <c r="CK376" s="120"/>
      <c r="CL376" s="120"/>
      <c r="CM376" s="120"/>
      <c r="CN376" s="120"/>
      <c r="CO376" s="120"/>
    </row>
    <row r="377" spans="1:93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1"/>
      <c r="U377" s="120"/>
      <c r="V377" s="120"/>
      <c r="W377" s="121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120"/>
      <c r="AR377" s="120"/>
      <c r="AS377" s="120"/>
      <c r="AT377" s="120"/>
      <c r="AU377" s="120"/>
      <c r="AV377" s="120"/>
      <c r="AW377" s="120"/>
      <c r="AX377" s="120"/>
      <c r="AY377" s="120"/>
      <c r="AZ377" s="120"/>
      <c r="BA377" s="120"/>
      <c r="BB377" s="120"/>
      <c r="BC377" s="120"/>
      <c r="BD377" s="120"/>
      <c r="BE377" s="120"/>
      <c r="BF377" s="120"/>
      <c r="BG377" s="120"/>
      <c r="BH377" s="120"/>
      <c r="BI377" s="120"/>
      <c r="BJ377" s="120"/>
      <c r="BK377" s="120"/>
      <c r="BL377" s="120"/>
      <c r="BM377" s="120"/>
      <c r="BN377" s="120"/>
      <c r="BO377" s="120"/>
      <c r="BP377" s="120"/>
      <c r="BQ377" s="120"/>
      <c r="BR377" s="120"/>
      <c r="BS377" s="120"/>
      <c r="BT377" s="120"/>
      <c r="BU377" s="120"/>
      <c r="BV377" s="120"/>
      <c r="BW377" s="120"/>
      <c r="BX377" s="120"/>
      <c r="BY377" s="120"/>
      <c r="BZ377" s="120"/>
      <c r="CA377" s="120"/>
      <c r="CB377" s="120"/>
      <c r="CC377" s="120"/>
      <c r="CD377" s="120"/>
      <c r="CE377" s="120"/>
      <c r="CF377" s="120"/>
      <c r="CG377" s="120"/>
      <c r="CH377" s="120"/>
      <c r="CI377" s="120"/>
      <c r="CJ377" s="120"/>
      <c r="CK377" s="120"/>
      <c r="CL377" s="120"/>
      <c r="CM377" s="120"/>
      <c r="CN377" s="120"/>
      <c r="CO377" s="120"/>
    </row>
    <row r="378" spans="1:93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1"/>
      <c r="U378" s="120"/>
      <c r="V378" s="120"/>
      <c r="W378" s="121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120"/>
      <c r="AR378" s="120"/>
      <c r="AS378" s="120"/>
      <c r="AT378" s="120"/>
      <c r="AU378" s="120"/>
      <c r="AV378" s="120"/>
      <c r="AW378" s="120"/>
      <c r="AX378" s="120"/>
      <c r="AY378" s="120"/>
      <c r="AZ378" s="120"/>
      <c r="BA378" s="120"/>
      <c r="BB378" s="120"/>
      <c r="BC378" s="120"/>
      <c r="BD378" s="120"/>
      <c r="BE378" s="120"/>
      <c r="BF378" s="120"/>
      <c r="BG378" s="120"/>
      <c r="BH378" s="120"/>
      <c r="BI378" s="120"/>
      <c r="BJ378" s="120"/>
      <c r="BK378" s="120"/>
      <c r="BL378" s="120"/>
      <c r="BM378" s="120"/>
      <c r="BN378" s="120"/>
      <c r="BO378" s="120"/>
      <c r="BP378" s="120"/>
      <c r="BQ378" s="120"/>
      <c r="BR378" s="120"/>
      <c r="BS378" s="120"/>
      <c r="BT378" s="120"/>
      <c r="BU378" s="120"/>
      <c r="BV378" s="120"/>
      <c r="BW378" s="120"/>
      <c r="BX378" s="120"/>
      <c r="BY378" s="120"/>
      <c r="BZ378" s="120"/>
      <c r="CA378" s="120"/>
      <c r="CB378" s="120"/>
      <c r="CC378" s="120"/>
      <c r="CD378" s="120"/>
      <c r="CE378" s="120"/>
      <c r="CF378" s="120"/>
      <c r="CG378" s="120"/>
      <c r="CH378" s="120"/>
      <c r="CI378" s="120"/>
      <c r="CJ378" s="120"/>
      <c r="CK378" s="120"/>
      <c r="CL378" s="120"/>
      <c r="CM378" s="120"/>
      <c r="CN378" s="120"/>
      <c r="CO378" s="120"/>
    </row>
    <row r="379" spans="1:93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1"/>
      <c r="U379" s="120"/>
      <c r="V379" s="120"/>
      <c r="W379" s="121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120"/>
      <c r="AR379" s="120"/>
      <c r="AS379" s="120"/>
      <c r="AT379" s="120"/>
      <c r="AU379" s="120"/>
      <c r="AV379" s="120"/>
      <c r="AW379" s="120"/>
      <c r="AX379" s="120"/>
      <c r="AY379" s="120"/>
      <c r="AZ379" s="120"/>
      <c r="BA379" s="120"/>
      <c r="BB379" s="120"/>
      <c r="BC379" s="120"/>
      <c r="BD379" s="120"/>
      <c r="BE379" s="120"/>
      <c r="BF379" s="120"/>
      <c r="BG379" s="120"/>
      <c r="BH379" s="120"/>
      <c r="BI379" s="120"/>
      <c r="BJ379" s="120"/>
      <c r="BK379" s="120"/>
      <c r="BL379" s="120"/>
      <c r="BM379" s="120"/>
      <c r="BN379" s="120"/>
      <c r="BO379" s="120"/>
      <c r="BP379" s="120"/>
      <c r="BQ379" s="120"/>
      <c r="BR379" s="120"/>
      <c r="BS379" s="120"/>
      <c r="BT379" s="120"/>
      <c r="BU379" s="120"/>
      <c r="BV379" s="120"/>
      <c r="BW379" s="120"/>
      <c r="BX379" s="120"/>
      <c r="BY379" s="120"/>
      <c r="BZ379" s="120"/>
      <c r="CA379" s="120"/>
      <c r="CB379" s="120"/>
      <c r="CC379" s="120"/>
      <c r="CD379" s="120"/>
      <c r="CE379" s="120"/>
      <c r="CF379" s="120"/>
      <c r="CG379" s="120"/>
      <c r="CH379" s="120"/>
      <c r="CI379" s="120"/>
      <c r="CJ379" s="120"/>
      <c r="CK379" s="120"/>
      <c r="CL379" s="120"/>
      <c r="CM379" s="120"/>
      <c r="CN379" s="120"/>
      <c r="CO379" s="120"/>
    </row>
    <row r="380" spans="1:93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1"/>
      <c r="U380" s="120"/>
      <c r="V380" s="120"/>
      <c r="W380" s="121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120"/>
      <c r="AR380" s="120"/>
      <c r="AS380" s="120"/>
      <c r="AT380" s="120"/>
      <c r="AU380" s="120"/>
      <c r="AV380" s="120"/>
      <c r="AW380" s="120"/>
      <c r="AX380" s="120"/>
      <c r="AY380" s="120"/>
      <c r="AZ380" s="120"/>
      <c r="BA380" s="120"/>
      <c r="BB380" s="120"/>
      <c r="BC380" s="120"/>
      <c r="BD380" s="120"/>
      <c r="BE380" s="120"/>
      <c r="BF380" s="120"/>
      <c r="BG380" s="120"/>
      <c r="BH380" s="120"/>
      <c r="BI380" s="120"/>
      <c r="BJ380" s="120"/>
      <c r="BK380" s="120"/>
      <c r="BL380" s="120"/>
      <c r="BM380" s="120"/>
      <c r="BN380" s="120"/>
      <c r="BO380" s="120"/>
      <c r="BP380" s="120"/>
      <c r="BQ380" s="120"/>
      <c r="BR380" s="120"/>
      <c r="BS380" s="120"/>
      <c r="BT380" s="120"/>
      <c r="BU380" s="120"/>
      <c r="BV380" s="120"/>
      <c r="BW380" s="120"/>
      <c r="BX380" s="120"/>
      <c r="BY380" s="120"/>
      <c r="BZ380" s="120"/>
      <c r="CA380" s="120"/>
      <c r="CB380" s="120"/>
      <c r="CC380" s="120"/>
      <c r="CD380" s="120"/>
      <c r="CE380" s="120"/>
      <c r="CF380" s="120"/>
      <c r="CG380" s="120"/>
      <c r="CH380" s="120"/>
      <c r="CI380" s="120"/>
      <c r="CJ380" s="120"/>
      <c r="CK380" s="120"/>
      <c r="CL380" s="120"/>
      <c r="CM380" s="120"/>
      <c r="CN380" s="120"/>
      <c r="CO380" s="120"/>
    </row>
    <row r="381" spans="1:93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1"/>
      <c r="U381" s="120"/>
      <c r="V381" s="120"/>
      <c r="W381" s="121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120"/>
      <c r="AR381" s="120"/>
      <c r="AS381" s="120"/>
      <c r="AT381" s="120"/>
      <c r="AU381" s="120"/>
      <c r="AV381" s="120"/>
      <c r="AW381" s="120"/>
      <c r="AX381" s="120"/>
      <c r="AY381" s="120"/>
      <c r="AZ381" s="120"/>
      <c r="BA381" s="120"/>
      <c r="BB381" s="120"/>
      <c r="BC381" s="120"/>
      <c r="BD381" s="120"/>
      <c r="BE381" s="120"/>
      <c r="BF381" s="120"/>
      <c r="BG381" s="120"/>
      <c r="BH381" s="120"/>
      <c r="BI381" s="120"/>
      <c r="BJ381" s="120"/>
      <c r="BK381" s="120"/>
      <c r="BL381" s="120"/>
      <c r="BM381" s="120"/>
      <c r="BN381" s="120"/>
      <c r="BO381" s="120"/>
      <c r="BP381" s="120"/>
      <c r="BQ381" s="120"/>
      <c r="BR381" s="120"/>
      <c r="BS381" s="120"/>
      <c r="BT381" s="120"/>
      <c r="BU381" s="120"/>
      <c r="BV381" s="120"/>
      <c r="BW381" s="120"/>
      <c r="BX381" s="120"/>
      <c r="BY381" s="120"/>
      <c r="BZ381" s="120"/>
      <c r="CA381" s="120"/>
      <c r="CB381" s="120"/>
      <c r="CC381" s="120"/>
      <c r="CD381" s="120"/>
      <c r="CE381" s="120"/>
      <c r="CF381" s="120"/>
      <c r="CG381" s="120"/>
      <c r="CH381" s="120"/>
      <c r="CI381" s="120"/>
      <c r="CJ381" s="120"/>
      <c r="CK381" s="120"/>
      <c r="CL381" s="120"/>
      <c r="CM381" s="120"/>
      <c r="CN381" s="120"/>
      <c r="CO381" s="120"/>
    </row>
    <row r="382" spans="1:93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1"/>
      <c r="U382" s="120"/>
      <c r="V382" s="120"/>
      <c r="W382" s="121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120"/>
      <c r="AR382" s="120"/>
      <c r="AS382" s="120"/>
      <c r="AT382" s="120"/>
      <c r="AU382" s="120"/>
      <c r="AV382" s="120"/>
      <c r="AW382" s="120"/>
      <c r="AX382" s="120"/>
      <c r="AY382" s="120"/>
      <c r="AZ382" s="120"/>
      <c r="BA382" s="120"/>
      <c r="BB382" s="120"/>
      <c r="BC382" s="120"/>
      <c r="BD382" s="120"/>
      <c r="BE382" s="120"/>
      <c r="BF382" s="120"/>
      <c r="BG382" s="120"/>
      <c r="BH382" s="120"/>
      <c r="BI382" s="120"/>
      <c r="BJ382" s="120"/>
      <c r="BK382" s="120"/>
      <c r="BL382" s="120"/>
      <c r="BM382" s="120"/>
      <c r="BN382" s="120"/>
      <c r="BO382" s="120"/>
      <c r="BP382" s="120"/>
      <c r="BQ382" s="120"/>
      <c r="BR382" s="120"/>
      <c r="BS382" s="120"/>
      <c r="BT382" s="120"/>
      <c r="BU382" s="120"/>
      <c r="BV382" s="120"/>
      <c r="BW382" s="120"/>
      <c r="BX382" s="120"/>
      <c r="BY382" s="120"/>
      <c r="BZ382" s="120"/>
      <c r="CA382" s="120"/>
      <c r="CB382" s="120"/>
      <c r="CC382" s="120"/>
      <c r="CD382" s="120"/>
      <c r="CE382" s="120"/>
      <c r="CF382" s="120"/>
      <c r="CG382" s="120"/>
      <c r="CH382" s="120"/>
      <c r="CI382" s="120"/>
      <c r="CJ382" s="120"/>
      <c r="CK382" s="120"/>
      <c r="CL382" s="120"/>
      <c r="CM382" s="120"/>
      <c r="CN382" s="120"/>
      <c r="CO382" s="120"/>
    </row>
    <row r="383" spans="1:93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1"/>
      <c r="U383" s="120"/>
      <c r="V383" s="120"/>
      <c r="W383" s="121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120"/>
      <c r="AR383" s="120"/>
      <c r="AS383" s="120"/>
      <c r="AT383" s="120"/>
      <c r="AU383" s="120"/>
      <c r="AV383" s="120"/>
      <c r="AW383" s="120"/>
      <c r="AX383" s="120"/>
      <c r="AY383" s="120"/>
      <c r="AZ383" s="120"/>
      <c r="BA383" s="120"/>
      <c r="BB383" s="120"/>
      <c r="BC383" s="120"/>
      <c r="BD383" s="120"/>
      <c r="BE383" s="120"/>
      <c r="BF383" s="120"/>
      <c r="BG383" s="120"/>
      <c r="BH383" s="120"/>
      <c r="BI383" s="120"/>
      <c r="BJ383" s="120"/>
      <c r="BK383" s="120"/>
      <c r="BL383" s="120"/>
      <c r="BM383" s="120"/>
      <c r="BN383" s="120"/>
      <c r="BO383" s="120"/>
      <c r="BP383" s="120"/>
      <c r="BQ383" s="120"/>
      <c r="BR383" s="120"/>
      <c r="BS383" s="120"/>
      <c r="BT383" s="120"/>
      <c r="BU383" s="120"/>
      <c r="BV383" s="120"/>
      <c r="BW383" s="120"/>
      <c r="BX383" s="120"/>
      <c r="BY383" s="120"/>
      <c r="BZ383" s="120"/>
      <c r="CA383" s="120"/>
      <c r="CB383" s="120"/>
      <c r="CC383" s="120"/>
      <c r="CD383" s="120"/>
      <c r="CE383" s="120"/>
      <c r="CF383" s="120"/>
      <c r="CG383" s="120"/>
      <c r="CH383" s="120"/>
      <c r="CI383" s="120"/>
      <c r="CJ383" s="120"/>
      <c r="CK383" s="120"/>
      <c r="CL383" s="120"/>
      <c r="CM383" s="120"/>
      <c r="CN383" s="120"/>
      <c r="CO383" s="120"/>
    </row>
    <row r="384" spans="1:93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1"/>
      <c r="U384" s="120"/>
      <c r="V384" s="120"/>
      <c r="W384" s="121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120"/>
      <c r="AR384" s="120"/>
      <c r="AS384" s="120"/>
      <c r="AT384" s="120"/>
      <c r="AU384" s="120"/>
      <c r="AV384" s="120"/>
      <c r="AW384" s="120"/>
      <c r="AX384" s="120"/>
      <c r="AY384" s="120"/>
      <c r="AZ384" s="120"/>
      <c r="BA384" s="120"/>
      <c r="BB384" s="120"/>
      <c r="BC384" s="120"/>
      <c r="BD384" s="120"/>
      <c r="BE384" s="120"/>
      <c r="BF384" s="120"/>
      <c r="BG384" s="120"/>
      <c r="BH384" s="120"/>
      <c r="BI384" s="120"/>
      <c r="BJ384" s="120"/>
      <c r="BK384" s="120"/>
      <c r="BL384" s="120"/>
      <c r="BM384" s="120"/>
      <c r="BN384" s="120"/>
      <c r="BO384" s="120"/>
      <c r="BP384" s="120"/>
      <c r="BQ384" s="120"/>
      <c r="BR384" s="120"/>
      <c r="BS384" s="120"/>
      <c r="BT384" s="120"/>
      <c r="BU384" s="120"/>
      <c r="BV384" s="120"/>
      <c r="BW384" s="120"/>
      <c r="BX384" s="120"/>
      <c r="BY384" s="120"/>
      <c r="BZ384" s="120"/>
      <c r="CA384" s="120"/>
      <c r="CB384" s="120"/>
      <c r="CC384" s="120"/>
      <c r="CD384" s="120"/>
      <c r="CE384" s="120"/>
      <c r="CF384" s="120"/>
      <c r="CG384" s="120"/>
      <c r="CH384" s="120"/>
      <c r="CI384" s="120"/>
      <c r="CJ384" s="120"/>
      <c r="CK384" s="120"/>
      <c r="CL384" s="120"/>
      <c r="CM384" s="120"/>
      <c r="CN384" s="120"/>
      <c r="CO384" s="120"/>
    </row>
    <row r="385" spans="1:93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1"/>
      <c r="U385" s="120"/>
      <c r="V385" s="120"/>
      <c r="W385" s="121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120"/>
      <c r="AR385" s="120"/>
      <c r="AS385" s="120"/>
      <c r="AT385" s="120"/>
      <c r="AU385" s="120"/>
      <c r="AV385" s="120"/>
      <c r="AW385" s="120"/>
      <c r="AX385" s="120"/>
      <c r="AY385" s="120"/>
      <c r="AZ385" s="120"/>
      <c r="BA385" s="120"/>
      <c r="BB385" s="120"/>
      <c r="BC385" s="120"/>
      <c r="BD385" s="120"/>
      <c r="BE385" s="120"/>
      <c r="BF385" s="120"/>
      <c r="BG385" s="120"/>
      <c r="BH385" s="120"/>
      <c r="BI385" s="120"/>
      <c r="BJ385" s="120"/>
      <c r="BK385" s="120"/>
      <c r="BL385" s="120"/>
      <c r="BM385" s="120"/>
      <c r="BN385" s="120"/>
      <c r="BO385" s="120"/>
      <c r="BP385" s="120"/>
      <c r="BQ385" s="120"/>
      <c r="BR385" s="120"/>
      <c r="BS385" s="120"/>
      <c r="BT385" s="120"/>
      <c r="BU385" s="120"/>
      <c r="BV385" s="120"/>
      <c r="BW385" s="120"/>
      <c r="BX385" s="120"/>
      <c r="BY385" s="120"/>
      <c r="BZ385" s="120"/>
      <c r="CA385" s="120"/>
      <c r="CB385" s="120"/>
      <c r="CC385" s="120"/>
      <c r="CD385" s="120"/>
      <c r="CE385" s="120"/>
      <c r="CF385" s="120"/>
      <c r="CG385" s="120"/>
      <c r="CH385" s="120"/>
      <c r="CI385" s="120"/>
      <c r="CJ385" s="120"/>
      <c r="CK385" s="120"/>
      <c r="CL385" s="120"/>
      <c r="CM385" s="120"/>
      <c r="CN385" s="120"/>
      <c r="CO385" s="120"/>
    </row>
    <row r="386" spans="1:93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1"/>
      <c r="U386" s="120"/>
      <c r="V386" s="120"/>
      <c r="W386" s="121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120"/>
      <c r="AR386" s="120"/>
      <c r="AS386" s="120"/>
      <c r="AT386" s="120"/>
      <c r="AU386" s="120"/>
      <c r="AV386" s="120"/>
      <c r="AW386" s="120"/>
      <c r="AX386" s="120"/>
      <c r="AY386" s="120"/>
      <c r="AZ386" s="120"/>
      <c r="BA386" s="120"/>
      <c r="BB386" s="120"/>
      <c r="BC386" s="120"/>
      <c r="BD386" s="120"/>
      <c r="BE386" s="120"/>
      <c r="BF386" s="120"/>
      <c r="BG386" s="120"/>
      <c r="BH386" s="120"/>
      <c r="BI386" s="120"/>
      <c r="BJ386" s="120"/>
      <c r="BK386" s="120"/>
      <c r="BL386" s="120"/>
      <c r="BM386" s="120"/>
      <c r="BN386" s="120"/>
      <c r="BO386" s="120"/>
      <c r="BP386" s="120"/>
      <c r="BQ386" s="120"/>
      <c r="BR386" s="120"/>
      <c r="BS386" s="120"/>
      <c r="BT386" s="120"/>
      <c r="BU386" s="120"/>
      <c r="BV386" s="120"/>
      <c r="BW386" s="120"/>
      <c r="BX386" s="120"/>
      <c r="BY386" s="120"/>
      <c r="BZ386" s="120"/>
      <c r="CA386" s="120"/>
      <c r="CB386" s="120"/>
      <c r="CC386" s="120"/>
      <c r="CD386" s="120"/>
      <c r="CE386" s="120"/>
      <c r="CF386" s="120"/>
      <c r="CG386" s="120"/>
      <c r="CH386" s="120"/>
      <c r="CI386" s="120"/>
      <c r="CJ386" s="120"/>
      <c r="CK386" s="120"/>
      <c r="CL386" s="120"/>
      <c r="CM386" s="120"/>
      <c r="CN386" s="120"/>
      <c r="CO386" s="120"/>
    </row>
    <row r="387" spans="1:93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1"/>
      <c r="U387" s="120"/>
      <c r="V387" s="120"/>
      <c r="W387" s="121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120"/>
      <c r="AR387" s="120"/>
      <c r="AS387" s="120"/>
      <c r="AT387" s="120"/>
      <c r="AU387" s="120"/>
      <c r="AV387" s="120"/>
      <c r="AW387" s="120"/>
      <c r="AX387" s="120"/>
      <c r="AY387" s="120"/>
      <c r="AZ387" s="120"/>
      <c r="BA387" s="120"/>
      <c r="BB387" s="120"/>
      <c r="BC387" s="120"/>
      <c r="BD387" s="120"/>
      <c r="BE387" s="120"/>
      <c r="BF387" s="120"/>
      <c r="BG387" s="120"/>
      <c r="BH387" s="120"/>
      <c r="BI387" s="120"/>
      <c r="BJ387" s="120"/>
      <c r="BK387" s="120"/>
      <c r="BL387" s="120"/>
      <c r="BM387" s="120"/>
      <c r="BN387" s="120"/>
      <c r="BO387" s="120"/>
      <c r="BP387" s="120"/>
      <c r="BQ387" s="120"/>
      <c r="BR387" s="120"/>
      <c r="BS387" s="120"/>
      <c r="BT387" s="120"/>
      <c r="BU387" s="120"/>
      <c r="BV387" s="120"/>
      <c r="BW387" s="120"/>
      <c r="BX387" s="120"/>
      <c r="BY387" s="120"/>
      <c r="BZ387" s="120"/>
      <c r="CA387" s="120"/>
      <c r="CB387" s="120"/>
      <c r="CC387" s="120"/>
      <c r="CD387" s="120"/>
      <c r="CE387" s="120"/>
      <c r="CF387" s="120"/>
      <c r="CG387" s="120"/>
      <c r="CH387" s="120"/>
      <c r="CI387" s="120"/>
      <c r="CJ387" s="120"/>
      <c r="CK387" s="120"/>
      <c r="CL387" s="120"/>
      <c r="CM387" s="120"/>
      <c r="CN387" s="120"/>
      <c r="CO387" s="120"/>
    </row>
    <row r="388" spans="1:93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1"/>
      <c r="U388" s="120"/>
      <c r="V388" s="120"/>
      <c r="W388" s="121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120"/>
      <c r="AR388" s="120"/>
      <c r="AS388" s="120"/>
      <c r="AT388" s="120"/>
      <c r="AU388" s="120"/>
      <c r="AV388" s="120"/>
      <c r="AW388" s="120"/>
      <c r="AX388" s="120"/>
      <c r="AY388" s="120"/>
      <c r="AZ388" s="120"/>
      <c r="BA388" s="120"/>
      <c r="BB388" s="120"/>
      <c r="BC388" s="120"/>
      <c r="BD388" s="120"/>
      <c r="BE388" s="120"/>
      <c r="BF388" s="120"/>
      <c r="BG388" s="120"/>
      <c r="BH388" s="120"/>
      <c r="BI388" s="120"/>
      <c r="BJ388" s="120"/>
      <c r="BK388" s="120"/>
      <c r="BL388" s="120"/>
      <c r="BM388" s="120"/>
      <c r="BN388" s="120"/>
      <c r="BO388" s="120"/>
      <c r="BP388" s="120"/>
      <c r="BQ388" s="120"/>
      <c r="BR388" s="120"/>
      <c r="BS388" s="120"/>
      <c r="BT388" s="120"/>
      <c r="BU388" s="120"/>
      <c r="BV388" s="120"/>
      <c r="BW388" s="120"/>
      <c r="BX388" s="120"/>
      <c r="BY388" s="120"/>
      <c r="BZ388" s="120"/>
      <c r="CA388" s="120"/>
      <c r="CB388" s="120"/>
      <c r="CC388" s="120"/>
      <c r="CD388" s="120"/>
      <c r="CE388" s="120"/>
      <c r="CF388" s="120"/>
      <c r="CG388" s="120"/>
      <c r="CH388" s="120"/>
      <c r="CI388" s="120"/>
      <c r="CJ388" s="120"/>
      <c r="CK388" s="120"/>
      <c r="CL388" s="120"/>
      <c r="CM388" s="120"/>
      <c r="CN388" s="120"/>
      <c r="CO388" s="120"/>
    </row>
    <row r="389" spans="1:93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1"/>
      <c r="U389" s="120"/>
      <c r="V389" s="120"/>
      <c r="W389" s="121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120"/>
      <c r="AR389" s="120"/>
      <c r="AS389" s="120"/>
      <c r="AT389" s="120"/>
      <c r="AU389" s="120"/>
      <c r="AV389" s="120"/>
      <c r="AW389" s="120"/>
      <c r="AX389" s="120"/>
      <c r="AY389" s="120"/>
      <c r="AZ389" s="120"/>
      <c r="BA389" s="120"/>
      <c r="BB389" s="120"/>
      <c r="BC389" s="120"/>
      <c r="BD389" s="120"/>
      <c r="BE389" s="120"/>
      <c r="BF389" s="120"/>
      <c r="BG389" s="120"/>
      <c r="BH389" s="120"/>
      <c r="BI389" s="120"/>
      <c r="BJ389" s="120"/>
      <c r="BK389" s="120"/>
      <c r="BL389" s="120"/>
      <c r="BM389" s="120"/>
      <c r="BN389" s="120"/>
      <c r="BO389" s="120"/>
      <c r="BP389" s="120"/>
      <c r="BQ389" s="120"/>
      <c r="BR389" s="120"/>
      <c r="BS389" s="120"/>
      <c r="BT389" s="120"/>
      <c r="BU389" s="120"/>
      <c r="BV389" s="120"/>
      <c r="BW389" s="120"/>
      <c r="BX389" s="120"/>
      <c r="BY389" s="120"/>
      <c r="BZ389" s="120"/>
      <c r="CA389" s="120"/>
      <c r="CB389" s="120"/>
      <c r="CC389" s="120"/>
      <c r="CD389" s="120"/>
      <c r="CE389" s="120"/>
      <c r="CF389" s="120"/>
      <c r="CG389" s="120"/>
      <c r="CH389" s="120"/>
      <c r="CI389" s="120"/>
      <c r="CJ389" s="120"/>
      <c r="CK389" s="120"/>
      <c r="CL389" s="120"/>
      <c r="CM389" s="120"/>
      <c r="CN389" s="120"/>
      <c r="CO389" s="120"/>
    </row>
    <row r="390" spans="1:93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1"/>
      <c r="U390" s="120"/>
      <c r="V390" s="120"/>
      <c r="W390" s="121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120"/>
      <c r="AR390" s="120"/>
      <c r="AS390" s="120"/>
      <c r="AT390" s="120"/>
      <c r="AU390" s="120"/>
      <c r="AV390" s="120"/>
      <c r="AW390" s="120"/>
      <c r="AX390" s="120"/>
      <c r="AY390" s="120"/>
      <c r="AZ390" s="120"/>
      <c r="BA390" s="120"/>
      <c r="BB390" s="120"/>
      <c r="BC390" s="120"/>
      <c r="BD390" s="120"/>
      <c r="BE390" s="120"/>
      <c r="BF390" s="120"/>
      <c r="BG390" s="120"/>
      <c r="BH390" s="120"/>
      <c r="BI390" s="120"/>
      <c r="BJ390" s="120"/>
      <c r="BK390" s="120"/>
      <c r="BL390" s="120"/>
      <c r="BM390" s="120"/>
      <c r="BN390" s="120"/>
      <c r="BO390" s="120"/>
      <c r="BP390" s="120"/>
      <c r="BQ390" s="120"/>
      <c r="BR390" s="120"/>
      <c r="BS390" s="120"/>
      <c r="BT390" s="120"/>
      <c r="BU390" s="120"/>
      <c r="BV390" s="120"/>
      <c r="BW390" s="120"/>
      <c r="BX390" s="120"/>
      <c r="BY390" s="120"/>
      <c r="BZ390" s="120"/>
      <c r="CA390" s="120"/>
      <c r="CB390" s="120"/>
      <c r="CC390" s="120"/>
      <c r="CD390" s="120"/>
      <c r="CE390" s="120"/>
      <c r="CF390" s="120"/>
      <c r="CG390" s="120"/>
      <c r="CH390" s="120"/>
      <c r="CI390" s="120"/>
      <c r="CJ390" s="120"/>
      <c r="CK390" s="120"/>
      <c r="CL390" s="120"/>
      <c r="CM390" s="120"/>
      <c r="CN390" s="120"/>
      <c r="CO390" s="120"/>
    </row>
    <row r="391" spans="1:93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1"/>
      <c r="U391" s="120"/>
      <c r="V391" s="120"/>
      <c r="W391" s="121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120"/>
      <c r="AR391" s="120"/>
      <c r="AS391" s="120"/>
      <c r="AT391" s="120"/>
      <c r="AU391" s="120"/>
      <c r="AV391" s="120"/>
      <c r="AW391" s="120"/>
      <c r="AX391" s="120"/>
      <c r="AY391" s="120"/>
      <c r="AZ391" s="120"/>
      <c r="BA391" s="120"/>
      <c r="BB391" s="120"/>
      <c r="BC391" s="120"/>
      <c r="BD391" s="120"/>
      <c r="BE391" s="120"/>
      <c r="BF391" s="120"/>
      <c r="BG391" s="120"/>
      <c r="BH391" s="120"/>
      <c r="BI391" s="120"/>
      <c r="BJ391" s="120"/>
      <c r="BK391" s="120"/>
      <c r="BL391" s="120"/>
      <c r="BM391" s="120"/>
      <c r="BN391" s="120"/>
      <c r="BO391" s="120"/>
      <c r="BP391" s="120"/>
      <c r="BQ391" s="120"/>
      <c r="BR391" s="120"/>
      <c r="BS391" s="120"/>
      <c r="BT391" s="120"/>
      <c r="BU391" s="120"/>
      <c r="BV391" s="120"/>
      <c r="BW391" s="120"/>
      <c r="BX391" s="120"/>
      <c r="BY391" s="120"/>
      <c r="BZ391" s="120"/>
      <c r="CA391" s="120"/>
      <c r="CB391" s="120"/>
      <c r="CC391" s="120"/>
      <c r="CD391" s="120"/>
      <c r="CE391" s="120"/>
      <c r="CF391" s="120"/>
      <c r="CG391" s="120"/>
      <c r="CH391" s="120"/>
      <c r="CI391" s="120"/>
      <c r="CJ391" s="120"/>
      <c r="CK391" s="120"/>
      <c r="CL391" s="120"/>
      <c r="CM391" s="120"/>
      <c r="CN391" s="120"/>
      <c r="CO391" s="120"/>
    </row>
    <row r="392" spans="1:93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1"/>
      <c r="U392" s="120"/>
      <c r="V392" s="120"/>
      <c r="W392" s="121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120"/>
      <c r="AR392" s="120"/>
      <c r="AS392" s="120"/>
      <c r="AT392" s="120"/>
      <c r="AU392" s="120"/>
      <c r="AV392" s="120"/>
      <c r="AW392" s="120"/>
      <c r="AX392" s="120"/>
      <c r="AY392" s="120"/>
      <c r="AZ392" s="120"/>
      <c r="BA392" s="120"/>
      <c r="BB392" s="120"/>
      <c r="BC392" s="120"/>
      <c r="BD392" s="120"/>
      <c r="BE392" s="120"/>
      <c r="BF392" s="120"/>
      <c r="BG392" s="120"/>
      <c r="BH392" s="120"/>
      <c r="BI392" s="120"/>
      <c r="BJ392" s="120"/>
      <c r="BK392" s="120"/>
      <c r="BL392" s="120"/>
      <c r="BM392" s="120"/>
      <c r="BN392" s="120"/>
      <c r="BO392" s="120"/>
      <c r="BP392" s="120"/>
      <c r="BQ392" s="120"/>
      <c r="BR392" s="120"/>
      <c r="BS392" s="120"/>
      <c r="BT392" s="120"/>
      <c r="BU392" s="120"/>
      <c r="BV392" s="120"/>
      <c r="BW392" s="120"/>
      <c r="BX392" s="120"/>
      <c r="BY392" s="120"/>
      <c r="BZ392" s="120"/>
      <c r="CA392" s="120"/>
      <c r="CB392" s="120"/>
      <c r="CC392" s="120"/>
      <c r="CD392" s="120"/>
      <c r="CE392" s="120"/>
      <c r="CF392" s="120"/>
      <c r="CG392" s="120"/>
      <c r="CH392" s="120"/>
      <c r="CI392" s="120"/>
      <c r="CJ392" s="120"/>
      <c r="CK392" s="120"/>
      <c r="CL392" s="120"/>
      <c r="CM392" s="120"/>
      <c r="CN392" s="120"/>
      <c r="CO392" s="120"/>
    </row>
    <row r="393" spans="1:93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1"/>
      <c r="U393" s="120"/>
      <c r="V393" s="120"/>
      <c r="W393" s="121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120"/>
      <c r="AR393" s="120"/>
      <c r="AS393" s="120"/>
      <c r="AT393" s="120"/>
      <c r="AU393" s="120"/>
      <c r="AV393" s="120"/>
      <c r="AW393" s="120"/>
      <c r="AX393" s="120"/>
      <c r="AY393" s="120"/>
      <c r="AZ393" s="120"/>
      <c r="BA393" s="120"/>
      <c r="BB393" s="120"/>
      <c r="BC393" s="120"/>
      <c r="BD393" s="120"/>
      <c r="BE393" s="120"/>
      <c r="BF393" s="120"/>
      <c r="BG393" s="120"/>
      <c r="BH393" s="120"/>
      <c r="BI393" s="120"/>
      <c r="BJ393" s="120"/>
      <c r="BK393" s="120"/>
      <c r="BL393" s="120"/>
      <c r="BM393" s="120"/>
      <c r="BN393" s="120"/>
      <c r="BO393" s="120"/>
      <c r="BP393" s="120"/>
      <c r="BQ393" s="120"/>
      <c r="BR393" s="120"/>
      <c r="BS393" s="120"/>
      <c r="BT393" s="120"/>
      <c r="BU393" s="120"/>
      <c r="BV393" s="120"/>
      <c r="BW393" s="120"/>
      <c r="BX393" s="120"/>
      <c r="BY393" s="120"/>
      <c r="BZ393" s="120"/>
      <c r="CA393" s="120"/>
      <c r="CB393" s="120"/>
      <c r="CC393" s="120"/>
      <c r="CD393" s="120"/>
      <c r="CE393" s="120"/>
      <c r="CF393" s="120"/>
      <c r="CG393" s="120"/>
      <c r="CH393" s="120"/>
      <c r="CI393" s="120"/>
      <c r="CJ393" s="120"/>
      <c r="CK393" s="120"/>
      <c r="CL393" s="120"/>
      <c r="CM393" s="120"/>
      <c r="CN393" s="120"/>
      <c r="CO393" s="120"/>
    </row>
    <row r="394" spans="1:93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1"/>
      <c r="U394" s="120"/>
      <c r="V394" s="120"/>
      <c r="W394" s="121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120"/>
      <c r="AR394" s="120"/>
      <c r="AS394" s="120"/>
      <c r="AT394" s="120"/>
      <c r="AU394" s="120"/>
      <c r="AV394" s="120"/>
      <c r="AW394" s="120"/>
      <c r="AX394" s="120"/>
      <c r="AY394" s="120"/>
      <c r="AZ394" s="120"/>
      <c r="BA394" s="120"/>
      <c r="BB394" s="120"/>
      <c r="BC394" s="120"/>
      <c r="BD394" s="120"/>
      <c r="BE394" s="120"/>
      <c r="BF394" s="120"/>
      <c r="BG394" s="120"/>
      <c r="BH394" s="120"/>
      <c r="BI394" s="120"/>
      <c r="BJ394" s="120"/>
      <c r="BK394" s="120"/>
      <c r="BL394" s="120"/>
      <c r="BM394" s="120"/>
      <c r="BN394" s="120"/>
      <c r="BO394" s="120"/>
      <c r="BP394" s="120"/>
      <c r="BQ394" s="120"/>
      <c r="BR394" s="120"/>
      <c r="BS394" s="120"/>
      <c r="BT394" s="120"/>
      <c r="BU394" s="120"/>
      <c r="BV394" s="120"/>
      <c r="BW394" s="120"/>
      <c r="BX394" s="120"/>
      <c r="BY394" s="120"/>
      <c r="BZ394" s="120"/>
      <c r="CA394" s="120"/>
      <c r="CB394" s="120"/>
      <c r="CC394" s="120"/>
      <c r="CD394" s="120"/>
      <c r="CE394" s="120"/>
      <c r="CF394" s="120"/>
      <c r="CG394" s="120"/>
      <c r="CH394" s="120"/>
      <c r="CI394" s="120"/>
      <c r="CJ394" s="120"/>
      <c r="CK394" s="120"/>
      <c r="CL394" s="120"/>
      <c r="CM394" s="120"/>
      <c r="CN394" s="120"/>
      <c r="CO394" s="120"/>
    </row>
    <row r="395" spans="1:93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1"/>
      <c r="U395" s="120"/>
      <c r="V395" s="120"/>
      <c r="W395" s="121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120"/>
      <c r="AR395" s="120"/>
      <c r="AS395" s="120"/>
      <c r="AT395" s="120"/>
      <c r="AU395" s="120"/>
      <c r="AV395" s="120"/>
      <c r="AW395" s="120"/>
      <c r="AX395" s="120"/>
      <c r="AY395" s="120"/>
      <c r="AZ395" s="120"/>
      <c r="BA395" s="120"/>
      <c r="BB395" s="120"/>
      <c r="BC395" s="120"/>
      <c r="BD395" s="120"/>
      <c r="BE395" s="120"/>
      <c r="BF395" s="120"/>
      <c r="BG395" s="120"/>
      <c r="BH395" s="120"/>
      <c r="BI395" s="120"/>
      <c r="BJ395" s="120"/>
      <c r="BK395" s="120"/>
      <c r="BL395" s="120"/>
      <c r="BM395" s="120"/>
      <c r="BN395" s="120"/>
      <c r="BO395" s="120"/>
      <c r="BP395" s="120"/>
      <c r="BQ395" s="120"/>
      <c r="BR395" s="120"/>
      <c r="BS395" s="120"/>
      <c r="BT395" s="120"/>
      <c r="BU395" s="120"/>
      <c r="BV395" s="120"/>
      <c r="BW395" s="120"/>
      <c r="BX395" s="120"/>
      <c r="BY395" s="120"/>
      <c r="BZ395" s="120"/>
      <c r="CA395" s="120"/>
      <c r="CB395" s="120"/>
      <c r="CC395" s="120"/>
      <c r="CD395" s="120"/>
      <c r="CE395" s="120"/>
      <c r="CF395" s="120"/>
      <c r="CG395" s="120"/>
      <c r="CH395" s="120"/>
      <c r="CI395" s="120"/>
      <c r="CJ395" s="120"/>
      <c r="CK395" s="120"/>
      <c r="CL395" s="120"/>
      <c r="CM395" s="120"/>
      <c r="CN395" s="120"/>
      <c r="CO395" s="120"/>
    </row>
    <row r="396" spans="1:93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1"/>
      <c r="U396" s="120"/>
      <c r="V396" s="120"/>
      <c r="W396" s="121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120"/>
      <c r="AR396" s="120"/>
      <c r="AS396" s="120"/>
      <c r="AT396" s="120"/>
      <c r="AU396" s="120"/>
      <c r="AV396" s="120"/>
      <c r="AW396" s="120"/>
      <c r="AX396" s="120"/>
      <c r="AY396" s="120"/>
      <c r="AZ396" s="120"/>
      <c r="BA396" s="120"/>
      <c r="BB396" s="120"/>
      <c r="BC396" s="120"/>
      <c r="BD396" s="120"/>
      <c r="BE396" s="120"/>
      <c r="BF396" s="120"/>
      <c r="BG396" s="120"/>
      <c r="BH396" s="120"/>
      <c r="BI396" s="120"/>
      <c r="BJ396" s="120"/>
      <c r="BK396" s="120"/>
      <c r="BL396" s="120"/>
      <c r="BM396" s="120"/>
      <c r="BN396" s="120"/>
      <c r="BO396" s="120"/>
      <c r="BP396" s="120"/>
      <c r="BQ396" s="120"/>
      <c r="BR396" s="120"/>
      <c r="BS396" s="120"/>
      <c r="BT396" s="120"/>
      <c r="BU396" s="120"/>
      <c r="BV396" s="120"/>
      <c r="BW396" s="120"/>
      <c r="BX396" s="120"/>
      <c r="BY396" s="120"/>
      <c r="BZ396" s="120"/>
      <c r="CA396" s="120"/>
      <c r="CB396" s="120"/>
      <c r="CC396" s="120"/>
      <c r="CD396" s="120"/>
      <c r="CE396" s="120"/>
      <c r="CF396" s="120"/>
      <c r="CG396" s="120"/>
      <c r="CH396" s="120"/>
      <c r="CI396" s="120"/>
      <c r="CJ396" s="120"/>
      <c r="CK396" s="120"/>
      <c r="CL396" s="120"/>
      <c r="CM396" s="120"/>
      <c r="CN396" s="120"/>
      <c r="CO396" s="120"/>
    </row>
    <row r="397" spans="1:93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1"/>
      <c r="U397" s="120"/>
      <c r="V397" s="120"/>
      <c r="W397" s="121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120"/>
      <c r="AR397" s="120"/>
      <c r="AS397" s="120"/>
      <c r="AT397" s="120"/>
      <c r="AU397" s="120"/>
      <c r="AV397" s="120"/>
      <c r="AW397" s="120"/>
      <c r="AX397" s="120"/>
      <c r="AY397" s="120"/>
      <c r="AZ397" s="120"/>
      <c r="BA397" s="120"/>
      <c r="BB397" s="120"/>
      <c r="BC397" s="120"/>
      <c r="BD397" s="120"/>
      <c r="BE397" s="120"/>
      <c r="BF397" s="120"/>
      <c r="BG397" s="120"/>
      <c r="BH397" s="120"/>
      <c r="BI397" s="120"/>
      <c r="BJ397" s="120"/>
      <c r="BK397" s="120"/>
      <c r="BL397" s="120"/>
      <c r="BM397" s="120"/>
      <c r="BN397" s="120"/>
      <c r="BO397" s="120"/>
      <c r="BP397" s="120"/>
      <c r="BQ397" s="120"/>
      <c r="BR397" s="120"/>
      <c r="BS397" s="120"/>
      <c r="BT397" s="120"/>
      <c r="BU397" s="120"/>
      <c r="BV397" s="120"/>
      <c r="BW397" s="120"/>
      <c r="BX397" s="120"/>
      <c r="BY397" s="120"/>
      <c r="BZ397" s="120"/>
      <c r="CA397" s="120"/>
      <c r="CB397" s="120"/>
      <c r="CC397" s="120"/>
      <c r="CD397" s="120"/>
      <c r="CE397" s="120"/>
      <c r="CF397" s="120"/>
      <c r="CG397" s="120"/>
      <c r="CH397" s="120"/>
      <c r="CI397" s="120"/>
      <c r="CJ397" s="120"/>
      <c r="CK397" s="120"/>
      <c r="CL397" s="120"/>
      <c r="CM397" s="120"/>
      <c r="CN397" s="120"/>
      <c r="CO397" s="120"/>
    </row>
    <row r="398" spans="1:93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1"/>
      <c r="U398" s="120"/>
      <c r="V398" s="120"/>
      <c r="W398" s="121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120"/>
      <c r="AR398" s="120"/>
      <c r="AS398" s="120"/>
      <c r="AT398" s="120"/>
      <c r="AU398" s="120"/>
      <c r="AV398" s="120"/>
      <c r="AW398" s="120"/>
      <c r="AX398" s="120"/>
      <c r="AY398" s="120"/>
      <c r="AZ398" s="120"/>
      <c r="BA398" s="120"/>
      <c r="BB398" s="120"/>
      <c r="BC398" s="120"/>
      <c r="BD398" s="120"/>
      <c r="BE398" s="120"/>
      <c r="BF398" s="120"/>
      <c r="BG398" s="120"/>
      <c r="BH398" s="120"/>
      <c r="BI398" s="120"/>
      <c r="BJ398" s="120"/>
      <c r="BK398" s="120"/>
      <c r="BL398" s="120"/>
      <c r="BM398" s="120"/>
      <c r="BN398" s="120"/>
      <c r="BO398" s="120"/>
      <c r="BP398" s="120"/>
      <c r="BQ398" s="120"/>
      <c r="BR398" s="120"/>
      <c r="BS398" s="120"/>
      <c r="BT398" s="120"/>
      <c r="BU398" s="120"/>
      <c r="BV398" s="120"/>
      <c r="BW398" s="120"/>
      <c r="BX398" s="120"/>
      <c r="BY398" s="120"/>
      <c r="BZ398" s="120"/>
      <c r="CA398" s="120"/>
      <c r="CB398" s="120"/>
      <c r="CC398" s="120"/>
      <c r="CD398" s="120"/>
      <c r="CE398" s="120"/>
      <c r="CF398" s="120"/>
      <c r="CG398" s="120"/>
      <c r="CH398" s="120"/>
      <c r="CI398" s="120"/>
      <c r="CJ398" s="120"/>
      <c r="CK398" s="120"/>
      <c r="CL398" s="120"/>
      <c r="CM398" s="120"/>
      <c r="CN398" s="120"/>
      <c r="CO398" s="120"/>
    </row>
    <row r="399" spans="1:93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1"/>
      <c r="U399" s="120"/>
      <c r="V399" s="120"/>
      <c r="W399" s="121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120"/>
      <c r="AR399" s="120"/>
      <c r="AS399" s="120"/>
      <c r="AT399" s="120"/>
      <c r="AU399" s="120"/>
      <c r="AV399" s="120"/>
      <c r="AW399" s="120"/>
      <c r="AX399" s="120"/>
      <c r="AY399" s="120"/>
      <c r="AZ399" s="120"/>
      <c r="BA399" s="120"/>
      <c r="BB399" s="120"/>
      <c r="BC399" s="120"/>
      <c r="BD399" s="120"/>
      <c r="BE399" s="120"/>
      <c r="BF399" s="120"/>
      <c r="BG399" s="120"/>
      <c r="BH399" s="120"/>
      <c r="BI399" s="120"/>
      <c r="BJ399" s="120"/>
      <c r="BK399" s="120"/>
      <c r="BL399" s="120"/>
      <c r="BM399" s="120"/>
      <c r="BN399" s="120"/>
      <c r="BO399" s="120"/>
      <c r="BP399" s="120"/>
      <c r="BQ399" s="120"/>
      <c r="BR399" s="120"/>
      <c r="BS399" s="120"/>
      <c r="BT399" s="120"/>
      <c r="BU399" s="120"/>
      <c r="BV399" s="120"/>
      <c r="BW399" s="120"/>
      <c r="BX399" s="120"/>
      <c r="BY399" s="120"/>
      <c r="BZ399" s="120"/>
      <c r="CA399" s="120"/>
      <c r="CB399" s="120"/>
      <c r="CC399" s="120"/>
      <c r="CD399" s="120"/>
      <c r="CE399" s="120"/>
      <c r="CF399" s="120"/>
      <c r="CG399" s="120"/>
      <c r="CH399" s="120"/>
      <c r="CI399" s="120"/>
      <c r="CJ399" s="120"/>
      <c r="CK399" s="120"/>
      <c r="CL399" s="120"/>
      <c r="CM399" s="120"/>
      <c r="CN399" s="120"/>
      <c r="CO399" s="120"/>
    </row>
    <row r="400" spans="1:93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1"/>
      <c r="U400" s="120"/>
      <c r="V400" s="120"/>
      <c r="W400" s="121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120"/>
      <c r="AR400" s="120"/>
      <c r="AS400" s="120"/>
      <c r="AT400" s="120"/>
      <c r="AU400" s="120"/>
      <c r="AV400" s="120"/>
      <c r="AW400" s="120"/>
      <c r="AX400" s="120"/>
      <c r="AY400" s="120"/>
      <c r="AZ400" s="120"/>
      <c r="BA400" s="120"/>
      <c r="BB400" s="120"/>
      <c r="BC400" s="120"/>
      <c r="BD400" s="120"/>
      <c r="BE400" s="120"/>
      <c r="BF400" s="120"/>
      <c r="BG400" s="120"/>
      <c r="BH400" s="120"/>
      <c r="BI400" s="120"/>
      <c r="BJ400" s="120"/>
      <c r="BK400" s="120"/>
      <c r="BL400" s="120"/>
      <c r="BM400" s="120"/>
      <c r="BN400" s="120"/>
      <c r="BO400" s="120"/>
      <c r="BP400" s="120"/>
      <c r="BQ400" s="120"/>
      <c r="BR400" s="120"/>
      <c r="BS400" s="120"/>
      <c r="BT400" s="120"/>
      <c r="BU400" s="120"/>
      <c r="BV400" s="120"/>
      <c r="BW400" s="120"/>
      <c r="BX400" s="120"/>
      <c r="BY400" s="120"/>
      <c r="BZ400" s="120"/>
      <c r="CA400" s="120"/>
      <c r="CB400" s="120"/>
      <c r="CC400" s="120"/>
      <c r="CD400" s="120"/>
      <c r="CE400" s="120"/>
      <c r="CF400" s="120"/>
      <c r="CG400" s="120"/>
      <c r="CH400" s="120"/>
      <c r="CI400" s="120"/>
      <c r="CJ400" s="120"/>
      <c r="CK400" s="120"/>
      <c r="CL400" s="120"/>
      <c r="CM400" s="120"/>
      <c r="CN400" s="120"/>
      <c r="CO400" s="120"/>
    </row>
    <row r="401" spans="1:93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1"/>
      <c r="U401" s="120"/>
      <c r="V401" s="120"/>
      <c r="W401" s="121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120"/>
      <c r="AR401" s="120"/>
      <c r="AS401" s="120"/>
      <c r="AT401" s="120"/>
      <c r="AU401" s="120"/>
      <c r="AV401" s="120"/>
      <c r="AW401" s="120"/>
      <c r="AX401" s="120"/>
      <c r="AY401" s="120"/>
      <c r="AZ401" s="120"/>
      <c r="BA401" s="120"/>
      <c r="BB401" s="120"/>
      <c r="BC401" s="120"/>
      <c r="BD401" s="120"/>
      <c r="BE401" s="120"/>
      <c r="BF401" s="120"/>
      <c r="BG401" s="120"/>
      <c r="BH401" s="120"/>
      <c r="BI401" s="120"/>
      <c r="BJ401" s="120"/>
      <c r="BK401" s="120"/>
      <c r="BL401" s="120"/>
      <c r="BM401" s="120"/>
      <c r="BN401" s="120"/>
      <c r="BO401" s="120"/>
      <c r="BP401" s="120"/>
      <c r="BQ401" s="120"/>
      <c r="BR401" s="120"/>
      <c r="BS401" s="120"/>
      <c r="BT401" s="120"/>
      <c r="BU401" s="120"/>
      <c r="BV401" s="120"/>
      <c r="BW401" s="120"/>
      <c r="BX401" s="120"/>
      <c r="BY401" s="120"/>
      <c r="BZ401" s="120"/>
      <c r="CA401" s="120"/>
      <c r="CB401" s="120"/>
      <c r="CC401" s="120"/>
      <c r="CD401" s="120"/>
      <c r="CE401" s="120"/>
      <c r="CF401" s="120"/>
      <c r="CG401" s="120"/>
      <c r="CH401" s="120"/>
      <c r="CI401" s="120"/>
      <c r="CJ401" s="120"/>
      <c r="CK401" s="120"/>
      <c r="CL401" s="120"/>
      <c r="CM401" s="120"/>
      <c r="CN401" s="120"/>
      <c r="CO401" s="120"/>
    </row>
    <row r="402" spans="1:93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1"/>
      <c r="U402" s="120"/>
      <c r="V402" s="120"/>
      <c r="W402" s="121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120"/>
      <c r="AR402" s="120"/>
      <c r="AS402" s="120"/>
      <c r="AT402" s="120"/>
      <c r="AU402" s="120"/>
      <c r="AV402" s="120"/>
      <c r="AW402" s="120"/>
      <c r="AX402" s="120"/>
      <c r="AY402" s="120"/>
      <c r="AZ402" s="120"/>
      <c r="BA402" s="120"/>
      <c r="BB402" s="120"/>
      <c r="BC402" s="120"/>
      <c r="BD402" s="120"/>
      <c r="BE402" s="120"/>
      <c r="BF402" s="120"/>
      <c r="BG402" s="120"/>
      <c r="BH402" s="120"/>
      <c r="BI402" s="120"/>
      <c r="BJ402" s="120"/>
      <c r="BK402" s="120"/>
      <c r="BL402" s="120"/>
      <c r="BM402" s="120"/>
      <c r="BN402" s="120"/>
      <c r="BO402" s="120"/>
      <c r="BP402" s="120"/>
      <c r="BQ402" s="120"/>
      <c r="BR402" s="120"/>
      <c r="BS402" s="120"/>
      <c r="BT402" s="120"/>
      <c r="BU402" s="120"/>
      <c r="BV402" s="120"/>
      <c r="BW402" s="120"/>
      <c r="BX402" s="120"/>
      <c r="BY402" s="120"/>
      <c r="BZ402" s="120"/>
      <c r="CA402" s="120"/>
      <c r="CB402" s="120"/>
      <c r="CC402" s="120"/>
      <c r="CD402" s="120"/>
      <c r="CE402" s="120"/>
      <c r="CF402" s="120"/>
      <c r="CG402" s="120"/>
      <c r="CH402" s="120"/>
      <c r="CI402" s="120"/>
      <c r="CJ402" s="120"/>
      <c r="CK402" s="120"/>
      <c r="CL402" s="120"/>
      <c r="CM402" s="120"/>
      <c r="CN402" s="120"/>
      <c r="CO402" s="120"/>
    </row>
    <row r="403" spans="1:93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1"/>
      <c r="U403" s="120"/>
      <c r="V403" s="120"/>
      <c r="W403" s="121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120"/>
      <c r="AR403" s="120"/>
      <c r="AS403" s="120"/>
      <c r="AT403" s="120"/>
      <c r="AU403" s="120"/>
      <c r="AV403" s="120"/>
      <c r="AW403" s="120"/>
      <c r="AX403" s="120"/>
      <c r="AY403" s="120"/>
      <c r="AZ403" s="120"/>
      <c r="BA403" s="120"/>
      <c r="BB403" s="120"/>
      <c r="BC403" s="120"/>
      <c r="BD403" s="120"/>
      <c r="BE403" s="120"/>
      <c r="BF403" s="120"/>
      <c r="BG403" s="120"/>
      <c r="BH403" s="120"/>
      <c r="BI403" s="120"/>
      <c r="BJ403" s="120"/>
      <c r="BK403" s="120"/>
      <c r="BL403" s="120"/>
      <c r="BM403" s="120"/>
      <c r="BN403" s="120"/>
      <c r="BO403" s="120"/>
      <c r="BP403" s="120"/>
      <c r="BQ403" s="120"/>
      <c r="BR403" s="120"/>
      <c r="BS403" s="120"/>
      <c r="BT403" s="120"/>
      <c r="BU403" s="120"/>
      <c r="BV403" s="120"/>
      <c r="BW403" s="120"/>
      <c r="BX403" s="120"/>
      <c r="BY403" s="120"/>
      <c r="BZ403" s="120"/>
      <c r="CA403" s="120"/>
      <c r="CB403" s="120"/>
      <c r="CC403" s="120"/>
      <c r="CD403" s="120"/>
      <c r="CE403" s="120"/>
      <c r="CF403" s="120"/>
      <c r="CG403" s="120"/>
      <c r="CH403" s="120"/>
      <c r="CI403" s="120"/>
      <c r="CJ403" s="120"/>
      <c r="CK403" s="120"/>
      <c r="CL403" s="120"/>
      <c r="CM403" s="120"/>
      <c r="CN403" s="120"/>
      <c r="CO403" s="120"/>
    </row>
    <row r="404" spans="1:93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1"/>
      <c r="U404" s="120"/>
      <c r="V404" s="120"/>
      <c r="W404" s="121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120"/>
      <c r="AR404" s="120"/>
      <c r="AS404" s="120"/>
      <c r="AT404" s="120"/>
      <c r="AU404" s="120"/>
      <c r="AV404" s="120"/>
      <c r="AW404" s="120"/>
      <c r="AX404" s="120"/>
      <c r="AY404" s="120"/>
      <c r="AZ404" s="120"/>
      <c r="BA404" s="120"/>
      <c r="BB404" s="120"/>
      <c r="BC404" s="120"/>
      <c r="BD404" s="120"/>
      <c r="BE404" s="120"/>
      <c r="BF404" s="120"/>
      <c r="BG404" s="120"/>
      <c r="BH404" s="120"/>
      <c r="BI404" s="120"/>
      <c r="BJ404" s="120"/>
      <c r="BK404" s="120"/>
      <c r="BL404" s="120"/>
      <c r="BM404" s="120"/>
      <c r="BN404" s="120"/>
      <c r="BO404" s="120"/>
      <c r="BP404" s="120"/>
      <c r="BQ404" s="120"/>
      <c r="BR404" s="120"/>
      <c r="BS404" s="120"/>
      <c r="BT404" s="120"/>
      <c r="BU404" s="120"/>
      <c r="BV404" s="120"/>
      <c r="BW404" s="120"/>
      <c r="BX404" s="120"/>
      <c r="BY404" s="120"/>
      <c r="BZ404" s="120"/>
      <c r="CA404" s="120"/>
      <c r="CB404" s="120"/>
      <c r="CC404" s="120"/>
      <c r="CD404" s="120"/>
      <c r="CE404" s="120"/>
      <c r="CF404" s="120"/>
      <c r="CG404" s="120"/>
      <c r="CH404" s="120"/>
      <c r="CI404" s="120"/>
      <c r="CJ404" s="120"/>
      <c r="CK404" s="120"/>
      <c r="CL404" s="120"/>
      <c r="CM404" s="120"/>
      <c r="CN404" s="120"/>
      <c r="CO404" s="120"/>
    </row>
    <row r="405" spans="1:93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1"/>
      <c r="U405" s="120"/>
      <c r="V405" s="120"/>
      <c r="W405" s="121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120"/>
      <c r="AR405" s="120"/>
      <c r="AS405" s="120"/>
      <c r="AT405" s="120"/>
      <c r="AU405" s="120"/>
      <c r="AV405" s="120"/>
      <c r="AW405" s="120"/>
      <c r="AX405" s="120"/>
      <c r="AY405" s="120"/>
      <c r="AZ405" s="120"/>
      <c r="BA405" s="120"/>
      <c r="BB405" s="120"/>
      <c r="BC405" s="120"/>
      <c r="BD405" s="120"/>
      <c r="BE405" s="120"/>
      <c r="BF405" s="120"/>
      <c r="BG405" s="120"/>
      <c r="BH405" s="120"/>
      <c r="BI405" s="120"/>
      <c r="BJ405" s="120"/>
      <c r="BK405" s="120"/>
      <c r="BL405" s="120"/>
      <c r="BM405" s="120"/>
      <c r="BN405" s="120"/>
      <c r="BO405" s="120"/>
      <c r="BP405" s="120"/>
      <c r="BQ405" s="120"/>
      <c r="BR405" s="120"/>
      <c r="BS405" s="120"/>
      <c r="BT405" s="120"/>
      <c r="BU405" s="120"/>
      <c r="BV405" s="120"/>
      <c r="BW405" s="120"/>
      <c r="BX405" s="120"/>
      <c r="BY405" s="120"/>
      <c r="BZ405" s="120"/>
      <c r="CA405" s="120"/>
      <c r="CB405" s="120"/>
      <c r="CC405" s="120"/>
      <c r="CD405" s="120"/>
      <c r="CE405" s="120"/>
      <c r="CF405" s="120"/>
      <c r="CG405" s="120"/>
      <c r="CH405" s="120"/>
      <c r="CI405" s="120"/>
      <c r="CJ405" s="120"/>
      <c r="CK405" s="120"/>
      <c r="CL405" s="120"/>
      <c r="CM405" s="120"/>
      <c r="CN405" s="120"/>
      <c r="CO405" s="120"/>
    </row>
    <row r="406" spans="1:93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1"/>
      <c r="U406" s="120"/>
      <c r="V406" s="120"/>
      <c r="W406" s="121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120"/>
      <c r="AR406" s="120"/>
      <c r="AS406" s="120"/>
      <c r="AT406" s="120"/>
      <c r="AU406" s="120"/>
      <c r="AV406" s="120"/>
      <c r="AW406" s="120"/>
      <c r="AX406" s="120"/>
      <c r="AY406" s="120"/>
      <c r="AZ406" s="120"/>
      <c r="BA406" s="120"/>
      <c r="BB406" s="120"/>
      <c r="BC406" s="120"/>
      <c r="BD406" s="120"/>
      <c r="BE406" s="120"/>
      <c r="BF406" s="120"/>
      <c r="BG406" s="120"/>
      <c r="BH406" s="120"/>
      <c r="BI406" s="120"/>
      <c r="BJ406" s="120"/>
      <c r="BK406" s="120"/>
      <c r="BL406" s="120"/>
      <c r="BM406" s="120"/>
      <c r="BN406" s="120"/>
      <c r="BO406" s="120"/>
      <c r="BP406" s="120"/>
      <c r="BQ406" s="120"/>
      <c r="BR406" s="120"/>
      <c r="BS406" s="120"/>
      <c r="BT406" s="120"/>
      <c r="BU406" s="120"/>
      <c r="BV406" s="120"/>
      <c r="BW406" s="120"/>
      <c r="BX406" s="120"/>
      <c r="BY406" s="120"/>
      <c r="BZ406" s="120"/>
      <c r="CA406" s="120"/>
      <c r="CB406" s="120"/>
      <c r="CC406" s="120"/>
      <c r="CD406" s="120"/>
      <c r="CE406" s="120"/>
      <c r="CF406" s="120"/>
      <c r="CG406" s="120"/>
      <c r="CH406" s="120"/>
      <c r="CI406" s="120"/>
      <c r="CJ406" s="120"/>
      <c r="CK406" s="120"/>
      <c r="CL406" s="120"/>
      <c r="CM406" s="120"/>
      <c r="CN406" s="120"/>
      <c r="CO406" s="120"/>
    </row>
    <row r="407" spans="1:93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1"/>
      <c r="U407" s="120"/>
      <c r="V407" s="120"/>
      <c r="W407" s="121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120"/>
      <c r="AR407" s="120"/>
      <c r="AS407" s="120"/>
      <c r="AT407" s="120"/>
      <c r="AU407" s="120"/>
      <c r="AV407" s="120"/>
      <c r="AW407" s="120"/>
      <c r="AX407" s="120"/>
      <c r="AY407" s="120"/>
      <c r="AZ407" s="120"/>
      <c r="BA407" s="120"/>
      <c r="BB407" s="120"/>
      <c r="BC407" s="120"/>
      <c r="BD407" s="120"/>
      <c r="BE407" s="120"/>
      <c r="BF407" s="120"/>
      <c r="BG407" s="120"/>
      <c r="BH407" s="120"/>
      <c r="BI407" s="120"/>
      <c r="BJ407" s="120"/>
      <c r="BK407" s="120"/>
      <c r="BL407" s="120"/>
      <c r="BM407" s="120"/>
      <c r="BN407" s="120"/>
      <c r="BO407" s="120"/>
      <c r="BP407" s="120"/>
      <c r="BQ407" s="120"/>
      <c r="BR407" s="120"/>
      <c r="BS407" s="120"/>
      <c r="BT407" s="120"/>
      <c r="BU407" s="120"/>
      <c r="BV407" s="120"/>
      <c r="BW407" s="120"/>
      <c r="BX407" s="120"/>
      <c r="BY407" s="120"/>
      <c r="BZ407" s="120"/>
      <c r="CA407" s="120"/>
      <c r="CB407" s="120"/>
      <c r="CC407" s="120"/>
      <c r="CD407" s="120"/>
      <c r="CE407" s="120"/>
      <c r="CF407" s="120"/>
      <c r="CG407" s="120"/>
      <c r="CH407" s="120"/>
      <c r="CI407" s="120"/>
      <c r="CJ407" s="120"/>
      <c r="CK407" s="120"/>
      <c r="CL407" s="120"/>
      <c r="CM407" s="120"/>
      <c r="CN407" s="120"/>
      <c r="CO407" s="120"/>
    </row>
    <row r="408" spans="1:93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1"/>
      <c r="U408" s="120"/>
      <c r="V408" s="120"/>
      <c r="W408" s="121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120"/>
      <c r="AR408" s="120"/>
      <c r="AS408" s="120"/>
      <c r="AT408" s="120"/>
      <c r="AU408" s="120"/>
      <c r="AV408" s="120"/>
      <c r="AW408" s="120"/>
      <c r="AX408" s="120"/>
      <c r="AY408" s="120"/>
      <c r="AZ408" s="120"/>
      <c r="BA408" s="120"/>
      <c r="BB408" s="120"/>
      <c r="BC408" s="120"/>
      <c r="BD408" s="120"/>
      <c r="BE408" s="120"/>
      <c r="BF408" s="120"/>
      <c r="BG408" s="120"/>
      <c r="BH408" s="120"/>
      <c r="BI408" s="120"/>
      <c r="BJ408" s="120"/>
      <c r="BK408" s="120"/>
      <c r="BL408" s="120"/>
      <c r="BM408" s="120"/>
      <c r="BN408" s="120"/>
      <c r="BO408" s="120"/>
      <c r="BP408" s="120"/>
      <c r="BQ408" s="120"/>
      <c r="BR408" s="120"/>
      <c r="BS408" s="120"/>
      <c r="BT408" s="120"/>
      <c r="BU408" s="120"/>
      <c r="BV408" s="120"/>
      <c r="BW408" s="120"/>
      <c r="BX408" s="120"/>
      <c r="BY408" s="120"/>
      <c r="BZ408" s="120"/>
      <c r="CA408" s="120"/>
      <c r="CB408" s="120"/>
      <c r="CC408" s="120"/>
      <c r="CD408" s="120"/>
      <c r="CE408" s="120"/>
      <c r="CF408" s="120"/>
      <c r="CG408" s="120"/>
      <c r="CH408" s="120"/>
      <c r="CI408" s="120"/>
      <c r="CJ408" s="120"/>
      <c r="CK408" s="120"/>
      <c r="CL408" s="120"/>
      <c r="CM408" s="120"/>
      <c r="CN408" s="120"/>
      <c r="CO408" s="120"/>
    </row>
    <row r="409" spans="1:93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1"/>
      <c r="U409" s="120"/>
      <c r="V409" s="120"/>
      <c r="W409" s="121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120"/>
      <c r="AR409" s="120"/>
      <c r="AS409" s="120"/>
      <c r="AT409" s="120"/>
      <c r="AU409" s="120"/>
      <c r="AV409" s="120"/>
      <c r="AW409" s="120"/>
      <c r="AX409" s="120"/>
      <c r="AY409" s="120"/>
      <c r="AZ409" s="120"/>
      <c r="BA409" s="120"/>
      <c r="BB409" s="120"/>
      <c r="BC409" s="120"/>
      <c r="BD409" s="120"/>
      <c r="BE409" s="120"/>
      <c r="BF409" s="120"/>
      <c r="BG409" s="120"/>
      <c r="BH409" s="120"/>
      <c r="BI409" s="120"/>
      <c r="BJ409" s="120"/>
      <c r="BK409" s="120"/>
      <c r="BL409" s="120"/>
      <c r="BM409" s="120"/>
      <c r="BN409" s="120"/>
      <c r="BO409" s="120"/>
      <c r="BP409" s="120"/>
      <c r="BQ409" s="120"/>
      <c r="BR409" s="120"/>
      <c r="BS409" s="120"/>
      <c r="BT409" s="120"/>
      <c r="BU409" s="120"/>
      <c r="BV409" s="120"/>
      <c r="BW409" s="120"/>
      <c r="BX409" s="120"/>
      <c r="BY409" s="120"/>
      <c r="BZ409" s="120"/>
      <c r="CA409" s="120"/>
      <c r="CB409" s="120"/>
      <c r="CC409" s="120"/>
      <c r="CD409" s="120"/>
      <c r="CE409" s="120"/>
      <c r="CF409" s="120"/>
      <c r="CG409" s="120"/>
      <c r="CH409" s="120"/>
      <c r="CI409" s="120"/>
      <c r="CJ409" s="120"/>
      <c r="CK409" s="120"/>
      <c r="CL409" s="120"/>
      <c r="CM409" s="120"/>
      <c r="CN409" s="120"/>
      <c r="CO409" s="120"/>
    </row>
    <row r="410" spans="1:93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1"/>
      <c r="U410" s="120"/>
      <c r="V410" s="120"/>
      <c r="W410" s="121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120"/>
      <c r="AR410" s="120"/>
      <c r="AS410" s="120"/>
      <c r="AT410" s="120"/>
      <c r="AU410" s="120"/>
      <c r="AV410" s="120"/>
      <c r="AW410" s="120"/>
      <c r="AX410" s="120"/>
      <c r="AY410" s="120"/>
      <c r="AZ410" s="120"/>
      <c r="BA410" s="120"/>
      <c r="BB410" s="120"/>
      <c r="BC410" s="120"/>
      <c r="BD410" s="120"/>
      <c r="BE410" s="120"/>
      <c r="BF410" s="120"/>
      <c r="BG410" s="120"/>
      <c r="BH410" s="120"/>
      <c r="BI410" s="120"/>
      <c r="BJ410" s="120"/>
      <c r="BK410" s="120"/>
      <c r="BL410" s="120"/>
      <c r="BM410" s="120"/>
      <c r="BN410" s="120"/>
      <c r="BO410" s="120"/>
      <c r="BP410" s="120"/>
      <c r="BQ410" s="120"/>
      <c r="BR410" s="120"/>
      <c r="BS410" s="120"/>
      <c r="BT410" s="120"/>
      <c r="BU410" s="120"/>
      <c r="BV410" s="120"/>
      <c r="BW410" s="120"/>
      <c r="BX410" s="120"/>
      <c r="BY410" s="120"/>
      <c r="BZ410" s="120"/>
      <c r="CA410" s="120"/>
      <c r="CB410" s="120"/>
      <c r="CC410" s="120"/>
      <c r="CD410" s="120"/>
      <c r="CE410" s="120"/>
      <c r="CF410" s="120"/>
      <c r="CG410" s="120"/>
      <c r="CH410" s="120"/>
      <c r="CI410" s="120"/>
      <c r="CJ410" s="120"/>
      <c r="CK410" s="120"/>
      <c r="CL410" s="120"/>
      <c r="CM410" s="120"/>
      <c r="CN410" s="120"/>
      <c r="CO410" s="120"/>
    </row>
    <row r="411" spans="1:93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1"/>
      <c r="U411" s="120"/>
      <c r="V411" s="120"/>
      <c r="W411" s="121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120"/>
      <c r="AR411" s="120"/>
      <c r="AS411" s="120"/>
      <c r="AT411" s="120"/>
      <c r="AU411" s="120"/>
      <c r="AV411" s="120"/>
      <c r="AW411" s="120"/>
      <c r="AX411" s="120"/>
      <c r="AY411" s="120"/>
      <c r="AZ411" s="120"/>
      <c r="BA411" s="120"/>
      <c r="BB411" s="120"/>
      <c r="BC411" s="120"/>
      <c r="BD411" s="120"/>
      <c r="BE411" s="120"/>
      <c r="BF411" s="120"/>
      <c r="BG411" s="120"/>
      <c r="BH411" s="120"/>
      <c r="BI411" s="120"/>
      <c r="BJ411" s="120"/>
      <c r="BK411" s="120"/>
      <c r="BL411" s="120"/>
      <c r="BM411" s="120"/>
      <c r="BN411" s="120"/>
      <c r="BO411" s="120"/>
      <c r="BP411" s="120"/>
      <c r="BQ411" s="120"/>
      <c r="BR411" s="120"/>
      <c r="BS411" s="120"/>
      <c r="BT411" s="120"/>
      <c r="BU411" s="120"/>
      <c r="BV411" s="120"/>
      <c r="BW411" s="120"/>
      <c r="BX411" s="120"/>
      <c r="BY411" s="120"/>
      <c r="BZ411" s="120"/>
      <c r="CA411" s="120"/>
      <c r="CB411" s="120"/>
      <c r="CC411" s="120"/>
      <c r="CD411" s="120"/>
      <c r="CE411" s="120"/>
      <c r="CF411" s="120"/>
      <c r="CG411" s="120"/>
      <c r="CH411" s="120"/>
      <c r="CI411" s="120"/>
      <c r="CJ411" s="120"/>
      <c r="CK411" s="120"/>
      <c r="CL411" s="120"/>
      <c r="CM411" s="120"/>
      <c r="CN411" s="120"/>
      <c r="CO411" s="120"/>
    </row>
    <row r="412" spans="1:93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1"/>
      <c r="U412" s="120"/>
      <c r="V412" s="120"/>
      <c r="W412" s="121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120"/>
      <c r="AR412" s="120"/>
      <c r="AS412" s="120"/>
      <c r="AT412" s="120"/>
      <c r="AU412" s="120"/>
      <c r="AV412" s="120"/>
      <c r="AW412" s="120"/>
      <c r="AX412" s="120"/>
      <c r="AY412" s="120"/>
      <c r="AZ412" s="120"/>
      <c r="BA412" s="120"/>
      <c r="BB412" s="120"/>
      <c r="BC412" s="120"/>
      <c r="BD412" s="120"/>
      <c r="BE412" s="120"/>
      <c r="BF412" s="120"/>
      <c r="BG412" s="120"/>
      <c r="BH412" s="120"/>
      <c r="BI412" s="120"/>
      <c r="BJ412" s="120"/>
      <c r="BK412" s="120"/>
      <c r="BL412" s="120"/>
      <c r="BM412" s="120"/>
      <c r="BN412" s="120"/>
      <c r="BO412" s="120"/>
      <c r="BP412" s="120"/>
      <c r="BQ412" s="120"/>
      <c r="BR412" s="120"/>
      <c r="BS412" s="120"/>
      <c r="BT412" s="120"/>
      <c r="BU412" s="120"/>
      <c r="BV412" s="120"/>
      <c r="BW412" s="120"/>
      <c r="BX412" s="120"/>
      <c r="BY412" s="120"/>
      <c r="BZ412" s="120"/>
      <c r="CA412" s="120"/>
      <c r="CB412" s="120"/>
      <c r="CC412" s="120"/>
      <c r="CD412" s="120"/>
      <c r="CE412" s="120"/>
      <c r="CF412" s="120"/>
      <c r="CG412" s="120"/>
      <c r="CH412" s="120"/>
      <c r="CI412" s="120"/>
      <c r="CJ412" s="120"/>
      <c r="CK412" s="120"/>
      <c r="CL412" s="120"/>
      <c r="CM412" s="120"/>
      <c r="CN412" s="120"/>
      <c r="CO412" s="120"/>
    </row>
    <row r="413" spans="1:93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1"/>
      <c r="U413" s="120"/>
      <c r="V413" s="120"/>
      <c r="W413" s="121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120"/>
      <c r="AR413" s="120"/>
      <c r="AS413" s="120"/>
      <c r="AT413" s="120"/>
      <c r="AU413" s="120"/>
      <c r="AV413" s="120"/>
      <c r="AW413" s="120"/>
      <c r="AX413" s="120"/>
      <c r="AY413" s="120"/>
      <c r="AZ413" s="120"/>
      <c r="BA413" s="120"/>
      <c r="BB413" s="120"/>
      <c r="BC413" s="120"/>
      <c r="BD413" s="120"/>
      <c r="BE413" s="120"/>
      <c r="BF413" s="120"/>
      <c r="BG413" s="120"/>
      <c r="BH413" s="120"/>
      <c r="BI413" s="120"/>
      <c r="BJ413" s="120"/>
      <c r="BK413" s="120"/>
      <c r="BL413" s="120"/>
      <c r="BM413" s="120"/>
      <c r="BN413" s="120"/>
      <c r="BO413" s="120"/>
      <c r="BP413" s="120"/>
      <c r="BQ413" s="120"/>
      <c r="BR413" s="120"/>
      <c r="BS413" s="120"/>
      <c r="BT413" s="120"/>
      <c r="BU413" s="120"/>
      <c r="BV413" s="120"/>
      <c r="BW413" s="120"/>
      <c r="BX413" s="120"/>
      <c r="BY413" s="120"/>
      <c r="BZ413" s="120"/>
      <c r="CA413" s="120"/>
      <c r="CB413" s="120"/>
      <c r="CC413" s="120"/>
      <c r="CD413" s="120"/>
      <c r="CE413" s="120"/>
      <c r="CF413" s="120"/>
      <c r="CG413" s="120"/>
      <c r="CH413" s="120"/>
      <c r="CI413" s="120"/>
      <c r="CJ413" s="120"/>
      <c r="CK413" s="120"/>
      <c r="CL413" s="120"/>
      <c r="CM413" s="120"/>
      <c r="CN413" s="120"/>
      <c r="CO413" s="120"/>
    </row>
    <row r="414" spans="1:93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1"/>
      <c r="U414" s="120"/>
      <c r="V414" s="120"/>
      <c r="W414" s="121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120"/>
      <c r="AR414" s="120"/>
      <c r="AS414" s="120"/>
      <c r="AT414" s="120"/>
      <c r="AU414" s="120"/>
      <c r="AV414" s="120"/>
      <c r="AW414" s="120"/>
      <c r="AX414" s="120"/>
      <c r="AY414" s="120"/>
      <c r="AZ414" s="120"/>
      <c r="BA414" s="120"/>
      <c r="BB414" s="120"/>
      <c r="BC414" s="120"/>
      <c r="BD414" s="120"/>
      <c r="BE414" s="120"/>
      <c r="BF414" s="120"/>
      <c r="BG414" s="120"/>
      <c r="BH414" s="120"/>
      <c r="BI414" s="120"/>
      <c r="BJ414" s="120"/>
      <c r="BK414" s="120"/>
      <c r="BL414" s="120"/>
      <c r="BM414" s="120"/>
      <c r="BN414" s="120"/>
      <c r="BO414" s="120"/>
      <c r="BP414" s="120"/>
      <c r="BQ414" s="120"/>
      <c r="BR414" s="120"/>
      <c r="BS414" s="120"/>
      <c r="BT414" s="120"/>
      <c r="BU414" s="120"/>
      <c r="BV414" s="120"/>
      <c r="BW414" s="120"/>
      <c r="BX414" s="120"/>
      <c r="BY414" s="120"/>
      <c r="BZ414" s="120"/>
      <c r="CA414" s="120"/>
      <c r="CB414" s="120"/>
      <c r="CC414" s="120"/>
      <c r="CD414" s="120"/>
      <c r="CE414" s="120"/>
      <c r="CF414" s="120"/>
      <c r="CG414" s="120"/>
      <c r="CH414" s="120"/>
      <c r="CI414" s="120"/>
      <c r="CJ414" s="120"/>
      <c r="CK414" s="120"/>
      <c r="CL414" s="120"/>
      <c r="CM414" s="120"/>
      <c r="CN414" s="120"/>
      <c r="CO414" s="120"/>
    </row>
    <row r="415" spans="1:93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1"/>
      <c r="U415" s="120"/>
      <c r="V415" s="120"/>
      <c r="W415" s="121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120"/>
      <c r="AR415" s="120"/>
      <c r="AS415" s="120"/>
      <c r="AT415" s="120"/>
      <c r="AU415" s="120"/>
      <c r="AV415" s="120"/>
      <c r="AW415" s="120"/>
      <c r="AX415" s="120"/>
      <c r="AY415" s="120"/>
      <c r="AZ415" s="120"/>
      <c r="BA415" s="120"/>
      <c r="BB415" s="120"/>
      <c r="BC415" s="120"/>
      <c r="BD415" s="120"/>
      <c r="BE415" s="120"/>
      <c r="BF415" s="120"/>
      <c r="BG415" s="120"/>
      <c r="BH415" s="120"/>
      <c r="BI415" s="120"/>
      <c r="BJ415" s="120"/>
      <c r="BK415" s="120"/>
      <c r="BL415" s="120"/>
      <c r="BM415" s="120"/>
      <c r="BN415" s="120"/>
      <c r="BO415" s="120"/>
      <c r="BP415" s="120"/>
      <c r="BQ415" s="120"/>
      <c r="BR415" s="120"/>
      <c r="BS415" s="120"/>
      <c r="BT415" s="120"/>
      <c r="BU415" s="120"/>
      <c r="BV415" s="120"/>
      <c r="BW415" s="120"/>
      <c r="BX415" s="120"/>
      <c r="BY415" s="120"/>
      <c r="BZ415" s="120"/>
      <c r="CA415" s="120"/>
      <c r="CB415" s="120"/>
      <c r="CC415" s="120"/>
      <c r="CD415" s="120"/>
      <c r="CE415" s="120"/>
      <c r="CF415" s="120"/>
      <c r="CG415" s="120"/>
      <c r="CH415" s="120"/>
      <c r="CI415" s="120"/>
      <c r="CJ415" s="120"/>
      <c r="CK415" s="120"/>
      <c r="CL415" s="120"/>
      <c r="CM415" s="120"/>
      <c r="CN415" s="120"/>
      <c r="CO415" s="120"/>
    </row>
    <row r="416" spans="1:93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1"/>
      <c r="U416" s="120"/>
      <c r="V416" s="120"/>
      <c r="W416" s="121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120"/>
      <c r="AR416" s="120"/>
      <c r="AS416" s="120"/>
      <c r="AT416" s="120"/>
      <c r="AU416" s="120"/>
      <c r="AV416" s="120"/>
      <c r="AW416" s="120"/>
      <c r="AX416" s="120"/>
      <c r="AY416" s="120"/>
      <c r="AZ416" s="120"/>
      <c r="BA416" s="120"/>
      <c r="BB416" s="120"/>
      <c r="BC416" s="120"/>
      <c r="BD416" s="120"/>
      <c r="BE416" s="120"/>
      <c r="BF416" s="120"/>
      <c r="BG416" s="120"/>
      <c r="BH416" s="120"/>
      <c r="BI416" s="120"/>
      <c r="BJ416" s="120"/>
      <c r="BK416" s="120"/>
      <c r="BL416" s="120"/>
      <c r="BM416" s="120"/>
      <c r="BN416" s="120"/>
      <c r="BO416" s="120"/>
      <c r="BP416" s="120"/>
      <c r="BQ416" s="120"/>
      <c r="BR416" s="120"/>
      <c r="BS416" s="120"/>
      <c r="BT416" s="120"/>
      <c r="BU416" s="120"/>
      <c r="BV416" s="120"/>
      <c r="BW416" s="120"/>
      <c r="BX416" s="120"/>
      <c r="BY416" s="120"/>
      <c r="BZ416" s="120"/>
      <c r="CA416" s="120"/>
      <c r="CB416" s="120"/>
      <c r="CC416" s="120"/>
      <c r="CD416" s="120"/>
      <c r="CE416" s="120"/>
      <c r="CF416" s="120"/>
      <c r="CG416" s="120"/>
      <c r="CH416" s="120"/>
      <c r="CI416" s="120"/>
      <c r="CJ416" s="120"/>
      <c r="CK416" s="120"/>
      <c r="CL416" s="120"/>
      <c r="CM416" s="120"/>
      <c r="CN416" s="120"/>
      <c r="CO416" s="120"/>
    </row>
    <row r="417" spans="1:93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1"/>
      <c r="U417" s="120"/>
      <c r="V417" s="120"/>
      <c r="W417" s="121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120"/>
      <c r="AR417" s="120"/>
      <c r="AS417" s="120"/>
      <c r="AT417" s="120"/>
      <c r="AU417" s="120"/>
      <c r="AV417" s="120"/>
      <c r="AW417" s="120"/>
      <c r="AX417" s="120"/>
      <c r="AY417" s="120"/>
      <c r="AZ417" s="120"/>
      <c r="BA417" s="120"/>
      <c r="BB417" s="120"/>
      <c r="BC417" s="120"/>
      <c r="BD417" s="120"/>
      <c r="BE417" s="120"/>
      <c r="BF417" s="120"/>
      <c r="BG417" s="120"/>
      <c r="BH417" s="120"/>
      <c r="BI417" s="120"/>
      <c r="BJ417" s="120"/>
      <c r="BK417" s="120"/>
      <c r="BL417" s="120"/>
      <c r="BM417" s="120"/>
      <c r="BN417" s="120"/>
      <c r="BO417" s="120"/>
      <c r="BP417" s="120"/>
      <c r="BQ417" s="120"/>
      <c r="BR417" s="120"/>
      <c r="BS417" s="120"/>
      <c r="BT417" s="120"/>
      <c r="BU417" s="120"/>
      <c r="BV417" s="120"/>
      <c r="BW417" s="120"/>
      <c r="BX417" s="120"/>
      <c r="BY417" s="120"/>
      <c r="BZ417" s="120"/>
      <c r="CA417" s="120"/>
      <c r="CB417" s="120"/>
      <c r="CC417" s="120"/>
      <c r="CD417" s="120"/>
      <c r="CE417" s="120"/>
      <c r="CF417" s="120"/>
      <c r="CG417" s="120"/>
      <c r="CH417" s="120"/>
      <c r="CI417" s="120"/>
      <c r="CJ417" s="120"/>
      <c r="CK417" s="120"/>
      <c r="CL417" s="120"/>
      <c r="CM417" s="120"/>
      <c r="CN417" s="120"/>
      <c r="CO417" s="120"/>
    </row>
    <row r="418" spans="1:93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1"/>
      <c r="U418" s="120"/>
      <c r="V418" s="120"/>
      <c r="W418" s="121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120"/>
      <c r="AR418" s="120"/>
      <c r="AS418" s="120"/>
      <c r="AT418" s="120"/>
      <c r="AU418" s="120"/>
      <c r="AV418" s="120"/>
      <c r="AW418" s="120"/>
      <c r="AX418" s="120"/>
      <c r="AY418" s="120"/>
      <c r="AZ418" s="120"/>
      <c r="BA418" s="120"/>
      <c r="BB418" s="120"/>
      <c r="BC418" s="120"/>
      <c r="BD418" s="120"/>
      <c r="BE418" s="120"/>
      <c r="BF418" s="120"/>
      <c r="BG418" s="120"/>
      <c r="BH418" s="120"/>
      <c r="BI418" s="120"/>
      <c r="BJ418" s="120"/>
      <c r="BK418" s="120"/>
      <c r="BL418" s="120"/>
      <c r="BM418" s="120"/>
      <c r="BN418" s="120"/>
      <c r="BO418" s="120"/>
      <c r="BP418" s="120"/>
      <c r="BQ418" s="120"/>
      <c r="BR418" s="120"/>
      <c r="BS418" s="120"/>
      <c r="BT418" s="120"/>
      <c r="BU418" s="120"/>
      <c r="BV418" s="120"/>
      <c r="BW418" s="120"/>
      <c r="BX418" s="120"/>
      <c r="BY418" s="120"/>
      <c r="BZ418" s="120"/>
      <c r="CA418" s="120"/>
      <c r="CB418" s="120"/>
      <c r="CC418" s="120"/>
      <c r="CD418" s="120"/>
      <c r="CE418" s="120"/>
      <c r="CF418" s="120"/>
      <c r="CG418" s="120"/>
      <c r="CH418" s="120"/>
      <c r="CI418" s="120"/>
      <c r="CJ418" s="120"/>
      <c r="CK418" s="120"/>
      <c r="CL418" s="120"/>
      <c r="CM418" s="120"/>
      <c r="CN418" s="120"/>
      <c r="CO418" s="120"/>
    </row>
    <row r="419" spans="1:93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1"/>
      <c r="U419" s="120"/>
      <c r="V419" s="120"/>
      <c r="W419" s="121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120"/>
      <c r="AR419" s="120"/>
      <c r="AS419" s="120"/>
      <c r="AT419" s="120"/>
      <c r="AU419" s="120"/>
      <c r="AV419" s="120"/>
      <c r="AW419" s="120"/>
      <c r="AX419" s="120"/>
      <c r="AY419" s="120"/>
      <c r="AZ419" s="120"/>
      <c r="BA419" s="120"/>
      <c r="BB419" s="120"/>
      <c r="BC419" s="120"/>
      <c r="BD419" s="120"/>
      <c r="BE419" s="120"/>
      <c r="BF419" s="120"/>
      <c r="BG419" s="120"/>
      <c r="BH419" s="120"/>
      <c r="BI419" s="120"/>
      <c r="BJ419" s="120"/>
      <c r="BK419" s="120"/>
      <c r="BL419" s="120"/>
      <c r="BM419" s="120"/>
      <c r="BN419" s="120"/>
      <c r="BO419" s="120"/>
      <c r="BP419" s="120"/>
      <c r="BQ419" s="120"/>
      <c r="BR419" s="120"/>
      <c r="BS419" s="120"/>
      <c r="BT419" s="120"/>
      <c r="BU419" s="120"/>
      <c r="BV419" s="120"/>
      <c r="BW419" s="120"/>
      <c r="BX419" s="120"/>
      <c r="BY419" s="120"/>
      <c r="BZ419" s="120"/>
      <c r="CA419" s="120"/>
      <c r="CB419" s="120"/>
      <c r="CC419" s="120"/>
      <c r="CD419" s="120"/>
      <c r="CE419" s="120"/>
      <c r="CF419" s="120"/>
      <c r="CG419" s="120"/>
      <c r="CH419" s="120"/>
      <c r="CI419" s="120"/>
      <c r="CJ419" s="120"/>
      <c r="CK419" s="120"/>
      <c r="CL419" s="120"/>
      <c r="CM419" s="120"/>
      <c r="CN419" s="120"/>
      <c r="CO419" s="120"/>
    </row>
    <row r="420" spans="1:93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1"/>
      <c r="U420" s="120"/>
      <c r="V420" s="120"/>
      <c r="W420" s="121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120"/>
      <c r="AR420" s="120"/>
      <c r="AS420" s="120"/>
      <c r="AT420" s="120"/>
      <c r="AU420" s="120"/>
      <c r="AV420" s="120"/>
      <c r="AW420" s="120"/>
      <c r="AX420" s="120"/>
      <c r="AY420" s="120"/>
      <c r="AZ420" s="120"/>
      <c r="BA420" s="120"/>
      <c r="BB420" s="120"/>
      <c r="BC420" s="120"/>
      <c r="BD420" s="120"/>
      <c r="BE420" s="120"/>
      <c r="BF420" s="120"/>
      <c r="BG420" s="120"/>
      <c r="BH420" s="120"/>
      <c r="BI420" s="120"/>
      <c r="BJ420" s="120"/>
      <c r="BK420" s="120"/>
      <c r="BL420" s="120"/>
      <c r="BM420" s="120"/>
      <c r="BN420" s="120"/>
      <c r="BO420" s="120"/>
      <c r="BP420" s="120"/>
      <c r="BQ420" s="120"/>
      <c r="BR420" s="120"/>
      <c r="BS420" s="120"/>
      <c r="BT420" s="120"/>
      <c r="BU420" s="120"/>
      <c r="BV420" s="120"/>
      <c r="BW420" s="120"/>
      <c r="BX420" s="120"/>
      <c r="BY420" s="120"/>
      <c r="BZ420" s="120"/>
      <c r="CA420" s="120"/>
      <c r="CB420" s="120"/>
      <c r="CC420" s="120"/>
      <c r="CD420" s="120"/>
      <c r="CE420" s="120"/>
      <c r="CF420" s="120"/>
      <c r="CG420" s="120"/>
      <c r="CH420" s="120"/>
      <c r="CI420" s="120"/>
      <c r="CJ420" s="120"/>
      <c r="CK420" s="120"/>
      <c r="CL420" s="120"/>
      <c r="CM420" s="120"/>
      <c r="CN420" s="120"/>
      <c r="CO420" s="120"/>
    </row>
    <row r="421" spans="1:93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1"/>
      <c r="U421" s="120"/>
      <c r="V421" s="120"/>
      <c r="W421" s="121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120"/>
      <c r="AR421" s="120"/>
      <c r="AS421" s="120"/>
      <c r="AT421" s="120"/>
      <c r="AU421" s="120"/>
      <c r="AV421" s="120"/>
      <c r="AW421" s="120"/>
      <c r="AX421" s="120"/>
      <c r="AY421" s="120"/>
      <c r="AZ421" s="120"/>
      <c r="BA421" s="120"/>
      <c r="BB421" s="120"/>
      <c r="BC421" s="120"/>
      <c r="BD421" s="120"/>
      <c r="BE421" s="120"/>
      <c r="BF421" s="120"/>
      <c r="BG421" s="120"/>
      <c r="BH421" s="120"/>
      <c r="BI421" s="120"/>
      <c r="BJ421" s="120"/>
      <c r="BK421" s="120"/>
      <c r="BL421" s="120"/>
      <c r="BM421" s="120"/>
      <c r="BN421" s="120"/>
      <c r="BO421" s="120"/>
      <c r="BP421" s="120"/>
      <c r="BQ421" s="120"/>
      <c r="BR421" s="120"/>
      <c r="BS421" s="120"/>
      <c r="BT421" s="120"/>
      <c r="BU421" s="120"/>
      <c r="BV421" s="120"/>
      <c r="BW421" s="120"/>
      <c r="BX421" s="120"/>
      <c r="BY421" s="120"/>
      <c r="BZ421" s="120"/>
      <c r="CA421" s="120"/>
      <c r="CB421" s="120"/>
      <c r="CC421" s="120"/>
      <c r="CD421" s="120"/>
      <c r="CE421" s="120"/>
      <c r="CF421" s="120"/>
      <c r="CG421" s="120"/>
      <c r="CH421" s="120"/>
      <c r="CI421" s="120"/>
      <c r="CJ421" s="120"/>
      <c r="CK421" s="120"/>
      <c r="CL421" s="120"/>
      <c r="CM421" s="120"/>
      <c r="CN421" s="120"/>
      <c r="CO421" s="120"/>
    </row>
    <row r="422" spans="1:93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1"/>
      <c r="U422" s="120"/>
      <c r="V422" s="120"/>
      <c r="W422" s="121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120"/>
      <c r="AR422" s="120"/>
      <c r="AS422" s="120"/>
      <c r="AT422" s="120"/>
      <c r="AU422" s="120"/>
      <c r="AV422" s="120"/>
      <c r="AW422" s="120"/>
      <c r="AX422" s="120"/>
      <c r="AY422" s="120"/>
      <c r="AZ422" s="120"/>
      <c r="BA422" s="120"/>
      <c r="BB422" s="120"/>
      <c r="BC422" s="120"/>
      <c r="BD422" s="120"/>
      <c r="BE422" s="120"/>
      <c r="BF422" s="120"/>
      <c r="BG422" s="120"/>
      <c r="BH422" s="120"/>
      <c r="BI422" s="120"/>
      <c r="BJ422" s="120"/>
      <c r="BK422" s="120"/>
      <c r="BL422" s="120"/>
      <c r="BM422" s="120"/>
      <c r="BN422" s="120"/>
      <c r="BO422" s="120"/>
      <c r="BP422" s="120"/>
      <c r="BQ422" s="120"/>
      <c r="BR422" s="120"/>
      <c r="BS422" s="120"/>
      <c r="BT422" s="120"/>
      <c r="BU422" s="120"/>
      <c r="BV422" s="120"/>
      <c r="BW422" s="120"/>
      <c r="BX422" s="120"/>
      <c r="BY422" s="120"/>
      <c r="BZ422" s="120"/>
      <c r="CA422" s="120"/>
      <c r="CB422" s="120"/>
      <c r="CC422" s="120"/>
      <c r="CD422" s="120"/>
      <c r="CE422" s="120"/>
      <c r="CF422" s="120"/>
      <c r="CG422" s="120"/>
      <c r="CH422" s="120"/>
      <c r="CI422" s="120"/>
      <c r="CJ422" s="120"/>
      <c r="CK422" s="120"/>
      <c r="CL422" s="120"/>
      <c r="CM422" s="120"/>
      <c r="CN422" s="120"/>
      <c r="CO422" s="120"/>
    </row>
    <row r="423" spans="1:93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1"/>
      <c r="U423" s="120"/>
      <c r="V423" s="120"/>
      <c r="W423" s="121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120"/>
      <c r="AR423" s="120"/>
      <c r="AS423" s="120"/>
      <c r="AT423" s="120"/>
      <c r="AU423" s="120"/>
      <c r="AV423" s="120"/>
      <c r="AW423" s="120"/>
      <c r="AX423" s="120"/>
      <c r="AY423" s="120"/>
      <c r="AZ423" s="120"/>
      <c r="BA423" s="120"/>
      <c r="BB423" s="120"/>
      <c r="BC423" s="120"/>
      <c r="BD423" s="120"/>
      <c r="BE423" s="120"/>
      <c r="BF423" s="120"/>
      <c r="BG423" s="120"/>
      <c r="BH423" s="120"/>
      <c r="BI423" s="120"/>
      <c r="BJ423" s="120"/>
      <c r="BK423" s="120"/>
      <c r="BL423" s="120"/>
      <c r="BM423" s="120"/>
      <c r="BN423" s="120"/>
      <c r="BO423" s="120"/>
      <c r="BP423" s="120"/>
      <c r="BQ423" s="120"/>
      <c r="BR423" s="120"/>
      <c r="BS423" s="120"/>
      <c r="BT423" s="120"/>
      <c r="BU423" s="120"/>
      <c r="BV423" s="120"/>
      <c r="BW423" s="120"/>
      <c r="BX423" s="120"/>
      <c r="BY423" s="120"/>
      <c r="BZ423" s="120"/>
      <c r="CA423" s="120"/>
      <c r="CB423" s="120"/>
      <c r="CC423" s="120"/>
      <c r="CD423" s="120"/>
      <c r="CE423" s="120"/>
      <c r="CF423" s="120"/>
      <c r="CG423" s="120"/>
      <c r="CH423" s="120"/>
      <c r="CI423" s="120"/>
      <c r="CJ423" s="120"/>
      <c r="CK423" s="120"/>
      <c r="CL423" s="120"/>
      <c r="CM423" s="120"/>
      <c r="CN423" s="120"/>
      <c r="CO423" s="120"/>
    </row>
    <row r="424" spans="1:93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1"/>
      <c r="U424" s="120"/>
      <c r="V424" s="120"/>
      <c r="W424" s="121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120"/>
      <c r="AR424" s="120"/>
      <c r="AS424" s="120"/>
      <c r="AT424" s="120"/>
      <c r="AU424" s="120"/>
      <c r="AV424" s="120"/>
      <c r="AW424" s="120"/>
      <c r="AX424" s="120"/>
      <c r="AY424" s="120"/>
      <c r="AZ424" s="120"/>
      <c r="BA424" s="120"/>
      <c r="BB424" s="120"/>
      <c r="BC424" s="120"/>
      <c r="BD424" s="120"/>
      <c r="BE424" s="120"/>
      <c r="BF424" s="120"/>
      <c r="BG424" s="120"/>
      <c r="BH424" s="120"/>
      <c r="BI424" s="120"/>
      <c r="BJ424" s="120"/>
      <c r="BK424" s="120"/>
      <c r="BL424" s="120"/>
      <c r="BM424" s="120"/>
      <c r="BN424" s="120"/>
      <c r="BO424" s="120"/>
      <c r="BP424" s="120"/>
      <c r="BQ424" s="120"/>
      <c r="BR424" s="120"/>
      <c r="BS424" s="120"/>
      <c r="BT424" s="120"/>
      <c r="BU424" s="120"/>
      <c r="BV424" s="120"/>
      <c r="BW424" s="120"/>
      <c r="BX424" s="120"/>
      <c r="BY424" s="120"/>
      <c r="BZ424" s="120"/>
      <c r="CA424" s="120"/>
      <c r="CB424" s="120"/>
      <c r="CC424" s="120"/>
      <c r="CD424" s="120"/>
      <c r="CE424" s="120"/>
      <c r="CF424" s="120"/>
      <c r="CG424" s="120"/>
      <c r="CH424" s="120"/>
      <c r="CI424" s="120"/>
      <c r="CJ424" s="120"/>
      <c r="CK424" s="120"/>
      <c r="CL424" s="120"/>
      <c r="CM424" s="120"/>
      <c r="CN424" s="120"/>
      <c r="CO424" s="120"/>
    </row>
    <row r="425" spans="1:93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1"/>
      <c r="U425" s="120"/>
      <c r="V425" s="120"/>
      <c r="W425" s="121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120"/>
      <c r="AR425" s="120"/>
      <c r="AS425" s="120"/>
      <c r="AT425" s="120"/>
      <c r="AU425" s="120"/>
      <c r="AV425" s="120"/>
      <c r="AW425" s="120"/>
      <c r="AX425" s="120"/>
      <c r="AY425" s="120"/>
      <c r="AZ425" s="120"/>
      <c r="BA425" s="120"/>
      <c r="BB425" s="120"/>
      <c r="BC425" s="120"/>
      <c r="BD425" s="120"/>
      <c r="BE425" s="120"/>
      <c r="BF425" s="120"/>
      <c r="BG425" s="120"/>
      <c r="BH425" s="120"/>
      <c r="BI425" s="120"/>
      <c r="BJ425" s="120"/>
      <c r="BK425" s="120"/>
      <c r="BL425" s="120"/>
      <c r="BM425" s="120"/>
      <c r="BN425" s="120"/>
      <c r="BO425" s="120"/>
      <c r="BP425" s="120"/>
      <c r="BQ425" s="120"/>
      <c r="BR425" s="120"/>
      <c r="BS425" s="120"/>
      <c r="BT425" s="120"/>
      <c r="BU425" s="120"/>
      <c r="BV425" s="120"/>
      <c r="BW425" s="120"/>
      <c r="BX425" s="120"/>
      <c r="BY425" s="120"/>
      <c r="BZ425" s="120"/>
      <c r="CA425" s="120"/>
      <c r="CB425" s="120"/>
      <c r="CC425" s="120"/>
      <c r="CD425" s="120"/>
      <c r="CE425" s="120"/>
      <c r="CF425" s="120"/>
      <c r="CG425" s="120"/>
      <c r="CH425" s="120"/>
      <c r="CI425" s="120"/>
      <c r="CJ425" s="120"/>
      <c r="CK425" s="120"/>
      <c r="CL425" s="120"/>
      <c r="CM425" s="120"/>
      <c r="CN425" s="120"/>
      <c r="CO425" s="120"/>
    </row>
    <row r="426" spans="1:93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1"/>
      <c r="U426" s="120"/>
      <c r="V426" s="120"/>
      <c r="W426" s="121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120"/>
      <c r="AR426" s="120"/>
      <c r="AS426" s="120"/>
      <c r="AT426" s="120"/>
      <c r="AU426" s="120"/>
      <c r="AV426" s="120"/>
      <c r="AW426" s="120"/>
      <c r="AX426" s="120"/>
      <c r="AY426" s="120"/>
      <c r="AZ426" s="120"/>
      <c r="BA426" s="120"/>
      <c r="BB426" s="120"/>
      <c r="BC426" s="120"/>
      <c r="BD426" s="120"/>
      <c r="BE426" s="120"/>
      <c r="BF426" s="120"/>
      <c r="BG426" s="120"/>
      <c r="BH426" s="120"/>
      <c r="BI426" s="120"/>
      <c r="BJ426" s="120"/>
      <c r="BK426" s="120"/>
      <c r="BL426" s="120"/>
      <c r="BM426" s="120"/>
      <c r="BN426" s="120"/>
      <c r="BO426" s="120"/>
      <c r="BP426" s="120"/>
      <c r="BQ426" s="120"/>
      <c r="BR426" s="120"/>
      <c r="BS426" s="120"/>
      <c r="BT426" s="120"/>
      <c r="BU426" s="120"/>
      <c r="BV426" s="120"/>
      <c r="BW426" s="120"/>
      <c r="BX426" s="120"/>
      <c r="BY426" s="120"/>
      <c r="BZ426" s="120"/>
      <c r="CA426" s="120"/>
      <c r="CB426" s="120"/>
      <c r="CC426" s="120"/>
      <c r="CD426" s="120"/>
      <c r="CE426" s="120"/>
      <c r="CF426" s="120"/>
      <c r="CG426" s="120"/>
      <c r="CH426" s="120"/>
      <c r="CI426" s="120"/>
      <c r="CJ426" s="120"/>
      <c r="CK426" s="120"/>
      <c r="CL426" s="120"/>
      <c r="CM426" s="120"/>
      <c r="CN426" s="120"/>
      <c r="CO426" s="120"/>
    </row>
    <row r="427" spans="1:93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1"/>
      <c r="U427" s="120"/>
      <c r="V427" s="120"/>
      <c r="W427" s="121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120"/>
      <c r="AR427" s="120"/>
      <c r="AS427" s="120"/>
      <c r="AT427" s="120"/>
      <c r="AU427" s="120"/>
      <c r="AV427" s="120"/>
      <c r="AW427" s="120"/>
      <c r="AX427" s="120"/>
      <c r="AY427" s="120"/>
      <c r="AZ427" s="120"/>
      <c r="BA427" s="120"/>
      <c r="BB427" s="120"/>
      <c r="BC427" s="120"/>
      <c r="BD427" s="120"/>
      <c r="BE427" s="120"/>
      <c r="BF427" s="120"/>
      <c r="BG427" s="120"/>
      <c r="BH427" s="120"/>
      <c r="BI427" s="120"/>
      <c r="BJ427" s="120"/>
      <c r="BK427" s="120"/>
      <c r="BL427" s="120"/>
      <c r="BM427" s="120"/>
      <c r="BN427" s="120"/>
      <c r="BO427" s="120"/>
      <c r="BP427" s="120"/>
      <c r="BQ427" s="120"/>
      <c r="BR427" s="120"/>
      <c r="BS427" s="120"/>
      <c r="BT427" s="120"/>
      <c r="BU427" s="120"/>
      <c r="BV427" s="120"/>
      <c r="BW427" s="120"/>
      <c r="BX427" s="120"/>
      <c r="BY427" s="120"/>
      <c r="BZ427" s="120"/>
      <c r="CA427" s="120"/>
      <c r="CB427" s="120"/>
      <c r="CC427" s="120"/>
      <c r="CD427" s="120"/>
      <c r="CE427" s="120"/>
      <c r="CF427" s="120"/>
      <c r="CG427" s="120"/>
      <c r="CH427" s="120"/>
      <c r="CI427" s="120"/>
      <c r="CJ427" s="120"/>
      <c r="CK427" s="120"/>
      <c r="CL427" s="120"/>
      <c r="CM427" s="120"/>
      <c r="CN427" s="120"/>
      <c r="CO427" s="120"/>
    </row>
    <row r="428" spans="1:93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1"/>
      <c r="U428" s="120"/>
      <c r="V428" s="120"/>
      <c r="W428" s="121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120"/>
      <c r="AR428" s="120"/>
      <c r="AS428" s="120"/>
      <c r="AT428" s="120"/>
      <c r="AU428" s="120"/>
      <c r="AV428" s="120"/>
      <c r="AW428" s="120"/>
      <c r="AX428" s="120"/>
      <c r="AY428" s="120"/>
      <c r="AZ428" s="120"/>
      <c r="BA428" s="120"/>
      <c r="BB428" s="120"/>
      <c r="BC428" s="120"/>
      <c r="BD428" s="120"/>
      <c r="BE428" s="120"/>
      <c r="BF428" s="120"/>
      <c r="BG428" s="120"/>
      <c r="BH428" s="120"/>
      <c r="BI428" s="120"/>
      <c r="BJ428" s="120"/>
      <c r="BK428" s="120"/>
      <c r="BL428" s="120"/>
      <c r="BM428" s="120"/>
      <c r="BN428" s="120"/>
      <c r="BO428" s="120"/>
      <c r="BP428" s="120"/>
      <c r="BQ428" s="120"/>
      <c r="BR428" s="120"/>
      <c r="BS428" s="120"/>
      <c r="BT428" s="120"/>
      <c r="BU428" s="120"/>
      <c r="BV428" s="120"/>
      <c r="BW428" s="120"/>
      <c r="BX428" s="120"/>
      <c r="BY428" s="120"/>
      <c r="BZ428" s="120"/>
      <c r="CA428" s="120"/>
      <c r="CB428" s="120"/>
      <c r="CC428" s="120"/>
      <c r="CD428" s="120"/>
      <c r="CE428" s="120"/>
      <c r="CF428" s="120"/>
      <c r="CG428" s="120"/>
      <c r="CH428" s="120"/>
      <c r="CI428" s="120"/>
      <c r="CJ428" s="120"/>
      <c r="CK428" s="120"/>
      <c r="CL428" s="120"/>
      <c r="CM428" s="120"/>
      <c r="CN428" s="120"/>
      <c r="CO428" s="120"/>
    </row>
    <row r="429" spans="1:93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1"/>
      <c r="U429" s="120"/>
      <c r="V429" s="120"/>
      <c r="W429" s="121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120"/>
      <c r="AR429" s="120"/>
      <c r="AS429" s="120"/>
      <c r="AT429" s="120"/>
      <c r="AU429" s="120"/>
      <c r="AV429" s="120"/>
      <c r="AW429" s="120"/>
      <c r="AX429" s="120"/>
      <c r="AY429" s="120"/>
      <c r="AZ429" s="120"/>
      <c r="BA429" s="120"/>
      <c r="BB429" s="120"/>
      <c r="BC429" s="120"/>
      <c r="BD429" s="120"/>
      <c r="BE429" s="120"/>
      <c r="BF429" s="120"/>
      <c r="BG429" s="120"/>
      <c r="BH429" s="120"/>
      <c r="BI429" s="120"/>
      <c r="BJ429" s="120"/>
      <c r="BK429" s="120"/>
      <c r="BL429" s="120"/>
      <c r="BM429" s="120"/>
      <c r="BN429" s="120"/>
      <c r="BO429" s="120"/>
      <c r="BP429" s="120"/>
      <c r="BQ429" s="120"/>
      <c r="BR429" s="120"/>
      <c r="BS429" s="120"/>
      <c r="BT429" s="120"/>
      <c r="BU429" s="120"/>
      <c r="BV429" s="120"/>
      <c r="BW429" s="120"/>
      <c r="BX429" s="120"/>
      <c r="BY429" s="120"/>
      <c r="BZ429" s="120"/>
      <c r="CA429" s="120"/>
      <c r="CB429" s="120"/>
      <c r="CC429" s="120"/>
      <c r="CD429" s="120"/>
      <c r="CE429" s="120"/>
      <c r="CF429" s="120"/>
      <c r="CG429" s="120"/>
      <c r="CH429" s="120"/>
      <c r="CI429" s="120"/>
      <c r="CJ429" s="120"/>
      <c r="CK429" s="120"/>
      <c r="CL429" s="120"/>
      <c r="CM429" s="120"/>
      <c r="CN429" s="120"/>
      <c r="CO429" s="120"/>
    </row>
    <row r="430" spans="1:93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1"/>
      <c r="U430" s="120"/>
      <c r="V430" s="120"/>
      <c r="W430" s="121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120"/>
      <c r="AR430" s="120"/>
      <c r="AS430" s="120"/>
      <c r="AT430" s="120"/>
      <c r="AU430" s="120"/>
      <c r="AV430" s="120"/>
      <c r="AW430" s="120"/>
      <c r="AX430" s="120"/>
      <c r="AY430" s="120"/>
      <c r="AZ430" s="120"/>
      <c r="BA430" s="120"/>
      <c r="BB430" s="120"/>
      <c r="BC430" s="120"/>
      <c r="BD430" s="120"/>
      <c r="BE430" s="120"/>
      <c r="BF430" s="120"/>
      <c r="BG430" s="120"/>
      <c r="BH430" s="120"/>
      <c r="BI430" s="120"/>
      <c r="BJ430" s="120"/>
      <c r="BK430" s="120"/>
      <c r="BL430" s="120"/>
      <c r="BM430" s="120"/>
      <c r="BN430" s="120"/>
      <c r="BO430" s="120"/>
      <c r="BP430" s="120"/>
      <c r="BQ430" s="120"/>
      <c r="BR430" s="120"/>
      <c r="BS430" s="120"/>
      <c r="BT430" s="120"/>
      <c r="BU430" s="120"/>
      <c r="BV430" s="120"/>
      <c r="BW430" s="120"/>
      <c r="BX430" s="120"/>
      <c r="BY430" s="120"/>
      <c r="BZ430" s="120"/>
      <c r="CA430" s="120"/>
      <c r="CB430" s="120"/>
      <c r="CC430" s="120"/>
      <c r="CD430" s="120"/>
      <c r="CE430" s="120"/>
      <c r="CF430" s="120"/>
      <c r="CG430" s="120"/>
      <c r="CH430" s="120"/>
      <c r="CI430" s="120"/>
      <c r="CJ430" s="120"/>
      <c r="CK430" s="120"/>
      <c r="CL430" s="120"/>
      <c r="CM430" s="120"/>
      <c r="CN430" s="120"/>
      <c r="CO430" s="120"/>
    </row>
    <row r="431" spans="1:93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1"/>
      <c r="U431" s="120"/>
      <c r="V431" s="120"/>
      <c r="W431" s="121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120"/>
      <c r="AR431" s="120"/>
      <c r="AS431" s="120"/>
      <c r="AT431" s="120"/>
      <c r="AU431" s="120"/>
      <c r="AV431" s="120"/>
      <c r="AW431" s="120"/>
      <c r="AX431" s="120"/>
      <c r="AY431" s="120"/>
      <c r="AZ431" s="120"/>
      <c r="BA431" s="120"/>
      <c r="BB431" s="120"/>
      <c r="BC431" s="120"/>
      <c r="BD431" s="120"/>
      <c r="BE431" s="120"/>
      <c r="BF431" s="120"/>
      <c r="BG431" s="120"/>
      <c r="BH431" s="120"/>
      <c r="BI431" s="120"/>
      <c r="BJ431" s="120"/>
      <c r="BK431" s="120"/>
      <c r="BL431" s="120"/>
      <c r="BM431" s="120"/>
      <c r="BN431" s="120"/>
      <c r="BO431" s="120"/>
      <c r="BP431" s="120"/>
      <c r="BQ431" s="120"/>
      <c r="BR431" s="120"/>
      <c r="BS431" s="120"/>
      <c r="BT431" s="120"/>
      <c r="BU431" s="120"/>
      <c r="BV431" s="120"/>
      <c r="BW431" s="120"/>
      <c r="BX431" s="120"/>
      <c r="BY431" s="120"/>
      <c r="BZ431" s="120"/>
      <c r="CA431" s="120"/>
      <c r="CB431" s="120"/>
      <c r="CC431" s="120"/>
      <c r="CD431" s="120"/>
      <c r="CE431" s="120"/>
      <c r="CF431" s="120"/>
      <c r="CG431" s="120"/>
      <c r="CH431" s="120"/>
      <c r="CI431" s="120"/>
      <c r="CJ431" s="120"/>
      <c r="CK431" s="120"/>
      <c r="CL431" s="120"/>
      <c r="CM431" s="120"/>
      <c r="CN431" s="120"/>
      <c r="CO431" s="120"/>
    </row>
    <row r="432" spans="1:93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1"/>
      <c r="U432" s="120"/>
      <c r="V432" s="120"/>
      <c r="W432" s="121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120"/>
      <c r="AR432" s="120"/>
      <c r="AS432" s="120"/>
      <c r="AT432" s="120"/>
      <c r="AU432" s="120"/>
      <c r="AV432" s="120"/>
      <c r="AW432" s="120"/>
      <c r="AX432" s="120"/>
      <c r="AY432" s="120"/>
      <c r="AZ432" s="120"/>
      <c r="BA432" s="120"/>
      <c r="BB432" s="120"/>
      <c r="BC432" s="120"/>
      <c r="BD432" s="120"/>
      <c r="BE432" s="120"/>
      <c r="BF432" s="120"/>
      <c r="BG432" s="120"/>
      <c r="BH432" s="120"/>
      <c r="BI432" s="120"/>
      <c r="BJ432" s="120"/>
      <c r="BK432" s="120"/>
      <c r="BL432" s="120"/>
      <c r="BM432" s="120"/>
      <c r="BN432" s="120"/>
      <c r="BO432" s="120"/>
      <c r="BP432" s="120"/>
      <c r="BQ432" s="120"/>
      <c r="BR432" s="120"/>
      <c r="BS432" s="120"/>
      <c r="BT432" s="120"/>
      <c r="BU432" s="120"/>
      <c r="BV432" s="120"/>
      <c r="BW432" s="120"/>
      <c r="BX432" s="120"/>
      <c r="BY432" s="120"/>
      <c r="BZ432" s="120"/>
      <c r="CA432" s="120"/>
      <c r="CB432" s="120"/>
      <c r="CC432" s="120"/>
      <c r="CD432" s="120"/>
      <c r="CE432" s="120"/>
      <c r="CF432" s="120"/>
      <c r="CG432" s="120"/>
      <c r="CH432" s="120"/>
      <c r="CI432" s="120"/>
      <c r="CJ432" s="120"/>
      <c r="CK432" s="120"/>
      <c r="CL432" s="120"/>
      <c r="CM432" s="120"/>
      <c r="CN432" s="120"/>
      <c r="CO432" s="120"/>
    </row>
    <row r="433" spans="1:93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1"/>
      <c r="U433" s="120"/>
      <c r="V433" s="120"/>
      <c r="W433" s="121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120"/>
      <c r="AR433" s="120"/>
      <c r="AS433" s="120"/>
      <c r="AT433" s="120"/>
      <c r="AU433" s="120"/>
      <c r="AV433" s="120"/>
      <c r="AW433" s="120"/>
      <c r="AX433" s="120"/>
      <c r="AY433" s="120"/>
      <c r="AZ433" s="120"/>
      <c r="BA433" s="120"/>
      <c r="BB433" s="120"/>
      <c r="BC433" s="120"/>
      <c r="BD433" s="120"/>
      <c r="BE433" s="120"/>
      <c r="BF433" s="120"/>
      <c r="BG433" s="120"/>
      <c r="BH433" s="120"/>
      <c r="BI433" s="120"/>
      <c r="BJ433" s="120"/>
      <c r="BK433" s="120"/>
      <c r="BL433" s="120"/>
      <c r="BM433" s="120"/>
      <c r="BN433" s="120"/>
      <c r="BO433" s="120"/>
      <c r="BP433" s="120"/>
      <c r="BQ433" s="120"/>
      <c r="BR433" s="120"/>
      <c r="BS433" s="120"/>
      <c r="BT433" s="120"/>
      <c r="BU433" s="120"/>
      <c r="BV433" s="120"/>
      <c r="BW433" s="120"/>
      <c r="BX433" s="120"/>
      <c r="BY433" s="120"/>
      <c r="BZ433" s="120"/>
      <c r="CA433" s="120"/>
      <c r="CB433" s="120"/>
      <c r="CC433" s="120"/>
      <c r="CD433" s="120"/>
      <c r="CE433" s="120"/>
      <c r="CF433" s="120"/>
      <c r="CG433" s="120"/>
      <c r="CH433" s="120"/>
      <c r="CI433" s="120"/>
      <c r="CJ433" s="120"/>
      <c r="CK433" s="120"/>
      <c r="CL433" s="120"/>
      <c r="CM433" s="120"/>
      <c r="CN433" s="120"/>
      <c r="CO433" s="120"/>
    </row>
    <row r="434" spans="1:93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1"/>
      <c r="U434" s="120"/>
      <c r="V434" s="120"/>
      <c r="W434" s="121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120"/>
      <c r="AR434" s="120"/>
      <c r="AS434" s="120"/>
      <c r="AT434" s="120"/>
      <c r="AU434" s="120"/>
      <c r="AV434" s="120"/>
      <c r="AW434" s="120"/>
      <c r="AX434" s="120"/>
      <c r="AY434" s="120"/>
      <c r="AZ434" s="120"/>
      <c r="BA434" s="120"/>
      <c r="BB434" s="120"/>
      <c r="BC434" s="120"/>
      <c r="BD434" s="120"/>
      <c r="BE434" s="120"/>
      <c r="BF434" s="120"/>
      <c r="BG434" s="120"/>
      <c r="BH434" s="120"/>
      <c r="BI434" s="120"/>
      <c r="BJ434" s="120"/>
      <c r="BK434" s="120"/>
      <c r="BL434" s="120"/>
      <c r="BM434" s="120"/>
      <c r="BN434" s="120"/>
      <c r="BO434" s="120"/>
      <c r="BP434" s="120"/>
      <c r="BQ434" s="120"/>
      <c r="BR434" s="120"/>
      <c r="BS434" s="120"/>
      <c r="BT434" s="120"/>
      <c r="BU434" s="120"/>
      <c r="BV434" s="120"/>
      <c r="BW434" s="120"/>
      <c r="BX434" s="120"/>
      <c r="BY434" s="120"/>
      <c r="BZ434" s="120"/>
      <c r="CA434" s="120"/>
      <c r="CB434" s="120"/>
      <c r="CC434" s="120"/>
      <c r="CD434" s="120"/>
      <c r="CE434" s="120"/>
      <c r="CF434" s="120"/>
      <c r="CG434" s="120"/>
      <c r="CH434" s="120"/>
      <c r="CI434" s="120"/>
      <c r="CJ434" s="120"/>
      <c r="CK434" s="120"/>
      <c r="CL434" s="120"/>
      <c r="CM434" s="120"/>
      <c r="CN434" s="120"/>
      <c r="CO434" s="120"/>
    </row>
    <row r="435" spans="1:93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1"/>
      <c r="U435" s="120"/>
      <c r="V435" s="120"/>
      <c r="W435" s="121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120"/>
      <c r="AR435" s="120"/>
      <c r="AS435" s="120"/>
      <c r="AT435" s="120"/>
      <c r="AU435" s="120"/>
      <c r="AV435" s="120"/>
      <c r="AW435" s="120"/>
      <c r="AX435" s="120"/>
      <c r="AY435" s="120"/>
      <c r="AZ435" s="120"/>
      <c r="BA435" s="120"/>
      <c r="BB435" s="120"/>
      <c r="BC435" s="120"/>
      <c r="BD435" s="120"/>
      <c r="BE435" s="120"/>
      <c r="BF435" s="120"/>
      <c r="BG435" s="120"/>
      <c r="BH435" s="120"/>
      <c r="BI435" s="120"/>
      <c r="BJ435" s="120"/>
      <c r="BK435" s="120"/>
      <c r="BL435" s="120"/>
      <c r="BM435" s="120"/>
      <c r="BN435" s="120"/>
      <c r="BO435" s="120"/>
      <c r="BP435" s="120"/>
      <c r="BQ435" s="120"/>
      <c r="BR435" s="120"/>
      <c r="BS435" s="120"/>
      <c r="BT435" s="120"/>
      <c r="BU435" s="120"/>
      <c r="BV435" s="120"/>
      <c r="BW435" s="120"/>
      <c r="BX435" s="120"/>
      <c r="BY435" s="120"/>
      <c r="BZ435" s="120"/>
      <c r="CA435" s="120"/>
      <c r="CB435" s="120"/>
      <c r="CC435" s="120"/>
      <c r="CD435" s="120"/>
      <c r="CE435" s="120"/>
      <c r="CF435" s="120"/>
      <c r="CG435" s="120"/>
      <c r="CH435" s="120"/>
      <c r="CI435" s="120"/>
      <c r="CJ435" s="120"/>
      <c r="CK435" s="120"/>
      <c r="CL435" s="120"/>
      <c r="CM435" s="120"/>
      <c r="CN435" s="120"/>
      <c r="CO435" s="120"/>
    </row>
    <row r="436" spans="1:93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1"/>
      <c r="U436" s="120"/>
      <c r="V436" s="120"/>
      <c r="W436" s="121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120"/>
      <c r="AR436" s="120"/>
      <c r="AS436" s="120"/>
      <c r="AT436" s="120"/>
      <c r="AU436" s="120"/>
      <c r="AV436" s="120"/>
      <c r="AW436" s="120"/>
      <c r="AX436" s="120"/>
      <c r="AY436" s="120"/>
      <c r="AZ436" s="120"/>
      <c r="BA436" s="120"/>
      <c r="BB436" s="120"/>
      <c r="BC436" s="120"/>
      <c r="BD436" s="120"/>
      <c r="BE436" s="120"/>
      <c r="BF436" s="120"/>
      <c r="BG436" s="120"/>
      <c r="BH436" s="120"/>
      <c r="BI436" s="120"/>
      <c r="BJ436" s="120"/>
      <c r="BK436" s="120"/>
      <c r="BL436" s="120"/>
      <c r="BM436" s="120"/>
      <c r="BN436" s="120"/>
      <c r="BO436" s="120"/>
      <c r="BP436" s="120"/>
      <c r="BQ436" s="120"/>
      <c r="BR436" s="120"/>
      <c r="BS436" s="120"/>
      <c r="BT436" s="120"/>
      <c r="BU436" s="120"/>
      <c r="BV436" s="120"/>
      <c r="BW436" s="120"/>
      <c r="BX436" s="120"/>
      <c r="BY436" s="120"/>
      <c r="BZ436" s="120"/>
      <c r="CA436" s="120"/>
      <c r="CB436" s="120"/>
      <c r="CC436" s="120"/>
      <c r="CD436" s="120"/>
      <c r="CE436" s="120"/>
      <c r="CF436" s="120"/>
      <c r="CG436" s="120"/>
      <c r="CH436" s="120"/>
      <c r="CI436" s="120"/>
      <c r="CJ436" s="120"/>
      <c r="CK436" s="120"/>
      <c r="CL436" s="120"/>
      <c r="CM436" s="120"/>
      <c r="CN436" s="120"/>
      <c r="CO436" s="120"/>
    </row>
    <row r="437" spans="1:93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1"/>
      <c r="U437" s="120"/>
      <c r="V437" s="120"/>
      <c r="W437" s="121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120"/>
      <c r="AR437" s="120"/>
      <c r="AS437" s="120"/>
      <c r="AT437" s="120"/>
      <c r="AU437" s="120"/>
      <c r="AV437" s="120"/>
      <c r="AW437" s="120"/>
      <c r="AX437" s="120"/>
      <c r="AY437" s="120"/>
      <c r="AZ437" s="120"/>
      <c r="BA437" s="120"/>
      <c r="BB437" s="120"/>
      <c r="BC437" s="120"/>
      <c r="BD437" s="120"/>
      <c r="BE437" s="120"/>
      <c r="BF437" s="120"/>
      <c r="BG437" s="120"/>
      <c r="BH437" s="120"/>
      <c r="BI437" s="120"/>
      <c r="BJ437" s="120"/>
      <c r="BK437" s="120"/>
      <c r="BL437" s="120"/>
      <c r="BM437" s="120"/>
      <c r="BN437" s="120"/>
      <c r="BO437" s="120"/>
      <c r="BP437" s="120"/>
      <c r="BQ437" s="120"/>
      <c r="BR437" s="120"/>
      <c r="BS437" s="120"/>
      <c r="BT437" s="120"/>
      <c r="BU437" s="120"/>
      <c r="BV437" s="120"/>
      <c r="BW437" s="120"/>
      <c r="BX437" s="120"/>
      <c r="BY437" s="120"/>
      <c r="BZ437" s="120"/>
      <c r="CA437" s="120"/>
      <c r="CB437" s="120"/>
      <c r="CC437" s="120"/>
      <c r="CD437" s="120"/>
      <c r="CE437" s="120"/>
      <c r="CF437" s="120"/>
      <c r="CG437" s="120"/>
      <c r="CH437" s="120"/>
      <c r="CI437" s="120"/>
      <c r="CJ437" s="120"/>
      <c r="CK437" s="120"/>
      <c r="CL437" s="120"/>
      <c r="CM437" s="120"/>
      <c r="CN437" s="120"/>
      <c r="CO437" s="120"/>
    </row>
    <row r="438" spans="1:93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1"/>
      <c r="U438" s="120"/>
      <c r="V438" s="120"/>
      <c r="W438" s="121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120"/>
      <c r="AR438" s="120"/>
      <c r="AS438" s="120"/>
      <c r="AT438" s="120"/>
      <c r="AU438" s="120"/>
      <c r="AV438" s="120"/>
      <c r="AW438" s="120"/>
      <c r="AX438" s="120"/>
      <c r="AY438" s="120"/>
      <c r="AZ438" s="120"/>
      <c r="BA438" s="120"/>
      <c r="BB438" s="120"/>
      <c r="BC438" s="120"/>
      <c r="BD438" s="120"/>
      <c r="BE438" s="120"/>
      <c r="BF438" s="120"/>
      <c r="BG438" s="120"/>
      <c r="BH438" s="120"/>
      <c r="BI438" s="120"/>
      <c r="BJ438" s="120"/>
      <c r="BK438" s="120"/>
      <c r="BL438" s="120"/>
      <c r="BM438" s="120"/>
      <c r="BN438" s="120"/>
      <c r="BO438" s="120"/>
      <c r="BP438" s="120"/>
      <c r="BQ438" s="120"/>
      <c r="BR438" s="120"/>
      <c r="BS438" s="120"/>
      <c r="BT438" s="120"/>
      <c r="BU438" s="120"/>
      <c r="BV438" s="120"/>
      <c r="BW438" s="120"/>
      <c r="BX438" s="120"/>
      <c r="BY438" s="120"/>
      <c r="BZ438" s="120"/>
      <c r="CA438" s="120"/>
      <c r="CB438" s="120"/>
      <c r="CC438" s="120"/>
      <c r="CD438" s="120"/>
      <c r="CE438" s="120"/>
      <c r="CF438" s="120"/>
      <c r="CG438" s="120"/>
      <c r="CH438" s="120"/>
      <c r="CI438" s="120"/>
      <c r="CJ438" s="120"/>
      <c r="CK438" s="120"/>
      <c r="CL438" s="120"/>
      <c r="CM438" s="120"/>
      <c r="CN438" s="120"/>
      <c r="CO438" s="120"/>
    </row>
    <row r="439" spans="1:93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1"/>
      <c r="U439" s="120"/>
      <c r="V439" s="120"/>
      <c r="W439" s="121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120"/>
      <c r="AR439" s="120"/>
      <c r="AS439" s="120"/>
      <c r="AT439" s="120"/>
      <c r="AU439" s="120"/>
      <c r="AV439" s="120"/>
      <c r="AW439" s="120"/>
      <c r="AX439" s="120"/>
      <c r="AY439" s="120"/>
      <c r="AZ439" s="120"/>
      <c r="BA439" s="120"/>
      <c r="BB439" s="120"/>
      <c r="BC439" s="120"/>
      <c r="BD439" s="120"/>
      <c r="BE439" s="120"/>
      <c r="BF439" s="120"/>
      <c r="BG439" s="120"/>
      <c r="BH439" s="120"/>
      <c r="BI439" s="120"/>
      <c r="BJ439" s="120"/>
      <c r="BK439" s="120"/>
      <c r="BL439" s="120"/>
      <c r="BM439" s="120"/>
      <c r="BN439" s="120"/>
      <c r="BO439" s="120"/>
      <c r="BP439" s="120"/>
      <c r="BQ439" s="120"/>
      <c r="BR439" s="120"/>
      <c r="BS439" s="120"/>
      <c r="BT439" s="120"/>
      <c r="BU439" s="120"/>
      <c r="BV439" s="120"/>
      <c r="BW439" s="120"/>
      <c r="BX439" s="120"/>
      <c r="BY439" s="120"/>
      <c r="BZ439" s="120"/>
      <c r="CA439" s="120"/>
      <c r="CB439" s="120"/>
      <c r="CC439" s="120"/>
      <c r="CD439" s="120"/>
      <c r="CE439" s="120"/>
      <c r="CF439" s="120"/>
      <c r="CG439" s="120"/>
      <c r="CH439" s="120"/>
      <c r="CI439" s="120"/>
      <c r="CJ439" s="120"/>
      <c r="CK439" s="120"/>
      <c r="CL439" s="120"/>
      <c r="CM439" s="120"/>
      <c r="CN439" s="120"/>
      <c r="CO439" s="120"/>
    </row>
    <row r="440" spans="1:93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1"/>
      <c r="U440" s="120"/>
      <c r="V440" s="120"/>
      <c r="W440" s="121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120"/>
      <c r="AR440" s="120"/>
      <c r="AS440" s="120"/>
      <c r="AT440" s="120"/>
      <c r="AU440" s="120"/>
      <c r="AV440" s="120"/>
      <c r="AW440" s="120"/>
      <c r="AX440" s="120"/>
      <c r="AY440" s="120"/>
      <c r="AZ440" s="120"/>
      <c r="BA440" s="120"/>
      <c r="BB440" s="120"/>
      <c r="BC440" s="120"/>
      <c r="BD440" s="120"/>
      <c r="BE440" s="120"/>
      <c r="BF440" s="120"/>
      <c r="BG440" s="120"/>
      <c r="BH440" s="120"/>
      <c r="BI440" s="120"/>
      <c r="BJ440" s="120"/>
      <c r="BK440" s="120"/>
      <c r="BL440" s="120"/>
      <c r="BM440" s="120"/>
      <c r="BN440" s="120"/>
      <c r="BO440" s="120"/>
      <c r="BP440" s="120"/>
      <c r="BQ440" s="120"/>
      <c r="BR440" s="120"/>
      <c r="BS440" s="120"/>
      <c r="BT440" s="120"/>
      <c r="BU440" s="120"/>
      <c r="BV440" s="120"/>
      <c r="BW440" s="120"/>
      <c r="BX440" s="120"/>
      <c r="BY440" s="120"/>
      <c r="BZ440" s="120"/>
      <c r="CA440" s="120"/>
      <c r="CB440" s="120"/>
      <c r="CC440" s="120"/>
      <c r="CD440" s="120"/>
      <c r="CE440" s="120"/>
      <c r="CF440" s="120"/>
      <c r="CG440" s="120"/>
      <c r="CH440" s="120"/>
      <c r="CI440" s="120"/>
      <c r="CJ440" s="120"/>
      <c r="CK440" s="120"/>
      <c r="CL440" s="120"/>
      <c r="CM440" s="120"/>
      <c r="CN440" s="120"/>
      <c r="CO440" s="120"/>
    </row>
    <row r="441" spans="1:93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1"/>
      <c r="U441" s="120"/>
      <c r="V441" s="120"/>
      <c r="W441" s="121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120"/>
      <c r="AR441" s="120"/>
      <c r="AS441" s="120"/>
      <c r="AT441" s="120"/>
      <c r="AU441" s="120"/>
      <c r="AV441" s="120"/>
      <c r="AW441" s="120"/>
      <c r="AX441" s="120"/>
      <c r="AY441" s="120"/>
      <c r="AZ441" s="120"/>
      <c r="BA441" s="120"/>
      <c r="BB441" s="120"/>
      <c r="BC441" s="120"/>
      <c r="BD441" s="120"/>
      <c r="BE441" s="120"/>
      <c r="BF441" s="120"/>
      <c r="BG441" s="120"/>
      <c r="BH441" s="120"/>
      <c r="BI441" s="120"/>
      <c r="BJ441" s="120"/>
      <c r="BK441" s="120"/>
      <c r="BL441" s="120"/>
      <c r="BM441" s="120"/>
      <c r="BN441" s="120"/>
      <c r="BO441" s="120"/>
      <c r="BP441" s="120"/>
      <c r="BQ441" s="120"/>
      <c r="BR441" s="120"/>
      <c r="BS441" s="120"/>
      <c r="BT441" s="120"/>
      <c r="BU441" s="120"/>
      <c r="BV441" s="120"/>
      <c r="BW441" s="120"/>
      <c r="BX441" s="120"/>
      <c r="BY441" s="120"/>
      <c r="BZ441" s="120"/>
      <c r="CA441" s="120"/>
      <c r="CB441" s="120"/>
      <c r="CC441" s="120"/>
      <c r="CD441" s="120"/>
      <c r="CE441" s="120"/>
      <c r="CF441" s="120"/>
      <c r="CG441" s="120"/>
      <c r="CH441" s="120"/>
      <c r="CI441" s="120"/>
      <c r="CJ441" s="120"/>
      <c r="CK441" s="120"/>
      <c r="CL441" s="120"/>
      <c r="CM441" s="120"/>
      <c r="CN441" s="120"/>
      <c r="CO441" s="120"/>
    </row>
    <row r="442" spans="1:93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1"/>
      <c r="U442" s="120"/>
      <c r="V442" s="120"/>
      <c r="W442" s="121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120"/>
      <c r="AR442" s="120"/>
      <c r="AS442" s="120"/>
      <c r="AT442" s="120"/>
      <c r="AU442" s="120"/>
      <c r="AV442" s="120"/>
      <c r="AW442" s="120"/>
      <c r="AX442" s="120"/>
      <c r="AY442" s="120"/>
      <c r="AZ442" s="120"/>
      <c r="BA442" s="120"/>
      <c r="BB442" s="120"/>
      <c r="BC442" s="120"/>
      <c r="BD442" s="120"/>
      <c r="BE442" s="120"/>
      <c r="BF442" s="120"/>
      <c r="BG442" s="120"/>
      <c r="BH442" s="120"/>
      <c r="BI442" s="120"/>
      <c r="BJ442" s="120"/>
      <c r="BK442" s="120"/>
      <c r="BL442" s="120"/>
      <c r="BM442" s="120"/>
      <c r="BN442" s="120"/>
      <c r="BO442" s="120"/>
      <c r="BP442" s="120"/>
      <c r="BQ442" s="120"/>
      <c r="BR442" s="120"/>
      <c r="BS442" s="120"/>
      <c r="BT442" s="120"/>
      <c r="BU442" s="120"/>
      <c r="BV442" s="120"/>
      <c r="BW442" s="120"/>
      <c r="BX442" s="120"/>
      <c r="BY442" s="120"/>
      <c r="BZ442" s="120"/>
      <c r="CA442" s="120"/>
      <c r="CB442" s="120"/>
      <c r="CC442" s="120"/>
      <c r="CD442" s="120"/>
      <c r="CE442" s="120"/>
      <c r="CF442" s="120"/>
      <c r="CG442" s="120"/>
      <c r="CH442" s="120"/>
      <c r="CI442" s="120"/>
      <c r="CJ442" s="120"/>
      <c r="CK442" s="120"/>
      <c r="CL442" s="120"/>
      <c r="CM442" s="120"/>
      <c r="CN442" s="120"/>
      <c r="CO442" s="120"/>
    </row>
    <row r="443" spans="1:93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1"/>
      <c r="U443" s="120"/>
      <c r="V443" s="120"/>
      <c r="W443" s="121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120"/>
      <c r="AR443" s="120"/>
      <c r="AS443" s="120"/>
      <c r="AT443" s="120"/>
      <c r="AU443" s="120"/>
      <c r="AV443" s="120"/>
      <c r="AW443" s="120"/>
      <c r="AX443" s="120"/>
      <c r="AY443" s="120"/>
      <c r="AZ443" s="120"/>
      <c r="BA443" s="120"/>
      <c r="BB443" s="120"/>
      <c r="BC443" s="120"/>
      <c r="BD443" s="120"/>
      <c r="BE443" s="120"/>
      <c r="BF443" s="120"/>
      <c r="BG443" s="120"/>
      <c r="BH443" s="120"/>
      <c r="BI443" s="120"/>
      <c r="BJ443" s="120"/>
      <c r="BK443" s="120"/>
      <c r="BL443" s="120"/>
      <c r="BM443" s="120"/>
      <c r="BN443" s="120"/>
      <c r="BO443" s="120"/>
      <c r="BP443" s="120"/>
      <c r="BQ443" s="120"/>
      <c r="BR443" s="120"/>
      <c r="BS443" s="120"/>
      <c r="BT443" s="120"/>
      <c r="BU443" s="120"/>
      <c r="BV443" s="120"/>
      <c r="BW443" s="120"/>
      <c r="BX443" s="120"/>
      <c r="BY443" s="120"/>
      <c r="BZ443" s="120"/>
      <c r="CA443" s="120"/>
      <c r="CB443" s="120"/>
      <c r="CC443" s="120"/>
      <c r="CD443" s="120"/>
      <c r="CE443" s="120"/>
      <c r="CF443" s="120"/>
      <c r="CG443" s="120"/>
      <c r="CH443" s="120"/>
      <c r="CI443" s="120"/>
      <c r="CJ443" s="120"/>
      <c r="CK443" s="120"/>
      <c r="CL443" s="120"/>
      <c r="CM443" s="120"/>
      <c r="CN443" s="120"/>
      <c r="CO443" s="120"/>
    </row>
    <row r="444" spans="1:93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1"/>
      <c r="U444" s="120"/>
      <c r="V444" s="120"/>
      <c r="W444" s="121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120"/>
      <c r="AR444" s="120"/>
      <c r="AS444" s="120"/>
      <c r="AT444" s="120"/>
      <c r="AU444" s="120"/>
      <c r="AV444" s="120"/>
      <c r="AW444" s="120"/>
      <c r="AX444" s="120"/>
      <c r="AY444" s="120"/>
      <c r="AZ444" s="120"/>
      <c r="BA444" s="120"/>
      <c r="BB444" s="120"/>
      <c r="BC444" s="120"/>
      <c r="BD444" s="120"/>
      <c r="BE444" s="120"/>
      <c r="BF444" s="120"/>
      <c r="BG444" s="120"/>
      <c r="BH444" s="120"/>
      <c r="BI444" s="120"/>
      <c r="BJ444" s="120"/>
      <c r="BK444" s="120"/>
      <c r="BL444" s="120"/>
      <c r="BM444" s="120"/>
      <c r="BN444" s="120"/>
      <c r="BO444" s="120"/>
      <c r="BP444" s="120"/>
      <c r="BQ444" s="120"/>
      <c r="BR444" s="120"/>
      <c r="BS444" s="120"/>
      <c r="BT444" s="120"/>
      <c r="BU444" s="120"/>
      <c r="BV444" s="120"/>
      <c r="BW444" s="120"/>
      <c r="BX444" s="120"/>
      <c r="BY444" s="120"/>
      <c r="BZ444" s="120"/>
      <c r="CA444" s="120"/>
      <c r="CB444" s="120"/>
      <c r="CC444" s="120"/>
      <c r="CD444" s="120"/>
      <c r="CE444" s="120"/>
      <c r="CF444" s="120"/>
      <c r="CG444" s="120"/>
      <c r="CH444" s="120"/>
      <c r="CI444" s="120"/>
      <c r="CJ444" s="120"/>
      <c r="CK444" s="120"/>
      <c r="CL444" s="120"/>
      <c r="CM444" s="120"/>
      <c r="CN444" s="120"/>
      <c r="CO444" s="120"/>
    </row>
    <row r="445" spans="1:93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1"/>
      <c r="U445" s="120"/>
      <c r="V445" s="120"/>
      <c r="W445" s="121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120"/>
      <c r="AR445" s="120"/>
      <c r="AS445" s="120"/>
      <c r="AT445" s="120"/>
      <c r="AU445" s="120"/>
      <c r="AV445" s="120"/>
      <c r="AW445" s="120"/>
      <c r="AX445" s="120"/>
      <c r="AY445" s="120"/>
      <c r="AZ445" s="120"/>
      <c r="BA445" s="120"/>
      <c r="BB445" s="120"/>
      <c r="BC445" s="120"/>
      <c r="BD445" s="120"/>
      <c r="BE445" s="120"/>
      <c r="BF445" s="120"/>
      <c r="BG445" s="120"/>
      <c r="BH445" s="120"/>
      <c r="BI445" s="120"/>
      <c r="BJ445" s="120"/>
      <c r="BK445" s="120"/>
      <c r="BL445" s="120"/>
      <c r="BM445" s="120"/>
      <c r="BN445" s="120"/>
      <c r="BO445" s="120"/>
      <c r="BP445" s="120"/>
      <c r="BQ445" s="120"/>
      <c r="BR445" s="120"/>
      <c r="BS445" s="120"/>
      <c r="BT445" s="120"/>
      <c r="BU445" s="120"/>
      <c r="BV445" s="120"/>
      <c r="BW445" s="120"/>
      <c r="BX445" s="120"/>
      <c r="BY445" s="120"/>
      <c r="BZ445" s="120"/>
      <c r="CA445" s="120"/>
      <c r="CB445" s="120"/>
      <c r="CC445" s="120"/>
      <c r="CD445" s="120"/>
      <c r="CE445" s="120"/>
      <c r="CF445" s="120"/>
      <c r="CG445" s="120"/>
      <c r="CH445" s="120"/>
      <c r="CI445" s="120"/>
      <c r="CJ445" s="120"/>
      <c r="CK445" s="120"/>
      <c r="CL445" s="120"/>
      <c r="CM445" s="120"/>
      <c r="CN445" s="120"/>
      <c r="CO445" s="120"/>
    </row>
    <row r="446" spans="1:93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1"/>
      <c r="U446" s="120"/>
      <c r="V446" s="120"/>
      <c r="W446" s="121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120"/>
      <c r="AR446" s="120"/>
      <c r="AS446" s="120"/>
      <c r="AT446" s="120"/>
      <c r="AU446" s="120"/>
      <c r="AV446" s="120"/>
      <c r="AW446" s="120"/>
      <c r="AX446" s="120"/>
      <c r="AY446" s="120"/>
      <c r="AZ446" s="120"/>
      <c r="BA446" s="120"/>
      <c r="BB446" s="120"/>
      <c r="BC446" s="120"/>
      <c r="BD446" s="120"/>
      <c r="BE446" s="120"/>
      <c r="BF446" s="120"/>
      <c r="BG446" s="120"/>
      <c r="BH446" s="120"/>
      <c r="BI446" s="120"/>
      <c r="BJ446" s="120"/>
      <c r="BK446" s="120"/>
      <c r="BL446" s="120"/>
      <c r="BM446" s="120"/>
      <c r="BN446" s="120"/>
      <c r="BO446" s="120"/>
      <c r="BP446" s="120"/>
      <c r="BQ446" s="120"/>
      <c r="BR446" s="120"/>
      <c r="BS446" s="120"/>
      <c r="BT446" s="120"/>
      <c r="BU446" s="120"/>
      <c r="BV446" s="120"/>
      <c r="BW446" s="120"/>
      <c r="BX446" s="120"/>
      <c r="BY446" s="120"/>
      <c r="BZ446" s="120"/>
      <c r="CA446" s="120"/>
      <c r="CB446" s="120"/>
      <c r="CC446" s="120"/>
      <c r="CD446" s="120"/>
      <c r="CE446" s="120"/>
      <c r="CF446" s="120"/>
      <c r="CG446" s="120"/>
      <c r="CH446" s="120"/>
      <c r="CI446" s="120"/>
      <c r="CJ446" s="120"/>
      <c r="CK446" s="120"/>
      <c r="CL446" s="120"/>
      <c r="CM446" s="120"/>
      <c r="CN446" s="120"/>
      <c r="CO446" s="120"/>
    </row>
    <row r="447" spans="1:93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1"/>
      <c r="U447" s="120"/>
      <c r="V447" s="120"/>
      <c r="W447" s="121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120"/>
      <c r="AR447" s="120"/>
      <c r="AS447" s="120"/>
      <c r="AT447" s="120"/>
      <c r="AU447" s="120"/>
      <c r="AV447" s="120"/>
      <c r="AW447" s="120"/>
      <c r="AX447" s="120"/>
      <c r="AY447" s="120"/>
      <c r="AZ447" s="120"/>
      <c r="BA447" s="120"/>
      <c r="BB447" s="120"/>
      <c r="BC447" s="120"/>
      <c r="BD447" s="120"/>
      <c r="BE447" s="120"/>
      <c r="BF447" s="120"/>
      <c r="BG447" s="120"/>
      <c r="BH447" s="120"/>
      <c r="BI447" s="120"/>
      <c r="BJ447" s="120"/>
      <c r="BK447" s="120"/>
      <c r="BL447" s="120"/>
      <c r="BM447" s="120"/>
      <c r="BN447" s="120"/>
      <c r="BO447" s="120"/>
      <c r="BP447" s="120"/>
      <c r="BQ447" s="120"/>
      <c r="BR447" s="120"/>
      <c r="BS447" s="120"/>
      <c r="BT447" s="120"/>
      <c r="BU447" s="120"/>
      <c r="BV447" s="120"/>
      <c r="BW447" s="120"/>
      <c r="BX447" s="120"/>
      <c r="BY447" s="120"/>
      <c r="BZ447" s="120"/>
      <c r="CA447" s="120"/>
      <c r="CB447" s="120"/>
      <c r="CC447" s="120"/>
      <c r="CD447" s="120"/>
      <c r="CE447" s="120"/>
      <c r="CF447" s="120"/>
      <c r="CG447" s="120"/>
      <c r="CH447" s="120"/>
      <c r="CI447" s="120"/>
      <c r="CJ447" s="120"/>
      <c r="CK447" s="120"/>
      <c r="CL447" s="120"/>
      <c r="CM447" s="120"/>
      <c r="CN447" s="120"/>
      <c r="CO447" s="120"/>
    </row>
    <row r="448" spans="1:93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1"/>
      <c r="U448" s="120"/>
      <c r="V448" s="120"/>
      <c r="W448" s="121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120"/>
      <c r="AR448" s="120"/>
      <c r="AS448" s="120"/>
      <c r="AT448" s="120"/>
      <c r="AU448" s="120"/>
      <c r="AV448" s="120"/>
      <c r="AW448" s="120"/>
      <c r="AX448" s="120"/>
      <c r="AY448" s="120"/>
      <c r="AZ448" s="120"/>
      <c r="BA448" s="120"/>
      <c r="BB448" s="120"/>
      <c r="BC448" s="120"/>
      <c r="BD448" s="120"/>
      <c r="BE448" s="120"/>
      <c r="BF448" s="120"/>
      <c r="BG448" s="120"/>
      <c r="BH448" s="120"/>
      <c r="BI448" s="120"/>
      <c r="BJ448" s="120"/>
      <c r="BK448" s="120"/>
      <c r="BL448" s="120"/>
      <c r="BM448" s="120"/>
      <c r="BN448" s="120"/>
      <c r="BO448" s="120"/>
      <c r="BP448" s="120"/>
      <c r="BQ448" s="120"/>
      <c r="BR448" s="120"/>
      <c r="BS448" s="120"/>
      <c r="BT448" s="120"/>
      <c r="BU448" s="120"/>
      <c r="BV448" s="120"/>
      <c r="BW448" s="120"/>
      <c r="BX448" s="120"/>
      <c r="BY448" s="120"/>
      <c r="BZ448" s="120"/>
      <c r="CA448" s="120"/>
      <c r="CB448" s="120"/>
      <c r="CC448" s="120"/>
      <c r="CD448" s="120"/>
      <c r="CE448" s="120"/>
      <c r="CF448" s="120"/>
      <c r="CG448" s="120"/>
      <c r="CH448" s="120"/>
      <c r="CI448" s="120"/>
      <c r="CJ448" s="120"/>
      <c r="CK448" s="120"/>
      <c r="CL448" s="120"/>
      <c r="CM448" s="120"/>
      <c r="CN448" s="120"/>
      <c r="CO448" s="120"/>
    </row>
    <row r="449" spans="1:93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1"/>
      <c r="U449" s="120"/>
      <c r="V449" s="120"/>
      <c r="W449" s="121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120"/>
      <c r="AR449" s="120"/>
      <c r="AS449" s="120"/>
      <c r="AT449" s="120"/>
      <c r="AU449" s="120"/>
      <c r="AV449" s="120"/>
      <c r="AW449" s="120"/>
      <c r="AX449" s="120"/>
      <c r="AY449" s="120"/>
      <c r="AZ449" s="120"/>
      <c r="BA449" s="120"/>
      <c r="BB449" s="120"/>
      <c r="BC449" s="120"/>
      <c r="BD449" s="120"/>
      <c r="BE449" s="120"/>
      <c r="BF449" s="120"/>
      <c r="BG449" s="120"/>
      <c r="BH449" s="120"/>
      <c r="BI449" s="120"/>
      <c r="BJ449" s="120"/>
      <c r="BK449" s="120"/>
      <c r="BL449" s="120"/>
      <c r="BM449" s="120"/>
      <c r="BN449" s="120"/>
      <c r="BO449" s="120"/>
      <c r="BP449" s="120"/>
      <c r="BQ449" s="120"/>
      <c r="BR449" s="120"/>
      <c r="BS449" s="120"/>
      <c r="BT449" s="120"/>
      <c r="BU449" s="120"/>
      <c r="BV449" s="120"/>
      <c r="BW449" s="120"/>
      <c r="BX449" s="120"/>
      <c r="BY449" s="120"/>
      <c r="BZ449" s="120"/>
      <c r="CA449" s="120"/>
      <c r="CB449" s="120"/>
      <c r="CC449" s="120"/>
      <c r="CD449" s="120"/>
      <c r="CE449" s="120"/>
      <c r="CF449" s="120"/>
      <c r="CG449" s="120"/>
      <c r="CH449" s="120"/>
      <c r="CI449" s="120"/>
      <c r="CJ449" s="120"/>
      <c r="CK449" s="120"/>
      <c r="CL449" s="120"/>
      <c r="CM449" s="120"/>
      <c r="CN449" s="120"/>
      <c r="CO449" s="120"/>
    </row>
    <row r="450" spans="1:93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1"/>
      <c r="U450" s="120"/>
      <c r="V450" s="120"/>
      <c r="W450" s="121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120"/>
      <c r="AR450" s="120"/>
      <c r="AS450" s="120"/>
      <c r="AT450" s="120"/>
      <c r="AU450" s="120"/>
      <c r="AV450" s="120"/>
      <c r="AW450" s="120"/>
      <c r="AX450" s="120"/>
      <c r="AY450" s="120"/>
      <c r="AZ450" s="120"/>
      <c r="BA450" s="120"/>
      <c r="BB450" s="120"/>
      <c r="BC450" s="120"/>
      <c r="BD450" s="120"/>
      <c r="BE450" s="120"/>
      <c r="BF450" s="120"/>
      <c r="BG450" s="120"/>
      <c r="BH450" s="120"/>
      <c r="BI450" s="120"/>
      <c r="BJ450" s="120"/>
      <c r="BK450" s="120"/>
      <c r="BL450" s="120"/>
      <c r="BM450" s="120"/>
      <c r="BN450" s="120"/>
      <c r="BO450" s="120"/>
      <c r="BP450" s="120"/>
      <c r="BQ450" s="120"/>
      <c r="BR450" s="120"/>
      <c r="BS450" s="120"/>
      <c r="BT450" s="120"/>
      <c r="BU450" s="120"/>
      <c r="BV450" s="120"/>
      <c r="BW450" s="120"/>
      <c r="BX450" s="120"/>
      <c r="BY450" s="120"/>
      <c r="BZ450" s="120"/>
      <c r="CA450" s="120"/>
      <c r="CB450" s="120"/>
      <c r="CC450" s="120"/>
      <c r="CD450" s="120"/>
      <c r="CE450" s="120"/>
      <c r="CF450" s="120"/>
      <c r="CG450" s="120"/>
      <c r="CH450" s="120"/>
      <c r="CI450" s="120"/>
      <c r="CJ450" s="120"/>
      <c r="CK450" s="120"/>
      <c r="CL450" s="120"/>
      <c r="CM450" s="120"/>
      <c r="CN450" s="120"/>
      <c r="CO450" s="120"/>
    </row>
    <row r="451" spans="1:93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1"/>
      <c r="U451" s="120"/>
      <c r="V451" s="120"/>
      <c r="W451" s="121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120"/>
      <c r="AR451" s="120"/>
      <c r="AS451" s="120"/>
      <c r="AT451" s="120"/>
      <c r="AU451" s="120"/>
      <c r="AV451" s="120"/>
      <c r="AW451" s="120"/>
      <c r="AX451" s="120"/>
      <c r="AY451" s="120"/>
      <c r="AZ451" s="120"/>
      <c r="BA451" s="120"/>
      <c r="BB451" s="120"/>
      <c r="BC451" s="120"/>
      <c r="BD451" s="120"/>
      <c r="BE451" s="120"/>
      <c r="BF451" s="120"/>
      <c r="BG451" s="120"/>
      <c r="BH451" s="120"/>
      <c r="BI451" s="120"/>
      <c r="BJ451" s="120"/>
      <c r="BK451" s="120"/>
      <c r="BL451" s="120"/>
      <c r="BM451" s="120"/>
      <c r="BN451" s="120"/>
      <c r="BO451" s="120"/>
      <c r="BP451" s="120"/>
      <c r="BQ451" s="120"/>
      <c r="BR451" s="120"/>
      <c r="BS451" s="120"/>
      <c r="BT451" s="120"/>
      <c r="BU451" s="120"/>
      <c r="BV451" s="120"/>
      <c r="BW451" s="120"/>
      <c r="BX451" s="120"/>
      <c r="BY451" s="120"/>
      <c r="BZ451" s="120"/>
      <c r="CA451" s="120"/>
      <c r="CB451" s="120"/>
      <c r="CC451" s="120"/>
      <c r="CD451" s="120"/>
      <c r="CE451" s="120"/>
      <c r="CF451" s="120"/>
      <c r="CG451" s="120"/>
      <c r="CH451" s="120"/>
      <c r="CI451" s="120"/>
      <c r="CJ451" s="120"/>
      <c r="CK451" s="120"/>
      <c r="CL451" s="120"/>
      <c r="CM451" s="120"/>
      <c r="CN451" s="120"/>
      <c r="CO451" s="120"/>
    </row>
    <row r="452" spans="1:93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1"/>
      <c r="U452" s="120"/>
      <c r="V452" s="120"/>
      <c r="W452" s="121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120"/>
      <c r="AR452" s="120"/>
      <c r="AS452" s="120"/>
      <c r="AT452" s="120"/>
      <c r="AU452" s="120"/>
      <c r="AV452" s="120"/>
      <c r="AW452" s="120"/>
      <c r="AX452" s="120"/>
      <c r="AY452" s="120"/>
      <c r="AZ452" s="120"/>
      <c r="BA452" s="120"/>
      <c r="BB452" s="120"/>
      <c r="BC452" s="120"/>
      <c r="BD452" s="120"/>
      <c r="BE452" s="120"/>
      <c r="BF452" s="120"/>
      <c r="BG452" s="120"/>
      <c r="BH452" s="120"/>
      <c r="BI452" s="120"/>
      <c r="BJ452" s="120"/>
      <c r="BK452" s="120"/>
      <c r="BL452" s="120"/>
      <c r="BM452" s="120"/>
      <c r="BN452" s="120"/>
      <c r="BO452" s="120"/>
      <c r="BP452" s="120"/>
      <c r="BQ452" s="120"/>
      <c r="BR452" s="120"/>
      <c r="BS452" s="120"/>
      <c r="BT452" s="120"/>
      <c r="BU452" s="120"/>
      <c r="BV452" s="120"/>
      <c r="BW452" s="120"/>
      <c r="BX452" s="120"/>
      <c r="BY452" s="120"/>
      <c r="BZ452" s="120"/>
      <c r="CA452" s="120"/>
      <c r="CB452" s="120"/>
      <c r="CC452" s="120"/>
      <c r="CD452" s="120"/>
      <c r="CE452" s="120"/>
      <c r="CF452" s="120"/>
      <c r="CG452" s="120"/>
      <c r="CH452" s="120"/>
      <c r="CI452" s="120"/>
      <c r="CJ452" s="120"/>
      <c r="CK452" s="120"/>
      <c r="CL452" s="120"/>
      <c r="CM452" s="120"/>
      <c r="CN452" s="120"/>
      <c r="CO452" s="120"/>
    </row>
    <row r="453" spans="1:93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1"/>
      <c r="U453" s="120"/>
      <c r="V453" s="120"/>
      <c r="W453" s="121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120"/>
      <c r="AR453" s="120"/>
      <c r="AS453" s="120"/>
      <c r="AT453" s="120"/>
      <c r="AU453" s="120"/>
      <c r="AV453" s="120"/>
      <c r="AW453" s="120"/>
      <c r="AX453" s="120"/>
      <c r="AY453" s="120"/>
      <c r="AZ453" s="120"/>
      <c r="BA453" s="120"/>
      <c r="BB453" s="120"/>
      <c r="BC453" s="120"/>
      <c r="BD453" s="120"/>
      <c r="BE453" s="120"/>
      <c r="BF453" s="120"/>
      <c r="BG453" s="120"/>
      <c r="BH453" s="120"/>
      <c r="BI453" s="120"/>
      <c r="BJ453" s="120"/>
      <c r="BK453" s="120"/>
      <c r="BL453" s="120"/>
      <c r="BM453" s="120"/>
      <c r="BN453" s="120"/>
      <c r="BO453" s="120"/>
      <c r="BP453" s="120"/>
      <c r="BQ453" s="120"/>
      <c r="BR453" s="120"/>
      <c r="BS453" s="120"/>
      <c r="BT453" s="120"/>
      <c r="BU453" s="120"/>
      <c r="BV453" s="120"/>
      <c r="BW453" s="120"/>
      <c r="BX453" s="120"/>
      <c r="BY453" s="120"/>
      <c r="BZ453" s="120"/>
      <c r="CA453" s="120"/>
      <c r="CB453" s="120"/>
      <c r="CC453" s="120"/>
      <c r="CD453" s="120"/>
      <c r="CE453" s="120"/>
      <c r="CF453" s="120"/>
      <c r="CG453" s="120"/>
      <c r="CH453" s="120"/>
      <c r="CI453" s="120"/>
      <c r="CJ453" s="120"/>
      <c r="CK453" s="120"/>
      <c r="CL453" s="120"/>
      <c r="CM453" s="120"/>
      <c r="CN453" s="120"/>
      <c r="CO453" s="120"/>
    </row>
    <row r="454" spans="1:93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1"/>
      <c r="U454" s="120"/>
      <c r="V454" s="120"/>
      <c r="W454" s="121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120"/>
      <c r="AR454" s="120"/>
      <c r="AS454" s="120"/>
      <c r="AT454" s="120"/>
      <c r="AU454" s="120"/>
      <c r="AV454" s="120"/>
      <c r="AW454" s="120"/>
      <c r="AX454" s="120"/>
      <c r="AY454" s="120"/>
      <c r="AZ454" s="120"/>
      <c r="BA454" s="120"/>
      <c r="BB454" s="120"/>
      <c r="BC454" s="120"/>
      <c r="BD454" s="120"/>
      <c r="BE454" s="120"/>
      <c r="BF454" s="120"/>
      <c r="BG454" s="120"/>
      <c r="BH454" s="120"/>
      <c r="BI454" s="120"/>
      <c r="BJ454" s="120"/>
      <c r="BK454" s="120"/>
      <c r="BL454" s="120"/>
      <c r="BM454" s="120"/>
      <c r="BN454" s="120"/>
      <c r="BO454" s="120"/>
      <c r="BP454" s="120"/>
      <c r="BQ454" s="120"/>
      <c r="BR454" s="120"/>
      <c r="BS454" s="120"/>
      <c r="BT454" s="120"/>
      <c r="BU454" s="120"/>
      <c r="BV454" s="120"/>
      <c r="BW454" s="120"/>
      <c r="BX454" s="120"/>
      <c r="BY454" s="120"/>
      <c r="BZ454" s="120"/>
      <c r="CA454" s="120"/>
      <c r="CB454" s="120"/>
      <c r="CC454" s="120"/>
      <c r="CD454" s="120"/>
      <c r="CE454" s="120"/>
      <c r="CF454" s="120"/>
      <c r="CG454" s="120"/>
      <c r="CH454" s="120"/>
      <c r="CI454" s="120"/>
      <c r="CJ454" s="120"/>
      <c r="CK454" s="120"/>
      <c r="CL454" s="120"/>
      <c r="CM454" s="120"/>
      <c r="CN454" s="120"/>
      <c r="CO454" s="120"/>
    </row>
    <row r="455" spans="1:93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1"/>
      <c r="U455" s="120"/>
      <c r="V455" s="120"/>
      <c r="W455" s="121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120"/>
      <c r="AS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C455" s="120"/>
      <c r="BD455" s="120"/>
      <c r="BE455" s="120"/>
      <c r="BF455" s="120"/>
      <c r="BG455" s="120"/>
      <c r="BH455" s="120"/>
      <c r="BI455" s="120"/>
      <c r="BJ455" s="120"/>
      <c r="BK455" s="120"/>
      <c r="BL455" s="120"/>
      <c r="BM455" s="120"/>
      <c r="BN455" s="120"/>
      <c r="BO455" s="120"/>
      <c r="BP455" s="120"/>
      <c r="BQ455" s="120"/>
      <c r="BR455" s="120"/>
      <c r="BS455" s="120"/>
      <c r="BT455" s="120"/>
      <c r="BU455" s="120"/>
      <c r="BV455" s="120"/>
      <c r="BW455" s="120"/>
      <c r="BX455" s="120"/>
      <c r="BY455" s="120"/>
      <c r="BZ455" s="120"/>
      <c r="CA455" s="120"/>
      <c r="CB455" s="120"/>
      <c r="CC455" s="120"/>
      <c r="CD455" s="120"/>
      <c r="CE455" s="120"/>
      <c r="CF455" s="120"/>
      <c r="CG455" s="120"/>
      <c r="CH455" s="120"/>
      <c r="CI455" s="120"/>
      <c r="CJ455" s="120"/>
      <c r="CK455" s="120"/>
      <c r="CL455" s="120"/>
      <c r="CM455" s="120"/>
      <c r="CN455" s="120"/>
      <c r="CO455" s="120"/>
    </row>
    <row r="456" spans="1:93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1"/>
      <c r="U456" s="120"/>
      <c r="V456" s="120"/>
      <c r="W456" s="121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120"/>
      <c r="AR456" s="120"/>
      <c r="AS456" s="120"/>
      <c r="AT456" s="120"/>
      <c r="AU456" s="120"/>
      <c r="AV456" s="120"/>
      <c r="AW456" s="120"/>
      <c r="AX456" s="120"/>
      <c r="AY456" s="120"/>
      <c r="AZ456" s="120"/>
      <c r="BA456" s="120"/>
      <c r="BB456" s="120"/>
      <c r="BC456" s="120"/>
      <c r="BD456" s="120"/>
      <c r="BE456" s="120"/>
      <c r="BF456" s="120"/>
      <c r="BG456" s="120"/>
      <c r="BH456" s="120"/>
      <c r="BI456" s="120"/>
      <c r="BJ456" s="120"/>
      <c r="BK456" s="120"/>
      <c r="BL456" s="120"/>
      <c r="BM456" s="120"/>
      <c r="BN456" s="120"/>
      <c r="BO456" s="120"/>
      <c r="BP456" s="120"/>
      <c r="BQ456" s="120"/>
      <c r="BR456" s="120"/>
      <c r="BS456" s="120"/>
      <c r="BT456" s="120"/>
      <c r="BU456" s="120"/>
      <c r="BV456" s="120"/>
      <c r="BW456" s="120"/>
      <c r="BX456" s="120"/>
      <c r="BY456" s="120"/>
      <c r="BZ456" s="120"/>
      <c r="CA456" s="120"/>
      <c r="CB456" s="120"/>
      <c r="CC456" s="120"/>
      <c r="CD456" s="120"/>
      <c r="CE456" s="120"/>
      <c r="CF456" s="120"/>
      <c r="CG456" s="120"/>
      <c r="CH456" s="120"/>
      <c r="CI456" s="120"/>
      <c r="CJ456" s="120"/>
      <c r="CK456" s="120"/>
      <c r="CL456" s="120"/>
      <c r="CM456" s="120"/>
      <c r="CN456" s="120"/>
      <c r="CO456" s="120"/>
    </row>
    <row r="457" spans="1:93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1"/>
      <c r="U457" s="120"/>
      <c r="V457" s="120"/>
      <c r="W457" s="121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120"/>
      <c r="AR457" s="120"/>
      <c r="AS457" s="120"/>
      <c r="AT457" s="120"/>
      <c r="AU457" s="120"/>
      <c r="AV457" s="120"/>
      <c r="AW457" s="120"/>
      <c r="AX457" s="120"/>
      <c r="AY457" s="120"/>
      <c r="AZ457" s="120"/>
      <c r="BA457" s="120"/>
      <c r="BB457" s="120"/>
      <c r="BC457" s="120"/>
      <c r="BD457" s="120"/>
      <c r="BE457" s="120"/>
      <c r="BF457" s="120"/>
      <c r="BG457" s="120"/>
      <c r="BH457" s="120"/>
      <c r="BI457" s="120"/>
      <c r="BJ457" s="120"/>
      <c r="BK457" s="120"/>
      <c r="BL457" s="120"/>
      <c r="BM457" s="120"/>
      <c r="BN457" s="120"/>
      <c r="BO457" s="120"/>
      <c r="BP457" s="120"/>
      <c r="BQ457" s="120"/>
      <c r="BR457" s="120"/>
      <c r="BS457" s="120"/>
      <c r="BT457" s="120"/>
      <c r="BU457" s="120"/>
      <c r="BV457" s="120"/>
      <c r="BW457" s="120"/>
      <c r="BX457" s="120"/>
      <c r="BY457" s="120"/>
      <c r="BZ457" s="120"/>
      <c r="CA457" s="120"/>
      <c r="CB457" s="120"/>
      <c r="CC457" s="120"/>
      <c r="CD457" s="120"/>
      <c r="CE457" s="120"/>
      <c r="CF457" s="120"/>
      <c r="CG457" s="120"/>
      <c r="CH457" s="120"/>
      <c r="CI457" s="120"/>
      <c r="CJ457" s="120"/>
      <c r="CK457" s="120"/>
      <c r="CL457" s="120"/>
      <c r="CM457" s="120"/>
      <c r="CN457" s="120"/>
      <c r="CO457" s="120"/>
    </row>
    <row r="458" spans="1:93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1"/>
      <c r="U458" s="120"/>
      <c r="V458" s="120"/>
      <c r="W458" s="121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120"/>
      <c r="AR458" s="120"/>
      <c r="AS458" s="120"/>
      <c r="AT458" s="120"/>
      <c r="AU458" s="120"/>
      <c r="AV458" s="120"/>
      <c r="AW458" s="120"/>
      <c r="AX458" s="120"/>
      <c r="AY458" s="120"/>
      <c r="AZ458" s="120"/>
      <c r="BA458" s="120"/>
      <c r="BB458" s="120"/>
      <c r="BC458" s="120"/>
      <c r="BD458" s="120"/>
      <c r="BE458" s="120"/>
      <c r="BF458" s="120"/>
      <c r="BG458" s="120"/>
      <c r="BH458" s="120"/>
      <c r="BI458" s="120"/>
      <c r="BJ458" s="120"/>
      <c r="BK458" s="120"/>
      <c r="BL458" s="120"/>
      <c r="BM458" s="120"/>
      <c r="BN458" s="120"/>
      <c r="BO458" s="120"/>
      <c r="BP458" s="120"/>
      <c r="BQ458" s="120"/>
      <c r="BR458" s="120"/>
      <c r="BS458" s="120"/>
      <c r="BT458" s="120"/>
      <c r="BU458" s="120"/>
      <c r="BV458" s="120"/>
      <c r="BW458" s="120"/>
      <c r="BX458" s="120"/>
      <c r="BY458" s="120"/>
      <c r="BZ458" s="120"/>
      <c r="CA458" s="120"/>
      <c r="CB458" s="120"/>
      <c r="CC458" s="120"/>
      <c r="CD458" s="120"/>
      <c r="CE458" s="120"/>
      <c r="CF458" s="120"/>
      <c r="CG458" s="120"/>
      <c r="CH458" s="120"/>
      <c r="CI458" s="120"/>
      <c r="CJ458" s="120"/>
      <c r="CK458" s="120"/>
      <c r="CL458" s="120"/>
      <c r="CM458" s="120"/>
      <c r="CN458" s="120"/>
      <c r="CO458" s="120"/>
    </row>
    <row r="459" spans="1:93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1"/>
      <c r="U459" s="120"/>
      <c r="V459" s="120"/>
      <c r="W459" s="121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20"/>
      <c r="AW459" s="120"/>
      <c r="AX459" s="120"/>
      <c r="AY459" s="120"/>
      <c r="AZ459" s="120"/>
      <c r="BA459" s="120"/>
      <c r="BB459" s="120"/>
      <c r="BC459" s="120"/>
      <c r="BD459" s="120"/>
      <c r="BE459" s="120"/>
      <c r="BF459" s="120"/>
      <c r="BG459" s="120"/>
      <c r="BH459" s="120"/>
      <c r="BI459" s="120"/>
      <c r="BJ459" s="120"/>
      <c r="BK459" s="120"/>
      <c r="BL459" s="120"/>
      <c r="BM459" s="120"/>
      <c r="BN459" s="120"/>
      <c r="BO459" s="120"/>
      <c r="BP459" s="120"/>
      <c r="BQ459" s="120"/>
      <c r="BR459" s="120"/>
      <c r="BS459" s="120"/>
      <c r="BT459" s="120"/>
      <c r="BU459" s="120"/>
      <c r="BV459" s="120"/>
      <c r="BW459" s="120"/>
      <c r="BX459" s="120"/>
      <c r="BY459" s="120"/>
      <c r="BZ459" s="120"/>
      <c r="CA459" s="120"/>
      <c r="CB459" s="120"/>
      <c r="CC459" s="120"/>
      <c r="CD459" s="120"/>
      <c r="CE459" s="120"/>
      <c r="CF459" s="120"/>
      <c r="CG459" s="120"/>
      <c r="CH459" s="120"/>
      <c r="CI459" s="120"/>
      <c r="CJ459" s="120"/>
      <c r="CK459" s="120"/>
      <c r="CL459" s="120"/>
      <c r="CM459" s="120"/>
      <c r="CN459" s="120"/>
      <c r="CO459" s="120"/>
    </row>
    <row r="460" spans="1:93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1"/>
      <c r="U460" s="120"/>
      <c r="V460" s="120"/>
      <c r="W460" s="121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20"/>
      <c r="AW460" s="120"/>
      <c r="AX460" s="120"/>
      <c r="AY460" s="120"/>
      <c r="AZ460" s="120"/>
      <c r="BA460" s="120"/>
      <c r="BB460" s="120"/>
      <c r="BC460" s="120"/>
      <c r="BD460" s="120"/>
      <c r="BE460" s="120"/>
      <c r="BF460" s="120"/>
      <c r="BG460" s="120"/>
      <c r="BH460" s="120"/>
      <c r="BI460" s="120"/>
      <c r="BJ460" s="120"/>
      <c r="BK460" s="120"/>
      <c r="BL460" s="120"/>
      <c r="BM460" s="120"/>
      <c r="BN460" s="120"/>
      <c r="BO460" s="120"/>
      <c r="BP460" s="120"/>
      <c r="BQ460" s="120"/>
      <c r="BR460" s="120"/>
      <c r="BS460" s="120"/>
      <c r="BT460" s="120"/>
      <c r="BU460" s="120"/>
      <c r="BV460" s="120"/>
      <c r="BW460" s="120"/>
      <c r="BX460" s="120"/>
      <c r="BY460" s="120"/>
      <c r="BZ460" s="120"/>
      <c r="CA460" s="120"/>
      <c r="CB460" s="120"/>
      <c r="CC460" s="120"/>
      <c r="CD460" s="120"/>
      <c r="CE460" s="120"/>
      <c r="CF460" s="120"/>
      <c r="CG460" s="120"/>
      <c r="CH460" s="120"/>
      <c r="CI460" s="120"/>
      <c r="CJ460" s="120"/>
      <c r="CK460" s="120"/>
      <c r="CL460" s="120"/>
      <c r="CM460" s="120"/>
      <c r="CN460" s="120"/>
      <c r="CO460" s="120"/>
    </row>
    <row r="461" spans="1:93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1"/>
      <c r="U461" s="120"/>
      <c r="V461" s="120"/>
      <c r="W461" s="121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120"/>
      <c r="AR461" s="120"/>
      <c r="AS461" s="120"/>
      <c r="AT461" s="120"/>
      <c r="AU461" s="120"/>
      <c r="AV461" s="120"/>
      <c r="AW461" s="120"/>
      <c r="AX461" s="120"/>
      <c r="AY461" s="120"/>
      <c r="AZ461" s="120"/>
      <c r="BA461" s="120"/>
      <c r="BB461" s="120"/>
      <c r="BC461" s="120"/>
      <c r="BD461" s="120"/>
      <c r="BE461" s="120"/>
      <c r="BF461" s="120"/>
      <c r="BG461" s="120"/>
      <c r="BH461" s="120"/>
      <c r="BI461" s="120"/>
      <c r="BJ461" s="120"/>
      <c r="BK461" s="120"/>
      <c r="BL461" s="120"/>
      <c r="BM461" s="120"/>
      <c r="BN461" s="120"/>
      <c r="BO461" s="120"/>
      <c r="BP461" s="120"/>
      <c r="BQ461" s="120"/>
      <c r="BR461" s="120"/>
      <c r="BS461" s="120"/>
      <c r="BT461" s="120"/>
      <c r="BU461" s="120"/>
      <c r="BV461" s="120"/>
      <c r="BW461" s="120"/>
      <c r="BX461" s="120"/>
      <c r="BY461" s="120"/>
      <c r="BZ461" s="120"/>
      <c r="CA461" s="120"/>
      <c r="CB461" s="120"/>
      <c r="CC461" s="120"/>
      <c r="CD461" s="120"/>
      <c r="CE461" s="120"/>
      <c r="CF461" s="120"/>
      <c r="CG461" s="120"/>
      <c r="CH461" s="120"/>
      <c r="CI461" s="120"/>
      <c r="CJ461" s="120"/>
      <c r="CK461" s="120"/>
      <c r="CL461" s="120"/>
      <c r="CM461" s="120"/>
      <c r="CN461" s="120"/>
      <c r="CO461" s="120"/>
    </row>
    <row r="462" spans="1:93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1"/>
      <c r="U462" s="120"/>
      <c r="V462" s="120"/>
      <c r="W462" s="121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120"/>
      <c r="AR462" s="120"/>
      <c r="AS462" s="120"/>
      <c r="AT462" s="120"/>
      <c r="AU462" s="120"/>
      <c r="AV462" s="120"/>
      <c r="AW462" s="120"/>
      <c r="AX462" s="120"/>
      <c r="AY462" s="120"/>
      <c r="AZ462" s="120"/>
      <c r="BA462" s="120"/>
      <c r="BB462" s="120"/>
      <c r="BC462" s="120"/>
      <c r="BD462" s="120"/>
      <c r="BE462" s="120"/>
      <c r="BF462" s="120"/>
      <c r="BG462" s="120"/>
      <c r="BH462" s="120"/>
      <c r="BI462" s="120"/>
      <c r="BJ462" s="120"/>
      <c r="BK462" s="120"/>
      <c r="BL462" s="120"/>
      <c r="BM462" s="120"/>
      <c r="BN462" s="120"/>
      <c r="BO462" s="120"/>
      <c r="BP462" s="120"/>
      <c r="BQ462" s="120"/>
      <c r="BR462" s="120"/>
      <c r="BS462" s="120"/>
      <c r="BT462" s="120"/>
      <c r="BU462" s="120"/>
      <c r="BV462" s="120"/>
      <c r="BW462" s="120"/>
      <c r="BX462" s="120"/>
      <c r="BY462" s="120"/>
      <c r="BZ462" s="120"/>
      <c r="CA462" s="120"/>
      <c r="CB462" s="120"/>
      <c r="CC462" s="120"/>
      <c r="CD462" s="120"/>
      <c r="CE462" s="120"/>
      <c r="CF462" s="120"/>
      <c r="CG462" s="120"/>
      <c r="CH462" s="120"/>
      <c r="CI462" s="120"/>
      <c r="CJ462" s="120"/>
      <c r="CK462" s="120"/>
      <c r="CL462" s="120"/>
      <c r="CM462" s="120"/>
      <c r="CN462" s="120"/>
      <c r="CO462" s="120"/>
    </row>
    <row r="463" spans="1:93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1"/>
      <c r="U463" s="120"/>
      <c r="V463" s="120"/>
      <c r="W463" s="121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120"/>
      <c r="AR463" s="120"/>
      <c r="AS463" s="120"/>
      <c r="AT463" s="120"/>
      <c r="AU463" s="120"/>
      <c r="AV463" s="120"/>
      <c r="AW463" s="120"/>
      <c r="AX463" s="120"/>
      <c r="AY463" s="120"/>
      <c r="AZ463" s="120"/>
      <c r="BA463" s="120"/>
      <c r="BB463" s="120"/>
      <c r="BC463" s="120"/>
      <c r="BD463" s="120"/>
      <c r="BE463" s="120"/>
      <c r="BF463" s="120"/>
      <c r="BG463" s="120"/>
      <c r="BH463" s="120"/>
      <c r="BI463" s="120"/>
      <c r="BJ463" s="120"/>
      <c r="BK463" s="120"/>
      <c r="BL463" s="120"/>
      <c r="BM463" s="120"/>
      <c r="BN463" s="120"/>
      <c r="BO463" s="120"/>
      <c r="BP463" s="120"/>
      <c r="BQ463" s="120"/>
      <c r="BR463" s="120"/>
      <c r="BS463" s="120"/>
      <c r="BT463" s="120"/>
      <c r="BU463" s="120"/>
      <c r="BV463" s="120"/>
      <c r="BW463" s="120"/>
      <c r="BX463" s="120"/>
      <c r="BY463" s="120"/>
      <c r="BZ463" s="120"/>
      <c r="CA463" s="120"/>
      <c r="CB463" s="120"/>
      <c r="CC463" s="120"/>
      <c r="CD463" s="120"/>
      <c r="CE463" s="120"/>
      <c r="CF463" s="120"/>
      <c r="CG463" s="120"/>
      <c r="CH463" s="120"/>
      <c r="CI463" s="120"/>
      <c r="CJ463" s="120"/>
      <c r="CK463" s="120"/>
      <c r="CL463" s="120"/>
      <c r="CM463" s="120"/>
      <c r="CN463" s="120"/>
      <c r="CO463" s="120"/>
    </row>
    <row r="464" spans="1:93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1"/>
      <c r="U464" s="120"/>
      <c r="V464" s="120"/>
      <c r="W464" s="121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120"/>
      <c r="AR464" s="120"/>
      <c r="AS464" s="120"/>
      <c r="AT464" s="120"/>
      <c r="AU464" s="120"/>
      <c r="AV464" s="120"/>
      <c r="AW464" s="120"/>
      <c r="AX464" s="120"/>
      <c r="AY464" s="120"/>
      <c r="AZ464" s="120"/>
      <c r="BA464" s="120"/>
      <c r="BB464" s="120"/>
      <c r="BC464" s="120"/>
      <c r="BD464" s="120"/>
      <c r="BE464" s="120"/>
      <c r="BF464" s="120"/>
      <c r="BG464" s="120"/>
      <c r="BH464" s="120"/>
      <c r="BI464" s="120"/>
      <c r="BJ464" s="120"/>
      <c r="BK464" s="120"/>
      <c r="BL464" s="120"/>
      <c r="BM464" s="120"/>
      <c r="BN464" s="120"/>
      <c r="BO464" s="120"/>
      <c r="BP464" s="120"/>
      <c r="BQ464" s="120"/>
      <c r="BR464" s="120"/>
      <c r="BS464" s="120"/>
      <c r="BT464" s="120"/>
      <c r="BU464" s="120"/>
      <c r="BV464" s="120"/>
      <c r="BW464" s="120"/>
      <c r="BX464" s="120"/>
      <c r="BY464" s="120"/>
      <c r="BZ464" s="120"/>
      <c r="CA464" s="120"/>
      <c r="CB464" s="120"/>
      <c r="CC464" s="120"/>
      <c r="CD464" s="120"/>
      <c r="CE464" s="120"/>
      <c r="CF464" s="120"/>
      <c r="CG464" s="120"/>
      <c r="CH464" s="120"/>
      <c r="CI464" s="120"/>
      <c r="CJ464" s="120"/>
      <c r="CK464" s="120"/>
      <c r="CL464" s="120"/>
      <c r="CM464" s="120"/>
      <c r="CN464" s="120"/>
      <c r="CO464" s="120"/>
    </row>
    <row r="465" spans="1:93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1"/>
      <c r="U465" s="120"/>
      <c r="V465" s="120"/>
      <c r="W465" s="121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120"/>
      <c r="AR465" s="120"/>
      <c r="AS465" s="120"/>
      <c r="AT465" s="120"/>
      <c r="AU465" s="120"/>
      <c r="AV465" s="120"/>
      <c r="AW465" s="120"/>
      <c r="AX465" s="120"/>
      <c r="AY465" s="120"/>
      <c r="AZ465" s="120"/>
      <c r="BA465" s="120"/>
      <c r="BB465" s="120"/>
      <c r="BC465" s="120"/>
      <c r="BD465" s="120"/>
      <c r="BE465" s="120"/>
      <c r="BF465" s="120"/>
      <c r="BG465" s="120"/>
      <c r="BH465" s="120"/>
      <c r="BI465" s="120"/>
      <c r="BJ465" s="120"/>
      <c r="BK465" s="120"/>
      <c r="BL465" s="120"/>
      <c r="BM465" s="120"/>
      <c r="BN465" s="120"/>
      <c r="BO465" s="120"/>
      <c r="BP465" s="120"/>
      <c r="BQ465" s="120"/>
      <c r="BR465" s="120"/>
      <c r="BS465" s="120"/>
      <c r="BT465" s="120"/>
      <c r="BU465" s="120"/>
      <c r="BV465" s="120"/>
      <c r="BW465" s="120"/>
      <c r="BX465" s="120"/>
      <c r="BY465" s="120"/>
      <c r="BZ465" s="120"/>
      <c r="CA465" s="120"/>
      <c r="CB465" s="120"/>
      <c r="CC465" s="120"/>
      <c r="CD465" s="120"/>
      <c r="CE465" s="120"/>
      <c r="CF465" s="120"/>
      <c r="CG465" s="120"/>
      <c r="CH465" s="120"/>
      <c r="CI465" s="120"/>
      <c r="CJ465" s="120"/>
      <c r="CK465" s="120"/>
      <c r="CL465" s="120"/>
      <c r="CM465" s="120"/>
      <c r="CN465" s="120"/>
      <c r="CO465" s="120"/>
    </row>
    <row r="466" spans="1:93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1"/>
      <c r="U466" s="120"/>
      <c r="V466" s="120"/>
      <c r="W466" s="121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120"/>
      <c r="AR466" s="120"/>
      <c r="AS466" s="120"/>
      <c r="AT466" s="120"/>
      <c r="AU466" s="120"/>
      <c r="AV466" s="120"/>
      <c r="AW466" s="120"/>
      <c r="AX466" s="120"/>
      <c r="AY466" s="120"/>
      <c r="AZ466" s="120"/>
      <c r="BA466" s="120"/>
      <c r="BB466" s="120"/>
      <c r="BC466" s="120"/>
      <c r="BD466" s="120"/>
      <c r="BE466" s="120"/>
      <c r="BF466" s="120"/>
      <c r="BG466" s="120"/>
      <c r="BH466" s="120"/>
      <c r="BI466" s="120"/>
      <c r="BJ466" s="120"/>
      <c r="BK466" s="120"/>
      <c r="BL466" s="120"/>
      <c r="BM466" s="120"/>
      <c r="BN466" s="120"/>
      <c r="BO466" s="120"/>
      <c r="BP466" s="120"/>
      <c r="BQ466" s="120"/>
      <c r="BR466" s="120"/>
      <c r="BS466" s="120"/>
      <c r="BT466" s="120"/>
      <c r="BU466" s="120"/>
      <c r="BV466" s="120"/>
      <c r="BW466" s="120"/>
      <c r="BX466" s="120"/>
      <c r="BY466" s="120"/>
      <c r="BZ466" s="120"/>
      <c r="CA466" s="120"/>
      <c r="CB466" s="120"/>
      <c r="CC466" s="120"/>
      <c r="CD466" s="120"/>
      <c r="CE466" s="120"/>
      <c r="CF466" s="120"/>
      <c r="CG466" s="120"/>
      <c r="CH466" s="120"/>
      <c r="CI466" s="120"/>
      <c r="CJ466" s="120"/>
      <c r="CK466" s="120"/>
      <c r="CL466" s="120"/>
      <c r="CM466" s="120"/>
      <c r="CN466" s="120"/>
      <c r="CO466" s="120"/>
    </row>
    <row r="467" spans="1:93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1"/>
      <c r="U467" s="120"/>
      <c r="V467" s="120"/>
      <c r="W467" s="121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120"/>
      <c r="AR467" s="120"/>
      <c r="AS467" s="120"/>
      <c r="AT467" s="120"/>
      <c r="AU467" s="120"/>
      <c r="AV467" s="120"/>
      <c r="AW467" s="120"/>
      <c r="AX467" s="120"/>
      <c r="AY467" s="120"/>
      <c r="AZ467" s="120"/>
      <c r="BA467" s="120"/>
      <c r="BB467" s="120"/>
      <c r="BC467" s="120"/>
      <c r="BD467" s="120"/>
      <c r="BE467" s="120"/>
      <c r="BF467" s="120"/>
      <c r="BG467" s="120"/>
      <c r="BH467" s="120"/>
      <c r="BI467" s="120"/>
      <c r="BJ467" s="120"/>
      <c r="BK467" s="120"/>
      <c r="BL467" s="120"/>
      <c r="BM467" s="120"/>
      <c r="BN467" s="120"/>
      <c r="BO467" s="120"/>
      <c r="BP467" s="120"/>
      <c r="BQ467" s="120"/>
      <c r="BR467" s="120"/>
      <c r="BS467" s="120"/>
      <c r="BT467" s="120"/>
      <c r="BU467" s="120"/>
      <c r="BV467" s="120"/>
      <c r="BW467" s="120"/>
      <c r="BX467" s="120"/>
      <c r="BY467" s="120"/>
      <c r="BZ467" s="120"/>
      <c r="CA467" s="120"/>
      <c r="CB467" s="120"/>
      <c r="CC467" s="120"/>
      <c r="CD467" s="120"/>
      <c r="CE467" s="120"/>
      <c r="CF467" s="120"/>
      <c r="CG467" s="120"/>
      <c r="CH467" s="120"/>
      <c r="CI467" s="120"/>
      <c r="CJ467" s="120"/>
      <c r="CK467" s="120"/>
      <c r="CL467" s="120"/>
      <c r="CM467" s="120"/>
      <c r="CN467" s="120"/>
      <c r="CO467" s="120"/>
    </row>
    <row r="468" spans="1:93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1"/>
      <c r="U468" s="120"/>
      <c r="V468" s="120"/>
      <c r="W468" s="121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20"/>
      <c r="BW468" s="120"/>
      <c r="BX468" s="120"/>
      <c r="BY468" s="120"/>
      <c r="BZ468" s="120"/>
      <c r="CA468" s="120"/>
      <c r="CB468" s="120"/>
      <c r="CC468" s="120"/>
      <c r="CD468" s="120"/>
      <c r="CE468" s="120"/>
      <c r="CF468" s="120"/>
      <c r="CG468" s="120"/>
      <c r="CH468" s="120"/>
      <c r="CI468" s="120"/>
      <c r="CJ468" s="120"/>
      <c r="CK468" s="120"/>
      <c r="CL468" s="120"/>
      <c r="CM468" s="120"/>
      <c r="CN468" s="120"/>
      <c r="CO468" s="120"/>
    </row>
    <row r="469" spans="1:93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1"/>
      <c r="U469" s="120"/>
      <c r="V469" s="120"/>
      <c r="W469" s="121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120"/>
      <c r="AR469" s="120"/>
      <c r="AS469" s="120"/>
      <c r="AT469" s="120"/>
      <c r="AU469" s="120"/>
      <c r="AV469" s="120"/>
      <c r="AW469" s="120"/>
      <c r="AX469" s="120"/>
      <c r="AY469" s="120"/>
      <c r="AZ469" s="120"/>
      <c r="BA469" s="120"/>
      <c r="BB469" s="120"/>
      <c r="BC469" s="120"/>
      <c r="BD469" s="120"/>
      <c r="BE469" s="120"/>
      <c r="BF469" s="120"/>
      <c r="BG469" s="120"/>
      <c r="BH469" s="120"/>
      <c r="BI469" s="120"/>
      <c r="BJ469" s="120"/>
      <c r="BK469" s="120"/>
      <c r="BL469" s="120"/>
      <c r="BM469" s="120"/>
      <c r="BN469" s="120"/>
      <c r="BO469" s="120"/>
      <c r="BP469" s="120"/>
      <c r="BQ469" s="120"/>
      <c r="BR469" s="120"/>
      <c r="BS469" s="120"/>
      <c r="BT469" s="120"/>
      <c r="BU469" s="120"/>
      <c r="BV469" s="120"/>
      <c r="BW469" s="120"/>
      <c r="BX469" s="120"/>
      <c r="BY469" s="120"/>
      <c r="BZ469" s="120"/>
      <c r="CA469" s="120"/>
      <c r="CB469" s="120"/>
      <c r="CC469" s="120"/>
      <c r="CD469" s="120"/>
      <c r="CE469" s="120"/>
      <c r="CF469" s="120"/>
      <c r="CG469" s="120"/>
      <c r="CH469" s="120"/>
      <c r="CI469" s="120"/>
      <c r="CJ469" s="120"/>
      <c r="CK469" s="120"/>
      <c r="CL469" s="120"/>
      <c r="CM469" s="120"/>
      <c r="CN469" s="120"/>
      <c r="CO469" s="120"/>
    </row>
    <row r="470" spans="1:93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1"/>
      <c r="U470" s="120"/>
      <c r="V470" s="120"/>
      <c r="W470" s="121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120"/>
      <c r="AR470" s="120"/>
      <c r="AS470" s="120"/>
      <c r="AT470" s="120"/>
      <c r="AU470" s="120"/>
      <c r="AV470" s="120"/>
      <c r="AW470" s="120"/>
      <c r="AX470" s="120"/>
      <c r="AY470" s="120"/>
      <c r="AZ470" s="120"/>
      <c r="BA470" s="120"/>
      <c r="BB470" s="120"/>
      <c r="BC470" s="120"/>
      <c r="BD470" s="120"/>
      <c r="BE470" s="120"/>
      <c r="BF470" s="120"/>
      <c r="BG470" s="120"/>
      <c r="BH470" s="120"/>
      <c r="BI470" s="120"/>
      <c r="BJ470" s="120"/>
      <c r="BK470" s="120"/>
      <c r="BL470" s="120"/>
      <c r="BM470" s="120"/>
      <c r="BN470" s="120"/>
      <c r="BO470" s="120"/>
      <c r="BP470" s="120"/>
      <c r="BQ470" s="120"/>
      <c r="BR470" s="120"/>
      <c r="BS470" s="120"/>
      <c r="BT470" s="120"/>
      <c r="BU470" s="120"/>
      <c r="BV470" s="120"/>
      <c r="BW470" s="120"/>
      <c r="BX470" s="120"/>
      <c r="BY470" s="120"/>
      <c r="BZ470" s="120"/>
      <c r="CA470" s="120"/>
      <c r="CB470" s="120"/>
      <c r="CC470" s="120"/>
      <c r="CD470" s="120"/>
      <c r="CE470" s="120"/>
      <c r="CF470" s="120"/>
      <c r="CG470" s="120"/>
      <c r="CH470" s="120"/>
      <c r="CI470" s="120"/>
      <c r="CJ470" s="120"/>
      <c r="CK470" s="120"/>
      <c r="CL470" s="120"/>
      <c r="CM470" s="120"/>
      <c r="CN470" s="120"/>
      <c r="CO470" s="120"/>
    </row>
    <row r="471" spans="1:93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1"/>
      <c r="U471" s="120"/>
      <c r="V471" s="120"/>
      <c r="W471" s="121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120"/>
      <c r="AR471" s="120"/>
      <c r="AS471" s="120"/>
      <c r="AT471" s="120"/>
      <c r="AU471" s="120"/>
      <c r="AV471" s="120"/>
      <c r="AW471" s="120"/>
      <c r="AX471" s="120"/>
      <c r="AY471" s="120"/>
      <c r="AZ471" s="120"/>
      <c r="BA471" s="120"/>
      <c r="BB471" s="120"/>
      <c r="BC471" s="120"/>
      <c r="BD471" s="120"/>
      <c r="BE471" s="120"/>
      <c r="BF471" s="120"/>
      <c r="BG471" s="120"/>
      <c r="BH471" s="120"/>
      <c r="BI471" s="120"/>
      <c r="BJ471" s="120"/>
      <c r="BK471" s="120"/>
      <c r="BL471" s="120"/>
      <c r="BM471" s="120"/>
      <c r="BN471" s="120"/>
      <c r="BO471" s="120"/>
      <c r="BP471" s="120"/>
      <c r="BQ471" s="120"/>
      <c r="BR471" s="120"/>
      <c r="BS471" s="120"/>
      <c r="BT471" s="120"/>
      <c r="BU471" s="120"/>
      <c r="BV471" s="120"/>
      <c r="BW471" s="120"/>
      <c r="BX471" s="120"/>
      <c r="BY471" s="120"/>
      <c r="BZ471" s="120"/>
      <c r="CA471" s="120"/>
      <c r="CB471" s="120"/>
      <c r="CC471" s="120"/>
      <c r="CD471" s="120"/>
      <c r="CE471" s="120"/>
      <c r="CF471" s="120"/>
      <c r="CG471" s="120"/>
      <c r="CH471" s="120"/>
      <c r="CI471" s="120"/>
      <c r="CJ471" s="120"/>
      <c r="CK471" s="120"/>
      <c r="CL471" s="120"/>
      <c r="CM471" s="120"/>
      <c r="CN471" s="120"/>
      <c r="CO471" s="120"/>
    </row>
    <row r="472" spans="1:93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1"/>
      <c r="U472" s="120"/>
      <c r="V472" s="120"/>
      <c r="W472" s="121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120"/>
      <c r="AR472" s="120"/>
      <c r="AS472" s="120"/>
      <c r="AT472" s="120"/>
      <c r="AU472" s="120"/>
      <c r="AV472" s="120"/>
      <c r="AW472" s="120"/>
      <c r="AX472" s="120"/>
      <c r="AY472" s="120"/>
      <c r="AZ472" s="120"/>
      <c r="BA472" s="120"/>
      <c r="BB472" s="120"/>
      <c r="BC472" s="120"/>
      <c r="BD472" s="120"/>
      <c r="BE472" s="120"/>
      <c r="BF472" s="120"/>
      <c r="BG472" s="120"/>
      <c r="BH472" s="120"/>
      <c r="BI472" s="120"/>
      <c r="BJ472" s="120"/>
      <c r="BK472" s="120"/>
      <c r="BL472" s="120"/>
      <c r="BM472" s="120"/>
      <c r="BN472" s="120"/>
      <c r="BO472" s="120"/>
      <c r="BP472" s="120"/>
      <c r="BQ472" s="120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0"/>
      <c r="CB472" s="120"/>
      <c r="CC472" s="120"/>
      <c r="CD472" s="120"/>
      <c r="CE472" s="120"/>
      <c r="CF472" s="120"/>
      <c r="CG472" s="120"/>
      <c r="CH472" s="120"/>
      <c r="CI472" s="120"/>
      <c r="CJ472" s="120"/>
      <c r="CK472" s="120"/>
      <c r="CL472" s="120"/>
      <c r="CM472" s="120"/>
      <c r="CN472" s="120"/>
      <c r="CO472" s="120"/>
    </row>
    <row r="473" spans="1:93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1"/>
      <c r="U473" s="120"/>
      <c r="V473" s="120"/>
      <c r="W473" s="121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120"/>
      <c r="AR473" s="120"/>
      <c r="AS473" s="120"/>
      <c r="AT473" s="120"/>
      <c r="AU473" s="120"/>
      <c r="AV473" s="120"/>
      <c r="AW473" s="120"/>
      <c r="AX473" s="120"/>
      <c r="AY473" s="120"/>
      <c r="AZ473" s="120"/>
      <c r="BA473" s="120"/>
      <c r="BB473" s="120"/>
      <c r="BC473" s="120"/>
      <c r="BD473" s="120"/>
      <c r="BE473" s="120"/>
      <c r="BF473" s="120"/>
      <c r="BG473" s="120"/>
      <c r="BH473" s="120"/>
      <c r="BI473" s="120"/>
      <c r="BJ473" s="120"/>
      <c r="BK473" s="120"/>
      <c r="BL473" s="120"/>
      <c r="BM473" s="120"/>
      <c r="BN473" s="120"/>
      <c r="BO473" s="120"/>
      <c r="BP473" s="120"/>
      <c r="BQ473" s="120"/>
      <c r="BR473" s="120"/>
      <c r="BS473" s="120"/>
      <c r="BT473" s="120"/>
      <c r="BU473" s="120"/>
      <c r="BV473" s="120"/>
      <c r="BW473" s="120"/>
      <c r="BX473" s="120"/>
      <c r="BY473" s="120"/>
      <c r="BZ473" s="120"/>
      <c r="CA473" s="120"/>
      <c r="CB473" s="120"/>
      <c r="CC473" s="120"/>
      <c r="CD473" s="120"/>
      <c r="CE473" s="120"/>
      <c r="CF473" s="120"/>
      <c r="CG473" s="120"/>
      <c r="CH473" s="120"/>
      <c r="CI473" s="120"/>
      <c r="CJ473" s="120"/>
      <c r="CK473" s="120"/>
      <c r="CL473" s="120"/>
      <c r="CM473" s="120"/>
      <c r="CN473" s="120"/>
      <c r="CO473" s="120"/>
    </row>
    <row r="474" spans="1:93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1"/>
      <c r="U474" s="120"/>
      <c r="V474" s="120"/>
      <c r="W474" s="121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/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0"/>
      <c r="BK474" s="120"/>
      <c r="BL474" s="120"/>
      <c r="BM474" s="120"/>
      <c r="BN474" s="120"/>
      <c r="BO474" s="120"/>
      <c r="BP474" s="120"/>
      <c r="BQ474" s="120"/>
      <c r="BR474" s="120"/>
      <c r="BS474" s="120"/>
      <c r="BT474" s="120"/>
      <c r="BU474" s="120"/>
      <c r="BV474" s="120"/>
      <c r="BW474" s="120"/>
      <c r="BX474" s="120"/>
      <c r="BY474" s="120"/>
      <c r="BZ474" s="120"/>
      <c r="CA474" s="120"/>
      <c r="CB474" s="120"/>
      <c r="CC474" s="120"/>
      <c r="CD474" s="120"/>
      <c r="CE474" s="120"/>
      <c r="CF474" s="120"/>
      <c r="CG474" s="120"/>
      <c r="CH474" s="120"/>
      <c r="CI474" s="120"/>
      <c r="CJ474" s="120"/>
      <c r="CK474" s="120"/>
      <c r="CL474" s="120"/>
      <c r="CM474" s="120"/>
      <c r="CN474" s="120"/>
      <c r="CO474" s="120"/>
    </row>
    <row r="475" spans="1:93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1"/>
      <c r="U475" s="120"/>
      <c r="V475" s="120"/>
      <c r="W475" s="121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120"/>
      <c r="AR475" s="120"/>
      <c r="AS475" s="120"/>
      <c r="AT475" s="120"/>
      <c r="AU475" s="120"/>
      <c r="AV475" s="120"/>
      <c r="AW475" s="120"/>
      <c r="AX475" s="120"/>
      <c r="AY475" s="120"/>
      <c r="AZ475" s="120"/>
      <c r="BA475" s="120"/>
      <c r="BB475" s="120"/>
      <c r="BC475" s="120"/>
      <c r="BD475" s="120"/>
      <c r="BE475" s="120"/>
      <c r="BF475" s="120"/>
      <c r="BG475" s="120"/>
      <c r="BH475" s="120"/>
      <c r="BI475" s="120"/>
      <c r="BJ475" s="120"/>
      <c r="BK475" s="120"/>
      <c r="BL475" s="120"/>
      <c r="BM475" s="120"/>
      <c r="BN475" s="120"/>
      <c r="BO475" s="120"/>
      <c r="BP475" s="120"/>
      <c r="BQ475" s="120"/>
      <c r="BR475" s="120"/>
      <c r="BS475" s="120"/>
      <c r="BT475" s="120"/>
      <c r="BU475" s="120"/>
      <c r="BV475" s="120"/>
      <c r="BW475" s="120"/>
      <c r="BX475" s="120"/>
      <c r="BY475" s="120"/>
      <c r="BZ475" s="120"/>
      <c r="CA475" s="120"/>
      <c r="CB475" s="120"/>
      <c r="CC475" s="120"/>
      <c r="CD475" s="120"/>
      <c r="CE475" s="120"/>
      <c r="CF475" s="120"/>
      <c r="CG475" s="120"/>
      <c r="CH475" s="120"/>
      <c r="CI475" s="120"/>
      <c r="CJ475" s="120"/>
      <c r="CK475" s="120"/>
      <c r="CL475" s="120"/>
      <c r="CM475" s="120"/>
      <c r="CN475" s="120"/>
      <c r="CO475" s="120"/>
    </row>
    <row r="476" spans="1:93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1"/>
      <c r="U476" s="120"/>
      <c r="V476" s="120"/>
      <c r="W476" s="121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120"/>
      <c r="AR476" s="120"/>
      <c r="AS476" s="120"/>
      <c r="AT476" s="120"/>
      <c r="AU476" s="120"/>
      <c r="AV476" s="120"/>
      <c r="AW476" s="120"/>
      <c r="AX476" s="120"/>
      <c r="AY476" s="120"/>
      <c r="AZ476" s="120"/>
      <c r="BA476" s="120"/>
      <c r="BB476" s="120"/>
      <c r="BC476" s="120"/>
      <c r="BD476" s="120"/>
      <c r="BE476" s="120"/>
      <c r="BF476" s="120"/>
      <c r="BG476" s="120"/>
      <c r="BH476" s="120"/>
      <c r="BI476" s="120"/>
      <c r="BJ476" s="120"/>
      <c r="BK476" s="120"/>
      <c r="BL476" s="120"/>
      <c r="BM476" s="120"/>
      <c r="BN476" s="120"/>
      <c r="BO476" s="120"/>
      <c r="BP476" s="120"/>
      <c r="BQ476" s="120"/>
      <c r="BR476" s="120"/>
      <c r="BS476" s="120"/>
      <c r="BT476" s="120"/>
      <c r="BU476" s="120"/>
      <c r="BV476" s="120"/>
      <c r="BW476" s="120"/>
      <c r="BX476" s="120"/>
      <c r="BY476" s="120"/>
      <c r="BZ476" s="120"/>
      <c r="CA476" s="120"/>
      <c r="CB476" s="120"/>
      <c r="CC476" s="120"/>
      <c r="CD476" s="120"/>
      <c r="CE476" s="120"/>
      <c r="CF476" s="120"/>
      <c r="CG476" s="120"/>
      <c r="CH476" s="120"/>
      <c r="CI476" s="120"/>
      <c r="CJ476" s="120"/>
      <c r="CK476" s="120"/>
      <c r="CL476" s="120"/>
      <c r="CM476" s="120"/>
      <c r="CN476" s="120"/>
      <c r="CO476" s="120"/>
    </row>
    <row r="477" spans="1:93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1"/>
      <c r="U477" s="120"/>
      <c r="V477" s="120"/>
      <c r="W477" s="121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120"/>
      <c r="AR477" s="120"/>
      <c r="AS477" s="120"/>
      <c r="AT477" s="120"/>
      <c r="AU477" s="120"/>
      <c r="AV477" s="120"/>
      <c r="AW477" s="120"/>
      <c r="AX477" s="120"/>
      <c r="AY477" s="120"/>
      <c r="AZ477" s="120"/>
      <c r="BA477" s="120"/>
      <c r="BB477" s="120"/>
      <c r="BC477" s="120"/>
      <c r="BD477" s="120"/>
      <c r="BE477" s="120"/>
      <c r="BF477" s="120"/>
      <c r="BG477" s="120"/>
      <c r="BH477" s="120"/>
      <c r="BI477" s="120"/>
      <c r="BJ477" s="120"/>
      <c r="BK477" s="120"/>
      <c r="BL477" s="120"/>
      <c r="BM477" s="120"/>
      <c r="BN477" s="120"/>
      <c r="BO477" s="120"/>
      <c r="BP477" s="120"/>
      <c r="BQ477" s="120"/>
      <c r="BR477" s="120"/>
      <c r="BS477" s="120"/>
      <c r="BT477" s="120"/>
      <c r="BU477" s="120"/>
      <c r="BV477" s="120"/>
      <c r="BW477" s="120"/>
      <c r="BX477" s="120"/>
      <c r="BY477" s="120"/>
      <c r="BZ477" s="120"/>
      <c r="CA477" s="120"/>
      <c r="CB477" s="120"/>
      <c r="CC477" s="120"/>
      <c r="CD477" s="120"/>
      <c r="CE477" s="120"/>
      <c r="CF477" s="120"/>
      <c r="CG477" s="120"/>
      <c r="CH477" s="120"/>
      <c r="CI477" s="120"/>
      <c r="CJ477" s="120"/>
      <c r="CK477" s="120"/>
      <c r="CL477" s="120"/>
      <c r="CM477" s="120"/>
      <c r="CN477" s="120"/>
      <c r="CO477" s="120"/>
    </row>
    <row r="478" spans="1:93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1"/>
      <c r="U478" s="120"/>
      <c r="V478" s="120"/>
      <c r="W478" s="121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0"/>
      <c r="AY478" s="120"/>
      <c r="AZ478" s="120"/>
      <c r="BA478" s="120"/>
      <c r="BB478" s="120"/>
      <c r="BC478" s="120"/>
      <c r="BD478" s="120"/>
      <c r="BE478" s="120"/>
      <c r="BF478" s="120"/>
      <c r="BG478" s="120"/>
      <c r="BH478" s="120"/>
      <c r="BI478" s="120"/>
      <c r="BJ478" s="120"/>
      <c r="BK478" s="120"/>
      <c r="BL478" s="120"/>
      <c r="BM478" s="120"/>
      <c r="BN478" s="120"/>
      <c r="BO478" s="120"/>
      <c r="BP478" s="120"/>
      <c r="BQ478" s="120"/>
      <c r="BR478" s="120"/>
      <c r="BS478" s="120"/>
      <c r="BT478" s="120"/>
      <c r="BU478" s="120"/>
      <c r="BV478" s="120"/>
      <c r="BW478" s="120"/>
      <c r="BX478" s="120"/>
      <c r="BY478" s="120"/>
      <c r="BZ478" s="120"/>
      <c r="CA478" s="120"/>
      <c r="CB478" s="120"/>
      <c r="CC478" s="120"/>
      <c r="CD478" s="120"/>
      <c r="CE478" s="120"/>
      <c r="CF478" s="120"/>
      <c r="CG478" s="120"/>
      <c r="CH478" s="120"/>
      <c r="CI478" s="120"/>
      <c r="CJ478" s="120"/>
      <c r="CK478" s="120"/>
      <c r="CL478" s="120"/>
      <c r="CM478" s="120"/>
      <c r="CN478" s="120"/>
      <c r="CO478" s="120"/>
    </row>
    <row r="479" spans="1:93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1"/>
      <c r="U479" s="120"/>
      <c r="V479" s="120"/>
      <c r="W479" s="121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120"/>
      <c r="AR479" s="120"/>
      <c r="AS479" s="120"/>
      <c r="AT479" s="120"/>
      <c r="AU479" s="120"/>
      <c r="AV479" s="120"/>
      <c r="AW479" s="120"/>
      <c r="AX479" s="120"/>
      <c r="AY479" s="120"/>
      <c r="AZ479" s="120"/>
      <c r="BA479" s="120"/>
      <c r="BB479" s="120"/>
      <c r="BC479" s="120"/>
      <c r="BD479" s="120"/>
      <c r="BE479" s="120"/>
      <c r="BF479" s="120"/>
      <c r="BG479" s="120"/>
      <c r="BH479" s="120"/>
      <c r="BI479" s="120"/>
      <c r="BJ479" s="120"/>
      <c r="BK479" s="120"/>
      <c r="BL479" s="120"/>
      <c r="BM479" s="120"/>
      <c r="BN479" s="120"/>
      <c r="BO479" s="120"/>
      <c r="BP479" s="120"/>
      <c r="BQ479" s="120"/>
      <c r="BR479" s="120"/>
      <c r="BS479" s="120"/>
      <c r="BT479" s="120"/>
      <c r="BU479" s="120"/>
      <c r="BV479" s="120"/>
      <c r="BW479" s="120"/>
      <c r="BX479" s="120"/>
      <c r="BY479" s="120"/>
      <c r="BZ479" s="120"/>
      <c r="CA479" s="120"/>
      <c r="CB479" s="120"/>
      <c r="CC479" s="120"/>
      <c r="CD479" s="120"/>
      <c r="CE479" s="120"/>
      <c r="CF479" s="120"/>
      <c r="CG479" s="120"/>
      <c r="CH479" s="120"/>
      <c r="CI479" s="120"/>
      <c r="CJ479" s="120"/>
      <c r="CK479" s="120"/>
      <c r="CL479" s="120"/>
      <c r="CM479" s="120"/>
      <c r="CN479" s="120"/>
      <c r="CO479" s="120"/>
    </row>
    <row r="480" spans="1:93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1"/>
      <c r="U480" s="120"/>
      <c r="V480" s="120"/>
      <c r="W480" s="121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120"/>
      <c r="AR480" s="120"/>
      <c r="AS480" s="120"/>
      <c r="AT480" s="120"/>
      <c r="AU480" s="120"/>
      <c r="AV480" s="120"/>
      <c r="AW480" s="120"/>
      <c r="AX480" s="120"/>
      <c r="AY480" s="120"/>
      <c r="AZ480" s="120"/>
      <c r="BA480" s="120"/>
      <c r="BB480" s="120"/>
      <c r="BC480" s="120"/>
      <c r="BD480" s="120"/>
      <c r="BE480" s="120"/>
      <c r="BF480" s="120"/>
      <c r="BG480" s="120"/>
      <c r="BH480" s="120"/>
      <c r="BI480" s="120"/>
      <c r="BJ480" s="120"/>
      <c r="BK480" s="120"/>
      <c r="BL480" s="120"/>
      <c r="BM480" s="120"/>
      <c r="BN480" s="120"/>
      <c r="BO480" s="120"/>
      <c r="BP480" s="120"/>
      <c r="BQ480" s="120"/>
      <c r="BR480" s="120"/>
      <c r="BS480" s="120"/>
      <c r="BT480" s="120"/>
      <c r="BU480" s="120"/>
      <c r="BV480" s="120"/>
      <c r="BW480" s="120"/>
      <c r="BX480" s="120"/>
      <c r="BY480" s="120"/>
      <c r="BZ480" s="120"/>
      <c r="CA480" s="120"/>
      <c r="CB480" s="120"/>
      <c r="CC480" s="120"/>
      <c r="CD480" s="120"/>
      <c r="CE480" s="120"/>
      <c r="CF480" s="120"/>
      <c r="CG480" s="120"/>
      <c r="CH480" s="120"/>
      <c r="CI480" s="120"/>
      <c r="CJ480" s="120"/>
      <c r="CK480" s="120"/>
      <c r="CL480" s="120"/>
      <c r="CM480" s="120"/>
      <c r="CN480" s="120"/>
      <c r="CO480" s="120"/>
    </row>
    <row r="481" spans="1:93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1"/>
      <c r="U481" s="120"/>
      <c r="V481" s="120"/>
      <c r="W481" s="121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120"/>
      <c r="AR481" s="120"/>
      <c r="AS481" s="120"/>
      <c r="AT481" s="120"/>
      <c r="AU481" s="120"/>
      <c r="AV481" s="120"/>
      <c r="AW481" s="120"/>
      <c r="AX481" s="120"/>
      <c r="AY481" s="120"/>
      <c r="AZ481" s="120"/>
      <c r="BA481" s="120"/>
      <c r="BB481" s="120"/>
      <c r="BC481" s="120"/>
      <c r="BD481" s="120"/>
      <c r="BE481" s="120"/>
      <c r="BF481" s="120"/>
      <c r="BG481" s="120"/>
      <c r="BH481" s="120"/>
      <c r="BI481" s="120"/>
      <c r="BJ481" s="120"/>
      <c r="BK481" s="120"/>
      <c r="BL481" s="120"/>
      <c r="BM481" s="120"/>
      <c r="BN481" s="120"/>
      <c r="BO481" s="120"/>
      <c r="BP481" s="120"/>
      <c r="BQ481" s="120"/>
      <c r="BR481" s="120"/>
      <c r="BS481" s="120"/>
      <c r="BT481" s="120"/>
      <c r="BU481" s="120"/>
      <c r="BV481" s="120"/>
      <c r="BW481" s="120"/>
      <c r="BX481" s="120"/>
      <c r="BY481" s="120"/>
      <c r="BZ481" s="120"/>
      <c r="CA481" s="120"/>
      <c r="CB481" s="120"/>
      <c r="CC481" s="120"/>
      <c r="CD481" s="120"/>
      <c r="CE481" s="120"/>
      <c r="CF481" s="120"/>
      <c r="CG481" s="120"/>
      <c r="CH481" s="120"/>
      <c r="CI481" s="120"/>
      <c r="CJ481" s="120"/>
      <c r="CK481" s="120"/>
      <c r="CL481" s="120"/>
      <c r="CM481" s="120"/>
      <c r="CN481" s="120"/>
      <c r="CO481" s="120"/>
    </row>
    <row r="482" spans="1:93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1"/>
      <c r="U482" s="120"/>
      <c r="V482" s="120"/>
      <c r="W482" s="121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120"/>
      <c r="AR482" s="120"/>
      <c r="AS482" s="120"/>
      <c r="AT482" s="120"/>
      <c r="AU482" s="120"/>
      <c r="AV482" s="120"/>
      <c r="AW482" s="120"/>
      <c r="AX482" s="120"/>
      <c r="AY482" s="120"/>
      <c r="AZ482" s="120"/>
      <c r="BA482" s="120"/>
      <c r="BB482" s="120"/>
      <c r="BC482" s="120"/>
      <c r="BD482" s="120"/>
      <c r="BE482" s="120"/>
      <c r="BF482" s="120"/>
      <c r="BG482" s="120"/>
      <c r="BH482" s="120"/>
      <c r="BI482" s="120"/>
      <c r="BJ482" s="120"/>
      <c r="BK482" s="120"/>
      <c r="BL482" s="120"/>
      <c r="BM482" s="120"/>
      <c r="BN482" s="120"/>
      <c r="BO482" s="120"/>
      <c r="BP482" s="120"/>
      <c r="BQ482" s="120"/>
      <c r="BR482" s="120"/>
      <c r="BS482" s="120"/>
      <c r="BT482" s="120"/>
      <c r="BU482" s="120"/>
      <c r="BV482" s="120"/>
      <c r="BW482" s="120"/>
      <c r="BX482" s="120"/>
      <c r="BY482" s="120"/>
      <c r="BZ482" s="120"/>
      <c r="CA482" s="120"/>
      <c r="CB482" s="120"/>
      <c r="CC482" s="120"/>
      <c r="CD482" s="120"/>
      <c r="CE482" s="120"/>
      <c r="CF482" s="120"/>
      <c r="CG482" s="120"/>
      <c r="CH482" s="120"/>
      <c r="CI482" s="120"/>
      <c r="CJ482" s="120"/>
      <c r="CK482" s="120"/>
      <c r="CL482" s="120"/>
      <c r="CM482" s="120"/>
      <c r="CN482" s="120"/>
      <c r="CO482" s="120"/>
    </row>
    <row r="483" spans="1:93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1"/>
      <c r="U483" s="120"/>
      <c r="V483" s="120"/>
      <c r="W483" s="121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120"/>
      <c r="AR483" s="120"/>
      <c r="AS483" s="120"/>
      <c r="AT483" s="120"/>
      <c r="AU483" s="120"/>
      <c r="AV483" s="120"/>
      <c r="AW483" s="120"/>
      <c r="AX483" s="120"/>
      <c r="AY483" s="120"/>
      <c r="AZ483" s="120"/>
      <c r="BA483" s="120"/>
      <c r="BB483" s="120"/>
      <c r="BC483" s="120"/>
      <c r="BD483" s="120"/>
      <c r="BE483" s="120"/>
      <c r="BF483" s="120"/>
      <c r="BG483" s="120"/>
      <c r="BH483" s="120"/>
      <c r="BI483" s="120"/>
      <c r="BJ483" s="120"/>
      <c r="BK483" s="120"/>
      <c r="BL483" s="120"/>
      <c r="BM483" s="120"/>
      <c r="BN483" s="120"/>
      <c r="BO483" s="120"/>
      <c r="BP483" s="120"/>
      <c r="BQ483" s="120"/>
      <c r="BR483" s="120"/>
      <c r="BS483" s="120"/>
      <c r="BT483" s="120"/>
      <c r="BU483" s="120"/>
      <c r="BV483" s="120"/>
      <c r="BW483" s="120"/>
      <c r="BX483" s="120"/>
      <c r="BY483" s="120"/>
      <c r="BZ483" s="120"/>
      <c r="CA483" s="120"/>
      <c r="CB483" s="120"/>
      <c r="CC483" s="120"/>
      <c r="CD483" s="120"/>
      <c r="CE483" s="120"/>
      <c r="CF483" s="120"/>
      <c r="CG483" s="120"/>
      <c r="CH483" s="120"/>
      <c r="CI483" s="120"/>
      <c r="CJ483" s="120"/>
      <c r="CK483" s="120"/>
      <c r="CL483" s="120"/>
      <c r="CM483" s="120"/>
      <c r="CN483" s="120"/>
      <c r="CO483" s="120"/>
    </row>
    <row r="484" spans="1:93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1"/>
      <c r="U484" s="120"/>
      <c r="V484" s="120"/>
      <c r="W484" s="121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120"/>
      <c r="AR484" s="120"/>
      <c r="AS484" s="120"/>
      <c r="AT484" s="120"/>
      <c r="AU484" s="120"/>
      <c r="AV484" s="120"/>
      <c r="AW484" s="120"/>
      <c r="AX484" s="120"/>
      <c r="AY484" s="120"/>
      <c r="AZ484" s="120"/>
      <c r="BA484" s="120"/>
      <c r="BB484" s="120"/>
      <c r="BC484" s="120"/>
      <c r="BD484" s="120"/>
      <c r="BE484" s="120"/>
      <c r="BF484" s="120"/>
      <c r="BG484" s="120"/>
      <c r="BH484" s="120"/>
      <c r="BI484" s="120"/>
      <c r="BJ484" s="120"/>
      <c r="BK484" s="120"/>
      <c r="BL484" s="120"/>
      <c r="BM484" s="120"/>
      <c r="BN484" s="120"/>
      <c r="BO484" s="120"/>
      <c r="BP484" s="120"/>
      <c r="BQ484" s="120"/>
      <c r="BR484" s="120"/>
      <c r="BS484" s="120"/>
      <c r="BT484" s="120"/>
      <c r="BU484" s="120"/>
      <c r="BV484" s="120"/>
      <c r="BW484" s="120"/>
      <c r="BX484" s="120"/>
      <c r="BY484" s="120"/>
      <c r="BZ484" s="120"/>
      <c r="CA484" s="120"/>
      <c r="CB484" s="120"/>
      <c r="CC484" s="120"/>
      <c r="CD484" s="120"/>
      <c r="CE484" s="120"/>
      <c r="CF484" s="120"/>
      <c r="CG484" s="120"/>
      <c r="CH484" s="120"/>
      <c r="CI484" s="120"/>
      <c r="CJ484" s="120"/>
      <c r="CK484" s="120"/>
      <c r="CL484" s="120"/>
      <c r="CM484" s="120"/>
      <c r="CN484" s="120"/>
      <c r="CO484" s="120"/>
    </row>
    <row r="485" spans="1:93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1"/>
      <c r="U485" s="120"/>
      <c r="V485" s="120"/>
      <c r="W485" s="121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0"/>
      <c r="AV485" s="120"/>
      <c r="AW485" s="120"/>
      <c r="AX485" s="120"/>
      <c r="AY485" s="120"/>
      <c r="AZ485" s="120"/>
      <c r="BA485" s="120"/>
      <c r="BB485" s="120"/>
      <c r="BC485" s="120"/>
      <c r="BD485" s="120"/>
      <c r="BE485" s="120"/>
      <c r="BF485" s="120"/>
      <c r="BG485" s="120"/>
      <c r="BH485" s="120"/>
      <c r="BI485" s="120"/>
      <c r="BJ485" s="120"/>
      <c r="BK485" s="120"/>
      <c r="BL485" s="120"/>
      <c r="BM485" s="120"/>
      <c r="BN485" s="120"/>
      <c r="BO485" s="120"/>
      <c r="BP485" s="120"/>
      <c r="BQ485" s="120"/>
      <c r="BR485" s="120"/>
      <c r="BS485" s="120"/>
      <c r="BT485" s="120"/>
      <c r="BU485" s="120"/>
      <c r="BV485" s="120"/>
      <c r="BW485" s="120"/>
      <c r="BX485" s="120"/>
      <c r="BY485" s="120"/>
      <c r="BZ485" s="120"/>
      <c r="CA485" s="120"/>
      <c r="CB485" s="120"/>
      <c r="CC485" s="120"/>
      <c r="CD485" s="120"/>
      <c r="CE485" s="120"/>
      <c r="CF485" s="120"/>
      <c r="CG485" s="120"/>
      <c r="CH485" s="120"/>
      <c r="CI485" s="120"/>
      <c r="CJ485" s="120"/>
      <c r="CK485" s="120"/>
      <c r="CL485" s="120"/>
      <c r="CM485" s="120"/>
      <c r="CN485" s="120"/>
      <c r="CO485" s="120"/>
    </row>
    <row r="486" spans="1:93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1"/>
      <c r="U486" s="120"/>
      <c r="V486" s="120"/>
      <c r="W486" s="121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120"/>
      <c r="AR486" s="120"/>
      <c r="AS486" s="120"/>
      <c r="AT486" s="120"/>
      <c r="AU486" s="120"/>
      <c r="AV486" s="120"/>
      <c r="AW486" s="120"/>
      <c r="AX486" s="120"/>
      <c r="AY486" s="120"/>
      <c r="AZ486" s="120"/>
      <c r="BA486" s="120"/>
      <c r="BB486" s="120"/>
      <c r="BC486" s="120"/>
      <c r="BD486" s="120"/>
      <c r="BE486" s="120"/>
      <c r="BF486" s="120"/>
      <c r="BG486" s="120"/>
      <c r="BH486" s="120"/>
      <c r="BI486" s="120"/>
      <c r="BJ486" s="120"/>
      <c r="BK486" s="120"/>
      <c r="BL486" s="120"/>
      <c r="BM486" s="120"/>
      <c r="BN486" s="120"/>
      <c r="BO486" s="120"/>
      <c r="BP486" s="120"/>
      <c r="BQ486" s="120"/>
      <c r="BR486" s="120"/>
      <c r="BS486" s="120"/>
      <c r="BT486" s="120"/>
      <c r="BU486" s="120"/>
      <c r="BV486" s="120"/>
      <c r="BW486" s="120"/>
      <c r="BX486" s="120"/>
      <c r="BY486" s="120"/>
      <c r="BZ486" s="120"/>
      <c r="CA486" s="120"/>
      <c r="CB486" s="120"/>
      <c r="CC486" s="120"/>
      <c r="CD486" s="120"/>
      <c r="CE486" s="120"/>
      <c r="CF486" s="120"/>
      <c r="CG486" s="120"/>
      <c r="CH486" s="120"/>
      <c r="CI486" s="120"/>
      <c r="CJ486" s="120"/>
      <c r="CK486" s="120"/>
      <c r="CL486" s="120"/>
      <c r="CM486" s="120"/>
      <c r="CN486" s="120"/>
      <c r="CO486" s="120"/>
    </row>
    <row r="487" spans="1:93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1"/>
      <c r="U487" s="120"/>
      <c r="V487" s="120"/>
      <c r="W487" s="121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120"/>
      <c r="AR487" s="120"/>
      <c r="AS487" s="120"/>
      <c r="AT487" s="120"/>
      <c r="AU487" s="120"/>
      <c r="AV487" s="120"/>
      <c r="AW487" s="120"/>
      <c r="AX487" s="120"/>
      <c r="AY487" s="120"/>
      <c r="AZ487" s="120"/>
      <c r="BA487" s="120"/>
      <c r="BB487" s="120"/>
      <c r="BC487" s="120"/>
      <c r="BD487" s="120"/>
      <c r="BE487" s="120"/>
      <c r="BF487" s="120"/>
      <c r="BG487" s="120"/>
      <c r="BH487" s="120"/>
      <c r="BI487" s="120"/>
      <c r="BJ487" s="120"/>
      <c r="BK487" s="120"/>
      <c r="BL487" s="120"/>
      <c r="BM487" s="120"/>
      <c r="BN487" s="120"/>
      <c r="BO487" s="120"/>
      <c r="BP487" s="120"/>
      <c r="BQ487" s="120"/>
      <c r="BR487" s="120"/>
      <c r="BS487" s="120"/>
      <c r="BT487" s="120"/>
      <c r="BU487" s="120"/>
      <c r="BV487" s="120"/>
      <c r="BW487" s="120"/>
      <c r="BX487" s="120"/>
      <c r="BY487" s="120"/>
      <c r="BZ487" s="120"/>
      <c r="CA487" s="120"/>
      <c r="CB487" s="120"/>
      <c r="CC487" s="120"/>
      <c r="CD487" s="120"/>
      <c r="CE487" s="120"/>
      <c r="CF487" s="120"/>
      <c r="CG487" s="120"/>
      <c r="CH487" s="120"/>
      <c r="CI487" s="120"/>
      <c r="CJ487" s="120"/>
      <c r="CK487" s="120"/>
      <c r="CL487" s="120"/>
      <c r="CM487" s="120"/>
      <c r="CN487" s="120"/>
      <c r="CO487" s="120"/>
    </row>
    <row r="488" spans="1:93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1"/>
      <c r="U488" s="120"/>
      <c r="V488" s="120"/>
      <c r="W488" s="121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120"/>
      <c r="AR488" s="120"/>
      <c r="AS488" s="120"/>
      <c r="AT488" s="120"/>
      <c r="AU488" s="120"/>
      <c r="AV488" s="120"/>
      <c r="AW488" s="120"/>
      <c r="AX488" s="120"/>
      <c r="AY488" s="120"/>
      <c r="AZ488" s="120"/>
      <c r="BA488" s="120"/>
      <c r="BB488" s="120"/>
      <c r="BC488" s="120"/>
      <c r="BD488" s="120"/>
      <c r="BE488" s="120"/>
      <c r="BF488" s="120"/>
      <c r="BG488" s="120"/>
      <c r="BH488" s="120"/>
      <c r="BI488" s="120"/>
      <c r="BJ488" s="120"/>
      <c r="BK488" s="120"/>
      <c r="BL488" s="120"/>
      <c r="BM488" s="120"/>
      <c r="BN488" s="120"/>
      <c r="BO488" s="120"/>
      <c r="BP488" s="120"/>
      <c r="BQ488" s="120"/>
      <c r="BR488" s="120"/>
      <c r="BS488" s="120"/>
      <c r="BT488" s="120"/>
      <c r="BU488" s="120"/>
      <c r="BV488" s="120"/>
      <c r="BW488" s="120"/>
      <c r="BX488" s="120"/>
      <c r="BY488" s="120"/>
      <c r="BZ488" s="120"/>
      <c r="CA488" s="120"/>
      <c r="CB488" s="120"/>
      <c r="CC488" s="120"/>
      <c r="CD488" s="120"/>
      <c r="CE488" s="120"/>
      <c r="CF488" s="120"/>
      <c r="CG488" s="120"/>
      <c r="CH488" s="120"/>
      <c r="CI488" s="120"/>
      <c r="CJ488" s="120"/>
      <c r="CK488" s="120"/>
      <c r="CL488" s="120"/>
      <c r="CM488" s="120"/>
      <c r="CN488" s="120"/>
      <c r="CO488" s="120"/>
    </row>
    <row r="489" spans="1:93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1"/>
      <c r="U489" s="120"/>
      <c r="V489" s="120"/>
      <c r="W489" s="121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120"/>
      <c r="AR489" s="120"/>
      <c r="AS489" s="120"/>
      <c r="AT489" s="120"/>
      <c r="AU489" s="120"/>
      <c r="AV489" s="120"/>
      <c r="AW489" s="120"/>
      <c r="AX489" s="120"/>
      <c r="AY489" s="120"/>
      <c r="AZ489" s="120"/>
      <c r="BA489" s="120"/>
      <c r="BB489" s="120"/>
      <c r="BC489" s="120"/>
      <c r="BD489" s="120"/>
      <c r="BE489" s="120"/>
      <c r="BF489" s="120"/>
      <c r="BG489" s="120"/>
      <c r="BH489" s="120"/>
      <c r="BI489" s="120"/>
      <c r="BJ489" s="120"/>
      <c r="BK489" s="120"/>
      <c r="BL489" s="120"/>
      <c r="BM489" s="120"/>
      <c r="BN489" s="120"/>
      <c r="BO489" s="120"/>
      <c r="BP489" s="120"/>
      <c r="BQ489" s="120"/>
      <c r="BR489" s="120"/>
      <c r="BS489" s="120"/>
      <c r="BT489" s="120"/>
      <c r="BU489" s="120"/>
      <c r="BV489" s="120"/>
      <c r="BW489" s="120"/>
      <c r="BX489" s="120"/>
      <c r="BY489" s="120"/>
      <c r="BZ489" s="120"/>
      <c r="CA489" s="120"/>
      <c r="CB489" s="120"/>
      <c r="CC489" s="120"/>
      <c r="CD489" s="120"/>
      <c r="CE489" s="120"/>
      <c r="CF489" s="120"/>
      <c r="CG489" s="120"/>
      <c r="CH489" s="120"/>
      <c r="CI489" s="120"/>
      <c r="CJ489" s="120"/>
      <c r="CK489" s="120"/>
      <c r="CL489" s="120"/>
      <c r="CM489" s="120"/>
      <c r="CN489" s="120"/>
      <c r="CO489" s="120"/>
    </row>
    <row r="490" spans="1:93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1"/>
      <c r="U490" s="120"/>
      <c r="V490" s="120"/>
      <c r="W490" s="121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120"/>
      <c r="AR490" s="120"/>
      <c r="AS490" s="120"/>
      <c r="AT490" s="120"/>
      <c r="AU490" s="120"/>
      <c r="AV490" s="120"/>
      <c r="AW490" s="120"/>
      <c r="AX490" s="120"/>
      <c r="AY490" s="120"/>
      <c r="AZ490" s="120"/>
      <c r="BA490" s="120"/>
      <c r="BB490" s="120"/>
      <c r="BC490" s="120"/>
      <c r="BD490" s="120"/>
      <c r="BE490" s="120"/>
      <c r="BF490" s="120"/>
      <c r="BG490" s="120"/>
      <c r="BH490" s="120"/>
      <c r="BI490" s="120"/>
      <c r="BJ490" s="120"/>
      <c r="BK490" s="120"/>
      <c r="BL490" s="120"/>
      <c r="BM490" s="120"/>
      <c r="BN490" s="120"/>
      <c r="BO490" s="120"/>
      <c r="BP490" s="120"/>
      <c r="BQ490" s="120"/>
      <c r="BR490" s="120"/>
      <c r="BS490" s="120"/>
      <c r="BT490" s="120"/>
      <c r="BU490" s="120"/>
      <c r="BV490" s="120"/>
      <c r="BW490" s="120"/>
      <c r="BX490" s="120"/>
      <c r="BY490" s="120"/>
      <c r="BZ490" s="120"/>
      <c r="CA490" s="120"/>
      <c r="CB490" s="120"/>
      <c r="CC490" s="120"/>
      <c r="CD490" s="120"/>
      <c r="CE490" s="120"/>
      <c r="CF490" s="120"/>
      <c r="CG490" s="120"/>
      <c r="CH490" s="120"/>
      <c r="CI490" s="120"/>
      <c r="CJ490" s="120"/>
      <c r="CK490" s="120"/>
      <c r="CL490" s="120"/>
      <c r="CM490" s="120"/>
      <c r="CN490" s="120"/>
      <c r="CO490" s="120"/>
    </row>
    <row r="491" spans="1:93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1"/>
      <c r="U491" s="120"/>
      <c r="V491" s="120"/>
      <c r="W491" s="121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20"/>
      <c r="BW491" s="120"/>
      <c r="BX491" s="120"/>
      <c r="BY491" s="120"/>
      <c r="BZ491" s="120"/>
      <c r="CA491" s="120"/>
      <c r="CB491" s="120"/>
      <c r="CC491" s="120"/>
      <c r="CD491" s="120"/>
      <c r="CE491" s="120"/>
      <c r="CF491" s="120"/>
      <c r="CG491" s="120"/>
      <c r="CH491" s="120"/>
      <c r="CI491" s="120"/>
      <c r="CJ491" s="120"/>
      <c r="CK491" s="120"/>
      <c r="CL491" s="120"/>
      <c r="CM491" s="120"/>
      <c r="CN491" s="120"/>
      <c r="CO491" s="120"/>
    </row>
    <row r="492" spans="1:93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1"/>
      <c r="U492" s="120"/>
      <c r="V492" s="120"/>
      <c r="W492" s="121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120"/>
      <c r="AR492" s="120"/>
      <c r="AS492" s="120"/>
      <c r="AT492" s="120"/>
      <c r="AU492" s="120"/>
      <c r="AV492" s="120"/>
      <c r="AW492" s="120"/>
      <c r="AX492" s="120"/>
      <c r="AY492" s="120"/>
      <c r="AZ492" s="120"/>
      <c r="BA492" s="120"/>
      <c r="BB492" s="120"/>
      <c r="BC492" s="120"/>
      <c r="BD492" s="120"/>
      <c r="BE492" s="120"/>
      <c r="BF492" s="120"/>
      <c r="BG492" s="120"/>
      <c r="BH492" s="120"/>
      <c r="BI492" s="120"/>
      <c r="BJ492" s="120"/>
      <c r="BK492" s="120"/>
      <c r="BL492" s="120"/>
      <c r="BM492" s="120"/>
      <c r="BN492" s="120"/>
      <c r="BO492" s="120"/>
      <c r="BP492" s="120"/>
      <c r="BQ492" s="120"/>
      <c r="BR492" s="120"/>
      <c r="BS492" s="120"/>
      <c r="BT492" s="120"/>
      <c r="BU492" s="120"/>
      <c r="BV492" s="120"/>
      <c r="BW492" s="120"/>
      <c r="BX492" s="120"/>
      <c r="BY492" s="120"/>
      <c r="BZ492" s="120"/>
      <c r="CA492" s="120"/>
      <c r="CB492" s="120"/>
      <c r="CC492" s="120"/>
      <c r="CD492" s="120"/>
      <c r="CE492" s="120"/>
      <c r="CF492" s="120"/>
      <c r="CG492" s="120"/>
      <c r="CH492" s="120"/>
      <c r="CI492" s="120"/>
      <c r="CJ492" s="120"/>
      <c r="CK492" s="120"/>
      <c r="CL492" s="120"/>
      <c r="CM492" s="120"/>
      <c r="CN492" s="120"/>
      <c r="CO492" s="120"/>
    </row>
    <row r="493" spans="1:93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1"/>
      <c r="U493" s="120"/>
      <c r="V493" s="120"/>
      <c r="W493" s="121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120"/>
      <c r="AR493" s="120"/>
      <c r="AS493" s="120"/>
      <c r="AT493" s="120"/>
      <c r="AU493" s="120"/>
      <c r="AV493" s="120"/>
      <c r="AW493" s="120"/>
      <c r="AX493" s="120"/>
      <c r="AY493" s="120"/>
      <c r="AZ493" s="120"/>
      <c r="BA493" s="120"/>
      <c r="BB493" s="120"/>
      <c r="BC493" s="120"/>
      <c r="BD493" s="120"/>
      <c r="BE493" s="120"/>
      <c r="BF493" s="120"/>
      <c r="BG493" s="120"/>
      <c r="BH493" s="120"/>
      <c r="BI493" s="120"/>
      <c r="BJ493" s="120"/>
      <c r="BK493" s="120"/>
      <c r="BL493" s="120"/>
      <c r="BM493" s="120"/>
      <c r="BN493" s="120"/>
      <c r="BO493" s="120"/>
      <c r="BP493" s="120"/>
      <c r="BQ493" s="120"/>
      <c r="BR493" s="120"/>
      <c r="BS493" s="120"/>
      <c r="BT493" s="120"/>
      <c r="BU493" s="120"/>
      <c r="BV493" s="120"/>
      <c r="BW493" s="120"/>
      <c r="BX493" s="120"/>
      <c r="BY493" s="120"/>
      <c r="BZ493" s="120"/>
      <c r="CA493" s="120"/>
      <c r="CB493" s="120"/>
      <c r="CC493" s="120"/>
      <c r="CD493" s="120"/>
      <c r="CE493" s="120"/>
      <c r="CF493" s="120"/>
      <c r="CG493" s="120"/>
      <c r="CH493" s="120"/>
      <c r="CI493" s="120"/>
      <c r="CJ493" s="120"/>
      <c r="CK493" s="120"/>
      <c r="CL493" s="120"/>
      <c r="CM493" s="120"/>
      <c r="CN493" s="120"/>
      <c r="CO493" s="120"/>
    </row>
    <row r="494" spans="1:93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1"/>
      <c r="U494" s="120"/>
      <c r="V494" s="120"/>
      <c r="W494" s="121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120"/>
      <c r="AR494" s="120"/>
      <c r="AS494" s="120"/>
      <c r="AT494" s="120"/>
      <c r="AU494" s="120"/>
      <c r="AV494" s="120"/>
      <c r="AW494" s="120"/>
      <c r="AX494" s="120"/>
      <c r="AY494" s="120"/>
      <c r="AZ494" s="120"/>
      <c r="BA494" s="120"/>
      <c r="BB494" s="120"/>
      <c r="BC494" s="120"/>
      <c r="BD494" s="120"/>
      <c r="BE494" s="120"/>
      <c r="BF494" s="120"/>
      <c r="BG494" s="120"/>
      <c r="BH494" s="120"/>
      <c r="BI494" s="120"/>
      <c r="BJ494" s="120"/>
      <c r="BK494" s="120"/>
      <c r="BL494" s="120"/>
      <c r="BM494" s="120"/>
      <c r="BN494" s="120"/>
      <c r="BO494" s="120"/>
      <c r="BP494" s="120"/>
      <c r="BQ494" s="120"/>
      <c r="BR494" s="120"/>
      <c r="BS494" s="120"/>
      <c r="BT494" s="120"/>
      <c r="BU494" s="120"/>
      <c r="BV494" s="120"/>
      <c r="BW494" s="120"/>
      <c r="BX494" s="120"/>
      <c r="BY494" s="120"/>
      <c r="BZ494" s="120"/>
      <c r="CA494" s="120"/>
      <c r="CB494" s="120"/>
      <c r="CC494" s="120"/>
      <c r="CD494" s="120"/>
      <c r="CE494" s="120"/>
      <c r="CF494" s="120"/>
      <c r="CG494" s="120"/>
      <c r="CH494" s="120"/>
      <c r="CI494" s="120"/>
      <c r="CJ494" s="120"/>
      <c r="CK494" s="120"/>
      <c r="CL494" s="120"/>
      <c r="CM494" s="120"/>
      <c r="CN494" s="120"/>
      <c r="CO494" s="120"/>
    </row>
    <row r="495" spans="1:93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1"/>
      <c r="U495" s="120"/>
      <c r="V495" s="120"/>
      <c r="W495" s="121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120"/>
      <c r="AR495" s="120"/>
      <c r="AS495" s="120"/>
      <c r="AT495" s="120"/>
      <c r="AU495" s="120"/>
      <c r="AV495" s="120"/>
      <c r="AW495" s="120"/>
      <c r="AX495" s="120"/>
      <c r="AY495" s="120"/>
      <c r="AZ495" s="120"/>
      <c r="BA495" s="120"/>
      <c r="BB495" s="120"/>
      <c r="BC495" s="120"/>
      <c r="BD495" s="120"/>
      <c r="BE495" s="120"/>
      <c r="BF495" s="120"/>
      <c r="BG495" s="120"/>
      <c r="BH495" s="120"/>
      <c r="BI495" s="120"/>
      <c r="BJ495" s="120"/>
      <c r="BK495" s="120"/>
      <c r="BL495" s="120"/>
      <c r="BM495" s="120"/>
      <c r="BN495" s="120"/>
      <c r="BO495" s="120"/>
      <c r="BP495" s="120"/>
      <c r="BQ495" s="120"/>
      <c r="BR495" s="120"/>
      <c r="BS495" s="120"/>
      <c r="BT495" s="120"/>
      <c r="BU495" s="120"/>
      <c r="BV495" s="120"/>
      <c r="BW495" s="120"/>
      <c r="BX495" s="120"/>
      <c r="BY495" s="120"/>
      <c r="BZ495" s="120"/>
      <c r="CA495" s="120"/>
      <c r="CB495" s="120"/>
      <c r="CC495" s="120"/>
      <c r="CD495" s="120"/>
      <c r="CE495" s="120"/>
      <c r="CF495" s="120"/>
      <c r="CG495" s="120"/>
      <c r="CH495" s="120"/>
      <c r="CI495" s="120"/>
      <c r="CJ495" s="120"/>
      <c r="CK495" s="120"/>
      <c r="CL495" s="120"/>
      <c r="CM495" s="120"/>
      <c r="CN495" s="120"/>
      <c r="CO495" s="120"/>
    </row>
    <row r="496" spans="1:93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1"/>
      <c r="U496" s="120"/>
      <c r="V496" s="120"/>
      <c r="W496" s="121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120"/>
      <c r="AR496" s="120"/>
      <c r="AS496" s="120"/>
      <c r="AT496" s="120"/>
      <c r="AU496" s="120"/>
      <c r="AV496" s="120"/>
      <c r="AW496" s="120"/>
      <c r="AX496" s="120"/>
      <c r="AY496" s="120"/>
      <c r="AZ496" s="120"/>
      <c r="BA496" s="120"/>
      <c r="BB496" s="120"/>
      <c r="BC496" s="120"/>
      <c r="BD496" s="120"/>
      <c r="BE496" s="120"/>
      <c r="BF496" s="120"/>
      <c r="BG496" s="120"/>
      <c r="BH496" s="120"/>
      <c r="BI496" s="120"/>
      <c r="BJ496" s="120"/>
      <c r="BK496" s="120"/>
      <c r="BL496" s="120"/>
      <c r="BM496" s="120"/>
      <c r="BN496" s="120"/>
      <c r="BO496" s="120"/>
      <c r="BP496" s="120"/>
      <c r="BQ496" s="120"/>
      <c r="BR496" s="120"/>
      <c r="BS496" s="120"/>
      <c r="BT496" s="120"/>
      <c r="BU496" s="120"/>
      <c r="BV496" s="120"/>
      <c r="BW496" s="120"/>
      <c r="BX496" s="120"/>
      <c r="BY496" s="120"/>
      <c r="BZ496" s="120"/>
      <c r="CA496" s="120"/>
      <c r="CB496" s="120"/>
      <c r="CC496" s="120"/>
      <c r="CD496" s="120"/>
      <c r="CE496" s="120"/>
      <c r="CF496" s="120"/>
      <c r="CG496" s="120"/>
      <c r="CH496" s="120"/>
      <c r="CI496" s="120"/>
      <c r="CJ496" s="120"/>
      <c r="CK496" s="120"/>
      <c r="CL496" s="120"/>
      <c r="CM496" s="120"/>
      <c r="CN496" s="120"/>
      <c r="CO496" s="120"/>
    </row>
    <row r="497" spans="1:93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1"/>
      <c r="U497" s="120"/>
      <c r="V497" s="120"/>
      <c r="W497" s="121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120"/>
      <c r="AR497" s="120"/>
      <c r="AS497" s="120"/>
      <c r="AT497" s="120"/>
      <c r="AU497" s="120"/>
      <c r="AV497" s="120"/>
      <c r="AW497" s="120"/>
      <c r="AX497" s="120"/>
      <c r="AY497" s="120"/>
      <c r="AZ497" s="120"/>
      <c r="BA497" s="120"/>
      <c r="BB497" s="120"/>
      <c r="BC497" s="120"/>
      <c r="BD497" s="120"/>
      <c r="BE497" s="120"/>
      <c r="BF497" s="120"/>
      <c r="BG497" s="120"/>
      <c r="BH497" s="120"/>
      <c r="BI497" s="120"/>
      <c r="BJ497" s="120"/>
      <c r="BK497" s="120"/>
      <c r="BL497" s="120"/>
      <c r="BM497" s="120"/>
      <c r="BN497" s="120"/>
      <c r="BO497" s="120"/>
      <c r="BP497" s="120"/>
      <c r="BQ497" s="120"/>
      <c r="BR497" s="120"/>
      <c r="BS497" s="120"/>
      <c r="BT497" s="120"/>
      <c r="BU497" s="120"/>
      <c r="BV497" s="120"/>
      <c r="BW497" s="120"/>
      <c r="BX497" s="120"/>
      <c r="BY497" s="120"/>
      <c r="BZ497" s="120"/>
      <c r="CA497" s="120"/>
      <c r="CB497" s="120"/>
      <c r="CC497" s="120"/>
      <c r="CD497" s="120"/>
      <c r="CE497" s="120"/>
      <c r="CF497" s="120"/>
      <c r="CG497" s="120"/>
      <c r="CH497" s="120"/>
      <c r="CI497" s="120"/>
      <c r="CJ497" s="120"/>
      <c r="CK497" s="120"/>
      <c r="CL497" s="120"/>
      <c r="CM497" s="120"/>
      <c r="CN497" s="120"/>
      <c r="CO497" s="120"/>
    </row>
    <row r="498" spans="1:93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1"/>
      <c r="U498" s="120"/>
      <c r="V498" s="120"/>
      <c r="W498" s="121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120"/>
      <c r="AR498" s="120"/>
      <c r="AS498" s="120"/>
      <c r="AT498" s="120"/>
      <c r="AU498" s="120"/>
      <c r="AV498" s="120"/>
      <c r="AW498" s="120"/>
      <c r="AX498" s="120"/>
      <c r="AY498" s="120"/>
      <c r="AZ498" s="120"/>
      <c r="BA498" s="120"/>
      <c r="BB498" s="120"/>
      <c r="BC498" s="120"/>
      <c r="BD498" s="120"/>
      <c r="BE498" s="120"/>
      <c r="BF498" s="120"/>
      <c r="BG498" s="120"/>
      <c r="BH498" s="120"/>
      <c r="BI498" s="120"/>
      <c r="BJ498" s="120"/>
      <c r="BK498" s="120"/>
      <c r="BL498" s="120"/>
      <c r="BM498" s="120"/>
      <c r="BN498" s="120"/>
      <c r="BO498" s="120"/>
      <c r="BP498" s="120"/>
      <c r="BQ498" s="120"/>
      <c r="BR498" s="120"/>
      <c r="BS498" s="120"/>
      <c r="BT498" s="120"/>
      <c r="BU498" s="120"/>
      <c r="BV498" s="120"/>
      <c r="BW498" s="120"/>
      <c r="BX498" s="120"/>
      <c r="BY498" s="120"/>
      <c r="BZ498" s="120"/>
      <c r="CA498" s="120"/>
      <c r="CB498" s="120"/>
      <c r="CC498" s="120"/>
      <c r="CD498" s="120"/>
      <c r="CE498" s="120"/>
      <c r="CF498" s="120"/>
      <c r="CG498" s="120"/>
      <c r="CH498" s="120"/>
      <c r="CI498" s="120"/>
      <c r="CJ498" s="120"/>
      <c r="CK498" s="120"/>
      <c r="CL498" s="120"/>
      <c r="CM498" s="120"/>
      <c r="CN498" s="120"/>
      <c r="CO498" s="120"/>
    </row>
    <row r="499" spans="1:93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1"/>
      <c r="U499" s="120"/>
      <c r="V499" s="120"/>
      <c r="W499" s="121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120"/>
      <c r="AR499" s="120"/>
      <c r="AS499" s="120"/>
      <c r="AT499" s="120"/>
      <c r="AU499" s="120"/>
      <c r="AV499" s="120"/>
      <c r="AW499" s="120"/>
      <c r="AX499" s="120"/>
      <c r="AY499" s="120"/>
      <c r="AZ499" s="120"/>
      <c r="BA499" s="120"/>
      <c r="BB499" s="120"/>
      <c r="BC499" s="120"/>
      <c r="BD499" s="120"/>
      <c r="BE499" s="120"/>
      <c r="BF499" s="120"/>
      <c r="BG499" s="120"/>
      <c r="BH499" s="120"/>
      <c r="BI499" s="120"/>
      <c r="BJ499" s="120"/>
      <c r="BK499" s="120"/>
      <c r="BL499" s="120"/>
      <c r="BM499" s="120"/>
      <c r="BN499" s="120"/>
      <c r="BO499" s="120"/>
      <c r="BP499" s="120"/>
      <c r="BQ499" s="120"/>
      <c r="BR499" s="120"/>
      <c r="BS499" s="120"/>
      <c r="BT499" s="120"/>
      <c r="BU499" s="120"/>
      <c r="BV499" s="120"/>
      <c r="BW499" s="120"/>
      <c r="BX499" s="120"/>
      <c r="BY499" s="120"/>
      <c r="BZ499" s="120"/>
      <c r="CA499" s="120"/>
      <c r="CB499" s="120"/>
      <c r="CC499" s="120"/>
      <c r="CD499" s="120"/>
      <c r="CE499" s="120"/>
      <c r="CF499" s="120"/>
      <c r="CG499" s="120"/>
      <c r="CH499" s="120"/>
      <c r="CI499" s="120"/>
      <c r="CJ499" s="120"/>
      <c r="CK499" s="120"/>
      <c r="CL499" s="120"/>
      <c r="CM499" s="120"/>
      <c r="CN499" s="120"/>
      <c r="CO499" s="120"/>
    </row>
    <row r="500" spans="1:93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1"/>
      <c r="U500" s="120"/>
      <c r="V500" s="120"/>
      <c r="W500" s="121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120"/>
      <c r="AS500" s="120"/>
      <c r="AT500" s="120"/>
      <c r="AU500" s="120"/>
      <c r="AV500" s="120"/>
      <c r="AW500" s="120"/>
      <c r="AX500" s="120"/>
      <c r="AY500" s="120"/>
      <c r="AZ500" s="120"/>
      <c r="BA500" s="120"/>
      <c r="BB500" s="120"/>
      <c r="BC500" s="120"/>
      <c r="BD500" s="120"/>
      <c r="BE500" s="120"/>
      <c r="BF500" s="120"/>
      <c r="BG500" s="120"/>
      <c r="BH500" s="120"/>
      <c r="BI500" s="120"/>
      <c r="BJ500" s="120"/>
      <c r="BK500" s="120"/>
      <c r="BL500" s="120"/>
      <c r="BM500" s="120"/>
      <c r="BN500" s="120"/>
      <c r="BO500" s="120"/>
      <c r="BP500" s="120"/>
      <c r="BQ500" s="120"/>
      <c r="BR500" s="120"/>
      <c r="BS500" s="120"/>
      <c r="BT500" s="120"/>
      <c r="BU500" s="120"/>
      <c r="BV500" s="120"/>
      <c r="BW500" s="120"/>
      <c r="BX500" s="120"/>
      <c r="BY500" s="120"/>
      <c r="BZ500" s="120"/>
      <c r="CA500" s="120"/>
      <c r="CB500" s="120"/>
      <c r="CC500" s="120"/>
      <c r="CD500" s="120"/>
      <c r="CE500" s="120"/>
      <c r="CF500" s="120"/>
      <c r="CG500" s="120"/>
      <c r="CH500" s="120"/>
      <c r="CI500" s="120"/>
      <c r="CJ500" s="120"/>
      <c r="CK500" s="120"/>
      <c r="CL500" s="120"/>
      <c r="CM500" s="120"/>
      <c r="CN500" s="120"/>
      <c r="CO500" s="120"/>
    </row>
    <row r="501" spans="1:93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1"/>
      <c r="U501" s="120"/>
      <c r="V501" s="120"/>
      <c r="W501" s="121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120"/>
      <c r="AR501" s="120"/>
      <c r="AS501" s="120"/>
      <c r="AT501" s="120"/>
      <c r="AU501" s="120"/>
      <c r="AV501" s="120"/>
      <c r="AW501" s="120"/>
      <c r="AX501" s="120"/>
      <c r="AY501" s="120"/>
      <c r="AZ501" s="120"/>
      <c r="BA501" s="120"/>
      <c r="BB501" s="120"/>
      <c r="BC501" s="120"/>
      <c r="BD501" s="120"/>
      <c r="BE501" s="120"/>
      <c r="BF501" s="120"/>
      <c r="BG501" s="120"/>
      <c r="BH501" s="120"/>
      <c r="BI501" s="120"/>
      <c r="BJ501" s="120"/>
      <c r="BK501" s="120"/>
      <c r="BL501" s="120"/>
      <c r="BM501" s="120"/>
      <c r="BN501" s="120"/>
      <c r="BO501" s="120"/>
      <c r="BP501" s="120"/>
      <c r="BQ501" s="120"/>
      <c r="BR501" s="120"/>
      <c r="BS501" s="120"/>
      <c r="BT501" s="120"/>
      <c r="BU501" s="120"/>
      <c r="BV501" s="120"/>
      <c r="BW501" s="120"/>
      <c r="BX501" s="120"/>
      <c r="BY501" s="120"/>
      <c r="BZ501" s="120"/>
      <c r="CA501" s="120"/>
      <c r="CB501" s="120"/>
      <c r="CC501" s="120"/>
      <c r="CD501" s="120"/>
      <c r="CE501" s="120"/>
      <c r="CF501" s="120"/>
      <c r="CG501" s="120"/>
      <c r="CH501" s="120"/>
      <c r="CI501" s="120"/>
      <c r="CJ501" s="120"/>
      <c r="CK501" s="120"/>
      <c r="CL501" s="120"/>
      <c r="CM501" s="120"/>
      <c r="CN501" s="120"/>
      <c r="CO501" s="120"/>
    </row>
    <row r="502" spans="1:93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1"/>
      <c r="U502" s="120"/>
      <c r="V502" s="120"/>
      <c r="W502" s="121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120"/>
      <c r="AR502" s="120"/>
      <c r="AS502" s="120"/>
      <c r="AT502" s="120"/>
      <c r="AU502" s="120"/>
      <c r="AV502" s="120"/>
      <c r="AW502" s="120"/>
      <c r="AX502" s="120"/>
      <c r="AY502" s="120"/>
      <c r="AZ502" s="120"/>
      <c r="BA502" s="120"/>
      <c r="BB502" s="120"/>
      <c r="BC502" s="120"/>
      <c r="BD502" s="120"/>
      <c r="BE502" s="120"/>
      <c r="BF502" s="120"/>
      <c r="BG502" s="120"/>
      <c r="BH502" s="120"/>
      <c r="BI502" s="120"/>
      <c r="BJ502" s="120"/>
      <c r="BK502" s="120"/>
      <c r="BL502" s="120"/>
      <c r="BM502" s="120"/>
      <c r="BN502" s="120"/>
      <c r="BO502" s="120"/>
      <c r="BP502" s="120"/>
      <c r="BQ502" s="120"/>
      <c r="BR502" s="120"/>
      <c r="BS502" s="120"/>
      <c r="BT502" s="120"/>
      <c r="BU502" s="120"/>
      <c r="BV502" s="120"/>
      <c r="BW502" s="120"/>
      <c r="BX502" s="120"/>
      <c r="BY502" s="120"/>
      <c r="BZ502" s="120"/>
      <c r="CA502" s="120"/>
      <c r="CB502" s="120"/>
      <c r="CC502" s="120"/>
      <c r="CD502" s="120"/>
      <c r="CE502" s="120"/>
      <c r="CF502" s="120"/>
      <c r="CG502" s="120"/>
      <c r="CH502" s="120"/>
      <c r="CI502" s="120"/>
      <c r="CJ502" s="120"/>
      <c r="CK502" s="120"/>
      <c r="CL502" s="120"/>
      <c r="CM502" s="120"/>
      <c r="CN502" s="120"/>
      <c r="CO502" s="120"/>
    </row>
    <row r="503" spans="1:93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1"/>
      <c r="U503" s="120"/>
      <c r="V503" s="120"/>
      <c r="W503" s="121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120"/>
      <c r="AR503" s="120"/>
      <c r="AS503" s="120"/>
      <c r="AT503" s="120"/>
      <c r="AU503" s="120"/>
      <c r="AV503" s="120"/>
      <c r="AW503" s="120"/>
      <c r="AX503" s="120"/>
      <c r="AY503" s="120"/>
      <c r="AZ503" s="120"/>
      <c r="BA503" s="120"/>
      <c r="BB503" s="120"/>
      <c r="BC503" s="120"/>
      <c r="BD503" s="120"/>
      <c r="BE503" s="120"/>
      <c r="BF503" s="120"/>
      <c r="BG503" s="120"/>
      <c r="BH503" s="120"/>
      <c r="BI503" s="120"/>
      <c r="BJ503" s="120"/>
      <c r="BK503" s="120"/>
      <c r="BL503" s="120"/>
      <c r="BM503" s="120"/>
      <c r="BN503" s="120"/>
      <c r="BO503" s="120"/>
      <c r="BP503" s="120"/>
      <c r="BQ503" s="120"/>
      <c r="BR503" s="120"/>
      <c r="BS503" s="120"/>
      <c r="BT503" s="120"/>
      <c r="BU503" s="120"/>
      <c r="BV503" s="120"/>
      <c r="BW503" s="120"/>
      <c r="BX503" s="120"/>
      <c r="BY503" s="120"/>
      <c r="BZ503" s="120"/>
      <c r="CA503" s="120"/>
      <c r="CB503" s="120"/>
      <c r="CC503" s="120"/>
      <c r="CD503" s="120"/>
      <c r="CE503" s="120"/>
      <c r="CF503" s="120"/>
      <c r="CG503" s="120"/>
      <c r="CH503" s="120"/>
      <c r="CI503" s="120"/>
      <c r="CJ503" s="120"/>
      <c r="CK503" s="120"/>
      <c r="CL503" s="120"/>
      <c r="CM503" s="120"/>
      <c r="CN503" s="120"/>
      <c r="CO503" s="120"/>
    </row>
    <row r="504" spans="1:93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1"/>
      <c r="U504" s="120"/>
      <c r="V504" s="120"/>
      <c r="W504" s="121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120"/>
      <c r="AR504" s="120"/>
      <c r="AS504" s="120"/>
      <c r="AT504" s="120"/>
      <c r="AU504" s="120"/>
      <c r="AV504" s="120"/>
      <c r="AW504" s="120"/>
      <c r="AX504" s="120"/>
      <c r="AY504" s="120"/>
      <c r="AZ504" s="120"/>
      <c r="BA504" s="120"/>
      <c r="BB504" s="120"/>
      <c r="BC504" s="120"/>
      <c r="BD504" s="120"/>
      <c r="BE504" s="120"/>
      <c r="BF504" s="120"/>
      <c r="BG504" s="120"/>
      <c r="BH504" s="120"/>
      <c r="BI504" s="120"/>
      <c r="BJ504" s="120"/>
      <c r="BK504" s="120"/>
      <c r="BL504" s="120"/>
      <c r="BM504" s="120"/>
      <c r="BN504" s="120"/>
      <c r="BO504" s="120"/>
      <c r="BP504" s="120"/>
      <c r="BQ504" s="120"/>
      <c r="BR504" s="120"/>
      <c r="BS504" s="120"/>
      <c r="BT504" s="120"/>
      <c r="BU504" s="120"/>
      <c r="BV504" s="120"/>
      <c r="BW504" s="120"/>
      <c r="BX504" s="120"/>
      <c r="BY504" s="120"/>
      <c r="BZ504" s="120"/>
      <c r="CA504" s="120"/>
      <c r="CB504" s="120"/>
      <c r="CC504" s="120"/>
      <c r="CD504" s="120"/>
      <c r="CE504" s="120"/>
      <c r="CF504" s="120"/>
      <c r="CG504" s="120"/>
      <c r="CH504" s="120"/>
      <c r="CI504" s="120"/>
      <c r="CJ504" s="120"/>
      <c r="CK504" s="120"/>
      <c r="CL504" s="120"/>
      <c r="CM504" s="120"/>
      <c r="CN504" s="120"/>
      <c r="CO504" s="120"/>
    </row>
    <row r="505" spans="1:93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1"/>
      <c r="U505" s="120"/>
      <c r="V505" s="120"/>
      <c r="W505" s="121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120"/>
      <c r="AR505" s="120"/>
      <c r="AS505" s="120"/>
      <c r="AT505" s="120"/>
      <c r="AU505" s="120"/>
      <c r="AV505" s="120"/>
      <c r="AW505" s="120"/>
      <c r="AX505" s="120"/>
      <c r="AY505" s="120"/>
      <c r="AZ505" s="120"/>
      <c r="BA505" s="120"/>
      <c r="BB505" s="120"/>
      <c r="BC505" s="120"/>
      <c r="BD505" s="120"/>
      <c r="BE505" s="120"/>
      <c r="BF505" s="120"/>
      <c r="BG505" s="120"/>
      <c r="BH505" s="120"/>
      <c r="BI505" s="120"/>
      <c r="BJ505" s="120"/>
      <c r="BK505" s="120"/>
      <c r="BL505" s="120"/>
      <c r="BM505" s="120"/>
      <c r="BN505" s="120"/>
      <c r="BO505" s="120"/>
      <c r="BP505" s="120"/>
      <c r="BQ505" s="120"/>
      <c r="BR505" s="120"/>
      <c r="BS505" s="120"/>
      <c r="BT505" s="120"/>
      <c r="BU505" s="120"/>
      <c r="BV505" s="120"/>
      <c r="BW505" s="120"/>
      <c r="BX505" s="120"/>
      <c r="BY505" s="120"/>
      <c r="BZ505" s="120"/>
      <c r="CA505" s="120"/>
      <c r="CB505" s="120"/>
      <c r="CC505" s="120"/>
      <c r="CD505" s="120"/>
      <c r="CE505" s="120"/>
      <c r="CF505" s="120"/>
      <c r="CG505" s="120"/>
      <c r="CH505" s="120"/>
      <c r="CI505" s="120"/>
      <c r="CJ505" s="120"/>
      <c r="CK505" s="120"/>
      <c r="CL505" s="120"/>
      <c r="CM505" s="120"/>
      <c r="CN505" s="120"/>
      <c r="CO505" s="120"/>
    </row>
    <row r="506" spans="1:93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1"/>
      <c r="U506" s="120"/>
      <c r="V506" s="120"/>
      <c r="W506" s="121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0"/>
      <c r="BK506" s="120"/>
      <c r="BL506" s="120"/>
      <c r="BM506" s="120"/>
      <c r="BN506" s="120"/>
      <c r="BO506" s="120"/>
      <c r="BP506" s="120"/>
      <c r="BQ506" s="120"/>
      <c r="BR506" s="120"/>
      <c r="BS506" s="120"/>
      <c r="BT506" s="120"/>
      <c r="BU506" s="120"/>
      <c r="BV506" s="120"/>
      <c r="BW506" s="120"/>
      <c r="BX506" s="120"/>
      <c r="BY506" s="120"/>
      <c r="BZ506" s="120"/>
      <c r="CA506" s="120"/>
      <c r="CB506" s="120"/>
      <c r="CC506" s="120"/>
      <c r="CD506" s="120"/>
      <c r="CE506" s="120"/>
      <c r="CF506" s="120"/>
      <c r="CG506" s="120"/>
      <c r="CH506" s="120"/>
      <c r="CI506" s="120"/>
      <c r="CJ506" s="120"/>
      <c r="CK506" s="120"/>
      <c r="CL506" s="120"/>
      <c r="CM506" s="120"/>
      <c r="CN506" s="120"/>
      <c r="CO506" s="120"/>
    </row>
    <row r="507" spans="1:93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1"/>
      <c r="U507" s="120"/>
      <c r="V507" s="120"/>
      <c r="W507" s="121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20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20"/>
      <c r="BB507" s="120"/>
      <c r="BC507" s="120"/>
      <c r="BD507" s="120"/>
      <c r="BE507" s="120"/>
      <c r="BF507" s="120"/>
      <c r="BG507" s="120"/>
      <c r="BH507" s="120"/>
      <c r="BI507" s="120"/>
      <c r="BJ507" s="120"/>
      <c r="BK507" s="120"/>
      <c r="BL507" s="120"/>
      <c r="BM507" s="120"/>
      <c r="BN507" s="120"/>
      <c r="BO507" s="120"/>
      <c r="BP507" s="120"/>
      <c r="BQ507" s="120"/>
      <c r="BR507" s="120"/>
      <c r="BS507" s="120"/>
      <c r="BT507" s="120"/>
      <c r="BU507" s="120"/>
      <c r="BV507" s="120"/>
      <c r="BW507" s="120"/>
      <c r="BX507" s="120"/>
      <c r="BY507" s="120"/>
      <c r="BZ507" s="120"/>
      <c r="CA507" s="120"/>
      <c r="CB507" s="120"/>
      <c r="CC507" s="120"/>
      <c r="CD507" s="120"/>
      <c r="CE507" s="120"/>
      <c r="CF507" s="120"/>
      <c r="CG507" s="120"/>
      <c r="CH507" s="120"/>
      <c r="CI507" s="120"/>
      <c r="CJ507" s="120"/>
      <c r="CK507" s="120"/>
      <c r="CL507" s="120"/>
      <c r="CM507" s="120"/>
      <c r="CN507" s="120"/>
      <c r="CO507" s="120"/>
    </row>
    <row r="508" spans="1:93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1"/>
      <c r="U508" s="120"/>
      <c r="V508" s="120"/>
      <c r="W508" s="121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20"/>
      <c r="BW508" s="120"/>
      <c r="BX508" s="120"/>
      <c r="BY508" s="120"/>
      <c r="BZ508" s="120"/>
      <c r="CA508" s="120"/>
      <c r="CB508" s="120"/>
      <c r="CC508" s="120"/>
      <c r="CD508" s="120"/>
      <c r="CE508" s="120"/>
      <c r="CF508" s="120"/>
      <c r="CG508" s="120"/>
      <c r="CH508" s="120"/>
      <c r="CI508" s="120"/>
      <c r="CJ508" s="120"/>
      <c r="CK508" s="120"/>
      <c r="CL508" s="120"/>
      <c r="CM508" s="120"/>
      <c r="CN508" s="120"/>
      <c r="CO508" s="120"/>
    </row>
    <row r="509" spans="1:93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1"/>
      <c r="U509" s="120"/>
      <c r="V509" s="120"/>
      <c r="W509" s="121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20"/>
      <c r="BW509" s="120"/>
      <c r="BX509" s="120"/>
      <c r="BY509" s="120"/>
      <c r="BZ509" s="120"/>
      <c r="CA509" s="120"/>
      <c r="CB509" s="120"/>
      <c r="CC509" s="120"/>
      <c r="CD509" s="120"/>
      <c r="CE509" s="120"/>
      <c r="CF509" s="120"/>
      <c r="CG509" s="120"/>
      <c r="CH509" s="120"/>
      <c r="CI509" s="120"/>
      <c r="CJ509" s="120"/>
      <c r="CK509" s="120"/>
      <c r="CL509" s="120"/>
      <c r="CM509" s="120"/>
      <c r="CN509" s="120"/>
      <c r="CO509" s="120"/>
    </row>
    <row r="510" spans="1:93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1"/>
      <c r="U510" s="120"/>
      <c r="V510" s="120"/>
      <c r="W510" s="121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120"/>
      <c r="AR510" s="120"/>
      <c r="AS510" s="120"/>
      <c r="AT510" s="120"/>
      <c r="AU510" s="120"/>
      <c r="AV510" s="120"/>
      <c r="AW510" s="120"/>
      <c r="AX510" s="120"/>
      <c r="AY510" s="120"/>
      <c r="AZ510" s="120"/>
      <c r="BA510" s="120"/>
      <c r="BB510" s="120"/>
      <c r="BC510" s="120"/>
      <c r="BD510" s="120"/>
      <c r="BE510" s="120"/>
      <c r="BF510" s="120"/>
      <c r="BG510" s="120"/>
      <c r="BH510" s="120"/>
      <c r="BI510" s="120"/>
      <c r="BJ510" s="120"/>
      <c r="BK510" s="120"/>
      <c r="BL510" s="120"/>
      <c r="BM510" s="120"/>
      <c r="BN510" s="120"/>
      <c r="BO510" s="120"/>
      <c r="BP510" s="120"/>
      <c r="BQ510" s="120"/>
      <c r="BR510" s="120"/>
      <c r="BS510" s="120"/>
      <c r="BT510" s="120"/>
      <c r="BU510" s="120"/>
      <c r="BV510" s="120"/>
      <c r="BW510" s="120"/>
      <c r="BX510" s="120"/>
      <c r="BY510" s="120"/>
      <c r="BZ510" s="120"/>
      <c r="CA510" s="120"/>
      <c r="CB510" s="120"/>
      <c r="CC510" s="120"/>
      <c r="CD510" s="120"/>
      <c r="CE510" s="120"/>
      <c r="CF510" s="120"/>
      <c r="CG510" s="120"/>
      <c r="CH510" s="120"/>
      <c r="CI510" s="120"/>
      <c r="CJ510" s="120"/>
      <c r="CK510" s="120"/>
      <c r="CL510" s="120"/>
      <c r="CM510" s="120"/>
      <c r="CN510" s="120"/>
      <c r="CO510" s="120"/>
    </row>
    <row r="511" spans="1:93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1"/>
      <c r="U511" s="120"/>
      <c r="V511" s="120"/>
      <c r="W511" s="121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120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20"/>
      <c r="BB511" s="120"/>
      <c r="BC511" s="120"/>
      <c r="BD511" s="120"/>
      <c r="BE511" s="120"/>
      <c r="BF511" s="120"/>
      <c r="BG511" s="120"/>
      <c r="BH511" s="120"/>
      <c r="BI511" s="120"/>
      <c r="BJ511" s="120"/>
      <c r="BK511" s="120"/>
      <c r="BL511" s="120"/>
      <c r="BM511" s="120"/>
      <c r="BN511" s="120"/>
      <c r="BO511" s="120"/>
      <c r="BP511" s="120"/>
      <c r="BQ511" s="120"/>
      <c r="BR511" s="120"/>
      <c r="BS511" s="120"/>
      <c r="BT511" s="120"/>
      <c r="BU511" s="120"/>
      <c r="BV511" s="120"/>
      <c r="BW511" s="120"/>
      <c r="BX511" s="120"/>
      <c r="BY511" s="120"/>
      <c r="BZ511" s="120"/>
      <c r="CA511" s="120"/>
      <c r="CB511" s="120"/>
      <c r="CC511" s="120"/>
      <c r="CD511" s="120"/>
      <c r="CE511" s="120"/>
      <c r="CF511" s="120"/>
      <c r="CG511" s="120"/>
      <c r="CH511" s="120"/>
      <c r="CI511" s="120"/>
      <c r="CJ511" s="120"/>
      <c r="CK511" s="120"/>
      <c r="CL511" s="120"/>
      <c r="CM511" s="120"/>
      <c r="CN511" s="120"/>
      <c r="CO511" s="120"/>
    </row>
    <row r="512" spans="1:93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1"/>
      <c r="U512" s="120"/>
      <c r="V512" s="120"/>
      <c r="W512" s="121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20"/>
      <c r="BK512" s="120"/>
      <c r="BL512" s="120"/>
      <c r="BM512" s="120"/>
      <c r="BN512" s="120"/>
      <c r="BO512" s="120"/>
      <c r="BP512" s="120"/>
      <c r="BQ512" s="120"/>
      <c r="BR512" s="120"/>
      <c r="BS512" s="120"/>
      <c r="BT512" s="120"/>
      <c r="BU512" s="120"/>
      <c r="BV512" s="120"/>
      <c r="BW512" s="120"/>
      <c r="BX512" s="120"/>
      <c r="BY512" s="120"/>
      <c r="BZ512" s="120"/>
      <c r="CA512" s="120"/>
      <c r="CB512" s="120"/>
      <c r="CC512" s="120"/>
      <c r="CD512" s="120"/>
      <c r="CE512" s="120"/>
      <c r="CF512" s="120"/>
      <c r="CG512" s="120"/>
      <c r="CH512" s="120"/>
      <c r="CI512" s="120"/>
      <c r="CJ512" s="120"/>
      <c r="CK512" s="120"/>
      <c r="CL512" s="120"/>
      <c r="CM512" s="120"/>
      <c r="CN512" s="120"/>
      <c r="CO512" s="120"/>
    </row>
    <row r="513" spans="1:93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1"/>
      <c r="U513" s="120"/>
      <c r="V513" s="120"/>
      <c r="W513" s="121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120"/>
      <c r="AR513" s="120"/>
      <c r="AS513" s="120"/>
      <c r="AT513" s="120"/>
      <c r="AU513" s="120"/>
      <c r="AV513" s="120"/>
      <c r="AW513" s="120"/>
      <c r="AX513" s="120"/>
      <c r="AY513" s="120"/>
      <c r="AZ513" s="120"/>
      <c r="BA513" s="120"/>
      <c r="BB513" s="120"/>
      <c r="BC513" s="120"/>
      <c r="BD513" s="120"/>
      <c r="BE513" s="120"/>
      <c r="BF513" s="120"/>
      <c r="BG513" s="120"/>
      <c r="BH513" s="120"/>
      <c r="BI513" s="120"/>
      <c r="BJ513" s="120"/>
      <c r="BK513" s="120"/>
      <c r="BL513" s="120"/>
      <c r="BM513" s="120"/>
      <c r="BN513" s="120"/>
      <c r="BO513" s="120"/>
      <c r="BP513" s="120"/>
      <c r="BQ513" s="120"/>
      <c r="BR513" s="120"/>
      <c r="BS513" s="120"/>
      <c r="BT513" s="120"/>
      <c r="BU513" s="120"/>
      <c r="BV513" s="120"/>
      <c r="BW513" s="120"/>
      <c r="BX513" s="120"/>
      <c r="BY513" s="120"/>
      <c r="BZ513" s="120"/>
      <c r="CA513" s="120"/>
      <c r="CB513" s="120"/>
      <c r="CC513" s="120"/>
      <c r="CD513" s="120"/>
      <c r="CE513" s="120"/>
      <c r="CF513" s="120"/>
      <c r="CG513" s="120"/>
      <c r="CH513" s="120"/>
      <c r="CI513" s="120"/>
      <c r="CJ513" s="120"/>
      <c r="CK513" s="120"/>
      <c r="CL513" s="120"/>
      <c r="CM513" s="120"/>
      <c r="CN513" s="120"/>
      <c r="CO513" s="120"/>
    </row>
    <row r="514" spans="1:93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1"/>
      <c r="U514" s="120"/>
      <c r="V514" s="120"/>
      <c r="W514" s="121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120"/>
      <c r="AR514" s="120"/>
      <c r="AS514" s="120"/>
      <c r="AT514" s="120"/>
      <c r="AU514" s="120"/>
      <c r="AV514" s="120"/>
      <c r="AW514" s="120"/>
      <c r="AX514" s="120"/>
      <c r="AY514" s="120"/>
      <c r="AZ514" s="120"/>
      <c r="BA514" s="120"/>
      <c r="BB514" s="120"/>
      <c r="BC514" s="120"/>
      <c r="BD514" s="120"/>
      <c r="BE514" s="120"/>
      <c r="BF514" s="120"/>
      <c r="BG514" s="120"/>
      <c r="BH514" s="120"/>
      <c r="BI514" s="120"/>
      <c r="BJ514" s="120"/>
      <c r="BK514" s="120"/>
      <c r="BL514" s="120"/>
      <c r="BM514" s="120"/>
      <c r="BN514" s="120"/>
      <c r="BO514" s="120"/>
      <c r="BP514" s="120"/>
      <c r="BQ514" s="120"/>
      <c r="BR514" s="120"/>
      <c r="BS514" s="120"/>
      <c r="BT514" s="120"/>
      <c r="BU514" s="120"/>
      <c r="BV514" s="120"/>
      <c r="BW514" s="120"/>
      <c r="BX514" s="120"/>
      <c r="BY514" s="120"/>
      <c r="BZ514" s="120"/>
      <c r="CA514" s="120"/>
      <c r="CB514" s="120"/>
      <c r="CC514" s="120"/>
      <c r="CD514" s="120"/>
      <c r="CE514" s="120"/>
      <c r="CF514" s="120"/>
      <c r="CG514" s="120"/>
      <c r="CH514" s="120"/>
      <c r="CI514" s="120"/>
      <c r="CJ514" s="120"/>
      <c r="CK514" s="120"/>
      <c r="CL514" s="120"/>
      <c r="CM514" s="120"/>
      <c r="CN514" s="120"/>
      <c r="CO514" s="120"/>
    </row>
    <row r="515" spans="1:93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1"/>
      <c r="U515" s="120"/>
      <c r="V515" s="120"/>
      <c r="W515" s="121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120"/>
      <c r="AR515" s="120"/>
      <c r="AS515" s="120"/>
      <c r="AT515" s="120"/>
      <c r="AU515" s="120"/>
      <c r="AV515" s="120"/>
      <c r="AW515" s="120"/>
      <c r="AX515" s="120"/>
      <c r="AY515" s="120"/>
      <c r="AZ515" s="120"/>
      <c r="BA515" s="120"/>
      <c r="BB515" s="120"/>
      <c r="BC515" s="120"/>
      <c r="BD515" s="120"/>
      <c r="BE515" s="120"/>
      <c r="BF515" s="120"/>
      <c r="BG515" s="120"/>
      <c r="BH515" s="120"/>
      <c r="BI515" s="120"/>
      <c r="BJ515" s="120"/>
      <c r="BK515" s="120"/>
      <c r="BL515" s="120"/>
      <c r="BM515" s="120"/>
      <c r="BN515" s="120"/>
      <c r="BO515" s="120"/>
      <c r="BP515" s="120"/>
      <c r="BQ515" s="120"/>
      <c r="BR515" s="120"/>
      <c r="BS515" s="120"/>
      <c r="BT515" s="120"/>
      <c r="BU515" s="120"/>
      <c r="BV515" s="120"/>
      <c r="BW515" s="120"/>
      <c r="BX515" s="120"/>
      <c r="BY515" s="120"/>
      <c r="BZ515" s="120"/>
      <c r="CA515" s="120"/>
      <c r="CB515" s="120"/>
      <c r="CC515" s="120"/>
      <c r="CD515" s="120"/>
      <c r="CE515" s="120"/>
      <c r="CF515" s="120"/>
      <c r="CG515" s="120"/>
      <c r="CH515" s="120"/>
      <c r="CI515" s="120"/>
      <c r="CJ515" s="120"/>
      <c r="CK515" s="120"/>
      <c r="CL515" s="120"/>
      <c r="CM515" s="120"/>
      <c r="CN515" s="120"/>
      <c r="CO515" s="120"/>
    </row>
    <row r="516" spans="1:93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1"/>
      <c r="U516" s="120"/>
      <c r="V516" s="120"/>
      <c r="W516" s="121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120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20"/>
      <c r="BB516" s="120"/>
      <c r="BC516" s="120"/>
      <c r="BD516" s="120"/>
      <c r="BE516" s="120"/>
      <c r="BF516" s="120"/>
      <c r="BG516" s="120"/>
      <c r="BH516" s="120"/>
      <c r="BI516" s="120"/>
      <c r="BJ516" s="120"/>
      <c r="BK516" s="120"/>
      <c r="BL516" s="120"/>
      <c r="BM516" s="120"/>
      <c r="BN516" s="120"/>
      <c r="BO516" s="120"/>
      <c r="BP516" s="120"/>
      <c r="BQ516" s="120"/>
      <c r="BR516" s="120"/>
      <c r="BS516" s="120"/>
      <c r="BT516" s="120"/>
      <c r="BU516" s="120"/>
      <c r="BV516" s="120"/>
      <c r="BW516" s="120"/>
      <c r="BX516" s="120"/>
      <c r="BY516" s="120"/>
      <c r="BZ516" s="120"/>
      <c r="CA516" s="120"/>
      <c r="CB516" s="120"/>
      <c r="CC516" s="120"/>
      <c r="CD516" s="120"/>
      <c r="CE516" s="120"/>
      <c r="CF516" s="120"/>
      <c r="CG516" s="120"/>
      <c r="CH516" s="120"/>
      <c r="CI516" s="120"/>
      <c r="CJ516" s="120"/>
      <c r="CK516" s="120"/>
      <c r="CL516" s="120"/>
      <c r="CM516" s="120"/>
      <c r="CN516" s="120"/>
      <c r="CO516" s="120"/>
    </row>
    <row r="517" spans="1:93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1"/>
      <c r="U517" s="120"/>
      <c r="V517" s="120"/>
      <c r="W517" s="121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20"/>
      <c r="BB517" s="120"/>
      <c r="BC517" s="120"/>
      <c r="BD517" s="120"/>
      <c r="BE517" s="120"/>
      <c r="BF517" s="120"/>
      <c r="BG517" s="120"/>
      <c r="BH517" s="120"/>
      <c r="BI517" s="120"/>
      <c r="BJ517" s="120"/>
      <c r="BK517" s="120"/>
      <c r="BL517" s="120"/>
      <c r="BM517" s="120"/>
      <c r="BN517" s="120"/>
      <c r="BO517" s="120"/>
      <c r="BP517" s="120"/>
      <c r="BQ517" s="120"/>
      <c r="BR517" s="120"/>
      <c r="BS517" s="120"/>
      <c r="BT517" s="120"/>
      <c r="BU517" s="120"/>
      <c r="BV517" s="120"/>
      <c r="BW517" s="120"/>
      <c r="BX517" s="120"/>
      <c r="BY517" s="120"/>
      <c r="BZ517" s="120"/>
      <c r="CA517" s="120"/>
      <c r="CB517" s="120"/>
      <c r="CC517" s="120"/>
      <c r="CD517" s="120"/>
      <c r="CE517" s="120"/>
      <c r="CF517" s="120"/>
      <c r="CG517" s="120"/>
      <c r="CH517" s="120"/>
      <c r="CI517" s="120"/>
      <c r="CJ517" s="120"/>
      <c r="CK517" s="120"/>
      <c r="CL517" s="120"/>
      <c r="CM517" s="120"/>
      <c r="CN517" s="120"/>
      <c r="CO517" s="120"/>
    </row>
    <row r="518" spans="1:93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1"/>
      <c r="U518" s="120"/>
      <c r="V518" s="120"/>
      <c r="W518" s="121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120"/>
      <c r="BL518" s="120"/>
      <c r="BM518" s="120"/>
      <c r="BN518" s="120"/>
      <c r="BO518" s="120"/>
      <c r="BP518" s="120"/>
      <c r="BQ518" s="120"/>
      <c r="BR518" s="120"/>
      <c r="BS518" s="120"/>
      <c r="BT518" s="120"/>
      <c r="BU518" s="120"/>
      <c r="BV518" s="120"/>
      <c r="BW518" s="120"/>
      <c r="BX518" s="120"/>
      <c r="BY518" s="120"/>
      <c r="BZ518" s="120"/>
      <c r="CA518" s="120"/>
      <c r="CB518" s="120"/>
      <c r="CC518" s="120"/>
      <c r="CD518" s="120"/>
      <c r="CE518" s="120"/>
      <c r="CF518" s="120"/>
      <c r="CG518" s="120"/>
      <c r="CH518" s="120"/>
      <c r="CI518" s="120"/>
      <c r="CJ518" s="120"/>
      <c r="CK518" s="120"/>
      <c r="CL518" s="120"/>
      <c r="CM518" s="120"/>
      <c r="CN518" s="120"/>
      <c r="CO518" s="120"/>
    </row>
    <row r="519" spans="1:93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1"/>
      <c r="U519" s="120"/>
      <c r="V519" s="120"/>
      <c r="W519" s="121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20"/>
      <c r="BW519" s="120"/>
      <c r="BX519" s="120"/>
      <c r="BY519" s="120"/>
      <c r="BZ519" s="120"/>
      <c r="CA519" s="120"/>
      <c r="CB519" s="120"/>
      <c r="CC519" s="120"/>
      <c r="CD519" s="120"/>
      <c r="CE519" s="120"/>
      <c r="CF519" s="120"/>
      <c r="CG519" s="120"/>
      <c r="CH519" s="120"/>
      <c r="CI519" s="120"/>
      <c r="CJ519" s="120"/>
      <c r="CK519" s="120"/>
      <c r="CL519" s="120"/>
      <c r="CM519" s="120"/>
      <c r="CN519" s="120"/>
      <c r="CO519" s="120"/>
    </row>
    <row r="520" spans="1:93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1"/>
      <c r="U520" s="120"/>
      <c r="V520" s="120"/>
      <c r="W520" s="121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20"/>
      <c r="BW520" s="120"/>
      <c r="BX520" s="120"/>
      <c r="BY520" s="120"/>
      <c r="BZ520" s="120"/>
      <c r="CA520" s="120"/>
      <c r="CB520" s="120"/>
      <c r="CC520" s="120"/>
      <c r="CD520" s="120"/>
      <c r="CE520" s="120"/>
      <c r="CF520" s="120"/>
      <c r="CG520" s="120"/>
      <c r="CH520" s="120"/>
      <c r="CI520" s="120"/>
      <c r="CJ520" s="120"/>
      <c r="CK520" s="120"/>
      <c r="CL520" s="120"/>
      <c r="CM520" s="120"/>
      <c r="CN520" s="120"/>
      <c r="CO520" s="120"/>
    </row>
    <row r="521" spans="1:93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1"/>
      <c r="U521" s="120"/>
      <c r="V521" s="120"/>
      <c r="W521" s="121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20"/>
      <c r="BC521" s="120"/>
      <c r="BD521" s="120"/>
      <c r="BE521" s="120"/>
      <c r="BF521" s="120"/>
      <c r="BG521" s="120"/>
      <c r="BH521" s="120"/>
      <c r="BI521" s="120"/>
      <c r="BJ521" s="120"/>
      <c r="BK521" s="120"/>
      <c r="BL521" s="120"/>
      <c r="BM521" s="120"/>
      <c r="BN521" s="120"/>
      <c r="BO521" s="120"/>
      <c r="BP521" s="120"/>
      <c r="BQ521" s="120"/>
      <c r="BR521" s="120"/>
      <c r="BS521" s="120"/>
      <c r="BT521" s="120"/>
      <c r="BU521" s="120"/>
      <c r="BV521" s="120"/>
      <c r="BW521" s="120"/>
      <c r="BX521" s="120"/>
      <c r="BY521" s="120"/>
      <c r="BZ521" s="120"/>
      <c r="CA521" s="120"/>
      <c r="CB521" s="120"/>
      <c r="CC521" s="120"/>
      <c r="CD521" s="120"/>
      <c r="CE521" s="120"/>
      <c r="CF521" s="120"/>
      <c r="CG521" s="120"/>
      <c r="CH521" s="120"/>
      <c r="CI521" s="120"/>
      <c r="CJ521" s="120"/>
      <c r="CK521" s="120"/>
      <c r="CL521" s="120"/>
      <c r="CM521" s="120"/>
      <c r="CN521" s="120"/>
      <c r="CO521" s="120"/>
    </row>
    <row r="522" spans="1:93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1"/>
      <c r="U522" s="120"/>
      <c r="V522" s="120"/>
      <c r="W522" s="121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20"/>
      <c r="BC522" s="120"/>
      <c r="BD522" s="120"/>
      <c r="BE522" s="120"/>
      <c r="BF522" s="120"/>
      <c r="BG522" s="120"/>
      <c r="BH522" s="120"/>
      <c r="BI522" s="120"/>
      <c r="BJ522" s="120"/>
      <c r="BK522" s="120"/>
      <c r="BL522" s="120"/>
      <c r="BM522" s="120"/>
      <c r="BN522" s="120"/>
      <c r="BO522" s="120"/>
      <c r="BP522" s="120"/>
      <c r="BQ522" s="120"/>
      <c r="BR522" s="120"/>
      <c r="BS522" s="120"/>
      <c r="BT522" s="120"/>
      <c r="BU522" s="120"/>
      <c r="BV522" s="120"/>
      <c r="BW522" s="120"/>
      <c r="BX522" s="120"/>
      <c r="BY522" s="120"/>
      <c r="BZ522" s="120"/>
      <c r="CA522" s="120"/>
      <c r="CB522" s="120"/>
      <c r="CC522" s="120"/>
      <c r="CD522" s="120"/>
      <c r="CE522" s="120"/>
      <c r="CF522" s="120"/>
      <c r="CG522" s="120"/>
      <c r="CH522" s="120"/>
      <c r="CI522" s="120"/>
      <c r="CJ522" s="120"/>
      <c r="CK522" s="120"/>
      <c r="CL522" s="120"/>
      <c r="CM522" s="120"/>
      <c r="CN522" s="120"/>
      <c r="CO522" s="120"/>
    </row>
    <row r="523" spans="1:93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1"/>
      <c r="U523" s="120"/>
      <c r="V523" s="120"/>
      <c r="W523" s="121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20"/>
      <c r="BC523" s="120"/>
      <c r="BD523" s="120"/>
      <c r="BE523" s="120"/>
      <c r="BF523" s="120"/>
      <c r="BG523" s="120"/>
      <c r="BH523" s="120"/>
      <c r="BI523" s="120"/>
      <c r="BJ523" s="120"/>
      <c r="BK523" s="120"/>
      <c r="BL523" s="120"/>
      <c r="BM523" s="120"/>
      <c r="BN523" s="120"/>
      <c r="BO523" s="120"/>
      <c r="BP523" s="120"/>
      <c r="BQ523" s="120"/>
      <c r="BR523" s="120"/>
      <c r="BS523" s="120"/>
      <c r="BT523" s="120"/>
      <c r="BU523" s="120"/>
      <c r="BV523" s="120"/>
      <c r="BW523" s="120"/>
      <c r="BX523" s="120"/>
      <c r="BY523" s="120"/>
      <c r="BZ523" s="120"/>
      <c r="CA523" s="120"/>
      <c r="CB523" s="120"/>
      <c r="CC523" s="120"/>
      <c r="CD523" s="120"/>
      <c r="CE523" s="120"/>
      <c r="CF523" s="120"/>
      <c r="CG523" s="120"/>
      <c r="CH523" s="120"/>
      <c r="CI523" s="120"/>
      <c r="CJ523" s="120"/>
      <c r="CK523" s="120"/>
      <c r="CL523" s="120"/>
      <c r="CM523" s="120"/>
      <c r="CN523" s="120"/>
      <c r="CO523" s="120"/>
    </row>
    <row r="524" spans="1:93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1"/>
      <c r="U524" s="120"/>
      <c r="V524" s="120"/>
      <c r="W524" s="121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20"/>
      <c r="BC524" s="120"/>
      <c r="BD524" s="120"/>
      <c r="BE524" s="120"/>
      <c r="BF524" s="120"/>
      <c r="BG524" s="120"/>
      <c r="BH524" s="120"/>
      <c r="BI524" s="120"/>
      <c r="BJ524" s="120"/>
      <c r="BK524" s="120"/>
      <c r="BL524" s="120"/>
      <c r="BM524" s="120"/>
      <c r="BN524" s="120"/>
      <c r="BO524" s="120"/>
      <c r="BP524" s="120"/>
      <c r="BQ524" s="120"/>
      <c r="BR524" s="120"/>
      <c r="BS524" s="120"/>
      <c r="BT524" s="120"/>
      <c r="BU524" s="120"/>
      <c r="BV524" s="120"/>
      <c r="BW524" s="120"/>
      <c r="BX524" s="120"/>
      <c r="BY524" s="120"/>
      <c r="BZ524" s="120"/>
      <c r="CA524" s="120"/>
      <c r="CB524" s="120"/>
      <c r="CC524" s="120"/>
      <c r="CD524" s="120"/>
      <c r="CE524" s="120"/>
      <c r="CF524" s="120"/>
      <c r="CG524" s="120"/>
      <c r="CH524" s="120"/>
      <c r="CI524" s="120"/>
      <c r="CJ524" s="120"/>
      <c r="CK524" s="120"/>
      <c r="CL524" s="120"/>
      <c r="CM524" s="120"/>
      <c r="CN524" s="120"/>
      <c r="CO524" s="120"/>
    </row>
    <row r="525" spans="1:93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1"/>
      <c r="U525" s="120"/>
      <c r="V525" s="120"/>
      <c r="W525" s="121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120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20"/>
      <c r="BB525" s="120"/>
      <c r="BC525" s="120"/>
      <c r="BD525" s="120"/>
      <c r="BE525" s="120"/>
      <c r="BF525" s="120"/>
      <c r="BG525" s="120"/>
      <c r="BH525" s="120"/>
      <c r="BI525" s="120"/>
      <c r="BJ525" s="120"/>
      <c r="BK525" s="120"/>
      <c r="BL525" s="120"/>
      <c r="BM525" s="120"/>
      <c r="BN525" s="120"/>
      <c r="BO525" s="120"/>
      <c r="BP525" s="120"/>
      <c r="BQ525" s="120"/>
      <c r="BR525" s="120"/>
      <c r="BS525" s="120"/>
      <c r="BT525" s="120"/>
      <c r="BU525" s="120"/>
      <c r="BV525" s="120"/>
      <c r="BW525" s="120"/>
      <c r="BX525" s="120"/>
      <c r="BY525" s="120"/>
      <c r="BZ525" s="120"/>
      <c r="CA525" s="120"/>
      <c r="CB525" s="120"/>
      <c r="CC525" s="120"/>
      <c r="CD525" s="120"/>
      <c r="CE525" s="120"/>
      <c r="CF525" s="120"/>
      <c r="CG525" s="120"/>
      <c r="CH525" s="120"/>
      <c r="CI525" s="120"/>
      <c r="CJ525" s="120"/>
      <c r="CK525" s="120"/>
      <c r="CL525" s="120"/>
      <c r="CM525" s="120"/>
      <c r="CN525" s="120"/>
      <c r="CO525" s="120"/>
    </row>
    <row r="526" spans="1:93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1"/>
      <c r="U526" s="120"/>
      <c r="V526" s="120"/>
      <c r="W526" s="121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120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20"/>
      <c r="BB526" s="120"/>
      <c r="BC526" s="120"/>
      <c r="BD526" s="120"/>
      <c r="BE526" s="120"/>
      <c r="BF526" s="120"/>
      <c r="BG526" s="120"/>
      <c r="BH526" s="120"/>
      <c r="BI526" s="120"/>
      <c r="BJ526" s="120"/>
      <c r="BK526" s="120"/>
      <c r="BL526" s="120"/>
      <c r="BM526" s="120"/>
      <c r="BN526" s="120"/>
      <c r="BO526" s="120"/>
      <c r="BP526" s="120"/>
      <c r="BQ526" s="120"/>
      <c r="BR526" s="120"/>
      <c r="BS526" s="120"/>
      <c r="BT526" s="120"/>
      <c r="BU526" s="120"/>
      <c r="BV526" s="120"/>
      <c r="BW526" s="120"/>
      <c r="BX526" s="120"/>
      <c r="BY526" s="120"/>
      <c r="BZ526" s="120"/>
      <c r="CA526" s="120"/>
      <c r="CB526" s="120"/>
      <c r="CC526" s="120"/>
      <c r="CD526" s="120"/>
      <c r="CE526" s="120"/>
      <c r="CF526" s="120"/>
      <c r="CG526" s="120"/>
      <c r="CH526" s="120"/>
      <c r="CI526" s="120"/>
      <c r="CJ526" s="120"/>
      <c r="CK526" s="120"/>
      <c r="CL526" s="120"/>
      <c r="CM526" s="120"/>
      <c r="CN526" s="120"/>
      <c r="CO526" s="120"/>
    </row>
    <row r="527" spans="1:93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1"/>
      <c r="U527" s="120"/>
      <c r="V527" s="120"/>
      <c r="W527" s="121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120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20"/>
      <c r="BB527" s="120"/>
      <c r="BC527" s="120"/>
      <c r="BD527" s="120"/>
      <c r="BE527" s="120"/>
      <c r="BF527" s="120"/>
      <c r="BG527" s="120"/>
      <c r="BH527" s="120"/>
      <c r="BI527" s="120"/>
      <c r="BJ527" s="120"/>
      <c r="BK527" s="120"/>
      <c r="BL527" s="120"/>
      <c r="BM527" s="120"/>
      <c r="BN527" s="120"/>
      <c r="BO527" s="120"/>
      <c r="BP527" s="120"/>
      <c r="BQ527" s="120"/>
      <c r="BR527" s="120"/>
      <c r="BS527" s="120"/>
      <c r="BT527" s="120"/>
      <c r="BU527" s="120"/>
      <c r="BV527" s="120"/>
      <c r="BW527" s="120"/>
      <c r="BX527" s="120"/>
      <c r="BY527" s="120"/>
      <c r="BZ527" s="120"/>
      <c r="CA527" s="120"/>
      <c r="CB527" s="120"/>
      <c r="CC527" s="120"/>
      <c r="CD527" s="120"/>
      <c r="CE527" s="120"/>
      <c r="CF527" s="120"/>
      <c r="CG527" s="120"/>
      <c r="CH527" s="120"/>
      <c r="CI527" s="120"/>
      <c r="CJ527" s="120"/>
      <c r="CK527" s="120"/>
      <c r="CL527" s="120"/>
      <c r="CM527" s="120"/>
      <c r="CN527" s="120"/>
      <c r="CO527" s="120"/>
    </row>
    <row r="528" spans="1:93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1"/>
      <c r="U528" s="120"/>
      <c r="V528" s="120"/>
      <c r="W528" s="121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120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20"/>
      <c r="BB528" s="120"/>
      <c r="BC528" s="120"/>
      <c r="BD528" s="120"/>
      <c r="BE528" s="120"/>
      <c r="BF528" s="120"/>
      <c r="BG528" s="120"/>
      <c r="BH528" s="120"/>
      <c r="BI528" s="120"/>
      <c r="BJ528" s="120"/>
      <c r="BK528" s="120"/>
      <c r="BL528" s="120"/>
      <c r="BM528" s="120"/>
      <c r="BN528" s="120"/>
      <c r="BO528" s="120"/>
      <c r="BP528" s="120"/>
      <c r="BQ528" s="120"/>
      <c r="BR528" s="120"/>
      <c r="BS528" s="120"/>
      <c r="BT528" s="120"/>
      <c r="BU528" s="120"/>
      <c r="BV528" s="120"/>
      <c r="BW528" s="120"/>
      <c r="BX528" s="120"/>
      <c r="BY528" s="120"/>
      <c r="BZ528" s="120"/>
      <c r="CA528" s="120"/>
      <c r="CB528" s="120"/>
      <c r="CC528" s="120"/>
      <c r="CD528" s="120"/>
      <c r="CE528" s="120"/>
      <c r="CF528" s="120"/>
      <c r="CG528" s="120"/>
      <c r="CH528" s="120"/>
      <c r="CI528" s="120"/>
      <c r="CJ528" s="120"/>
      <c r="CK528" s="120"/>
      <c r="CL528" s="120"/>
      <c r="CM528" s="120"/>
      <c r="CN528" s="120"/>
      <c r="CO528" s="120"/>
    </row>
    <row r="529" spans="1:93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1"/>
      <c r="U529" s="120"/>
      <c r="V529" s="120"/>
      <c r="W529" s="121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  <c r="AU529" s="120"/>
      <c r="AV529" s="120"/>
      <c r="AW529" s="120"/>
      <c r="AX529" s="120"/>
      <c r="AY529" s="120"/>
      <c r="AZ529" s="120"/>
      <c r="BA529" s="120"/>
      <c r="BB529" s="120"/>
      <c r="BC529" s="120"/>
      <c r="BD529" s="120"/>
      <c r="BE529" s="120"/>
      <c r="BF529" s="120"/>
      <c r="BG529" s="120"/>
      <c r="BH529" s="120"/>
      <c r="BI529" s="120"/>
      <c r="BJ529" s="120"/>
      <c r="BK529" s="120"/>
      <c r="BL529" s="120"/>
      <c r="BM529" s="120"/>
      <c r="BN529" s="120"/>
      <c r="BO529" s="120"/>
      <c r="BP529" s="120"/>
      <c r="BQ529" s="120"/>
      <c r="BR529" s="120"/>
      <c r="BS529" s="120"/>
      <c r="BT529" s="120"/>
      <c r="BU529" s="120"/>
      <c r="BV529" s="120"/>
      <c r="BW529" s="120"/>
      <c r="BX529" s="120"/>
      <c r="BY529" s="120"/>
      <c r="BZ529" s="120"/>
      <c r="CA529" s="120"/>
      <c r="CB529" s="120"/>
      <c r="CC529" s="120"/>
      <c r="CD529" s="120"/>
      <c r="CE529" s="120"/>
      <c r="CF529" s="120"/>
      <c r="CG529" s="120"/>
      <c r="CH529" s="120"/>
      <c r="CI529" s="120"/>
      <c r="CJ529" s="120"/>
      <c r="CK529" s="120"/>
      <c r="CL529" s="120"/>
      <c r="CM529" s="120"/>
      <c r="CN529" s="120"/>
      <c r="CO529" s="120"/>
    </row>
    <row r="530" spans="1:93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1"/>
      <c r="U530" s="120"/>
      <c r="V530" s="120"/>
      <c r="W530" s="121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120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20"/>
      <c r="BB530" s="120"/>
      <c r="BC530" s="120"/>
      <c r="BD530" s="120"/>
      <c r="BE530" s="120"/>
      <c r="BF530" s="120"/>
      <c r="BG530" s="120"/>
      <c r="BH530" s="120"/>
      <c r="BI530" s="120"/>
      <c r="BJ530" s="120"/>
      <c r="BK530" s="120"/>
      <c r="BL530" s="120"/>
      <c r="BM530" s="120"/>
      <c r="BN530" s="120"/>
      <c r="BO530" s="120"/>
      <c r="BP530" s="120"/>
      <c r="BQ530" s="120"/>
      <c r="BR530" s="120"/>
      <c r="BS530" s="120"/>
      <c r="BT530" s="120"/>
      <c r="BU530" s="120"/>
      <c r="BV530" s="120"/>
      <c r="BW530" s="120"/>
      <c r="BX530" s="120"/>
      <c r="BY530" s="120"/>
      <c r="BZ530" s="120"/>
      <c r="CA530" s="120"/>
      <c r="CB530" s="120"/>
      <c r="CC530" s="120"/>
      <c r="CD530" s="120"/>
      <c r="CE530" s="120"/>
      <c r="CF530" s="120"/>
      <c r="CG530" s="120"/>
      <c r="CH530" s="120"/>
      <c r="CI530" s="120"/>
      <c r="CJ530" s="120"/>
      <c r="CK530" s="120"/>
      <c r="CL530" s="120"/>
      <c r="CM530" s="120"/>
      <c r="CN530" s="120"/>
      <c r="CO530" s="120"/>
    </row>
    <row r="531" spans="1:93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1"/>
      <c r="U531" s="120"/>
      <c r="V531" s="120"/>
      <c r="W531" s="121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20"/>
      <c r="BK531" s="120"/>
      <c r="BL531" s="120"/>
      <c r="BM531" s="120"/>
      <c r="BN531" s="120"/>
      <c r="BO531" s="120"/>
      <c r="BP531" s="120"/>
      <c r="BQ531" s="120"/>
      <c r="BR531" s="120"/>
      <c r="BS531" s="120"/>
      <c r="BT531" s="120"/>
      <c r="BU531" s="120"/>
      <c r="BV531" s="120"/>
      <c r="BW531" s="120"/>
      <c r="BX531" s="120"/>
      <c r="BY531" s="120"/>
      <c r="BZ531" s="120"/>
      <c r="CA531" s="120"/>
      <c r="CB531" s="120"/>
      <c r="CC531" s="120"/>
      <c r="CD531" s="120"/>
      <c r="CE531" s="120"/>
      <c r="CF531" s="120"/>
      <c r="CG531" s="120"/>
      <c r="CH531" s="120"/>
      <c r="CI531" s="120"/>
      <c r="CJ531" s="120"/>
      <c r="CK531" s="120"/>
      <c r="CL531" s="120"/>
      <c r="CM531" s="120"/>
      <c r="CN531" s="120"/>
      <c r="CO531" s="120"/>
    </row>
    <row r="532" spans="1:93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1"/>
      <c r="U532" s="120"/>
      <c r="V532" s="120"/>
      <c r="W532" s="121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20"/>
      <c r="BW532" s="120"/>
      <c r="BX532" s="120"/>
      <c r="BY532" s="120"/>
      <c r="BZ532" s="120"/>
      <c r="CA532" s="120"/>
      <c r="CB532" s="120"/>
      <c r="CC532" s="120"/>
      <c r="CD532" s="120"/>
      <c r="CE532" s="120"/>
      <c r="CF532" s="120"/>
      <c r="CG532" s="120"/>
      <c r="CH532" s="120"/>
      <c r="CI532" s="120"/>
      <c r="CJ532" s="120"/>
      <c r="CK532" s="120"/>
      <c r="CL532" s="120"/>
      <c r="CM532" s="120"/>
      <c r="CN532" s="120"/>
      <c r="CO532" s="120"/>
    </row>
    <row r="533" spans="1:93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1"/>
      <c r="U533" s="120"/>
      <c r="V533" s="120"/>
      <c r="W533" s="121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0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20"/>
      <c r="BB533" s="120"/>
      <c r="BC533" s="120"/>
      <c r="BD533" s="120"/>
      <c r="BE533" s="120"/>
      <c r="BF533" s="120"/>
      <c r="BG533" s="120"/>
      <c r="BH533" s="120"/>
      <c r="BI533" s="120"/>
      <c r="BJ533" s="120"/>
      <c r="BK533" s="120"/>
      <c r="BL533" s="120"/>
      <c r="BM533" s="120"/>
      <c r="BN533" s="120"/>
      <c r="BO533" s="120"/>
      <c r="BP533" s="120"/>
      <c r="BQ533" s="120"/>
      <c r="BR533" s="120"/>
      <c r="BS533" s="120"/>
      <c r="BT533" s="120"/>
      <c r="BU533" s="120"/>
      <c r="BV533" s="120"/>
      <c r="BW533" s="120"/>
      <c r="BX533" s="120"/>
      <c r="BY533" s="120"/>
      <c r="BZ533" s="120"/>
      <c r="CA533" s="120"/>
      <c r="CB533" s="120"/>
      <c r="CC533" s="120"/>
      <c r="CD533" s="120"/>
      <c r="CE533" s="120"/>
      <c r="CF533" s="120"/>
      <c r="CG533" s="120"/>
      <c r="CH533" s="120"/>
      <c r="CI533" s="120"/>
      <c r="CJ533" s="120"/>
      <c r="CK533" s="120"/>
      <c r="CL533" s="120"/>
      <c r="CM533" s="120"/>
      <c r="CN533" s="120"/>
      <c r="CO533" s="120"/>
    </row>
    <row r="534" spans="1:93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1"/>
      <c r="U534" s="120"/>
      <c r="V534" s="120"/>
      <c r="W534" s="121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0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120"/>
      <c r="BL534" s="120"/>
      <c r="BM534" s="120"/>
      <c r="BN534" s="120"/>
      <c r="BO534" s="120"/>
      <c r="BP534" s="120"/>
      <c r="BQ534" s="120"/>
      <c r="BR534" s="120"/>
      <c r="BS534" s="120"/>
      <c r="BT534" s="120"/>
      <c r="BU534" s="120"/>
      <c r="BV534" s="120"/>
      <c r="BW534" s="120"/>
      <c r="BX534" s="120"/>
      <c r="BY534" s="120"/>
      <c r="BZ534" s="120"/>
      <c r="CA534" s="120"/>
      <c r="CB534" s="120"/>
      <c r="CC534" s="120"/>
      <c r="CD534" s="120"/>
      <c r="CE534" s="120"/>
      <c r="CF534" s="120"/>
      <c r="CG534" s="120"/>
      <c r="CH534" s="120"/>
      <c r="CI534" s="120"/>
      <c r="CJ534" s="120"/>
      <c r="CK534" s="120"/>
      <c r="CL534" s="120"/>
      <c r="CM534" s="120"/>
      <c r="CN534" s="120"/>
      <c r="CO534" s="120"/>
    </row>
    <row r="535" spans="1:93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1"/>
      <c r="U535" s="120"/>
      <c r="V535" s="120"/>
      <c r="W535" s="121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0"/>
      <c r="AM535" s="120"/>
      <c r="AN535" s="120"/>
      <c r="AO535" s="120"/>
      <c r="AP535" s="120"/>
      <c r="AQ535" s="120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20"/>
      <c r="BC535" s="120"/>
      <c r="BD535" s="120"/>
      <c r="BE535" s="120"/>
      <c r="BF535" s="120"/>
      <c r="BG535" s="120"/>
      <c r="BH535" s="120"/>
      <c r="BI535" s="120"/>
      <c r="BJ535" s="120"/>
      <c r="BK535" s="120"/>
      <c r="BL535" s="120"/>
      <c r="BM535" s="120"/>
      <c r="BN535" s="120"/>
      <c r="BO535" s="120"/>
      <c r="BP535" s="120"/>
      <c r="BQ535" s="120"/>
      <c r="BR535" s="120"/>
      <c r="BS535" s="120"/>
      <c r="BT535" s="120"/>
      <c r="BU535" s="120"/>
      <c r="BV535" s="120"/>
      <c r="BW535" s="120"/>
      <c r="BX535" s="120"/>
      <c r="BY535" s="120"/>
      <c r="BZ535" s="120"/>
      <c r="CA535" s="120"/>
      <c r="CB535" s="120"/>
      <c r="CC535" s="120"/>
      <c r="CD535" s="120"/>
      <c r="CE535" s="120"/>
      <c r="CF535" s="120"/>
      <c r="CG535" s="120"/>
      <c r="CH535" s="120"/>
      <c r="CI535" s="120"/>
      <c r="CJ535" s="120"/>
      <c r="CK535" s="120"/>
      <c r="CL535" s="120"/>
      <c r="CM535" s="120"/>
      <c r="CN535" s="120"/>
      <c r="CO535" s="120"/>
    </row>
    <row r="536" spans="1:93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1"/>
      <c r="U536" s="120"/>
      <c r="V536" s="120"/>
      <c r="W536" s="121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20"/>
      <c r="BK536" s="120"/>
      <c r="BL536" s="120"/>
      <c r="BM536" s="120"/>
      <c r="BN536" s="120"/>
      <c r="BO536" s="120"/>
      <c r="BP536" s="120"/>
      <c r="BQ536" s="120"/>
      <c r="BR536" s="120"/>
      <c r="BS536" s="120"/>
      <c r="BT536" s="120"/>
      <c r="BU536" s="120"/>
      <c r="BV536" s="120"/>
      <c r="BW536" s="120"/>
      <c r="BX536" s="120"/>
      <c r="BY536" s="120"/>
      <c r="BZ536" s="120"/>
      <c r="CA536" s="120"/>
      <c r="CB536" s="120"/>
      <c r="CC536" s="120"/>
      <c r="CD536" s="120"/>
      <c r="CE536" s="120"/>
      <c r="CF536" s="120"/>
      <c r="CG536" s="120"/>
      <c r="CH536" s="120"/>
      <c r="CI536" s="120"/>
      <c r="CJ536" s="120"/>
      <c r="CK536" s="120"/>
      <c r="CL536" s="120"/>
      <c r="CM536" s="120"/>
      <c r="CN536" s="120"/>
      <c r="CO536" s="120"/>
    </row>
    <row r="537" spans="1:93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1"/>
      <c r="U537" s="120"/>
      <c r="V537" s="120"/>
      <c r="W537" s="121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  <c r="AJ537" s="120"/>
      <c r="AK537" s="120"/>
      <c r="AL537" s="120"/>
      <c r="AM537" s="120"/>
      <c r="AN537" s="120"/>
      <c r="AO537" s="120"/>
      <c r="AP537" s="120"/>
      <c r="AQ537" s="120"/>
      <c r="AR537" s="120"/>
      <c r="AS537" s="120"/>
      <c r="AT537" s="120"/>
      <c r="AU537" s="120"/>
      <c r="AV537" s="120"/>
      <c r="AW537" s="120"/>
      <c r="AX537" s="120"/>
      <c r="AY537" s="120"/>
      <c r="AZ537" s="120"/>
      <c r="BA537" s="120"/>
      <c r="BB537" s="120"/>
      <c r="BC537" s="120"/>
      <c r="BD537" s="120"/>
      <c r="BE537" s="120"/>
      <c r="BF537" s="120"/>
      <c r="BG537" s="120"/>
      <c r="BH537" s="120"/>
      <c r="BI537" s="120"/>
      <c r="BJ537" s="120"/>
      <c r="BK537" s="120"/>
      <c r="BL537" s="120"/>
      <c r="BM537" s="120"/>
      <c r="BN537" s="120"/>
      <c r="BO537" s="120"/>
      <c r="BP537" s="120"/>
      <c r="BQ537" s="120"/>
      <c r="BR537" s="120"/>
      <c r="BS537" s="120"/>
      <c r="BT537" s="120"/>
      <c r="BU537" s="120"/>
      <c r="BV537" s="120"/>
      <c r="BW537" s="120"/>
      <c r="BX537" s="120"/>
      <c r="BY537" s="120"/>
      <c r="BZ537" s="120"/>
      <c r="CA537" s="120"/>
      <c r="CB537" s="120"/>
      <c r="CC537" s="120"/>
      <c r="CD537" s="120"/>
      <c r="CE537" s="120"/>
      <c r="CF537" s="120"/>
      <c r="CG537" s="120"/>
      <c r="CH537" s="120"/>
      <c r="CI537" s="120"/>
      <c r="CJ537" s="120"/>
      <c r="CK537" s="120"/>
      <c r="CL537" s="120"/>
      <c r="CM537" s="120"/>
      <c r="CN537" s="120"/>
      <c r="CO537" s="120"/>
    </row>
    <row r="538" spans="1:93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1"/>
      <c r="U538" s="120"/>
      <c r="V538" s="120"/>
      <c r="W538" s="121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0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20"/>
      <c r="BK538" s="120"/>
      <c r="BL538" s="120"/>
      <c r="BM538" s="120"/>
      <c r="BN538" s="120"/>
      <c r="BO538" s="120"/>
      <c r="BP538" s="120"/>
      <c r="BQ538" s="120"/>
      <c r="BR538" s="120"/>
      <c r="BS538" s="120"/>
      <c r="BT538" s="120"/>
      <c r="BU538" s="120"/>
      <c r="BV538" s="120"/>
      <c r="BW538" s="120"/>
      <c r="BX538" s="120"/>
      <c r="BY538" s="120"/>
      <c r="BZ538" s="120"/>
      <c r="CA538" s="120"/>
      <c r="CB538" s="120"/>
      <c r="CC538" s="120"/>
      <c r="CD538" s="120"/>
      <c r="CE538" s="120"/>
      <c r="CF538" s="120"/>
      <c r="CG538" s="120"/>
      <c r="CH538" s="120"/>
      <c r="CI538" s="120"/>
      <c r="CJ538" s="120"/>
      <c r="CK538" s="120"/>
      <c r="CL538" s="120"/>
      <c r="CM538" s="120"/>
      <c r="CN538" s="120"/>
      <c r="CO538" s="120"/>
    </row>
    <row r="539" spans="1:93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1"/>
      <c r="U539" s="120"/>
      <c r="V539" s="120"/>
      <c r="W539" s="121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20"/>
      <c r="BB539" s="120"/>
      <c r="BC539" s="120"/>
      <c r="BD539" s="120"/>
      <c r="BE539" s="120"/>
      <c r="BF539" s="120"/>
      <c r="BG539" s="120"/>
      <c r="BH539" s="120"/>
      <c r="BI539" s="120"/>
      <c r="BJ539" s="120"/>
      <c r="BK539" s="120"/>
      <c r="BL539" s="120"/>
      <c r="BM539" s="120"/>
      <c r="BN539" s="120"/>
      <c r="BO539" s="120"/>
      <c r="BP539" s="120"/>
      <c r="BQ539" s="120"/>
      <c r="BR539" s="120"/>
      <c r="BS539" s="120"/>
      <c r="BT539" s="120"/>
      <c r="BU539" s="120"/>
      <c r="BV539" s="120"/>
      <c r="BW539" s="120"/>
      <c r="BX539" s="120"/>
      <c r="BY539" s="120"/>
      <c r="BZ539" s="120"/>
      <c r="CA539" s="120"/>
      <c r="CB539" s="120"/>
      <c r="CC539" s="120"/>
      <c r="CD539" s="120"/>
      <c r="CE539" s="120"/>
      <c r="CF539" s="120"/>
      <c r="CG539" s="120"/>
      <c r="CH539" s="120"/>
      <c r="CI539" s="120"/>
      <c r="CJ539" s="120"/>
      <c r="CK539" s="120"/>
      <c r="CL539" s="120"/>
      <c r="CM539" s="120"/>
      <c r="CN539" s="120"/>
      <c r="CO539" s="120"/>
    </row>
    <row r="540" spans="1:93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1"/>
      <c r="U540" s="120"/>
      <c r="V540" s="120"/>
      <c r="W540" s="121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/>
      <c r="AK540" s="120"/>
      <c r="AL540" s="120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20"/>
      <c r="AW540" s="120"/>
      <c r="AX540" s="120"/>
      <c r="AY540" s="120"/>
      <c r="AZ540" s="120"/>
      <c r="BA540" s="120"/>
      <c r="BB540" s="120"/>
      <c r="BC540" s="120"/>
      <c r="BD540" s="120"/>
      <c r="BE540" s="120"/>
      <c r="BF540" s="120"/>
      <c r="BG540" s="120"/>
      <c r="BH540" s="120"/>
      <c r="BI540" s="120"/>
      <c r="BJ540" s="120"/>
      <c r="BK540" s="120"/>
      <c r="BL540" s="120"/>
      <c r="BM540" s="120"/>
      <c r="BN540" s="120"/>
      <c r="BO540" s="120"/>
      <c r="BP540" s="120"/>
      <c r="BQ540" s="120"/>
      <c r="BR540" s="120"/>
      <c r="BS540" s="120"/>
      <c r="BT540" s="120"/>
      <c r="BU540" s="120"/>
      <c r="BV540" s="120"/>
      <c r="BW540" s="120"/>
      <c r="BX540" s="120"/>
      <c r="BY540" s="120"/>
      <c r="BZ540" s="120"/>
      <c r="CA540" s="120"/>
      <c r="CB540" s="120"/>
      <c r="CC540" s="120"/>
      <c r="CD540" s="120"/>
      <c r="CE540" s="120"/>
      <c r="CF540" s="120"/>
      <c r="CG540" s="120"/>
      <c r="CH540" s="120"/>
      <c r="CI540" s="120"/>
      <c r="CJ540" s="120"/>
      <c r="CK540" s="120"/>
      <c r="CL540" s="120"/>
      <c r="CM540" s="120"/>
      <c r="CN540" s="120"/>
      <c r="CO540" s="120"/>
    </row>
    <row r="541" spans="1:93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1"/>
      <c r="U541" s="120"/>
      <c r="V541" s="120"/>
      <c r="W541" s="121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  <c r="AJ541" s="120"/>
      <c r="AK541" s="120"/>
      <c r="AL541" s="120"/>
      <c r="AM541" s="120"/>
      <c r="AN541" s="120"/>
      <c r="AO541" s="120"/>
      <c r="AP541" s="120"/>
      <c r="AQ541" s="120"/>
      <c r="AR541" s="120"/>
      <c r="AS541" s="120"/>
      <c r="AT541" s="120"/>
      <c r="AU541" s="120"/>
      <c r="AV541" s="120"/>
      <c r="AW541" s="120"/>
      <c r="AX541" s="120"/>
      <c r="AY541" s="120"/>
      <c r="AZ541" s="120"/>
      <c r="BA541" s="120"/>
      <c r="BB541" s="120"/>
      <c r="BC541" s="120"/>
      <c r="BD541" s="120"/>
      <c r="BE541" s="120"/>
      <c r="BF541" s="120"/>
      <c r="BG541" s="120"/>
      <c r="BH541" s="120"/>
      <c r="BI541" s="120"/>
      <c r="BJ541" s="120"/>
      <c r="BK541" s="120"/>
      <c r="BL541" s="120"/>
      <c r="BM541" s="120"/>
      <c r="BN541" s="120"/>
      <c r="BO541" s="120"/>
      <c r="BP541" s="120"/>
      <c r="BQ541" s="120"/>
      <c r="BR541" s="120"/>
      <c r="BS541" s="120"/>
      <c r="BT541" s="120"/>
      <c r="BU541" s="120"/>
      <c r="BV541" s="120"/>
      <c r="BW541" s="120"/>
      <c r="BX541" s="120"/>
      <c r="BY541" s="120"/>
      <c r="BZ541" s="120"/>
      <c r="CA541" s="120"/>
      <c r="CB541" s="120"/>
      <c r="CC541" s="120"/>
      <c r="CD541" s="120"/>
      <c r="CE541" s="120"/>
      <c r="CF541" s="120"/>
      <c r="CG541" s="120"/>
      <c r="CH541" s="120"/>
      <c r="CI541" s="120"/>
      <c r="CJ541" s="120"/>
      <c r="CK541" s="120"/>
      <c r="CL541" s="120"/>
      <c r="CM541" s="120"/>
      <c r="CN541" s="120"/>
      <c r="CO541" s="120"/>
    </row>
    <row r="542" spans="1:93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1"/>
      <c r="U542" s="120"/>
      <c r="V542" s="120"/>
      <c r="W542" s="121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0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20"/>
      <c r="AW542" s="120"/>
      <c r="AX542" s="120"/>
      <c r="AY542" s="120"/>
      <c r="AZ542" s="120"/>
      <c r="BA542" s="120"/>
      <c r="BB542" s="120"/>
      <c r="BC542" s="120"/>
      <c r="BD542" s="120"/>
      <c r="BE542" s="120"/>
      <c r="BF542" s="120"/>
      <c r="BG542" s="120"/>
      <c r="BH542" s="120"/>
      <c r="BI542" s="120"/>
      <c r="BJ542" s="120"/>
      <c r="BK542" s="120"/>
      <c r="BL542" s="120"/>
      <c r="BM542" s="120"/>
      <c r="BN542" s="120"/>
      <c r="BO542" s="120"/>
      <c r="BP542" s="120"/>
      <c r="BQ542" s="120"/>
      <c r="BR542" s="120"/>
      <c r="BS542" s="120"/>
      <c r="BT542" s="120"/>
      <c r="BU542" s="120"/>
      <c r="BV542" s="120"/>
      <c r="BW542" s="120"/>
      <c r="BX542" s="120"/>
      <c r="BY542" s="120"/>
      <c r="BZ542" s="120"/>
      <c r="CA542" s="120"/>
      <c r="CB542" s="120"/>
      <c r="CC542" s="120"/>
      <c r="CD542" s="120"/>
      <c r="CE542" s="120"/>
      <c r="CF542" s="120"/>
      <c r="CG542" s="120"/>
      <c r="CH542" s="120"/>
      <c r="CI542" s="120"/>
      <c r="CJ542" s="120"/>
      <c r="CK542" s="120"/>
      <c r="CL542" s="120"/>
      <c r="CM542" s="120"/>
      <c r="CN542" s="120"/>
      <c r="CO542" s="120"/>
    </row>
    <row r="543" spans="1:93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1"/>
      <c r="U543" s="120"/>
      <c r="V543" s="120"/>
      <c r="W543" s="121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  <c r="AJ543" s="120"/>
      <c r="AK543" s="120"/>
      <c r="AL543" s="120"/>
      <c r="AM543" s="120"/>
      <c r="AN543" s="120"/>
      <c r="AO543" s="120"/>
      <c r="AP543" s="120"/>
      <c r="AQ543" s="120"/>
      <c r="AR543" s="120"/>
      <c r="AS543" s="120"/>
      <c r="AT543" s="120"/>
      <c r="AU543" s="120"/>
      <c r="AV543" s="120"/>
      <c r="AW543" s="120"/>
      <c r="AX543" s="120"/>
      <c r="AY543" s="120"/>
      <c r="AZ543" s="120"/>
      <c r="BA543" s="120"/>
      <c r="BB543" s="120"/>
      <c r="BC543" s="120"/>
      <c r="BD543" s="120"/>
      <c r="BE543" s="120"/>
      <c r="BF543" s="120"/>
      <c r="BG543" s="120"/>
      <c r="BH543" s="120"/>
      <c r="BI543" s="120"/>
      <c r="BJ543" s="120"/>
      <c r="BK543" s="120"/>
      <c r="BL543" s="120"/>
      <c r="BM543" s="120"/>
      <c r="BN543" s="120"/>
      <c r="BO543" s="120"/>
      <c r="BP543" s="120"/>
      <c r="BQ543" s="120"/>
      <c r="BR543" s="120"/>
      <c r="BS543" s="120"/>
      <c r="BT543" s="120"/>
      <c r="BU543" s="120"/>
      <c r="BV543" s="120"/>
      <c r="BW543" s="120"/>
      <c r="BX543" s="120"/>
      <c r="BY543" s="120"/>
      <c r="BZ543" s="120"/>
      <c r="CA543" s="120"/>
      <c r="CB543" s="120"/>
      <c r="CC543" s="120"/>
      <c r="CD543" s="120"/>
      <c r="CE543" s="120"/>
      <c r="CF543" s="120"/>
      <c r="CG543" s="120"/>
      <c r="CH543" s="120"/>
      <c r="CI543" s="120"/>
      <c r="CJ543" s="120"/>
      <c r="CK543" s="120"/>
      <c r="CL543" s="120"/>
      <c r="CM543" s="120"/>
      <c r="CN543" s="120"/>
      <c r="CO543" s="120"/>
    </row>
    <row r="544" spans="1:93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1"/>
      <c r="U544" s="120"/>
      <c r="V544" s="120"/>
      <c r="W544" s="121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20"/>
      <c r="AW544" s="120"/>
      <c r="AX544" s="120"/>
      <c r="AY544" s="120"/>
      <c r="AZ544" s="120"/>
      <c r="BA544" s="120"/>
      <c r="BB544" s="120"/>
      <c r="BC544" s="120"/>
      <c r="BD544" s="120"/>
      <c r="BE544" s="120"/>
      <c r="BF544" s="120"/>
      <c r="BG544" s="120"/>
      <c r="BH544" s="120"/>
      <c r="BI544" s="120"/>
      <c r="BJ544" s="120"/>
      <c r="BK544" s="120"/>
      <c r="BL544" s="120"/>
      <c r="BM544" s="120"/>
      <c r="BN544" s="120"/>
      <c r="BO544" s="120"/>
      <c r="BP544" s="120"/>
      <c r="BQ544" s="120"/>
      <c r="BR544" s="120"/>
      <c r="BS544" s="120"/>
      <c r="BT544" s="120"/>
      <c r="BU544" s="120"/>
      <c r="BV544" s="120"/>
      <c r="BW544" s="120"/>
      <c r="BX544" s="120"/>
      <c r="BY544" s="120"/>
      <c r="BZ544" s="120"/>
      <c r="CA544" s="120"/>
      <c r="CB544" s="120"/>
      <c r="CC544" s="120"/>
      <c r="CD544" s="120"/>
      <c r="CE544" s="120"/>
      <c r="CF544" s="120"/>
      <c r="CG544" s="120"/>
      <c r="CH544" s="120"/>
      <c r="CI544" s="120"/>
      <c r="CJ544" s="120"/>
      <c r="CK544" s="120"/>
      <c r="CL544" s="120"/>
      <c r="CM544" s="120"/>
      <c r="CN544" s="120"/>
      <c r="CO544" s="120"/>
    </row>
    <row r="545" spans="1:93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1"/>
      <c r="U545" s="120"/>
      <c r="V545" s="120"/>
      <c r="W545" s="121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0"/>
      <c r="AM545" s="120"/>
      <c r="AN545" s="120"/>
      <c r="AO545" s="120"/>
      <c r="AP545" s="120"/>
      <c r="AQ545" s="120"/>
      <c r="AR545" s="120"/>
      <c r="AS545" s="120"/>
      <c r="AT545" s="120"/>
      <c r="AU545" s="120"/>
      <c r="AV545" s="120"/>
      <c r="AW545" s="120"/>
      <c r="AX545" s="120"/>
      <c r="AY545" s="120"/>
      <c r="AZ545" s="120"/>
      <c r="BA545" s="120"/>
      <c r="BB545" s="120"/>
      <c r="BC545" s="120"/>
      <c r="BD545" s="120"/>
      <c r="BE545" s="120"/>
      <c r="BF545" s="120"/>
      <c r="BG545" s="120"/>
      <c r="BH545" s="120"/>
      <c r="BI545" s="120"/>
      <c r="BJ545" s="120"/>
      <c r="BK545" s="120"/>
      <c r="BL545" s="120"/>
      <c r="BM545" s="120"/>
      <c r="BN545" s="120"/>
      <c r="BO545" s="120"/>
      <c r="BP545" s="120"/>
      <c r="BQ545" s="120"/>
      <c r="BR545" s="120"/>
      <c r="BS545" s="120"/>
      <c r="BT545" s="120"/>
      <c r="BU545" s="120"/>
      <c r="BV545" s="120"/>
      <c r="BW545" s="120"/>
      <c r="BX545" s="120"/>
      <c r="BY545" s="120"/>
      <c r="BZ545" s="120"/>
      <c r="CA545" s="120"/>
      <c r="CB545" s="120"/>
      <c r="CC545" s="120"/>
      <c r="CD545" s="120"/>
      <c r="CE545" s="120"/>
      <c r="CF545" s="120"/>
      <c r="CG545" s="120"/>
      <c r="CH545" s="120"/>
      <c r="CI545" s="120"/>
      <c r="CJ545" s="120"/>
      <c r="CK545" s="120"/>
      <c r="CL545" s="120"/>
      <c r="CM545" s="120"/>
      <c r="CN545" s="120"/>
      <c r="CO545" s="120"/>
    </row>
    <row r="546" spans="1:93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1"/>
      <c r="U546" s="120"/>
      <c r="V546" s="120"/>
      <c r="W546" s="121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0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20"/>
      <c r="BK546" s="120"/>
      <c r="BL546" s="120"/>
      <c r="BM546" s="120"/>
      <c r="BN546" s="120"/>
      <c r="BO546" s="120"/>
      <c r="BP546" s="120"/>
      <c r="BQ546" s="120"/>
      <c r="BR546" s="120"/>
      <c r="BS546" s="120"/>
      <c r="BT546" s="120"/>
      <c r="BU546" s="120"/>
      <c r="BV546" s="120"/>
      <c r="BW546" s="120"/>
      <c r="BX546" s="120"/>
      <c r="BY546" s="120"/>
      <c r="BZ546" s="120"/>
      <c r="CA546" s="120"/>
      <c r="CB546" s="120"/>
      <c r="CC546" s="120"/>
      <c r="CD546" s="120"/>
      <c r="CE546" s="120"/>
      <c r="CF546" s="120"/>
      <c r="CG546" s="120"/>
      <c r="CH546" s="120"/>
      <c r="CI546" s="120"/>
      <c r="CJ546" s="120"/>
      <c r="CK546" s="120"/>
      <c r="CL546" s="120"/>
      <c r="CM546" s="120"/>
      <c r="CN546" s="120"/>
      <c r="CO546" s="120"/>
    </row>
    <row r="547" spans="1:93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1"/>
      <c r="U547" s="120"/>
      <c r="V547" s="120"/>
      <c r="W547" s="121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120"/>
      <c r="AL547" s="120"/>
      <c r="AM547" s="120"/>
      <c r="AN547" s="120"/>
      <c r="AO547" s="120"/>
      <c r="AP547" s="120"/>
      <c r="AQ547" s="120"/>
      <c r="AR547" s="120"/>
      <c r="AS547" s="120"/>
      <c r="AT547" s="120"/>
      <c r="AU547" s="120"/>
      <c r="AV547" s="120"/>
      <c r="AW547" s="120"/>
      <c r="AX547" s="120"/>
      <c r="AY547" s="120"/>
      <c r="AZ547" s="120"/>
      <c r="BA547" s="120"/>
      <c r="BB547" s="120"/>
      <c r="BC547" s="120"/>
      <c r="BD547" s="120"/>
      <c r="BE547" s="120"/>
      <c r="BF547" s="120"/>
      <c r="BG547" s="120"/>
      <c r="BH547" s="120"/>
      <c r="BI547" s="120"/>
      <c r="BJ547" s="120"/>
      <c r="BK547" s="120"/>
      <c r="BL547" s="120"/>
      <c r="BM547" s="120"/>
      <c r="BN547" s="120"/>
      <c r="BO547" s="120"/>
      <c r="BP547" s="120"/>
      <c r="BQ547" s="120"/>
      <c r="BR547" s="120"/>
      <c r="BS547" s="120"/>
      <c r="BT547" s="120"/>
      <c r="BU547" s="120"/>
      <c r="BV547" s="120"/>
      <c r="BW547" s="120"/>
      <c r="BX547" s="120"/>
      <c r="BY547" s="120"/>
      <c r="BZ547" s="120"/>
      <c r="CA547" s="120"/>
      <c r="CB547" s="120"/>
      <c r="CC547" s="120"/>
      <c r="CD547" s="120"/>
      <c r="CE547" s="120"/>
      <c r="CF547" s="120"/>
      <c r="CG547" s="120"/>
      <c r="CH547" s="120"/>
      <c r="CI547" s="120"/>
      <c r="CJ547" s="120"/>
      <c r="CK547" s="120"/>
      <c r="CL547" s="120"/>
      <c r="CM547" s="120"/>
      <c r="CN547" s="120"/>
      <c r="CO547" s="120"/>
    </row>
    <row r="548" spans="1:93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1"/>
      <c r="U548" s="120"/>
      <c r="V548" s="120"/>
      <c r="W548" s="121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0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20"/>
      <c r="AW548" s="120"/>
      <c r="AX548" s="120"/>
      <c r="AY548" s="120"/>
      <c r="AZ548" s="120"/>
      <c r="BA548" s="120"/>
      <c r="BB548" s="120"/>
      <c r="BC548" s="120"/>
      <c r="BD548" s="120"/>
      <c r="BE548" s="120"/>
      <c r="BF548" s="120"/>
      <c r="BG548" s="120"/>
      <c r="BH548" s="120"/>
      <c r="BI548" s="120"/>
      <c r="BJ548" s="120"/>
      <c r="BK548" s="120"/>
      <c r="BL548" s="120"/>
      <c r="BM548" s="120"/>
      <c r="BN548" s="120"/>
      <c r="BO548" s="120"/>
      <c r="BP548" s="120"/>
      <c r="BQ548" s="120"/>
      <c r="BR548" s="120"/>
      <c r="BS548" s="120"/>
      <c r="BT548" s="120"/>
      <c r="BU548" s="120"/>
      <c r="BV548" s="120"/>
      <c r="BW548" s="120"/>
      <c r="BX548" s="120"/>
      <c r="BY548" s="120"/>
      <c r="BZ548" s="120"/>
      <c r="CA548" s="120"/>
      <c r="CB548" s="120"/>
      <c r="CC548" s="120"/>
      <c r="CD548" s="120"/>
      <c r="CE548" s="120"/>
      <c r="CF548" s="120"/>
      <c r="CG548" s="120"/>
      <c r="CH548" s="120"/>
      <c r="CI548" s="120"/>
      <c r="CJ548" s="120"/>
      <c r="CK548" s="120"/>
      <c r="CL548" s="120"/>
      <c r="CM548" s="120"/>
      <c r="CN548" s="120"/>
      <c r="CO548" s="120"/>
    </row>
    <row r="549" spans="1:93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1"/>
      <c r="U549" s="120"/>
      <c r="V549" s="120"/>
      <c r="W549" s="121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0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20"/>
      <c r="AW549" s="120"/>
      <c r="AX549" s="120"/>
      <c r="AY549" s="120"/>
      <c r="AZ549" s="120"/>
      <c r="BA549" s="120"/>
      <c r="BB549" s="120"/>
      <c r="BC549" s="120"/>
      <c r="BD549" s="120"/>
      <c r="BE549" s="120"/>
      <c r="BF549" s="120"/>
      <c r="BG549" s="120"/>
      <c r="BH549" s="120"/>
      <c r="BI549" s="120"/>
      <c r="BJ549" s="120"/>
      <c r="BK549" s="120"/>
      <c r="BL549" s="120"/>
      <c r="BM549" s="120"/>
      <c r="BN549" s="120"/>
      <c r="BO549" s="120"/>
      <c r="BP549" s="120"/>
      <c r="BQ549" s="120"/>
      <c r="BR549" s="120"/>
      <c r="BS549" s="120"/>
      <c r="BT549" s="120"/>
      <c r="BU549" s="120"/>
      <c r="BV549" s="120"/>
      <c r="BW549" s="120"/>
      <c r="BX549" s="120"/>
      <c r="BY549" s="120"/>
      <c r="BZ549" s="120"/>
      <c r="CA549" s="120"/>
      <c r="CB549" s="120"/>
      <c r="CC549" s="120"/>
      <c r="CD549" s="120"/>
      <c r="CE549" s="120"/>
      <c r="CF549" s="120"/>
      <c r="CG549" s="120"/>
      <c r="CH549" s="120"/>
      <c r="CI549" s="120"/>
      <c r="CJ549" s="120"/>
      <c r="CK549" s="120"/>
      <c r="CL549" s="120"/>
      <c r="CM549" s="120"/>
      <c r="CN549" s="120"/>
      <c r="CO549" s="120"/>
    </row>
    <row r="550" spans="1:93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1"/>
      <c r="U550" s="120"/>
      <c r="V550" s="120"/>
      <c r="W550" s="121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0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20"/>
      <c r="AW550" s="120"/>
      <c r="AX550" s="120"/>
      <c r="AY550" s="120"/>
      <c r="AZ550" s="120"/>
      <c r="BA550" s="120"/>
      <c r="BB550" s="120"/>
      <c r="BC550" s="120"/>
      <c r="BD550" s="120"/>
      <c r="BE550" s="120"/>
      <c r="BF550" s="120"/>
      <c r="BG550" s="120"/>
      <c r="BH550" s="120"/>
      <c r="BI550" s="120"/>
      <c r="BJ550" s="120"/>
      <c r="BK550" s="120"/>
      <c r="BL550" s="120"/>
      <c r="BM550" s="120"/>
      <c r="BN550" s="120"/>
      <c r="BO550" s="120"/>
      <c r="BP550" s="120"/>
      <c r="BQ550" s="120"/>
      <c r="BR550" s="120"/>
      <c r="BS550" s="120"/>
      <c r="BT550" s="120"/>
      <c r="BU550" s="120"/>
      <c r="BV550" s="120"/>
      <c r="BW550" s="120"/>
      <c r="BX550" s="120"/>
      <c r="BY550" s="120"/>
      <c r="BZ550" s="120"/>
      <c r="CA550" s="120"/>
      <c r="CB550" s="120"/>
      <c r="CC550" s="120"/>
      <c r="CD550" s="120"/>
      <c r="CE550" s="120"/>
      <c r="CF550" s="120"/>
      <c r="CG550" s="120"/>
      <c r="CH550" s="120"/>
      <c r="CI550" s="120"/>
      <c r="CJ550" s="120"/>
      <c r="CK550" s="120"/>
      <c r="CL550" s="120"/>
      <c r="CM550" s="120"/>
      <c r="CN550" s="120"/>
      <c r="CO550" s="120"/>
    </row>
    <row r="551" spans="1:93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1"/>
      <c r="U551" s="120"/>
      <c r="V551" s="120"/>
      <c r="W551" s="121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0"/>
      <c r="BJ551" s="120"/>
      <c r="BK551" s="120"/>
      <c r="BL551" s="120"/>
      <c r="BM551" s="120"/>
      <c r="BN551" s="120"/>
      <c r="BO551" s="120"/>
      <c r="BP551" s="120"/>
      <c r="BQ551" s="120"/>
      <c r="BR551" s="120"/>
      <c r="BS551" s="120"/>
      <c r="BT551" s="120"/>
      <c r="BU551" s="120"/>
      <c r="BV551" s="120"/>
      <c r="BW551" s="120"/>
      <c r="BX551" s="120"/>
      <c r="BY551" s="120"/>
      <c r="BZ551" s="120"/>
      <c r="CA551" s="120"/>
      <c r="CB551" s="120"/>
      <c r="CC551" s="120"/>
      <c r="CD551" s="120"/>
      <c r="CE551" s="120"/>
      <c r="CF551" s="120"/>
      <c r="CG551" s="120"/>
      <c r="CH551" s="120"/>
      <c r="CI551" s="120"/>
      <c r="CJ551" s="120"/>
      <c r="CK551" s="120"/>
      <c r="CL551" s="120"/>
      <c r="CM551" s="120"/>
      <c r="CN551" s="120"/>
      <c r="CO551" s="120"/>
    </row>
    <row r="552" spans="1:93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1"/>
      <c r="U552" s="120"/>
      <c r="V552" s="120"/>
      <c r="W552" s="121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120"/>
      <c r="BL552" s="120"/>
      <c r="BM552" s="120"/>
      <c r="BN552" s="120"/>
      <c r="BO552" s="120"/>
      <c r="BP552" s="120"/>
      <c r="BQ552" s="120"/>
      <c r="BR552" s="120"/>
      <c r="BS552" s="120"/>
      <c r="BT552" s="120"/>
      <c r="BU552" s="120"/>
      <c r="BV552" s="120"/>
      <c r="BW552" s="120"/>
      <c r="BX552" s="120"/>
      <c r="BY552" s="120"/>
      <c r="BZ552" s="120"/>
      <c r="CA552" s="120"/>
      <c r="CB552" s="120"/>
      <c r="CC552" s="120"/>
      <c r="CD552" s="120"/>
      <c r="CE552" s="120"/>
      <c r="CF552" s="120"/>
      <c r="CG552" s="120"/>
      <c r="CH552" s="120"/>
      <c r="CI552" s="120"/>
      <c r="CJ552" s="120"/>
      <c r="CK552" s="120"/>
      <c r="CL552" s="120"/>
      <c r="CM552" s="120"/>
      <c r="CN552" s="120"/>
      <c r="CO552" s="120"/>
    </row>
    <row r="553" spans="1:93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1"/>
      <c r="U553" s="120"/>
      <c r="V553" s="120"/>
      <c r="W553" s="121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0"/>
      <c r="AY553" s="120"/>
      <c r="AZ553" s="120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20"/>
      <c r="BK553" s="120"/>
      <c r="BL553" s="120"/>
      <c r="BM553" s="120"/>
      <c r="BN553" s="120"/>
      <c r="BO553" s="120"/>
      <c r="BP553" s="120"/>
      <c r="BQ553" s="120"/>
      <c r="BR553" s="120"/>
      <c r="BS553" s="120"/>
      <c r="BT553" s="120"/>
      <c r="BU553" s="120"/>
      <c r="BV553" s="120"/>
      <c r="BW553" s="120"/>
      <c r="BX553" s="120"/>
      <c r="BY553" s="120"/>
      <c r="BZ553" s="120"/>
      <c r="CA553" s="120"/>
      <c r="CB553" s="120"/>
      <c r="CC553" s="120"/>
      <c r="CD553" s="120"/>
      <c r="CE553" s="120"/>
      <c r="CF553" s="120"/>
      <c r="CG553" s="120"/>
      <c r="CH553" s="120"/>
      <c r="CI553" s="120"/>
      <c r="CJ553" s="120"/>
      <c r="CK553" s="120"/>
      <c r="CL553" s="120"/>
      <c r="CM553" s="120"/>
      <c r="CN553" s="120"/>
      <c r="CO553" s="120"/>
    </row>
    <row r="554" spans="1:93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1"/>
      <c r="U554" s="120"/>
      <c r="V554" s="120"/>
      <c r="W554" s="121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0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20"/>
      <c r="AW554" s="120"/>
      <c r="AX554" s="120"/>
      <c r="AY554" s="120"/>
      <c r="AZ554" s="120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20"/>
      <c r="BK554" s="120"/>
      <c r="BL554" s="120"/>
      <c r="BM554" s="120"/>
      <c r="BN554" s="120"/>
      <c r="BO554" s="120"/>
      <c r="BP554" s="120"/>
      <c r="BQ554" s="120"/>
      <c r="BR554" s="120"/>
      <c r="BS554" s="120"/>
      <c r="BT554" s="120"/>
      <c r="BU554" s="120"/>
      <c r="BV554" s="120"/>
      <c r="BW554" s="120"/>
      <c r="BX554" s="120"/>
      <c r="BY554" s="120"/>
      <c r="BZ554" s="120"/>
      <c r="CA554" s="120"/>
      <c r="CB554" s="120"/>
      <c r="CC554" s="120"/>
      <c r="CD554" s="120"/>
      <c r="CE554" s="120"/>
      <c r="CF554" s="120"/>
      <c r="CG554" s="120"/>
      <c r="CH554" s="120"/>
      <c r="CI554" s="120"/>
      <c r="CJ554" s="120"/>
      <c r="CK554" s="120"/>
      <c r="CL554" s="120"/>
      <c r="CM554" s="120"/>
      <c r="CN554" s="120"/>
      <c r="CO554" s="120"/>
    </row>
    <row r="555" spans="1:93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1"/>
      <c r="U555" s="120"/>
      <c r="V555" s="120"/>
      <c r="W555" s="121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20"/>
      <c r="BB555" s="120"/>
      <c r="BC555" s="120"/>
      <c r="BD555" s="120"/>
      <c r="BE555" s="120"/>
      <c r="BF555" s="120"/>
      <c r="BG555" s="120"/>
      <c r="BH555" s="120"/>
      <c r="BI555" s="120"/>
      <c r="BJ555" s="120"/>
      <c r="BK555" s="120"/>
      <c r="BL555" s="120"/>
      <c r="BM555" s="120"/>
      <c r="BN555" s="120"/>
      <c r="BO555" s="120"/>
      <c r="BP555" s="120"/>
      <c r="BQ555" s="120"/>
      <c r="BR555" s="120"/>
      <c r="BS555" s="120"/>
      <c r="BT555" s="120"/>
      <c r="BU555" s="120"/>
      <c r="BV555" s="120"/>
      <c r="BW555" s="120"/>
      <c r="BX555" s="120"/>
      <c r="BY555" s="120"/>
      <c r="BZ555" s="120"/>
      <c r="CA555" s="120"/>
      <c r="CB555" s="120"/>
      <c r="CC555" s="120"/>
      <c r="CD555" s="120"/>
      <c r="CE555" s="120"/>
      <c r="CF555" s="120"/>
      <c r="CG555" s="120"/>
      <c r="CH555" s="120"/>
      <c r="CI555" s="120"/>
      <c r="CJ555" s="120"/>
      <c r="CK555" s="120"/>
      <c r="CL555" s="120"/>
      <c r="CM555" s="120"/>
      <c r="CN555" s="120"/>
      <c r="CO555" s="120"/>
    </row>
    <row r="556" spans="1:93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1"/>
      <c r="U556" s="120"/>
      <c r="V556" s="120"/>
      <c r="W556" s="121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0"/>
      <c r="AM556" s="120"/>
      <c r="AN556" s="120"/>
      <c r="AO556" s="120"/>
      <c r="AP556" s="120"/>
      <c r="AQ556" s="120"/>
      <c r="AR556" s="120"/>
      <c r="AS556" s="120"/>
      <c r="AT556" s="120"/>
      <c r="AU556" s="120"/>
      <c r="AV556" s="120"/>
      <c r="AW556" s="120"/>
      <c r="AX556" s="120"/>
      <c r="AY556" s="120"/>
      <c r="AZ556" s="120"/>
      <c r="BA556" s="120"/>
      <c r="BB556" s="120"/>
      <c r="BC556" s="120"/>
      <c r="BD556" s="120"/>
      <c r="BE556" s="120"/>
      <c r="BF556" s="120"/>
      <c r="BG556" s="120"/>
      <c r="BH556" s="120"/>
      <c r="BI556" s="120"/>
      <c r="BJ556" s="120"/>
      <c r="BK556" s="120"/>
      <c r="BL556" s="120"/>
      <c r="BM556" s="120"/>
      <c r="BN556" s="120"/>
      <c r="BO556" s="120"/>
      <c r="BP556" s="120"/>
      <c r="BQ556" s="120"/>
      <c r="BR556" s="120"/>
      <c r="BS556" s="120"/>
      <c r="BT556" s="120"/>
      <c r="BU556" s="120"/>
      <c r="BV556" s="120"/>
      <c r="BW556" s="120"/>
      <c r="BX556" s="120"/>
      <c r="BY556" s="120"/>
      <c r="BZ556" s="120"/>
      <c r="CA556" s="120"/>
      <c r="CB556" s="120"/>
      <c r="CC556" s="120"/>
      <c r="CD556" s="120"/>
      <c r="CE556" s="120"/>
      <c r="CF556" s="120"/>
      <c r="CG556" s="120"/>
      <c r="CH556" s="120"/>
      <c r="CI556" s="120"/>
      <c r="CJ556" s="120"/>
      <c r="CK556" s="120"/>
      <c r="CL556" s="120"/>
      <c r="CM556" s="120"/>
      <c r="CN556" s="120"/>
      <c r="CO556" s="120"/>
    </row>
    <row r="557" spans="1:93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1"/>
      <c r="U557" s="120"/>
      <c r="V557" s="120"/>
      <c r="W557" s="121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  <c r="AJ557" s="120"/>
      <c r="AK557" s="120"/>
      <c r="AL557" s="120"/>
      <c r="AM557" s="120"/>
      <c r="AN557" s="120"/>
      <c r="AO557" s="120"/>
      <c r="AP557" s="120"/>
      <c r="AQ557" s="120"/>
      <c r="AR557" s="120"/>
      <c r="AS557" s="120"/>
      <c r="AT557" s="120"/>
      <c r="AU557" s="120"/>
      <c r="AV557" s="120"/>
      <c r="AW557" s="120"/>
      <c r="AX557" s="120"/>
      <c r="AY557" s="120"/>
      <c r="AZ557" s="120"/>
      <c r="BA557" s="120"/>
      <c r="BB557" s="120"/>
      <c r="BC557" s="120"/>
      <c r="BD557" s="120"/>
      <c r="BE557" s="120"/>
      <c r="BF557" s="120"/>
      <c r="BG557" s="120"/>
      <c r="BH557" s="120"/>
      <c r="BI557" s="120"/>
      <c r="BJ557" s="120"/>
      <c r="BK557" s="120"/>
      <c r="BL557" s="120"/>
      <c r="BM557" s="120"/>
      <c r="BN557" s="120"/>
      <c r="BO557" s="120"/>
      <c r="BP557" s="120"/>
      <c r="BQ557" s="120"/>
      <c r="BR557" s="120"/>
      <c r="BS557" s="120"/>
      <c r="BT557" s="120"/>
      <c r="BU557" s="120"/>
      <c r="BV557" s="120"/>
      <c r="BW557" s="120"/>
      <c r="BX557" s="120"/>
      <c r="BY557" s="120"/>
      <c r="BZ557" s="120"/>
      <c r="CA557" s="120"/>
      <c r="CB557" s="120"/>
      <c r="CC557" s="120"/>
      <c r="CD557" s="120"/>
      <c r="CE557" s="120"/>
      <c r="CF557" s="120"/>
      <c r="CG557" s="120"/>
      <c r="CH557" s="120"/>
      <c r="CI557" s="120"/>
      <c r="CJ557" s="120"/>
      <c r="CK557" s="120"/>
      <c r="CL557" s="120"/>
      <c r="CM557" s="120"/>
      <c r="CN557" s="120"/>
      <c r="CO557" s="120"/>
    </row>
    <row r="558" spans="1:93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1"/>
      <c r="U558" s="120"/>
      <c r="V558" s="120"/>
      <c r="W558" s="121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0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20"/>
      <c r="AW558" s="120"/>
      <c r="AX558" s="120"/>
      <c r="AY558" s="120"/>
      <c r="AZ558" s="120"/>
      <c r="BA558" s="120"/>
      <c r="BB558" s="120"/>
      <c r="BC558" s="120"/>
      <c r="BD558" s="120"/>
      <c r="BE558" s="120"/>
      <c r="BF558" s="120"/>
      <c r="BG558" s="120"/>
      <c r="BH558" s="120"/>
      <c r="BI558" s="120"/>
      <c r="BJ558" s="120"/>
      <c r="BK558" s="120"/>
      <c r="BL558" s="120"/>
      <c r="BM558" s="120"/>
      <c r="BN558" s="120"/>
      <c r="BO558" s="120"/>
      <c r="BP558" s="120"/>
      <c r="BQ558" s="120"/>
      <c r="BR558" s="120"/>
      <c r="BS558" s="120"/>
      <c r="BT558" s="120"/>
      <c r="BU558" s="120"/>
      <c r="BV558" s="120"/>
      <c r="BW558" s="120"/>
      <c r="BX558" s="120"/>
      <c r="BY558" s="120"/>
      <c r="BZ558" s="120"/>
      <c r="CA558" s="120"/>
      <c r="CB558" s="120"/>
      <c r="CC558" s="120"/>
      <c r="CD558" s="120"/>
      <c r="CE558" s="120"/>
      <c r="CF558" s="120"/>
      <c r="CG558" s="120"/>
      <c r="CH558" s="120"/>
      <c r="CI558" s="120"/>
      <c r="CJ558" s="120"/>
      <c r="CK558" s="120"/>
      <c r="CL558" s="120"/>
      <c r="CM558" s="120"/>
      <c r="CN558" s="120"/>
      <c r="CO558" s="120"/>
    </row>
    <row r="559" spans="1:93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1"/>
      <c r="U559" s="120"/>
      <c r="V559" s="120"/>
      <c r="W559" s="121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  <c r="AJ559" s="120"/>
      <c r="AK559" s="120"/>
      <c r="AL559" s="120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0"/>
      <c r="AY559" s="120"/>
      <c r="AZ559" s="120"/>
      <c r="BA559" s="120"/>
      <c r="BB559" s="120"/>
      <c r="BC559" s="120"/>
      <c r="BD559" s="120"/>
      <c r="BE559" s="120"/>
      <c r="BF559" s="120"/>
      <c r="BG559" s="120"/>
      <c r="BH559" s="120"/>
      <c r="BI559" s="120"/>
      <c r="BJ559" s="120"/>
      <c r="BK559" s="120"/>
      <c r="BL559" s="120"/>
      <c r="BM559" s="120"/>
      <c r="BN559" s="120"/>
      <c r="BO559" s="120"/>
      <c r="BP559" s="120"/>
      <c r="BQ559" s="120"/>
      <c r="BR559" s="120"/>
      <c r="BS559" s="120"/>
      <c r="BT559" s="120"/>
      <c r="BU559" s="120"/>
      <c r="BV559" s="120"/>
      <c r="BW559" s="120"/>
      <c r="BX559" s="120"/>
      <c r="BY559" s="120"/>
      <c r="BZ559" s="120"/>
      <c r="CA559" s="120"/>
      <c r="CB559" s="120"/>
      <c r="CC559" s="120"/>
      <c r="CD559" s="120"/>
      <c r="CE559" s="120"/>
      <c r="CF559" s="120"/>
      <c r="CG559" s="120"/>
      <c r="CH559" s="120"/>
      <c r="CI559" s="120"/>
      <c r="CJ559" s="120"/>
      <c r="CK559" s="120"/>
      <c r="CL559" s="120"/>
      <c r="CM559" s="120"/>
      <c r="CN559" s="120"/>
      <c r="CO559" s="120"/>
    </row>
    <row r="560" spans="1:93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1"/>
      <c r="U560" s="120"/>
      <c r="V560" s="120"/>
      <c r="W560" s="121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  <c r="AJ560" s="120"/>
      <c r="AK560" s="120"/>
      <c r="AL560" s="120"/>
      <c r="AM560" s="120"/>
      <c r="AN560" s="120"/>
      <c r="AO560" s="120"/>
      <c r="AP560" s="120"/>
      <c r="AQ560" s="120"/>
      <c r="AR560" s="120"/>
      <c r="AS560" s="120"/>
      <c r="AT560" s="120"/>
      <c r="AU560" s="120"/>
      <c r="AV560" s="120"/>
      <c r="AW560" s="120"/>
      <c r="AX560" s="120"/>
      <c r="AY560" s="120"/>
      <c r="AZ560" s="120"/>
      <c r="BA560" s="120"/>
      <c r="BB560" s="120"/>
      <c r="BC560" s="120"/>
      <c r="BD560" s="120"/>
      <c r="BE560" s="120"/>
      <c r="BF560" s="120"/>
      <c r="BG560" s="120"/>
      <c r="BH560" s="120"/>
      <c r="BI560" s="120"/>
      <c r="BJ560" s="120"/>
      <c r="BK560" s="120"/>
      <c r="BL560" s="120"/>
      <c r="BM560" s="120"/>
      <c r="BN560" s="120"/>
      <c r="BO560" s="120"/>
      <c r="BP560" s="120"/>
      <c r="BQ560" s="120"/>
      <c r="BR560" s="120"/>
      <c r="BS560" s="120"/>
      <c r="BT560" s="120"/>
      <c r="BU560" s="120"/>
      <c r="BV560" s="120"/>
      <c r="BW560" s="120"/>
      <c r="BX560" s="120"/>
      <c r="BY560" s="120"/>
      <c r="BZ560" s="120"/>
      <c r="CA560" s="120"/>
      <c r="CB560" s="120"/>
      <c r="CC560" s="120"/>
      <c r="CD560" s="120"/>
      <c r="CE560" s="120"/>
      <c r="CF560" s="120"/>
      <c r="CG560" s="120"/>
      <c r="CH560" s="120"/>
      <c r="CI560" s="120"/>
      <c r="CJ560" s="120"/>
      <c r="CK560" s="120"/>
      <c r="CL560" s="120"/>
      <c r="CM560" s="120"/>
      <c r="CN560" s="120"/>
      <c r="CO560" s="120"/>
    </row>
    <row r="561" spans="1:93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1"/>
      <c r="U561" s="120"/>
      <c r="V561" s="120"/>
      <c r="W561" s="121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  <c r="AJ561" s="120"/>
      <c r="AK561" s="120"/>
      <c r="AL561" s="120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0"/>
      <c r="AY561" s="120"/>
      <c r="AZ561" s="120"/>
      <c r="BA561" s="120"/>
      <c r="BB561" s="120"/>
      <c r="BC561" s="120"/>
      <c r="BD561" s="120"/>
      <c r="BE561" s="120"/>
      <c r="BF561" s="120"/>
      <c r="BG561" s="120"/>
      <c r="BH561" s="120"/>
      <c r="BI561" s="120"/>
      <c r="BJ561" s="120"/>
      <c r="BK561" s="120"/>
      <c r="BL561" s="120"/>
      <c r="BM561" s="120"/>
      <c r="BN561" s="120"/>
      <c r="BO561" s="120"/>
      <c r="BP561" s="120"/>
      <c r="BQ561" s="120"/>
      <c r="BR561" s="120"/>
      <c r="BS561" s="120"/>
      <c r="BT561" s="120"/>
      <c r="BU561" s="120"/>
      <c r="BV561" s="120"/>
      <c r="BW561" s="120"/>
      <c r="BX561" s="120"/>
      <c r="BY561" s="120"/>
      <c r="BZ561" s="120"/>
      <c r="CA561" s="120"/>
      <c r="CB561" s="120"/>
      <c r="CC561" s="120"/>
      <c r="CD561" s="120"/>
      <c r="CE561" s="120"/>
      <c r="CF561" s="120"/>
      <c r="CG561" s="120"/>
      <c r="CH561" s="120"/>
      <c r="CI561" s="120"/>
      <c r="CJ561" s="120"/>
      <c r="CK561" s="120"/>
      <c r="CL561" s="120"/>
      <c r="CM561" s="120"/>
      <c r="CN561" s="120"/>
      <c r="CO561" s="120"/>
    </row>
    <row r="562" spans="1:93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1"/>
      <c r="U562" s="120"/>
      <c r="V562" s="120"/>
      <c r="W562" s="121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0"/>
      <c r="AM562" s="120"/>
      <c r="AN562" s="120"/>
      <c r="AO562" s="120"/>
      <c r="AP562" s="120"/>
      <c r="AQ562" s="120"/>
      <c r="AR562" s="120"/>
      <c r="AS562" s="120"/>
      <c r="AT562" s="120"/>
      <c r="AU562" s="120"/>
      <c r="AV562" s="120"/>
      <c r="AW562" s="120"/>
      <c r="AX562" s="120"/>
      <c r="AY562" s="120"/>
      <c r="AZ562" s="120"/>
      <c r="BA562" s="120"/>
      <c r="BB562" s="120"/>
      <c r="BC562" s="120"/>
      <c r="BD562" s="120"/>
      <c r="BE562" s="120"/>
      <c r="BF562" s="120"/>
      <c r="BG562" s="120"/>
      <c r="BH562" s="120"/>
      <c r="BI562" s="120"/>
      <c r="BJ562" s="120"/>
      <c r="BK562" s="120"/>
      <c r="BL562" s="120"/>
      <c r="BM562" s="120"/>
      <c r="BN562" s="120"/>
      <c r="BO562" s="120"/>
      <c r="BP562" s="120"/>
      <c r="BQ562" s="120"/>
      <c r="BR562" s="120"/>
      <c r="BS562" s="120"/>
      <c r="BT562" s="120"/>
      <c r="BU562" s="120"/>
      <c r="BV562" s="120"/>
      <c r="BW562" s="120"/>
      <c r="BX562" s="120"/>
      <c r="BY562" s="120"/>
      <c r="BZ562" s="120"/>
      <c r="CA562" s="120"/>
      <c r="CB562" s="120"/>
      <c r="CC562" s="120"/>
      <c r="CD562" s="120"/>
      <c r="CE562" s="120"/>
      <c r="CF562" s="120"/>
      <c r="CG562" s="120"/>
      <c r="CH562" s="120"/>
      <c r="CI562" s="120"/>
      <c r="CJ562" s="120"/>
      <c r="CK562" s="120"/>
      <c r="CL562" s="120"/>
      <c r="CM562" s="120"/>
      <c r="CN562" s="120"/>
      <c r="CO562" s="120"/>
    </row>
    <row r="563" spans="1:93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1"/>
      <c r="U563" s="120"/>
      <c r="V563" s="120"/>
      <c r="W563" s="121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20"/>
      <c r="BB563" s="120"/>
      <c r="BC563" s="120"/>
      <c r="BD563" s="120"/>
      <c r="BE563" s="120"/>
      <c r="BF563" s="120"/>
      <c r="BG563" s="120"/>
      <c r="BH563" s="120"/>
      <c r="BI563" s="120"/>
      <c r="BJ563" s="120"/>
      <c r="BK563" s="120"/>
      <c r="BL563" s="120"/>
      <c r="BM563" s="120"/>
      <c r="BN563" s="120"/>
      <c r="BO563" s="120"/>
      <c r="BP563" s="120"/>
      <c r="BQ563" s="120"/>
      <c r="BR563" s="120"/>
      <c r="BS563" s="120"/>
      <c r="BT563" s="120"/>
      <c r="BU563" s="120"/>
      <c r="BV563" s="120"/>
      <c r="BW563" s="120"/>
      <c r="BX563" s="120"/>
      <c r="BY563" s="120"/>
      <c r="BZ563" s="120"/>
      <c r="CA563" s="120"/>
      <c r="CB563" s="120"/>
      <c r="CC563" s="120"/>
      <c r="CD563" s="120"/>
      <c r="CE563" s="120"/>
      <c r="CF563" s="120"/>
      <c r="CG563" s="120"/>
      <c r="CH563" s="120"/>
      <c r="CI563" s="120"/>
      <c r="CJ563" s="120"/>
      <c r="CK563" s="120"/>
      <c r="CL563" s="120"/>
      <c r="CM563" s="120"/>
      <c r="CN563" s="120"/>
      <c r="CO563" s="120"/>
    </row>
    <row r="564" spans="1:93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1"/>
      <c r="U564" s="120"/>
      <c r="V564" s="120"/>
      <c r="W564" s="121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20"/>
      <c r="BB564" s="120"/>
      <c r="BC564" s="120"/>
      <c r="BD564" s="120"/>
      <c r="BE564" s="120"/>
      <c r="BF564" s="120"/>
      <c r="BG564" s="120"/>
      <c r="BH564" s="120"/>
      <c r="BI564" s="120"/>
      <c r="BJ564" s="120"/>
      <c r="BK564" s="120"/>
      <c r="BL564" s="120"/>
      <c r="BM564" s="120"/>
      <c r="BN564" s="120"/>
      <c r="BO564" s="120"/>
      <c r="BP564" s="120"/>
      <c r="BQ564" s="120"/>
      <c r="BR564" s="120"/>
      <c r="BS564" s="120"/>
      <c r="BT564" s="120"/>
      <c r="BU564" s="120"/>
      <c r="BV564" s="120"/>
      <c r="BW564" s="120"/>
      <c r="BX564" s="120"/>
      <c r="BY564" s="120"/>
      <c r="BZ564" s="120"/>
      <c r="CA564" s="120"/>
      <c r="CB564" s="120"/>
      <c r="CC564" s="120"/>
      <c r="CD564" s="120"/>
      <c r="CE564" s="120"/>
      <c r="CF564" s="120"/>
      <c r="CG564" s="120"/>
      <c r="CH564" s="120"/>
      <c r="CI564" s="120"/>
      <c r="CJ564" s="120"/>
      <c r="CK564" s="120"/>
      <c r="CL564" s="120"/>
      <c r="CM564" s="120"/>
      <c r="CN564" s="120"/>
      <c r="CO564" s="120"/>
    </row>
    <row r="565" spans="1:93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1"/>
      <c r="U565" s="120"/>
      <c r="V565" s="120"/>
      <c r="W565" s="121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/>
      <c r="BC565" s="120"/>
      <c r="BD565" s="120"/>
      <c r="BE565" s="120"/>
      <c r="BF565" s="120"/>
      <c r="BG565" s="120"/>
      <c r="BH565" s="120"/>
      <c r="BI565" s="120"/>
      <c r="BJ565" s="120"/>
      <c r="BK565" s="120"/>
      <c r="BL565" s="120"/>
      <c r="BM565" s="120"/>
      <c r="BN565" s="120"/>
      <c r="BO565" s="120"/>
      <c r="BP565" s="120"/>
      <c r="BQ565" s="120"/>
      <c r="BR565" s="120"/>
      <c r="BS565" s="120"/>
      <c r="BT565" s="120"/>
      <c r="BU565" s="120"/>
      <c r="BV565" s="120"/>
      <c r="BW565" s="120"/>
      <c r="BX565" s="120"/>
      <c r="BY565" s="120"/>
      <c r="BZ565" s="120"/>
      <c r="CA565" s="120"/>
      <c r="CB565" s="120"/>
      <c r="CC565" s="120"/>
      <c r="CD565" s="120"/>
      <c r="CE565" s="120"/>
      <c r="CF565" s="120"/>
      <c r="CG565" s="120"/>
      <c r="CH565" s="120"/>
      <c r="CI565" s="120"/>
      <c r="CJ565" s="120"/>
      <c r="CK565" s="120"/>
      <c r="CL565" s="120"/>
      <c r="CM565" s="120"/>
      <c r="CN565" s="120"/>
      <c r="CO565" s="120"/>
    </row>
    <row r="566" spans="1:93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1"/>
      <c r="U566" s="120"/>
      <c r="V566" s="120"/>
      <c r="W566" s="121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120"/>
      <c r="AL566" s="120"/>
      <c r="AM566" s="120"/>
      <c r="AN566" s="120"/>
      <c r="AO566" s="120"/>
      <c r="AP566" s="120"/>
      <c r="AQ566" s="120"/>
      <c r="AR566" s="120"/>
      <c r="AS566" s="120"/>
      <c r="AT566" s="120"/>
      <c r="AU566" s="120"/>
      <c r="AV566" s="120"/>
      <c r="AW566" s="120"/>
      <c r="AX566" s="120"/>
      <c r="AY566" s="120"/>
      <c r="AZ566" s="120"/>
      <c r="BA566" s="120"/>
      <c r="BB566" s="120"/>
      <c r="BC566" s="120"/>
      <c r="BD566" s="120"/>
      <c r="BE566" s="120"/>
      <c r="BF566" s="120"/>
      <c r="BG566" s="120"/>
      <c r="BH566" s="120"/>
      <c r="BI566" s="120"/>
      <c r="BJ566" s="120"/>
      <c r="BK566" s="120"/>
      <c r="BL566" s="120"/>
      <c r="BM566" s="120"/>
      <c r="BN566" s="120"/>
      <c r="BO566" s="120"/>
      <c r="BP566" s="120"/>
      <c r="BQ566" s="120"/>
      <c r="BR566" s="120"/>
      <c r="BS566" s="120"/>
      <c r="BT566" s="120"/>
      <c r="BU566" s="120"/>
      <c r="BV566" s="120"/>
      <c r="BW566" s="120"/>
      <c r="BX566" s="120"/>
      <c r="BY566" s="120"/>
      <c r="BZ566" s="120"/>
      <c r="CA566" s="120"/>
      <c r="CB566" s="120"/>
      <c r="CC566" s="120"/>
      <c r="CD566" s="120"/>
      <c r="CE566" s="120"/>
      <c r="CF566" s="120"/>
      <c r="CG566" s="120"/>
      <c r="CH566" s="120"/>
      <c r="CI566" s="120"/>
      <c r="CJ566" s="120"/>
      <c r="CK566" s="120"/>
      <c r="CL566" s="120"/>
      <c r="CM566" s="120"/>
      <c r="CN566" s="120"/>
      <c r="CO566" s="120"/>
    </row>
    <row r="567" spans="1:93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1"/>
      <c r="U567" s="120"/>
      <c r="V567" s="120"/>
      <c r="W567" s="121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20"/>
      <c r="BK567" s="120"/>
      <c r="BL567" s="120"/>
      <c r="BM567" s="120"/>
      <c r="BN567" s="120"/>
      <c r="BO567" s="120"/>
      <c r="BP567" s="120"/>
      <c r="BQ567" s="120"/>
      <c r="BR567" s="120"/>
      <c r="BS567" s="120"/>
      <c r="BT567" s="120"/>
      <c r="BU567" s="120"/>
      <c r="BV567" s="120"/>
      <c r="BW567" s="120"/>
      <c r="BX567" s="120"/>
      <c r="BY567" s="120"/>
      <c r="BZ567" s="120"/>
      <c r="CA567" s="120"/>
      <c r="CB567" s="120"/>
      <c r="CC567" s="120"/>
      <c r="CD567" s="120"/>
      <c r="CE567" s="120"/>
      <c r="CF567" s="120"/>
      <c r="CG567" s="120"/>
      <c r="CH567" s="120"/>
      <c r="CI567" s="120"/>
      <c r="CJ567" s="120"/>
      <c r="CK567" s="120"/>
      <c r="CL567" s="120"/>
      <c r="CM567" s="120"/>
      <c r="CN567" s="120"/>
      <c r="CO567" s="120"/>
    </row>
    <row r="568" spans="1:93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1"/>
      <c r="U568" s="120"/>
      <c r="V568" s="120"/>
      <c r="W568" s="121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  <c r="AJ568" s="120"/>
      <c r="AK568" s="120"/>
      <c r="AL568" s="120"/>
      <c r="AM568" s="120"/>
      <c r="AN568" s="120"/>
      <c r="AO568" s="120"/>
      <c r="AP568" s="120"/>
      <c r="AQ568" s="120"/>
      <c r="AR568" s="120"/>
      <c r="AS568" s="120"/>
      <c r="AT568" s="120"/>
      <c r="AU568" s="120"/>
      <c r="AV568" s="120"/>
      <c r="AW568" s="120"/>
      <c r="AX568" s="120"/>
      <c r="AY568" s="120"/>
      <c r="AZ568" s="120"/>
      <c r="BA568" s="120"/>
      <c r="BB568" s="120"/>
      <c r="BC568" s="120"/>
      <c r="BD568" s="120"/>
      <c r="BE568" s="120"/>
      <c r="BF568" s="120"/>
      <c r="BG568" s="120"/>
      <c r="BH568" s="120"/>
      <c r="BI568" s="120"/>
      <c r="BJ568" s="120"/>
      <c r="BK568" s="120"/>
      <c r="BL568" s="120"/>
      <c r="BM568" s="120"/>
      <c r="BN568" s="120"/>
      <c r="BO568" s="120"/>
      <c r="BP568" s="120"/>
      <c r="BQ568" s="120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0"/>
      <c r="CB568" s="120"/>
      <c r="CC568" s="120"/>
      <c r="CD568" s="120"/>
      <c r="CE568" s="120"/>
      <c r="CF568" s="120"/>
      <c r="CG568" s="120"/>
      <c r="CH568" s="120"/>
      <c r="CI568" s="120"/>
      <c r="CJ568" s="120"/>
      <c r="CK568" s="120"/>
      <c r="CL568" s="120"/>
      <c r="CM568" s="120"/>
      <c r="CN568" s="120"/>
      <c r="CO568" s="120"/>
    </row>
    <row r="569" spans="1:93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1"/>
      <c r="U569" s="120"/>
      <c r="V569" s="120"/>
      <c r="W569" s="121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0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20"/>
      <c r="AW569" s="120"/>
      <c r="AX569" s="120"/>
      <c r="AY569" s="120"/>
      <c r="AZ569" s="120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20"/>
      <c r="BK569" s="120"/>
      <c r="BL569" s="120"/>
      <c r="BM569" s="120"/>
      <c r="BN569" s="120"/>
      <c r="BO569" s="120"/>
      <c r="BP569" s="120"/>
      <c r="BQ569" s="120"/>
      <c r="BR569" s="120"/>
      <c r="BS569" s="120"/>
      <c r="BT569" s="120"/>
      <c r="BU569" s="120"/>
      <c r="BV569" s="120"/>
      <c r="BW569" s="120"/>
      <c r="BX569" s="120"/>
      <c r="BY569" s="120"/>
      <c r="BZ569" s="120"/>
      <c r="CA569" s="120"/>
      <c r="CB569" s="120"/>
      <c r="CC569" s="120"/>
      <c r="CD569" s="120"/>
      <c r="CE569" s="120"/>
      <c r="CF569" s="120"/>
      <c r="CG569" s="120"/>
      <c r="CH569" s="120"/>
      <c r="CI569" s="120"/>
      <c r="CJ569" s="120"/>
      <c r="CK569" s="120"/>
      <c r="CL569" s="120"/>
      <c r="CM569" s="120"/>
      <c r="CN569" s="120"/>
      <c r="CO569" s="120"/>
    </row>
    <row r="570" spans="1:93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1"/>
      <c r="U570" s="120"/>
      <c r="V570" s="120"/>
      <c r="W570" s="121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0"/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/>
      <c r="AW570" s="120"/>
      <c r="AX570" s="120"/>
      <c r="AY570" s="120"/>
      <c r="AZ570" s="120"/>
      <c r="BA570" s="120"/>
      <c r="BB570" s="120"/>
      <c r="BC570" s="120"/>
      <c r="BD570" s="120"/>
      <c r="BE570" s="120"/>
      <c r="BF570" s="120"/>
      <c r="BG570" s="120"/>
      <c r="BH570" s="120"/>
      <c r="BI570" s="120"/>
      <c r="BJ570" s="120"/>
      <c r="BK570" s="120"/>
      <c r="BL570" s="120"/>
      <c r="BM570" s="120"/>
      <c r="BN570" s="120"/>
      <c r="BO570" s="120"/>
      <c r="BP570" s="120"/>
      <c r="BQ570" s="120"/>
      <c r="BR570" s="120"/>
      <c r="BS570" s="120"/>
      <c r="BT570" s="120"/>
      <c r="BU570" s="120"/>
      <c r="BV570" s="120"/>
      <c r="BW570" s="120"/>
      <c r="BX570" s="120"/>
      <c r="BY570" s="120"/>
      <c r="BZ570" s="120"/>
      <c r="CA570" s="120"/>
      <c r="CB570" s="120"/>
      <c r="CC570" s="120"/>
      <c r="CD570" s="120"/>
      <c r="CE570" s="120"/>
      <c r="CF570" s="120"/>
      <c r="CG570" s="120"/>
      <c r="CH570" s="120"/>
      <c r="CI570" s="120"/>
      <c r="CJ570" s="120"/>
      <c r="CK570" s="120"/>
      <c r="CL570" s="120"/>
      <c r="CM570" s="120"/>
      <c r="CN570" s="120"/>
      <c r="CO570" s="120"/>
    </row>
    <row r="571" spans="1:93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1"/>
      <c r="U571" s="120"/>
      <c r="V571" s="120"/>
      <c r="W571" s="121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0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/>
      <c r="AW571" s="120"/>
      <c r="AX571" s="120"/>
      <c r="AY571" s="120"/>
      <c r="AZ571" s="120"/>
      <c r="BA571" s="120"/>
      <c r="BB571" s="120"/>
      <c r="BC571" s="120"/>
      <c r="BD571" s="120"/>
      <c r="BE571" s="120"/>
      <c r="BF571" s="120"/>
      <c r="BG571" s="120"/>
      <c r="BH571" s="120"/>
      <c r="BI571" s="120"/>
      <c r="BJ571" s="120"/>
      <c r="BK571" s="120"/>
      <c r="BL571" s="120"/>
      <c r="BM571" s="120"/>
      <c r="BN571" s="120"/>
      <c r="BO571" s="120"/>
      <c r="BP571" s="120"/>
      <c r="BQ571" s="120"/>
      <c r="BR571" s="120"/>
      <c r="BS571" s="120"/>
      <c r="BT571" s="120"/>
      <c r="BU571" s="120"/>
      <c r="BV571" s="120"/>
      <c r="BW571" s="120"/>
      <c r="BX571" s="120"/>
      <c r="BY571" s="120"/>
      <c r="BZ571" s="120"/>
      <c r="CA571" s="120"/>
      <c r="CB571" s="120"/>
      <c r="CC571" s="120"/>
      <c r="CD571" s="120"/>
      <c r="CE571" s="120"/>
      <c r="CF571" s="120"/>
      <c r="CG571" s="120"/>
      <c r="CH571" s="120"/>
      <c r="CI571" s="120"/>
      <c r="CJ571" s="120"/>
      <c r="CK571" s="120"/>
      <c r="CL571" s="120"/>
      <c r="CM571" s="120"/>
      <c r="CN571" s="120"/>
      <c r="CO571" s="120"/>
    </row>
    <row r="572" spans="1:93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1"/>
      <c r="U572" s="120"/>
      <c r="V572" s="120"/>
      <c r="W572" s="121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0"/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20"/>
      <c r="AW572" s="120"/>
      <c r="AX572" s="120"/>
      <c r="AY572" s="120"/>
      <c r="AZ572" s="120"/>
      <c r="BA572" s="120"/>
      <c r="BB572" s="120"/>
      <c r="BC572" s="120"/>
      <c r="BD572" s="120"/>
      <c r="BE572" s="120"/>
      <c r="BF572" s="120"/>
      <c r="BG572" s="120"/>
      <c r="BH572" s="120"/>
      <c r="BI572" s="120"/>
      <c r="BJ572" s="120"/>
      <c r="BK572" s="120"/>
      <c r="BL572" s="120"/>
      <c r="BM572" s="120"/>
      <c r="BN572" s="120"/>
      <c r="BO572" s="120"/>
      <c r="BP572" s="120"/>
      <c r="BQ572" s="120"/>
      <c r="BR572" s="120"/>
      <c r="BS572" s="120"/>
      <c r="BT572" s="120"/>
      <c r="BU572" s="120"/>
      <c r="BV572" s="120"/>
      <c r="BW572" s="120"/>
      <c r="BX572" s="120"/>
      <c r="BY572" s="120"/>
      <c r="BZ572" s="120"/>
      <c r="CA572" s="120"/>
      <c r="CB572" s="120"/>
      <c r="CC572" s="120"/>
      <c r="CD572" s="120"/>
      <c r="CE572" s="120"/>
      <c r="CF572" s="120"/>
      <c r="CG572" s="120"/>
      <c r="CH572" s="120"/>
      <c r="CI572" s="120"/>
      <c r="CJ572" s="120"/>
      <c r="CK572" s="120"/>
      <c r="CL572" s="120"/>
      <c r="CM572" s="120"/>
      <c r="CN572" s="120"/>
      <c r="CO572" s="120"/>
    </row>
    <row r="573" spans="1:93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1"/>
      <c r="U573" s="120"/>
      <c r="V573" s="120"/>
      <c r="W573" s="121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0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0"/>
      <c r="AY573" s="120"/>
      <c r="AZ573" s="120"/>
      <c r="BA573" s="120"/>
      <c r="BB573" s="120"/>
      <c r="BC573" s="120"/>
      <c r="BD573" s="120"/>
      <c r="BE573" s="120"/>
      <c r="BF573" s="120"/>
      <c r="BG573" s="120"/>
      <c r="BH573" s="120"/>
      <c r="BI573" s="120"/>
      <c r="BJ573" s="120"/>
      <c r="BK573" s="120"/>
      <c r="BL573" s="120"/>
      <c r="BM573" s="120"/>
      <c r="BN573" s="120"/>
      <c r="BO573" s="120"/>
      <c r="BP573" s="120"/>
      <c r="BQ573" s="120"/>
      <c r="BR573" s="120"/>
      <c r="BS573" s="120"/>
      <c r="BT573" s="120"/>
      <c r="BU573" s="120"/>
      <c r="BV573" s="120"/>
      <c r="BW573" s="120"/>
      <c r="BX573" s="120"/>
      <c r="BY573" s="120"/>
      <c r="BZ573" s="120"/>
      <c r="CA573" s="120"/>
      <c r="CB573" s="120"/>
      <c r="CC573" s="120"/>
      <c r="CD573" s="120"/>
      <c r="CE573" s="120"/>
      <c r="CF573" s="120"/>
      <c r="CG573" s="120"/>
      <c r="CH573" s="120"/>
      <c r="CI573" s="120"/>
      <c r="CJ573" s="120"/>
      <c r="CK573" s="120"/>
      <c r="CL573" s="120"/>
      <c r="CM573" s="120"/>
      <c r="CN573" s="120"/>
      <c r="CO573" s="120"/>
    </row>
    <row r="574" spans="1:93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1"/>
      <c r="U574" s="120"/>
      <c r="V574" s="120"/>
      <c r="W574" s="121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0"/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20"/>
      <c r="AW574" s="120"/>
      <c r="AX574" s="120"/>
      <c r="AY574" s="120"/>
      <c r="AZ574" s="120"/>
      <c r="BA574" s="120"/>
      <c r="BB574" s="120"/>
      <c r="BC574" s="120"/>
      <c r="BD574" s="120"/>
      <c r="BE574" s="120"/>
      <c r="BF574" s="120"/>
      <c r="BG574" s="120"/>
      <c r="BH574" s="120"/>
      <c r="BI574" s="120"/>
      <c r="BJ574" s="120"/>
      <c r="BK574" s="120"/>
      <c r="BL574" s="120"/>
      <c r="BM574" s="120"/>
      <c r="BN574" s="120"/>
      <c r="BO574" s="120"/>
      <c r="BP574" s="120"/>
      <c r="BQ574" s="120"/>
      <c r="BR574" s="120"/>
      <c r="BS574" s="120"/>
      <c r="BT574" s="120"/>
      <c r="BU574" s="120"/>
      <c r="BV574" s="120"/>
      <c r="BW574" s="120"/>
      <c r="BX574" s="120"/>
      <c r="BY574" s="120"/>
      <c r="BZ574" s="120"/>
      <c r="CA574" s="120"/>
      <c r="CB574" s="120"/>
      <c r="CC574" s="120"/>
      <c r="CD574" s="120"/>
      <c r="CE574" s="120"/>
      <c r="CF574" s="120"/>
      <c r="CG574" s="120"/>
      <c r="CH574" s="120"/>
      <c r="CI574" s="120"/>
      <c r="CJ574" s="120"/>
      <c r="CK574" s="120"/>
      <c r="CL574" s="120"/>
      <c r="CM574" s="120"/>
      <c r="CN574" s="120"/>
      <c r="CO574" s="120"/>
    </row>
    <row r="575" spans="1:93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1"/>
      <c r="U575" s="120"/>
      <c r="V575" s="120"/>
      <c r="W575" s="121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0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0"/>
      <c r="AY575" s="120"/>
      <c r="AZ575" s="120"/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20"/>
      <c r="BK575" s="120"/>
      <c r="BL575" s="120"/>
      <c r="BM575" s="120"/>
      <c r="BN575" s="120"/>
      <c r="BO575" s="120"/>
      <c r="BP575" s="120"/>
      <c r="BQ575" s="120"/>
      <c r="BR575" s="120"/>
      <c r="BS575" s="120"/>
      <c r="BT575" s="120"/>
      <c r="BU575" s="120"/>
      <c r="BV575" s="120"/>
      <c r="BW575" s="120"/>
      <c r="BX575" s="120"/>
      <c r="BY575" s="120"/>
      <c r="BZ575" s="120"/>
      <c r="CA575" s="120"/>
      <c r="CB575" s="120"/>
      <c r="CC575" s="120"/>
      <c r="CD575" s="120"/>
      <c r="CE575" s="120"/>
      <c r="CF575" s="120"/>
      <c r="CG575" s="120"/>
      <c r="CH575" s="120"/>
      <c r="CI575" s="120"/>
      <c r="CJ575" s="120"/>
      <c r="CK575" s="120"/>
      <c r="CL575" s="120"/>
      <c r="CM575" s="120"/>
      <c r="CN575" s="120"/>
      <c r="CO575" s="120"/>
    </row>
    <row r="576" spans="1:93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1"/>
      <c r="U576" s="120"/>
      <c r="V576" s="120"/>
      <c r="W576" s="121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0"/>
      <c r="AM576" s="120"/>
      <c r="AN576" s="120"/>
      <c r="AO576" s="120"/>
      <c r="AP576" s="120"/>
      <c r="AQ576" s="120"/>
      <c r="AR576" s="120"/>
      <c r="AS576" s="120"/>
      <c r="AT576" s="120"/>
      <c r="AU576" s="120"/>
      <c r="AV576" s="120"/>
      <c r="AW576" s="120"/>
      <c r="AX576" s="120"/>
      <c r="AY576" s="120"/>
      <c r="AZ576" s="120"/>
      <c r="BA576" s="120"/>
      <c r="BB576" s="120"/>
      <c r="BC576" s="120"/>
      <c r="BD576" s="120"/>
      <c r="BE576" s="120"/>
      <c r="BF576" s="120"/>
      <c r="BG576" s="120"/>
      <c r="BH576" s="120"/>
      <c r="BI576" s="120"/>
      <c r="BJ576" s="120"/>
      <c r="BK576" s="120"/>
      <c r="BL576" s="120"/>
      <c r="BM576" s="120"/>
      <c r="BN576" s="120"/>
      <c r="BO576" s="120"/>
      <c r="BP576" s="120"/>
      <c r="BQ576" s="120"/>
      <c r="BR576" s="120"/>
      <c r="BS576" s="120"/>
      <c r="BT576" s="120"/>
      <c r="BU576" s="120"/>
      <c r="BV576" s="120"/>
      <c r="BW576" s="120"/>
      <c r="BX576" s="120"/>
      <c r="BY576" s="120"/>
      <c r="BZ576" s="120"/>
      <c r="CA576" s="120"/>
      <c r="CB576" s="120"/>
      <c r="CC576" s="120"/>
      <c r="CD576" s="120"/>
      <c r="CE576" s="120"/>
      <c r="CF576" s="120"/>
      <c r="CG576" s="120"/>
      <c r="CH576" s="120"/>
      <c r="CI576" s="120"/>
      <c r="CJ576" s="120"/>
      <c r="CK576" s="120"/>
      <c r="CL576" s="120"/>
      <c r="CM576" s="120"/>
      <c r="CN576" s="120"/>
      <c r="CO576" s="120"/>
    </row>
    <row r="577" spans="1:93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1"/>
      <c r="U577" s="120"/>
      <c r="V577" s="120"/>
      <c r="W577" s="121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0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20"/>
      <c r="AW577" s="120"/>
      <c r="AX577" s="120"/>
      <c r="AY577" s="120"/>
      <c r="AZ577" s="120"/>
      <c r="BA577" s="120"/>
      <c r="BB577" s="120"/>
      <c r="BC577" s="120"/>
      <c r="BD577" s="120"/>
      <c r="BE577" s="120"/>
      <c r="BF577" s="120"/>
      <c r="BG577" s="120"/>
      <c r="BH577" s="120"/>
      <c r="BI577" s="120"/>
      <c r="BJ577" s="120"/>
      <c r="BK577" s="120"/>
      <c r="BL577" s="120"/>
      <c r="BM577" s="120"/>
      <c r="BN577" s="120"/>
      <c r="BO577" s="120"/>
      <c r="BP577" s="120"/>
      <c r="BQ577" s="120"/>
      <c r="BR577" s="120"/>
      <c r="BS577" s="120"/>
      <c r="BT577" s="120"/>
      <c r="BU577" s="120"/>
      <c r="BV577" s="120"/>
      <c r="BW577" s="120"/>
      <c r="BX577" s="120"/>
      <c r="BY577" s="120"/>
      <c r="BZ577" s="120"/>
      <c r="CA577" s="120"/>
      <c r="CB577" s="120"/>
      <c r="CC577" s="120"/>
      <c r="CD577" s="120"/>
      <c r="CE577" s="120"/>
      <c r="CF577" s="120"/>
      <c r="CG577" s="120"/>
      <c r="CH577" s="120"/>
      <c r="CI577" s="120"/>
      <c r="CJ577" s="120"/>
      <c r="CK577" s="120"/>
      <c r="CL577" s="120"/>
      <c r="CM577" s="120"/>
      <c r="CN577" s="120"/>
      <c r="CO577" s="120"/>
    </row>
    <row r="578" spans="1:93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1"/>
      <c r="U578" s="120"/>
      <c r="V578" s="120"/>
      <c r="W578" s="121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0"/>
      <c r="AM578" s="120"/>
      <c r="AN578" s="120"/>
      <c r="AO578" s="120"/>
      <c r="AP578" s="120"/>
      <c r="AQ578" s="120"/>
      <c r="AR578" s="120"/>
      <c r="AS578" s="120"/>
      <c r="AT578" s="120"/>
      <c r="AU578" s="120"/>
      <c r="AV578" s="120"/>
      <c r="AW578" s="120"/>
      <c r="AX578" s="120"/>
      <c r="AY578" s="120"/>
      <c r="AZ578" s="120"/>
      <c r="BA578" s="120"/>
      <c r="BB578" s="120"/>
      <c r="BC578" s="120"/>
      <c r="BD578" s="120"/>
      <c r="BE578" s="120"/>
      <c r="BF578" s="120"/>
      <c r="BG578" s="120"/>
      <c r="BH578" s="120"/>
      <c r="BI578" s="120"/>
      <c r="BJ578" s="120"/>
      <c r="BK578" s="120"/>
      <c r="BL578" s="120"/>
      <c r="BM578" s="120"/>
      <c r="BN578" s="120"/>
      <c r="BO578" s="120"/>
      <c r="BP578" s="120"/>
      <c r="BQ578" s="120"/>
      <c r="BR578" s="120"/>
      <c r="BS578" s="120"/>
      <c r="BT578" s="120"/>
      <c r="BU578" s="120"/>
      <c r="BV578" s="120"/>
      <c r="BW578" s="120"/>
      <c r="BX578" s="120"/>
      <c r="BY578" s="120"/>
      <c r="BZ578" s="120"/>
      <c r="CA578" s="120"/>
      <c r="CB578" s="120"/>
      <c r="CC578" s="120"/>
      <c r="CD578" s="120"/>
      <c r="CE578" s="120"/>
      <c r="CF578" s="120"/>
      <c r="CG578" s="120"/>
      <c r="CH578" s="120"/>
      <c r="CI578" s="120"/>
      <c r="CJ578" s="120"/>
      <c r="CK578" s="120"/>
      <c r="CL578" s="120"/>
      <c r="CM578" s="120"/>
      <c r="CN578" s="120"/>
      <c r="CO578" s="120"/>
    </row>
    <row r="579" spans="1:93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1"/>
      <c r="U579" s="120"/>
      <c r="V579" s="120"/>
      <c r="W579" s="121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120"/>
      <c r="BL579" s="120"/>
      <c r="BM579" s="120"/>
      <c r="BN579" s="120"/>
      <c r="BO579" s="120"/>
      <c r="BP579" s="120"/>
      <c r="BQ579" s="120"/>
      <c r="BR579" s="120"/>
      <c r="BS579" s="120"/>
      <c r="BT579" s="120"/>
      <c r="BU579" s="120"/>
      <c r="BV579" s="120"/>
      <c r="BW579" s="120"/>
      <c r="BX579" s="120"/>
      <c r="BY579" s="120"/>
      <c r="BZ579" s="120"/>
      <c r="CA579" s="120"/>
      <c r="CB579" s="120"/>
      <c r="CC579" s="120"/>
      <c r="CD579" s="120"/>
      <c r="CE579" s="120"/>
      <c r="CF579" s="120"/>
      <c r="CG579" s="120"/>
      <c r="CH579" s="120"/>
      <c r="CI579" s="120"/>
      <c r="CJ579" s="120"/>
      <c r="CK579" s="120"/>
      <c r="CL579" s="120"/>
      <c r="CM579" s="120"/>
      <c r="CN579" s="120"/>
      <c r="CO579" s="120"/>
    </row>
    <row r="580" spans="1:93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1"/>
      <c r="U580" s="120"/>
      <c r="V580" s="120"/>
      <c r="W580" s="121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  <c r="AJ580" s="120"/>
      <c r="AK580" s="120"/>
      <c r="AL580" s="120"/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20"/>
      <c r="AW580" s="120"/>
      <c r="AX580" s="120"/>
      <c r="AY580" s="120"/>
      <c r="AZ580" s="120"/>
      <c r="BA580" s="120"/>
      <c r="BB580" s="120"/>
      <c r="BC580" s="120"/>
      <c r="BD580" s="120"/>
      <c r="BE580" s="120"/>
      <c r="BF580" s="120"/>
      <c r="BG580" s="120"/>
      <c r="BH580" s="120"/>
      <c r="BI580" s="120"/>
      <c r="BJ580" s="120"/>
      <c r="BK580" s="120"/>
      <c r="BL580" s="120"/>
      <c r="BM580" s="120"/>
      <c r="BN580" s="120"/>
      <c r="BO580" s="120"/>
      <c r="BP580" s="120"/>
      <c r="BQ580" s="120"/>
      <c r="BR580" s="120"/>
      <c r="BS580" s="120"/>
      <c r="BT580" s="120"/>
      <c r="BU580" s="120"/>
      <c r="BV580" s="120"/>
      <c r="BW580" s="120"/>
      <c r="BX580" s="120"/>
      <c r="BY580" s="120"/>
      <c r="BZ580" s="120"/>
      <c r="CA580" s="120"/>
      <c r="CB580" s="120"/>
      <c r="CC580" s="120"/>
      <c r="CD580" s="120"/>
      <c r="CE580" s="120"/>
      <c r="CF580" s="120"/>
      <c r="CG580" s="120"/>
      <c r="CH580" s="120"/>
      <c r="CI580" s="120"/>
      <c r="CJ580" s="120"/>
      <c r="CK580" s="120"/>
      <c r="CL580" s="120"/>
      <c r="CM580" s="120"/>
      <c r="CN580" s="120"/>
      <c r="CO580" s="120"/>
    </row>
    <row r="581" spans="1:93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1"/>
      <c r="U581" s="120"/>
      <c r="V581" s="120"/>
      <c r="W581" s="121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/>
      <c r="AW581" s="120"/>
      <c r="AX581" s="120"/>
      <c r="AY581" s="120"/>
      <c r="AZ581" s="120"/>
      <c r="BA581" s="120"/>
      <c r="BB581" s="120"/>
      <c r="BC581" s="120"/>
      <c r="BD581" s="120"/>
      <c r="BE581" s="120"/>
      <c r="BF581" s="120"/>
      <c r="BG581" s="120"/>
      <c r="BH581" s="120"/>
      <c r="BI581" s="120"/>
      <c r="BJ581" s="120"/>
      <c r="BK581" s="120"/>
      <c r="BL581" s="120"/>
      <c r="BM581" s="120"/>
      <c r="BN581" s="120"/>
      <c r="BO581" s="120"/>
      <c r="BP581" s="120"/>
      <c r="BQ581" s="120"/>
      <c r="BR581" s="120"/>
      <c r="BS581" s="120"/>
      <c r="BT581" s="120"/>
      <c r="BU581" s="120"/>
      <c r="BV581" s="120"/>
      <c r="BW581" s="120"/>
      <c r="BX581" s="120"/>
      <c r="BY581" s="120"/>
      <c r="BZ581" s="120"/>
      <c r="CA581" s="120"/>
      <c r="CB581" s="120"/>
      <c r="CC581" s="120"/>
      <c r="CD581" s="120"/>
      <c r="CE581" s="120"/>
      <c r="CF581" s="120"/>
      <c r="CG581" s="120"/>
      <c r="CH581" s="120"/>
      <c r="CI581" s="120"/>
      <c r="CJ581" s="120"/>
      <c r="CK581" s="120"/>
      <c r="CL581" s="120"/>
      <c r="CM581" s="120"/>
      <c r="CN581" s="120"/>
      <c r="CO581" s="120"/>
    </row>
    <row r="582" spans="1:93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1"/>
      <c r="U582" s="120"/>
      <c r="V582" s="120"/>
      <c r="W582" s="121"/>
      <c r="X582" s="120"/>
      <c r="Y582" s="120"/>
      <c r="Z582" s="120"/>
      <c r="AA582" s="120"/>
      <c r="AB582" s="120"/>
      <c r="AC582" s="120"/>
      <c r="AD582" s="120"/>
      <c r="AE582" s="120"/>
      <c r="AF582" s="120"/>
      <c r="AG582" s="120"/>
      <c r="AH582" s="120"/>
      <c r="AI582" s="120"/>
      <c r="AJ582" s="120"/>
      <c r="AK582" s="120"/>
      <c r="AL582" s="120"/>
      <c r="AM582" s="120"/>
      <c r="AN582" s="120"/>
      <c r="AO582" s="120"/>
      <c r="AP582" s="120"/>
      <c r="AQ582" s="120"/>
      <c r="AR582" s="120"/>
      <c r="AS582" s="120"/>
      <c r="AT582" s="120"/>
      <c r="AU582" s="120"/>
      <c r="AV582" s="120"/>
      <c r="AW582" s="120"/>
      <c r="AX582" s="120"/>
      <c r="AY582" s="120"/>
      <c r="AZ582" s="120"/>
      <c r="BA582" s="120"/>
      <c r="BB582" s="120"/>
      <c r="BC582" s="120"/>
      <c r="BD582" s="120"/>
      <c r="BE582" s="120"/>
      <c r="BF582" s="120"/>
      <c r="BG582" s="120"/>
      <c r="BH582" s="120"/>
      <c r="BI582" s="120"/>
      <c r="BJ582" s="120"/>
      <c r="BK582" s="120"/>
      <c r="BL582" s="120"/>
      <c r="BM582" s="120"/>
      <c r="BN582" s="120"/>
      <c r="BO582" s="120"/>
      <c r="BP582" s="120"/>
      <c r="BQ582" s="120"/>
      <c r="BR582" s="120"/>
      <c r="BS582" s="120"/>
      <c r="BT582" s="120"/>
      <c r="BU582" s="120"/>
      <c r="BV582" s="120"/>
      <c r="BW582" s="120"/>
      <c r="BX582" s="120"/>
      <c r="BY582" s="120"/>
      <c r="BZ582" s="120"/>
      <c r="CA582" s="120"/>
      <c r="CB582" s="120"/>
      <c r="CC582" s="120"/>
      <c r="CD582" s="120"/>
      <c r="CE582" s="120"/>
      <c r="CF582" s="120"/>
      <c r="CG582" s="120"/>
      <c r="CH582" s="120"/>
      <c r="CI582" s="120"/>
      <c r="CJ582" s="120"/>
      <c r="CK582" s="120"/>
      <c r="CL582" s="120"/>
      <c r="CM582" s="120"/>
      <c r="CN582" s="120"/>
      <c r="CO582" s="120"/>
    </row>
    <row r="583" spans="1:93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1"/>
      <c r="U583" s="120"/>
      <c r="V583" s="120"/>
      <c r="W583" s="121"/>
      <c r="X583" s="120"/>
      <c r="Y583" s="120"/>
      <c r="Z583" s="120"/>
      <c r="AA583" s="120"/>
      <c r="AB583" s="120"/>
      <c r="AC583" s="120"/>
      <c r="AD583" s="120"/>
      <c r="AE583" s="120"/>
      <c r="AF583" s="120"/>
      <c r="AG583" s="120"/>
      <c r="AH583" s="120"/>
      <c r="AI583" s="120"/>
      <c r="AJ583" s="120"/>
      <c r="AK583" s="120"/>
      <c r="AL583" s="120"/>
      <c r="AM583" s="120"/>
      <c r="AN583" s="120"/>
      <c r="AO583" s="120"/>
      <c r="AP583" s="120"/>
      <c r="AQ583" s="120"/>
      <c r="AR583" s="120"/>
      <c r="AS583" s="120"/>
      <c r="AT583" s="120"/>
      <c r="AU583" s="120"/>
      <c r="AV583" s="120"/>
      <c r="AW583" s="120"/>
      <c r="AX583" s="120"/>
      <c r="AY583" s="120"/>
      <c r="AZ583" s="120"/>
      <c r="BA583" s="120"/>
      <c r="BB583" s="120"/>
      <c r="BC583" s="120"/>
      <c r="BD583" s="120"/>
      <c r="BE583" s="120"/>
      <c r="BF583" s="120"/>
      <c r="BG583" s="120"/>
      <c r="BH583" s="120"/>
      <c r="BI583" s="120"/>
      <c r="BJ583" s="120"/>
      <c r="BK583" s="120"/>
      <c r="BL583" s="120"/>
      <c r="BM583" s="120"/>
      <c r="BN583" s="120"/>
      <c r="BO583" s="120"/>
      <c r="BP583" s="120"/>
      <c r="BQ583" s="120"/>
      <c r="BR583" s="120"/>
      <c r="BS583" s="120"/>
      <c r="BT583" s="120"/>
      <c r="BU583" s="120"/>
      <c r="BV583" s="120"/>
      <c r="BW583" s="120"/>
      <c r="BX583" s="120"/>
      <c r="BY583" s="120"/>
      <c r="BZ583" s="120"/>
      <c r="CA583" s="120"/>
      <c r="CB583" s="120"/>
      <c r="CC583" s="120"/>
      <c r="CD583" s="120"/>
      <c r="CE583" s="120"/>
      <c r="CF583" s="120"/>
      <c r="CG583" s="120"/>
      <c r="CH583" s="120"/>
      <c r="CI583" s="120"/>
      <c r="CJ583" s="120"/>
      <c r="CK583" s="120"/>
      <c r="CL583" s="120"/>
      <c r="CM583" s="120"/>
      <c r="CN583" s="120"/>
      <c r="CO583" s="120"/>
    </row>
    <row r="584" spans="1:93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1"/>
      <c r="U584" s="120"/>
      <c r="V584" s="120"/>
      <c r="W584" s="121"/>
      <c r="X584" s="120"/>
      <c r="Y584" s="120"/>
      <c r="Z584" s="120"/>
      <c r="AA584" s="120"/>
      <c r="AB584" s="120"/>
      <c r="AC584" s="120"/>
      <c r="AD584" s="120"/>
      <c r="AE584" s="120"/>
      <c r="AF584" s="120"/>
      <c r="AG584" s="120"/>
      <c r="AH584" s="120"/>
      <c r="AI584" s="120"/>
      <c r="AJ584" s="120"/>
      <c r="AK584" s="120"/>
      <c r="AL584" s="120"/>
      <c r="AM584" s="120"/>
      <c r="AN584" s="120"/>
      <c r="AO584" s="120"/>
      <c r="AP584" s="120"/>
      <c r="AQ584" s="120"/>
      <c r="AR584" s="120"/>
      <c r="AS584" s="120"/>
      <c r="AT584" s="120"/>
      <c r="AU584" s="120"/>
      <c r="AV584" s="120"/>
      <c r="AW584" s="120"/>
      <c r="AX584" s="120"/>
      <c r="AY584" s="120"/>
      <c r="AZ584" s="120"/>
      <c r="BA584" s="120"/>
      <c r="BB584" s="120"/>
      <c r="BC584" s="120"/>
      <c r="BD584" s="120"/>
      <c r="BE584" s="120"/>
      <c r="BF584" s="120"/>
      <c r="BG584" s="120"/>
      <c r="BH584" s="120"/>
      <c r="BI584" s="120"/>
      <c r="BJ584" s="120"/>
      <c r="BK584" s="120"/>
      <c r="BL584" s="120"/>
      <c r="BM584" s="120"/>
      <c r="BN584" s="120"/>
      <c r="BO584" s="120"/>
      <c r="BP584" s="120"/>
      <c r="BQ584" s="120"/>
      <c r="BR584" s="120"/>
      <c r="BS584" s="120"/>
      <c r="BT584" s="120"/>
      <c r="BU584" s="120"/>
      <c r="BV584" s="120"/>
      <c r="BW584" s="120"/>
      <c r="BX584" s="120"/>
      <c r="BY584" s="120"/>
      <c r="BZ584" s="120"/>
      <c r="CA584" s="120"/>
      <c r="CB584" s="120"/>
      <c r="CC584" s="120"/>
      <c r="CD584" s="120"/>
      <c r="CE584" s="120"/>
      <c r="CF584" s="120"/>
      <c r="CG584" s="120"/>
      <c r="CH584" s="120"/>
      <c r="CI584" s="120"/>
      <c r="CJ584" s="120"/>
      <c r="CK584" s="120"/>
      <c r="CL584" s="120"/>
      <c r="CM584" s="120"/>
      <c r="CN584" s="120"/>
      <c r="CO584" s="120"/>
    </row>
    <row r="585" spans="1:93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1"/>
      <c r="U585" s="120"/>
      <c r="V585" s="120"/>
      <c r="W585" s="121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  <c r="AJ585" s="120"/>
      <c r="AK585" s="120"/>
      <c r="AL585" s="120"/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120"/>
      <c r="AX585" s="120"/>
      <c r="AY585" s="120"/>
      <c r="AZ585" s="120"/>
      <c r="BA585" s="120"/>
      <c r="BB585" s="120"/>
      <c r="BC585" s="120"/>
      <c r="BD585" s="120"/>
      <c r="BE585" s="120"/>
      <c r="BF585" s="120"/>
      <c r="BG585" s="120"/>
      <c r="BH585" s="120"/>
      <c r="BI585" s="120"/>
      <c r="BJ585" s="120"/>
      <c r="BK585" s="120"/>
      <c r="BL585" s="120"/>
      <c r="BM585" s="120"/>
      <c r="BN585" s="120"/>
      <c r="BO585" s="120"/>
      <c r="BP585" s="120"/>
      <c r="BQ585" s="120"/>
      <c r="BR585" s="120"/>
      <c r="BS585" s="120"/>
      <c r="BT585" s="120"/>
      <c r="BU585" s="120"/>
      <c r="BV585" s="120"/>
      <c r="BW585" s="120"/>
      <c r="BX585" s="120"/>
      <c r="BY585" s="120"/>
      <c r="BZ585" s="120"/>
      <c r="CA585" s="120"/>
      <c r="CB585" s="120"/>
      <c r="CC585" s="120"/>
      <c r="CD585" s="120"/>
      <c r="CE585" s="120"/>
      <c r="CF585" s="120"/>
      <c r="CG585" s="120"/>
      <c r="CH585" s="120"/>
      <c r="CI585" s="120"/>
      <c r="CJ585" s="120"/>
      <c r="CK585" s="120"/>
      <c r="CL585" s="120"/>
      <c r="CM585" s="120"/>
      <c r="CN585" s="120"/>
      <c r="CO585" s="120"/>
    </row>
    <row r="586" spans="1:93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1"/>
      <c r="U586" s="120"/>
      <c r="V586" s="120"/>
      <c r="W586" s="121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  <c r="AJ586" s="120"/>
      <c r="AK586" s="120"/>
      <c r="AL586" s="120"/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20"/>
      <c r="AW586" s="120"/>
      <c r="AX586" s="120"/>
      <c r="AY586" s="120"/>
      <c r="AZ586" s="120"/>
      <c r="BA586" s="120"/>
      <c r="BB586" s="120"/>
      <c r="BC586" s="120"/>
      <c r="BD586" s="120"/>
      <c r="BE586" s="120"/>
      <c r="BF586" s="120"/>
      <c r="BG586" s="120"/>
      <c r="BH586" s="120"/>
      <c r="BI586" s="120"/>
      <c r="BJ586" s="120"/>
      <c r="BK586" s="120"/>
      <c r="BL586" s="120"/>
      <c r="BM586" s="120"/>
      <c r="BN586" s="120"/>
      <c r="BO586" s="120"/>
      <c r="BP586" s="120"/>
      <c r="BQ586" s="120"/>
      <c r="BR586" s="120"/>
      <c r="BS586" s="120"/>
      <c r="BT586" s="120"/>
      <c r="BU586" s="120"/>
      <c r="BV586" s="120"/>
      <c r="BW586" s="120"/>
      <c r="BX586" s="120"/>
      <c r="BY586" s="120"/>
      <c r="BZ586" s="120"/>
      <c r="CA586" s="120"/>
      <c r="CB586" s="120"/>
      <c r="CC586" s="120"/>
      <c r="CD586" s="120"/>
      <c r="CE586" s="120"/>
      <c r="CF586" s="120"/>
      <c r="CG586" s="120"/>
      <c r="CH586" s="120"/>
      <c r="CI586" s="120"/>
      <c r="CJ586" s="120"/>
      <c r="CK586" s="120"/>
      <c r="CL586" s="120"/>
      <c r="CM586" s="120"/>
      <c r="CN586" s="120"/>
      <c r="CO586" s="120"/>
    </row>
    <row r="587" spans="1:93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1"/>
      <c r="U587" s="120"/>
      <c r="V587" s="120"/>
      <c r="W587" s="121"/>
      <c r="X587" s="120"/>
      <c r="Y587" s="120"/>
      <c r="Z587" s="120"/>
      <c r="AA587" s="120"/>
      <c r="AB587" s="120"/>
      <c r="AC587" s="120"/>
      <c r="AD587" s="120"/>
      <c r="AE587" s="120"/>
      <c r="AF587" s="120"/>
      <c r="AG587" s="120"/>
      <c r="AH587" s="120"/>
      <c r="AI587" s="120"/>
      <c r="AJ587" s="120"/>
      <c r="AK587" s="120"/>
      <c r="AL587" s="120"/>
      <c r="AM587" s="120"/>
      <c r="AN587" s="120"/>
      <c r="AO587" s="120"/>
      <c r="AP587" s="120"/>
      <c r="AQ587" s="120"/>
      <c r="AR587" s="120"/>
      <c r="AS587" s="120"/>
      <c r="AT587" s="120"/>
      <c r="AU587" s="120"/>
      <c r="AV587" s="120"/>
      <c r="AW587" s="120"/>
      <c r="AX587" s="120"/>
      <c r="AY587" s="120"/>
      <c r="AZ587" s="120"/>
      <c r="BA587" s="120"/>
      <c r="BB587" s="120"/>
      <c r="BC587" s="120"/>
      <c r="BD587" s="120"/>
      <c r="BE587" s="120"/>
      <c r="BF587" s="120"/>
      <c r="BG587" s="120"/>
      <c r="BH587" s="120"/>
      <c r="BI587" s="120"/>
      <c r="BJ587" s="120"/>
      <c r="BK587" s="120"/>
      <c r="BL587" s="120"/>
      <c r="BM587" s="120"/>
      <c r="BN587" s="120"/>
      <c r="BO587" s="120"/>
      <c r="BP587" s="120"/>
      <c r="BQ587" s="120"/>
      <c r="BR587" s="120"/>
      <c r="BS587" s="120"/>
      <c r="BT587" s="120"/>
      <c r="BU587" s="120"/>
      <c r="BV587" s="120"/>
      <c r="BW587" s="120"/>
      <c r="BX587" s="120"/>
      <c r="BY587" s="120"/>
      <c r="BZ587" s="120"/>
      <c r="CA587" s="120"/>
      <c r="CB587" s="120"/>
      <c r="CC587" s="120"/>
      <c r="CD587" s="120"/>
      <c r="CE587" s="120"/>
      <c r="CF587" s="120"/>
      <c r="CG587" s="120"/>
      <c r="CH587" s="120"/>
      <c r="CI587" s="120"/>
      <c r="CJ587" s="120"/>
      <c r="CK587" s="120"/>
      <c r="CL587" s="120"/>
      <c r="CM587" s="120"/>
      <c r="CN587" s="120"/>
      <c r="CO587" s="120"/>
    </row>
    <row r="588" spans="1:93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1"/>
      <c r="U588" s="120"/>
      <c r="V588" s="120"/>
      <c r="W588" s="121"/>
      <c r="X588" s="120"/>
      <c r="Y588" s="120"/>
      <c r="Z588" s="120"/>
      <c r="AA588" s="120"/>
      <c r="AB588" s="120"/>
      <c r="AC588" s="120"/>
      <c r="AD588" s="120"/>
      <c r="AE588" s="120"/>
      <c r="AF588" s="120"/>
      <c r="AG588" s="120"/>
      <c r="AH588" s="120"/>
      <c r="AI588" s="120"/>
      <c r="AJ588" s="120"/>
      <c r="AK588" s="120"/>
      <c r="AL588" s="120"/>
      <c r="AM588" s="120"/>
      <c r="AN588" s="120"/>
      <c r="AO588" s="120"/>
      <c r="AP588" s="120"/>
      <c r="AQ588" s="120"/>
      <c r="AR588" s="120"/>
      <c r="AS588" s="120"/>
      <c r="AT588" s="120"/>
      <c r="AU588" s="120"/>
      <c r="AV588" s="120"/>
      <c r="AW588" s="120"/>
      <c r="AX588" s="120"/>
      <c r="AY588" s="120"/>
      <c r="AZ588" s="120"/>
      <c r="BA588" s="120"/>
      <c r="BB588" s="120"/>
      <c r="BC588" s="120"/>
      <c r="BD588" s="120"/>
      <c r="BE588" s="120"/>
      <c r="BF588" s="120"/>
      <c r="BG588" s="120"/>
      <c r="BH588" s="120"/>
      <c r="BI588" s="120"/>
      <c r="BJ588" s="120"/>
      <c r="BK588" s="120"/>
      <c r="BL588" s="120"/>
      <c r="BM588" s="120"/>
      <c r="BN588" s="120"/>
      <c r="BO588" s="120"/>
      <c r="BP588" s="120"/>
      <c r="BQ588" s="120"/>
      <c r="BR588" s="120"/>
      <c r="BS588" s="120"/>
      <c r="BT588" s="120"/>
      <c r="BU588" s="120"/>
      <c r="BV588" s="120"/>
      <c r="BW588" s="120"/>
      <c r="BX588" s="120"/>
      <c r="BY588" s="120"/>
      <c r="BZ588" s="120"/>
      <c r="CA588" s="120"/>
      <c r="CB588" s="120"/>
      <c r="CC588" s="120"/>
      <c r="CD588" s="120"/>
      <c r="CE588" s="120"/>
      <c r="CF588" s="120"/>
      <c r="CG588" s="120"/>
      <c r="CH588" s="120"/>
      <c r="CI588" s="120"/>
      <c r="CJ588" s="120"/>
      <c r="CK588" s="120"/>
      <c r="CL588" s="120"/>
      <c r="CM588" s="120"/>
      <c r="CN588" s="120"/>
      <c r="CO588" s="120"/>
    </row>
    <row r="589" spans="1:93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1"/>
      <c r="U589" s="120"/>
      <c r="V589" s="120"/>
      <c r="W589" s="121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0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20"/>
      <c r="BK589" s="120"/>
      <c r="BL589" s="120"/>
      <c r="BM589" s="120"/>
      <c r="BN589" s="120"/>
      <c r="BO589" s="120"/>
      <c r="BP589" s="120"/>
      <c r="BQ589" s="120"/>
      <c r="BR589" s="120"/>
      <c r="BS589" s="120"/>
      <c r="BT589" s="120"/>
      <c r="BU589" s="120"/>
      <c r="BV589" s="120"/>
      <c r="BW589" s="120"/>
      <c r="BX589" s="120"/>
      <c r="BY589" s="120"/>
      <c r="BZ589" s="120"/>
      <c r="CA589" s="120"/>
      <c r="CB589" s="120"/>
      <c r="CC589" s="120"/>
      <c r="CD589" s="120"/>
      <c r="CE589" s="120"/>
      <c r="CF589" s="120"/>
      <c r="CG589" s="120"/>
      <c r="CH589" s="120"/>
      <c r="CI589" s="120"/>
      <c r="CJ589" s="120"/>
      <c r="CK589" s="120"/>
      <c r="CL589" s="120"/>
      <c r="CM589" s="120"/>
      <c r="CN589" s="120"/>
      <c r="CO589" s="120"/>
    </row>
    <row r="590" spans="1:93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1"/>
      <c r="U590" s="120"/>
      <c r="V590" s="120"/>
      <c r="W590" s="121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0"/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20"/>
      <c r="AW590" s="120"/>
      <c r="AX590" s="120"/>
      <c r="AY590" s="120"/>
      <c r="AZ590" s="120"/>
      <c r="BA590" s="120"/>
      <c r="BB590" s="120"/>
      <c r="BC590" s="120"/>
      <c r="BD590" s="120"/>
      <c r="BE590" s="120"/>
      <c r="BF590" s="120"/>
      <c r="BG590" s="120"/>
      <c r="BH590" s="120"/>
      <c r="BI590" s="120"/>
      <c r="BJ590" s="120"/>
      <c r="BK590" s="120"/>
      <c r="BL590" s="120"/>
      <c r="BM590" s="120"/>
      <c r="BN590" s="120"/>
      <c r="BO590" s="120"/>
      <c r="BP590" s="120"/>
      <c r="BQ590" s="120"/>
      <c r="BR590" s="120"/>
      <c r="BS590" s="120"/>
      <c r="BT590" s="120"/>
      <c r="BU590" s="120"/>
      <c r="BV590" s="120"/>
      <c r="BW590" s="120"/>
      <c r="BX590" s="120"/>
      <c r="BY590" s="120"/>
      <c r="BZ590" s="120"/>
      <c r="CA590" s="120"/>
      <c r="CB590" s="120"/>
      <c r="CC590" s="120"/>
      <c r="CD590" s="120"/>
      <c r="CE590" s="120"/>
      <c r="CF590" s="120"/>
      <c r="CG590" s="120"/>
      <c r="CH590" s="120"/>
      <c r="CI590" s="120"/>
      <c r="CJ590" s="120"/>
      <c r="CK590" s="120"/>
      <c r="CL590" s="120"/>
      <c r="CM590" s="120"/>
      <c r="CN590" s="120"/>
      <c r="CO590" s="120"/>
    </row>
    <row r="591" spans="1:93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1"/>
      <c r="U591" s="120"/>
      <c r="V591" s="120"/>
      <c r="W591" s="121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  <c r="AJ591" s="120"/>
      <c r="AK591" s="120"/>
      <c r="AL591" s="120"/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20"/>
      <c r="AW591" s="120"/>
      <c r="AX591" s="120"/>
      <c r="AY591" s="120"/>
      <c r="AZ591" s="120"/>
      <c r="BA591" s="120"/>
      <c r="BB591" s="120"/>
      <c r="BC591" s="120"/>
      <c r="BD591" s="120"/>
      <c r="BE591" s="120"/>
      <c r="BF591" s="120"/>
      <c r="BG591" s="120"/>
      <c r="BH591" s="120"/>
      <c r="BI591" s="120"/>
      <c r="BJ591" s="120"/>
      <c r="BK591" s="120"/>
      <c r="BL591" s="120"/>
      <c r="BM591" s="120"/>
      <c r="BN591" s="120"/>
      <c r="BO591" s="120"/>
      <c r="BP591" s="120"/>
      <c r="BQ591" s="120"/>
      <c r="BR591" s="120"/>
      <c r="BS591" s="120"/>
      <c r="BT591" s="120"/>
      <c r="BU591" s="120"/>
      <c r="BV591" s="120"/>
      <c r="BW591" s="120"/>
      <c r="BX591" s="120"/>
      <c r="BY591" s="120"/>
      <c r="BZ591" s="120"/>
      <c r="CA591" s="120"/>
      <c r="CB591" s="120"/>
      <c r="CC591" s="120"/>
      <c r="CD591" s="120"/>
      <c r="CE591" s="120"/>
      <c r="CF591" s="120"/>
      <c r="CG591" s="120"/>
      <c r="CH591" s="120"/>
      <c r="CI591" s="120"/>
      <c r="CJ591" s="120"/>
      <c r="CK591" s="120"/>
      <c r="CL591" s="120"/>
      <c r="CM591" s="120"/>
      <c r="CN591" s="120"/>
      <c r="CO591" s="120"/>
    </row>
    <row r="592" spans="1:93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1"/>
      <c r="U592" s="120"/>
      <c r="V592" s="120"/>
      <c r="W592" s="121"/>
      <c r="X592" s="120"/>
      <c r="Y592" s="120"/>
      <c r="Z592" s="120"/>
      <c r="AA592" s="120"/>
      <c r="AB592" s="120"/>
      <c r="AC592" s="120"/>
      <c r="AD592" s="120"/>
      <c r="AE592" s="120"/>
      <c r="AF592" s="120"/>
      <c r="AG592" s="120"/>
      <c r="AH592" s="120"/>
      <c r="AI592" s="120"/>
      <c r="AJ592" s="120"/>
      <c r="AK592" s="120"/>
      <c r="AL592" s="120"/>
      <c r="AM592" s="120"/>
      <c r="AN592" s="120"/>
      <c r="AO592" s="120"/>
      <c r="AP592" s="120"/>
      <c r="AQ592" s="120"/>
      <c r="AR592" s="120"/>
      <c r="AS592" s="120"/>
      <c r="AT592" s="120"/>
      <c r="AU592" s="120"/>
      <c r="AV592" s="120"/>
      <c r="AW592" s="120"/>
      <c r="AX592" s="120"/>
      <c r="AY592" s="120"/>
      <c r="AZ592" s="120"/>
      <c r="BA592" s="120"/>
      <c r="BB592" s="120"/>
      <c r="BC592" s="120"/>
      <c r="BD592" s="120"/>
      <c r="BE592" s="120"/>
      <c r="BF592" s="120"/>
      <c r="BG592" s="120"/>
      <c r="BH592" s="120"/>
      <c r="BI592" s="120"/>
      <c r="BJ592" s="120"/>
      <c r="BK592" s="120"/>
      <c r="BL592" s="120"/>
      <c r="BM592" s="120"/>
      <c r="BN592" s="120"/>
      <c r="BO592" s="120"/>
      <c r="BP592" s="120"/>
      <c r="BQ592" s="120"/>
      <c r="BR592" s="120"/>
      <c r="BS592" s="120"/>
      <c r="BT592" s="120"/>
      <c r="BU592" s="120"/>
      <c r="BV592" s="120"/>
      <c r="BW592" s="120"/>
      <c r="BX592" s="120"/>
      <c r="BY592" s="120"/>
      <c r="BZ592" s="120"/>
      <c r="CA592" s="120"/>
      <c r="CB592" s="120"/>
      <c r="CC592" s="120"/>
      <c r="CD592" s="120"/>
      <c r="CE592" s="120"/>
      <c r="CF592" s="120"/>
      <c r="CG592" s="120"/>
      <c r="CH592" s="120"/>
      <c r="CI592" s="120"/>
      <c r="CJ592" s="120"/>
      <c r="CK592" s="120"/>
      <c r="CL592" s="120"/>
      <c r="CM592" s="120"/>
      <c r="CN592" s="120"/>
      <c r="CO592" s="120"/>
    </row>
    <row r="593" spans="1:93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1"/>
      <c r="U593" s="120"/>
      <c r="V593" s="120"/>
      <c r="W593" s="121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20"/>
      <c r="AH593" s="120"/>
      <c r="AI593" s="120"/>
      <c r="AJ593" s="120"/>
      <c r="AK593" s="120"/>
      <c r="AL593" s="120"/>
      <c r="AM593" s="120"/>
      <c r="AN593" s="120"/>
      <c r="AO593" s="120"/>
      <c r="AP593" s="120"/>
      <c r="AQ593" s="120"/>
      <c r="AR593" s="120"/>
      <c r="AS593" s="120"/>
      <c r="AT593" s="120"/>
      <c r="AU593" s="120"/>
      <c r="AV593" s="120"/>
      <c r="AW593" s="120"/>
      <c r="AX593" s="120"/>
      <c r="AY593" s="120"/>
      <c r="AZ593" s="120"/>
      <c r="BA593" s="120"/>
      <c r="BB593" s="120"/>
      <c r="BC593" s="120"/>
      <c r="BD593" s="120"/>
      <c r="BE593" s="120"/>
      <c r="BF593" s="120"/>
      <c r="BG593" s="120"/>
      <c r="BH593" s="120"/>
      <c r="BI593" s="120"/>
      <c r="BJ593" s="120"/>
      <c r="BK593" s="120"/>
      <c r="BL593" s="120"/>
      <c r="BM593" s="120"/>
      <c r="BN593" s="120"/>
      <c r="BO593" s="120"/>
      <c r="BP593" s="120"/>
      <c r="BQ593" s="120"/>
      <c r="BR593" s="120"/>
      <c r="BS593" s="120"/>
      <c r="BT593" s="120"/>
      <c r="BU593" s="120"/>
      <c r="BV593" s="120"/>
      <c r="BW593" s="120"/>
      <c r="BX593" s="120"/>
      <c r="BY593" s="120"/>
      <c r="BZ593" s="120"/>
      <c r="CA593" s="120"/>
      <c r="CB593" s="120"/>
      <c r="CC593" s="120"/>
      <c r="CD593" s="120"/>
      <c r="CE593" s="120"/>
      <c r="CF593" s="120"/>
      <c r="CG593" s="120"/>
      <c r="CH593" s="120"/>
      <c r="CI593" s="120"/>
      <c r="CJ593" s="120"/>
      <c r="CK593" s="120"/>
      <c r="CL593" s="120"/>
      <c r="CM593" s="120"/>
      <c r="CN593" s="120"/>
      <c r="CO593" s="120"/>
    </row>
    <row r="594" spans="1:93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1"/>
      <c r="U594" s="120"/>
      <c r="V594" s="120"/>
      <c r="W594" s="121"/>
      <c r="X594" s="120"/>
      <c r="Y594" s="120"/>
      <c r="Z594" s="120"/>
      <c r="AA594" s="120"/>
      <c r="AB594" s="120"/>
      <c r="AC594" s="120"/>
      <c r="AD594" s="120"/>
      <c r="AE594" s="120"/>
      <c r="AF594" s="120"/>
      <c r="AG594" s="120"/>
      <c r="AH594" s="120"/>
      <c r="AI594" s="120"/>
      <c r="AJ594" s="120"/>
      <c r="AK594" s="120"/>
      <c r="AL594" s="120"/>
      <c r="AM594" s="120"/>
      <c r="AN594" s="120"/>
      <c r="AO594" s="120"/>
      <c r="AP594" s="120"/>
      <c r="AQ594" s="120"/>
      <c r="AR594" s="120"/>
      <c r="AS594" s="120"/>
      <c r="AT594" s="120"/>
      <c r="AU594" s="120"/>
      <c r="AV594" s="120"/>
      <c r="AW594" s="120"/>
      <c r="AX594" s="120"/>
      <c r="AY594" s="120"/>
      <c r="AZ594" s="120"/>
      <c r="BA594" s="120"/>
      <c r="BB594" s="120"/>
      <c r="BC594" s="120"/>
      <c r="BD594" s="120"/>
      <c r="BE594" s="120"/>
      <c r="BF594" s="120"/>
      <c r="BG594" s="120"/>
      <c r="BH594" s="120"/>
      <c r="BI594" s="120"/>
      <c r="BJ594" s="120"/>
      <c r="BK594" s="120"/>
      <c r="BL594" s="120"/>
      <c r="BM594" s="120"/>
      <c r="BN594" s="120"/>
      <c r="BO594" s="120"/>
      <c r="BP594" s="120"/>
      <c r="BQ594" s="120"/>
      <c r="BR594" s="120"/>
      <c r="BS594" s="120"/>
      <c r="BT594" s="120"/>
      <c r="BU594" s="120"/>
      <c r="BV594" s="120"/>
      <c r="BW594" s="120"/>
      <c r="BX594" s="120"/>
      <c r="BY594" s="120"/>
      <c r="BZ594" s="120"/>
      <c r="CA594" s="120"/>
      <c r="CB594" s="120"/>
      <c r="CC594" s="120"/>
      <c r="CD594" s="120"/>
      <c r="CE594" s="120"/>
      <c r="CF594" s="120"/>
      <c r="CG594" s="120"/>
      <c r="CH594" s="120"/>
      <c r="CI594" s="120"/>
      <c r="CJ594" s="120"/>
      <c r="CK594" s="120"/>
      <c r="CL594" s="120"/>
      <c r="CM594" s="120"/>
      <c r="CN594" s="120"/>
      <c r="CO594" s="120"/>
    </row>
    <row r="595" spans="1:93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1"/>
      <c r="U595" s="120"/>
      <c r="V595" s="120"/>
      <c r="W595" s="121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120"/>
      <c r="AL595" s="120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120"/>
      <c r="AX595" s="120"/>
      <c r="AY595" s="120"/>
      <c r="AZ595" s="120"/>
      <c r="BA595" s="120"/>
      <c r="BB595" s="120"/>
      <c r="BC595" s="120"/>
      <c r="BD595" s="120"/>
      <c r="BE595" s="120"/>
      <c r="BF595" s="120"/>
      <c r="BG595" s="120"/>
      <c r="BH595" s="120"/>
      <c r="BI595" s="120"/>
      <c r="BJ595" s="120"/>
      <c r="BK595" s="120"/>
      <c r="BL595" s="120"/>
      <c r="BM595" s="120"/>
      <c r="BN595" s="120"/>
      <c r="BO595" s="120"/>
      <c r="BP595" s="120"/>
      <c r="BQ595" s="120"/>
      <c r="BR595" s="120"/>
      <c r="BS595" s="120"/>
      <c r="BT595" s="120"/>
      <c r="BU595" s="120"/>
      <c r="BV595" s="120"/>
      <c r="BW595" s="120"/>
      <c r="BX595" s="120"/>
      <c r="BY595" s="120"/>
      <c r="BZ595" s="120"/>
      <c r="CA595" s="120"/>
      <c r="CB595" s="120"/>
      <c r="CC595" s="120"/>
      <c r="CD595" s="120"/>
      <c r="CE595" s="120"/>
      <c r="CF595" s="120"/>
      <c r="CG595" s="120"/>
      <c r="CH595" s="120"/>
      <c r="CI595" s="120"/>
      <c r="CJ595" s="120"/>
      <c r="CK595" s="120"/>
      <c r="CL595" s="120"/>
      <c r="CM595" s="120"/>
      <c r="CN595" s="120"/>
      <c r="CO595" s="120"/>
    </row>
    <row r="596" spans="1:93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1"/>
      <c r="U596" s="120"/>
      <c r="V596" s="120"/>
      <c r="W596" s="121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120"/>
      <c r="AL596" s="120"/>
      <c r="AM596" s="120"/>
      <c r="AN596" s="120"/>
      <c r="AO596" s="120"/>
      <c r="AP596" s="120"/>
      <c r="AQ596" s="120"/>
      <c r="AR596" s="120"/>
      <c r="AS596" s="120"/>
      <c r="AT596" s="120"/>
      <c r="AU596" s="120"/>
      <c r="AV596" s="120"/>
      <c r="AW596" s="120"/>
      <c r="AX596" s="120"/>
      <c r="AY596" s="120"/>
      <c r="AZ596" s="120"/>
      <c r="BA596" s="120"/>
      <c r="BB596" s="120"/>
      <c r="BC596" s="120"/>
      <c r="BD596" s="120"/>
      <c r="BE596" s="120"/>
      <c r="BF596" s="120"/>
      <c r="BG596" s="120"/>
      <c r="BH596" s="120"/>
      <c r="BI596" s="120"/>
      <c r="BJ596" s="120"/>
      <c r="BK596" s="120"/>
      <c r="BL596" s="120"/>
      <c r="BM596" s="120"/>
      <c r="BN596" s="120"/>
      <c r="BO596" s="120"/>
      <c r="BP596" s="120"/>
      <c r="BQ596" s="120"/>
      <c r="BR596" s="120"/>
      <c r="BS596" s="120"/>
      <c r="BT596" s="120"/>
      <c r="BU596" s="120"/>
      <c r="BV596" s="120"/>
      <c r="BW596" s="120"/>
      <c r="BX596" s="120"/>
      <c r="BY596" s="120"/>
      <c r="BZ596" s="120"/>
      <c r="CA596" s="120"/>
      <c r="CB596" s="120"/>
      <c r="CC596" s="120"/>
      <c r="CD596" s="120"/>
      <c r="CE596" s="120"/>
      <c r="CF596" s="120"/>
      <c r="CG596" s="120"/>
      <c r="CH596" s="120"/>
      <c r="CI596" s="120"/>
      <c r="CJ596" s="120"/>
      <c r="CK596" s="120"/>
      <c r="CL596" s="120"/>
      <c r="CM596" s="120"/>
      <c r="CN596" s="120"/>
      <c r="CO596" s="120"/>
    </row>
    <row r="597" spans="1:93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1"/>
      <c r="U597" s="120"/>
      <c r="V597" s="120"/>
      <c r="W597" s="121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  <c r="AJ597" s="120"/>
      <c r="AK597" s="120"/>
      <c r="AL597" s="120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0"/>
      <c r="BC597" s="120"/>
      <c r="BD597" s="120"/>
      <c r="BE597" s="120"/>
      <c r="BF597" s="120"/>
      <c r="BG597" s="120"/>
      <c r="BH597" s="120"/>
      <c r="BI597" s="120"/>
      <c r="BJ597" s="120"/>
      <c r="BK597" s="120"/>
      <c r="BL597" s="120"/>
      <c r="BM597" s="120"/>
      <c r="BN597" s="120"/>
      <c r="BO597" s="120"/>
      <c r="BP597" s="120"/>
      <c r="BQ597" s="120"/>
      <c r="BR597" s="120"/>
      <c r="BS597" s="120"/>
      <c r="BT597" s="120"/>
      <c r="BU597" s="120"/>
      <c r="BV597" s="120"/>
      <c r="BW597" s="120"/>
      <c r="BX597" s="120"/>
      <c r="BY597" s="120"/>
      <c r="BZ597" s="120"/>
      <c r="CA597" s="120"/>
      <c r="CB597" s="120"/>
      <c r="CC597" s="120"/>
      <c r="CD597" s="120"/>
      <c r="CE597" s="120"/>
      <c r="CF597" s="120"/>
      <c r="CG597" s="120"/>
      <c r="CH597" s="120"/>
      <c r="CI597" s="120"/>
      <c r="CJ597" s="120"/>
      <c r="CK597" s="120"/>
      <c r="CL597" s="120"/>
      <c r="CM597" s="120"/>
      <c r="CN597" s="120"/>
      <c r="CO597" s="120"/>
    </row>
    <row r="598" spans="1:93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1"/>
      <c r="U598" s="120"/>
      <c r="V598" s="120"/>
      <c r="W598" s="121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0"/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20"/>
      <c r="AW598" s="120"/>
      <c r="AX598" s="120"/>
      <c r="AY598" s="120"/>
      <c r="AZ598" s="120"/>
      <c r="BA598" s="120"/>
      <c r="BB598" s="120"/>
      <c r="BC598" s="120"/>
      <c r="BD598" s="120"/>
      <c r="BE598" s="120"/>
      <c r="BF598" s="120"/>
      <c r="BG598" s="120"/>
      <c r="BH598" s="120"/>
      <c r="BI598" s="120"/>
      <c r="BJ598" s="120"/>
      <c r="BK598" s="120"/>
      <c r="BL598" s="120"/>
      <c r="BM598" s="120"/>
      <c r="BN598" s="120"/>
      <c r="BO598" s="120"/>
      <c r="BP598" s="120"/>
      <c r="BQ598" s="120"/>
      <c r="BR598" s="120"/>
      <c r="BS598" s="120"/>
      <c r="BT598" s="120"/>
      <c r="BU598" s="120"/>
      <c r="BV598" s="120"/>
      <c r="BW598" s="120"/>
      <c r="BX598" s="120"/>
      <c r="BY598" s="120"/>
      <c r="BZ598" s="120"/>
      <c r="CA598" s="120"/>
      <c r="CB598" s="120"/>
      <c r="CC598" s="120"/>
      <c r="CD598" s="120"/>
      <c r="CE598" s="120"/>
      <c r="CF598" s="120"/>
      <c r="CG598" s="120"/>
      <c r="CH598" s="120"/>
      <c r="CI598" s="120"/>
      <c r="CJ598" s="120"/>
      <c r="CK598" s="120"/>
      <c r="CL598" s="120"/>
      <c r="CM598" s="120"/>
      <c r="CN598" s="120"/>
      <c r="CO598" s="120"/>
    </row>
    <row r="599" spans="1:93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1"/>
      <c r="U599" s="120"/>
      <c r="V599" s="120"/>
      <c r="W599" s="121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0"/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20"/>
      <c r="AW599" s="120"/>
      <c r="AX599" s="120"/>
      <c r="AY599" s="120"/>
      <c r="AZ599" s="120"/>
      <c r="BA599" s="120"/>
      <c r="BB599" s="120"/>
      <c r="BC599" s="120"/>
      <c r="BD599" s="120"/>
      <c r="BE599" s="120"/>
      <c r="BF599" s="120"/>
      <c r="BG599" s="120"/>
      <c r="BH599" s="120"/>
      <c r="BI599" s="120"/>
      <c r="BJ599" s="120"/>
      <c r="BK599" s="120"/>
      <c r="BL599" s="120"/>
      <c r="BM599" s="120"/>
      <c r="BN599" s="120"/>
      <c r="BO599" s="120"/>
      <c r="BP599" s="120"/>
      <c r="BQ599" s="120"/>
      <c r="BR599" s="120"/>
      <c r="BS599" s="120"/>
      <c r="BT599" s="120"/>
      <c r="BU599" s="120"/>
      <c r="BV599" s="120"/>
      <c r="BW599" s="120"/>
      <c r="BX599" s="120"/>
      <c r="BY599" s="120"/>
      <c r="BZ599" s="120"/>
      <c r="CA599" s="120"/>
      <c r="CB599" s="120"/>
      <c r="CC599" s="120"/>
      <c r="CD599" s="120"/>
      <c r="CE599" s="120"/>
      <c r="CF599" s="120"/>
      <c r="CG599" s="120"/>
      <c r="CH599" s="120"/>
      <c r="CI599" s="120"/>
      <c r="CJ599" s="120"/>
      <c r="CK599" s="120"/>
      <c r="CL599" s="120"/>
      <c r="CM599" s="120"/>
      <c r="CN599" s="120"/>
      <c r="CO599" s="120"/>
    </row>
    <row r="600" spans="1:93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1"/>
      <c r="U600" s="120"/>
      <c r="V600" s="120"/>
      <c r="W600" s="121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0"/>
      <c r="AM600" s="120"/>
      <c r="AN600" s="120"/>
      <c r="AO600" s="120"/>
      <c r="AP600" s="120"/>
      <c r="AQ600" s="120"/>
      <c r="AR600" s="120"/>
      <c r="AS600" s="120"/>
      <c r="AT600" s="120"/>
      <c r="AU600" s="120"/>
      <c r="AV600" s="120"/>
      <c r="AW600" s="120"/>
      <c r="AX600" s="120"/>
      <c r="AY600" s="120"/>
      <c r="AZ600" s="120"/>
      <c r="BA600" s="120"/>
      <c r="BB600" s="120"/>
      <c r="BC600" s="120"/>
      <c r="BD600" s="120"/>
      <c r="BE600" s="120"/>
      <c r="BF600" s="120"/>
      <c r="BG600" s="120"/>
      <c r="BH600" s="120"/>
      <c r="BI600" s="120"/>
      <c r="BJ600" s="120"/>
      <c r="BK600" s="120"/>
      <c r="BL600" s="120"/>
      <c r="BM600" s="120"/>
      <c r="BN600" s="120"/>
      <c r="BO600" s="120"/>
      <c r="BP600" s="120"/>
      <c r="BQ600" s="120"/>
      <c r="BR600" s="120"/>
      <c r="BS600" s="120"/>
      <c r="BT600" s="120"/>
      <c r="BU600" s="120"/>
      <c r="BV600" s="120"/>
      <c r="BW600" s="120"/>
      <c r="BX600" s="120"/>
      <c r="BY600" s="120"/>
      <c r="BZ600" s="120"/>
      <c r="CA600" s="120"/>
      <c r="CB600" s="120"/>
      <c r="CC600" s="120"/>
      <c r="CD600" s="120"/>
      <c r="CE600" s="120"/>
      <c r="CF600" s="120"/>
      <c r="CG600" s="120"/>
      <c r="CH600" s="120"/>
      <c r="CI600" s="120"/>
      <c r="CJ600" s="120"/>
      <c r="CK600" s="120"/>
      <c r="CL600" s="120"/>
      <c r="CM600" s="120"/>
      <c r="CN600" s="120"/>
      <c r="CO600" s="120"/>
    </row>
    <row r="601" spans="1:93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1"/>
      <c r="U601" s="120"/>
      <c r="V601" s="120"/>
      <c r="W601" s="121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120"/>
      <c r="AL601" s="120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0"/>
      <c r="BC601" s="120"/>
      <c r="BD601" s="120"/>
      <c r="BE601" s="120"/>
      <c r="BF601" s="120"/>
      <c r="BG601" s="120"/>
      <c r="BH601" s="120"/>
      <c r="BI601" s="120"/>
      <c r="BJ601" s="120"/>
      <c r="BK601" s="120"/>
      <c r="BL601" s="120"/>
      <c r="BM601" s="120"/>
      <c r="BN601" s="120"/>
      <c r="BO601" s="120"/>
      <c r="BP601" s="120"/>
      <c r="BQ601" s="120"/>
      <c r="BR601" s="120"/>
      <c r="BS601" s="120"/>
      <c r="BT601" s="120"/>
      <c r="BU601" s="120"/>
      <c r="BV601" s="120"/>
      <c r="BW601" s="120"/>
      <c r="BX601" s="120"/>
      <c r="BY601" s="120"/>
      <c r="BZ601" s="120"/>
      <c r="CA601" s="120"/>
      <c r="CB601" s="120"/>
      <c r="CC601" s="120"/>
      <c r="CD601" s="120"/>
      <c r="CE601" s="120"/>
      <c r="CF601" s="120"/>
      <c r="CG601" s="120"/>
      <c r="CH601" s="120"/>
      <c r="CI601" s="120"/>
      <c r="CJ601" s="120"/>
      <c r="CK601" s="120"/>
      <c r="CL601" s="120"/>
      <c r="CM601" s="120"/>
      <c r="CN601" s="120"/>
      <c r="CO601" s="120"/>
    </row>
    <row r="602" spans="1:93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1"/>
      <c r="U602" s="120"/>
      <c r="V602" s="120"/>
      <c r="W602" s="121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/>
      <c r="AV602" s="120"/>
      <c r="AW602" s="120"/>
      <c r="AX602" s="120"/>
      <c r="AY602" s="120"/>
      <c r="AZ602" s="120"/>
      <c r="BA602" s="120"/>
      <c r="BB602" s="120"/>
      <c r="BC602" s="120"/>
      <c r="BD602" s="120"/>
      <c r="BE602" s="120"/>
      <c r="BF602" s="120"/>
      <c r="BG602" s="120"/>
      <c r="BH602" s="120"/>
      <c r="BI602" s="120"/>
      <c r="BJ602" s="120"/>
      <c r="BK602" s="120"/>
      <c r="BL602" s="120"/>
      <c r="BM602" s="120"/>
      <c r="BN602" s="120"/>
      <c r="BO602" s="120"/>
      <c r="BP602" s="120"/>
      <c r="BQ602" s="120"/>
      <c r="BR602" s="120"/>
      <c r="BS602" s="120"/>
      <c r="BT602" s="120"/>
      <c r="BU602" s="120"/>
      <c r="BV602" s="120"/>
      <c r="BW602" s="120"/>
      <c r="BX602" s="120"/>
      <c r="BY602" s="120"/>
      <c r="BZ602" s="120"/>
      <c r="CA602" s="120"/>
      <c r="CB602" s="120"/>
      <c r="CC602" s="120"/>
      <c r="CD602" s="120"/>
      <c r="CE602" s="120"/>
      <c r="CF602" s="120"/>
      <c r="CG602" s="120"/>
      <c r="CH602" s="120"/>
      <c r="CI602" s="120"/>
      <c r="CJ602" s="120"/>
      <c r="CK602" s="120"/>
      <c r="CL602" s="120"/>
      <c r="CM602" s="120"/>
      <c r="CN602" s="120"/>
      <c r="CO602" s="120"/>
    </row>
    <row r="603" spans="1:93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1"/>
      <c r="U603" s="120"/>
      <c r="V603" s="120"/>
      <c r="W603" s="121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20"/>
      <c r="AW603" s="120"/>
      <c r="AX603" s="120"/>
      <c r="AY603" s="120"/>
      <c r="AZ603" s="120"/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20"/>
      <c r="BK603" s="120"/>
      <c r="BL603" s="120"/>
      <c r="BM603" s="120"/>
      <c r="BN603" s="120"/>
      <c r="BO603" s="120"/>
      <c r="BP603" s="120"/>
      <c r="BQ603" s="120"/>
      <c r="BR603" s="120"/>
      <c r="BS603" s="120"/>
      <c r="BT603" s="120"/>
      <c r="BU603" s="120"/>
      <c r="BV603" s="120"/>
      <c r="BW603" s="120"/>
      <c r="BX603" s="120"/>
      <c r="BY603" s="120"/>
      <c r="BZ603" s="120"/>
      <c r="CA603" s="120"/>
      <c r="CB603" s="120"/>
      <c r="CC603" s="120"/>
      <c r="CD603" s="120"/>
      <c r="CE603" s="120"/>
      <c r="CF603" s="120"/>
      <c r="CG603" s="120"/>
      <c r="CH603" s="120"/>
      <c r="CI603" s="120"/>
      <c r="CJ603" s="120"/>
      <c r="CK603" s="120"/>
      <c r="CL603" s="120"/>
      <c r="CM603" s="120"/>
      <c r="CN603" s="120"/>
      <c r="CO603" s="120"/>
    </row>
    <row r="604" spans="1:93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1"/>
      <c r="U604" s="120"/>
      <c r="V604" s="120"/>
      <c r="W604" s="121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20"/>
      <c r="AR604" s="120"/>
      <c r="AS604" s="120"/>
      <c r="AT604" s="120"/>
      <c r="AU604" s="120"/>
      <c r="AV604" s="120"/>
      <c r="AW604" s="120"/>
      <c r="AX604" s="120"/>
      <c r="AY604" s="120"/>
      <c r="AZ604" s="120"/>
      <c r="BA604" s="120"/>
      <c r="BB604" s="120"/>
      <c r="BC604" s="120"/>
      <c r="BD604" s="120"/>
      <c r="BE604" s="120"/>
      <c r="BF604" s="120"/>
      <c r="BG604" s="120"/>
      <c r="BH604" s="120"/>
      <c r="BI604" s="120"/>
      <c r="BJ604" s="120"/>
      <c r="BK604" s="120"/>
      <c r="BL604" s="120"/>
      <c r="BM604" s="120"/>
      <c r="BN604" s="120"/>
      <c r="BO604" s="120"/>
      <c r="BP604" s="120"/>
      <c r="BQ604" s="120"/>
      <c r="BR604" s="120"/>
      <c r="BS604" s="120"/>
      <c r="BT604" s="120"/>
      <c r="BU604" s="120"/>
      <c r="BV604" s="120"/>
      <c r="BW604" s="120"/>
      <c r="BX604" s="120"/>
      <c r="BY604" s="120"/>
      <c r="BZ604" s="120"/>
      <c r="CA604" s="120"/>
      <c r="CB604" s="120"/>
      <c r="CC604" s="120"/>
      <c r="CD604" s="120"/>
      <c r="CE604" s="120"/>
      <c r="CF604" s="120"/>
      <c r="CG604" s="120"/>
      <c r="CH604" s="120"/>
      <c r="CI604" s="120"/>
      <c r="CJ604" s="120"/>
      <c r="CK604" s="120"/>
      <c r="CL604" s="120"/>
      <c r="CM604" s="120"/>
      <c r="CN604" s="120"/>
      <c r="CO604" s="120"/>
    </row>
    <row r="605" spans="1:93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1"/>
      <c r="U605" s="120"/>
      <c r="V605" s="120"/>
      <c r="W605" s="121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120"/>
      <c r="BL605" s="120"/>
      <c r="BM605" s="120"/>
      <c r="BN605" s="120"/>
      <c r="BO605" s="120"/>
      <c r="BP605" s="120"/>
      <c r="BQ605" s="120"/>
      <c r="BR605" s="120"/>
      <c r="BS605" s="120"/>
      <c r="BT605" s="120"/>
      <c r="BU605" s="120"/>
      <c r="BV605" s="120"/>
      <c r="BW605" s="120"/>
      <c r="BX605" s="120"/>
      <c r="BY605" s="120"/>
      <c r="BZ605" s="120"/>
      <c r="CA605" s="120"/>
      <c r="CB605" s="120"/>
      <c r="CC605" s="120"/>
      <c r="CD605" s="120"/>
      <c r="CE605" s="120"/>
      <c r="CF605" s="120"/>
      <c r="CG605" s="120"/>
      <c r="CH605" s="120"/>
      <c r="CI605" s="120"/>
      <c r="CJ605" s="120"/>
      <c r="CK605" s="120"/>
      <c r="CL605" s="120"/>
      <c r="CM605" s="120"/>
      <c r="CN605" s="120"/>
      <c r="CO605" s="120"/>
    </row>
    <row r="606" spans="1:93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1"/>
      <c r="U606" s="120"/>
      <c r="V606" s="120"/>
      <c r="W606" s="121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0"/>
      <c r="BC606" s="120"/>
      <c r="BD606" s="120"/>
      <c r="BE606" s="120"/>
      <c r="BF606" s="120"/>
      <c r="BG606" s="120"/>
      <c r="BH606" s="120"/>
      <c r="BI606" s="120"/>
      <c r="BJ606" s="120"/>
      <c r="BK606" s="120"/>
      <c r="BL606" s="120"/>
      <c r="BM606" s="120"/>
      <c r="BN606" s="120"/>
      <c r="BO606" s="120"/>
      <c r="BP606" s="120"/>
      <c r="BQ606" s="120"/>
      <c r="BR606" s="120"/>
      <c r="BS606" s="120"/>
      <c r="BT606" s="120"/>
      <c r="BU606" s="120"/>
      <c r="BV606" s="120"/>
      <c r="BW606" s="120"/>
      <c r="BX606" s="120"/>
      <c r="BY606" s="120"/>
      <c r="BZ606" s="120"/>
      <c r="CA606" s="120"/>
      <c r="CB606" s="120"/>
      <c r="CC606" s="120"/>
      <c r="CD606" s="120"/>
      <c r="CE606" s="120"/>
      <c r="CF606" s="120"/>
      <c r="CG606" s="120"/>
      <c r="CH606" s="120"/>
      <c r="CI606" s="120"/>
      <c r="CJ606" s="120"/>
      <c r="CK606" s="120"/>
      <c r="CL606" s="120"/>
      <c r="CM606" s="120"/>
      <c r="CN606" s="120"/>
      <c r="CO606" s="120"/>
    </row>
    <row r="607" spans="1:93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1"/>
      <c r="U607" s="120"/>
      <c r="V607" s="120"/>
      <c r="W607" s="121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0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0"/>
      <c r="BC607" s="120"/>
      <c r="BD607" s="120"/>
      <c r="BE607" s="120"/>
      <c r="BF607" s="120"/>
      <c r="BG607" s="120"/>
      <c r="BH607" s="120"/>
      <c r="BI607" s="120"/>
      <c r="BJ607" s="120"/>
      <c r="BK607" s="120"/>
      <c r="BL607" s="120"/>
      <c r="BM607" s="120"/>
      <c r="BN607" s="120"/>
      <c r="BO607" s="120"/>
      <c r="BP607" s="120"/>
      <c r="BQ607" s="120"/>
      <c r="BR607" s="120"/>
      <c r="BS607" s="120"/>
      <c r="BT607" s="120"/>
      <c r="BU607" s="120"/>
      <c r="BV607" s="120"/>
      <c r="BW607" s="120"/>
      <c r="BX607" s="120"/>
      <c r="BY607" s="120"/>
      <c r="BZ607" s="120"/>
      <c r="CA607" s="120"/>
      <c r="CB607" s="120"/>
      <c r="CC607" s="120"/>
      <c r="CD607" s="120"/>
      <c r="CE607" s="120"/>
      <c r="CF607" s="120"/>
      <c r="CG607" s="120"/>
      <c r="CH607" s="120"/>
      <c r="CI607" s="120"/>
      <c r="CJ607" s="120"/>
      <c r="CK607" s="120"/>
      <c r="CL607" s="120"/>
      <c r="CM607" s="120"/>
      <c r="CN607" s="120"/>
      <c r="CO607" s="120"/>
    </row>
    <row r="608" spans="1:93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1"/>
      <c r="U608" s="120"/>
      <c r="V608" s="120"/>
      <c r="W608" s="121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0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0"/>
      <c r="BC608" s="120"/>
      <c r="BD608" s="120"/>
      <c r="BE608" s="120"/>
      <c r="BF608" s="120"/>
      <c r="BG608" s="120"/>
      <c r="BH608" s="120"/>
      <c r="BI608" s="120"/>
      <c r="BJ608" s="120"/>
      <c r="BK608" s="120"/>
      <c r="BL608" s="120"/>
      <c r="BM608" s="120"/>
      <c r="BN608" s="120"/>
      <c r="BO608" s="120"/>
      <c r="BP608" s="120"/>
      <c r="BQ608" s="120"/>
      <c r="BR608" s="120"/>
      <c r="BS608" s="120"/>
      <c r="BT608" s="120"/>
      <c r="BU608" s="120"/>
      <c r="BV608" s="120"/>
      <c r="BW608" s="120"/>
      <c r="BX608" s="120"/>
      <c r="BY608" s="120"/>
      <c r="BZ608" s="120"/>
      <c r="CA608" s="120"/>
      <c r="CB608" s="120"/>
      <c r="CC608" s="120"/>
      <c r="CD608" s="120"/>
      <c r="CE608" s="120"/>
      <c r="CF608" s="120"/>
      <c r="CG608" s="120"/>
      <c r="CH608" s="120"/>
      <c r="CI608" s="120"/>
      <c r="CJ608" s="120"/>
      <c r="CK608" s="120"/>
      <c r="CL608" s="120"/>
      <c r="CM608" s="120"/>
      <c r="CN608" s="120"/>
      <c r="CO608" s="120"/>
    </row>
    <row r="609" spans="1:93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1"/>
      <c r="U609" s="120"/>
      <c r="V609" s="120"/>
      <c r="W609" s="121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120"/>
      <c r="BL609" s="120"/>
      <c r="BM609" s="120"/>
      <c r="BN609" s="120"/>
      <c r="BO609" s="120"/>
      <c r="BP609" s="120"/>
      <c r="BQ609" s="120"/>
      <c r="BR609" s="120"/>
      <c r="BS609" s="120"/>
      <c r="BT609" s="120"/>
      <c r="BU609" s="120"/>
      <c r="BV609" s="120"/>
      <c r="BW609" s="120"/>
      <c r="BX609" s="120"/>
      <c r="BY609" s="120"/>
      <c r="BZ609" s="120"/>
      <c r="CA609" s="120"/>
      <c r="CB609" s="120"/>
      <c r="CC609" s="120"/>
      <c r="CD609" s="120"/>
      <c r="CE609" s="120"/>
      <c r="CF609" s="120"/>
      <c r="CG609" s="120"/>
      <c r="CH609" s="120"/>
      <c r="CI609" s="120"/>
      <c r="CJ609" s="120"/>
      <c r="CK609" s="120"/>
      <c r="CL609" s="120"/>
      <c r="CM609" s="120"/>
      <c r="CN609" s="120"/>
      <c r="CO609" s="120"/>
    </row>
    <row r="610" spans="1:93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1"/>
      <c r="U610" s="120"/>
      <c r="V610" s="120"/>
      <c r="W610" s="121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0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20"/>
      <c r="AW610" s="120"/>
      <c r="AX610" s="120"/>
      <c r="AY610" s="120"/>
      <c r="AZ610" s="120"/>
      <c r="BA610" s="120"/>
      <c r="BB610" s="120"/>
      <c r="BC610" s="120"/>
      <c r="BD610" s="120"/>
      <c r="BE610" s="120"/>
      <c r="BF610" s="120"/>
      <c r="BG610" s="120"/>
      <c r="BH610" s="120"/>
      <c r="BI610" s="120"/>
      <c r="BJ610" s="120"/>
      <c r="BK610" s="120"/>
      <c r="BL610" s="120"/>
      <c r="BM610" s="120"/>
      <c r="BN610" s="120"/>
      <c r="BO610" s="120"/>
      <c r="BP610" s="120"/>
      <c r="BQ610" s="120"/>
      <c r="BR610" s="120"/>
      <c r="BS610" s="120"/>
      <c r="BT610" s="120"/>
      <c r="BU610" s="120"/>
      <c r="BV610" s="120"/>
      <c r="BW610" s="120"/>
      <c r="BX610" s="120"/>
      <c r="BY610" s="120"/>
      <c r="BZ610" s="120"/>
      <c r="CA610" s="120"/>
      <c r="CB610" s="120"/>
      <c r="CC610" s="120"/>
      <c r="CD610" s="120"/>
      <c r="CE610" s="120"/>
      <c r="CF610" s="120"/>
      <c r="CG610" s="120"/>
      <c r="CH610" s="120"/>
      <c r="CI610" s="120"/>
      <c r="CJ610" s="120"/>
      <c r="CK610" s="120"/>
      <c r="CL610" s="120"/>
      <c r="CM610" s="120"/>
      <c r="CN610" s="120"/>
      <c r="CO610" s="120"/>
    </row>
    <row r="611" spans="1:93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1"/>
      <c r="U611" s="120"/>
      <c r="V611" s="120"/>
      <c r="W611" s="121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0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20"/>
      <c r="BK611" s="120"/>
      <c r="BL611" s="120"/>
      <c r="BM611" s="120"/>
      <c r="BN611" s="120"/>
      <c r="BO611" s="120"/>
      <c r="BP611" s="120"/>
      <c r="BQ611" s="120"/>
      <c r="BR611" s="120"/>
      <c r="BS611" s="120"/>
      <c r="BT611" s="120"/>
      <c r="BU611" s="120"/>
      <c r="BV611" s="120"/>
      <c r="BW611" s="120"/>
      <c r="BX611" s="120"/>
      <c r="BY611" s="120"/>
      <c r="BZ611" s="120"/>
      <c r="CA611" s="120"/>
      <c r="CB611" s="120"/>
      <c r="CC611" s="120"/>
      <c r="CD611" s="120"/>
      <c r="CE611" s="120"/>
      <c r="CF611" s="120"/>
      <c r="CG611" s="120"/>
      <c r="CH611" s="120"/>
      <c r="CI611" s="120"/>
      <c r="CJ611" s="120"/>
      <c r="CK611" s="120"/>
      <c r="CL611" s="120"/>
      <c r="CM611" s="120"/>
      <c r="CN611" s="120"/>
      <c r="CO611" s="120"/>
    </row>
    <row r="612" spans="1:93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1"/>
      <c r="U612" s="120"/>
      <c r="V612" s="120"/>
      <c r="W612" s="121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20"/>
      <c r="BC612" s="120"/>
      <c r="BD612" s="120"/>
      <c r="BE612" s="120"/>
      <c r="BF612" s="120"/>
      <c r="BG612" s="120"/>
      <c r="BH612" s="120"/>
      <c r="BI612" s="120"/>
      <c r="BJ612" s="120"/>
      <c r="BK612" s="120"/>
      <c r="BL612" s="120"/>
      <c r="BM612" s="120"/>
      <c r="BN612" s="120"/>
      <c r="BO612" s="120"/>
      <c r="BP612" s="120"/>
      <c r="BQ612" s="120"/>
      <c r="BR612" s="120"/>
      <c r="BS612" s="120"/>
      <c r="BT612" s="120"/>
      <c r="BU612" s="120"/>
      <c r="BV612" s="120"/>
      <c r="BW612" s="120"/>
      <c r="BX612" s="120"/>
      <c r="BY612" s="120"/>
      <c r="BZ612" s="120"/>
      <c r="CA612" s="120"/>
      <c r="CB612" s="120"/>
      <c r="CC612" s="120"/>
      <c r="CD612" s="120"/>
      <c r="CE612" s="120"/>
      <c r="CF612" s="120"/>
      <c r="CG612" s="120"/>
      <c r="CH612" s="120"/>
      <c r="CI612" s="120"/>
      <c r="CJ612" s="120"/>
      <c r="CK612" s="120"/>
      <c r="CL612" s="120"/>
      <c r="CM612" s="120"/>
      <c r="CN612" s="120"/>
      <c r="CO612" s="120"/>
    </row>
    <row r="613" spans="1:93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1"/>
      <c r="U613" s="120"/>
      <c r="V613" s="120"/>
      <c r="W613" s="121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0"/>
      <c r="BJ613" s="120"/>
      <c r="BK613" s="120"/>
      <c r="BL613" s="120"/>
      <c r="BM613" s="120"/>
      <c r="BN613" s="120"/>
      <c r="BO613" s="120"/>
      <c r="BP613" s="120"/>
      <c r="BQ613" s="120"/>
      <c r="BR613" s="120"/>
      <c r="BS613" s="120"/>
      <c r="BT613" s="120"/>
      <c r="BU613" s="120"/>
      <c r="BV613" s="120"/>
      <c r="BW613" s="120"/>
      <c r="BX613" s="120"/>
      <c r="BY613" s="120"/>
      <c r="BZ613" s="120"/>
      <c r="CA613" s="120"/>
      <c r="CB613" s="120"/>
      <c r="CC613" s="120"/>
      <c r="CD613" s="120"/>
      <c r="CE613" s="120"/>
      <c r="CF613" s="120"/>
      <c r="CG613" s="120"/>
      <c r="CH613" s="120"/>
      <c r="CI613" s="120"/>
      <c r="CJ613" s="120"/>
      <c r="CK613" s="120"/>
      <c r="CL613" s="120"/>
      <c r="CM613" s="120"/>
      <c r="CN613" s="120"/>
      <c r="CO613" s="120"/>
    </row>
    <row r="614" spans="1:93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1"/>
      <c r="U614" s="120"/>
      <c r="V614" s="120"/>
      <c r="W614" s="121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0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20"/>
      <c r="AW614" s="120"/>
      <c r="AX614" s="120"/>
      <c r="AY614" s="120"/>
      <c r="AZ614" s="120"/>
      <c r="BA614" s="120"/>
      <c r="BB614" s="120"/>
      <c r="BC614" s="120"/>
      <c r="BD614" s="120"/>
      <c r="BE614" s="120"/>
      <c r="BF614" s="120"/>
      <c r="BG614" s="120"/>
      <c r="BH614" s="120"/>
      <c r="BI614" s="120"/>
      <c r="BJ614" s="120"/>
      <c r="BK614" s="120"/>
      <c r="BL614" s="120"/>
      <c r="BM614" s="120"/>
      <c r="BN614" s="120"/>
      <c r="BO614" s="120"/>
      <c r="BP614" s="120"/>
      <c r="BQ614" s="120"/>
      <c r="BR614" s="120"/>
      <c r="BS614" s="120"/>
      <c r="BT614" s="120"/>
      <c r="BU614" s="120"/>
      <c r="BV614" s="120"/>
      <c r="BW614" s="120"/>
      <c r="BX614" s="120"/>
      <c r="BY614" s="120"/>
      <c r="BZ614" s="120"/>
      <c r="CA614" s="120"/>
      <c r="CB614" s="120"/>
      <c r="CC614" s="120"/>
      <c r="CD614" s="120"/>
      <c r="CE614" s="120"/>
      <c r="CF614" s="120"/>
      <c r="CG614" s="120"/>
      <c r="CH614" s="120"/>
      <c r="CI614" s="120"/>
      <c r="CJ614" s="120"/>
      <c r="CK614" s="120"/>
      <c r="CL614" s="120"/>
      <c r="CM614" s="120"/>
      <c r="CN614" s="120"/>
      <c r="CO614" s="120"/>
    </row>
    <row r="615" spans="1:93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1"/>
      <c r="U615" s="120"/>
      <c r="V615" s="120"/>
      <c r="W615" s="121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20"/>
      <c r="BC615" s="120"/>
      <c r="BD615" s="120"/>
      <c r="BE615" s="120"/>
      <c r="BF615" s="120"/>
      <c r="BG615" s="120"/>
      <c r="BH615" s="120"/>
      <c r="BI615" s="120"/>
      <c r="BJ615" s="120"/>
      <c r="BK615" s="120"/>
      <c r="BL615" s="120"/>
      <c r="BM615" s="120"/>
      <c r="BN615" s="120"/>
      <c r="BO615" s="120"/>
      <c r="BP615" s="120"/>
      <c r="BQ615" s="120"/>
      <c r="BR615" s="120"/>
      <c r="BS615" s="120"/>
      <c r="BT615" s="120"/>
      <c r="BU615" s="120"/>
      <c r="BV615" s="120"/>
      <c r="BW615" s="120"/>
      <c r="BX615" s="120"/>
      <c r="BY615" s="120"/>
      <c r="BZ615" s="120"/>
      <c r="CA615" s="120"/>
      <c r="CB615" s="120"/>
      <c r="CC615" s="120"/>
      <c r="CD615" s="120"/>
      <c r="CE615" s="120"/>
      <c r="CF615" s="120"/>
      <c r="CG615" s="120"/>
      <c r="CH615" s="120"/>
      <c r="CI615" s="120"/>
      <c r="CJ615" s="120"/>
      <c r="CK615" s="120"/>
      <c r="CL615" s="120"/>
      <c r="CM615" s="120"/>
      <c r="CN615" s="120"/>
      <c r="CO615" s="120"/>
    </row>
    <row r="616" spans="1:93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1"/>
      <c r="U616" s="120"/>
      <c r="V616" s="120"/>
      <c r="W616" s="121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  <c r="AJ616" s="120"/>
      <c r="AK616" s="120"/>
      <c r="AL616" s="120"/>
      <c r="AM616" s="120"/>
      <c r="AN616" s="120"/>
      <c r="AO616" s="120"/>
      <c r="AP616" s="120"/>
      <c r="AQ616" s="120"/>
      <c r="AR616" s="120"/>
      <c r="AS616" s="120"/>
      <c r="AT616" s="120"/>
      <c r="AU616" s="120"/>
      <c r="AV616" s="120"/>
      <c r="AW616" s="120"/>
      <c r="AX616" s="120"/>
      <c r="AY616" s="120"/>
      <c r="AZ616" s="120"/>
      <c r="BA616" s="120"/>
      <c r="BB616" s="120"/>
      <c r="BC616" s="120"/>
      <c r="BD616" s="120"/>
      <c r="BE616" s="120"/>
      <c r="BF616" s="120"/>
      <c r="BG616" s="120"/>
      <c r="BH616" s="120"/>
      <c r="BI616" s="120"/>
      <c r="BJ616" s="120"/>
      <c r="BK616" s="120"/>
      <c r="BL616" s="120"/>
      <c r="BM616" s="120"/>
      <c r="BN616" s="120"/>
      <c r="BO616" s="120"/>
      <c r="BP616" s="120"/>
      <c r="BQ616" s="120"/>
      <c r="BR616" s="120"/>
      <c r="BS616" s="120"/>
      <c r="BT616" s="120"/>
      <c r="BU616" s="120"/>
      <c r="BV616" s="120"/>
      <c r="BW616" s="120"/>
      <c r="BX616" s="120"/>
      <c r="BY616" s="120"/>
      <c r="BZ616" s="120"/>
      <c r="CA616" s="120"/>
      <c r="CB616" s="120"/>
      <c r="CC616" s="120"/>
      <c r="CD616" s="120"/>
      <c r="CE616" s="120"/>
      <c r="CF616" s="120"/>
      <c r="CG616" s="120"/>
      <c r="CH616" s="120"/>
      <c r="CI616" s="120"/>
      <c r="CJ616" s="120"/>
      <c r="CK616" s="120"/>
      <c r="CL616" s="120"/>
      <c r="CM616" s="120"/>
      <c r="CN616" s="120"/>
      <c r="CO616" s="120"/>
    </row>
    <row r="617" spans="1:93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1"/>
      <c r="U617" s="120"/>
      <c r="V617" s="120"/>
      <c r="W617" s="121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  <c r="AJ617" s="120"/>
      <c r="AK617" s="120"/>
      <c r="AL617" s="120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20"/>
      <c r="BC617" s="120"/>
      <c r="BD617" s="120"/>
      <c r="BE617" s="120"/>
      <c r="BF617" s="120"/>
      <c r="BG617" s="120"/>
      <c r="BH617" s="120"/>
      <c r="BI617" s="120"/>
      <c r="BJ617" s="120"/>
      <c r="BK617" s="120"/>
      <c r="BL617" s="120"/>
      <c r="BM617" s="120"/>
      <c r="BN617" s="120"/>
      <c r="BO617" s="120"/>
      <c r="BP617" s="120"/>
      <c r="BQ617" s="120"/>
      <c r="BR617" s="120"/>
      <c r="BS617" s="120"/>
      <c r="BT617" s="120"/>
      <c r="BU617" s="120"/>
      <c r="BV617" s="120"/>
      <c r="BW617" s="120"/>
      <c r="BX617" s="120"/>
      <c r="BY617" s="120"/>
      <c r="BZ617" s="120"/>
      <c r="CA617" s="120"/>
      <c r="CB617" s="120"/>
      <c r="CC617" s="120"/>
      <c r="CD617" s="120"/>
      <c r="CE617" s="120"/>
      <c r="CF617" s="120"/>
      <c r="CG617" s="120"/>
      <c r="CH617" s="120"/>
      <c r="CI617" s="120"/>
      <c r="CJ617" s="120"/>
      <c r="CK617" s="120"/>
      <c r="CL617" s="120"/>
      <c r="CM617" s="120"/>
      <c r="CN617" s="120"/>
      <c r="CO617" s="120"/>
    </row>
    <row r="618" spans="1:93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1"/>
      <c r="U618" s="120"/>
      <c r="V618" s="120"/>
      <c r="W618" s="121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20"/>
      <c r="BK618" s="120"/>
      <c r="BL618" s="120"/>
      <c r="BM618" s="120"/>
      <c r="BN618" s="120"/>
      <c r="BO618" s="120"/>
      <c r="BP618" s="120"/>
      <c r="BQ618" s="120"/>
      <c r="BR618" s="120"/>
      <c r="BS618" s="120"/>
      <c r="BT618" s="120"/>
      <c r="BU618" s="120"/>
      <c r="BV618" s="120"/>
      <c r="BW618" s="120"/>
      <c r="BX618" s="120"/>
      <c r="BY618" s="120"/>
      <c r="BZ618" s="120"/>
      <c r="CA618" s="120"/>
      <c r="CB618" s="120"/>
      <c r="CC618" s="120"/>
      <c r="CD618" s="120"/>
      <c r="CE618" s="120"/>
      <c r="CF618" s="120"/>
      <c r="CG618" s="120"/>
      <c r="CH618" s="120"/>
      <c r="CI618" s="120"/>
      <c r="CJ618" s="120"/>
      <c r="CK618" s="120"/>
      <c r="CL618" s="120"/>
      <c r="CM618" s="120"/>
      <c r="CN618" s="120"/>
      <c r="CO618" s="120"/>
    </row>
    <row r="619" spans="1:93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1"/>
      <c r="U619" s="120"/>
      <c r="V619" s="120"/>
      <c r="W619" s="121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20"/>
      <c r="BC619" s="120"/>
      <c r="BD619" s="120"/>
      <c r="BE619" s="120"/>
      <c r="BF619" s="120"/>
      <c r="BG619" s="120"/>
      <c r="BH619" s="120"/>
      <c r="BI619" s="120"/>
      <c r="BJ619" s="120"/>
      <c r="BK619" s="120"/>
      <c r="BL619" s="120"/>
      <c r="BM619" s="120"/>
      <c r="BN619" s="120"/>
      <c r="BO619" s="120"/>
      <c r="BP619" s="120"/>
      <c r="BQ619" s="120"/>
      <c r="BR619" s="120"/>
      <c r="BS619" s="120"/>
      <c r="BT619" s="120"/>
      <c r="BU619" s="120"/>
      <c r="BV619" s="120"/>
      <c r="BW619" s="120"/>
      <c r="BX619" s="120"/>
      <c r="BY619" s="120"/>
      <c r="BZ619" s="120"/>
      <c r="CA619" s="120"/>
      <c r="CB619" s="120"/>
      <c r="CC619" s="120"/>
      <c r="CD619" s="120"/>
      <c r="CE619" s="120"/>
      <c r="CF619" s="120"/>
      <c r="CG619" s="120"/>
      <c r="CH619" s="120"/>
      <c r="CI619" s="120"/>
      <c r="CJ619" s="120"/>
      <c r="CK619" s="120"/>
      <c r="CL619" s="120"/>
      <c r="CM619" s="120"/>
      <c r="CN619" s="120"/>
      <c r="CO619" s="120"/>
    </row>
    <row r="620" spans="1:93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1"/>
      <c r="U620" s="120"/>
      <c r="V620" s="120"/>
      <c r="W620" s="121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0"/>
      <c r="AM620" s="120"/>
      <c r="AN620" s="120"/>
      <c r="AO620" s="120"/>
      <c r="AP620" s="120"/>
      <c r="AQ620" s="120"/>
      <c r="AR620" s="120"/>
      <c r="AS620" s="120"/>
      <c r="AT620" s="120"/>
      <c r="AU620" s="120"/>
      <c r="AV620" s="120"/>
      <c r="AW620" s="120"/>
      <c r="AX620" s="120"/>
      <c r="AY620" s="120"/>
      <c r="AZ620" s="120"/>
      <c r="BA620" s="120"/>
      <c r="BB620" s="120"/>
      <c r="BC620" s="120"/>
      <c r="BD620" s="120"/>
      <c r="BE620" s="120"/>
      <c r="BF620" s="120"/>
      <c r="BG620" s="120"/>
      <c r="BH620" s="120"/>
      <c r="BI620" s="120"/>
      <c r="BJ620" s="120"/>
      <c r="BK620" s="120"/>
      <c r="BL620" s="120"/>
      <c r="BM620" s="120"/>
      <c r="BN620" s="120"/>
      <c r="BO620" s="120"/>
      <c r="BP620" s="120"/>
      <c r="BQ620" s="120"/>
      <c r="BR620" s="120"/>
      <c r="BS620" s="120"/>
      <c r="BT620" s="120"/>
      <c r="BU620" s="120"/>
      <c r="BV620" s="120"/>
      <c r="BW620" s="120"/>
      <c r="BX620" s="120"/>
      <c r="BY620" s="120"/>
      <c r="BZ620" s="120"/>
      <c r="CA620" s="120"/>
      <c r="CB620" s="120"/>
      <c r="CC620" s="120"/>
      <c r="CD620" s="120"/>
      <c r="CE620" s="120"/>
      <c r="CF620" s="120"/>
      <c r="CG620" s="120"/>
      <c r="CH620" s="120"/>
      <c r="CI620" s="120"/>
      <c r="CJ620" s="120"/>
      <c r="CK620" s="120"/>
      <c r="CL620" s="120"/>
      <c r="CM620" s="120"/>
      <c r="CN620" s="120"/>
      <c r="CO620" s="120"/>
    </row>
    <row r="621" spans="1:93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1"/>
      <c r="U621" s="120"/>
      <c r="V621" s="120"/>
      <c r="W621" s="121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0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0"/>
      <c r="BJ621" s="120"/>
      <c r="BK621" s="120"/>
      <c r="BL621" s="120"/>
      <c r="BM621" s="120"/>
      <c r="BN621" s="120"/>
      <c r="BO621" s="120"/>
      <c r="BP621" s="120"/>
      <c r="BQ621" s="120"/>
      <c r="BR621" s="120"/>
      <c r="BS621" s="120"/>
      <c r="BT621" s="120"/>
      <c r="BU621" s="120"/>
      <c r="BV621" s="120"/>
      <c r="BW621" s="120"/>
      <c r="BX621" s="120"/>
      <c r="BY621" s="120"/>
      <c r="BZ621" s="120"/>
      <c r="CA621" s="120"/>
      <c r="CB621" s="120"/>
      <c r="CC621" s="120"/>
      <c r="CD621" s="120"/>
      <c r="CE621" s="120"/>
      <c r="CF621" s="120"/>
      <c r="CG621" s="120"/>
      <c r="CH621" s="120"/>
      <c r="CI621" s="120"/>
      <c r="CJ621" s="120"/>
      <c r="CK621" s="120"/>
      <c r="CL621" s="120"/>
      <c r="CM621" s="120"/>
      <c r="CN621" s="120"/>
      <c r="CO621" s="120"/>
    </row>
    <row r="622" spans="1:93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1"/>
      <c r="U622" s="120"/>
      <c r="V622" s="120"/>
      <c r="W622" s="121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  <c r="AJ622" s="120"/>
      <c r="AK622" s="120"/>
      <c r="AL622" s="120"/>
      <c r="AM622" s="120"/>
      <c r="AN622" s="120"/>
      <c r="AO622" s="120"/>
      <c r="AP622" s="120"/>
      <c r="AQ622" s="120"/>
      <c r="AR622" s="120"/>
      <c r="AS622" s="120"/>
      <c r="AT622" s="120"/>
      <c r="AU622" s="120"/>
      <c r="AV622" s="120"/>
      <c r="AW622" s="120"/>
      <c r="AX622" s="120"/>
      <c r="AY622" s="120"/>
      <c r="AZ622" s="120"/>
      <c r="BA622" s="120"/>
      <c r="BB622" s="120"/>
      <c r="BC622" s="120"/>
      <c r="BD622" s="120"/>
      <c r="BE622" s="120"/>
      <c r="BF622" s="120"/>
      <c r="BG622" s="120"/>
      <c r="BH622" s="120"/>
      <c r="BI622" s="120"/>
      <c r="BJ622" s="120"/>
      <c r="BK622" s="120"/>
      <c r="BL622" s="120"/>
      <c r="BM622" s="120"/>
      <c r="BN622" s="120"/>
      <c r="BO622" s="120"/>
      <c r="BP622" s="120"/>
      <c r="BQ622" s="120"/>
      <c r="BR622" s="120"/>
      <c r="BS622" s="120"/>
      <c r="BT622" s="120"/>
      <c r="BU622" s="120"/>
      <c r="BV622" s="120"/>
      <c r="BW622" s="120"/>
      <c r="BX622" s="120"/>
      <c r="BY622" s="120"/>
      <c r="BZ622" s="120"/>
      <c r="CA622" s="120"/>
      <c r="CB622" s="120"/>
      <c r="CC622" s="120"/>
      <c r="CD622" s="120"/>
      <c r="CE622" s="120"/>
      <c r="CF622" s="120"/>
      <c r="CG622" s="120"/>
      <c r="CH622" s="120"/>
      <c r="CI622" s="120"/>
      <c r="CJ622" s="120"/>
      <c r="CK622" s="120"/>
      <c r="CL622" s="120"/>
      <c r="CM622" s="120"/>
      <c r="CN622" s="120"/>
      <c r="CO622" s="120"/>
    </row>
    <row r="623" spans="1:93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1"/>
      <c r="U623" s="120"/>
      <c r="V623" s="120"/>
      <c r="W623" s="121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0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20"/>
      <c r="BK623" s="120"/>
      <c r="BL623" s="120"/>
      <c r="BM623" s="120"/>
      <c r="BN623" s="120"/>
      <c r="BO623" s="120"/>
      <c r="BP623" s="120"/>
      <c r="BQ623" s="120"/>
      <c r="BR623" s="120"/>
      <c r="BS623" s="120"/>
      <c r="BT623" s="120"/>
      <c r="BU623" s="120"/>
      <c r="BV623" s="120"/>
      <c r="BW623" s="120"/>
      <c r="BX623" s="120"/>
      <c r="BY623" s="120"/>
      <c r="BZ623" s="120"/>
      <c r="CA623" s="120"/>
      <c r="CB623" s="120"/>
      <c r="CC623" s="120"/>
      <c r="CD623" s="120"/>
      <c r="CE623" s="120"/>
      <c r="CF623" s="120"/>
      <c r="CG623" s="120"/>
      <c r="CH623" s="120"/>
      <c r="CI623" s="120"/>
      <c r="CJ623" s="120"/>
      <c r="CK623" s="120"/>
      <c r="CL623" s="120"/>
      <c r="CM623" s="120"/>
      <c r="CN623" s="120"/>
      <c r="CO623" s="120"/>
    </row>
    <row r="624" spans="1:93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1"/>
      <c r="U624" s="120"/>
      <c r="V624" s="120"/>
      <c r="W624" s="121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0"/>
      <c r="AM624" s="120"/>
      <c r="AN624" s="120"/>
      <c r="AO624" s="120"/>
      <c r="AP624" s="120"/>
      <c r="AQ624" s="120"/>
      <c r="AR624" s="120"/>
      <c r="AS624" s="120"/>
      <c r="AT624" s="120"/>
      <c r="AU624" s="120"/>
      <c r="AV624" s="120"/>
      <c r="AW624" s="120"/>
      <c r="AX624" s="120"/>
      <c r="AY624" s="120"/>
      <c r="AZ624" s="120"/>
      <c r="BA624" s="120"/>
      <c r="BB624" s="120"/>
      <c r="BC624" s="120"/>
      <c r="BD624" s="120"/>
      <c r="BE624" s="120"/>
      <c r="BF624" s="120"/>
      <c r="BG624" s="120"/>
      <c r="BH624" s="120"/>
      <c r="BI624" s="120"/>
      <c r="BJ624" s="120"/>
      <c r="BK624" s="120"/>
      <c r="BL624" s="120"/>
      <c r="BM624" s="120"/>
      <c r="BN624" s="120"/>
      <c r="BO624" s="120"/>
      <c r="BP624" s="120"/>
      <c r="BQ624" s="120"/>
      <c r="BR624" s="120"/>
      <c r="BS624" s="120"/>
      <c r="BT624" s="120"/>
      <c r="BU624" s="120"/>
      <c r="BV624" s="120"/>
      <c r="BW624" s="120"/>
      <c r="BX624" s="120"/>
      <c r="BY624" s="120"/>
      <c r="BZ624" s="120"/>
      <c r="CA624" s="120"/>
      <c r="CB624" s="120"/>
      <c r="CC624" s="120"/>
      <c r="CD624" s="120"/>
      <c r="CE624" s="120"/>
      <c r="CF624" s="120"/>
      <c r="CG624" s="120"/>
      <c r="CH624" s="120"/>
      <c r="CI624" s="120"/>
      <c r="CJ624" s="120"/>
      <c r="CK624" s="120"/>
      <c r="CL624" s="120"/>
      <c r="CM624" s="120"/>
      <c r="CN624" s="120"/>
      <c r="CO624" s="120"/>
    </row>
    <row r="625" spans="1:93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1"/>
      <c r="U625" s="120"/>
      <c r="V625" s="120"/>
      <c r="W625" s="121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0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20"/>
      <c r="BK625" s="120"/>
      <c r="BL625" s="120"/>
      <c r="BM625" s="120"/>
      <c r="BN625" s="120"/>
      <c r="BO625" s="120"/>
      <c r="BP625" s="120"/>
      <c r="BQ625" s="120"/>
      <c r="BR625" s="120"/>
      <c r="BS625" s="120"/>
      <c r="BT625" s="120"/>
      <c r="BU625" s="120"/>
      <c r="BV625" s="120"/>
      <c r="BW625" s="120"/>
      <c r="BX625" s="120"/>
      <c r="BY625" s="120"/>
      <c r="BZ625" s="120"/>
      <c r="CA625" s="120"/>
      <c r="CB625" s="120"/>
      <c r="CC625" s="120"/>
      <c r="CD625" s="120"/>
      <c r="CE625" s="120"/>
      <c r="CF625" s="120"/>
      <c r="CG625" s="120"/>
      <c r="CH625" s="120"/>
      <c r="CI625" s="120"/>
      <c r="CJ625" s="120"/>
      <c r="CK625" s="120"/>
      <c r="CL625" s="120"/>
      <c r="CM625" s="120"/>
      <c r="CN625" s="120"/>
      <c r="CO625" s="120"/>
    </row>
    <row r="626" spans="1:93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1"/>
      <c r="U626" s="120"/>
      <c r="V626" s="120"/>
      <c r="W626" s="121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  <c r="AJ626" s="120"/>
      <c r="AK626" s="120"/>
      <c r="AL626" s="120"/>
      <c r="AM626" s="120"/>
      <c r="AN626" s="120"/>
      <c r="AO626" s="120"/>
      <c r="AP626" s="120"/>
      <c r="AQ626" s="120"/>
      <c r="AR626" s="120"/>
      <c r="AS626" s="120"/>
      <c r="AT626" s="120"/>
      <c r="AU626" s="120"/>
      <c r="AV626" s="120"/>
      <c r="AW626" s="120"/>
      <c r="AX626" s="120"/>
      <c r="AY626" s="120"/>
      <c r="AZ626" s="120"/>
      <c r="BA626" s="120"/>
      <c r="BB626" s="120"/>
      <c r="BC626" s="120"/>
      <c r="BD626" s="120"/>
      <c r="BE626" s="120"/>
      <c r="BF626" s="120"/>
      <c r="BG626" s="120"/>
      <c r="BH626" s="120"/>
      <c r="BI626" s="120"/>
      <c r="BJ626" s="120"/>
      <c r="BK626" s="120"/>
      <c r="BL626" s="120"/>
      <c r="BM626" s="120"/>
      <c r="BN626" s="120"/>
      <c r="BO626" s="120"/>
      <c r="BP626" s="120"/>
      <c r="BQ626" s="120"/>
      <c r="BR626" s="120"/>
      <c r="BS626" s="120"/>
      <c r="BT626" s="120"/>
      <c r="BU626" s="120"/>
      <c r="BV626" s="120"/>
      <c r="BW626" s="120"/>
      <c r="BX626" s="120"/>
      <c r="BY626" s="120"/>
      <c r="BZ626" s="120"/>
      <c r="CA626" s="120"/>
      <c r="CB626" s="120"/>
      <c r="CC626" s="120"/>
      <c r="CD626" s="120"/>
      <c r="CE626" s="120"/>
      <c r="CF626" s="120"/>
      <c r="CG626" s="120"/>
      <c r="CH626" s="120"/>
      <c r="CI626" s="120"/>
      <c r="CJ626" s="120"/>
      <c r="CK626" s="120"/>
      <c r="CL626" s="120"/>
      <c r="CM626" s="120"/>
      <c r="CN626" s="120"/>
      <c r="CO626" s="120"/>
    </row>
    <row r="627" spans="1:93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1"/>
      <c r="U627" s="120"/>
      <c r="V627" s="120"/>
      <c r="W627" s="121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  <c r="AJ627" s="120"/>
      <c r="AK627" s="120"/>
      <c r="AL627" s="120"/>
      <c r="AM627" s="120"/>
      <c r="AN627" s="120"/>
      <c r="AO627" s="120"/>
      <c r="AP627" s="120"/>
      <c r="AQ627" s="120"/>
      <c r="AR627" s="120"/>
      <c r="AS627" s="120"/>
      <c r="AT627" s="120"/>
      <c r="AU627" s="120"/>
      <c r="AV627" s="120"/>
      <c r="AW627" s="120"/>
      <c r="AX627" s="120"/>
      <c r="AY627" s="120"/>
      <c r="AZ627" s="120"/>
      <c r="BA627" s="120"/>
      <c r="BB627" s="120"/>
      <c r="BC627" s="120"/>
      <c r="BD627" s="120"/>
      <c r="BE627" s="120"/>
      <c r="BF627" s="120"/>
      <c r="BG627" s="120"/>
      <c r="BH627" s="120"/>
      <c r="BI627" s="120"/>
      <c r="BJ627" s="120"/>
      <c r="BK627" s="120"/>
      <c r="BL627" s="120"/>
      <c r="BM627" s="120"/>
      <c r="BN627" s="120"/>
      <c r="BO627" s="120"/>
      <c r="BP627" s="120"/>
      <c r="BQ627" s="120"/>
      <c r="BR627" s="120"/>
      <c r="BS627" s="120"/>
      <c r="BT627" s="120"/>
      <c r="BU627" s="120"/>
      <c r="BV627" s="120"/>
      <c r="BW627" s="120"/>
      <c r="BX627" s="120"/>
      <c r="BY627" s="120"/>
      <c r="BZ627" s="120"/>
      <c r="CA627" s="120"/>
      <c r="CB627" s="120"/>
      <c r="CC627" s="120"/>
      <c r="CD627" s="120"/>
      <c r="CE627" s="120"/>
      <c r="CF627" s="120"/>
      <c r="CG627" s="120"/>
      <c r="CH627" s="120"/>
      <c r="CI627" s="120"/>
      <c r="CJ627" s="120"/>
      <c r="CK627" s="120"/>
      <c r="CL627" s="120"/>
      <c r="CM627" s="120"/>
      <c r="CN627" s="120"/>
      <c r="CO627" s="120"/>
    </row>
    <row r="628" spans="1:93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1"/>
      <c r="U628" s="120"/>
      <c r="V628" s="120"/>
      <c r="W628" s="121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  <c r="AJ628" s="120"/>
      <c r="AK628" s="120"/>
      <c r="AL628" s="120"/>
      <c r="AM628" s="120"/>
      <c r="AN628" s="120"/>
      <c r="AO628" s="120"/>
      <c r="AP628" s="120"/>
      <c r="AQ628" s="120"/>
      <c r="AR628" s="120"/>
      <c r="AS628" s="120"/>
      <c r="AT628" s="120"/>
      <c r="AU628" s="120"/>
      <c r="AV628" s="120"/>
      <c r="AW628" s="120"/>
      <c r="AX628" s="120"/>
      <c r="AY628" s="120"/>
      <c r="AZ628" s="120"/>
      <c r="BA628" s="120"/>
      <c r="BB628" s="120"/>
      <c r="BC628" s="120"/>
      <c r="BD628" s="120"/>
      <c r="BE628" s="120"/>
      <c r="BF628" s="120"/>
      <c r="BG628" s="120"/>
      <c r="BH628" s="120"/>
      <c r="BI628" s="120"/>
      <c r="BJ628" s="120"/>
      <c r="BK628" s="120"/>
      <c r="BL628" s="120"/>
      <c r="BM628" s="120"/>
      <c r="BN628" s="120"/>
      <c r="BO628" s="120"/>
      <c r="BP628" s="120"/>
      <c r="BQ628" s="120"/>
      <c r="BR628" s="120"/>
      <c r="BS628" s="120"/>
      <c r="BT628" s="120"/>
      <c r="BU628" s="120"/>
      <c r="BV628" s="120"/>
      <c r="BW628" s="120"/>
      <c r="BX628" s="120"/>
      <c r="BY628" s="120"/>
      <c r="BZ628" s="120"/>
      <c r="CA628" s="120"/>
      <c r="CB628" s="120"/>
      <c r="CC628" s="120"/>
      <c r="CD628" s="120"/>
      <c r="CE628" s="120"/>
      <c r="CF628" s="120"/>
      <c r="CG628" s="120"/>
      <c r="CH628" s="120"/>
      <c r="CI628" s="120"/>
      <c r="CJ628" s="120"/>
      <c r="CK628" s="120"/>
      <c r="CL628" s="120"/>
      <c r="CM628" s="120"/>
      <c r="CN628" s="120"/>
      <c r="CO628" s="120"/>
    </row>
    <row r="629" spans="1:93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1"/>
      <c r="U629" s="120"/>
      <c r="V629" s="120"/>
      <c r="W629" s="121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  <c r="AJ629" s="120"/>
      <c r="AK629" s="120"/>
      <c r="AL629" s="120"/>
      <c r="AM629" s="120"/>
      <c r="AN629" s="120"/>
      <c r="AO629" s="120"/>
      <c r="AP629" s="120"/>
      <c r="AQ629" s="120"/>
      <c r="AR629" s="120"/>
      <c r="AS629" s="120"/>
      <c r="AT629" s="120"/>
      <c r="AU629" s="120"/>
      <c r="AV629" s="120"/>
      <c r="AW629" s="120"/>
      <c r="AX629" s="120"/>
      <c r="AY629" s="120"/>
      <c r="AZ629" s="120"/>
      <c r="BA629" s="120"/>
      <c r="BB629" s="120"/>
      <c r="BC629" s="120"/>
      <c r="BD629" s="120"/>
      <c r="BE629" s="120"/>
      <c r="BF629" s="120"/>
      <c r="BG629" s="120"/>
      <c r="BH629" s="120"/>
      <c r="BI629" s="120"/>
      <c r="BJ629" s="120"/>
      <c r="BK629" s="120"/>
      <c r="BL629" s="120"/>
      <c r="BM629" s="120"/>
      <c r="BN629" s="120"/>
      <c r="BO629" s="120"/>
      <c r="BP629" s="120"/>
      <c r="BQ629" s="120"/>
      <c r="BR629" s="120"/>
      <c r="BS629" s="120"/>
      <c r="BT629" s="120"/>
      <c r="BU629" s="120"/>
      <c r="BV629" s="120"/>
      <c r="BW629" s="120"/>
      <c r="BX629" s="120"/>
      <c r="BY629" s="120"/>
      <c r="BZ629" s="120"/>
      <c r="CA629" s="120"/>
      <c r="CB629" s="120"/>
      <c r="CC629" s="120"/>
      <c r="CD629" s="120"/>
      <c r="CE629" s="120"/>
      <c r="CF629" s="120"/>
      <c r="CG629" s="120"/>
      <c r="CH629" s="120"/>
      <c r="CI629" s="120"/>
      <c r="CJ629" s="120"/>
      <c r="CK629" s="120"/>
      <c r="CL629" s="120"/>
      <c r="CM629" s="120"/>
      <c r="CN629" s="120"/>
      <c r="CO629" s="120"/>
    </row>
    <row r="630" spans="1:93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1"/>
      <c r="U630" s="120"/>
      <c r="V630" s="120"/>
      <c r="W630" s="121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  <c r="AJ630" s="120"/>
      <c r="AK630" s="120"/>
      <c r="AL630" s="120"/>
      <c r="AM630" s="120"/>
      <c r="AN630" s="120"/>
      <c r="AO630" s="120"/>
      <c r="AP630" s="120"/>
      <c r="AQ630" s="120"/>
      <c r="AR630" s="120"/>
      <c r="AS630" s="120"/>
      <c r="AT630" s="120"/>
      <c r="AU630" s="120"/>
      <c r="AV630" s="120"/>
      <c r="AW630" s="120"/>
      <c r="AX630" s="120"/>
      <c r="AY630" s="120"/>
      <c r="AZ630" s="120"/>
      <c r="BA630" s="120"/>
      <c r="BB630" s="120"/>
      <c r="BC630" s="120"/>
      <c r="BD630" s="120"/>
      <c r="BE630" s="120"/>
      <c r="BF630" s="120"/>
      <c r="BG630" s="120"/>
      <c r="BH630" s="120"/>
      <c r="BI630" s="120"/>
      <c r="BJ630" s="120"/>
      <c r="BK630" s="120"/>
      <c r="BL630" s="120"/>
      <c r="BM630" s="120"/>
      <c r="BN630" s="120"/>
      <c r="BO630" s="120"/>
      <c r="BP630" s="120"/>
      <c r="BQ630" s="120"/>
      <c r="BR630" s="120"/>
      <c r="BS630" s="120"/>
      <c r="BT630" s="120"/>
      <c r="BU630" s="120"/>
      <c r="BV630" s="120"/>
      <c r="BW630" s="120"/>
      <c r="BX630" s="120"/>
      <c r="BY630" s="120"/>
      <c r="BZ630" s="120"/>
      <c r="CA630" s="120"/>
      <c r="CB630" s="120"/>
      <c r="CC630" s="120"/>
      <c r="CD630" s="120"/>
      <c r="CE630" s="120"/>
      <c r="CF630" s="120"/>
      <c r="CG630" s="120"/>
      <c r="CH630" s="120"/>
      <c r="CI630" s="120"/>
      <c r="CJ630" s="120"/>
      <c r="CK630" s="120"/>
      <c r="CL630" s="120"/>
      <c r="CM630" s="120"/>
      <c r="CN630" s="120"/>
      <c r="CO630" s="120"/>
    </row>
    <row r="631" spans="1:93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1"/>
      <c r="U631" s="120"/>
      <c r="V631" s="120"/>
      <c r="W631" s="121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  <c r="AJ631" s="120"/>
      <c r="AK631" s="120"/>
      <c r="AL631" s="120"/>
      <c r="AM631" s="120"/>
      <c r="AN631" s="120"/>
      <c r="AO631" s="120"/>
      <c r="AP631" s="120"/>
      <c r="AQ631" s="120"/>
      <c r="AR631" s="120"/>
      <c r="AS631" s="120"/>
      <c r="AT631" s="120"/>
      <c r="AU631" s="120"/>
      <c r="AV631" s="120"/>
      <c r="AW631" s="120"/>
      <c r="AX631" s="120"/>
      <c r="AY631" s="120"/>
      <c r="AZ631" s="120"/>
      <c r="BA631" s="120"/>
      <c r="BB631" s="120"/>
      <c r="BC631" s="120"/>
      <c r="BD631" s="120"/>
      <c r="BE631" s="120"/>
      <c r="BF631" s="120"/>
      <c r="BG631" s="120"/>
      <c r="BH631" s="120"/>
      <c r="BI631" s="120"/>
      <c r="BJ631" s="120"/>
      <c r="BK631" s="120"/>
      <c r="BL631" s="120"/>
      <c r="BM631" s="120"/>
      <c r="BN631" s="120"/>
      <c r="BO631" s="120"/>
      <c r="BP631" s="120"/>
      <c r="BQ631" s="120"/>
      <c r="BR631" s="120"/>
      <c r="BS631" s="120"/>
      <c r="BT631" s="120"/>
      <c r="BU631" s="120"/>
      <c r="BV631" s="120"/>
      <c r="BW631" s="120"/>
      <c r="BX631" s="120"/>
      <c r="BY631" s="120"/>
      <c r="BZ631" s="120"/>
      <c r="CA631" s="120"/>
      <c r="CB631" s="120"/>
      <c r="CC631" s="120"/>
      <c r="CD631" s="120"/>
      <c r="CE631" s="120"/>
      <c r="CF631" s="120"/>
      <c r="CG631" s="120"/>
      <c r="CH631" s="120"/>
      <c r="CI631" s="120"/>
      <c r="CJ631" s="120"/>
      <c r="CK631" s="120"/>
      <c r="CL631" s="120"/>
      <c r="CM631" s="120"/>
      <c r="CN631" s="120"/>
      <c r="CO631" s="120"/>
    </row>
    <row r="632" spans="1:93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1"/>
      <c r="U632" s="120"/>
      <c r="V632" s="120"/>
      <c r="W632" s="121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  <c r="AJ632" s="120"/>
      <c r="AK632" s="120"/>
      <c r="AL632" s="120"/>
      <c r="AM632" s="120"/>
      <c r="AN632" s="120"/>
      <c r="AO632" s="120"/>
      <c r="AP632" s="120"/>
      <c r="AQ632" s="120"/>
      <c r="AR632" s="120"/>
      <c r="AS632" s="120"/>
      <c r="AT632" s="120"/>
      <c r="AU632" s="120"/>
      <c r="AV632" s="120"/>
      <c r="AW632" s="120"/>
      <c r="AX632" s="120"/>
      <c r="AY632" s="120"/>
      <c r="AZ632" s="120"/>
      <c r="BA632" s="120"/>
      <c r="BB632" s="120"/>
      <c r="BC632" s="120"/>
      <c r="BD632" s="120"/>
      <c r="BE632" s="120"/>
      <c r="BF632" s="120"/>
      <c r="BG632" s="120"/>
      <c r="BH632" s="120"/>
      <c r="BI632" s="120"/>
      <c r="BJ632" s="120"/>
      <c r="BK632" s="120"/>
      <c r="BL632" s="120"/>
      <c r="BM632" s="120"/>
      <c r="BN632" s="120"/>
      <c r="BO632" s="120"/>
      <c r="BP632" s="120"/>
      <c r="BQ632" s="120"/>
      <c r="BR632" s="120"/>
      <c r="BS632" s="120"/>
      <c r="BT632" s="120"/>
      <c r="BU632" s="120"/>
      <c r="BV632" s="120"/>
      <c r="BW632" s="120"/>
      <c r="BX632" s="120"/>
      <c r="BY632" s="120"/>
      <c r="BZ632" s="120"/>
      <c r="CA632" s="120"/>
      <c r="CB632" s="120"/>
      <c r="CC632" s="120"/>
      <c r="CD632" s="120"/>
      <c r="CE632" s="120"/>
      <c r="CF632" s="120"/>
      <c r="CG632" s="120"/>
      <c r="CH632" s="120"/>
      <c r="CI632" s="120"/>
      <c r="CJ632" s="120"/>
      <c r="CK632" s="120"/>
      <c r="CL632" s="120"/>
      <c r="CM632" s="120"/>
      <c r="CN632" s="120"/>
      <c r="CO632" s="120"/>
    </row>
    <row r="633" spans="1:93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1"/>
      <c r="U633" s="120"/>
      <c r="V633" s="120"/>
      <c r="W633" s="121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  <c r="AJ633" s="120"/>
      <c r="AK633" s="120"/>
      <c r="AL633" s="120"/>
      <c r="AM633" s="120"/>
      <c r="AN633" s="120"/>
      <c r="AO633" s="120"/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20"/>
      <c r="BC633" s="120"/>
      <c r="BD633" s="120"/>
      <c r="BE633" s="120"/>
      <c r="BF633" s="120"/>
      <c r="BG633" s="120"/>
      <c r="BH633" s="120"/>
      <c r="BI633" s="120"/>
      <c r="BJ633" s="120"/>
      <c r="BK633" s="120"/>
      <c r="BL633" s="120"/>
      <c r="BM633" s="120"/>
      <c r="BN633" s="120"/>
      <c r="BO633" s="120"/>
      <c r="BP633" s="120"/>
      <c r="BQ633" s="120"/>
      <c r="BR633" s="120"/>
      <c r="BS633" s="120"/>
      <c r="BT633" s="120"/>
      <c r="BU633" s="120"/>
      <c r="BV633" s="120"/>
      <c r="BW633" s="120"/>
      <c r="BX633" s="120"/>
      <c r="BY633" s="120"/>
      <c r="BZ633" s="120"/>
      <c r="CA633" s="120"/>
      <c r="CB633" s="120"/>
      <c r="CC633" s="120"/>
      <c r="CD633" s="120"/>
      <c r="CE633" s="120"/>
      <c r="CF633" s="120"/>
      <c r="CG633" s="120"/>
      <c r="CH633" s="120"/>
      <c r="CI633" s="120"/>
      <c r="CJ633" s="120"/>
      <c r="CK633" s="120"/>
      <c r="CL633" s="120"/>
      <c r="CM633" s="120"/>
      <c r="CN633" s="120"/>
      <c r="CO633" s="120"/>
    </row>
    <row r="634" spans="1:93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1"/>
      <c r="U634" s="120"/>
      <c r="V634" s="120"/>
      <c r="W634" s="121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  <c r="AJ634" s="120"/>
      <c r="AK634" s="120"/>
      <c r="AL634" s="120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20"/>
      <c r="BB634" s="120"/>
      <c r="BC634" s="120"/>
      <c r="BD634" s="120"/>
      <c r="BE634" s="120"/>
      <c r="BF634" s="120"/>
      <c r="BG634" s="120"/>
      <c r="BH634" s="120"/>
      <c r="BI634" s="120"/>
      <c r="BJ634" s="120"/>
      <c r="BK634" s="120"/>
      <c r="BL634" s="120"/>
      <c r="BM634" s="120"/>
      <c r="BN634" s="120"/>
      <c r="BO634" s="120"/>
      <c r="BP634" s="120"/>
      <c r="BQ634" s="120"/>
      <c r="BR634" s="120"/>
      <c r="BS634" s="120"/>
      <c r="BT634" s="120"/>
      <c r="BU634" s="120"/>
      <c r="BV634" s="120"/>
      <c r="BW634" s="120"/>
      <c r="BX634" s="120"/>
      <c r="BY634" s="120"/>
      <c r="BZ634" s="120"/>
      <c r="CA634" s="120"/>
      <c r="CB634" s="120"/>
      <c r="CC634" s="120"/>
      <c r="CD634" s="120"/>
      <c r="CE634" s="120"/>
      <c r="CF634" s="120"/>
      <c r="CG634" s="120"/>
      <c r="CH634" s="120"/>
      <c r="CI634" s="120"/>
      <c r="CJ634" s="120"/>
      <c r="CK634" s="120"/>
      <c r="CL634" s="120"/>
      <c r="CM634" s="120"/>
      <c r="CN634" s="120"/>
      <c r="CO634" s="120"/>
    </row>
    <row r="635" spans="1:93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1"/>
      <c r="U635" s="120"/>
      <c r="V635" s="120"/>
      <c r="W635" s="121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  <c r="AJ635" s="120"/>
      <c r="AK635" s="120"/>
      <c r="AL635" s="120"/>
      <c r="AM635" s="120"/>
      <c r="AN635" s="120"/>
      <c r="AO635" s="120"/>
      <c r="AP635" s="120"/>
      <c r="AQ635" s="120"/>
      <c r="AR635" s="120"/>
      <c r="AS635" s="120"/>
      <c r="AT635" s="120"/>
      <c r="AU635" s="120"/>
      <c r="AV635" s="120"/>
      <c r="AW635" s="120"/>
      <c r="AX635" s="120"/>
      <c r="AY635" s="120"/>
      <c r="AZ635" s="120"/>
      <c r="BA635" s="120"/>
      <c r="BB635" s="120"/>
      <c r="BC635" s="120"/>
      <c r="BD635" s="120"/>
      <c r="BE635" s="120"/>
      <c r="BF635" s="120"/>
      <c r="BG635" s="120"/>
      <c r="BH635" s="120"/>
      <c r="BI635" s="120"/>
      <c r="BJ635" s="120"/>
      <c r="BK635" s="120"/>
      <c r="BL635" s="120"/>
      <c r="BM635" s="120"/>
      <c r="BN635" s="120"/>
      <c r="BO635" s="120"/>
      <c r="BP635" s="120"/>
      <c r="BQ635" s="120"/>
      <c r="BR635" s="120"/>
      <c r="BS635" s="120"/>
      <c r="BT635" s="120"/>
      <c r="BU635" s="120"/>
      <c r="BV635" s="120"/>
      <c r="BW635" s="120"/>
      <c r="BX635" s="120"/>
      <c r="BY635" s="120"/>
      <c r="BZ635" s="120"/>
      <c r="CA635" s="120"/>
      <c r="CB635" s="120"/>
      <c r="CC635" s="120"/>
      <c r="CD635" s="120"/>
      <c r="CE635" s="120"/>
      <c r="CF635" s="120"/>
      <c r="CG635" s="120"/>
      <c r="CH635" s="120"/>
      <c r="CI635" s="120"/>
      <c r="CJ635" s="120"/>
      <c r="CK635" s="120"/>
      <c r="CL635" s="120"/>
      <c r="CM635" s="120"/>
      <c r="CN635" s="120"/>
      <c r="CO635" s="120"/>
    </row>
    <row r="636" spans="1:93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1"/>
      <c r="U636" s="120"/>
      <c r="V636" s="120"/>
      <c r="W636" s="121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  <c r="AJ636" s="120"/>
      <c r="AK636" s="120"/>
      <c r="AL636" s="120"/>
      <c r="AM636" s="120"/>
      <c r="AN636" s="120"/>
      <c r="AO636" s="120"/>
      <c r="AP636" s="120"/>
      <c r="AQ636" s="120"/>
      <c r="AR636" s="120"/>
      <c r="AS636" s="120"/>
      <c r="AT636" s="120"/>
      <c r="AU636" s="120"/>
      <c r="AV636" s="120"/>
      <c r="AW636" s="120"/>
      <c r="AX636" s="120"/>
      <c r="AY636" s="120"/>
      <c r="AZ636" s="120"/>
      <c r="BA636" s="120"/>
      <c r="BB636" s="120"/>
      <c r="BC636" s="120"/>
      <c r="BD636" s="120"/>
      <c r="BE636" s="120"/>
      <c r="BF636" s="120"/>
      <c r="BG636" s="120"/>
      <c r="BH636" s="120"/>
      <c r="BI636" s="120"/>
      <c r="BJ636" s="120"/>
      <c r="BK636" s="120"/>
      <c r="BL636" s="120"/>
      <c r="BM636" s="120"/>
      <c r="BN636" s="120"/>
      <c r="BO636" s="120"/>
      <c r="BP636" s="120"/>
      <c r="BQ636" s="120"/>
      <c r="BR636" s="120"/>
      <c r="BS636" s="120"/>
      <c r="BT636" s="120"/>
      <c r="BU636" s="120"/>
      <c r="BV636" s="120"/>
      <c r="BW636" s="120"/>
      <c r="BX636" s="120"/>
      <c r="BY636" s="120"/>
      <c r="BZ636" s="120"/>
      <c r="CA636" s="120"/>
      <c r="CB636" s="120"/>
      <c r="CC636" s="120"/>
      <c r="CD636" s="120"/>
      <c r="CE636" s="120"/>
      <c r="CF636" s="120"/>
      <c r="CG636" s="120"/>
      <c r="CH636" s="120"/>
      <c r="CI636" s="120"/>
      <c r="CJ636" s="120"/>
      <c r="CK636" s="120"/>
      <c r="CL636" s="120"/>
      <c r="CM636" s="120"/>
      <c r="CN636" s="120"/>
      <c r="CO636" s="120"/>
    </row>
    <row r="637" spans="1:93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1"/>
      <c r="U637" s="120"/>
      <c r="V637" s="120"/>
      <c r="W637" s="121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  <c r="AJ637" s="120"/>
      <c r="AK637" s="120"/>
      <c r="AL637" s="120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20"/>
      <c r="BC637" s="120"/>
      <c r="BD637" s="120"/>
      <c r="BE637" s="120"/>
      <c r="BF637" s="120"/>
      <c r="BG637" s="120"/>
      <c r="BH637" s="120"/>
      <c r="BI637" s="120"/>
      <c r="BJ637" s="120"/>
      <c r="BK637" s="120"/>
      <c r="BL637" s="120"/>
      <c r="BM637" s="120"/>
      <c r="BN637" s="120"/>
      <c r="BO637" s="120"/>
      <c r="BP637" s="120"/>
      <c r="BQ637" s="120"/>
      <c r="BR637" s="120"/>
      <c r="BS637" s="120"/>
      <c r="BT637" s="120"/>
      <c r="BU637" s="120"/>
      <c r="BV637" s="120"/>
      <c r="BW637" s="120"/>
      <c r="BX637" s="120"/>
      <c r="BY637" s="120"/>
      <c r="BZ637" s="120"/>
      <c r="CA637" s="120"/>
      <c r="CB637" s="120"/>
      <c r="CC637" s="120"/>
      <c r="CD637" s="120"/>
      <c r="CE637" s="120"/>
      <c r="CF637" s="120"/>
      <c r="CG637" s="120"/>
      <c r="CH637" s="120"/>
      <c r="CI637" s="120"/>
      <c r="CJ637" s="120"/>
      <c r="CK637" s="120"/>
      <c r="CL637" s="120"/>
      <c r="CM637" s="120"/>
      <c r="CN637" s="120"/>
      <c r="CO637" s="120"/>
    </row>
    <row r="638" spans="1:93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1"/>
      <c r="U638" s="120"/>
      <c r="V638" s="120"/>
      <c r="W638" s="121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  <c r="AJ638" s="120"/>
      <c r="AK638" s="120"/>
      <c r="AL638" s="120"/>
      <c r="AM638" s="120"/>
      <c r="AN638" s="120"/>
      <c r="AO638" s="120"/>
      <c r="AP638" s="120"/>
      <c r="AQ638" s="120"/>
      <c r="AR638" s="120"/>
      <c r="AS638" s="120"/>
      <c r="AT638" s="120"/>
      <c r="AU638" s="120"/>
      <c r="AV638" s="120"/>
      <c r="AW638" s="120"/>
      <c r="AX638" s="120"/>
      <c r="AY638" s="120"/>
      <c r="AZ638" s="120"/>
      <c r="BA638" s="120"/>
      <c r="BB638" s="120"/>
      <c r="BC638" s="120"/>
      <c r="BD638" s="120"/>
      <c r="BE638" s="120"/>
      <c r="BF638" s="120"/>
      <c r="BG638" s="120"/>
      <c r="BH638" s="120"/>
      <c r="BI638" s="120"/>
      <c r="BJ638" s="120"/>
      <c r="BK638" s="120"/>
      <c r="BL638" s="120"/>
      <c r="BM638" s="120"/>
      <c r="BN638" s="120"/>
      <c r="BO638" s="120"/>
      <c r="BP638" s="120"/>
      <c r="BQ638" s="120"/>
      <c r="BR638" s="120"/>
      <c r="BS638" s="120"/>
      <c r="BT638" s="120"/>
      <c r="BU638" s="120"/>
      <c r="BV638" s="120"/>
      <c r="BW638" s="120"/>
      <c r="BX638" s="120"/>
      <c r="BY638" s="120"/>
      <c r="BZ638" s="120"/>
      <c r="CA638" s="120"/>
      <c r="CB638" s="120"/>
      <c r="CC638" s="120"/>
      <c r="CD638" s="120"/>
      <c r="CE638" s="120"/>
      <c r="CF638" s="120"/>
      <c r="CG638" s="120"/>
      <c r="CH638" s="120"/>
      <c r="CI638" s="120"/>
      <c r="CJ638" s="120"/>
      <c r="CK638" s="120"/>
      <c r="CL638" s="120"/>
      <c r="CM638" s="120"/>
      <c r="CN638" s="120"/>
      <c r="CO638" s="120"/>
    </row>
    <row r="639" spans="1:93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1"/>
      <c r="U639" s="120"/>
      <c r="V639" s="120"/>
      <c r="W639" s="121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0"/>
      <c r="AM639" s="120"/>
      <c r="AN639" s="120"/>
      <c r="AO639" s="120"/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20"/>
      <c r="BB639" s="120"/>
      <c r="BC639" s="120"/>
      <c r="BD639" s="120"/>
      <c r="BE639" s="120"/>
      <c r="BF639" s="120"/>
      <c r="BG639" s="120"/>
      <c r="BH639" s="120"/>
      <c r="BI639" s="120"/>
      <c r="BJ639" s="120"/>
      <c r="BK639" s="120"/>
      <c r="BL639" s="120"/>
      <c r="BM639" s="120"/>
      <c r="BN639" s="120"/>
      <c r="BO639" s="120"/>
      <c r="BP639" s="120"/>
      <c r="BQ639" s="120"/>
      <c r="BR639" s="120"/>
      <c r="BS639" s="120"/>
      <c r="BT639" s="120"/>
      <c r="BU639" s="120"/>
      <c r="BV639" s="120"/>
      <c r="BW639" s="120"/>
      <c r="BX639" s="120"/>
      <c r="BY639" s="120"/>
      <c r="BZ639" s="120"/>
      <c r="CA639" s="120"/>
      <c r="CB639" s="120"/>
      <c r="CC639" s="120"/>
      <c r="CD639" s="120"/>
      <c r="CE639" s="120"/>
      <c r="CF639" s="120"/>
      <c r="CG639" s="120"/>
      <c r="CH639" s="120"/>
      <c r="CI639" s="120"/>
      <c r="CJ639" s="120"/>
      <c r="CK639" s="120"/>
      <c r="CL639" s="120"/>
      <c r="CM639" s="120"/>
      <c r="CN639" s="120"/>
      <c r="CO639" s="120"/>
    </row>
    <row r="640" spans="1:93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1"/>
      <c r="U640" s="120"/>
      <c r="V640" s="120"/>
      <c r="W640" s="121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  <c r="AJ640" s="120"/>
      <c r="AK640" s="120"/>
      <c r="AL640" s="120"/>
      <c r="AM640" s="120"/>
      <c r="AN640" s="120"/>
      <c r="AO640" s="120"/>
      <c r="AP640" s="120"/>
      <c r="AQ640" s="120"/>
      <c r="AR640" s="120"/>
      <c r="AS640" s="120"/>
      <c r="AT640" s="120"/>
      <c r="AU640" s="120"/>
      <c r="AV640" s="120"/>
      <c r="AW640" s="120"/>
      <c r="AX640" s="120"/>
      <c r="AY640" s="120"/>
      <c r="AZ640" s="120"/>
      <c r="BA640" s="120"/>
      <c r="BB640" s="120"/>
      <c r="BC640" s="120"/>
      <c r="BD640" s="120"/>
      <c r="BE640" s="120"/>
      <c r="BF640" s="120"/>
      <c r="BG640" s="120"/>
      <c r="BH640" s="120"/>
      <c r="BI640" s="120"/>
      <c r="BJ640" s="120"/>
      <c r="BK640" s="120"/>
      <c r="BL640" s="120"/>
      <c r="BM640" s="120"/>
      <c r="BN640" s="120"/>
      <c r="BO640" s="120"/>
      <c r="BP640" s="120"/>
      <c r="BQ640" s="120"/>
      <c r="BR640" s="120"/>
      <c r="BS640" s="120"/>
      <c r="BT640" s="120"/>
      <c r="BU640" s="120"/>
      <c r="BV640" s="120"/>
      <c r="BW640" s="120"/>
      <c r="BX640" s="120"/>
      <c r="BY640" s="120"/>
      <c r="BZ640" s="120"/>
      <c r="CA640" s="120"/>
      <c r="CB640" s="120"/>
      <c r="CC640" s="120"/>
      <c r="CD640" s="120"/>
      <c r="CE640" s="120"/>
      <c r="CF640" s="120"/>
      <c r="CG640" s="120"/>
      <c r="CH640" s="120"/>
      <c r="CI640" s="120"/>
      <c r="CJ640" s="120"/>
      <c r="CK640" s="120"/>
      <c r="CL640" s="120"/>
      <c r="CM640" s="120"/>
      <c r="CN640" s="120"/>
      <c r="CO640" s="120"/>
    </row>
    <row r="641" spans="1:93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1"/>
      <c r="U641" s="120"/>
      <c r="V641" s="120"/>
      <c r="W641" s="121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/>
      <c r="AK641" s="120"/>
      <c r="AL641" s="120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20"/>
      <c r="BC641" s="120"/>
      <c r="BD641" s="120"/>
      <c r="BE641" s="120"/>
      <c r="BF641" s="120"/>
      <c r="BG641" s="120"/>
      <c r="BH641" s="120"/>
      <c r="BI641" s="120"/>
      <c r="BJ641" s="120"/>
      <c r="BK641" s="120"/>
      <c r="BL641" s="120"/>
      <c r="BM641" s="120"/>
      <c r="BN641" s="120"/>
      <c r="BO641" s="120"/>
      <c r="BP641" s="120"/>
      <c r="BQ641" s="120"/>
      <c r="BR641" s="120"/>
      <c r="BS641" s="120"/>
      <c r="BT641" s="120"/>
      <c r="BU641" s="120"/>
      <c r="BV641" s="120"/>
      <c r="BW641" s="120"/>
      <c r="BX641" s="120"/>
      <c r="BY641" s="120"/>
      <c r="BZ641" s="120"/>
      <c r="CA641" s="120"/>
      <c r="CB641" s="120"/>
      <c r="CC641" s="120"/>
      <c r="CD641" s="120"/>
      <c r="CE641" s="120"/>
      <c r="CF641" s="120"/>
      <c r="CG641" s="120"/>
      <c r="CH641" s="120"/>
      <c r="CI641" s="120"/>
      <c r="CJ641" s="120"/>
      <c r="CK641" s="120"/>
      <c r="CL641" s="120"/>
      <c r="CM641" s="120"/>
      <c r="CN641" s="120"/>
      <c r="CO641" s="120"/>
    </row>
    <row r="642" spans="1:93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1"/>
      <c r="U642" s="120"/>
      <c r="V642" s="120"/>
      <c r="W642" s="121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  <c r="AJ642" s="120"/>
      <c r="AK642" s="120"/>
      <c r="AL642" s="120"/>
      <c r="AM642" s="120"/>
      <c r="AN642" s="120"/>
      <c r="AO642" s="120"/>
      <c r="AP642" s="120"/>
      <c r="AQ642" s="120"/>
      <c r="AR642" s="120"/>
      <c r="AS642" s="120"/>
      <c r="AT642" s="120"/>
      <c r="AU642" s="120"/>
      <c r="AV642" s="120"/>
      <c r="AW642" s="120"/>
      <c r="AX642" s="120"/>
      <c r="AY642" s="120"/>
      <c r="AZ642" s="120"/>
      <c r="BA642" s="120"/>
      <c r="BB642" s="120"/>
      <c r="BC642" s="120"/>
      <c r="BD642" s="120"/>
      <c r="BE642" s="120"/>
      <c r="BF642" s="120"/>
      <c r="BG642" s="120"/>
      <c r="BH642" s="120"/>
      <c r="BI642" s="120"/>
      <c r="BJ642" s="120"/>
      <c r="BK642" s="120"/>
      <c r="BL642" s="120"/>
      <c r="BM642" s="120"/>
      <c r="BN642" s="120"/>
      <c r="BO642" s="120"/>
      <c r="BP642" s="120"/>
      <c r="BQ642" s="120"/>
      <c r="BR642" s="120"/>
      <c r="BS642" s="120"/>
      <c r="BT642" s="120"/>
      <c r="BU642" s="120"/>
      <c r="BV642" s="120"/>
      <c r="BW642" s="120"/>
      <c r="BX642" s="120"/>
      <c r="BY642" s="120"/>
      <c r="BZ642" s="120"/>
      <c r="CA642" s="120"/>
      <c r="CB642" s="120"/>
      <c r="CC642" s="120"/>
      <c r="CD642" s="120"/>
      <c r="CE642" s="120"/>
      <c r="CF642" s="120"/>
      <c r="CG642" s="120"/>
      <c r="CH642" s="120"/>
      <c r="CI642" s="120"/>
      <c r="CJ642" s="120"/>
      <c r="CK642" s="120"/>
      <c r="CL642" s="120"/>
      <c r="CM642" s="120"/>
      <c r="CN642" s="120"/>
      <c r="CO642" s="120"/>
    </row>
    <row r="643" spans="1:93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1"/>
      <c r="U643" s="120"/>
      <c r="V643" s="120"/>
      <c r="W643" s="121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/>
      <c r="AK643" s="120"/>
      <c r="AL643" s="120"/>
      <c r="AM643" s="120"/>
      <c r="AN643" s="120"/>
      <c r="AO643" s="120"/>
      <c r="AP643" s="120"/>
      <c r="AQ643" s="120"/>
      <c r="AR643" s="120"/>
      <c r="AS643" s="120"/>
      <c r="AT643" s="120"/>
      <c r="AU643" s="120"/>
      <c r="AV643" s="120"/>
      <c r="AW643" s="120"/>
      <c r="AX643" s="120"/>
      <c r="AY643" s="120"/>
      <c r="AZ643" s="120"/>
      <c r="BA643" s="120"/>
      <c r="BB643" s="120"/>
      <c r="BC643" s="120"/>
      <c r="BD643" s="120"/>
      <c r="BE643" s="120"/>
      <c r="BF643" s="120"/>
      <c r="BG643" s="120"/>
      <c r="BH643" s="120"/>
      <c r="BI643" s="120"/>
      <c r="BJ643" s="120"/>
      <c r="BK643" s="120"/>
      <c r="BL643" s="120"/>
      <c r="BM643" s="120"/>
      <c r="BN643" s="120"/>
      <c r="BO643" s="120"/>
      <c r="BP643" s="120"/>
      <c r="BQ643" s="120"/>
      <c r="BR643" s="120"/>
      <c r="BS643" s="120"/>
      <c r="BT643" s="120"/>
      <c r="BU643" s="120"/>
      <c r="BV643" s="120"/>
      <c r="BW643" s="120"/>
      <c r="BX643" s="120"/>
      <c r="BY643" s="120"/>
      <c r="BZ643" s="120"/>
      <c r="CA643" s="120"/>
      <c r="CB643" s="120"/>
      <c r="CC643" s="120"/>
      <c r="CD643" s="120"/>
      <c r="CE643" s="120"/>
      <c r="CF643" s="120"/>
      <c r="CG643" s="120"/>
      <c r="CH643" s="120"/>
      <c r="CI643" s="120"/>
      <c r="CJ643" s="120"/>
      <c r="CK643" s="120"/>
      <c r="CL643" s="120"/>
      <c r="CM643" s="120"/>
      <c r="CN643" s="120"/>
      <c r="CO643" s="120"/>
    </row>
    <row r="644" spans="1:93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1"/>
      <c r="U644" s="120"/>
      <c r="V644" s="120"/>
      <c r="W644" s="121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  <c r="AJ644" s="120"/>
      <c r="AK644" s="120"/>
      <c r="AL644" s="120"/>
      <c r="AM644" s="120"/>
      <c r="AN644" s="120"/>
      <c r="AO644" s="120"/>
      <c r="AP644" s="120"/>
      <c r="AQ644" s="120"/>
      <c r="AR644" s="120"/>
      <c r="AS644" s="120"/>
      <c r="AT644" s="120"/>
      <c r="AU644" s="120"/>
      <c r="AV644" s="120"/>
      <c r="AW644" s="120"/>
      <c r="AX644" s="120"/>
      <c r="AY644" s="120"/>
      <c r="AZ644" s="120"/>
      <c r="BA644" s="120"/>
      <c r="BB644" s="120"/>
      <c r="BC644" s="120"/>
      <c r="BD644" s="120"/>
      <c r="BE644" s="120"/>
      <c r="BF644" s="120"/>
      <c r="BG644" s="120"/>
      <c r="BH644" s="120"/>
      <c r="BI644" s="120"/>
      <c r="BJ644" s="120"/>
      <c r="BK644" s="120"/>
      <c r="BL644" s="120"/>
      <c r="BM644" s="120"/>
      <c r="BN644" s="120"/>
      <c r="BO644" s="120"/>
      <c r="BP644" s="120"/>
      <c r="BQ644" s="120"/>
      <c r="BR644" s="120"/>
      <c r="BS644" s="120"/>
      <c r="BT644" s="120"/>
      <c r="BU644" s="120"/>
      <c r="BV644" s="120"/>
      <c r="BW644" s="120"/>
      <c r="BX644" s="120"/>
      <c r="BY644" s="120"/>
      <c r="BZ644" s="120"/>
      <c r="CA644" s="120"/>
      <c r="CB644" s="120"/>
      <c r="CC644" s="120"/>
      <c r="CD644" s="120"/>
      <c r="CE644" s="120"/>
      <c r="CF644" s="120"/>
      <c r="CG644" s="120"/>
      <c r="CH644" s="120"/>
      <c r="CI644" s="120"/>
      <c r="CJ644" s="120"/>
      <c r="CK644" s="120"/>
      <c r="CL644" s="120"/>
      <c r="CM644" s="120"/>
      <c r="CN644" s="120"/>
      <c r="CO644" s="120"/>
    </row>
    <row r="645" spans="1:93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1"/>
      <c r="U645" s="120"/>
      <c r="V645" s="120"/>
      <c r="W645" s="121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  <c r="AJ645" s="120"/>
      <c r="AK645" s="120"/>
      <c r="AL645" s="120"/>
      <c r="AM645" s="120"/>
      <c r="AN645" s="120"/>
      <c r="AO645" s="120"/>
      <c r="AP645" s="120"/>
      <c r="AQ645" s="120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20"/>
      <c r="BC645" s="120"/>
      <c r="BD645" s="120"/>
      <c r="BE645" s="120"/>
      <c r="BF645" s="120"/>
      <c r="BG645" s="120"/>
      <c r="BH645" s="120"/>
      <c r="BI645" s="120"/>
      <c r="BJ645" s="120"/>
      <c r="BK645" s="120"/>
      <c r="BL645" s="120"/>
      <c r="BM645" s="120"/>
      <c r="BN645" s="120"/>
      <c r="BO645" s="120"/>
      <c r="BP645" s="120"/>
      <c r="BQ645" s="120"/>
      <c r="BR645" s="120"/>
      <c r="BS645" s="120"/>
      <c r="BT645" s="120"/>
      <c r="BU645" s="120"/>
      <c r="BV645" s="120"/>
      <c r="BW645" s="120"/>
      <c r="BX645" s="120"/>
      <c r="BY645" s="120"/>
      <c r="BZ645" s="120"/>
      <c r="CA645" s="120"/>
      <c r="CB645" s="120"/>
      <c r="CC645" s="120"/>
      <c r="CD645" s="120"/>
      <c r="CE645" s="120"/>
      <c r="CF645" s="120"/>
      <c r="CG645" s="120"/>
      <c r="CH645" s="120"/>
      <c r="CI645" s="120"/>
      <c r="CJ645" s="120"/>
      <c r="CK645" s="120"/>
      <c r="CL645" s="120"/>
      <c r="CM645" s="120"/>
      <c r="CN645" s="120"/>
      <c r="CO645" s="120"/>
    </row>
    <row r="646" spans="1:93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1"/>
      <c r="U646" s="120"/>
      <c r="V646" s="120"/>
      <c r="W646" s="121"/>
      <c r="X646" s="120"/>
      <c r="Y646" s="120"/>
      <c r="Z646" s="120"/>
      <c r="AA646" s="120"/>
      <c r="AB646" s="120"/>
      <c r="AC646" s="120"/>
      <c r="AD646" s="120"/>
      <c r="AE646" s="120"/>
      <c r="AF646" s="120"/>
      <c r="AG646" s="120"/>
      <c r="AH646" s="120"/>
      <c r="AI646" s="120"/>
      <c r="AJ646" s="120"/>
      <c r="AK646" s="120"/>
      <c r="AL646" s="120"/>
      <c r="AM646" s="120"/>
      <c r="AN646" s="120"/>
      <c r="AO646" s="120"/>
      <c r="AP646" s="120"/>
      <c r="AQ646" s="120"/>
      <c r="AR646" s="120"/>
      <c r="AS646" s="120"/>
      <c r="AT646" s="120"/>
      <c r="AU646" s="120"/>
      <c r="AV646" s="120"/>
      <c r="AW646" s="120"/>
      <c r="AX646" s="120"/>
      <c r="AY646" s="120"/>
      <c r="AZ646" s="120"/>
      <c r="BA646" s="120"/>
      <c r="BB646" s="120"/>
      <c r="BC646" s="120"/>
      <c r="BD646" s="120"/>
      <c r="BE646" s="120"/>
      <c r="BF646" s="120"/>
      <c r="BG646" s="120"/>
      <c r="BH646" s="120"/>
      <c r="BI646" s="120"/>
      <c r="BJ646" s="120"/>
      <c r="BK646" s="120"/>
      <c r="BL646" s="120"/>
      <c r="BM646" s="120"/>
      <c r="BN646" s="120"/>
      <c r="BO646" s="120"/>
      <c r="BP646" s="120"/>
      <c r="BQ646" s="120"/>
      <c r="BR646" s="120"/>
      <c r="BS646" s="120"/>
      <c r="BT646" s="120"/>
      <c r="BU646" s="120"/>
      <c r="BV646" s="120"/>
      <c r="BW646" s="120"/>
      <c r="BX646" s="120"/>
      <c r="BY646" s="120"/>
      <c r="BZ646" s="120"/>
      <c r="CA646" s="120"/>
      <c r="CB646" s="120"/>
      <c r="CC646" s="120"/>
      <c r="CD646" s="120"/>
      <c r="CE646" s="120"/>
      <c r="CF646" s="120"/>
      <c r="CG646" s="120"/>
      <c r="CH646" s="120"/>
      <c r="CI646" s="120"/>
      <c r="CJ646" s="120"/>
      <c r="CK646" s="120"/>
      <c r="CL646" s="120"/>
      <c r="CM646" s="120"/>
      <c r="CN646" s="120"/>
      <c r="CO646" s="120"/>
    </row>
    <row r="647" spans="1:93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1"/>
      <c r="U647" s="120"/>
      <c r="V647" s="120"/>
      <c r="W647" s="121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  <c r="AJ647" s="120"/>
      <c r="AK647" s="120"/>
      <c r="AL647" s="120"/>
      <c r="AM647" s="120"/>
      <c r="AN647" s="120"/>
      <c r="AO647" s="120"/>
      <c r="AP647" s="120"/>
      <c r="AQ647" s="120"/>
      <c r="AR647" s="120"/>
      <c r="AS647" s="120"/>
      <c r="AT647" s="120"/>
      <c r="AU647" s="120"/>
      <c r="AV647" s="120"/>
      <c r="AW647" s="120"/>
      <c r="AX647" s="120"/>
      <c r="AY647" s="120"/>
      <c r="AZ647" s="120"/>
      <c r="BA647" s="120"/>
      <c r="BB647" s="120"/>
      <c r="BC647" s="120"/>
      <c r="BD647" s="120"/>
      <c r="BE647" s="120"/>
      <c r="BF647" s="120"/>
      <c r="BG647" s="120"/>
      <c r="BH647" s="120"/>
      <c r="BI647" s="120"/>
      <c r="BJ647" s="120"/>
      <c r="BK647" s="120"/>
      <c r="BL647" s="120"/>
      <c r="BM647" s="120"/>
      <c r="BN647" s="120"/>
      <c r="BO647" s="120"/>
      <c r="BP647" s="120"/>
      <c r="BQ647" s="120"/>
      <c r="BR647" s="120"/>
      <c r="BS647" s="120"/>
      <c r="BT647" s="120"/>
      <c r="BU647" s="120"/>
      <c r="BV647" s="120"/>
      <c r="BW647" s="120"/>
      <c r="BX647" s="120"/>
      <c r="BY647" s="120"/>
      <c r="BZ647" s="120"/>
      <c r="CA647" s="120"/>
      <c r="CB647" s="120"/>
      <c r="CC647" s="120"/>
      <c r="CD647" s="120"/>
      <c r="CE647" s="120"/>
      <c r="CF647" s="120"/>
      <c r="CG647" s="120"/>
      <c r="CH647" s="120"/>
      <c r="CI647" s="120"/>
      <c r="CJ647" s="120"/>
      <c r="CK647" s="120"/>
      <c r="CL647" s="120"/>
      <c r="CM647" s="120"/>
      <c r="CN647" s="120"/>
      <c r="CO647" s="120"/>
    </row>
    <row r="648" spans="1:93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1"/>
      <c r="U648" s="120"/>
      <c r="V648" s="120"/>
      <c r="W648" s="121"/>
      <c r="X648" s="120"/>
      <c r="Y648" s="120"/>
      <c r="Z648" s="120"/>
      <c r="AA648" s="120"/>
      <c r="AB648" s="120"/>
      <c r="AC648" s="120"/>
      <c r="AD648" s="120"/>
      <c r="AE648" s="120"/>
      <c r="AF648" s="120"/>
      <c r="AG648" s="120"/>
      <c r="AH648" s="120"/>
      <c r="AI648" s="120"/>
      <c r="AJ648" s="120"/>
      <c r="AK648" s="120"/>
      <c r="AL648" s="120"/>
      <c r="AM648" s="120"/>
      <c r="AN648" s="120"/>
      <c r="AO648" s="120"/>
      <c r="AP648" s="120"/>
      <c r="AQ648" s="120"/>
      <c r="AR648" s="120"/>
      <c r="AS648" s="120"/>
      <c r="AT648" s="120"/>
      <c r="AU648" s="120"/>
      <c r="AV648" s="120"/>
      <c r="AW648" s="120"/>
      <c r="AX648" s="120"/>
      <c r="AY648" s="120"/>
      <c r="AZ648" s="120"/>
      <c r="BA648" s="120"/>
      <c r="BB648" s="120"/>
      <c r="BC648" s="120"/>
      <c r="BD648" s="120"/>
      <c r="BE648" s="120"/>
      <c r="BF648" s="120"/>
      <c r="BG648" s="120"/>
      <c r="BH648" s="120"/>
      <c r="BI648" s="120"/>
      <c r="BJ648" s="120"/>
      <c r="BK648" s="120"/>
      <c r="BL648" s="120"/>
      <c r="BM648" s="120"/>
      <c r="BN648" s="120"/>
      <c r="BO648" s="120"/>
      <c r="BP648" s="120"/>
      <c r="BQ648" s="120"/>
      <c r="BR648" s="120"/>
      <c r="BS648" s="120"/>
      <c r="BT648" s="120"/>
      <c r="BU648" s="120"/>
      <c r="BV648" s="120"/>
      <c r="BW648" s="120"/>
      <c r="BX648" s="120"/>
      <c r="BY648" s="120"/>
      <c r="BZ648" s="120"/>
      <c r="CA648" s="120"/>
      <c r="CB648" s="120"/>
      <c r="CC648" s="120"/>
      <c r="CD648" s="120"/>
      <c r="CE648" s="120"/>
      <c r="CF648" s="120"/>
      <c r="CG648" s="120"/>
      <c r="CH648" s="120"/>
      <c r="CI648" s="120"/>
      <c r="CJ648" s="120"/>
      <c r="CK648" s="120"/>
      <c r="CL648" s="120"/>
      <c r="CM648" s="120"/>
      <c r="CN648" s="120"/>
      <c r="CO648" s="120"/>
    </row>
    <row r="649" spans="1:93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1"/>
      <c r="U649" s="120"/>
      <c r="V649" s="120"/>
      <c r="W649" s="121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  <c r="AJ649" s="120"/>
      <c r="AK649" s="120"/>
      <c r="AL649" s="120"/>
      <c r="AM649" s="120"/>
      <c r="AN649" s="120"/>
      <c r="AO649" s="120"/>
      <c r="AP649" s="120"/>
      <c r="AQ649" s="120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20"/>
      <c r="BC649" s="120"/>
      <c r="BD649" s="120"/>
      <c r="BE649" s="120"/>
      <c r="BF649" s="120"/>
      <c r="BG649" s="120"/>
      <c r="BH649" s="120"/>
      <c r="BI649" s="120"/>
      <c r="BJ649" s="120"/>
      <c r="BK649" s="120"/>
      <c r="BL649" s="120"/>
      <c r="BM649" s="120"/>
      <c r="BN649" s="120"/>
      <c r="BO649" s="120"/>
      <c r="BP649" s="120"/>
      <c r="BQ649" s="120"/>
      <c r="BR649" s="120"/>
      <c r="BS649" s="120"/>
      <c r="BT649" s="120"/>
      <c r="BU649" s="120"/>
      <c r="BV649" s="120"/>
      <c r="BW649" s="120"/>
      <c r="BX649" s="120"/>
      <c r="BY649" s="120"/>
      <c r="BZ649" s="120"/>
      <c r="CA649" s="120"/>
      <c r="CB649" s="120"/>
      <c r="CC649" s="120"/>
      <c r="CD649" s="120"/>
      <c r="CE649" s="120"/>
      <c r="CF649" s="120"/>
      <c r="CG649" s="120"/>
      <c r="CH649" s="120"/>
      <c r="CI649" s="120"/>
      <c r="CJ649" s="120"/>
      <c r="CK649" s="120"/>
      <c r="CL649" s="120"/>
      <c r="CM649" s="120"/>
      <c r="CN649" s="120"/>
      <c r="CO649" s="120"/>
    </row>
    <row r="650" spans="1:93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1"/>
      <c r="U650" s="120"/>
      <c r="V650" s="120"/>
      <c r="W650" s="121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120"/>
      <c r="AI650" s="120"/>
      <c r="AJ650" s="120"/>
      <c r="AK650" s="120"/>
      <c r="AL650" s="120"/>
      <c r="AM650" s="120"/>
      <c r="AN650" s="120"/>
      <c r="AO650" s="120"/>
      <c r="AP650" s="120"/>
      <c r="AQ650" s="120"/>
      <c r="AR650" s="120"/>
      <c r="AS650" s="120"/>
      <c r="AT650" s="120"/>
      <c r="AU650" s="120"/>
      <c r="AV650" s="120"/>
      <c r="AW650" s="120"/>
      <c r="AX650" s="120"/>
      <c r="AY650" s="120"/>
      <c r="AZ650" s="120"/>
      <c r="BA650" s="120"/>
      <c r="BB650" s="120"/>
      <c r="BC650" s="120"/>
      <c r="BD650" s="120"/>
      <c r="BE650" s="120"/>
      <c r="BF650" s="120"/>
      <c r="BG650" s="120"/>
      <c r="BH650" s="120"/>
      <c r="BI650" s="120"/>
      <c r="BJ650" s="120"/>
      <c r="BK650" s="120"/>
      <c r="BL650" s="120"/>
      <c r="BM650" s="120"/>
      <c r="BN650" s="120"/>
      <c r="BO650" s="120"/>
      <c r="BP650" s="120"/>
      <c r="BQ650" s="120"/>
      <c r="BR650" s="120"/>
      <c r="BS650" s="120"/>
      <c r="BT650" s="120"/>
      <c r="BU650" s="120"/>
      <c r="BV650" s="120"/>
      <c r="BW650" s="120"/>
      <c r="BX650" s="120"/>
      <c r="BY650" s="120"/>
      <c r="BZ650" s="120"/>
      <c r="CA650" s="120"/>
      <c r="CB650" s="120"/>
      <c r="CC650" s="120"/>
      <c r="CD650" s="120"/>
      <c r="CE650" s="120"/>
      <c r="CF650" s="120"/>
      <c r="CG650" s="120"/>
      <c r="CH650" s="120"/>
      <c r="CI650" s="120"/>
      <c r="CJ650" s="120"/>
      <c r="CK650" s="120"/>
      <c r="CL650" s="120"/>
      <c r="CM650" s="120"/>
      <c r="CN650" s="120"/>
      <c r="CO650" s="120"/>
    </row>
    <row r="651" spans="1:93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1"/>
      <c r="U651" s="120"/>
      <c r="V651" s="120"/>
      <c r="W651" s="121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  <c r="AJ651" s="120"/>
      <c r="AK651" s="120"/>
      <c r="AL651" s="120"/>
      <c r="AM651" s="120"/>
      <c r="AN651" s="120"/>
      <c r="AO651" s="120"/>
      <c r="AP651" s="120"/>
      <c r="AQ651" s="120"/>
      <c r="AR651" s="120"/>
      <c r="AS651" s="120"/>
      <c r="AT651" s="120"/>
      <c r="AU651" s="120"/>
      <c r="AV651" s="120"/>
      <c r="AW651" s="120"/>
      <c r="AX651" s="120"/>
      <c r="AY651" s="120"/>
      <c r="AZ651" s="120"/>
      <c r="BA651" s="120"/>
      <c r="BB651" s="120"/>
      <c r="BC651" s="120"/>
      <c r="BD651" s="120"/>
      <c r="BE651" s="120"/>
      <c r="BF651" s="120"/>
      <c r="BG651" s="120"/>
      <c r="BH651" s="120"/>
      <c r="BI651" s="120"/>
      <c r="BJ651" s="120"/>
      <c r="BK651" s="120"/>
      <c r="BL651" s="120"/>
      <c r="BM651" s="120"/>
      <c r="BN651" s="120"/>
      <c r="BO651" s="120"/>
      <c r="BP651" s="120"/>
      <c r="BQ651" s="120"/>
      <c r="BR651" s="120"/>
      <c r="BS651" s="120"/>
      <c r="BT651" s="120"/>
      <c r="BU651" s="120"/>
      <c r="BV651" s="120"/>
      <c r="BW651" s="120"/>
      <c r="BX651" s="120"/>
      <c r="BY651" s="120"/>
      <c r="BZ651" s="120"/>
      <c r="CA651" s="120"/>
      <c r="CB651" s="120"/>
      <c r="CC651" s="120"/>
      <c r="CD651" s="120"/>
      <c r="CE651" s="120"/>
      <c r="CF651" s="120"/>
      <c r="CG651" s="120"/>
      <c r="CH651" s="120"/>
      <c r="CI651" s="120"/>
      <c r="CJ651" s="120"/>
      <c r="CK651" s="120"/>
      <c r="CL651" s="120"/>
      <c r="CM651" s="120"/>
      <c r="CN651" s="120"/>
      <c r="CO651" s="120"/>
    </row>
    <row r="652" spans="1:93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1"/>
      <c r="U652" s="120"/>
      <c r="V652" s="120"/>
      <c r="W652" s="121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  <c r="AJ652" s="120"/>
      <c r="AK652" s="120"/>
      <c r="AL652" s="120"/>
      <c r="AM652" s="120"/>
      <c r="AN652" s="120"/>
      <c r="AO652" s="120"/>
      <c r="AP652" s="120"/>
      <c r="AQ652" s="120"/>
      <c r="AR652" s="120"/>
      <c r="AS652" s="120"/>
      <c r="AT652" s="120"/>
      <c r="AU652" s="120"/>
      <c r="AV652" s="120"/>
      <c r="AW652" s="120"/>
      <c r="AX652" s="120"/>
      <c r="AY652" s="120"/>
      <c r="AZ652" s="120"/>
      <c r="BA652" s="120"/>
      <c r="BB652" s="120"/>
      <c r="BC652" s="120"/>
      <c r="BD652" s="120"/>
      <c r="BE652" s="120"/>
      <c r="BF652" s="120"/>
      <c r="BG652" s="120"/>
      <c r="BH652" s="120"/>
      <c r="BI652" s="120"/>
      <c r="BJ652" s="120"/>
      <c r="BK652" s="120"/>
      <c r="BL652" s="120"/>
      <c r="BM652" s="120"/>
      <c r="BN652" s="120"/>
      <c r="BO652" s="120"/>
      <c r="BP652" s="120"/>
      <c r="BQ652" s="120"/>
      <c r="BR652" s="120"/>
      <c r="BS652" s="120"/>
      <c r="BT652" s="120"/>
      <c r="BU652" s="120"/>
      <c r="BV652" s="120"/>
      <c r="BW652" s="120"/>
      <c r="BX652" s="120"/>
      <c r="BY652" s="120"/>
      <c r="BZ652" s="120"/>
      <c r="CA652" s="120"/>
      <c r="CB652" s="120"/>
      <c r="CC652" s="120"/>
      <c r="CD652" s="120"/>
      <c r="CE652" s="120"/>
      <c r="CF652" s="120"/>
      <c r="CG652" s="120"/>
      <c r="CH652" s="120"/>
      <c r="CI652" s="120"/>
      <c r="CJ652" s="120"/>
      <c r="CK652" s="120"/>
      <c r="CL652" s="120"/>
      <c r="CM652" s="120"/>
      <c r="CN652" s="120"/>
      <c r="CO652" s="120"/>
    </row>
    <row r="653" spans="1:93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1"/>
      <c r="U653" s="120"/>
      <c r="V653" s="120"/>
      <c r="W653" s="121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  <c r="AJ653" s="120"/>
      <c r="AK653" s="120"/>
      <c r="AL653" s="120"/>
      <c r="AM653" s="120"/>
      <c r="AN653" s="120"/>
      <c r="AO653" s="120"/>
      <c r="AP653" s="120"/>
      <c r="AQ653" s="120"/>
      <c r="AR653" s="120"/>
      <c r="AS653" s="120"/>
      <c r="AT653" s="120"/>
      <c r="AU653" s="120"/>
      <c r="AV653" s="120"/>
      <c r="AW653" s="120"/>
      <c r="AX653" s="120"/>
      <c r="AY653" s="120"/>
      <c r="AZ653" s="120"/>
      <c r="BA653" s="120"/>
      <c r="BB653" s="120"/>
      <c r="BC653" s="120"/>
      <c r="BD653" s="120"/>
      <c r="BE653" s="120"/>
      <c r="BF653" s="120"/>
      <c r="BG653" s="120"/>
      <c r="BH653" s="120"/>
      <c r="BI653" s="120"/>
      <c r="BJ653" s="120"/>
      <c r="BK653" s="120"/>
      <c r="BL653" s="120"/>
      <c r="BM653" s="120"/>
      <c r="BN653" s="120"/>
      <c r="BO653" s="120"/>
      <c r="BP653" s="120"/>
      <c r="BQ653" s="120"/>
      <c r="BR653" s="120"/>
      <c r="BS653" s="120"/>
      <c r="BT653" s="120"/>
      <c r="BU653" s="120"/>
      <c r="BV653" s="120"/>
      <c r="BW653" s="120"/>
      <c r="BX653" s="120"/>
      <c r="BY653" s="120"/>
      <c r="BZ653" s="120"/>
      <c r="CA653" s="120"/>
      <c r="CB653" s="120"/>
      <c r="CC653" s="120"/>
      <c r="CD653" s="120"/>
      <c r="CE653" s="120"/>
      <c r="CF653" s="120"/>
      <c r="CG653" s="120"/>
      <c r="CH653" s="120"/>
      <c r="CI653" s="120"/>
      <c r="CJ653" s="120"/>
      <c r="CK653" s="120"/>
      <c r="CL653" s="120"/>
      <c r="CM653" s="120"/>
      <c r="CN653" s="120"/>
      <c r="CO653" s="120"/>
    </row>
    <row r="654" spans="1:93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1"/>
      <c r="U654" s="120"/>
      <c r="V654" s="120"/>
      <c r="W654" s="121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  <c r="AJ654" s="120"/>
      <c r="AK654" s="120"/>
      <c r="AL654" s="120"/>
      <c r="AM654" s="120"/>
      <c r="AN654" s="120"/>
      <c r="AO654" s="120"/>
      <c r="AP654" s="120"/>
      <c r="AQ654" s="120"/>
      <c r="AR654" s="120"/>
      <c r="AS654" s="120"/>
      <c r="AT654" s="120"/>
      <c r="AU654" s="120"/>
      <c r="AV654" s="120"/>
      <c r="AW654" s="120"/>
      <c r="AX654" s="120"/>
      <c r="AY654" s="120"/>
      <c r="AZ654" s="120"/>
      <c r="BA654" s="120"/>
      <c r="BB654" s="120"/>
      <c r="BC654" s="120"/>
      <c r="BD654" s="120"/>
      <c r="BE654" s="120"/>
      <c r="BF654" s="120"/>
      <c r="BG654" s="120"/>
      <c r="BH654" s="120"/>
      <c r="BI654" s="120"/>
      <c r="BJ654" s="120"/>
      <c r="BK654" s="120"/>
      <c r="BL654" s="120"/>
      <c r="BM654" s="120"/>
      <c r="BN654" s="120"/>
      <c r="BO654" s="120"/>
      <c r="BP654" s="120"/>
      <c r="BQ654" s="120"/>
      <c r="BR654" s="120"/>
      <c r="BS654" s="120"/>
      <c r="BT654" s="120"/>
      <c r="BU654" s="120"/>
      <c r="BV654" s="120"/>
      <c r="BW654" s="120"/>
      <c r="BX654" s="120"/>
      <c r="BY654" s="120"/>
      <c r="BZ654" s="120"/>
      <c r="CA654" s="120"/>
      <c r="CB654" s="120"/>
      <c r="CC654" s="120"/>
      <c r="CD654" s="120"/>
      <c r="CE654" s="120"/>
      <c r="CF654" s="120"/>
      <c r="CG654" s="120"/>
      <c r="CH654" s="120"/>
      <c r="CI654" s="120"/>
      <c r="CJ654" s="120"/>
      <c r="CK654" s="120"/>
      <c r="CL654" s="120"/>
      <c r="CM654" s="120"/>
      <c r="CN654" s="120"/>
      <c r="CO654" s="120"/>
    </row>
    <row r="655" spans="1:93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1"/>
      <c r="U655" s="120"/>
      <c r="V655" s="120"/>
      <c r="W655" s="121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  <c r="AJ655" s="120"/>
      <c r="AK655" s="120"/>
      <c r="AL655" s="120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20"/>
      <c r="AW655" s="120"/>
      <c r="AX655" s="120"/>
      <c r="AY655" s="120"/>
      <c r="AZ655" s="120"/>
      <c r="BA655" s="120"/>
      <c r="BB655" s="120"/>
      <c r="BC655" s="120"/>
      <c r="BD655" s="120"/>
      <c r="BE655" s="120"/>
      <c r="BF655" s="120"/>
      <c r="BG655" s="120"/>
      <c r="BH655" s="120"/>
      <c r="BI655" s="120"/>
      <c r="BJ655" s="120"/>
      <c r="BK655" s="120"/>
      <c r="BL655" s="120"/>
      <c r="BM655" s="120"/>
      <c r="BN655" s="120"/>
      <c r="BO655" s="120"/>
      <c r="BP655" s="120"/>
      <c r="BQ655" s="120"/>
      <c r="BR655" s="120"/>
      <c r="BS655" s="120"/>
      <c r="BT655" s="120"/>
      <c r="BU655" s="120"/>
      <c r="BV655" s="120"/>
      <c r="BW655" s="120"/>
      <c r="BX655" s="120"/>
      <c r="BY655" s="120"/>
      <c r="BZ655" s="120"/>
      <c r="CA655" s="120"/>
      <c r="CB655" s="120"/>
      <c r="CC655" s="120"/>
      <c r="CD655" s="120"/>
      <c r="CE655" s="120"/>
      <c r="CF655" s="120"/>
      <c r="CG655" s="120"/>
      <c r="CH655" s="120"/>
      <c r="CI655" s="120"/>
      <c r="CJ655" s="120"/>
      <c r="CK655" s="120"/>
      <c r="CL655" s="120"/>
      <c r="CM655" s="120"/>
      <c r="CN655" s="120"/>
      <c r="CO655" s="120"/>
    </row>
    <row r="656" spans="1:93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1"/>
      <c r="U656" s="120"/>
      <c r="V656" s="120"/>
      <c r="W656" s="121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  <c r="AJ656" s="120"/>
      <c r="AK656" s="120"/>
      <c r="AL656" s="120"/>
      <c r="AM656" s="120"/>
      <c r="AN656" s="120"/>
      <c r="AO656" s="120"/>
      <c r="AP656" s="120"/>
      <c r="AQ656" s="120"/>
      <c r="AR656" s="120"/>
      <c r="AS656" s="120"/>
      <c r="AT656" s="120"/>
      <c r="AU656" s="120"/>
      <c r="AV656" s="120"/>
      <c r="AW656" s="120"/>
      <c r="AX656" s="120"/>
      <c r="AY656" s="120"/>
      <c r="AZ656" s="120"/>
      <c r="BA656" s="120"/>
      <c r="BB656" s="120"/>
      <c r="BC656" s="120"/>
      <c r="BD656" s="120"/>
      <c r="BE656" s="120"/>
      <c r="BF656" s="120"/>
      <c r="BG656" s="120"/>
      <c r="BH656" s="120"/>
      <c r="BI656" s="120"/>
      <c r="BJ656" s="120"/>
      <c r="BK656" s="120"/>
      <c r="BL656" s="120"/>
      <c r="BM656" s="120"/>
      <c r="BN656" s="120"/>
      <c r="BO656" s="120"/>
      <c r="BP656" s="120"/>
      <c r="BQ656" s="120"/>
      <c r="BR656" s="120"/>
      <c r="BS656" s="120"/>
      <c r="BT656" s="120"/>
      <c r="BU656" s="120"/>
      <c r="BV656" s="120"/>
      <c r="BW656" s="120"/>
      <c r="BX656" s="120"/>
      <c r="BY656" s="120"/>
      <c r="BZ656" s="120"/>
      <c r="CA656" s="120"/>
      <c r="CB656" s="120"/>
      <c r="CC656" s="120"/>
      <c r="CD656" s="120"/>
      <c r="CE656" s="120"/>
      <c r="CF656" s="120"/>
      <c r="CG656" s="120"/>
      <c r="CH656" s="120"/>
      <c r="CI656" s="120"/>
      <c r="CJ656" s="120"/>
      <c r="CK656" s="120"/>
      <c r="CL656" s="120"/>
      <c r="CM656" s="120"/>
      <c r="CN656" s="120"/>
      <c r="CO656" s="120"/>
    </row>
    <row r="657" spans="1:93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1"/>
      <c r="U657" s="120"/>
      <c r="V657" s="120"/>
      <c r="W657" s="121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0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20"/>
      <c r="AW657" s="120"/>
      <c r="AX657" s="120"/>
      <c r="AY657" s="120"/>
      <c r="AZ657" s="120"/>
      <c r="BA657" s="120"/>
      <c r="BB657" s="120"/>
      <c r="BC657" s="120"/>
      <c r="BD657" s="120"/>
      <c r="BE657" s="120"/>
      <c r="BF657" s="120"/>
      <c r="BG657" s="120"/>
      <c r="BH657" s="120"/>
      <c r="BI657" s="120"/>
      <c r="BJ657" s="120"/>
      <c r="BK657" s="120"/>
      <c r="BL657" s="120"/>
      <c r="BM657" s="120"/>
      <c r="BN657" s="120"/>
      <c r="BO657" s="120"/>
      <c r="BP657" s="120"/>
      <c r="BQ657" s="120"/>
      <c r="BR657" s="120"/>
      <c r="BS657" s="120"/>
      <c r="BT657" s="120"/>
      <c r="BU657" s="120"/>
      <c r="BV657" s="120"/>
      <c r="BW657" s="120"/>
      <c r="BX657" s="120"/>
      <c r="BY657" s="120"/>
      <c r="BZ657" s="120"/>
      <c r="CA657" s="120"/>
      <c r="CB657" s="120"/>
      <c r="CC657" s="120"/>
      <c r="CD657" s="120"/>
      <c r="CE657" s="120"/>
      <c r="CF657" s="120"/>
      <c r="CG657" s="120"/>
      <c r="CH657" s="120"/>
      <c r="CI657" s="120"/>
      <c r="CJ657" s="120"/>
      <c r="CK657" s="120"/>
      <c r="CL657" s="120"/>
      <c r="CM657" s="120"/>
      <c r="CN657" s="120"/>
      <c r="CO657" s="120"/>
    </row>
    <row r="658" spans="1:93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1"/>
      <c r="U658" s="120"/>
      <c r="V658" s="120"/>
      <c r="W658" s="121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  <c r="AJ658" s="120"/>
      <c r="AK658" s="120"/>
      <c r="AL658" s="120"/>
      <c r="AM658" s="120"/>
      <c r="AN658" s="120"/>
      <c r="AO658" s="120"/>
      <c r="AP658" s="120"/>
      <c r="AQ658" s="120"/>
      <c r="AR658" s="120"/>
      <c r="AS658" s="120"/>
      <c r="AT658" s="120"/>
      <c r="AU658" s="120"/>
      <c r="AV658" s="120"/>
      <c r="AW658" s="120"/>
      <c r="AX658" s="120"/>
      <c r="AY658" s="120"/>
      <c r="AZ658" s="120"/>
      <c r="BA658" s="120"/>
      <c r="BB658" s="120"/>
      <c r="BC658" s="120"/>
      <c r="BD658" s="120"/>
      <c r="BE658" s="120"/>
      <c r="BF658" s="120"/>
      <c r="BG658" s="120"/>
      <c r="BH658" s="120"/>
      <c r="BI658" s="120"/>
      <c r="BJ658" s="120"/>
      <c r="BK658" s="120"/>
      <c r="BL658" s="120"/>
      <c r="BM658" s="120"/>
      <c r="BN658" s="120"/>
      <c r="BO658" s="120"/>
      <c r="BP658" s="120"/>
      <c r="BQ658" s="120"/>
      <c r="BR658" s="120"/>
      <c r="BS658" s="120"/>
      <c r="BT658" s="120"/>
      <c r="BU658" s="120"/>
      <c r="BV658" s="120"/>
      <c r="BW658" s="120"/>
      <c r="BX658" s="120"/>
      <c r="BY658" s="120"/>
      <c r="BZ658" s="120"/>
      <c r="CA658" s="120"/>
      <c r="CB658" s="120"/>
      <c r="CC658" s="120"/>
      <c r="CD658" s="120"/>
      <c r="CE658" s="120"/>
      <c r="CF658" s="120"/>
      <c r="CG658" s="120"/>
      <c r="CH658" s="120"/>
      <c r="CI658" s="120"/>
      <c r="CJ658" s="120"/>
      <c r="CK658" s="120"/>
      <c r="CL658" s="120"/>
      <c r="CM658" s="120"/>
      <c r="CN658" s="120"/>
      <c r="CO658" s="120"/>
    </row>
    <row r="659" spans="1:93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1"/>
      <c r="U659" s="120"/>
      <c r="V659" s="120"/>
      <c r="W659" s="121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0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20"/>
      <c r="AW659" s="120"/>
      <c r="AX659" s="120"/>
      <c r="AY659" s="120"/>
      <c r="AZ659" s="120"/>
      <c r="BA659" s="120"/>
      <c r="BB659" s="120"/>
      <c r="BC659" s="120"/>
      <c r="BD659" s="120"/>
      <c r="BE659" s="120"/>
      <c r="BF659" s="120"/>
      <c r="BG659" s="120"/>
      <c r="BH659" s="120"/>
      <c r="BI659" s="120"/>
      <c r="BJ659" s="120"/>
      <c r="BK659" s="120"/>
      <c r="BL659" s="120"/>
      <c r="BM659" s="120"/>
      <c r="BN659" s="120"/>
      <c r="BO659" s="120"/>
      <c r="BP659" s="120"/>
      <c r="BQ659" s="120"/>
      <c r="BR659" s="120"/>
      <c r="BS659" s="120"/>
      <c r="BT659" s="120"/>
      <c r="BU659" s="120"/>
      <c r="BV659" s="120"/>
      <c r="BW659" s="120"/>
      <c r="BX659" s="120"/>
      <c r="BY659" s="120"/>
      <c r="BZ659" s="120"/>
      <c r="CA659" s="120"/>
      <c r="CB659" s="120"/>
      <c r="CC659" s="120"/>
      <c r="CD659" s="120"/>
      <c r="CE659" s="120"/>
      <c r="CF659" s="120"/>
      <c r="CG659" s="120"/>
      <c r="CH659" s="120"/>
      <c r="CI659" s="120"/>
      <c r="CJ659" s="120"/>
      <c r="CK659" s="120"/>
      <c r="CL659" s="120"/>
      <c r="CM659" s="120"/>
      <c r="CN659" s="120"/>
      <c r="CO659" s="120"/>
    </row>
    <row r="660" spans="1:93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1"/>
      <c r="U660" s="120"/>
      <c r="V660" s="120"/>
      <c r="W660" s="121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  <c r="AJ660" s="120"/>
      <c r="AK660" s="120"/>
      <c r="AL660" s="120"/>
      <c r="AM660" s="120"/>
      <c r="AN660" s="120"/>
      <c r="AO660" s="120"/>
      <c r="AP660" s="120"/>
      <c r="AQ660" s="120"/>
      <c r="AR660" s="120"/>
      <c r="AS660" s="120"/>
      <c r="AT660" s="120"/>
      <c r="AU660" s="120"/>
      <c r="AV660" s="120"/>
      <c r="AW660" s="120"/>
      <c r="AX660" s="120"/>
      <c r="AY660" s="120"/>
      <c r="AZ660" s="120"/>
      <c r="BA660" s="120"/>
      <c r="BB660" s="120"/>
      <c r="BC660" s="120"/>
      <c r="BD660" s="120"/>
      <c r="BE660" s="120"/>
      <c r="BF660" s="120"/>
      <c r="BG660" s="120"/>
      <c r="BH660" s="120"/>
      <c r="BI660" s="120"/>
      <c r="BJ660" s="120"/>
      <c r="BK660" s="120"/>
      <c r="BL660" s="120"/>
      <c r="BM660" s="120"/>
      <c r="BN660" s="120"/>
      <c r="BO660" s="120"/>
      <c r="BP660" s="120"/>
      <c r="BQ660" s="120"/>
      <c r="BR660" s="120"/>
      <c r="BS660" s="120"/>
      <c r="BT660" s="120"/>
      <c r="BU660" s="120"/>
      <c r="BV660" s="120"/>
      <c r="BW660" s="120"/>
      <c r="BX660" s="120"/>
      <c r="BY660" s="120"/>
      <c r="BZ660" s="120"/>
      <c r="CA660" s="120"/>
      <c r="CB660" s="120"/>
      <c r="CC660" s="120"/>
      <c r="CD660" s="120"/>
      <c r="CE660" s="120"/>
      <c r="CF660" s="120"/>
      <c r="CG660" s="120"/>
      <c r="CH660" s="120"/>
      <c r="CI660" s="120"/>
      <c r="CJ660" s="120"/>
      <c r="CK660" s="120"/>
      <c r="CL660" s="120"/>
      <c r="CM660" s="120"/>
      <c r="CN660" s="120"/>
      <c r="CO660" s="120"/>
    </row>
    <row r="661" spans="1:93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1"/>
      <c r="U661" s="120"/>
      <c r="V661" s="120"/>
      <c r="W661" s="121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  <c r="AJ661" s="120"/>
      <c r="AK661" s="120"/>
      <c r="AL661" s="120"/>
      <c r="AM661" s="120"/>
      <c r="AN661" s="120"/>
      <c r="AO661" s="120"/>
      <c r="AP661" s="120"/>
      <c r="AQ661" s="120"/>
      <c r="AR661" s="120"/>
      <c r="AS661" s="120"/>
      <c r="AT661" s="120"/>
      <c r="AU661" s="120"/>
      <c r="AV661" s="120"/>
      <c r="AW661" s="120"/>
      <c r="AX661" s="120"/>
      <c r="AY661" s="120"/>
      <c r="AZ661" s="120"/>
      <c r="BA661" s="120"/>
      <c r="BB661" s="120"/>
      <c r="BC661" s="120"/>
      <c r="BD661" s="120"/>
      <c r="BE661" s="120"/>
      <c r="BF661" s="120"/>
      <c r="BG661" s="120"/>
      <c r="BH661" s="120"/>
      <c r="BI661" s="120"/>
      <c r="BJ661" s="120"/>
      <c r="BK661" s="120"/>
      <c r="BL661" s="120"/>
      <c r="BM661" s="120"/>
      <c r="BN661" s="120"/>
      <c r="BO661" s="120"/>
      <c r="BP661" s="120"/>
      <c r="BQ661" s="120"/>
      <c r="BR661" s="120"/>
      <c r="BS661" s="120"/>
      <c r="BT661" s="120"/>
      <c r="BU661" s="120"/>
      <c r="BV661" s="120"/>
      <c r="BW661" s="120"/>
      <c r="BX661" s="120"/>
      <c r="BY661" s="120"/>
      <c r="BZ661" s="120"/>
      <c r="CA661" s="120"/>
      <c r="CB661" s="120"/>
      <c r="CC661" s="120"/>
      <c r="CD661" s="120"/>
      <c r="CE661" s="120"/>
      <c r="CF661" s="120"/>
      <c r="CG661" s="120"/>
      <c r="CH661" s="120"/>
      <c r="CI661" s="120"/>
      <c r="CJ661" s="120"/>
      <c r="CK661" s="120"/>
      <c r="CL661" s="120"/>
      <c r="CM661" s="120"/>
      <c r="CN661" s="120"/>
      <c r="CO661" s="120"/>
    </row>
    <row r="662" spans="1:93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1"/>
      <c r="U662" s="120"/>
      <c r="V662" s="120"/>
      <c r="W662" s="121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0"/>
      <c r="AM662" s="120"/>
      <c r="AN662" s="120"/>
      <c r="AO662" s="120"/>
      <c r="AP662" s="120"/>
      <c r="AQ662" s="120"/>
      <c r="AR662" s="120"/>
      <c r="AS662" s="120"/>
      <c r="AT662" s="120"/>
      <c r="AU662" s="120"/>
      <c r="AV662" s="120"/>
      <c r="AW662" s="120"/>
      <c r="AX662" s="120"/>
      <c r="AY662" s="120"/>
      <c r="AZ662" s="120"/>
      <c r="BA662" s="120"/>
      <c r="BB662" s="120"/>
      <c r="BC662" s="120"/>
      <c r="BD662" s="120"/>
      <c r="BE662" s="120"/>
      <c r="BF662" s="120"/>
      <c r="BG662" s="120"/>
      <c r="BH662" s="120"/>
      <c r="BI662" s="120"/>
      <c r="BJ662" s="120"/>
      <c r="BK662" s="120"/>
      <c r="BL662" s="120"/>
      <c r="BM662" s="120"/>
      <c r="BN662" s="120"/>
      <c r="BO662" s="120"/>
      <c r="BP662" s="120"/>
      <c r="BQ662" s="120"/>
      <c r="BR662" s="120"/>
      <c r="BS662" s="120"/>
      <c r="BT662" s="120"/>
      <c r="BU662" s="120"/>
      <c r="BV662" s="120"/>
      <c r="BW662" s="120"/>
      <c r="BX662" s="120"/>
      <c r="BY662" s="120"/>
      <c r="BZ662" s="120"/>
      <c r="CA662" s="120"/>
      <c r="CB662" s="120"/>
      <c r="CC662" s="120"/>
      <c r="CD662" s="120"/>
      <c r="CE662" s="120"/>
      <c r="CF662" s="120"/>
      <c r="CG662" s="120"/>
      <c r="CH662" s="120"/>
      <c r="CI662" s="120"/>
      <c r="CJ662" s="120"/>
      <c r="CK662" s="120"/>
      <c r="CL662" s="120"/>
      <c r="CM662" s="120"/>
      <c r="CN662" s="120"/>
      <c r="CO662" s="120"/>
    </row>
    <row r="663" spans="1:93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1"/>
      <c r="U663" s="120"/>
      <c r="V663" s="120"/>
      <c r="W663" s="121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  <c r="AJ663" s="120"/>
      <c r="AK663" s="120"/>
      <c r="AL663" s="120"/>
      <c r="AM663" s="120"/>
      <c r="AN663" s="120"/>
      <c r="AO663" s="120"/>
      <c r="AP663" s="120"/>
      <c r="AQ663" s="120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20"/>
      <c r="BB663" s="120"/>
      <c r="BC663" s="120"/>
      <c r="BD663" s="120"/>
      <c r="BE663" s="120"/>
      <c r="BF663" s="120"/>
      <c r="BG663" s="120"/>
      <c r="BH663" s="120"/>
      <c r="BI663" s="120"/>
      <c r="BJ663" s="120"/>
      <c r="BK663" s="120"/>
      <c r="BL663" s="120"/>
      <c r="BM663" s="120"/>
      <c r="BN663" s="120"/>
      <c r="BO663" s="120"/>
      <c r="BP663" s="120"/>
      <c r="BQ663" s="120"/>
      <c r="BR663" s="120"/>
      <c r="BS663" s="120"/>
      <c r="BT663" s="120"/>
      <c r="BU663" s="120"/>
      <c r="BV663" s="120"/>
      <c r="BW663" s="120"/>
      <c r="BX663" s="120"/>
      <c r="BY663" s="120"/>
      <c r="BZ663" s="120"/>
      <c r="CA663" s="120"/>
      <c r="CB663" s="120"/>
      <c r="CC663" s="120"/>
      <c r="CD663" s="120"/>
      <c r="CE663" s="120"/>
      <c r="CF663" s="120"/>
      <c r="CG663" s="120"/>
      <c r="CH663" s="120"/>
      <c r="CI663" s="120"/>
      <c r="CJ663" s="120"/>
      <c r="CK663" s="120"/>
      <c r="CL663" s="120"/>
      <c r="CM663" s="120"/>
      <c r="CN663" s="120"/>
      <c r="CO663" s="120"/>
    </row>
    <row r="664" spans="1:93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1"/>
      <c r="U664" s="120"/>
      <c r="V664" s="120"/>
      <c r="W664" s="121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  <c r="AJ664" s="120"/>
      <c r="AK664" s="120"/>
      <c r="AL664" s="120"/>
      <c r="AM664" s="120"/>
      <c r="AN664" s="120"/>
      <c r="AO664" s="120"/>
      <c r="AP664" s="120"/>
      <c r="AQ664" s="120"/>
      <c r="AR664" s="120"/>
      <c r="AS664" s="120"/>
      <c r="AT664" s="120"/>
      <c r="AU664" s="120"/>
      <c r="AV664" s="120"/>
      <c r="AW664" s="120"/>
      <c r="AX664" s="120"/>
      <c r="AY664" s="120"/>
      <c r="AZ664" s="120"/>
      <c r="BA664" s="120"/>
      <c r="BB664" s="120"/>
      <c r="BC664" s="120"/>
      <c r="BD664" s="120"/>
      <c r="BE664" s="120"/>
      <c r="BF664" s="120"/>
      <c r="BG664" s="120"/>
      <c r="BH664" s="120"/>
      <c r="BI664" s="120"/>
      <c r="BJ664" s="120"/>
      <c r="BK664" s="120"/>
      <c r="BL664" s="120"/>
      <c r="BM664" s="120"/>
      <c r="BN664" s="120"/>
      <c r="BO664" s="120"/>
      <c r="BP664" s="120"/>
      <c r="BQ664" s="120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0"/>
      <c r="CB664" s="120"/>
      <c r="CC664" s="120"/>
      <c r="CD664" s="120"/>
      <c r="CE664" s="120"/>
      <c r="CF664" s="120"/>
      <c r="CG664" s="120"/>
      <c r="CH664" s="120"/>
      <c r="CI664" s="120"/>
      <c r="CJ664" s="120"/>
      <c r="CK664" s="120"/>
      <c r="CL664" s="120"/>
      <c r="CM664" s="120"/>
      <c r="CN664" s="120"/>
      <c r="CO664" s="120"/>
    </row>
    <row r="665" spans="1:93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1"/>
      <c r="U665" s="120"/>
      <c r="V665" s="120"/>
      <c r="W665" s="121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  <c r="AJ665" s="120"/>
      <c r="AK665" s="120"/>
      <c r="AL665" s="120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20"/>
      <c r="AW665" s="120"/>
      <c r="AX665" s="120"/>
      <c r="AY665" s="120"/>
      <c r="AZ665" s="120"/>
      <c r="BA665" s="120"/>
      <c r="BB665" s="120"/>
      <c r="BC665" s="120"/>
      <c r="BD665" s="120"/>
      <c r="BE665" s="120"/>
      <c r="BF665" s="120"/>
      <c r="BG665" s="120"/>
      <c r="BH665" s="120"/>
      <c r="BI665" s="120"/>
      <c r="BJ665" s="120"/>
      <c r="BK665" s="120"/>
      <c r="BL665" s="120"/>
      <c r="BM665" s="120"/>
      <c r="BN665" s="120"/>
      <c r="BO665" s="120"/>
      <c r="BP665" s="120"/>
      <c r="BQ665" s="120"/>
      <c r="BR665" s="120"/>
      <c r="BS665" s="120"/>
      <c r="BT665" s="120"/>
      <c r="BU665" s="120"/>
      <c r="BV665" s="120"/>
      <c r="BW665" s="120"/>
      <c r="BX665" s="120"/>
      <c r="BY665" s="120"/>
      <c r="BZ665" s="120"/>
      <c r="CA665" s="120"/>
      <c r="CB665" s="120"/>
      <c r="CC665" s="120"/>
      <c r="CD665" s="120"/>
      <c r="CE665" s="120"/>
      <c r="CF665" s="120"/>
      <c r="CG665" s="120"/>
      <c r="CH665" s="120"/>
      <c r="CI665" s="120"/>
      <c r="CJ665" s="120"/>
      <c r="CK665" s="120"/>
      <c r="CL665" s="120"/>
      <c r="CM665" s="120"/>
      <c r="CN665" s="120"/>
      <c r="CO665" s="120"/>
    </row>
    <row r="666" spans="1:93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1"/>
      <c r="U666" s="120"/>
      <c r="V666" s="120"/>
      <c r="W666" s="121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0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20"/>
      <c r="AW666" s="120"/>
      <c r="AX666" s="120"/>
      <c r="AY666" s="120"/>
      <c r="AZ666" s="120"/>
      <c r="BA666" s="120"/>
      <c r="BB666" s="120"/>
      <c r="BC666" s="120"/>
      <c r="BD666" s="120"/>
      <c r="BE666" s="120"/>
      <c r="BF666" s="120"/>
      <c r="BG666" s="120"/>
      <c r="BH666" s="120"/>
      <c r="BI666" s="120"/>
      <c r="BJ666" s="120"/>
      <c r="BK666" s="120"/>
      <c r="BL666" s="120"/>
      <c r="BM666" s="120"/>
      <c r="BN666" s="120"/>
      <c r="BO666" s="120"/>
      <c r="BP666" s="120"/>
      <c r="BQ666" s="120"/>
      <c r="BR666" s="120"/>
      <c r="BS666" s="120"/>
      <c r="BT666" s="120"/>
      <c r="BU666" s="120"/>
      <c r="BV666" s="120"/>
      <c r="BW666" s="120"/>
      <c r="BX666" s="120"/>
      <c r="BY666" s="120"/>
      <c r="BZ666" s="120"/>
      <c r="CA666" s="120"/>
      <c r="CB666" s="120"/>
      <c r="CC666" s="120"/>
      <c r="CD666" s="120"/>
      <c r="CE666" s="120"/>
      <c r="CF666" s="120"/>
      <c r="CG666" s="120"/>
      <c r="CH666" s="120"/>
      <c r="CI666" s="120"/>
      <c r="CJ666" s="120"/>
      <c r="CK666" s="120"/>
      <c r="CL666" s="120"/>
      <c r="CM666" s="120"/>
      <c r="CN666" s="120"/>
      <c r="CO666" s="120"/>
    </row>
    <row r="667" spans="1:93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1"/>
      <c r="U667" s="120"/>
      <c r="V667" s="120"/>
      <c r="W667" s="121"/>
      <c r="X667" s="120"/>
      <c r="Y667" s="120"/>
      <c r="Z667" s="120"/>
      <c r="AA667" s="120"/>
      <c r="AB667" s="120"/>
      <c r="AC667" s="120"/>
      <c r="AD667" s="120"/>
      <c r="AE667" s="120"/>
      <c r="AF667" s="120"/>
      <c r="AG667" s="120"/>
      <c r="AH667" s="120"/>
      <c r="AI667" s="120"/>
      <c r="AJ667" s="120"/>
      <c r="AK667" s="120"/>
      <c r="AL667" s="120"/>
      <c r="AM667" s="120"/>
      <c r="AN667" s="120"/>
      <c r="AO667" s="120"/>
      <c r="AP667" s="120"/>
      <c r="AQ667" s="120"/>
      <c r="AR667" s="120"/>
      <c r="AS667" s="120"/>
      <c r="AT667" s="120"/>
      <c r="AU667" s="120"/>
      <c r="AV667" s="120"/>
      <c r="AW667" s="120"/>
      <c r="AX667" s="120"/>
      <c r="AY667" s="120"/>
      <c r="AZ667" s="120"/>
      <c r="BA667" s="120"/>
      <c r="BB667" s="120"/>
      <c r="BC667" s="120"/>
      <c r="BD667" s="120"/>
      <c r="BE667" s="120"/>
      <c r="BF667" s="120"/>
      <c r="BG667" s="120"/>
      <c r="BH667" s="120"/>
      <c r="BI667" s="120"/>
      <c r="BJ667" s="120"/>
      <c r="BK667" s="120"/>
      <c r="BL667" s="120"/>
      <c r="BM667" s="120"/>
      <c r="BN667" s="120"/>
      <c r="BO667" s="120"/>
      <c r="BP667" s="120"/>
      <c r="BQ667" s="120"/>
      <c r="BR667" s="120"/>
      <c r="BS667" s="120"/>
      <c r="BT667" s="120"/>
      <c r="BU667" s="120"/>
      <c r="BV667" s="120"/>
      <c r="BW667" s="120"/>
      <c r="BX667" s="120"/>
      <c r="BY667" s="120"/>
      <c r="BZ667" s="120"/>
      <c r="CA667" s="120"/>
      <c r="CB667" s="120"/>
      <c r="CC667" s="120"/>
      <c r="CD667" s="120"/>
      <c r="CE667" s="120"/>
      <c r="CF667" s="120"/>
      <c r="CG667" s="120"/>
      <c r="CH667" s="120"/>
      <c r="CI667" s="120"/>
      <c r="CJ667" s="120"/>
      <c r="CK667" s="120"/>
      <c r="CL667" s="120"/>
      <c r="CM667" s="120"/>
      <c r="CN667" s="120"/>
      <c r="CO667" s="120"/>
    </row>
    <row r="668" spans="1:93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1"/>
      <c r="U668" s="120"/>
      <c r="V668" s="120"/>
      <c r="W668" s="121"/>
      <c r="X668" s="120"/>
      <c r="Y668" s="120"/>
      <c r="Z668" s="120"/>
      <c r="AA668" s="120"/>
      <c r="AB668" s="120"/>
      <c r="AC668" s="120"/>
      <c r="AD668" s="120"/>
      <c r="AE668" s="120"/>
      <c r="AF668" s="120"/>
      <c r="AG668" s="120"/>
      <c r="AH668" s="120"/>
      <c r="AI668" s="120"/>
      <c r="AJ668" s="120"/>
      <c r="AK668" s="120"/>
      <c r="AL668" s="120"/>
      <c r="AM668" s="120"/>
      <c r="AN668" s="120"/>
      <c r="AO668" s="120"/>
      <c r="AP668" s="120"/>
      <c r="AQ668" s="120"/>
      <c r="AR668" s="120"/>
      <c r="AS668" s="120"/>
      <c r="AT668" s="120"/>
      <c r="AU668" s="120"/>
      <c r="AV668" s="120"/>
      <c r="AW668" s="120"/>
      <c r="AX668" s="120"/>
      <c r="AY668" s="120"/>
      <c r="AZ668" s="120"/>
      <c r="BA668" s="120"/>
      <c r="BB668" s="120"/>
      <c r="BC668" s="120"/>
      <c r="BD668" s="120"/>
      <c r="BE668" s="120"/>
      <c r="BF668" s="120"/>
      <c r="BG668" s="120"/>
      <c r="BH668" s="120"/>
      <c r="BI668" s="120"/>
      <c r="BJ668" s="120"/>
      <c r="BK668" s="120"/>
      <c r="BL668" s="120"/>
      <c r="BM668" s="120"/>
      <c r="BN668" s="120"/>
      <c r="BO668" s="120"/>
      <c r="BP668" s="120"/>
      <c r="BQ668" s="120"/>
      <c r="BR668" s="120"/>
      <c r="BS668" s="120"/>
      <c r="BT668" s="120"/>
      <c r="BU668" s="120"/>
      <c r="BV668" s="120"/>
      <c r="BW668" s="120"/>
      <c r="BX668" s="120"/>
      <c r="BY668" s="120"/>
      <c r="BZ668" s="120"/>
      <c r="CA668" s="120"/>
      <c r="CB668" s="120"/>
      <c r="CC668" s="120"/>
      <c r="CD668" s="120"/>
      <c r="CE668" s="120"/>
      <c r="CF668" s="120"/>
      <c r="CG668" s="120"/>
      <c r="CH668" s="120"/>
      <c r="CI668" s="120"/>
      <c r="CJ668" s="120"/>
      <c r="CK668" s="120"/>
      <c r="CL668" s="120"/>
      <c r="CM668" s="120"/>
      <c r="CN668" s="120"/>
      <c r="CO668" s="120"/>
    </row>
    <row r="669" spans="1:93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1"/>
      <c r="U669" s="120"/>
      <c r="V669" s="120"/>
      <c r="W669" s="121"/>
      <c r="X669" s="120"/>
      <c r="Y669" s="120"/>
      <c r="Z669" s="120"/>
      <c r="AA669" s="120"/>
      <c r="AB669" s="120"/>
      <c r="AC669" s="120"/>
      <c r="AD669" s="120"/>
      <c r="AE669" s="120"/>
      <c r="AF669" s="120"/>
      <c r="AG669" s="120"/>
      <c r="AH669" s="120"/>
      <c r="AI669" s="120"/>
      <c r="AJ669" s="120"/>
      <c r="AK669" s="120"/>
      <c r="AL669" s="120"/>
      <c r="AM669" s="120"/>
      <c r="AN669" s="120"/>
      <c r="AO669" s="120"/>
      <c r="AP669" s="120"/>
      <c r="AQ669" s="120"/>
      <c r="AR669" s="120"/>
      <c r="AS669" s="120"/>
      <c r="AT669" s="120"/>
      <c r="AU669" s="120"/>
      <c r="AV669" s="120"/>
      <c r="AW669" s="120"/>
      <c r="AX669" s="120"/>
      <c r="AY669" s="120"/>
      <c r="AZ669" s="120"/>
      <c r="BA669" s="120"/>
      <c r="BB669" s="120"/>
      <c r="BC669" s="120"/>
      <c r="BD669" s="120"/>
      <c r="BE669" s="120"/>
      <c r="BF669" s="120"/>
      <c r="BG669" s="120"/>
      <c r="BH669" s="120"/>
      <c r="BI669" s="120"/>
      <c r="BJ669" s="120"/>
      <c r="BK669" s="120"/>
      <c r="BL669" s="120"/>
      <c r="BM669" s="120"/>
      <c r="BN669" s="120"/>
      <c r="BO669" s="120"/>
      <c r="BP669" s="120"/>
      <c r="BQ669" s="120"/>
      <c r="BR669" s="120"/>
      <c r="BS669" s="120"/>
      <c r="BT669" s="120"/>
      <c r="BU669" s="120"/>
      <c r="BV669" s="120"/>
      <c r="BW669" s="120"/>
      <c r="BX669" s="120"/>
      <c r="BY669" s="120"/>
      <c r="BZ669" s="120"/>
      <c r="CA669" s="120"/>
      <c r="CB669" s="120"/>
      <c r="CC669" s="120"/>
      <c r="CD669" s="120"/>
      <c r="CE669" s="120"/>
      <c r="CF669" s="120"/>
      <c r="CG669" s="120"/>
      <c r="CH669" s="120"/>
      <c r="CI669" s="120"/>
      <c r="CJ669" s="120"/>
      <c r="CK669" s="120"/>
      <c r="CL669" s="120"/>
      <c r="CM669" s="120"/>
      <c r="CN669" s="120"/>
      <c r="CO669" s="120"/>
    </row>
    <row r="670" spans="1:93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1"/>
      <c r="U670" s="120"/>
      <c r="V670" s="120"/>
      <c r="W670" s="121"/>
      <c r="X670" s="120"/>
      <c r="Y670" s="120"/>
      <c r="Z670" s="120"/>
      <c r="AA670" s="120"/>
      <c r="AB670" s="120"/>
      <c r="AC670" s="120"/>
      <c r="AD670" s="120"/>
      <c r="AE670" s="120"/>
      <c r="AF670" s="120"/>
      <c r="AG670" s="120"/>
      <c r="AH670" s="120"/>
      <c r="AI670" s="120"/>
      <c r="AJ670" s="120"/>
      <c r="AK670" s="120"/>
      <c r="AL670" s="120"/>
      <c r="AM670" s="120"/>
      <c r="AN670" s="120"/>
      <c r="AO670" s="120"/>
      <c r="AP670" s="120"/>
      <c r="AQ670" s="120"/>
      <c r="AR670" s="120"/>
      <c r="AS670" s="120"/>
      <c r="AT670" s="120"/>
      <c r="AU670" s="120"/>
      <c r="AV670" s="120"/>
      <c r="AW670" s="120"/>
      <c r="AX670" s="120"/>
      <c r="AY670" s="120"/>
      <c r="AZ670" s="120"/>
      <c r="BA670" s="120"/>
      <c r="BB670" s="120"/>
      <c r="BC670" s="120"/>
      <c r="BD670" s="120"/>
      <c r="BE670" s="120"/>
      <c r="BF670" s="120"/>
      <c r="BG670" s="120"/>
      <c r="BH670" s="120"/>
      <c r="BI670" s="120"/>
      <c r="BJ670" s="120"/>
      <c r="BK670" s="120"/>
      <c r="BL670" s="120"/>
      <c r="BM670" s="120"/>
      <c r="BN670" s="120"/>
      <c r="BO670" s="120"/>
      <c r="BP670" s="120"/>
      <c r="BQ670" s="120"/>
      <c r="BR670" s="120"/>
      <c r="BS670" s="120"/>
      <c r="BT670" s="120"/>
      <c r="BU670" s="120"/>
      <c r="BV670" s="120"/>
      <c r="BW670" s="120"/>
      <c r="BX670" s="120"/>
      <c r="BY670" s="120"/>
      <c r="BZ670" s="120"/>
      <c r="CA670" s="120"/>
      <c r="CB670" s="120"/>
      <c r="CC670" s="120"/>
      <c r="CD670" s="120"/>
      <c r="CE670" s="120"/>
      <c r="CF670" s="120"/>
      <c r="CG670" s="120"/>
      <c r="CH670" s="120"/>
      <c r="CI670" s="120"/>
      <c r="CJ670" s="120"/>
      <c r="CK670" s="120"/>
      <c r="CL670" s="120"/>
      <c r="CM670" s="120"/>
      <c r="CN670" s="120"/>
      <c r="CO670" s="120"/>
    </row>
    <row r="671" spans="1:93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1"/>
      <c r="U671" s="120"/>
      <c r="V671" s="120"/>
      <c r="W671" s="121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  <c r="AJ671" s="120"/>
      <c r="AK671" s="120"/>
      <c r="AL671" s="120"/>
      <c r="AM671" s="120"/>
      <c r="AN671" s="120"/>
      <c r="AO671" s="120"/>
      <c r="AP671" s="120"/>
      <c r="AQ671" s="120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20"/>
      <c r="BC671" s="120"/>
      <c r="BD671" s="120"/>
      <c r="BE671" s="120"/>
      <c r="BF671" s="120"/>
      <c r="BG671" s="120"/>
      <c r="BH671" s="120"/>
      <c r="BI671" s="120"/>
      <c r="BJ671" s="120"/>
      <c r="BK671" s="120"/>
      <c r="BL671" s="120"/>
      <c r="BM671" s="120"/>
      <c r="BN671" s="120"/>
      <c r="BO671" s="120"/>
      <c r="BP671" s="120"/>
      <c r="BQ671" s="120"/>
      <c r="BR671" s="120"/>
      <c r="BS671" s="120"/>
      <c r="BT671" s="120"/>
      <c r="BU671" s="120"/>
      <c r="BV671" s="120"/>
      <c r="BW671" s="120"/>
      <c r="BX671" s="120"/>
      <c r="BY671" s="120"/>
      <c r="BZ671" s="120"/>
      <c r="CA671" s="120"/>
      <c r="CB671" s="120"/>
      <c r="CC671" s="120"/>
      <c r="CD671" s="120"/>
      <c r="CE671" s="120"/>
      <c r="CF671" s="120"/>
      <c r="CG671" s="120"/>
      <c r="CH671" s="120"/>
      <c r="CI671" s="120"/>
      <c r="CJ671" s="120"/>
      <c r="CK671" s="120"/>
      <c r="CL671" s="120"/>
      <c r="CM671" s="120"/>
      <c r="CN671" s="120"/>
      <c r="CO671" s="120"/>
    </row>
    <row r="672" spans="1:93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1"/>
      <c r="U672" s="120"/>
      <c r="V672" s="120"/>
      <c r="W672" s="121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  <c r="AJ672" s="120"/>
      <c r="AK672" s="120"/>
      <c r="AL672" s="120"/>
      <c r="AM672" s="120"/>
      <c r="AN672" s="120"/>
      <c r="AO672" s="120"/>
      <c r="AP672" s="120"/>
      <c r="AQ672" s="120"/>
      <c r="AR672" s="120"/>
      <c r="AS672" s="120"/>
      <c r="AT672" s="120"/>
      <c r="AU672" s="120"/>
      <c r="AV672" s="120"/>
      <c r="AW672" s="120"/>
      <c r="AX672" s="120"/>
      <c r="AY672" s="120"/>
      <c r="AZ672" s="120"/>
      <c r="BA672" s="120"/>
      <c r="BB672" s="120"/>
      <c r="BC672" s="120"/>
      <c r="BD672" s="120"/>
      <c r="BE672" s="120"/>
      <c r="BF672" s="120"/>
      <c r="BG672" s="120"/>
      <c r="BH672" s="120"/>
      <c r="BI672" s="120"/>
      <c r="BJ672" s="120"/>
      <c r="BK672" s="120"/>
      <c r="BL672" s="120"/>
      <c r="BM672" s="120"/>
      <c r="BN672" s="120"/>
      <c r="BO672" s="120"/>
      <c r="BP672" s="120"/>
      <c r="BQ672" s="120"/>
      <c r="BR672" s="120"/>
      <c r="BS672" s="120"/>
      <c r="BT672" s="120"/>
      <c r="BU672" s="120"/>
      <c r="BV672" s="120"/>
      <c r="BW672" s="120"/>
      <c r="BX672" s="120"/>
      <c r="BY672" s="120"/>
      <c r="BZ672" s="120"/>
      <c r="CA672" s="120"/>
      <c r="CB672" s="120"/>
      <c r="CC672" s="120"/>
      <c r="CD672" s="120"/>
      <c r="CE672" s="120"/>
      <c r="CF672" s="120"/>
      <c r="CG672" s="120"/>
      <c r="CH672" s="120"/>
      <c r="CI672" s="120"/>
      <c r="CJ672" s="120"/>
      <c r="CK672" s="120"/>
      <c r="CL672" s="120"/>
      <c r="CM672" s="120"/>
      <c r="CN672" s="120"/>
      <c r="CO672" s="120"/>
    </row>
    <row r="673" spans="1:93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1"/>
      <c r="U673" s="120"/>
      <c r="V673" s="120"/>
      <c r="W673" s="121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  <c r="AJ673" s="120"/>
      <c r="AK673" s="120"/>
      <c r="AL673" s="120"/>
      <c r="AM673" s="120"/>
      <c r="AN673" s="120"/>
      <c r="AO673" s="120"/>
      <c r="AP673" s="120"/>
      <c r="AQ673" s="120"/>
      <c r="AR673" s="120"/>
      <c r="AS673" s="120"/>
      <c r="AT673" s="120"/>
      <c r="AU673" s="120"/>
      <c r="AV673" s="120"/>
      <c r="AW673" s="120"/>
      <c r="AX673" s="120"/>
      <c r="AY673" s="120"/>
      <c r="AZ673" s="120"/>
      <c r="BA673" s="120"/>
      <c r="BB673" s="120"/>
      <c r="BC673" s="120"/>
      <c r="BD673" s="120"/>
      <c r="BE673" s="120"/>
      <c r="BF673" s="120"/>
      <c r="BG673" s="120"/>
      <c r="BH673" s="120"/>
      <c r="BI673" s="120"/>
      <c r="BJ673" s="120"/>
      <c r="BK673" s="120"/>
      <c r="BL673" s="120"/>
      <c r="BM673" s="120"/>
      <c r="BN673" s="120"/>
      <c r="BO673" s="120"/>
      <c r="BP673" s="120"/>
      <c r="BQ673" s="120"/>
      <c r="BR673" s="120"/>
      <c r="BS673" s="120"/>
      <c r="BT673" s="120"/>
      <c r="BU673" s="120"/>
      <c r="BV673" s="120"/>
      <c r="BW673" s="120"/>
      <c r="BX673" s="120"/>
      <c r="BY673" s="120"/>
      <c r="BZ673" s="120"/>
      <c r="CA673" s="120"/>
      <c r="CB673" s="120"/>
      <c r="CC673" s="120"/>
      <c r="CD673" s="120"/>
      <c r="CE673" s="120"/>
      <c r="CF673" s="120"/>
      <c r="CG673" s="120"/>
      <c r="CH673" s="120"/>
      <c r="CI673" s="120"/>
      <c r="CJ673" s="120"/>
      <c r="CK673" s="120"/>
      <c r="CL673" s="120"/>
      <c r="CM673" s="120"/>
      <c r="CN673" s="120"/>
      <c r="CO673" s="120"/>
    </row>
    <row r="674" spans="1:93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1"/>
      <c r="U674" s="120"/>
      <c r="V674" s="120"/>
      <c r="W674" s="121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  <c r="AJ674" s="120"/>
      <c r="AK674" s="120"/>
      <c r="AL674" s="120"/>
      <c r="AM674" s="120"/>
      <c r="AN674" s="120"/>
      <c r="AO674" s="120"/>
      <c r="AP674" s="120"/>
      <c r="AQ674" s="120"/>
      <c r="AR674" s="120"/>
      <c r="AS674" s="120"/>
      <c r="AT674" s="120"/>
      <c r="AU674" s="120"/>
      <c r="AV674" s="120"/>
      <c r="AW674" s="120"/>
      <c r="AX674" s="120"/>
      <c r="AY674" s="120"/>
      <c r="AZ674" s="120"/>
      <c r="BA674" s="120"/>
      <c r="BB674" s="120"/>
      <c r="BC674" s="120"/>
      <c r="BD674" s="120"/>
      <c r="BE674" s="120"/>
      <c r="BF674" s="120"/>
      <c r="BG674" s="120"/>
      <c r="BH674" s="120"/>
      <c r="BI674" s="120"/>
      <c r="BJ674" s="120"/>
      <c r="BK674" s="120"/>
      <c r="BL674" s="120"/>
      <c r="BM674" s="120"/>
      <c r="BN674" s="120"/>
      <c r="BO674" s="120"/>
      <c r="BP674" s="120"/>
      <c r="BQ674" s="120"/>
      <c r="BR674" s="120"/>
      <c r="BS674" s="120"/>
      <c r="BT674" s="120"/>
      <c r="BU674" s="120"/>
      <c r="BV674" s="120"/>
      <c r="BW674" s="120"/>
      <c r="BX674" s="120"/>
      <c r="BY674" s="120"/>
      <c r="BZ674" s="120"/>
      <c r="CA674" s="120"/>
      <c r="CB674" s="120"/>
      <c r="CC674" s="120"/>
      <c r="CD674" s="120"/>
      <c r="CE674" s="120"/>
      <c r="CF674" s="120"/>
      <c r="CG674" s="120"/>
      <c r="CH674" s="120"/>
      <c r="CI674" s="120"/>
      <c r="CJ674" s="120"/>
      <c r="CK674" s="120"/>
      <c r="CL674" s="120"/>
      <c r="CM674" s="120"/>
      <c r="CN674" s="120"/>
      <c r="CO674" s="120"/>
    </row>
    <row r="675" spans="1:93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1"/>
      <c r="U675" s="120"/>
      <c r="V675" s="120"/>
      <c r="W675" s="121"/>
      <c r="X675" s="120"/>
      <c r="Y675" s="120"/>
      <c r="Z675" s="120"/>
      <c r="AA675" s="120"/>
      <c r="AB675" s="120"/>
      <c r="AC675" s="120"/>
      <c r="AD675" s="120"/>
      <c r="AE675" s="120"/>
      <c r="AF675" s="120"/>
      <c r="AG675" s="120"/>
      <c r="AH675" s="120"/>
      <c r="AI675" s="120"/>
      <c r="AJ675" s="120"/>
      <c r="AK675" s="120"/>
      <c r="AL675" s="120"/>
      <c r="AM675" s="120"/>
      <c r="AN675" s="120"/>
      <c r="AO675" s="120"/>
      <c r="AP675" s="120"/>
      <c r="AQ675" s="120"/>
      <c r="AR675" s="120"/>
      <c r="AS675" s="120"/>
      <c r="AT675" s="120"/>
      <c r="AU675" s="120"/>
      <c r="AV675" s="120"/>
      <c r="AW675" s="120"/>
      <c r="AX675" s="120"/>
      <c r="AY675" s="120"/>
      <c r="AZ675" s="120"/>
      <c r="BA675" s="120"/>
      <c r="BB675" s="120"/>
      <c r="BC675" s="120"/>
      <c r="BD675" s="120"/>
      <c r="BE675" s="120"/>
      <c r="BF675" s="120"/>
      <c r="BG675" s="120"/>
      <c r="BH675" s="120"/>
      <c r="BI675" s="120"/>
      <c r="BJ675" s="120"/>
      <c r="BK675" s="120"/>
      <c r="BL675" s="120"/>
      <c r="BM675" s="120"/>
      <c r="BN675" s="120"/>
      <c r="BO675" s="120"/>
      <c r="BP675" s="120"/>
      <c r="BQ675" s="120"/>
      <c r="BR675" s="120"/>
      <c r="BS675" s="120"/>
      <c r="BT675" s="120"/>
      <c r="BU675" s="120"/>
      <c r="BV675" s="120"/>
      <c r="BW675" s="120"/>
      <c r="BX675" s="120"/>
      <c r="BY675" s="120"/>
      <c r="BZ675" s="120"/>
      <c r="CA675" s="120"/>
      <c r="CB675" s="120"/>
      <c r="CC675" s="120"/>
      <c r="CD675" s="120"/>
      <c r="CE675" s="120"/>
      <c r="CF675" s="120"/>
      <c r="CG675" s="120"/>
      <c r="CH675" s="120"/>
      <c r="CI675" s="120"/>
      <c r="CJ675" s="120"/>
      <c r="CK675" s="120"/>
      <c r="CL675" s="120"/>
      <c r="CM675" s="120"/>
      <c r="CN675" s="120"/>
      <c r="CO675" s="120"/>
    </row>
    <row r="676" spans="1:93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1"/>
      <c r="U676" s="120"/>
      <c r="V676" s="120"/>
      <c r="W676" s="121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  <c r="AJ676" s="120"/>
      <c r="AK676" s="120"/>
      <c r="AL676" s="120"/>
      <c r="AM676" s="120"/>
      <c r="AN676" s="120"/>
      <c r="AO676" s="120"/>
      <c r="AP676" s="120"/>
      <c r="AQ676" s="120"/>
      <c r="AR676" s="120"/>
      <c r="AS676" s="120"/>
      <c r="AT676" s="120"/>
      <c r="AU676" s="120"/>
      <c r="AV676" s="120"/>
      <c r="AW676" s="120"/>
      <c r="AX676" s="120"/>
      <c r="AY676" s="120"/>
      <c r="AZ676" s="120"/>
      <c r="BA676" s="120"/>
      <c r="BB676" s="120"/>
      <c r="BC676" s="120"/>
      <c r="BD676" s="120"/>
      <c r="BE676" s="120"/>
      <c r="BF676" s="120"/>
      <c r="BG676" s="120"/>
      <c r="BH676" s="120"/>
      <c r="BI676" s="120"/>
      <c r="BJ676" s="120"/>
      <c r="BK676" s="120"/>
      <c r="BL676" s="120"/>
      <c r="BM676" s="120"/>
      <c r="BN676" s="120"/>
      <c r="BO676" s="120"/>
      <c r="BP676" s="120"/>
      <c r="BQ676" s="120"/>
      <c r="BR676" s="120"/>
      <c r="BS676" s="120"/>
      <c r="BT676" s="120"/>
      <c r="BU676" s="120"/>
      <c r="BV676" s="120"/>
      <c r="BW676" s="120"/>
      <c r="BX676" s="120"/>
      <c r="BY676" s="120"/>
      <c r="BZ676" s="120"/>
      <c r="CA676" s="120"/>
      <c r="CB676" s="120"/>
      <c r="CC676" s="120"/>
      <c r="CD676" s="120"/>
      <c r="CE676" s="120"/>
      <c r="CF676" s="120"/>
      <c r="CG676" s="120"/>
      <c r="CH676" s="120"/>
      <c r="CI676" s="120"/>
      <c r="CJ676" s="120"/>
      <c r="CK676" s="120"/>
      <c r="CL676" s="120"/>
      <c r="CM676" s="120"/>
      <c r="CN676" s="120"/>
      <c r="CO676" s="120"/>
    </row>
    <row r="677" spans="1:93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1"/>
      <c r="U677" s="120"/>
      <c r="V677" s="120"/>
      <c r="W677" s="121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0"/>
      <c r="AV677" s="120"/>
      <c r="AW677" s="120"/>
      <c r="AX677" s="120"/>
      <c r="AY677" s="120"/>
      <c r="AZ677" s="120"/>
      <c r="BA677" s="120"/>
      <c r="BB677" s="120"/>
      <c r="BC677" s="120"/>
      <c r="BD677" s="120"/>
      <c r="BE677" s="120"/>
      <c r="BF677" s="120"/>
      <c r="BG677" s="120"/>
      <c r="BH677" s="120"/>
      <c r="BI677" s="120"/>
      <c r="BJ677" s="120"/>
      <c r="BK677" s="120"/>
      <c r="BL677" s="120"/>
      <c r="BM677" s="120"/>
      <c r="BN677" s="120"/>
      <c r="BO677" s="120"/>
      <c r="BP677" s="120"/>
      <c r="BQ677" s="120"/>
      <c r="BR677" s="120"/>
      <c r="BS677" s="120"/>
      <c r="BT677" s="120"/>
      <c r="BU677" s="120"/>
      <c r="BV677" s="120"/>
      <c r="BW677" s="120"/>
      <c r="BX677" s="120"/>
      <c r="BY677" s="120"/>
      <c r="BZ677" s="120"/>
      <c r="CA677" s="120"/>
      <c r="CB677" s="120"/>
      <c r="CC677" s="120"/>
      <c r="CD677" s="120"/>
      <c r="CE677" s="120"/>
      <c r="CF677" s="120"/>
      <c r="CG677" s="120"/>
      <c r="CH677" s="120"/>
      <c r="CI677" s="120"/>
      <c r="CJ677" s="120"/>
      <c r="CK677" s="120"/>
      <c r="CL677" s="120"/>
      <c r="CM677" s="120"/>
      <c r="CN677" s="120"/>
      <c r="CO677" s="120"/>
    </row>
    <row r="678" spans="1:93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1"/>
      <c r="U678" s="120"/>
      <c r="V678" s="120"/>
      <c r="W678" s="121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  <c r="AJ678" s="120"/>
      <c r="AK678" s="120"/>
      <c r="AL678" s="120"/>
      <c r="AM678" s="120"/>
      <c r="AN678" s="120"/>
      <c r="AO678" s="120"/>
      <c r="AP678" s="120"/>
      <c r="AQ678" s="120"/>
      <c r="AR678" s="120"/>
      <c r="AS678" s="120"/>
      <c r="AT678" s="120"/>
      <c r="AU678" s="120"/>
      <c r="AV678" s="120"/>
      <c r="AW678" s="120"/>
      <c r="AX678" s="120"/>
      <c r="AY678" s="120"/>
      <c r="AZ678" s="120"/>
      <c r="BA678" s="120"/>
      <c r="BB678" s="120"/>
      <c r="BC678" s="120"/>
      <c r="BD678" s="120"/>
      <c r="BE678" s="120"/>
      <c r="BF678" s="120"/>
      <c r="BG678" s="120"/>
      <c r="BH678" s="120"/>
      <c r="BI678" s="120"/>
      <c r="BJ678" s="120"/>
      <c r="BK678" s="120"/>
      <c r="BL678" s="120"/>
      <c r="BM678" s="120"/>
      <c r="BN678" s="120"/>
      <c r="BO678" s="120"/>
      <c r="BP678" s="120"/>
      <c r="BQ678" s="120"/>
      <c r="BR678" s="120"/>
      <c r="BS678" s="120"/>
      <c r="BT678" s="120"/>
      <c r="BU678" s="120"/>
      <c r="BV678" s="120"/>
      <c r="BW678" s="120"/>
      <c r="BX678" s="120"/>
      <c r="BY678" s="120"/>
      <c r="BZ678" s="120"/>
      <c r="CA678" s="120"/>
      <c r="CB678" s="120"/>
      <c r="CC678" s="120"/>
      <c r="CD678" s="120"/>
      <c r="CE678" s="120"/>
      <c r="CF678" s="120"/>
      <c r="CG678" s="120"/>
      <c r="CH678" s="120"/>
      <c r="CI678" s="120"/>
      <c r="CJ678" s="120"/>
      <c r="CK678" s="120"/>
      <c r="CL678" s="120"/>
      <c r="CM678" s="120"/>
      <c r="CN678" s="120"/>
      <c r="CO678" s="120"/>
    </row>
    <row r="679" spans="1:93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1"/>
      <c r="U679" s="120"/>
      <c r="V679" s="120"/>
      <c r="W679" s="121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0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0"/>
      <c r="BJ679" s="120"/>
      <c r="BK679" s="120"/>
      <c r="BL679" s="120"/>
      <c r="BM679" s="120"/>
      <c r="BN679" s="120"/>
      <c r="BO679" s="120"/>
      <c r="BP679" s="120"/>
      <c r="BQ679" s="120"/>
      <c r="BR679" s="120"/>
      <c r="BS679" s="120"/>
      <c r="BT679" s="120"/>
      <c r="BU679" s="120"/>
      <c r="BV679" s="120"/>
      <c r="BW679" s="120"/>
      <c r="BX679" s="120"/>
      <c r="BY679" s="120"/>
      <c r="BZ679" s="120"/>
      <c r="CA679" s="120"/>
      <c r="CB679" s="120"/>
      <c r="CC679" s="120"/>
      <c r="CD679" s="120"/>
      <c r="CE679" s="120"/>
      <c r="CF679" s="120"/>
      <c r="CG679" s="120"/>
      <c r="CH679" s="120"/>
      <c r="CI679" s="120"/>
      <c r="CJ679" s="120"/>
      <c r="CK679" s="120"/>
      <c r="CL679" s="120"/>
      <c r="CM679" s="120"/>
      <c r="CN679" s="120"/>
      <c r="CO679" s="120"/>
    </row>
    <row r="680" spans="1:93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1"/>
      <c r="U680" s="120"/>
      <c r="V680" s="120"/>
      <c r="W680" s="121"/>
      <c r="X680" s="120"/>
      <c r="Y680" s="120"/>
      <c r="Z680" s="120"/>
      <c r="AA680" s="120"/>
      <c r="AB680" s="120"/>
      <c r="AC680" s="120"/>
      <c r="AD680" s="120"/>
      <c r="AE680" s="120"/>
      <c r="AF680" s="120"/>
      <c r="AG680" s="120"/>
      <c r="AH680" s="120"/>
      <c r="AI680" s="120"/>
      <c r="AJ680" s="120"/>
      <c r="AK680" s="120"/>
      <c r="AL680" s="120"/>
      <c r="AM680" s="120"/>
      <c r="AN680" s="120"/>
      <c r="AO680" s="120"/>
      <c r="AP680" s="120"/>
      <c r="AQ680" s="120"/>
      <c r="AR680" s="120"/>
      <c r="AS680" s="120"/>
      <c r="AT680" s="120"/>
      <c r="AU680" s="120"/>
      <c r="AV680" s="120"/>
      <c r="AW680" s="120"/>
      <c r="AX680" s="120"/>
      <c r="AY680" s="120"/>
      <c r="AZ680" s="120"/>
      <c r="BA680" s="120"/>
      <c r="BB680" s="120"/>
      <c r="BC680" s="120"/>
      <c r="BD680" s="120"/>
      <c r="BE680" s="120"/>
      <c r="BF680" s="120"/>
      <c r="BG680" s="120"/>
      <c r="BH680" s="120"/>
      <c r="BI680" s="120"/>
      <c r="BJ680" s="120"/>
      <c r="BK680" s="120"/>
      <c r="BL680" s="120"/>
      <c r="BM680" s="120"/>
      <c r="BN680" s="120"/>
      <c r="BO680" s="120"/>
      <c r="BP680" s="120"/>
      <c r="BQ680" s="120"/>
      <c r="BR680" s="120"/>
      <c r="BS680" s="120"/>
      <c r="BT680" s="120"/>
      <c r="BU680" s="120"/>
      <c r="BV680" s="120"/>
      <c r="BW680" s="120"/>
      <c r="BX680" s="120"/>
      <c r="BY680" s="120"/>
      <c r="BZ680" s="120"/>
      <c r="CA680" s="120"/>
      <c r="CB680" s="120"/>
      <c r="CC680" s="120"/>
      <c r="CD680" s="120"/>
      <c r="CE680" s="120"/>
      <c r="CF680" s="120"/>
      <c r="CG680" s="120"/>
      <c r="CH680" s="120"/>
      <c r="CI680" s="120"/>
      <c r="CJ680" s="120"/>
      <c r="CK680" s="120"/>
      <c r="CL680" s="120"/>
      <c r="CM680" s="120"/>
      <c r="CN680" s="120"/>
      <c r="CO680" s="120"/>
    </row>
    <row r="681" spans="1:93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1"/>
      <c r="U681" s="120"/>
      <c r="V681" s="120"/>
      <c r="W681" s="121"/>
      <c r="X681" s="120"/>
      <c r="Y681" s="120"/>
      <c r="Z681" s="120"/>
      <c r="AA681" s="120"/>
      <c r="AB681" s="120"/>
      <c r="AC681" s="120"/>
      <c r="AD681" s="120"/>
      <c r="AE681" s="120"/>
      <c r="AF681" s="120"/>
      <c r="AG681" s="120"/>
      <c r="AH681" s="120"/>
      <c r="AI681" s="120"/>
      <c r="AJ681" s="120"/>
      <c r="AK681" s="120"/>
      <c r="AL681" s="120"/>
      <c r="AM681" s="120"/>
      <c r="AN681" s="120"/>
      <c r="AO681" s="120"/>
      <c r="AP681" s="120"/>
      <c r="AQ681" s="120"/>
      <c r="AR681" s="120"/>
      <c r="AS681" s="120"/>
      <c r="AT681" s="120"/>
      <c r="AU681" s="120"/>
      <c r="AV681" s="120"/>
      <c r="AW681" s="120"/>
      <c r="AX681" s="120"/>
      <c r="AY681" s="120"/>
      <c r="AZ681" s="120"/>
      <c r="BA681" s="120"/>
      <c r="BB681" s="120"/>
      <c r="BC681" s="120"/>
      <c r="BD681" s="120"/>
      <c r="BE681" s="120"/>
      <c r="BF681" s="120"/>
      <c r="BG681" s="120"/>
      <c r="BH681" s="120"/>
      <c r="BI681" s="120"/>
      <c r="BJ681" s="120"/>
      <c r="BK681" s="120"/>
      <c r="BL681" s="120"/>
      <c r="BM681" s="120"/>
      <c r="BN681" s="120"/>
      <c r="BO681" s="120"/>
      <c r="BP681" s="120"/>
      <c r="BQ681" s="120"/>
      <c r="BR681" s="120"/>
      <c r="BS681" s="120"/>
      <c r="BT681" s="120"/>
      <c r="BU681" s="120"/>
      <c r="BV681" s="120"/>
      <c r="BW681" s="120"/>
      <c r="BX681" s="120"/>
      <c r="BY681" s="120"/>
      <c r="BZ681" s="120"/>
      <c r="CA681" s="120"/>
      <c r="CB681" s="120"/>
      <c r="CC681" s="120"/>
      <c r="CD681" s="120"/>
      <c r="CE681" s="120"/>
      <c r="CF681" s="120"/>
      <c r="CG681" s="120"/>
      <c r="CH681" s="120"/>
      <c r="CI681" s="120"/>
      <c r="CJ681" s="120"/>
      <c r="CK681" s="120"/>
      <c r="CL681" s="120"/>
      <c r="CM681" s="120"/>
      <c r="CN681" s="120"/>
      <c r="CO681" s="120"/>
    </row>
    <row r="682" spans="1:93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1"/>
      <c r="U682" s="120"/>
      <c r="V682" s="120"/>
      <c r="W682" s="121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  <c r="AJ682" s="120"/>
      <c r="AK682" s="120"/>
      <c r="AL682" s="120"/>
      <c r="AM682" s="120"/>
      <c r="AN682" s="120"/>
      <c r="AO682" s="120"/>
      <c r="AP682" s="120"/>
      <c r="AQ682" s="120"/>
      <c r="AR682" s="120"/>
      <c r="AS682" s="120"/>
      <c r="AT682" s="120"/>
      <c r="AU682" s="120"/>
      <c r="AV682" s="120"/>
      <c r="AW682" s="120"/>
      <c r="AX682" s="120"/>
      <c r="AY682" s="120"/>
      <c r="AZ682" s="120"/>
      <c r="BA682" s="120"/>
      <c r="BB682" s="120"/>
      <c r="BC682" s="120"/>
      <c r="BD682" s="120"/>
      <c r="BE682" s="120"/>
      <c r="BF682" s="120"/>
      <c r="BG682" s="120"/>
      <c r="BH682" s="120"/>
      <c r="BI682" s="120"/>
      <c r="BJ682" s="120"/>
      <c r="BK682" s="120"/>
      <c r="BL682" s="120"/>
      <c r="BM682" s="120"/>
      <c r="BN682" s="120"/>
      <c r="BO682" s="120"/>
      <c r="BP682" s="120"/>
      <c r="BQ682" s="120"/>
      <c r="BR682" s="120"/>
      <c r="BS682" s="120"/>
      <c r="BT682" s="120"/>
      <c r="BU682" s="120"/>
      <c r="BV682" s="120"/>
      <c r="BW682" s="120"/>
      <c r="BX682" s="120"/>
      <c r="BY682" s="120"/>
      <c r="BZ682" s="120"/>
      <c r="CA682" s="120"/>
      <c r="CB682" s="120"/>
      <c r="CC682" s="120"/>
      <c r="CD682" s="120"/>
      <c r="CE682" s="120"/>
      <c r="CF682" s="120"/>
      <c r="CG682" s="120"/>
      <c r="CH682" s="120"/>
      <c r="CI682" s="120"/>
      <c r="CJ682" s="120"/>
      <c r="CK682" s="120"/>
      <c r="CL682" s="120"/>
      <c r="CM682" s="120"/>
      <c r="CN682" s="120"/>
      <c r="CO682" s="120"/>
    </row>
    <row r="683" spans="1:93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1"/>
      <c r="U683" s="120"/>
      <c r="V683" s="120"/>
      <c r="W683" s="121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  <c r="AJ683" s="120"/>
      <c r="AK683" s="120"/>
      <c r="AL683" s="120"/>
      <c r="AM683" s="120"/>
      <c r="AN683" s="120"/>
      <c r="AO683" s="120"/>
      <c r="AP683" s="120"/>
      <c r="AQ683" s="120"/>
      <c r="AR683" s="120"/>
      <c r="AS683" s="120"/>
      <c r="AT683" s="120"/>
      <c r="AU683" s="120"/>
      <c r="AV683" s="120"/>
      <c r="AW683" s="120"/>
      <c r="AX683" s="120"/>
      <c r="AY683" s="120"/>
      <c r="AZ683" s="120"/>
      <c r="BA683" s="120"/>
      <c r="BB683" s="120"/>
      <c r="BC683" s="120"/>
      <c r="BD683" s="120"/>
      <c r="BE683" s="120"/>
      <c r="BF683" s="120"/>
      <c r="BG683" s="120"/>
      <c r="BH683" s="120"/>
      <c r="BI683" s="120"/>
      <c r="BJ683" s="120"/>
      <c r="BK683" s="120"/>
      <c r="BL683" s="120"/>
      <c r="BM683" s="120"/>
      <c r="BN683" s="120"/>
      <c r="BO683" s="120"/>
      <c r="BP683" s="120"/>
      <c r="BQ683" s="120"/>
      <c r="BR683" s="120"/>
      <c r="BS683" s="120"/>
      <c r="BT683" s="120"/>
      <c r="BU683" s="120"/>
      <c r="BV683" s="120"/>
      <c r="BW683" s="120"/>
      <c r="BX683" s="120"/>
      <c r="BY683" s="120"/>
      <c r="BZ683" s="120"/>
      <c r="CA683" s="120"/>
      <c r="CB683" s="120"/>
      <c r="CC683" s="120"/>
      <c r="CD683" s="120"/>
      <c r="CE683" s="120"/>
      <c r="CF683" s="120"/>
      <c r="CG683" s="120"/>
      <c r="CH683" s="120"/>
      <c r="CI683" s="120"/>
      <c r="CJ683" s="120"/>
      <c r="CK683" s="120"/>
      <c r="CL683" s="120"/>
      <c r="CM683" s="120"/>
      <c r="CN683" s="120"/>
      <c r="CO683" s="120"/>
    </row>
    <row r="684" spans="1:93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1"/>
      <c r="U684" s="120"/>
      <c r="V684" s="120"/>
      <c r="W684" s="121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  <c r="AJ684" s="120"/>
      <c r="AK684" s="120"/>
      <c r="AL684" s="120"/>
      <c r="AM684" s="120"/>
      <c r="AN684" s="120"/>
      <c r="AO684" s="120"/>
      <c r="AP684" s="120"/>
      <c r="AQ684" s="120"/>
      <c r="AR684" s="120"/>
      <c r="AS684" s="120"/>
      <c r="AT684" s="120"/>
      <c r="AU684" s="120"/>
      <c r="AV684" s="120"/>
      <c r="AW684" s="120"/>
      <c r="AX684" s="120"/>
      <c r="AY684" s="120"/>
      <c r="AZ684" s="120"/>
      <c r="BA684" s="120"/>
      <c r="BB684" s="120"/>
      <c r="BC684" s="120"/>
      <c r="BD684" s="120"/>
      <c r="BE684" s="120"/>
      <c r="BF684" s="120"/>
      <c r="BG684" s="120"/>
      <c r="BH684" s="120"/>
      <c r="BI684" s="120"/>
      <c r="BJ684" s="120"/>
      <c r="BK684" s="120"/>
      <c r="BL684" s="120"/>
      <c r="BM684" s="120"/>
      <c r="BN684" s="120"/>
      <c r="BO684" s="120"/>
      <c r="BP684" s="120"/>
      <c r="BQ684" s="120"/>
      <c r="BR684" s="120"/>
      <c r="BS684" s="120"/>
      <c r="BT684" s="120"/>
      <c r="BU684" s="120"/>
      <c r="BV684" s="120"/>
      <c r="BW684" s="120"/>
      <c r="BX684" s="120"/>
      <c r="BY684" s="120"/>
      <c r="BZ684" s="120"/>
      <c r="CA684" s="120"/>
      <c r="CB684" s="120"/>
      <c r="CC684" s="120"/>
      <c r="CD684" s="120"/>
      <c r="CE684" s="120"/>
      <c r="CF684" s="120"/>
      <c r="CG684" s="120"/>
      <c r="CH684" s="120"/>
      <c r="CI684" s="120"/>
      <c r="CJ684" s="120"/>
      <c r="CK684" s="120"/>
      <c r="CL684" s="120"/>
      <c r="CM684" s="120"/>
      <c r="CN684" s="120"/>
      <c r="CO684" s="120"/>
    </row>
    <row r="685" spans="1:93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1"/>
      <c r="U685" s="120"/>
      <c r="V685" s="120"/>
      <c r="W685" s="121"/>
      <c r="X685" s="120"/>
      <c r="Y685" s="120"/>
      <c r="Z685" s="120"/>
      <c r="AA685" s="120"/>
      <c r="AB685" s="120"/>
      <c r="AC685" s="120"/>
      <c r="AD685" s="120"/>
      <c r="AE685" s="120"/>
      <c r="AF685" s="120"/>
      <c r="AG685" s="120"/>
      <c r="AH685" s="120"/>
      <c r="AI685" s="120"/>
      <c r="AJ685" s="120"/>
      <c r="AK685" s="120"/>
      <c r="AL685" s="120"/>
      <c r="AM685" s="120"/>
      <c r="AN685" s="120"/>
      <c r="AO685" s="120"/>
      <c r="AP685" s="120"/>
      <c r="AQ685" s="120"/>
      <c r="AR685" s="120"/>
      <c r="AS685" s="120"/>
      <c r="AT685" s="120"/>
      <c r="AU685" s="120"/>
      <c r="AV685" s="120"/>
      <c r="AW685" s="120"/>
      <c r="AX685" s="120"/>
      <c r="AY685" s="120"/>
      <c r="AZ685" s="120"/>
      <c r="BA685" s="120"/>
      <c r="BB685" s="120"/>
      <c r="BC685" s="120"/>
      <c r="BD685" s="120"/>
      <c r="BE685" s="120"/>
      <c r="BF685" s="120"/>
      <c r="BG685" s="120"/>
      <c r="BH685" s="120"/>
      <c r="BI685" s="120"/>
      <c r="BJ685" s="120"/>
      <c r="BK685" s="120"/>
      <c r="BL685" s="120"/>
      <c r="BM685" s="120"/>
      <c r="BN685" s="120"/>
      <c r="BO685" s="120"/>
      <c r="BP685" s="120"/>
      <c r="BQ685" s="120"/>
      <c r="BR685" s="120"/>
      <c r="BS685" s="120"/>
      <c r="BT685" s="120"/>
      <c r="BU685" s="120"/>
      <c r="BV685" s="120"/>
      <c r="BW685" s="120"/>
      <c r="BX685" s="120"/>
      <c r="BY685" s="120"/>
      <c r="BZ685" s="120"/>
      <c r="CA685" s="120"/>
      <c r="CB685" s="120"/>
      <c r="CC685" s="120"/>
      <c r="CD685" s="120"/>
      <c r="CE685" s="120"/>
      <c r="CF685" s="120"/>
      <c r="CG685" s="120"/>
      <c r="CH685" s="120"/>
      <c r="CI685" s="120"/>
      <c r="CJ685" s="120"/>
      <c r="CK685" s="120"/>
      <c r="CL685" s="120"/>
      <c r="CM685" s="120"/>
      <c r="CN685" s="120"/>
      <c r="CO685" s="120"/>
    </row>
    <row r="686" spans="1:93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1"/>
      <c r="U686" s="120"/>
      <c r="V686" s="120"/>
      <c r="W686" s="121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  <c r="AJ686" s="120"/>
      <c r="AK686" s="120"/>
      <c r="AL686" s="120"/>
      <c r="AM686" s="120"/>
      <c r="AN686" s="120"/>
      <c r="AO686" s="120"/>
      <c r="AP686" s="120"/>
      <c r="AQ686" s="120"/>
      <c r="AR686" s="120"/>
      <c r="AS686" s="120"/>
      <c r="AT686" s="120"/>
      <c r="AU686" s="120"/>
      <c r="AV686" s="120"/>
      <c r="AW686" s="120"/>
      <c r="AX686" s="120"/>
      <c r="AY686" s="120"/>
      <c r="AZ686" s="120"/>
      <c r="BA686" s="120"/>
      <c r="BB686" s="120"/>
      <c r="BC686" s="120"/>
      <c r="BD686" s="120"/>
      <c r="BE686" s="120"/>
      <c r="BF686" s="120"/>
      <c r="BG686" s="120"/>
      <c r="BH686" s="120"/>
      <c r="BI686" s="120"/>
      <c r="BJ686" s="120"/>
      <c r="BK686" s="120"/>
      <c r="BL686" s="120"/>
      <c r="BM686" s="120"/>
      <c r="BN686" s="120"/>
      <c r="BO686" s="120"/>
      <c r="BP686" s="120"/>
      <c r="BQ686" s="120"/>
      <c r="BR686" s="120"/>
      <c r="BS686" s="120"/>
      <c r="BT686" s="120"/>
      <c r="BU686" s="120"/>
      <c r="BV686" s="120"/>
      <c r="BW686" s="120"/>
      <c r="BX686" s="120"/>
      <c r="BY686" s="120"/>
      <c r="BZ686" s="120"/>
      <c r="CA686" s="120"/>
      <c r="CB686" s="120"/>
      <c r="CC686" s="120"/>
      <c r="CD686" s="120"/>
      <c r="CE686" s="120"/>
      <c r="CF686" s="120"/>
      <c r="CG686" s="120"/>
      <c r="CH686" s="120"/>
      <c r="CI686" s="120"/>
      <c r="CJ686" s="120"/>
      <c r="CK686" s="120"/>
      <c r="CL686" s="120"/>
      <c r="CM686" s="120"/>
      <c r="CN686" s="120"/>
      <c r="CO686" s="120"/>
    </row>
    <row r="687" spans="1:93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1"/>
      <c r="U687" s="120"/>
      <c r="V687" s="120"/>
      <c r="W687" s="121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  <c r="AJ687" s="120"/>
      <c r="AK687" s="120"/>
      <c r="AL687" s="120"/>
      <c r="AM687" s="120"/>
      <c r="AN687" s="120"/>
      <c r="AO687" s="120"/>
      <c r="AP687" s="120"/>
      <c r="AQ687" s="120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20"/>
      <c r="BC687" s="120"/>
      <c r="BD687" s="120"/>
      <c r="BE687" s="120"/>
      <c r="BF687" s="120"/>
      <c r="BG687" s="120"/>
      <c r="BH687" s="120"/>
      <c r="BI687" s="120"/>
      <c r="BJ687" s="120"/>
      <c r="BK687" s="120"/>
      <c r="BL687" s="120"/>
      <c r="BM687" s="120"/>
      <c r="BN687" s="120"/>
      <c r="BO687" s="120"/>
      <c r="BP687" s="120"/>
      <c r="BQ687" s="120"/>
      <c r="BR687" s="120"/>
      <c r="BS687" s="120"/>
      <c r="BT687" s="120"/>
      <c r="BU687" s="120"/>
      <c r="BV687" s="120"/>
      <c r="BW687" s="120"/>
      <c r="BX687" s="120"/>
      <c r="BY687" s="120"/>
      <c r="BZ687" s="120"/>
      <c r="CA687" s="120"/>
      <c r="CB687" s="120"/>
      <c r="CC687" s="120"/>
      <c r="CD687" s="120"/>
      <c r="CE687" s="120"/>
      <c r="CF687" s="120"/>
      <c r="CG687" s="120"/>
      <c r="CH687" s="120"/>
      <c r="CI687" s="120"/>
      <c r="CJ687" s="120"/>
      <c r="CK687" s="120"/>
      <c r="CL687" s="120"/>
      <c r="CM687" s="120"/>
      <c r="CN687" s="120"/>
      <c r="CO687" s="120"/>
    </row>
    <row r="688" spans="1:93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1"/>
      <c r="U688" s="120"/>
      <c r="V688" s="120"/>
      <c r="W688" s="121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  <c r="AJ688" s="120"/>
      <c r="AK688" s="120"/>
      <c r="AL688" s="120"/>
      <c r="AM688" s="120"/>
      <c r="AN688" s="120"/>
      <c r="AO688" s="120"/>
      <c r="AP688" s="120"/>
      <c r="AQ688" s="120"/>
      <c r="AR688" s="120"/>
      <c r="AS688" s="120"/>
      <c r="AT688" s="120"/>
      <c r="AU688" s="120"/>
      <c r="AV688" s="120"/>
      <c r="AW688" s="120"/>
      <c r="AX688" s="120"/>
      <c r="AY688" s="120"/>
      <c r="AZ688" s="120"/>
      <c r="BA688" s="120"/>
      <c r="BB688" s="120"/>
      <c r="BC688" s="120"/>
      <c r="BD688" s="120"/>
      <c r="BE688" s="120"/>
      <c r="BF688" s="120"/>
      <c r="BG688" s="120"/>
      <c r="BH688" s="120"/>
      <c r="BI688" s="120"/>
      <c r="BJ688" s="120"/>
      <c r="BK688" s="120"/>
      <c r="BL688" s="120"/>
      <c r="BM688" s="120"/>
      <c r="BN688" s="120"/>
      <c r="BO688" s="120"/>
      <c r="BP688" s="120"/>
      <c r="BQ688" s="120"/>
      <c r="BR688" s="120"/>
      <c r="BS688" s="120"/>
      <c r="BT688" s="120"/>
      <c r="BU688" s="120"/>
      <c r="BV688" s="120"/>
      <c r="BW688" s="120"/>
      <c r="BX688" s="120"/>
      <c r="BY688" s="120"/>
      <c r="BZ688" s="120"/>
      <c r="CA688" s="120"/>
      <c r="CB688" s="120"/>
      <c r="CC688" s="120"/>
      <c r="CD688" s="120"/>
      <c r="CE688" s="120"/>
      <c r="CF688" s="120"/>
      <c r="CG688" s="120"/>
      <c r="CH688" s="120"/>
      <c r="CI688" s="120"/>
      <c r="CJ688" s="120"/>
      <c r="CK688" s="120"/>
      <c r="CL688" s="120"/>
      <c r="CM688" s="120"/>
      <c r="CN688" s="120"/>
      <c r="CO688" s="120"/>
    </row>
    <row r="689" spans="1:93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1"/>
      <c r="U689" s="120"/>
      <c r="V689" s="120"/>
      <c r="W689" s="121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  <c r="AJ689" s="120"/>
      <c r="AK689" s="120"/>
      <c r="AL689" s="120"/>
      <c r="AM689" s="120"/>
      <c r="AN689" s="120"/>
      <c r="AO689" s="120"/>
      <c r="AP689" s="120"/>
      <c r="AQ689" s="120"/>
      <c r="AR689" s="120"/>
      <c r="AS689" s="120"/>
      <c r="AT689" s="120"/>
      <c r="AU689" s="120"/>
      <c r="AV689" s="120"/>
      <c r="AW689" s="120"/>
      <c r="AX689" s="120"/>
      <c r="AY689" s="120"/>
      <c r="AZ689" s="120"/>
      <c r="BA689" s="120"/>
      <c r="BB689" s="120"/>
      <c r="BC689" s="120"/>
      <c r="BD689" s="120"/>
      <c r="BE689" s="120"/>
      <c r="BF689" s="120"/>
      <c r="BG689" s="120"/>
      <c r="BH689" s="120"/>
      <c r="BI689" s="120"/>
      <c r="BJ689" s="120"/>
      <c r="BK689" s="120"/>
      <c r="BL689" s="120"/>
      <c r="BM689" s="120"/>
      <c r="BN689" s="120"/>
      <c r="BO689" s="120"/>
      <c r="BP689" s="120"/>
      <c r="BQ689" s="120"/>
      <c r="BR689" s="120"/>
      <c r="BS689" s="120"/>
      <c r="BT689" s="120"/>
      <c r="BU689" s="120"/>
      <c r="BV689" s="120"/>
      <c r="BW689" s="120"/>
      <c r="BX689" s="120"/>
      <c r="BY689" s="120"/>
      <c r="BZ689" s="120"/>
      <c r="CA689" s="120"/>
      <c r="CB689" s="120"/>
      <c r="CC689" s="120"/>
      <c r="CD689" s="120"/>
      <c r="CE689" s="120"/>
      <c r="CF689" s="120"/>
      <c r="CG689" s="120"/>
      <c r="CH689" s="120"/>
      <c r="CI689" s="120"/>
      <c r="CJ689" s="120"/>
      <c r="CK689" s="120"/>
      <c r="CL689" s="120"/>
      <c r="CM689" s="120"/>
      <c r="CN689" s="120"/>
      <c r="CO689" s="120"/>
    </row>
    <row r="690" spans="1:93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1"/>
      <c r="U690" s="120"/>
      <c r="V690" s="120"/>
      <c r="W690" s="121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  <c r="AJ690" s="120"/>
      <c r="AK690" s="120"/>
      <c r="AL690" s="120"/>
      <c r="AM690" s="120"/>
      <c r="AN690" s="120"/>
      <c r="AO690" s="120"/>
      <c r="AP690" s="120"/>
      <c r="AQ690" s="120"/>
      <c r="AR690" s="120"/>
      <c r="AS690" s="120"/>
      <c r="AT690" s="120"/>
      <c r="AU690" s="120"/>
      <c r="AV690" s="120"/>
      <c r="AW690" s="120"/>
      <c r="AX690" s="120"/>
      <c r="AY690" s="120"/>
      <c r="AZ690" s="120"/>
      <c r="BA690" s="120"/>
      <c r="BB690" s="120"/>
      <c r="BC690" s="120"/>
      <c r="BD690" s="120"/>
      <c r="BE690" s="120"/>
      <c r="BF690" s="120"/>
      <c r="BG690" s="120"/>
      <c r="BH690" s="120"/>
      <c r="BI690" s="120"/>
      <c r="BJ690" s="120"/>
      <c r="BK690" s="120"/>
      <c r="BL690" s="120"/>
      <c r="BM690" s="120"/>
      <c r="BN690" s="120"/>
      <c r="BO690" s="120"/>
      <c r="BP690" s="120"/>
      <c r="BQ690" s="120"/>
      <c r="BR690" s="120"/>
      <c r="BS690" s="120"/>
      <c r="BT690" s="120"/>
      <c r="BU690" s="120"/>
      <c r="BV690" s="120"/>
      <c r="BW690" s="120"/>
      <c r="BX690" s="120"/>
      <c r="BY690" s="120"/>
      <c r="BZ690" s="120"/>
      <c r="CA690" s="120"/>
      <c r="CB690" s="120"/>
      <c r="CC690" s="120"/>
      <c r="CD690" s="120"/>
      <c r="CE690" s="120"/>
      <c r="CF690" s="120"/>
      <c r="CG690" s="120"/>
      <c r="CH690" s="120"/>
      <c r="CI690" s="120"/>
      <c r="CJ690" s="120"/>
      <c r="CK690" s="120"/>
      <c r="CL690" s="120"/>
      <c r="CM690" s="120"/>
      <c r="CN690" s="120"/>
      <c r="CO690" s="120"/>
    </row>
    <row r="691" spans="1:93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1"/>
      <c r="U691" s="120"/>
      <c r="V691" s="120"/>
      <c r="W691" s="121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  <c r="AJ691" s="120"/>
      <c r="AK691" s="120"/>
      <c r="AL691" s="120"/>
      <c r="AM691" s="120"/>
      <c r="AN691" s="120"/>
      <c r="AO691" s="120"/>
      <c r="AP691" s="120"/>
      <c r="AQ691" s="120"/>
      <c r="AR691" s="120"/>
      <c r="AS691" s="120"/>
      <c r="AT691" s="120"/>
      <c r="AU691" s="120"/>
      <c r="AV691" s="120"/>
      <c r="AW691" s="120"/>
      <c r="AX691" s="120"/>
      <c r="AY691" s="120"/>
      <c r="AZ691" s="120"/>
      <c r="BA691" s="120"/>
      <c r="BB691" s="120"/>
      <c r="BC691" s="120"/>
      <c r="BD691" s="120"/>
      <c r="BE691" s="120"/>
      <c r="BF691" s="120"/>
      <c r="BG691" s="120"/>
      <c r="BH691" s="120"/>
      <c r="BI691" s="120"/>
      <c r="BJ691" s="120"/>
      <c r="BK691" s="120"/>
      <c r="BL691" s="120"/>
      <c r="BM691" s="120"/>
      <c r="BN691" s="120"/>
      <c r="BO691" s="120"/>
      <c r="BP691" s="120"/>
      <c r="BQ691" s="120"/>
      <c r="BR691" s="120"/>
      <c r="BS691" s="120"/>
      <c r="BT691" s="120"/>
      <c r="BU691" s="120"/>
      <c r="BV691" s="120"/>
      <c r="BW691" s="120"/>
      <c r="BX691" s="120"/>
      <c r="BY691" s="120"/>
      <c r="BZ691" s="120"/>
      <c r="CA691" s="120"/>
      <c r="CB691" s="120"/>
      <c r="CC691" s="120"/>
      <c r="CD691" s="120"/>
      <c r="CE691" s="120"/>
      <c r="CF691" s="120"/>
      <c r="CG691" s="120"/>
      <c r="CH691" s="120"/>
      <c r="CI691" s="120"/>
      <c r="CJ691" s="120"/>
      <c r="CK691" s="120"/>
      <c r="CL691" s="120"/>
      <c r="CM691" s="120"/>
      <c r="CN691" s="120"/>
      <c r="CO691" s="120"/>
    </row>
    <row r="692" spans="1:93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1"/>
      <c r="U692" s="120"/>
      <c r="V692" s="120"/>
      <c r="W692" s="121"/>
      <c r="X692" s="120"/>
      <c r="Y692" s="120"/>
      <c r="Z692" s="120"/>
      <c r="AA692" s="120"/>
      <c r="AB692" s="120"/>
      <c r="AC692" s="120"/>
      <c r="AD692" s="120"/>
      <c r="AE692" s="120"/>
      <c r="AF692" s="120"/>
      <c r="AG692" s="120"/>
      <c r="AH692" s="120"/>
      <c r="AI692" s="120"/>
      <c r="AJ692" s="120"/>
      <c r="AK692" s="120"/>
      <c r="AL692" s="120"/>
      <c r="AM692" s="120"/>
      <c r="AN692" s="120"/>
      <c r="AO692" s="120"/>
      <c r="AP692" s="120"/>
      <c r="AQ692" s="120"/>
      <c r="AR692" s="120"/>
      <c r="AS692" s="120"/>
      <c r="AT692" s="120"/>
      <c r="AU692" s="120"/>
      <c r="AV692" s="120"/>
      <c r="AW692" s="120"/>
      <c r="AX692" s="120"/>
      <c r="AY692" s="120"/>
      <c r="AZ692" s="120"/>
      <c r="BA692" s="120"/>
      <c r="BB692" s="120"/>
      <c r="BC692" s="120"/>
      <c r="BD692" s="120"/>
      <c r="BE692" s="120"/>
      <c r="BF692" s="120"/>
      <c r="BG692" s="120"/>
      <c r="BH692" s="120"/>
      <c r="BI692" s="120"/>
      <c r="BJ692" s="120"/>
      <c r="BK692" s="120"/>
      <c r="BL692" s="120"/>
      <c r="BM692" s="120"/>
      <c r="BN692" s="120"/>
      <c r="BO692" s="120"/>
      <c r="BP692" s="120"/>
      <c r="BQ692" s="120"/>
      <c r="BR692" s="120"/>
      <c r="BS692" s="120"/>
      <c r="BT692" s="120"/>
      <c r="BU692" s="120"/>
      <c r="BV692" s="120"/>
      <c r="BW692" s="120"/>
      <c r="BX692" s="120"/>
      <c r="BY692" s="120"/>
      <c r="BZ692" s="120"/>
      <c r="CA692" s="120"/>
      <c r="CB692" s="120"/>
      <c r="CC692" s="120"/>
      <c r="CD692" s="120"/>
      <c r="CE692" s="120"/>
      <c r="CF692" s="120"/>
      <c r="CG692" s="120"/>
      <c r="CH692" s="120"/>
      <c r="CI692" s="120"/>
      <c r="CJ692" s="120"/>
      <c r="CK692" s="120"/>
      <c r="CL692" s="120"/>
      <c r="CM692" s="120"/>
      <c r="CN692" s="120"/>
      <c r="CO692" s="120"/>
    </row>
    <row r="693" spans="1:93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1"/>
      <c r="U693" s="120"/>
      <c r="V693" s="120"/>
      <c r="W693" s="121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  <c r="AJ693" s="120"/>
      <c r="AK693" s="120"/>
      <c r="AL693" s="120"/>
      <c r="AM693" s="120"/>
      <c r="AN693" s="120"/>
      <c r="AO693" s="120"/>
      <c r="AP693" s="120"/>
      <c r="AQ693" s="120"/>
      <c r="AR693" s="120"/>
      <c r="AS693" s="120"/>
      <c r="AT693" s="120"/>
      <c r="AU693" s="120"/>
      <c r="AV693" s="120"/>
      <c r="AW693" s="120"/>
      <c r="AX693" s="120"/>
      <c r="AY693" s="120"/>
      <c r="AZ693" s="120"/>
      <c r="BA693" s="120"/>
      <c r="BB693" s="120"/>
      <c r="BC693" s="120"/>
      <c r="BD693" s="120"/>
      <c r="BE693" s="120"/>
      <c r="BF693" s="120"/>
      <c r="BG693" s="120"/>
      <c r="BH693" s="120"/>
      <c r="BI693" s="120"/>
      <c r="BJ693" s="120"/>
      <c r="BK693" s="120"/>
      <c r="BL693" s="120"/>
      <c r="BM693" s="120"/>
      <c r="BN693" s="120"/>
      <c r="BO693" s="120"/>
      <c r="BP693" s="120"/>
      <c r="BQ693" s="120"/>
      <c r="BR693" s="120"/>
      <c r="BS693" s="120"/>
      <c r="BT693" s="120"/>
      <c r="BU693" s="120"/>
      <c r="BV693" s="120"/>
      <c r="BW693" s="120"/>
      <c r="BX693" s="120"/>
      <c r="BY693" s="120"/>
      <c r="BZ693" s="120"/>
      <c r="CA693" s="120"/>
      <c r="CB693" s="120"/>
      <c r="CC693" s="120"/>
      <c r="CD693" s="120"/>
      <c r="CE693" s="120"/>
      <c r="CF693" s="120"/>
      <c r="CG693" s="120"/>
      <c r="CH693" s="120"/>
      <c r="CI693" s="120"/>
      <c r="CJ693" s="120"/>
      <c r="CK693" s="120"/>
      <c r="CL693" s="120"/>
      <c r="CM693" s="120"/>
      <c r="CN693" s="120"/>
      <c r="CO693" s="120"/>
    </row>
    <row r="694" spans="1:93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1"/>
      <c r="U694" s="120"/>
      <c r="V694" s="120"/>
      <c r="W694" s="121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  <c r="AJ694" s="120"/>
      <c r="AK694" s="120"/>
      <c r="AL694" s="120"/>
      <c r="AM694" s="120"/>
      <c r="AN694" s="120"/>
      <c r="AO694" s="120"/>
      <c r="AP694" s="120"/>
      <c r="AQ694" s="120"/>
      <c r="AR694" s="120"/>
      <c r="AS694" s="120"/>
      <c r="AT694" s="120"/>
      <c r="AU694" s="120"/>
      <c r="AV694" s="120"/>
      <c r="AW694" s="120"/>
      <c r="AX694" s="120"/>
      <c r="AY694" s="120"/>
      <c r="AZ694" s="120"/>
      <c r="BA694" s="120"/>
      <c r="BB694" s="120"/>
      <c r="BC694" s="120"/>
      <c r="BD694" s="120"/>
      <c r="BE694" s="120"/>
      <c r="BF694" s="120"/>
      <c r="BG694" s="120"/>
      <c r="BH694" s="120"/>
      <c r="BI694" s="120"/>
      <c r="BJ694" s="120"/>
      <c r="BK694" s="120"/>
      <c r="BL694" s="120"/>
      <c r="BM694" s="120"/>
      <c r="BN694" s="120"/>
      <c r="BO694" s="120"/>
      <c r="BP694" s="120"/>
      <c r="BQ694" s="120"/>
      <c r="BR694" s="120"/>
      <c r="BS694" s="120"/>
      <c r="BT694" s="120"/>
      <c r="BU694" s="120"/>
      <c r="BV694" s="120"/>
      <c r="BW694" s="120"/>
      <c r="BX694" s="120"/>
      <c r="BY694" s="120"/>
      <c r="BZ694" s="120"/>
      <c r="CA694" s="120"/>
      <c r="CB694" s="120"/>
      <c r="CC694" s="120"/>
      <c r="CD694" s="120"/>
      <c r="CE694" s="120"/>
      <c r="CF694" s="120"/>
      <c r="CG694" s="120"/>
      <c r="CH694" s="120"/>
      <c r="CI694" s="120"/>
      <c r="CJ694" s="120"/>
      <c r="CK694" s="120"/>
      <c r="CL694" s="120"/>
      <c r="CM694" s="120"/>
      <c r="CN694" s="120"/>
      <c r="CO694" s="120"/>
    </row>
    <row r="695" spans="1:93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1"/>
      <c r="U695" s="120"/>
      <c r="V695" s="120"/>
      <c r="W695" s="121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20"/>
      <c r="BK695" s="120"/>
      <c r="BL695" s="120"/>
      <c r="BM695" s="120"/>
      <c r="BN695" s="120"/>
      <c r="BO695" s="120"/>
      <c r="BP695" s="120"/>
      <c r="BQ695" s="120"/>
      <c r="BR695" s="120"/>
      <c r="BS695" s="120"/>
      <c r="BT695" s="120"/>
      <c r="BU695" s="120"/>
      <c r="BV695" s="120"/>
      <c r="BW695" s="120"/>
      <c r="BX695" s="120"/>
      <c r="BY695" s="120"/>
      <c r="BZ695" s="120"/>
      <c r="CA695" s="120"/>
      <c r="CB695" s="120"/>
      <c r="CC695" s="120"/>
      <c r="CD695" s="120"/>
      <c r="CE695" s="120"/>
      <c r="CF695" s="120"/>
      <c r="CG695" s="120"/>
      <c r="CH695" s="120"/>
      <c r="CI695" s="120"/>
      <c r="CJ695" s="120"/>
      <c r="CK695" s="120"/>
      <c r="CL695" s="120"/>
      <c r="CM695" s="120"/>
      <c r="CN695" s="120"/>
      <c r="CO695" s="120"/>
    </row>
    <row r="696" spans="1:93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1"/>
      <c r="U696" s="120"/>
      <c r="V696" s="120"/>
      <c r="W696" s="121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0"/>
      <c r="AM696" s="120"/>
      <c r="AN696" s="120"/>
      <c r="AO696" s="120"/>
      <c r="AP696" s="120"/>
      <c r="AQ696" s="120"/>
      <c r="AR696" s="120"/>
      <c r="AS696" s="120"/>
      <c r="AT696" s="120"/>
      <c r="AU696" s="120"/>
      <c r="AV696" s="120"/>
      <c r="AW696" s="120"/>
      <c r="AX696" s="120"/>
      <c r="AY696" s="120"/>
      <c r="AZ696" s="120"/>
      <c r="BA696" s="120"/>
      <c r="BB696" s="120"/>
      <c r="BC696" s="120"/>
      <c r="BD696" s="120"/>
      <c r="BE696" s="120"/>
      <c r="BF696" s="120"/>
      <c r="BG696" s="120"/>
      <c r="BH696" s="120"/>
      <c r="BI696" s="120"/>
      <c r="BJ696" s="120"/>
      <c r="BK696" s="120"/>
      <c r="BL696" s="120"/>
      <c r="BM696" s="120"/>
      <c r="BN696" s="120"/>
      <c r="BO696" s="120"/>
      <c r="BP696" s="120"/>
      <c r="BQ696" s="120"/>
      <c r="BR696" s="120"/>
      <c r="BS696" s="120"/>
      <c r="BT696" s="120"/>
      <c r="BU696" s="120"/>
      <c r="BV696" s="120"/>
      <c r="BW696" s="120"/>
      <c r="BX696" s="120"/>
      <c r="BY696" s="120"/>
      <c r="BZ696" s="120"/>
      <c r="CA696" s="120"/>
      <c r="CB696" s="120"/>
      <c r="CC696" s="120"/>
      <c r="CD696" s="120"/>
      <c r="CE696" s="120"/>
      <c r="CF696" s="120"/>
      <c r="CG696" s="120"/>
      <c r="CH696" s="120"/>
      <c r="CI696" s="120"/>
      <c r="CJ696" s="120"/>
      <c r="CK696" s="120"/>
      <c r="CL696" s="120"/>
      <c r="CM696" s="120"/>
      <c r="CN696" s="120"/>
      <c r="CO696" s="120"/>
    </row>
    <row r="697" spans="1:93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1"/>
      <c r="U697" s="120"/>
      <c r="V697" s="120"/>
      <c r="W697" s="121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  <c r="AJ697" s="120"/>
      <c r="AK697" s="120"/>
      <c r="AL697" s="120"/>
      <c r="AM697" s="120"/>
      <c r="AN697" s="120"/>
      <c r="AO697" s="120"/>
      <c r="AP697" s="120"/>
      <c r="AQ697" s="120"/>
      <c r="AR697" s="120"/>
      <c r="AS697" s="120"/>
      <c r="AT697" s="120"/>
      <c r="AU697" s="120"/>
      <c r="AV697" s="120"/>
      <c r="AW697" s="120"/>
      <c r="AX697" s="120"/>
      <c r="AY697" s="120"/>
      <c r="AZ697" s="120"/>
      <c r="BA697" s="120"/>
      <c r="BB697" s="120"/>
      <c r="BC697" s="120"/>
      <c r="BD697" s="120"/>
      <c r="BE697" s="120"/>
      <c r="BF697" s="120"/>
      <c r="BG697" s="120"/>
      <c r="BH697" s="120"/>
      <c r="BI697" s="120"/>
      <c r="BJ697" s="120"/>
      <c r="BK697" s="120"/>
      <c r="BL697" s="120"/>
      <c r="BM697" s="120"/>
      <c r="BN697" s="120"/>
      <c r="BO697" s="120"/>
      <c r="BP697" s="120"/>
      <c r="BQ697" s="120"/>
      <c r="BR697" s="120"/>
      <c r="BS697" s="120"/>
      <c r="BT697" s="120"/>
      <c r="BU697" s="120"/>
      <c r="BV697" s="120"/>
      <c r="BW697" s="120"/>
      <c r="BX697" s="120"/>
      <c r="BY697" s="120"/>
      <c r="BZ697" s="120"/>
      <c r="CA697" s="120"/>
      <c r="CB697" s="120"/>
      <c r="CC697" s="120"/>
      <c r="CD697" s="120"/>
      <c r="CE697" s="120"/>
      <c r="CF697" s="120"/>
      <c r="CG697" s="120"/>
      <c r="CH697" s="120"/>
      <c r="CI697" s="120"/>
      <c r="CJ697" s="120"/>
      <c r="CK697" s="120"/>
      <c r="CL697" s="120"/>
      <c r="CM697" s="120"/>
      <c r="CN697" s="120"/>
      <c r="CO697" s="120"/>
    </row>
    <row r="698" spans="1:93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1"/>
      <c r="U698" s="120"/>
      <c r="V698" s="120"/>
      <c r="W698" s="121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0"/>
      <c r="AM698" s="120"/>
      <c r="AN698" s="120"/>
      <c r="AO698" s="120"/>
      <c r="AP698" s="120"/>
      <c r="AQ698" s="120"/>
      <c r="AR698" s="120"/>
      <c r="AS698" s="120"/>
      <c r="AT698" s="120"/>
      <c r="AU698" s="120"/>
      <c r="AV698" s="120"/>
      <c r="AW698" s="120"/>
      <c r="AX698" s="120"/>
      <c r="AY698" s="120"/>
      <c r="AZ698" s="120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20"/>
      <c r="BK698" s="120"/>
      <c r="BL698" s="120"/>
      <c r="BM698" s="120"/>
      <c r="BN698" s="120"/>
      <c r="BO698" s="120"/>
      <c r="BP698" s="120"/>
      <c r="BQ698" s="120"/>
      <c r="BR698" s="120"/>
      <c r="BS698" s="120"/>
      <c r="BT698" s="120"/>
      <c r="BU698" s="120"/>
      <c r="BV698" s="120"/>
      <c r="BW698" s="120"/>
      <c r="BX698" s="120"/>
      <c r="BY698" s="120"/>
      <c r="BZ698" s="120"/>
      <c r="CA698" s="120"/>
      <c r="CB698" s="120"/>
      <c r="CC698" s="120"/>
      <c r="CD698" s="120"/>
      <c r="CE698" s="120"/>
      <c r="CF698" s="120"/>
      <c r="CG698" s="120"/>
      <c r="CH698" s="120"/>
      <c r="CI698" s="120"/>
      <c r="CJ698" s="120"/>
      <c r="CK698" s="120"/>
      <c r="CL698" s="120"/>
      <c r="CM698" s="120"/>
      <c r="CN698" s="120"/>
      <c r="CO698" s="120"/>
    </row>
    <row r="699" spans="1:93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1"/>
      <c r="U699" s="120"/>
      <c r="V699" s="120"/>
      <c r="W699" s="121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0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120"/>
      <c r="BL699" s="120"/>
      <c r="BM699" s="120"/>
      <c r="BN699" s="120"/>
      <c r="BO699" s="120"/>
      <c r="BP699" s="120"/>
      <c r="BQ699" s="120"/>
      <c r="BR699" s="120"/>
      <c r="BS699" s="120"/>
      <c r="BT699" s="120"/>
      <c r="BU699" s="120"/>
      <c r="BV699" s="120"/>
      <c r="BW699" s="120"/>
      <c r="BX699" s="120"/>
      <c r="BY699" s="120"/>
      <c r="BZ699" s="120"/>
      <c r="CA699" s="120"/>
      <c r="CB699" s="120"/>
      <c r="CC699" s="120"/>
      <c r="CD699" s="120"/>
      <c r="CE699" s="120"/>
      <c r="CF699" s="120"/>
      <c r="CG699" s="120"/>
      <c r="CH699" s="120"/>
      <c r="CI699" s="120"/>
      <c r="CJ699" s="120"/>
      <c r="CK699" s="120"/>
      <c r="CL699" s="120"/>
      <c r="CM699" s="120"/>
      <c r="CN699" s="120"/>
      <c r="CO699" s="120"/>
    </row>
    <row r="700" spans="1:93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1"/>
      <c r="U700" s="120"/>
      <c r="V700" s="120"/>
      <c r="W700" s="121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0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20"/>
      <c r="BA700" s="120"/>
      <c r="BB700" s="120"/>
      <c r="BC700" s="120"/>
      <c r="BD700" s="120"/>
      <c r="BE700" s="120"/>
      <c r="BF700" s="120"/>
      <c r="BG700" s="120"/>
      <c r="BH700" s="120"/>
      <c r="BI700" s="120"/>
      <c r="BJ700" s="120"/>
      <c r="BK700" s="120"/>
      <c r="BL700" s="120"/>
      <c r="BM700" s="120"/>
      <c r="BN700" s="120"/>
      <c r="BO700" s="120"/>
      <c r="BP700" s="120"/>
      <c r="BQ700" s="120"/>
      <c r="BR700" s="120"/>
      <c r="BS700" s="120"/>
      <c r="BT700" s="120"/>
      <c r="BU700" s="120"/>
      <c r="BV700" s="120"/>
      <c r="BW700" s="120"/>
      <c r="BX700" s="120"/>
      <c r="BY700" s="120"/>
      <c r="BZ700" s="120"/>
      <c r="CA700" s="120"/>
      <c r="CB700" s="120"/>
      <c r="CC700" s="120"/>
      <c r="CD700" s="120"/>
      <c r="CE700" s="120"/>
      <c r="CF700" s="120"/>
      <c r="CG700" s="120"/>
      <c r="CH700" s="120"/>
      <c r="CI700" s="120"/>
      <c r="CJ700" s="120"/>
      <c r="CK700" s="120"/>
      <c r="CL700" s="120"/>
      <c r="CM700" s="120"/>
      <c r="CN700" s="120"/>
      <c r="CO700" s="120"/>
    </row>
    <row r="701" spans="1:93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1"/>
      <c r="U701" s="120"/>
      <c r="V701" s="120"/>
      <c r="W701" s="121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  <c r="AJ701" s="120"/>
      <c r="AK701" s="120"/>
      <c r="AL701" s="120"/>
      <c r="AM701" s="120"/>
      <c r="AN701" s="120"/>
      <c r="AO701" s="120"/>
      <c r="AP701" s="120"/>
      <c r="AQ701" s="120"/>
      <c r="AR701" s="120"/>
      <c r="AS701" s="120"/>
      <c r="AT701" s="120"/>
      <c r="AU701" s="120"/>
      <c r="AV701" s="120"/>
      <c r="AW701" s="120"/>
      <c r="AX701" s="120"/>
      <c r="AY701" s="120"/>
      <c r="AZ701" s="120"/>
      <c r="BA701" s="120"/>
      <c r="BB701" s="120"/>
      <c r="BC701" s="120"/>
      <c r="BD701" s="120"/>
      <c r="BE701" s="120"/>
      <c r="BF701" s="120"/>
      <c r="BG701" s="120"/>
      <c r="BH701" s="120"/>
      <c r="BI701" s="120"/>
      <c r="BJ701" s="120"/>
      <c r="BK701" s="120"/>
      <c r="BL701" s="120"/>
      <c r="BM701" s="120"/>
      <c r="BN701" s="120"/>
      <c r="BO701" s="120"/>
      <c r="BP701" s="120"/>
      <c r="BQ701" s="120"/>
      <c r="BR701" s="120"/>
      <c r="BS701" s="120"/>
      <c r="BT701" s="120"/>
      <c r="BU701" s="120"/>
      <c r="BV701" s="120"/>
      <c r="BW701" s="120"/>
      <c r="BX701" s="120"/>
      <c r="BY701" s="120"/>
      <c r="BZ701" s="120"/>
      <c r="CA701" s="120"/>
      <c r="CB701" s="120"/>
      <c r="CC701" s="120"/>
      <c r="CD701" s="120"/>
      <c r="CE701" s="120"/>
      <c r="CF701" s="120"/>
      <c r="CG701" s="120"/>
      <c r="CH701" s="120"/>
      <c r="CI701" s="120"/>
      <c r="CJ701" s="120"/>
      <c r="CK701" s="120"/>
      <c r="CL701" s="120"/>
      <c r="CM701" s="120"/>
      <c r="CN701" s="120"/>
      <c r="CO701" s="120"/>
    </row>
    <row r="702" spans="1:93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1"/>
      <c r="U702" s="120"/>
      <c r="V702" s="120"/>
      <c r="W702" s="121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  <c r="AJ702" s="120"/>
      <c r="AK702" s="120"/>
      <c r="AL702" s="120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20"/>
      <c r="AW702" s="120"/>
      <c r="AX702" s="120"/>
      <c r="AY702" s="120"/>
      <c r="AZ702" s="120"/>
      <c r="BA702" s="120"/>
      <c r="BB702" s="120"/>
      <c r="BC702" s="120"/>
      <c r="BD702" s="120"/>
      <c r="BE702" s="120"/>
      <c r="BF702" s="120"/>
      <c r="BG702" s="120"/>
      <c r="BH702" s="120"/>
      <c r="BI702" s="120"/>
      <c r="BJ702" s="120"/>
      <c r="BK702" s="120"/>
      <c r="BL702" s="120"/>
      <c r="BM702" s="120"/>
      <c r="BN702" s="120"/>
      <c r="BO702" s="120"/>
      <c r="BP702" s="120"/>
      <c r="BQ702" s="120"/>
      <c r="BR702" s="120"/>
      <c r="BS702" s="120"/>
      <c r="BT702" s="120"/>
      <c r="BU702" s="120"/>
      <c r="BV702" s="120"/>
      <c r="BW702" s="120"/>
      <c r="BX702" s="120"/>
      <c r="BY702" s="120"/>
      <c r="BZ702" s="120"/>
      <c r="CA702" s="120"/>
      <c r="CB702" s="120"/>
      <c r="CC702" s="120"/>
      <c r="CD702" s="120"/>
      <c r="CE702" s="120"/>
      <c r="CF702" s="120"/>
      <c r="CG702" s="120"/>
      <c r="CH702" s="120"/>
      <c r="CI702" s="120"/>
      <c r="CJ702" s="120"/>
      <c r="CK702" s="120"/>
      <c r="CL702" s="120"/>
      <c r="CM702" s="120"/>
      <c r="CN702" s="120"/>
      <c r="CO702" s="120"/>
    </row>
    <row r="703" spans="1:93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1"/>
      <c r="U703" s="120"/>
      <c r="V703" s="120"/>
      <c r="W703" s="121"/>
      <c r="X703" s="120"/>
      <c r="Y703" s="120"/>
      <c r="Z703" s="120"/>
      <c r="AA703" s="120"/>
      <c r="AB703" s="120"/>
      <c r="AC703" s="120"/>
      <c r="AD703" s="120"/>
      <c r="AE703" s="120"/>
      <c r="AF703" s="120"/>
      <c r="AG703" s="120"/>
      <c r="AH703" s="120"/>
      <c r="AI703" s="120"/>
      <c r="AJ703" s="120"/>
      <c r="AK703" s="120"/>
      <c r="AL703" s="120"/>
      <c r="AM703" s="120"/>
      <c r="AN703" s="120"/>
      <c r="AO703" s="120"/>
      <c r="AP703" s="120"/>
      <c r="AQ703" s="120"/>
      <c r="AR703" s="120"/>
      <c r="AS703" s="120"/>
      <c r="AT703" s="120"/>
      <c r="AU703" s="120"/>
      <c r="AV703" s="120"/>
      <c r="AW703" s="120"/>
      <c r="AX703" s="120"/>
      <c r="AY703" s="120"/>
      <c r="AZ703" s="120"/>
      <c r="BA703" s="120"/>
      <c r="BB703" s="120"/>
      <c r="BC703" s="120"/>
      <c r="BD703" s="120"/>
      <c r="BE703" s="120"/>
      <c r="BF703" s="120"/>
      <c r="BG703" s="120"/>
      <c r="BH703" s="120"/>
      <c r="BI703" s="120"/>
      <c r="BJ703" s="120"/>
      <c r="BK703" s="120"/>
      <c r="BL703" s="120"/>
      <c r="BM703" s="120"/>
      <c r="BN703" s="120"/>
      <c r="BO703" s="120"/>
      <c r="BP703" s="120"/>
      <c r="BQ703" s="120"/>
      <c r="BR703" s="120"/>
      <c r="BS703" s="120"/>
      <c r="BT703" s="120"/>
      <c r="BU703" s="120"/>
      <c r="BV703" s="120"/>
      <c r="BW703" s="120"/>
      <c r="BX703" s="120"/>
      <c r="BY703" s="120"/>
      <c r="BZ703" s="120"/>
      <c r="CA703" s="120"/>
      <c r="CB703" s="120"/>
      <c r="CC703" s="120"/>
      <c r="CD703" s="120"/>
      <c r="CE703" s="120"/>
      <c r="CF703" s="120"/>
      <c r="CG703" s="120"/>
      <c r="CH703" s="120"/>
      <c r="CI703" s="120"/>
      <c r="CJ703" s="120"/>
      <c r="CK703" s="120"/>
      <c r="CL703" s="120"/>
      <c r="CM703" s="120"/>
      <c r="CN703" s="120"/>
      <c r="CO703" s="120"/>
    </row>
    <row r="704" spans="1:93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1"/>
      <c r="U704" s="120"/>
      <c r="V704" s="120"/>
      <c r="W704" s="121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  <c r="AJ704" s="120"/>
      <c r="AK704" s="120"/>
      <c r="AL704" s="120"/>
      <c r="AM704" s="120"/>
      <c r="AN704" s="120"/>
      <c r="AO704" s="120"/>
      <c r="AP704" s="120"/>
      <c r="AQ704" s="120"/>
      <c r="AR704" s="120"/>
      <c r="AS704" s="120"/>
      <c r="AT704" s="120"/>
      <c r="AU704" s="120"/>
      <c r="AV704" s="120"/>
      <c r="AW704" s="120"/>
      <c r="AX704" s="120"/>
      <c r="AY704" s="120"/>
      <c r="AZ704" s="120"/>
      <c r="BA704" s="120"/>
      <c r="BB704" s="120"/>
      <c r="BC704" s="120"/>
      <c r="BD704" s="120"/>
      <c r="BE704" s="120"/>
      <c r="BF704" s="120"/>
      <c r="BG704" s="120"/>
      <c r="BH704" s="120"/>
      <c r="BI704" s="120"/>
      <c r="BJ704" s="120"/>
      <c r="BK704" s="120"/>
      <c r="BL704" s="120"/>
      <c r="BM704" s="120"/>
      <c r="BN704" s="120"/>
      <c r="BO704" s="120"/>
      <c r="BP704" s="120"/>
      <c r="BQ704" s="120"/>
      <c r="BR704" s="120"/>
      <c r="BS704" s="120"/>
      <c r="BT704" s="120"/>
      <c r="BU704" s="120"/>
      <c r="BV704" s="120"/>
      <c r="BW704" s="120"/>
      <c r="BX704" s="120"/>
      <c r="BY704" s="120"/>
      <c r="BZ704" s="120"/>
      <c r="CA704" s="120"/>
      <c r="CB704" s="120"/>
      <c r="CC704" s="120"/>
      <c r="CD704" s="120"/>
      <c r="CE704" s="120"/>
      <c r="CF704" s="120"/>
      <c r="CG704" s="120"/>
      <c r="CH704" s="120"/>
      <c r="CI704" s="120"/>
      <c r="CJ704" s="120"/>
      <c r="CK704" s="120"/>
      <c r="CL704" s="120"/>
      <c r="CM704" s="120"/>
      <c r="CN704" s="120"/>
      <c r="CO704" s="120"/>
    </row>
    <row r="705" spans="1:93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1"/>
      <c r="U705" s="120"/>
      <c r="V705" s="120"/>
      <c r="W705" s="121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  <c r="AJ705" s="120"/>
      <c r="AK705" s="120"/>
      <c r="AL705" s="120"/>
      <c r="AM705" s="120"/>
      <c r="AN705" s="120"/>
      <c r="AO705" s="120"/>
      <c r="AP705" s="120"/>
      <c r="AQ705" s="120"/>
      <c r="AR705" s="120"/>
      <c r="AS705" s="120"/>
      <c r="AT705" s="120"/>
      <c r="AU705" s="120"/>
      <c r="AV705" s="120"/>
      <c r="AW705" s="120"/>
      <c r="AX705" s="120"/>
      <c r="AY705" s="120"/>
      <c r="AZ705" s="120"/>
      <c r="BA705" s="120"/>
      <c r="BB705" s="120"/>
      <c r="BC705" s="120"/>
      <c r="BD705" s="120"/>
      <c r="BE705" s="120"/>
      <c r="BF705" s="120"/>
      <c r="BG705" s="120"/>
      <c r="BH705" s="120"/>
      <c r="BI705" s="120"/>
      <c r="BJ705" s="120"/>
      <c r="BK705" s="120"/>
      <c r="BL705" s="120"/>
      <c r="BM705" s="120"/>
      <c r="BN705" s="120"/>
      <c r="BO705" s="120"/>
      <c r="BP705" s="120"/>
      <c r="BQ705" s="120"/>
      <c r="BR705" s="120"/>
      <c r="BS705" s="120"/>
      <c r="BT705" s="120"/>
      <c r="BU705" s="120"/>
      <c r="BV705" s="120"/>
      <c r="BW705" s="120"/>
      <c r="BX705" s="120"/>
      <c r="BY705" s="120"/>
      <c r="BZ705" s="120"/>
      <c r="CA705" s="120"/>
      <c r="CB705" s="120"/>
      <c r="CC705" s="120"/>
      <c r="CD705" s="120"/>
      <c r="CE705" s="120"/>
      <c r="CF705" s="120"/>
      <c r="CG705" s="120"/>
      <c r="CH705" s="120"/>
      <c r="CI705" s="120"/>
      <c r="CJ705" s="120"/>
      <c r="CK705" s="120"/>
      <c r="CL705" s="120"/>
      <c r="CM705" s="120"/>
      <c r="CN705" s="120"/>
      <c r="CO705" s="120"/>
    </row>
    <row r="706" spans="1:93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1"/>
      <c r="U706" s="120"/>
      <c r="V706" s="120"/>
      <c r="W706" s="121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  <c r="AJ706" s="120"/>
      <c r="AK706" s="120"/>
      <c r="AL706" s="120"/>
      <c r="AM706" s="120"/>
      <c r="AN706" s="120"/>
      <c r="AO706" s="120"/>
      <c r="AP706" s="120"/>
      <c r="AQ706" s="120"/>
      <c r="AR706" s="120"/>
      <c r="AS706" s="120"/>
      <c r="AT706" s="120"/>
      <c r="AU706" s="120"/>
      <c r="AV706" s="120"/>
      <c r="AW706" s="120"/>
      <c r="AX706" s="120"/>
      <c r="AY706" s="120"/>
      <c r="AZ706" s="120"/>
      <c r="BA706" s="120"/>
      <c r="BB706" s="120"/>
      <c r="BC706" s="120"/>
      <c r="BD706" s="120"/>
      <c r="BE706" s="120"/>
      <c r="BF706" s="120"/>
      <c r="BG706" s="120"/>
      <c r="BH706" s="120"/>
      <c r="BI706" s="120"/>
      <c r="BJ706" s="120"/>
      <c r="BK706" s="120"/>
      <c r="BL706" s="120"/>
      <c r="BM706" s="120"/>
      <c r="BN706" s="120"/>
      <c r="BO706" s="120"/>
      <c r="BP706" s="120"/>
      <c r="BQ706" s="120"/>
      <c r="BR706" s="120"/>
      <c r="BS706" s="120"/>
      <c r="BT706" s="120"/>
      <c r="BU706" s="120"/>
      <c r="BV706" s="120"/>
      <c r="BW706" s="120"/>
      <c r="BX706" s="120"/>
      <c r="BY706" s="120"/>
      <c r="BZ706" s="120"/>
      <c r="CA706" s="120"/>
      <c r="CB706" s="120"/>
      <c r="CC706" s="120"/>
      <c r="CD706" s="120"/>
      <c r="CE706" s="120"/>
      <c r="CF706" s="120"/>
      <c r="CG706" s="120"/>
      <c r="CH706" s="120"/>
      <c r="CI706" s="120"/>
      <c r="CJ706" s="120"/>
      <c r="CK706" s="120"/>
      <c r="CL706" s="120"/>
      <c r="CM706" s="120"/>
      <c r="CN706" s="120"/>
      <c r="CO706" s="120"/>
    </row>
    <row r="707" spans="1:93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1"/>
      <c r="U707" s="120"/>
      <c r="V707" s="120"/>
      <c r="W707" s="121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  <c r="AJ707" s="120"/>
      <c r="AK707" s="120"/>
      <c r="AL707" s="120"/>
      <c r="AM707" s="120"/>
      <c r="AN707" s="120"/>
      <c r="AO707" s="120"/>
      <c r="AP707" s="120"/>
      <c r="AQ707" s="120"/>
      <c r="AR707" s="120"/>
      <c r="AS707" s="120"/>
      <c r="AT707" s="120"/>
      <c r="AU707" s="120"/>
      <c r="AV707" s="120"/>
      <c r="AW707" s="120"/>
      <c r="AX707" s="120"/>
      <c r="AY707" s="120"/>
      <c r="AZ707" s="120"/>
      <c r="BA707" s="120"/>
      <c r="BB707" s="120"/>
      <c r="BC707" s="120"/>
      <c r="BD707" s="120"/>
      <c r="BE707" s="120"/>
      <c r="BF707" s="120"/>
      <c r="BG707" s="120"/>
      <c r="BH707" s="120"/>
      <c r="BI707" s="120"/>
      <c r="BJ707" s="120"/>
      <c r="BK707" s="120"/>
      <c r="BL707" s="120"/>
      <c r="BM707" s="120"/>
      <c r="BN707" s="120"/>
      <c r="BO707" s="120"/>
      <c r="BP707" s="120"/>
      <c r="BQ707" s="120"/>
      <c r="BR707" s="120"/>
      <c r="BS707" s="120"/>
      <c r="BT707" s="120"/>
      <c r="BU707" s="120"/>
      <c r="BV707" s="120"/>
      <c r="BW707" s="120"/>
      <c r="BX707" s="120"/>
      <c r="BY707" s="120"/>
      <c r="BZ707" s="120"/>
      <c r="CA707" s="120"/>
      <c r="CB707" s="120"/>
      <c r="CC707" s="120"/>
      <c r="CD707" s="120"/>
      <c r="CE707" s="120"/>
      <c r="CF707" s="120"/>
      <c r="CG707" s="120"/>
      <c r="CH707" s="120"/>
      <c r="CI707" s="120"/>
      <c r="CJ707" s="120"/>
      <c r="CK707" s="120"/>
      <c r="CL707" s="120"/>
      <c r="CM707" s="120"/>
      <c r="CN707" s="120"/>
      <c r="CO707" s="120"/>
    </row>
    <row r="708" spans="1:93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1"/>
      <c r="U708" s="120"/>
      <c r="V708" s="120"/>
      <c r="W708" s="121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0"/>
      <c r="AI708" s="120"/>
      <c r="AJ708" s="120"/>
      <c r="AK708" s="120"/>
      <c r="AL708" s="120"/>
      <c r="AM708" s="120"/>
      <c r="AN708" s="120"/>
      <c r="AO708" s="120"/>
      <c r="AP708" s="120"/>
      <c r="AQ708" s="120"/>
      <c r="AR708" s="120"/>
      <c r="AS708" s="120"/>
      <c r="AT708" s="120"/>
      <c r="AU708" s="120"/>
      <c r="AV708" s="120"/>
      <c r="AW708" s="120"/>
      <c r="AX708" s="120"/>
      <c r="AY708" s="120"/>
      <c r="AZ708" s="120"/>
      <c r="BA708" s="120"/>
      <c r="BB708" s="120"/>
      <c r="BC708" s="120"/>
      <c r="BD708" s="120"/>
      <c r="BE708" s="120"/>
      <c r="BF708" s="120"/>
      <c r="BG708" s="120"/>
      <c r="BH708" s="120"/>
      <c r="BI708" s="120"/>
      <c r="BJ708" s="120"/>
      <c r="BK708" s="120"/>
      <c r="BL708" s="120"/>
      <c r="BM708" s="120"/>
      <c r="BN708" s="120"/>
      <c r="BO708" s="120"/>
      <c r="BP708" s="120"/>
      <c r="BQ708" s="120"/>
      <c r="BR708" s="120"/>
      <c r="BS708" s="120"/>
      <c r="BT708" s="120"/>
      <c r="BU708" s="120"/>
      <c r="BV708" s="120"/>
      <c r="BW708" s="120"/>
      <c r="BX708" s="120"/>
      <c r="BY708" s="120"/>
      <c r="BZ708" s="120"/>
      <c r="CA708" s="120"/>
      <c r="CB708" s="120"/>
      <c r="CC708" s="120"/>
      <c r="CD708" s="120"/>
      <c r="CE708" s="120"/>
      <c r="CF708" s="120"/>
      <c r="CG708" s="120"/>
      <c r="CH708" s="120"/>
      <c r="CI708" s="120"/>
      <c r="CJ708" s="120"/>
      <c r="CK708" s="120"/>
      <c r="CL708" s="120"/>
      <c r="CM708" s="120"/>
      <c r="CN708" s="120"/>
      <c r="CO708" s="120"/>
    </row>
    <row r="709" spans="1:93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1"/>
      <c r="U709" s="120"/>
      <c r="V709" s="120"/>
      <c r="W709" s="121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  <c r="AJ709" s="120"/>
      <c r="AK709" s="120"/>
      <c r="AL709" s="120"/>
      <c r="AM709" s="120"/>
      <c r="AN709" s="120"/>
      <c r="AO709" s="120"/>
      <c r="AP709" s="120"/>
      <c r="AQ709" s="120"/>
      <c r="AR709" s="120"/>
      <c r="AS709" s="120"/>
      <c r="AT709" s="120"/>
      <c r="AU709" s="120"/>
      <c r="AV709" s="120"/>
      <c r="AW709" s="120"/>
      <c r="AX709" s="120"/>
      <c r="AY709" s="120"/>
      <c r="AZ709" s="120"/>
      <c r="BA709" s="120"/>
      <c r="BB709" s="120"/>
      <c r="BC709" s="120"/>
      <c r="BD709" s="120"/>
      <c r="BE709" s="120"/>
      <c r="BF709" s="120"/>
      <c r="BG709" s="120"/>
      <c r="BH709" s="120"/>
      <c r="BI709" s="120"/>
      <c r="BJ709" s="120"/>
      <c r="BK709" s="120"/>
      <c r="BL709" s="120"/>
      <c r="BM709" s="120"/>
      <c r="BN709" s="120"/>
      <c r="BO709" s="120"/>
      <c r="BP709" s="120"/>
      <c r="BQ709" s="120"/>
      <c r="BR709" s="120"/>
      <c r="BS709" s="120"/>
      <c r="BT709" s="120"/>
      <c r="BU709" s="120"/>
      <c r="BV709" s="120"/>
      <c r="BW709" s="120"/>
      <c r="BX709" s="120"/>
      <c r="BY709" s="120"/>
      <c r="BZ709" s="120"/>
      <c r="CA709" s="120"/>
      <c r="CB709" s="120"/>
      <c r="CC709" s="120"/>
      <c r="CD709" s="120"/>
      <c r="CE709" s="120"/>
      <c r="CF709" s="120"/>
      <c r="CG709" s="120"/>
      <c r="CH709" s="120"/>
      <c r="CI709" s="120"/>
      <c r="CJ709" s="120"/>
      <c r="CK709" s="120"/>
      <c r="CL709" s="120"/>
      <c r="CM709" s="120"/>
      <c r="CN709" s="120"/>
      <c r="CO709" s="120"/>
    </row>
    <row r="710" spans="1:93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1"/>
      <c r="U710" s="120"/>
      <c r="V710" s="120"/>
      <c r="W710" s="121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  <c r="AJ710" s="120"/>
      <c r="AK710" s="120"/>
      <c r="AL710" s="120"/>
      <c r="AM710" s="120"/>
      <c r="AN710" s="120"/>
      <c r="AO710" s="120"/>
      <c r="AP710" s="120"/>
      <c r="AQ710" s="120"/>
      <c r="AR710" s="120"/>
      <c r="AS710" s="120"/>
      <c r="AT710" s="120"/>
      <c r="AU710" s="120"/>
      <c r="AV710" s="120"/>
      <c r="AW710" s="120"/>
      <c r="AX710" s="120"/>
      <c r="AY710" s="120"/>
      <c r="AZ710" s="120"/>
      <c r="BA710" s="120"/>
      <c r="BB710" s="120"/>
      <c r="BC710" s="120"/>
      <c r="BD710" s="120"/>
      <c r="BE710" s="120"/>
      <c r="BF710" s="120"/>
      <c r="BG710" s="120"/>
      <c r="BH710" s="120"/>
      <c r="BI710" s="120"/>
      <c r="BJ710" s="120"/>
      <c r="BK710" s="120"/>
      <c r="BL710" s="120"/>
      <c r="BM710" s="120"/>
      <c r="BN710" s="120"/>
      <c r="BO710" s="120"/>
      <c r="BP710" s="120"/>
      <c r="BQ710" s="120"/>
      <c r="BR710" s="120"/>
      <c r="BS710" s="120"/>
      <c r="BT710" s="120"/>
      <c r="BU710" s="120"/>
      <c r="BV710" s="120"/>
      <c r="BW710" s="120"/>
      <c r="BX710" s="120"/>
      <c r="BY710" s="120"/>
      <c r="BZ710" s="120"/>
      <c r="CA710" s="120"/>
      <c r="CB710" s="120"/>
      <c r="CC710" s="120"/>
      <c r="CD710" s="120"/>
      <c r="CE710" s="120"/>
      <c r="CF710" s="120"/>
      <c r="CG710" s="120"/>
      <c r="CH710" s="120"/>
      <c r="CI710" s="120"/>
      <c r="CJ710" s="120"/>
      <c r="CK710" s="120"/>
      <c r="CL710" s="120"/>
      <c r="CM710" s="120"/>
      <c r="CN710" s="120"/>
      <c r="CO710" s="120"/>
    </row>
    <row r="711" spans="1:93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1"/>
      <c r="U711" s="120"/>
      <c r="V711" s="120"/>
      <c r="W711" s="121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  <c r="AJ711" s="120"/>
      <c r="AK711" s="120"/>
      <c r="AL711" s="120"/>
      <c r="AM711" s="120"/>
      <c r="AN711" s="120"/>
      <c r="AO711" s="120"/>
      <c r="AP711" s="120"/>
      <c r="AQ711" s="120"/>
      <c r="AR711" s="120"/>
      <c r="AS711" s="120"/>
      <c r="AT711" s="120"/>
      <c r="AU711" s="120"/>
      <c r="AV711" s="120"/>
      <c r="AW711" s="120"/>
      <c r="AX711" s="120"/>
      <c r="AY711" s="120"/>
      <c r="AZ711" s="120"/>
      <c r="BA711" s="120"/>
      <c r="BB711" s="120"/>
      <c r="BC711" s="120"/>
      <c r="BD711" s="120"/>
      <c r="BE711" s="120"/>
      <c r="BF711" s="120"/>
      <c r="BG711" s="120"/>
      <c r="BH711" s="120"/>
      <c r="BI711" s="120"/>
      <c r="BJ711" s="120"/>
      <c r="BK711" s="120"/>
      <c r="BL711" s="120"/>
      <c r="BM711" s="120"/>
      <c r="BN711" s="120"/>
      <c r="BO711" s="120"/>
      <c r="BP711" s="120"/>
      <c r="BQ711" s="120"/>
      <c r="BR711" s="120"/>
      <c r="BS711" s="120"/>
      <c r="BT711" s="120"/>
      <c r="BU711" s="120"/>
      <c r="BV711" s="120"/>
      <c r="BW711" s="120"/>
      <c r="BX711" s="120"/>
      <c r="BY711" s="120"/>
      <c r="BZ711" s="120"/>
      <c r="CA711" s="120"/>
      <c r="CB711" s="120"/>
      <c r="CC711" s="120"/>
      <c r="CD711" s="120"/>
      <c r="CE711" s="120"/>
      <c r="CF711" s="120"/>
      <c r="CG711" s="120"/>
      <c r="CH711" s="120"/>
      <c r="CI711" s="120"/>
      <c r="CJ711" s="120"/>
      <c r="CK711" s="120"/>
      <c r="CL711" s="120"/>
      <c r="CM711" s="120"/>
      <c r="CN711" s="120"/>
      <c r="CO711" s="120"/>
    </row>
    <row r="712" spans="1:93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1"/>
      <c r="U712" s="120"/>
      <c r="V712" s="120"/>
      <c r="W712" s="121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  <c r="AJ712" s="120"/>
      <c r="AK712" s="120"/>
      <c r="AL712" s="120"/>
      <c r="AM712" s="120"/>
      <c r="AN712" s="120"/>
      <c r="AO712" s="120"/>
      <c r="AP712" s="120"/>
      <c r="AQ712" s="120"/>
      <c r="AR712" s="120"/>
      <c r="AS712" s="120"/>
      <c r="AT712" s="120"/>
      <c r="AU712" s="120"/>
      <c r="AV712" s="120"/>
      <c r="AW712" s="120"/>
      <c r="AX712" s="120"/>
      <c r="AY712" s="120"/>
      <c r="AZ712" s="120"/>
      <c r="BA712" s="120"/>
      <c r="BB712" s="120"/>
      <c r="BC712" s="120"/>
      <c r="BD712" s="120"/>
      <c r="BE712" s="120"/>
      <c r="BF712" s="120"/>
      <c r="BG712" s="120"/>
      <c r="BH712" s="120"/>
      <c r="BI712" s="120"/>
      <c r="BJ712" s="120"/>
      <c r="BK712" s="120"/>
      <c r="BL712" s="120"/>
      <c r="BM712" s="120"/>
      <c r="BN712" s="120"/>
      <c r="BO712" s="120"/>
      <c r="BP712" s="120"/>
      <c r="BQ712" s="120"/>
      <c r="BR712" s="120"/>
      <c r="BS712" s="120"/>
      <c r="BT712" s="120"/>
      <c r="BU712" s="120"/>
      <c r="BV712" s="120"/>
      <c r="BW712" s="120"/>
      <c r="BX712" s="120"/>
      <c r="BY712" s="120"/>
      <c r="BZ712" s="120"/>
      <c r="CA712" s="120"/>
      <c r="CB712" s="120"/>
      <c r="CC712" s="120"/>
      <c r="CD712" s="120"/>
      <c r="CE712" s="120"/>
      <c r="CF712" s="120"/>
      <c r="CG712" s="120"/>
      <c r="CH712" s="120"/>
      <c r="CI712" s="120"/>
      <c r="CJ712" s="120"/>
      <c r="CK712" s="120"/>
      <c r="CL712" s="120"/>
      <c r="CM712" s="120"/>
      <c r="CN712" s="120"/>
      <c r="CO712" s="120"/>
    </row>
    <row r="713" spans="1:93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1"/>
      <c r="U713" s="120"/>
      <c r="V713" s="120"/>
      <c r="W713" s="121"/>
      <c r="X713" s="120"/>
      <c r="Y713" s="120"/>
      <c r="Z713" s="120"/>
      <c r="AA713" s="120"/>
      <c r="AB713" s="120"/>
      <c r="AC713" s="120"/>
      <c r="AD713" s="120"/>
      <c r="AE713" s="120"/>
      <c r="AF713" s="120"/>
      <c r="AG713" s="120"/>
      <c r="AH713" s="120"/>
      <c r="AI713" s="120"/>
      <c r="AJ713" s="120"/>
      <c r="AK713" s="120"/>
      <c r="AL713" s="120"/>
      <c r="AM713" s="120"/>
      <c r="AN713" s="120"/>
      <c r="AO713" s="120"/>
      <c r="AP713" s="120"/>
      <c r="AQ713" s="120"/>
      <c r="AR713" s="120"/>
      <c r="AS713" s="120"/>
      <c r="AT713" s="120"/>
      <c r="AU713" s="120"/>
      <c r="AV713" s="120"/>
      <c r="AW713" s="120"/>
      <c r="AX713" s="120"/>
      <c r="AY713" s="120"/>
      <c r="AZ713" s="120"/>
      <c r="BA713" s="120"/>
      <c r="BB713" s="120"/>
      <c r="BC713" s="120"/>
      <c r="BD713" s="120"/>
      <c r="BE713" s="120"/>
      <c r="BF713" s="120"/>
      <c r="BG713" s="120"/>
      <c r="BH713" s="120"/>
      <c r="BI713" s="120"/>
      <c r="BJ713" s="120"/>
      <c r="BK713" s="120"/>
      <c r="BL713" s="120"/>
      <c r="BM713" s="120"/>
      <c r="BN713" s="120"/>
      <c r="BO713" s="120"/>
      <c r="BP713" s="120"/>
      <c r="BQ713" s="120"/>
      <c r="BR713" s="120"/>
      <c r="BS713" s="120"/>
      <c r="BT713" s="120"/>
      <c r="BU713" s="120"/>
      <c r="BV713" s="120"/>
      <c r="BW713" s="120"/>
      <c r="BX713" s="120"/>
      <c r="BY713" s="120"/>
      <c r="BZ713" s="120"/>
      <c r="CA713" s="120"/>
      <c r="CB713" s="120"/>
      <c r="CC713" s="120"/>
      <c r="CD713" s="120"/>
      <c r="CE713" s="120"/>
      <c r="CF713" s="120"/>
      <c r="CG713" s="120"/>
      <c r="CH713" s="120"/>
      <c r="CI713" s="120"/>
      <c r="CJ713" s="120"/>
      <c r="CK713" s="120"/>
      <c r="CL713" s="120"/>
      <c r="CM713" s="120"/>
      <c r="CN713" s="120"/>
      <c r="CO713" s="120"/>
    </row>
    <row r="714" spans="1:93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1"/>
      <c r="U714" s="120"/>
      <c r="V714" s="120"/>
      <c r="W714" s="121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  <c r="AJ714" s="120"/>
      <c r="AK714" s="120"/>
      <c r="AL714" s="120"/>
      <c r="AM714" s="120"/>
      <c r="AN714" s="120"/>
      <c r="AO714" s="120"/>
      <c r="AP714" s="120"/>
      <c r="AQ714" s="120"/>
      <c r="AR714" s="120"/>
      <c r="AS714" s="120"/>
      <c r="AT714" s="120"/>
      <c r="AU714" s="120"/>
      <c r="AV714" s="120"/>
      <c r="AW714" s="120"/>
      <c r="AX714" s="120"/>
      <c r="AY714" s="120"/>
      <c r="AZ714" s="120"/>
      <c r="BA714" s="120"/>
      <c r="BB714" s="120"/>
      <c r="BC714" s="120"/>
      <c r="BD714" s="120"/>
      <c r="BE714" s="120"/>
      <c r="BF714" s="120"/>
      <c r="BG714" s="120"/>
      <c r="BH714" s="120"/>
      <c r="BI714" s="120"/>
      <c r="BJ714" s="120"/>
      <c r="BK714" s="120"/>
      <c r="BL714" s="120"/>
      <c r="BM714" s="120"/>
      <c r="BN714" s="120"/>
      <c r="BO714" s="120"/>
      <c r="BP714" s="120"/>
      <c r="BQ714" s="120"/>
      <c r="BR714" s="120"/>
      <c r="BS714" s="120"/>
      <c r="BT714" s="120"/>
      <c r="BU714" s="120"/>
      <c r="BV714" s="120"/>
      <c r="BW714" s="120"/>
      <c r="BX714" s="120"/>
      <c r="BY714" s="120"/>
      <c r="BZ714" s="120"/>
      <c r="CA714" s="120"/>
      <c r="CB714" s="120"/>
      <c r="CC714" s="120"/>
      <c r="CD714" s="120"/>
      <c r="CE714" s="120"/>
      <c r="CF714" s="120"/>
      <c r="CG714" s="120"/>
      <c r="CH714" s="120"/>
      <c r="CI714" s="120"/>
      <c r="CJ714" s="120"/>
      <c r="CK714" s="120"/>
      <c r="CL714" s="120"/>
      <c r="CM714" s="120"/>
      <c r="CN714" s="120"/>
      <c r="CO714" s="120"/>
    </row>
    <row r="715" spans="1:93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1"/>
      <c r="U715" s="120"/>
      <c r="V715" s="120"/>
      <c r="W715" s="121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  <c r="AJ715" s="120"/>
      <c r="AK715" s="120"/>
      <c r="AL715" s="120"/>
      <c r="AM715" s="120"/>
      <c r="AN715" s="120"/>
      <c r="AO715" s="120"/>
      <c r="AP715" s="120"/>
      <c r="AQ715" s="120"/>
      <c r="AR715" s="120"/>
      <c r="AS715" s="120"/>
      <c r="AT715" s="120"/>
      <c r="AU715" s="120"/>
      <c r="AV715" s="120"/>
      <c r="AW715" s="120"/>
      <c r="AX715" s="120"/>
      <c r="AY715" s="120"/>
      <c r="AZ715" s="120"/>
      <c r="BA715" s="120"/>
      <c r="BB715" s="120"/>
      <c r="BC715" s="120"/>
      <c r="BD715" s="120"/>
      <c r="BE715" s="120"/>
      <c r="BF715" s="120"/>
      <c r="BG715" s="120"/>
      <c r="BH715" s="120"/>
      <c r="BI715" s="120"/>
      <c r="BJ715" s="120"/>
      <c r="BK715" s="120"/>
      <c r="BL715" s="120"/>
      <c r="BM715" s="120"/>
      <c r="BN715" s="120"/>
      <c r="BO715" s="120"/>
      <c r="BP715" s="120"/>
      <c r="BQ715" s="120"/>
      <c r="BR715" s="120"/>
      <c r="BS715" s="120"/>
      <c r="BT715" s="120"/>
      <c r="BU715" s="120"/>
      <c r="BV715" s="120"/>
      <c r="BW715" s="120"/>
      <c r="BX715" s="120"/>
      <c r="BY715" s="120"/>
      <c r="BZ715" s="120"/>
      <c r="CA715" s="120"/>
      <c r="CB715" s="120"/>
      <c r="CC715" s="120"/>
      <c r="CD715" s="120"/>
      <c r="CE715" s="120"/>
      <c r="CF715" s="120"/>
      <c r="CG715" s="120"/>
      <c r="CH715" s="120"/>
      <c r="CI715" s="120"/>
      <c r="CJ715" s="120"/>
      <c r="CK715" s="120"/>
      <c r="CL715" s="120"/>
      <c r="CM715" s="120"/>
      <c r="CN715" s="120"/>
      <c r="CO715" s="120"/>
    </row>
    <row r="716" spans="1:93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1"/>
      <c r="U716" s="120"/>
      <c r="V716" s="120"/>
      <c r="W716" s="121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  <c r="AJ716" s="120"/>
      <c r="AK716" s="120"/>
      <c r="AL716" s="120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0"/>
      <c r="AY716" s="120"/>
      <c r="AZ716" s="120"/>
      <c r="BA716" s="120"/>
      <c r="BB716" s="120"/>
      <c r="BC716" s="120"/>
      <c r="BD716" s="120"/>
      <c r="BE716" s="120"/>
      <c r="BF716" s="120"/>
      <c r="BG716" s="120"/>
      <c r="BH716" s="120"/>
      <c r="BI716" s="120"/>
      <c r="BJ716" s="120"/>
      <c r="BK716" s="120"/>
      <c r="BL716" s="120"/>
      <c r="BM716" s="120"/>
      <c r="BN716" s="120"/>
      <c r="BO716" s="120"/>
      <c r="BP716" s="120"/>
      <c r="BQ716" s="120"/>
      <c r="BR716" s="120"/>
      <c r="BS716" s="120"/>
      <c r="BT716" s="120"/>
      <c r="BU716" s="120"/>
      <c r="BV716" s="120"/>
      <c r="BW716" s="120"/>
      <c r="BX716" s="120"/>
      <c r="BY716" s="120"/>
      <c r="BZ716" s="120"/>
      <c r="CA716" s="120"/>
      <c r="CB716" s="120"/>
      <c r="CC716" s="120"/>
      <c r="CD716" s="120"/>
      <c r="CE716" s="120"/>
      <c r="CF716" s="120"/>
      <c r="CG716" s="120"/>
      <c r="CH716" s="120"/>
      <c r="CI716" s="120"/>
      <c r="CJ716" s="120"/>
      <c r="CK716" s="120"/>
      <c r="CL716" s="120"/>
      <c r="CM716" s="120"/>
      <c r="CN716" s="120"/>
      <c r="CO716" s="120"/>
    </row>
    <row r="717" spans="1:93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1"/>
      <c r="U717" s="120"/>
      <c r="V717" s="120"/>
      <c r="W717" s="121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  <c r="AJ717" s="120"/>
      <c r="AK717" s="120"/>
      <c r="AL717" s="120"/>
      <c r="AM717" s="120"/>
      <c r="AN717" s="120"/>
      <c r="AO717" s="120"/>
      <c r="AP717" s="120"/>
      <c r="AQ717" s="120"/>
      <c r="AR717" s="120"/>
      <c r="AS717" s="120"/>
      <c r="AT717" s="120"/>
      <c r="AU717" s="120"/>
      <c r="AV717" s="120"/>
      <c r="AW717" s="120"/>
      <c r="AX717" s="120"/>
      <c r="AY717" s="120"/>
      <c r="AZ717" s="120"/>
      <c r="BA717" s="120"/>
      <c r="BB717" s="120"/>
      <c r="BC717" s="120"/>
      <c r="BD717" s="120"/>
      <c r="BE717" s="120"/>
      <c r="BF717" s="120"/>
      <c r="BG717" s="120"/>
      <c r="BH717" s="120"/>
      <c r="BI717" s="120"/>
      <c r="BJ717" s="120"/>
      <c r="BK717" s="120"/>
      <c r="BL717" s="120"/>
      <c r="BM717" s="120"/>
      <c r="BN717" s="120"/>
      <c r="BO717" s="120"/>
      <c r="BP717" s="120"/>
      <c r="BQ717" s="120"/>
      <c r="BR717" s="120"/>
      <c r="BS717" s="120"/>
      <c r="BT717" s="120"/>
      <c r="BU717" s="120"/>
      <c r="BV717" s="120"/>
      <c r="BW717" s="120"/>
      <c r="BX717" s="120"/>
      <c r="BY717" s="120"/>
      <c r="BZ717" s="120"/>
      <c r="CA717" s="120"/>
      <c r="CB717" s="120"/>
      <c r="CC717" s="120"/>
      <c r="CD717" s="120"/>
      <c r="CE717" s="120"/>
      <c r="CF717" s="120"/>
      <c r="CG717" s="120"/>
      <c r="CH717" s="120"/>
      <c r="CI717" s="120"/>
      <c r="CJ717" s="120"/>
      <c r="CK717" s="120"/>
      <c r="CL717" s="120"/>
      <c r="CM717" s="120"/>
      <c r="CN717" s="120"/>
      <c r="CO717" s="120"/>
    </row>
    <row r="718" spans="1:93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1"/>
      <c r="U718" s="120"/>
      <c r="V718" s="120"/>
      <c r="W718" s="121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  <c r="AJ718" s="120"/>
      <c r="AK718" s="120"/>
      <c r="AL718" s="120"/>
      <c r="AM718" s="120"/>
      <c r="AN718" s="120"/>
      <c r="AO718" s="120"/>
      <c r="AP718" s="120"/>
      <c r="AQ718" s="120"/>
      <c r="AR718" s="120"/>
      <c r="AS718" s="120"/>
      <c r="AT718" s="120"/>
      <c r="AU718" s="120"/>
      <c r="AV718" s="120"/>
      <c r="AW718" s="120"/>
      <c r="AX718" s="120"/>
      <c r="AY718" s="120"/>
      <c r="AZ718" s="120"/>
      <c r="BA718" s="120"/>
      <c r="BB718" s="120"/>
      <c r="BC718" s="120"/>
      <c r="BD718" s="120"/>
      <c r="BE718" s="120"/>
      <c r="BF718" s="120"/>
      <c r="BG718" s="120"/>
      <c r="BH718" s="120"/>
      <c r="BI718" s="120"/>
      <c r="BJ718" s="120"/>
      <c r="BK718" s="120"/>
      <c r="BL718" s="120"/>
      <c r="BM718" s="120"/>
      <c r="BN718" s="120"/>
      <c r="BO718" s="120"/>
      <c r="BP718" s="120"/>
      <c r="BQ718" s="120"/>
      <c r="BR718" s="120"/>
      <c r="BS718" s="120"/>
      <c r="BT718" s="120"/>
      <c r="BU718" s="120"/>
      <c r="BV718" s="120"/>
      <c r="BW718" s="120"/>
      <c r="BX718" s="120"/>
      <c r="BY718" s="120"/>
      <c r="BZ718" s="120"/>
      <c r="CA718" s="120"/>
      <c r="CB718" s="120"/>
      <c r="CC718" s="120"/>
      <c r="CD718" s="120"/>
      <c r="CE718" s="120"/>
      <c r="CF718" s="120"/>
      <c r="CG718" s="120"/>
      <c r="CH718" s="120"/>
      <c r="CI718" s="120"/>
      <c r="CJ718" s="120"/>
      <c r="CK718" s="120"/>
      <c r="CL718" s="120"/>
      <c r="CM718" s="120"/>
      <c r="CN718" s="120"/>
      <c r="CO718" s="120"/>
    </row>
    <row r="719" spans="1:93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1"/>
      <c r="U719" s="120"/>
      <c r="V719" s="120"/>
      <c r="W719" s="121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  <c r="AJ719" s="120"/>
      <c r="AK719" s="120"/>
      <c r="AL719" s="120"/>
      <c r="AM719" s="120"/>
      <c r="AN719" s="120"/>
      <c r="AO719" s="120"/>
      <c r="AP719" s="120"/>
      <c r="AQ719" s="120"/>
      <c r="AR719" s="120"/>
      <c r="AS719" s="120"/>
      <c r="AT719" s="120"/>
      <c r="AU719" s="120"/>
      <c r="AV719" s="120"/>
      <c r="AW719" s="120"/>
      <c r="AX719" s="120"/>
      <c r="AY719" s="120"/>
      <c r="AZ719" s="120"/>
      <c r="BA719" s="120"/>
      <c r="BB719" s="120"/>
      <c r="BC719" s="120"/>
      <c r="BD719" s="120"/>
      <c r="BE719" s="120"/>
      <c r="BF719" s="120"/>
      <c r="BG719" s="120"/>
      <c r="BH719" s="120"/>
      <c r="BI719" s="120"/>
      <c r="BJ719" s="120"/>
      <c r="BK719" s="120"/>
      <c r="BL719" s="120"/>
      <c r="BM719" s="120"/>
      <c r="BN719" s="120"/>
      <c r="BO719" s="120"/>
      <c r="BP719" s="120"/>
      <c r="BQ719" s="120"/>
      <c r="BR719" s="120"/>
      <c r="BS719" s="120"/>
      <c r="BT719" s="120"/>
      <c r="BU719" s="120"/>
      <c r="BV719" s="120"/>
      <c r="BW719" s="120"/>
      <c r="BX719" s="120"/>
      <c r="BY719" s="120"/>
      <c r="BZ719" s="120"/>
      <c r="CA719" s="120"/>
      <c r="CB719" s="120"/>
      <c r="CC719" s="120"/>
      <c r="CD719" s="120"/>
      <c r="CE719" s="120"/>
      <c r="CF719" s="120"/>
      <c r="CG719" s="120"/>
      <c r="CH719" s="120"/>
      <c r="CI719" s="120"/>
      <c r="CJ719" s="120"/>
      <c r="CK719" s="120"/>
      <c r="CL719" s="120"/>
      <c r="CM719" s="120"/>
      <c r="CN719" s="120"/>
      <c r="CO719" s="120"/>
    </row>
    <row r="720" spans="1:93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1"/>
      <c r="U720" s="120"/>
      <c r="V720" s="120"/>
      <c r="W720" s="121"/>
      <c r="X720" s="120"/>
      <c r="Y720" s="120"/>
      <c r="Z720" s="120"/>
      <c r="AA720" s="120"/>
      <c r="AB720" s="120"/>
      <c r="AC720" s="120"/>
      <c r="AD720" s="120"/>
      <c r="AE720" s="120"/>
      <c r="AF720" s="120"/>
      <c r="AG720" s="120"/>
      <c r="AH720" s="120"/>
      <c r="AI720" s="120"/>
      <c r="AJ720" s="120"/>
      <c r="AK720" s="120"/>
      <c r="AL720" s="120"/>
      <c r="AM720" s="120"/>
      <c r="AN720" s="120"/>
      <c r="AO720" s="120"/>
      <c r="AP720" s="120"/>
      <c r="AQ720" s="120"/>
      <c r="AR720" s="120"/>
      <c r="AS720" s="120"/>
      <c r="AT720" s="120"/>
      <c r="AU720" s="120"/>
      <c r="AV720" s="120"/>
      <c r="AW720" s="120"/>
      <c r="AX720" s="120"/>
      <c r="AY720" s="120"/>
      <c r="AZ720" s="120"/>
      <c r="BA720" s="120"/>
      <c r="BB720" s="120"/>
      <c r="BC720" s="120"/>
      <c r="BD720" s="120"/>
      <c r="BE720" s="120"/>
      <c r="BF720" s="120"/>
      <c r="BG720" s="120"/>
      <c r="BH720" s="120"/>
      <c r="BI720" s="120"/>
      <c r="BJ720" s="120"/>
      <c r="BK720" s="120"/>
      <c r="BL720" s="120"/>
      <c r="BM720" s="120"/>
      <c r="BN720" s="120"/>
      <c r="BO720" s="120"/>
      <c r="BP720" s="120"/>
      <c r="BQ720" s="120"/>
      <c r="BR720" s="120"/>
      <c r="BS720" s="120"/>
      <c r="BT720" s="120"/>
      <c r="BU720" s="120"/>
      <c r="BV720" s="120"/>
      <c r="BW720" s="120"/>
      <c r="BX720" s="120"/>
      <c r="BY720" s="120"/>
      <c r="BZ720" s="120"/>
      <c r="CA720" s="120"/>
      <c r="CB720" s="120"/>
      <c r="CC720" s="120"/>
      <c r="CD720" s="120"/>
      <c r="CE720" s="120"/>
      <c r="CF720" s="120"/>
      <c r="CG720" s="120"/>
      <c r="CH720" s="120"/>
      <c r="CI720" s="120"/>
      <c r="CJ720" s="120"/>
      <c r="CK720" s="120"/>
      <c r="CL720" s="120"/>
      <c r="CM720" s="120"/>
      <c r="CN720" s="120"/>
      <c r="CO720" s="120"/>
    </row>
    <row r="721" spans="1:93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1"/>
      <c r="U721" s="120"/>
      <c r="V721" s="120"/>
      <c r="W721" s="121"/>
      <c r="X721" s="120"/>
      <c r="Y721" s="120"/>
      <c r="Z721" s="120"/>
      <c r="AA721" s="120"/>
      <c r="AB721" s="120"/>
      <c r="AC721" s="120"/>
      <c r="AD721" s="120"/>
      <c r="AE721" s="120"/>
      <c r="AF721" s="120"/>
      <c r="AG721" s="120"/>
      <c r="AH721" s="120"/>
      <c r="AI721" s="120"/>
      <c r="AJ721" s="120"/>
      <c r="AK721" s="120"/>
      <c r="AL721" s="120"/>
      <c r="AM721" s="120"/>
      <c r="AN721" s="120"/>
      <c r="AO721" s="120"/>
      <c r="AP721" s="120"/>
      <c r="AQ721" s="120"/>
      <c r="AR721" s="120"/>
      <c r="AS721" s="120"/>
      <c r="AT721" s="120"/>
      <c r="AU721" s="120"/>
      <c r="AV721" s="120"/>
      <c r="AW721" s="120"/>
      <c r="AX721" s="120"/>
      <c r="AY721" s="120"/>
      <c r="AZ721" s="120"/>
      <c r="BA721" s="120"/>
      <c r="BB721" s="120"/>
      <c r="BC721" s="120"/>
      <c r="BD721" s="120"/>
      <c r="BE721" s="120"/>
      <c r="BF721" s="120"/>
      <c r="BG721" s="120"/>
      <c r="BH721" s="120"/>
      <c r="BI721" s="120"/>
      <c r="BJ721" s="120"/>
      <c r="BK721" s="120"/>
      <c r="BL721" s="120"/>
      <c r="BM721" s="120"/>
      <c r="BN721" s="120"/>
      <c r="BO721" s="120"/>
      <c r="BP721" s="120"/>
      <c r="BQ721" s="120"/>
      <c r="BR721" s="120"/>
      <c r="BS721" s="120"/>
      <c r="BT721" s="120"/>
      <c r="BU721" s="120"/>
      <c r="BV721" s="120"/>
      <c r="BW721" s="120"/>
      <c r="BX721" s="120"/>
      <c r="BY721" s="120"/>
      <c r="BZ721" s="120"/>
      <c r="CA721" s="120"/>
      <c r="CB721" s="120"/>
      <c r="CC721" s="120"/>
      <c r="CD721" s="120"/>
      <c r="CE721" s="120"/>
      <c r="CF721" s="120"/>
      <c r="CG721" s="120"/>
      <c r="CH721" s="120"/>
      <c r="CI721" s="120"/>
      <c r="CJ721" s="120"/>
      <c r="CK721" s="120"/>
      <c r="CL721" s="120"/>
      <c r="CM721" s="120"/>
      <c r="CN721" s="120"/>
      <c r="CO721" s="120"/>
    </row>
    <row r="722" spans="1:93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1"/>
      <c r="U722" s="120"/>
      <c r="V722" s="120"/>
      <c r="W722" s="121"/>
      <c r="X722" s="120"/>
      <c r="Y722" s="120"/>
      <c r="Z722" s="120"/>
      <c r="AA722" s="120"/>
      <c r="AB722" s="120"/>
      <c r="AC722" s="120"/>
      <c r="AD722" s="120"/>
      <c r="AE722" s="120"/>
      <c r="AF722" s="120"/>
      <c r="AG722" s="120"/>
      <c r="AH722" s="120"/>
      <c r="AI722" s="120"/>
      <c r="AJ722" s="120"/>
      <c r="AK722" s="120"/>
      <c r="AL722" s="120"/>
      <c r="AM722" s="120"/>
      <c r="AN722" s="120"/>
      <c r="AO722" s="120"/>
      <c r="AP722" s="120"/>
      <c r="AQ722" s="120"/>
      <c r="AR722" s="120"/>
      <c r="AS722" s="120"/>
      <c r="AT722" s="120"/>
      <c r="AU722" s="120"/>
      <c r="AV722" s="120"/>
      <c r="AW722" s="120"/>
      <c r="AX722" s="120"/>
      <c r="AY722" s="120"/>
      <c r="AZ722" s="120"/>
      <c r="BA722" s="120"/>
      <c r="BB722" s="120"/>
      <c r="BC722" s="120"/>
      <c r="BD722" s="120"/>
      <c r="BE722" s="120"/>
      <c r="BF722" s="120"/>
      <c r="BG722" s="120"/>
      <c r="BH722" s="120"/>
      <c r="BI722" s="120"/>
      <c r="BJ722" s="120"/>
      <c r="BK722" s="120"/>
      <c r="BL722" s="120"/>
      <c r="BM722" s="120"/>
      <c r="BN722" s="120"/>
      <c r="BO722" s="120"/>
      <c r="BP722" s="120"/>
      <c r="BQ722" s="120"/>
      <c r="BR722" s="120"/>
      <c r="BS722" s="120"/>
      <c r="BT722" s="120"/>
      <c r="BU722" s="120"/>
      <c r="BV722" s="120"/>
      <c r="BW722" s="120"/>
      <c r="BX722" s="120"/>
      <c r="BY722" s="120"/>
      <c r="BZ722" s="120"/>
      <c r="CA722" s="120"/>
      <c r="CB722" s="120"/>
      <c r="CC722" s="120"/>
      <c r="CD722" s="120"/>
      <c r="CE722" s="120"/>
      <c r="CF722" s="120"/>
      <c r="CG722" s="120"/>
      <c r="CH722" s="120"/>
      <c r="CI722" s="120"/>
      <c r="CJ722" s="120"/>
      <c r="CK722" s="120"/>
      <c r="CL722" s="120"/>
      <c r="CM722" s="120"/>
      <c r="CN722" s="120"/>
      <c r="CO722" s="120"/>
    </row>
    <row r="723" spans="1:93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1"/>
      <c r="U723" s="120"/>
      <c r="V723" s="120"/>
      <c r="W723" s="121"/>
      <c r="X723" s="120"/>
      <c r="Y723" s="120"/>
      <c r="Z723" s="120"/>
      <c r="AA723" s="120"/>
      <c r="AB723" s="120"/>
      <c r="AC723" s="120"/>
      <c r="AD723" s="120"/>
      <c r="AE723" s="120"/>
      <c r="AF723" s="120"/>
      <c r="AG723" s="120"/>
      <c r="AH723" s="120"/>
      <c r="AI723" s="120"/>
      <c r="AJ723" s="120"/>
      <c r="AK723" s="120"/>
      <c r="AL723" s="120"/>
      <c r="AM723" s="120"/>
      <c r="AN723" s="120"/>
      <c r="AO723" s="120"/>
      <c r="AP723" s="120"/>
      <c r="AQ723" s="120"/>
      <c r="AR723" s="120"/>
      <c r="AS723" s="120"/>
      <c r="AT723" s="120"/>
      <c r="AU723" s="120"/>
      <c r="AV723" s="120"/>
      <c r="AW723" s="120"/>
      <c r="AX723" s="120"/>
      <c r="AY723" s="120"/>
      <c r="AZ723" s="120"/>
      <c r="BA723" s="120"/>
      <c r="BB723" s="120"/>
      <c r="BC723" s="120"/>
      <c r="BD723" s="120"/>
      <c r="BE723" s="120"/>
      <c r="BF723" s="120"/>
      <c r="BG723" s="120"/>
      <c r="BH723" s="120"/>
      <c r="BI723" s="120"/>
      <c r="BJ723" s="120"/>
      <c r="BK723" s="120"/>
      <c r="BL723" s="120"/>
      <c r="BM723" s="120"/>
      <c r="BN723" s="120"/>
      <c r="BO723" s="120"/>
      <c r="BP723" s="120"/>
      <c r="BQ723" s="120"/>
      <c r="BR723" s="120"/>
      <c r="BS723" s="120"/>
      <c r="BT723" s="120"/>
      <c r="BU723" s="120"/>
      <c r="BV723" s="120"/>
      <c r="BW723" s="120"/>
      <c r="BX723" s="120"/>
      <c r="BY723" s="120"/>
      <c r="BZ723" s="120"/>
      <c r="CA723" s="120"/>
      <c r="CB723" s="120"/>
      <c r="CC723" s="120"/>
      <c r="CD723" s="120"/>
      <c r="CE723" s="120"/>
      <c r="CF723" s="120"/>
      <c r="CG723" s="120"/>
      <c r="CH723" s="120"/>
      <c r="CI723" s="120"/>
      <c r="CJ723" s="120"/>
      <c r="CK723" s="120"/>
      <c r="CL723" s="120"/>
      <c r="CM723" s="120"/>
      <c r="CN723" s="120"/>
      <c r="CO723" s="120"/>
    </row>
    <row r="724" spans="1:93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1"/>
      <c r="U724" s="120"/>
      <c r="V724" s="120"/>
      <c r="W724" s="121"/>
      <c r="X724" s="120"/>
      <c r="Y724" s="120"/>
      <c r="Z724" s="120"/>
      <c r="AA724" s="120"/>
      <c r="AB724" s="120"/>
      <c r="AC724" s="120"/>
      <c r="AD724" s="120"/>
      <c r="AE724" s="120"/>
      <c r="AF724" s="120"/>
      <c r="AG724" s="120"/>
      <c r="AH724" s="120"/>
      <c r="AI724" s="120"/>
      <c r="AJ724" s="120"/>
      <c r="AK724" s="120"/>
      <c r="AL724" s="120"/>
      <c r="AM724" s="120"/>
      <c r="AN724" s="120"/>
      <c r="AO724" s="120"/>
      <c r="AP724" s="120"/>
      <c r="AQ724" s="120"/>
      <c r="AR724" s="120"/>
      <c r="AS724" s="120"/>
      <c r="AT724" s="120"/>
      <c r="AU724" s="120"/>
      <c r="AV724" s="120"/>
      <c r="AW724" s="120"/>
      <c r="AX724" s="120"/>
      <c r="AY724" s="120"/>
      <c r="AZ724" s="120"/>
      <c r="BA724" s="120"/>
      <c r="BB724" s="120"/>
      <c r="BC724" s="120"/>
      <c r="BD724" s="120"/>
      <c r="BE724" s="120"/>
      <c r="BF724" s="120"/>
      <c r="BG724" s="120"/>
      <c r="BH724" s="120"/>
      <c r="BI724" s="120"/>
      <c r="BJ724" s="120"/>
      <c r="BK724" s="120"/>
      <c r="BL724" s="120"/>
      <c r="BM724" s="120"/>
      <c r="BN724" s="120"/>
      <c r="BO724" s="120"/>
      <c r="BP724" s="120"/>
      <c r="BQ724" s="120"/>
      <c r="BR724" s="120"/>
      <c r="BS724" s="120"/>
      <c r="BT724" s="120"/>
      <c r="BU724" s="120"/>
      <c r="BV724" s="120"/>
      <c r="BW724" s="120"/>
      <c r="BX724" s="120"/>
      <c r="BY724" s="120"/>
      <c r="BZ724" s="120"/>
      <c r="CA724" s="120"/>
      <c r="CB724" s="120"/>
      <c r="CC724" s="120"/>
      <c r="CD724" s="120"/>
      <c r="CE724" s="120"/>
      <c r="CF724" s="120"/>
      <c r="CG724" s="120"/>
      <c r="CH724" s="120"/>
      <c r="CI724" s="120"/>
      <c r="CJ724" s="120"/>
      <c r="CK724" s="120"/>
      <c r="CL724" s="120"/>
      <c r="CM724" s="120"/>
      <c r="CN724" s="120"/>
      <c r="CO724" s="120"/>
    </row>
    <row r="725" spans="1:93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1"/>
      <c r="U725" s="120"/>
      <c r="V725" s="120"/>
      <c r="W725" s="121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  <c r="AJ725" s="120"/>
      <c r="AK725" s="120"/>
      <c r="AL725" s="120"/>
      <c r="AM725" s="120"/>
      <c r="AN725" s="120"/>
      <c r="AO725" s="120"/>
      <c r="AP725" s="120"/>
      <c r="AQ725" s="120"/>
      <c r="AR725" s="120"/>
      <c r="AS725" s="120"/>
      <c r="AT725" s="120"/>
      <c r="AU725" s="120"/>
      <c r="AV725" s="120"/>
      <c r="AW725" s="120"/>
      <c r="AX725" s="120"/>
      <c r="AY725" s="120"/>
      <c r="AZ725" s="120"/>
      <c r="BA725" s="120"/>
      <c r="BB725" s="120"/>
      <c r="BC725" s="120"/>
      <c r="BD725" s="120"/>
      <c r="BE725" s="120"/>
      <c r="BF725" s="120"/>
      <c r="BG725" s="120"/>
      <c r="BH725" s="120"/>
      <c r="BI725" s="120"/>
      <c r="BJ725" s="120"/>
      <c r="BK725" s="120"/>
      <c r="BL725" s="120"/>
      <c r="BM725" s="120"/>
      <c r="BN725" s="120"/>
      <c r="BO725" s="120"/>
      <c r="BP725" s="120"/>
      <c r="BQ725" s="120"/>
      <c r="BR725" s="120"/>
      <c r="BS725" s="120"/>
      <c r="BT725" s="120"/>
      <c r="BU725" s="120"/>
      <c r="BV725" s="120"/>
      <c r="BW725" s="120"/>
      <c r="BX725" s="120"/>
      <c r="BY725" s="120"/>
      <c r="BZ725" s="120"/>
      <c r="CA725" s="120"/>
      <c r="CB725" s="120"/>
      <c r="CC725" s="120"/>
      <c r="CD725" s="120"/>
      <c r="CE725" s="120"/>
      <c r="CF725" s="120"/>
      <c r="CG725" s="120"/>
      <c r="CH725" s="120"/>
      <c r="CI725" s="120"/>
      <c r="CJ725" s="120"/>
      <c r="CK725" s="120"/>
      <c r="CL725" s="120"/>
      <c r="CM725" s="120"/>
      <c r="CN725" s="120"/>
      <c r="CO725" s="120"/>
    </row>
    <row r="726" spans="1:93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1"/>
      <c r="U726" s="120"/>
      <c r="V726" s="120"/>
      <c r="W726" s="121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  <c r="AJ726" s="120"/>
      <c r="AK726" s="120"/>
      <c r="AL726" s="120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20"/>
      <c r="AW726" s="120"/>
      <c r="AX726" s="120"/>
      <c r="AY726" s="120"/>
      <c r="AZ726" s="120"/>
      <c r="BA726" s="120"/>
      <c r="BB726" s="120"/>
      <c r="BC726" s="120"/>
      <c r="BD726" s="120"/>
      <c r="BE726" s="120"/>
      <c r="BF726" s="120"/>
      <c r="BG726" s="120"/>
      <c r="BH726" s="120"/>
      <c r="BI726" s="120"/>
      <c r="BJ726" s="120"/>
      <c r="BK726" s="120"/>
      <c r="BL726" s="120"/>
      <c r="BM726" s="120"/>
      <c r="BN726" s="120"/>
      <c r="BO726" s="120"/>
      <c r="BP726" s="120"/>
      <c r="BQ726" s="120"/>
      <c r="BR726" s="120"/>
      <c r="BS726" s="120"/>
      <c r="BT726" s="120"/>
      <c r="BU726" s="120"/>
      <c r="BV726" s="120"/>
      <c r="BW726" s="120"/>
      <c r="BX726" s="120"/>
      <c r="BY726" s="120"/>
      <c r="BZ726" s="120"/>
      <c r="CA726" s="120"/>
      <c r="CB726" s="120"/>
      <c r="CC726" s="120"/>
      <c r="CD726" s="120"/>
      <c r="CE726" s="120"/>
      <c r="CF726" s="120"/>
      <c r="CG726" s="120"/>
      <c r="CH726" s="120"/>
      <c r="CI726" s="120"/>
      <c r="CJ726" s="120"/>
      <c r="CK726" s="120"/>
      <c r="CL726" s="120"/>
      <c r="CM726" s="120"/>
      <c r="CN726" s="120"/>
      <c r="CO726" s="120"/>
    </row>
    <row r="727" spans="1:93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1"/>
      <c r="U727" s="120"/>
      <c r="V727" s="120"/>
      <c r="W727" s="121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  <c r="AJ727" s="120"/>
      <c r="AK727" s="120"/>
      <c r="AL727" s="120"/>
      <c r="AM727" s="120"/>
      <c r="AN727" s="120"/>
      <c r="AO727" s="120"/>
      <c r="AP727" s="120"/>
      <c r="AQ727" s="120"/>
      <c r="AR727" s="120"/>
      <c r="AS727" s="120"/>
      <c r="AT727" s="120"/>
      <c r="AU727" s="120"/>
      <c r="AV727" s="120"/>
      <c r="AW727" s="120"/>
      <c r="AX727" s="120"/>
      <c r="AY727" s="120"/>
      <c r="AZ727" s="120"/>
      <c r="BA727" s="120"/>
      <c r="BB727" s="120"/>
      <c r="BC727" s="120"/>
      <c r="BD727" s="120"/>
      <c r="BE727" s="120"/>
      <c r="BF727" s="120"/>
      <c r="BG727" s="120"/>
      <c r="BH727" s="120"/>
      <c r="BI727" s="120"/>
      <c r="BJ727" s="120"/>
      <c r="BK727" s="120"/>
      <c r="BL727" s="120"/>
      <c r="BM727" s="120"/>
      <c r="BN727" s="120"/>
      <c r="BO727" s="120"/>
      <c r="BP727" s="120"/>
      <c r="BQ727" s="120"/>
      <c r="BR727" s="120"/>
      <c r="BS727" s="120"/>
      <c r="BT727" s="120"/>
      <c r="BU727" s="120"/>
      <c r="BV727" s="120"/>
      <c r="BW727" s="120"/>
      <c r="BX727" s="120"/>
      <c r="BY727" s="120"/>
      <c r="BZ727" s="120"/>
      <c r="CA727" s="120"/>
      <c r="CB727" s="120"/>
      <c r="CC727" s="120"/>
      <c r="CD727" s="120"/>
      <c r="CE727" s="120"/>
      <c r="CF727" s="120"/>
      <c r="CG727" s="120"/>
      <c r="CH727" s="120"/>
      <c r="CI727" s="120"/>
      <c r="CJ727" s="120"/>
      <c r="CK727" s="120"/>
      <c r="CL727" s="120"/>
      <c r="CM727" s="120"/>
      <c r="CN727" s="120"/>
      <c r="CO727" s="120"/>
    </row>
    <row r="728" spans="1:93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1"/>
      <c r="U728" s="120"/>
      <c r="V728" s="120"/>
      <c r="W728" s="121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0"/>
      <c r="AM728" s="120"/>
      <c r="AN728" s="120"/>
      <c r="AO728" s="120"/>
      <c r="AP728" s="120"/>
      <c r="AQ728" s="120"/>
      <c r="AR728" s="120"/>
      <c r="AS728" s="120"/>
      <c r="AT728" s="120"/>
      <c r="AU728" s="120"/>
      <c r="AV728" s="120"/>
      <c r="AW728" s="120"/>
      <c r="AX728" s="120"/>
      <c r="AY728" s="120"/>
      <c r="AZ728" s="120"/>
      <c r="BA728" s="120"/>
      <c r="BB728" s="120"/>
      <c r="BC728" s="120"/>
      <c r="BD728" s="120"/>
      <c r="BE728" s="120"/>
      <c r="BF728" s="120"/>
      <c r="BG728" s="120"/>
      <c r="BH728" s="120"/>
      <c r="BI728" s="120"/>
      <c r="BJ728" s="120"/>
      <c r="BK728" s="120"/>
      <c r="BL728" s="120"/>
      <c r="BM728" s="120"/>
      <c r="BN728" s="120"/>
      <c r="BO728" s="120"/>
      <c r="BP728" s="120"/>
      <c r="BQ728" s="120"/>
      <c r="BR728" s="120"/>
      <c r="BS728" s="120"/>
      <c r="BT728" s="120"/>
      <c r="BU728" s="120"/>
      <c r="BV728" s="120"/>
      <c r="BW728" s="120"/>
      <c r="BX728" s="120"/>
      <c r="BY728" s="120"/>
      <c r="BZ728" s="120"/>
      <c r="CA728" s="120"/>
      <c r="CB728" s="120"/>
      <c r="CC728" s="120"/>
      <c r="CD728" s="120"/>
      <c r="CE728" s="120"/>
      <c r="CF728" s="120"/>
      <c r="CG728" s="120"/>
      <c r="CH728" s="120"/>
      <c r="CI728" s="120"/>
      <c r="CJ728" s="120"/>
      <c r="CK728" s="120"/>
      <c r="CL728" s="120"/>
      <c r="CM728" s="120"/>
      <c r="CN728" s="120"/>
      <c r="CO728" s="120"/>
    </row>
    <row r="729" spans="1:93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1"/>
      <c r="U729" s="120"/>
      <c r="V729" s="120"/>
      <c r="W729" s="121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  <c r="AJ729" s="120"/>
      <c r="AK729" s="120"/>
      <c r="AL729" s="120"/>
      <c r="AM729" s="120"/>
      <c r="AN729" s="120"/>
      <c r="AO729" s="120"/>
      <c r="AP729" s="120"/>
      <c r="AQ729" s="120"/>
      <c r="AR729" s="120"/>
      <c r="AS729" s="120"/>
      <c r="AT729" s="120"/>
      <c r="AU729" s="120"/>
      <c r="AV729" s="120"/>
      <c r="AW729" s="120"/>
      <c r="AX729" s="120"/>
      <c r="AY729" s="120"/>
      <c r="AZ729" s="120"/>
      <c r="BA729" s="120"/>
      <c r="BB729" s="120"/>
      <c r="BC729" s="120"/>
      <c r="BD729" s="120"/>
      <c r="BE729" s="120"/>
      <c r="BF729" s="120"/>
      <c r="BG729" s="120"/>
      <c r="BH729" s="120"/>
      <c r="BI729" s="120"/>
      <c r="BJ729" s="120"/>
      <c r="BK729" s="120"/>
      <c r="BL729" s="120"/>
      <c r="BM729" s="120"/>
      <c r="BN729" s="120"/>
      <c r="BO729" s="120"/>
      <c r="BP729" s="120"/>
      <c r="BQ729" s="120"/>
      <c r="BR729" s="120"/>
      <c r="BS729" s="120"/>
      <c r="BT729" s="120"/>
      <c r="BU729" s="120"/>
      <c r="BV729" s="120"/>
      <c r="BW729" s="120"/>
      <c r="BX729" s="120"/>
      <c r="BY729" s="120"/>
      <c r="BZ729" s="120"/>
      <c r="CA729" s="120"/>
      <c r="CB729" s="120"/>
      <c r="CC729" s="120"/>
      <c r="CD729" s="120"/>
      <c r="CE729" s="120"/>
      <c r="CF729" s="120"/>
      <c r="CG729" s="120"/>
      <c r="CH729" s="120"/>
      <c r="CI729" s="120"/>
      <c r="CJ729" s="120"/>
      <c r="CK729" s="120"/>
      <c r="CL729" s="120"/>
      <c r="CM729" s="120"/>
      <c r="CN729" s="120"/>
      <c r="CO729" s="120"/>
    </row>
    <row r="730" spans="1:93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1"/>
      <c r="U730" s="120"/>
      <c r="V730" s="120"/>
      <c r="W730" s="121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  <c r="AJ730" s="120"/>
      <c r="AK730" s="120"/>
      <c r="AL730" s="120"/>
      <c r="AM730" s="120"/>
      <c r="AN730" s="120"/>
      <c r="AO730" s="120"/>
      <c r="AP730" s="120"/>
      <c r="AQ730" s="120"/>
      <c r="AR730" s="120"/>
      <c r="AS730" s="120"/>
      <c r="AT730" s="120"/>
      <c r="AU730" s="120"/>
      <c r="AV730" s="120"/>
      <c r="AW730" s="120"/>
      <c r="AX730" s="120"/>
      <c r="AY730" s="120"/>
      <c r="AZ730" s="120"/>
      <c r="BA730" s="120"/>
      <c r="BB730" s="120"/>
      <c r="BC730" s="120"/>
      <c r="BD730" s="120"/>
      <c r="BE730" s="120"/>
      <c r="BF730" s="120"/>
      <c r="BG730" s="120"/>
      <c r="BH730" s="120"/>
      <c r="BI730" s="120"/>
      <c r="BJ730" s="120"/>
      <c r="BK730" s="120"/>
      <c r="BL730" s="120"/>
      <c r="BM730" s="120"/>
      <c r="BN730" s="120"/>
      <c r="BO730" s="120"/>
      <c r="BP730" s="120"/>
      <c r="BQ730" s="120"/>
      <c r="BR730" s="120"/>
      <c r="BS730" s="120"/>
      <c r="BT730" s="120"/>
      <c r="BU730" s="120"/>
      <c r="BV730" s="120"/>
      <c r="BW730" s="120"/>
      <c r="BX730" s="120"/>
      <c r="BY730" s="120"/>
      <c r="BZ730" s="120"/>
      <c r="CA730" s="120"/>
      <c r="CB730" s="120"/>
      <c r="CC730" s="120"/>
      <c r="CD730" s="120"/>
      <c r="CE730" s="120"/>
      <c r="CF730" s="120"/>
      <c r="CG730" s="120"/>
      <c r="CH730" s="120"/>
      <c r="CI730" s="120"/>
      <c r="CJ730" s="120"/>
      <c r="CK730" s="120"/>
      <c r="CL730" s="120"/>
      <c r="CM730" s="120"/>
      <c r="CN730" s="120"/>
      <c r="CO730" s="120"/>
    </row>
    <row r="731" spans="1:93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1"/>
      <c r="U731" s="120"/>
      <c r="V731" s="120"/>
      <c r="W731" s="121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  <c r="AJ731" s="120"/>
      <c r="AK731" s="120"/>
      <c r="AL731" s="120"/>
      <c r="AM731" s="120"/>
      <c r="AN731" s="120"/>
      <c r="AO731" s="120"/>
      <c r="AP731" s="120"/>
      <c r="AQ731" s="120"/>
      <c r="AR731" s="120"/>
      <c r="AS731" s="120"/>
      <c r="AT731" s="120"/>
      <c r="AU731" s="120"/>
      <c r="AV731" s="120"/>
      <c r="AW731" s="120"/>
      <c r="AX731" s="120"/>
      <c r="AY731" s="120"/>
      <c r="AZ731" s="120"/>
      <c r="BA731" s="120"/>
      <c r="BB731" s="120"/>
      <c r="BC731" s="120"/>
      <c r="BD731" s="120"/>
      <c r="BE731" s="120"/>
      <c r="BF731" s="120"/>
      <c r="BG731" s="120"/>
      <c r="BH731" s="120"/>
      <c r="BI731" s="120"/>
      <c r="BJ731" s="120"/>
      <c r="BK731" s="120"/>
      <c r="BL731" s="120"/>
      <c r="BM731" s="120"/>
      <c r="BN731" s="120"/>
      <c r="BO731" s="120"/>
      <c r="BP731" s="120"/>
      <c r="BQ731" s="120"/>
      <c r="BR731" s="120"/>
      <c r="BS731" s="120"/>
      <c r="BT731" s="120"/>
      <c r="BU731" s="120"/>
      <c r="BV731" s="120"/>
      <c r="BW731" s="120"/>
      <c r="BX731" s="120"/>
      <c r="BY731" s="120"/>
      <c r="BZ731" s="120"/>
      <c r="CA731" s="120"/>
      <c r="CB731" s="120"/>
      <c r="CC731" s="120"/>
      <c r="CD731" s="120"/>
      <c r="CE731" s="120"/>
      <c r="CF731" s="120"/>
      <c r="CG731" s="120"/>
      <c r="CH731" s="120"/>
      <c r="CI731" s="120"/>
      <c r="CJ731" s="120"/>
      <c r="CK731" s="120"/>
      <c r="CL731" s="120"/>
      <c r="CM731" s="120"/>
      <c r="CN731" s="120"/>
      <c r="CO731" s="120"/>
    </row>
    <row r="732" spans="1:93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1"/>
      <c r="U732" s="120"/>
      <c r="V732" s="120"/>
      <c r="W732" s="121"/>
      <c r="X732" s="120"/>
      <c r="Y732" s="120"/>
      <c r="Z732" s="120"/>
      <c r="AA732" s="120"/>
      <c r="AB732" s="120"/>
      <c r="AC732" s="120"/>
      <c r="AD732" s="120"/>
      <c r="AE732" s="120"/>
      <c r="AF732" s="120"/>
      <c r="AG732" s="120"/>
      <c r="AH732" s="120"/>
      <c r="AI732" s="120"/>
      <c r="AJ732" s="120"/>
      <c r="AK732" s="120"/>
      <c r="AL732" s="120"/>
      <c r="AM732" s="120"/>
      <c r="AN732" s="120"/>
      <c r="AO732" s="120"/>
      <c r="AP732" s="120"/>
      <c r="AQ732" s="120"/>
      <c r="AR732" s="120"/>
      <c r="AS732" s="120"/>
      <c r="AT732" s="120"/>
      <c r="AU732" s="120"/>
      <c r="AV732" s="120"/>
      <c r="AW732" s="120"/>
      <c r="AX732" s="120"/>
      <c r="AY732" s="120"/>
      <c r="AZ732" s="120"/>
      <c r="BA732" s="120"/>
      <c r="BB732" s="120"/>
      <c r="BC732" s="120"/>
      <c r="BD732" s="120"/>
      <c r="BE732" s="120"/>
      <c r="BF732" s="120"/>
      <c r="BG732" s="120"/>
      <c r="BH732" s="120"/>
      <c r="BI732" s="120"/>
      <c r="BJ732" s="120"/>
      <c r="BK732" s="120"/>
      <c r="BL732" s="120"/>
      <c r="BM732" s="120"/>
      <c r="BN732" s="120"/>
      <c r="BO732" s="120"/>
      <c r="BP732" s="120"/>
      <c r="BQ732" s="120"/>
      <c r="BR732" s="120"/>
      <c r="BS732" s="120"/>
      <c r="BT732" s="120"/>
      <c r="BU732" s="120"/>
      <c r="BV732" s="120"/>
      <c r="BW732" s="120"/>
      <c r="BX732" s="120"/>
      <c r="BY732" s="120"/>
      <c r="BZ732" s="120"/>
      <c r="CA732" s="120"/>
      <c r="CB732" s="120"/>
      <c r="CC732" s="120"/>
      <c r="CD732" s="120"/>
      <c r="CE732" s="120"/>
      <c r="CF732" s="120"/>
      <c r="CG732" s="120"/>
      <c r="CH732" s="120"/>
      <c r="CI732" s="120"/>
      <c r="CJ732" s="120"/>
      <c r="CK732" s="120"/>
      <c r="CL732" s="120"/>
      <c r="CM732" s="120"/>
      <c r="CN732" s="120"/>
      <c r="CO732" s="120"/>
    </row>
    <row r="733" spans="1:93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1"/>
      <c r="U733" s="120"/>
      <c r="V733" s="120"/>
      <c r="W733" s="121"/>
      <c r="X733" s="120"/>
      <c r="Y733" s="120"/>
      <c r="Z733" s="120"/>
      <c r="AA733" s="120"/>
      <c r="AB733" s="120"/>
      <c r="AC733" s="120"/>
      <c r="AD733" s="120"/>
      <c r="AE733" s="120"/>
      <c r="AF733" s="120"/>
      <c r="AG733" s="120"/>
      <c r="AH733" s="120"/>
      <c r="AI733" s="120"/>
      <c r="AJ733" s="120"/>
      <c r="AK733" s="120"/>
      <c r="AL733" s="120"/>
      <c r="AM733" s="120"/>
      <c r="AN733" s="120"/>
      <c r="AO733" s="120"/>
      <c r="AP733" s="120"/>
      <c r="AQ733" s="120"/>
      <c r="AR733" s="120"/>
      <c r="AS733" s="120"/>
      <c r="AT733" s="120"/>
      <c r="AU733" s="120"/>
      <c r="AV733" s="120"/>
      <c r="AW733" s="120"/>
      <c r="AX733" s="120"/>
      <c r="AY733" s="120"/>
      <c r="AZ733" s="120"/>
      <c r="BA733" s="120"/>
      <c r="BB733" s="120"/>
      <c r="BC733" s="120"/>
      <c r="BD733" s="120"/>
      <c r="BE733" s="120"/>
      <c r="BF733" s="120"/>
      <c r="BG733" s="120"/>
      <c r="BH733" s="120"/>
      <c r="BI733" s="120"/>
      <c r="BJ733" s="120"/>
      <c r="BK733" s="120"/>
      <c r="BL733" s="120"/>
      <c r="BM733" s="120"/>
      <c r="BN733" s="120"/>
      <c r="BO733" s="120"/>
      <c r="BP733" s="120"/>
      <c r="BQ733" s="120"/>
      <c r="BR733" s="120"/>
      <c r="BS733" s="120"/>
      <c r="BT733" s="120"/>
      <c r="BU733" s="120"/>
      <c r="BV733" s="120"/>
      <c r="BW733" s="120"/>
      <c r="BX733" s="120"/>
      <c r="BY733" s="120"/>
      <c r="BZ733" s="120"/>
      <c r="CA733" s="120"/>
      <c r="CB733" s="120"/>
      <c r="CC733" s="120"/>
      <c r="CD733" s="120"/>
      <c r="CE733" s="120"/>
      <c r="CF733" s="120"/>
      <c r="CG733" s="120"/>
      <c r="CH733" s="120"/>
      <c r="CI733" s="120"/>
      <c r="CJ733" s="120"/>
      <c r="CK733" s="120"/>
      <c r="CL733" s="120"/>
      <c r="CM733" s="120"/>
      <c r="CN733" s="120"/>
      <c r="CO733" s="120"/>
    </row>
    <row r="734" spans="1:93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1"/>
      <c r="U734" s="120"/>
      <c r="V734" s="120"/>
      <c r="W734" s="121"/>
      <c r="X734" s="120"/>
      <c r="Y734" s="120"/>
      <c r="Z734" s="120"/>
      <c r="AA734" s="120"/>
      <c r="AB734" s="120"/>
      <c r="AC734" s="120"/>
      <c r="AD734" s="120"/>
      <c r="AE734" s="120"/>
      <c r="AF734" s="120"/>
      <c r="AG734" s="120"/>
      <c r="AH734" s="120"/>
      <c r="AI734" s="120"/>
      <c r="AJ734" s="120"/>
      <c r="AK734" s="120"/>
      <c r="AL734" s="120"/>
      <c r="AM734" s="120"/>
      <c r="AN734" s="120"/>
      <c r="AO734" s="120"/>
      <c r="AP734" s="120"/>
      <c r="AQ734" s="120"/>
      <c r="AR734" s="120"/>
      <c r="AS734" s="120"/>
      <c r="AT734" s="120"/>
      <c r="AU734" s="120"/>
      <c r="AV734" s="120"/>
      <c r="AW734" s="120"/>
      <c r="AX734" s="120"/>
      <c r="AY734" s="120"/>
      <c r="AZ734" s="120"/>
      <c r="BA734" s="120"/>
      <c r="BB734" s="120"/>
      <c r="BC734" s="120"/>
      <c r="BD734" s="120"/>
      <c r="BE734" s="120"/>
      <c r="BF734" s="120"/>
      <c r="BG734" s="120"/>
      <c r="BH734" s="120"/>
      <c r="BI734" s="120"/>
      <c r="BJ734" s="120"/>
      <c r="BK734" s="120"/>
      <c r="BL734" s="120"/>
      <c r="BM734" s="120"/>
      <c r="BN734" s="120"/>
      <c r="BO734" s="120"/>
      <c r="BP734" s="120"/>
      <c r="BQ734" s="120"/>
      <c r="BR734" s="120"/>
      <c r="BS734" s="120"/>
      <c r="BT734" s="120"/>
      <c r="BU734" s="120"/>
      <c r="BV734" s="120"/>
      <c r="BW734" s="120"/>
      <c r="BX734" s="120"/>
      <c r="BY734" s="120"/>
      <c r="BZ734" s="120"/>
      <c r="CA734" s="120"/>
      <c r="CB734" s="120"/>
      <c r="CC734" s="120"/>
      <c r="CD734" s="120"/>
      <c r="CE734" s="120"/>
      <c r="CF734" s="120"/>
      <c r="CG734" s="120"/>
      <c r="CH734" s="120"/>
      <c r="CI734" s="120"/>
      <c r="CJ734" s="120"/>
      <c r="CK734" s="120"/>
      <c r="CL734" s="120"/>
      <c r="CM734" s="120"/>
      <c r="CN734" s="120"/>
      <c r="CO734" s="120"/>
    </row>
    <row r="735" spans="1:93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1"/>
      <c r="U735" s="120"/>
      <c r="V735" s="120"/>
      <c r="W735" s="121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  <c r="AJ735" s="120"/>
      <c r="AK735" s="120"/>
      <c r="AL735" s="120"/>
      <c r="AM735" s="120"/>
      <c r="AN735" s="120"/>
      <c r="AO735" s="120"/>
      <c r="AP735" s="120"/>
      <c r="AQ735" s="120"/>
      <c r="AR735" s="120"/>
      <c r="AS735" s="120"/>
      <c r="AT735" s="120"/>
      <c r="AU735" s="120"/>
      <c r="AV735" s="120"/>
      <c r="AW735" s="120"/>
      <c r="AX735" s="120"/>
      <c r="AY735" s="120"/>
      <c r="AZ735" s="120"/>
      <c r="BA735" s="120"/>
      <c r="BB735" s="120"/>
      <c r="BC735" s="120"/>
      <c r="BD735" s="120"/>
      <c r="BE735" s="120"/>
      <c r="BF735" s="120"/>
      <c r="BG735" s="120"/>
      <c r="BH735" s="120"/>
      <c r="BI735" s="120"/>
      <c r="BJ735" s="120"/>
      <c r="BK735" s="120"/>
      <c r="BL735" s="120"/>
      <c r="BM735" s="120"/>
      <c r="BN735" s="120"/>
      <c r="BO735" s="120"/>
      <c r="BP735" s="120"/>
      <c r="BQ735" s="120"/>
      <c r="BR735" s="120"/>
      <c r="BS735" s="120"/>
      <c r="BT735" s="120"/>
      <c r="BU735" s="120"/>
      <c r="BV735" s="120"/>
      <c r="BW735" s="120"/>
      <c r="BX735" s="120"/>
      <c r="BY735" s="120"/>
      <c r="BZ735" s="120"/>
      <c r="CA735" s="120"/>
      <c r="CB735" s="120"/>
      <c r="CC735" s="120"/>
      <c r="CD735" s="120"/>
      <c r="CE735" s="120"/>
      <c r="CF735" s="120"/>
      <c r="CG735" s="120"/>
      <c r="CH735" s="120"/>
      <c r="CI735" s="120"/>
      <c r="CJ735" s="120"/>
      <c r="CK735" s="120"/>
      <c r="CL735" s="120"/>
      <c r="CM735" s="120"/>
      <c r="CN735" s="120"/>
      <c r="CO735" s="120"/>
    </row>
    <row r="736" spans="1:93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1"/>
      <c r="U736" s="120"/>
      <c r="V736" s="120"/>
      <c r="W736" s="121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  <c r="AJ736" s="120"/>
      <c r="AK736" s="120"/>
      <c r="AL736" s="120"/>
      <c r="AM736" s="120"/>
      <c r="AN736" s="120"/>
      <c r="AO736" s="120"/>
      <c r="AP736" s="120"/>
      <c r="AQ736" s="120"/>
      <c r="AR736" s="120"/>
      <c r="AS736" s="120"/>
      <c r="AT736" s="120"/>
      <c r="AU736" s="120"/>
      <c r="AV736" s="120"/>
      <c r="AW736" s="120"/>
      <c r="AX736" s="120"/>
      <c r="AY736" s="120"/>
      <c r="AZ736" s="120"/>
      <c r="BA736" s="120"/>
      <c r="BB736" s="120"/>
      <c r="BC736" s="120"/>
      <c r="BD736" s="120"/>
      <c r="BE736" s="120"/>
      <c r="BF736" s="120"/>
      <c r="BG736" s="120"/>
      <c r="BH736" s="120"/>
      <c r="BI736" s="120"/>
      <c r="BJ736" s="120"/>
      <c r="BK736" s="120"/>
      <c r="BL736" s="120"/>
      <c r="BM736" s="120"/>
      <c r="BN736" s="120"/>
      <c r="BO736" s="120"/>
      <c r="BP736" s="120"/>
      <c r="BQ736" s="120"/>
      <c r="BR736" s="120"/>
      <c r="BS736" s="120"/>
      <c r="BT736" s="120"/>
      <c r="BU736" s="120"/>
      <c r="BV736" s="120"/>
      <c r="BW736" s="120"/>
      <c r="BX736" s="120"/>
      <c r="BY736" s="120"/>
      <c r="BZ736" s="120"/>
      <c r="CA736" s="120"/>
      <c r="CB736" s="120"/>
      <c r="CC736" s="120"/>
      <c r="CD736" s="120"/>
      <c r="CE736" s="120"/>
      <c r="CF736" s="120"/>
      <c r="CG736" s="120"/>
      <c r="CH736" s="120"/>
      <c r="CI736" s="120"/>
      <c r="CJ736" s="120"/>
      <c r="CK736" s="120"/>
      <c r="CL736" s="120"/>
      <c r="CM736" s="120"/>
      <c r="CN736" s="120"/>
      <c r="CO736" s="120"/>
    </row>
    <row r="737" spans="1:93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1"/>
      <c r="U737" s="120"/>
      <c r="V737" s="120"/>
      <c r="W737" s="121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  <c r="AJ737" s="120"/>
      <c r="AK737" s="120"/>
      <c r="AL737" s="120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20"/>
      <c r="AW737" s="120"/>
      <c r="AX737" s="120"/>
      <c r="AY737" s="120"/>
      <c r="AZ737" s="120"/>
      <c r="BA737" s="120"/>
      <c r="BB737" s="120"/>
      <c r="BC737" s="120"/>
      <c r="BD737" s="120"/>
      <c r="BE737" s="120"/>
      <c r="BF737" s="120"/>
      <c r="BG737" s="120"/>
      <c r="BH737" s="120"/>
      <c r="BI737" s="120"/>
      <c r="BJ737" s="120"/>
      <c r="BK737" s="120"/>
      <c r="BL737" s="120"/>
      <c r="BM737" s="120"/>
      <c r="BN737" s="120"/>
      <c r="BO737" s="120"/>
      <c r="BP737" s="120"/>
      <c r="BQ737" s="120"/>
      <c r="BR737" s="120"/>
      <c r="BS737" s="120"/>
      <c r="BT737" s="120"/>
      <c r="BU737" s="120"/>
      <c r="BV737" s="120"/>
      <c r="BW737" s="120"/>
      <c r="BX737" s="120"/>
      <c r="BY737" s="120"/>
      <c r="BZ737" s="120"/>
      <c r="CA737" s="120"/>
      <c r="CB737" s="120"/>
      <c r="CC737" s="120"/>
      <c r="CD737" s="120"/>
      <c r="CE737" s="120"/>
      <c r="CF737" s="120"/>
      <c r="CG737" s="120"/>
      <c r="CH737" s="120"/>
      <c r="CI737" s="120"/>
      <c r="CJ737" s="120"/>
      <c r="CK737" s="120"/>
      <c r="CL737" s="120"/>
      <c r="CM737" s="120"/>
      <c r="CN737" s="120"/>
      <c r="CO737" s="120"/>
    </row>
    <row r="738" spans="1:93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1"/>
      <c r="U738" s="120"/>
      <c r="V738" s="120"/>
      <c r="W738" s="121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  <c r="AJ738" s="120"/>
      <c r="AK738" s="120"/>
      <c r="AL738" s="120"/>
      <c r="AM738" s="120"/>
      <c r="AN738" s="120"/>
      <c r="AO738" s="120"/>
      <c r="AP738" s="120"/>
      <c r="AQ738" s="120"/>
      <c r="AR738" s="120"/>
      <c r="AS738" s="120"/>
      <c r="AT738" s="120"/>
      <c r="AU738" s="120"/>
      <c r="AV738" s="120"/>
      <c r="AW738" s="120"/>
      <c r="AX738" s="120"/>
      <c r="AY738" s="120"/>
      <c r="AZ738" s="120"/>
      <c r="BA738" s="120"/>
      <c r="BB738" s="120"/>
      <c r="BC738" s="120"/>
      <c r="BD738" s="120"/>
      <c r="BE738" s="120"/>
      <c r="BF738" s="120"/>
      <c r="BG738" s="120"/>
      <c r="BH738" s="120"/>
      <c r="BI738" s="120"/>
      <c r="BJ738" s="120"/>
      <c r="BK738" s="120"/>
      <c r="BL738" s="120"/>
      <c r="BM738" s="120"/>
      <c r="BN738" s="120"/>
      <c r="BO738" s="120"/>
      <c r="BP738" s="120"/>
      <c r="BQ738" s="120"/>
      <c r="BR738" s="120"/>
      <c r="BS738" s="120"/>
      <c r="BT738" s="120"/>
      <c r="BU738" s="120"/>
      <c r="BV738" s="120"/>
      <c r="BW738" s="120"/>
      <c r="BX738" s="120"/>
      <c r="BY738" s="120"/>
      <c r="BZ738" s="120"/>
      <c r="CA738" s="120"/>
      <c r="CB738" s="120"/>
      <c r="CC738" s="120"/>
      <c r="CD738" s="120"/>
      <c r="CE738" s="120"/>
      <c r="CF738" s="120"/>
      <c r="CG738" s="120"/>
      <c r="CH738" s="120"/>
      <c r="CI738" s="120"/>
      <c r="CJ738" s="120"/>
      <c r="CK738" s="120"/>
      <c r="CL738" s="120"/>
      <c r="CM738" s="120"/>
      <c r="CN738" s="120"/>
      <c r="CO738" s="120"/>
    </row>
    <row r="739" spans="1:93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1"/>
      <c r="U739" s="120"/>
      <c r="V739" s="120"/>
      <c r="W739" s="121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0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20"/>
      <c r="BK739" s="120"/>
      <c r="BL739" s="120"/>
      <c r="BM739" s="120"/>
      <c r="BN739" s="120"/>
      <c r="BO739" s="120"/>
      <c r="BP739" s="120"/>
      <c r="BQ739" s="120"/>
      <c r="BR739" s="120"/>
      <c r="BS739" s="120"/>
      <c r="BT739" s="120"/>
      <c r="BU739" s="120"/>
      <c r="BV739" s="120"/>
      <c r="BW739" s="120"/>
      <c r="BX739" s="120"/>
      <c r="BY739" s="120"/>
      <c r="BZ739" s="120"/>
      <c r="CA739" s="120"/>
      <c r="CB739" s="120"/>
      <c r="CC739" s="120"/>
      <c r="CD739" s="120"/>
      <c r="CE739" s="120"/>
      <c r="CF739" s="120"/>
      <c r="CG739" s="120"/>
      <c r="CH739" s="120"/>
      <c r="CI739" s="120"/>
      <c r="CJ739" s="120"/>
      <c r="CK739" s="120"/>
      <c r="CL739" s="120"/>
      <c r="CM739" s="120"/>
      <c r="CN739" s="120"/>
      <c r="CO739" s="120"/>
    </row>
    <row r="740" spans="1:93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1"/>
      <c r="U740" s="120"/>
      <c r="V740" s="120"/>
      <c r="W740" s="121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  <c r="AJ740" s="120"/>
      <c r="AK740" s="120"/>
      <c r="AL740" s="120"/>
      <c r="AM740" s="120"/>
      <c r="AN740" s="120"/>
      <c r="AO740" s="120"/>
      <c r="AP740" s="120"/>
      <c r="AQ740" s="120"/>
      <c r="AR740" s="120"/>
      <c r="AS740" s="120"/>
      <c r="AT740" s="120"/>
      <c r="AU740" s="120"/>
      <c r="AV740" s="120"/>
      <c r="AW740" s="120"/>
      <c r="AX740" s="120"/>
      <c r="AY740" s="120"/>
      <c r="AZ740" s="120"/>
      <c r="BA740" s="120"/>
      <c r="BB740" s="120"/>
      <c r="BC740" s="120"/>
      <c r="BD740" s="120"/>
      <c r="BE740" s="120"/>
      <c r="BF740" s="120"/>
      <c r="BG740" s="120"/>
      <c r="BH740" s="120"/>
      <c r="BI740" s="120"/>
      <c r="BJ740" s="120"/>
      <c r="BK740" s="120"/>
      <c r="BL740" s="120"/>
      <c r="BM740" s="120"/>
      <c r="BN740" s="120"/>
      <c r="BO740" s="120"/>
      <c r="BP740" s="120"/>
      <c r="BQ740" s="120"/>
      <c r="BR740" s="120"/>
      <c r="BS740" s="120"/>
      <c r="BT740" s="120"/>
      <c r="BU740" s="120"/>
      <c r="BV740" s="120"/>
      <c r="BW740" s="120"/>
      <c r="BX740" s="120"/>
      <c r="BY740" s="120"/>
      <c r="BZ740" s="120"/>
      <c r="CA740" s="120"/>
      <c r="CB740" s="120"/>
      <c r="CC740" s="120"/>
      <c r="CD740" s="120"/>
      <c r="CE740" s="120"/>
      <c r="CF740" s="120"/>
      <c r="CG740" s="120"/>
      <c r="CH740" s="120"/>
      <c r="CI740" s="120"/>
      <c r="CJ740" s="120"/>
      <c r="CK740" s="120"/>
      <c r="CL740" s="120"/>
      <c r="CM740" s="120"/>
      <c r="CN740" s="120"/>
      <c r="CO740" s="120"/>
    </row>
    <row r="741" spans="1:93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1"/>
      <c r="U741" s="120"/>
      <c r="V741" s="120"/>
      <c r="W741" s="121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  <c r="AJ741" s="120"/>
      <c r="AK741" s="120"/>
      <c r="AL741" s="120"/>
      <c r="AM741" s="120"/>
      <c r="AN741" s="120"/>
      <c r="AO741" s="120"/>
      <c r="AP741" s="120"/>
      <c r="AQ741" s="120"/>
      <c r="AR741" s="120"/>
      <c r="AS741" s="120"/>
      <c r="AT741" s="120"/>
      <c r="AU741" s="120"/>
      <c r="AV741" s="120"/>
      <c r="AW741" s="120"/>
      <c r="AX741" s="120"/>
      <c r="AY741" s="120"/>
      <c r="AZ741" s="120"/>
      <c r="BA741" s="120"/>
      <c r="BB741" s="120"/>
      <c r="BC741" s="120"/>
      <c r="BD741" s="120"/>
      <c r="BE741" s="120"/>
      <c r="BF741" s="120"/>
      <c r="BG741" s="120"/>
      <c r="BH741" s="120"/>
      <c r="BI741" s="120"/>
      <c r="BJ741" s="120"/>
      <c r="BK741" s="120"/>
      <c r="BL741" s="120"/>
      <c r="BM741" s="120"/>
      <c r="BN741" s="120"/>
      <c r="BO741" s="120"/>
      <c r="BP741" s="120"/>
      <c r="BQ741" s="120"/>
      <c r="BR741" s="120"/>
      <c r="BS741" s="120"/>
      <c r="BT741" s="120"/>
      <c r="BU741" s="120"/>
      <c r="BV741" s="120"/>
      <c r="BW741" s="120"/>
      <c r="BX741" s="120"/>
      <c r="BY741" s="120"/>
      <c r="BZ741" s="120"/>
      <c r="CA741" s="120"/>
      <c r="CB741" s="120"/>
      <c r="CC741" s="120"/>
      <c r="CD741" s="120"/>
      <c r="CE741" s="120"/>
      <c r="CF741" s="120"/>
      <c r="CG741" s="120"/>
      <c r="CH741" s="120"/>
      <c r="CI741" s="120"/>
      <c r="CJ741" s="120"/>
      <c r="CK741" s="120"/>
      <c r="CL741" s="120"/>
      <c r="CM741" s="120"/>
      <c r="CN741" s="120"/>
      <c r="CO741" s="120"/>
    </row>
    <row r="742" spans="1:93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1"/>
      <c r="U742" s="120"/>
      <c r="V742" s="120"/>
      <c r="W742" s="121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  <c r="AJ742" s="120"/>
      <c r="AK742" s="120"/>
      <c r="AL742" s="120"/>
      <c r="AM742" s="120"/>
      <c r="AN742" s="120"/>
      <c r="AO742" s="120"/>
      <c r="AP742" s="120"/>
      <c r="AQ742" s="120"/>
      <c r="AR742" s="120"/>
      <c r="AS742" s="120"/>
      <c r="AT742" s="120"/>
      <c r="AU742" s="120"/>
      <c r="AV742" s="120"/>
      <c r="AW742" s="120"/>
      <c r="AX742" s="120"/>
      <c r="AY742" s="120"/>
      <c r="AZ742" s="120"/>
      <c r="BA742" s="120"/>
      <c r="BB742" s="120"/>
      <c r="BC742" s="120"/>
      <c r="BD742" s="120"/>
      <c r="BE742" s="120"/>
      <c r="BF742" s="120"/>
      <c r="BG742" s="120"/>
      <c r="BH742" s="120"/>
      <c r="BI742" s="120"/>
      <c r="BJ742" s="120"/>
      <c r="BK742" s="120"/>
      <c r="BL742" s="120"/>
      <c r="BM742" s="120"/>
      <c r="BN742" s="120"/>
      <c r="BO742" s="120"/>
      <c r="BP742" s="120"/>
      <c r="BQ742" s="120"/>
      <c r="BR742" s="120"/>
      <c r="BS742" s="120"/>
      <c r="BT742" s="120"/>
      <c r="BU742" s="120"/>
      <c r="BV742" s="120"/>
      <c r="BW742" s="120"/>
      <c r="BX742" s="120"/>
      <c r="BY742" s="120"/>
      <c r="BZ742" s="120"/>
      <c r="CA742" s="120"/>
      <c r="CB742" s="120"/>
      <c r="CC742" s="120"/>
      <c r="CD742" s="120"/>
      <c r="CE742" s="120"/>
      <c r="CF742" s="120"/>
      <c r="CG742" s="120"/>
      <c r="CH742" s="120"/>
      <c r="CI742" s="120"/>
      <c r="CJ742" s="120"/>
      <c r="CK742" s="120"/>
      <c r="CL742" s="120"/>
      <c r="CM742" s="120"/>
      <c r="CN742" s="120"/>
      <c r="CO742" s="120"/>
    </row>
    <row r="743" spans="1:93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1"/>
      <c r="U743" s="120"/>
      <c r="V743" s="120"/>
      <c r="W743" s="121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  <c r="AJ743" s="120"/>
      <c r="AK743" s="120"/>
      <c r="AL743" s="120"/>
      <c r="AM743" s="120"/>
      <c r="AN743" s="120"/>
      <c r="AO743" s="120"/>
      <c r="AP743" s="120"/>
      <c r="AQ743" s="120"/>
      <c r="AR743" s="120"/>
      <c r="AS743" s="120"/>
      <c r="AT743" s="120"/>
      <c r="AU743" s="120"/>
      <c r="AV743" s="120"/>
      <c r="AW743" s="120"/>
      <c r="AX743" s="120"/>
      <c r="AY743" s="120"/>
      <c r="AZ743" s="120"/>
      <c r="BA743" s="120"/>
      <c r="BB743" s="120"/>
      <c r="BC743" s="120"/>
      <c r="BD743" s="120"/>
      <c r="BE743" s="120"/>
      <c r="BF743" s="120"/>
      <c r="BG743" s="120"/>
      <c r="BH743" s="120"/>
      <c r="BI743" s="120"/>
      <c r="BJ743" s="120"/>
      <c r="BK743" s="120"/>
      <c r="BL743" s="120"/>
      <c r="BM743" s="120"/>
      <c r="BN743" s="120"/>
      <c r="BO743" s="120"/>
      <c r="BP743" s="120"/>
      <c r="BQ743" s="120"/>
      <c r="BR743" s="120"/>
      <c r="BS743" s="120"/>
      <c r="BT743" s="120"/>
      <c r="BU743" s="120"/>
      <c r="BV743" s="120"/>
      <c r="BW743" s="120"/>
      <c r="BX743" s="120"/>
      <c r="BY743" s="120"/>
      <c r="BZ743" s="120"/>
      <c r="CA743" s="120"/>
      <c r="CB743" s="120"/>
      <c r="CC743" s="120"/>
      <c r="CD743" s="120"/>
      <c r="CE743" s="120"/>
      <c r="CF743" s="120"/>
      <c r="CG743" s="120"/>
      <c r="CH743" s="120"/>
      <c r="CI743" s="120"/>
      <c r="CJ743" s="120"/>
      <c r="CK743" s="120"/>
      <c r="CL743" s="120"/>
      <c r="CM743" s="120"/>
      <c r="CN743" s="120"/>
      <c r="CO743" s="120"/>
    </row>
    <row r="744" spans="1:93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1"/>
      <c r="U744" s="120"/>
      <c r="V744" s="120"/>
      <c r="W744" s="121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0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20"/>
      <c r="AW744" s="120"/>
      <c r="AX744" s="120"/>
      <c r="AY744" s="120"/>
      <c r="AZ744" s="120"/>
      <c r="BA744" s="120"/>
      <c r="BB744" s="120"/>
      <c r="BC744" s="120"/>
      <c r="BD744" s="120"/>
      <c r="BE744" s="120"/>
      <c r="BF744" s="120"/>
      <c r="BG744" s="120"/>
      <c r="BH744" s="120"/>
      <c r="BI744" s="120"/>
      <c r="BJ744" s="120"/>
      <c r="BK744" s="120"/>
      <c r="BL744" s="120"/>
      <c r="BM744" s="120"/>
      <c r="BN744" s="120"/>
      <c r="BO744" s="120"/>
      <c r="BP744" s="120"/>
      <c r="BQ744" s="120"/>
      <c r="BR744" s="120"/>
      <c r="BS744" s="120"/>
      <c r="BT744" s="120"/>
      <c r="BU744" s="120"/>
      <c r="BV744" s="120"/>
      <c r="BW744" s="120"/>
      <c r="BX744" s="120"/>
      <c r="BY744" s="120"/>
      <c r="BZ744" s="120"/>
      <c r="CA744" s="120"/>
      <c r="CB744" s="120"/>
      <c r="CC744" s="120"/>
      <c r="CD744" s="120"/>
      <c r="CE744" s="120"/>
      <c r="CF744" s="120"/>
      <c r="CG744" s="120"/>
      <c r="CH744" s="120"/>
      <c r="CI744" s="120"/>
      <c r="CJ744" s="120"/>
      <c r="CK744" s="120"/>
      <c r="CL744" s="120"/>
      <c r="CM744" s="120"/>
      <c r="CN744" s="120"/>
      <c r="CO744" s="120"/>
    </row>
    <row r="745" spans="1:93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1"/>
      <c r="U745" s="120"/>
      <c r="V745" s="120"/>
      <c r="W745" s="121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0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20"/>
      <c r="AW745" s="120"/>
      <c r="AX745" s="120"/>
      <c r="AY745" s="120"/>
      <c r="AZ745" s="120"/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20"/>
      <c r="BK745" s="120"/>
      <c r="BL745" s="120"/>
      <c r="BM745" s="120"/>
      <c r="BN745" s="120"/>
      <c r="BO745" s="120"/>
      <c r="BP745" s="120"/>
      <c r="BQ745" s="120"/>
      <c r="BR745" s="120"/>
      <c r="BS745" s="120"/>
      <c r="BT745" s="120"/>
      <c r="BU745" s="120"/>
      <c r="BV745" s="120"/>
      <c r="BW745" s="120"/>
      <c r="BX745" s="120"/>
      <c r="BY745" s="120"/>
      <c r="BZ745" s="120"/>
      <c r="CA745" s="120"/>
      <c r="CB745" s="120"/>
      <c r="CC745" s="120"/>
      <c r="CD745" s="120"/>
      <c r="CE745" s="120"/>
      <c r="CF745" s="120"/>
      <c r="CG745" s="120"/>
      <c r="CH745" s="120"/>
      <c r="CI745" s="120"/>
      <c r="CJ745" s="120"/>
      <c r="CK745" s="120"/>
      <c r="CL745" s="120"/>
      <c r="CM745" s="120"/>
      <c r="CN745" s="120"/>
      <c r="CO745" s="120"/>
    </row>
    <row r="746" spans="1:93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1"/>
      <c r="U746" s="120"/>
      <c r="V746" s="120"/>
      <c r="W746" s="121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  <c r="AJ746" s="120"/>
      <c r="AK746" s="120"/>
      <c r="AL746" s="120"/>
      <c r="AM746" s="120"/>
      <c r="AN746" s="120"/>
      <c r="AO746" s="120"/>
      <c r="AP746" s="120"/>
      <c r="AQ746" s="120"/>
      <c r="AR746" s="120"/>
      <c r="AS746" s="120"/>
      <c r="AT746" s="120"/>
      <c r="AU746" s="120"/>
      <c r="AV746" s="120"/>
      <c r="AW746" s="120"/>
      <c r="AX746" s="120"/>
      <c r="AY746" s="120"/>
      <c r="AZ746" s="120"/>
      <c r="BA746" s="120"/>
      <c r="BB746" s="120"/>
      <c r="BC746" s="120"/>
      <c r="BD746" s="120"/>
      <c r="BE746" s="120"/>
      <c r="BF746" s="120"/>
      <c r="BG746" s="120"/>
      <c r="BH746" s="120"/>
      <c r="BI746" s="120"/>
      <c r="BJ746" s="120"/>
      <c r="BK746" s="120"/>
      <c r="BL746" s="120"/>
      <c r="BM746" s="120"/>
      <c r="BN746" s="120"/>
      <c r="BO746" s="120"/>
      <c r="BP746" s="120"/>
      <c r="BQ746" s="120"/>
      <c r="BR746" s="120"/>
      <c r="BS746" s="120"/>
      <c r="BT746" s="120"/>
      <c r="BU746" s="120"/>
      <c r="BV746" s="120"/>
      <c r="BW746" s="120"/>
      <c r="BX746" s="120"/>
      <c r="BY746" s="120"/>
      <c r="BZ746" s="120"/>
      <c r="CA746" s="120"/>
      <c r="CB746" s="120"/>
      <c r="CC746" s="120"/>
      <c r="CD746" s="120"/>
      <c r="CE746" s="120"/>
      <c r="CF746" s="120"/>
      <c r="CG746" s="120"/>
      <c r="CH746" s="120"/>
      <c r="CI746" s="120"/>
      <c r="CJ746" s="120"/>
      <c r="CK746" s="120"/>
      <c r="CL746" s="120"/>
      <c r="CM746" s="120"/>
      <c r="CN746" s="120"/>
      <c r="CO746" s="120"/>
    </row>
    <row r="747" spans="1:93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1"/>
      <c r="U747" s="120"/>
      <c r="V747" s="120"/>
      <c r="W747" s="121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  <c r="AJ747" s="120"/>
      <c r="AK747" s="120"/>
      <c r="AL747" s="120"/>
      <c r="AM747" s="120"/>
      <c r="AN747" s="120"/>
      <c r="AO747" s="120"/>
      <c r="AP747" s="120"/>
      <c r="AQ747" s="120"/>
      <c r="AR747" s="120"/>
      <c r="AS747" s="120"/>
      <c r="AT747" s="120"/>
      <c r="AU747" s="120"/>
      <c r="AV747" s="120"/>
      <c r="AW747" s="120"/>
      <c r="AX747" s="120"/>
      <c r="AY747" s="120"/>
      <c r="AZ747" s="120"/>
      <c r="BA747" s="120"/>
      <c r="BB747" s="120"/>
      <c r="BC747" s="120"/>
      <c r="BD747" s="120"/>
      <c r="BE747" s="120"/>
      <c r="BF747" s="120"/>
      <c r="BG747" s="120"/>
      <c r="BH747" s="120"/>
      <c r="BI747" s="120"/>
      <c r="BJ747" s="120"/>
      <c r="BK747" s="120"/>
      <c r="BL747" s="120"/>
      <c r="BM747" s="120"/>
      <c r="BN747" s="120"/>
      <c r="BO747" s="120"/>
      <c r="BP747" s="120"/>
      <c r="BQ747" s="120"/>
      <c r="BR747" s="120"/>
      <c r="BS747" s="120"/>
      <c r="BT747" s="120"/>
      <c r="BU747" s="120"/>
      <c r="BV747" s="120"/>
      <c r="BW747" s="120"/>
      <c r="BX747" s="120"/>
      <c r="BY747" s="120"/>
      <c r="BZ747" s="120"/>
      <c r="CA747" s="120"/>
      <c r="CB747" s="120"/>
      <c r="CC747" s="120"/>
      <c r="CD747" s="120"/>
      <c r="CE747" s="120"/>
      <c r="CF747" s="120"/>
      <c r="CG747" s="120"/>
      <c r="CH747" s="120"/>
      <c r="CI747" s="120"/>
      <c r="CJ747" s="120"/>
      <c r="CK747" s="120"/>
      <c r="CL747" s="120"/>
      <c r="CM747" s="120"/>
      <c r="CN747" s="120"/>
      <c r="CO747" s="120"/>
    </row>
    <row r="748" spans="1:93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1"/>
      <c r="U748" s="120"/>
      <c r="V748" s="120"/>
      <c r="W748" s="121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  <c r="AJ748" s="120"/>
      <c r="AK748" s="120"/>
      <c r="AL748" s="120"/>
      <c r="AM748" s="120"/>
      <c r="AN748" s="120"/>
      <c r="AO748" s="120"/>
      <c r="AP748" s="120"/>
      <c r="AQ748" s="120"/>
      <c r="AR748" s="120"/>
      <c r="AS748" s="120"/>
      <c r="AT748" s="120"/>
      <c r="AU748" s="120"/>
      <c r="AV748" s="120"/>
      <c r="AW748" s="120"/>
      <c r="AX748" s="120"/>
      <c r="AY748" s="120"/>
      <c r="AZ748" s="120"/>
      <c r="BA748" s="120"/>
      <c r="BB748" s="120"/>
      <c r="BC748" s="120"/>
      <c r="BD748" s="120"/>
      <c r="BE748" s="120"/>
      <c r="BF748" s="120"/>
      <c r="BG748" s="120"/>
      <c r="BH748" s="120"/>
      <c r="BI748" s="120"/>
      <c r="BJ748" s="120"/>
      <c r="BK748" s="120"/>
      <c r="BL748" s="120"/>
      <c r="BM748" s="120"/>
      <c r="BN748" s="120"/>
      <c r="BO748" s="120"/>
      <c r="BP748" s="120"/>
      <c r="BQ748" s="120"/>
      <c r="BR748" s="120"/>
      <c r="BS748" s="120"/>
      <c r="BT748" s="120"/>
      <c r="BU748" s="120"/>
      <c r="BV748" s="120"/>
      <c r="BW748" s="120"/>
      <c r="BX748" s="120"/>
      <c r="BY748" s="120"/>
      <c r="BZ748" s="120"/>
      <c r="CA748" s="120"/>
      <c r="CB748" s="120"/>
      <c r="CC748" s="120"/>
      <c r="CD748" s="120"/>
      <c r="CE748" s="120"/>
      <c r="CF748" s="120"/>
      <c r="CG748" s="120"/>
      <c r="CH748" s="120"/>
      <c r="CI748" s="120"/>
      <c r="CJ748" s="120"/>
      <c r="CK748" s="120"/>
      <c r="CL748" s="120"/>
      <c r="CM748" s="120"/>
      <c r="CN748" s="120"/>
      <c r="CO748" s="120"/>
    </row>
    <row r="749" spans="1:93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1"/>
      <c r="U749" s="120"/>
      <c r="V749" s="120"/>
      <c r="W749" s="121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  <c r="AJ749" s="120"/>
      <c r="AK749" s="120"/>
      <c r="AL749" s="120"/>
      <c r="AM749" s="120"/>
      <c r="AN749" s="120"/>
      <c r="AO749" s="120"/>
      <c r="AP749" s="120"/>
      <c r="AQ749" s="120"/>
      <c r="AR749" s="120"/>
      <c r="AS749" s="120"/>
      <c r="AT749" s="120"/>
      <c r="AU749" s="120"/>
      <c r="AV749" s="120"/>
      <c r="AW749" s="120"/>
      <c r="AX749" s="120"/>
      <c r="AY749" s="120"/>
      <c r="AZ749" s="120"/>
      <c r="BA749" s="120"/>
      <c r="BB749" s="120"/>
      <c r="BC749" s="120"/>
      <c r="BD749" s="120"/>
      <c r="BE749" s="120"/>
      <c r="BF749" s="120"/>
      <c r="BG749" s="120"/>
      <c r="BH749" s="120"/>
      <c r="BI749" s="120"/>
      <c r="BJ749" s="120"/>
      <c r="BK749" s="120"/>
      <c r="BL749" s="120"/>
      <c r="BM749" s="120"/>
      <c r="BN749" s="120"/>
      <c r="BO749" s="120"/>
      <c r="BP749" s="120"/>
      <c r="BQ749" s="120"/>
      <c r="BR749" s="120"/>
      <c r="BS749" s="120"/>
      <c r="BT749" s="120"/>
      <c r="BU749" s="120"/>
      <c r="BV749" s="120"/>
      <c r="BW749" s="120"/>
      <c r="BX749" s="120"/>
      <c r="BY749" s="120"/>
      <c r="BZ749" s="120"/>
      <c r="CA749" s="120"/>
      <c r="CB749" s="120"/>
      <c r="CC749" s="120"/>
      <c r="CD749" s="120"/>
      <c r="CE749" s="120"/>
      <c r="CF749" s="120"/>
      <c r="CG749" s="120"/>
      <c r="CH749" s="120"/>
      <c r="CI749" s="120"/>
      <c r="CJ749" s="120"/>
      <c r="CK749" s="120"/>
      <c r="CL749" s="120"/>
      <c r="CM749" s="120"/>
      <c r="CN749" s="120"/>
      <c r="CO749" s="120"/>
    </row>
    <row r="750" spans="1:93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1"/>
      <c r="U750" s="120"/>
      <c r="V750" s="120"/>
      <c r="W750" s="121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  <c r="AJ750" s="120"/>
      <c r="AK750" s="120"/>
      <c r="AL750" s="120"/>
      <c r="AM750" s="120"/>
      <c r="AN750" s="120"/>
      <c r="AO750" s="120"/>
      <c r="AP750" s="120"/>
      <c r="AQ750" s="120"/>
      <c r="AR750" s="120"/>
      <c r="AS750" s="120"/>
      <c r="AT750" s="120"/>
      <c r="AU750" s="120"/>
      <c r="AV750" s="120"/>
      <c r="AW750" s="120"/>
      <c r="AX750" s="120"/>
      <c r="AY750" s="120"/>
      <c r="AZ750" s="120"/>
      <c r="BA750" s="120"/>
      <c r="BB750" s="120"/>
      <c r="BC750" s="120"/>
      <c r="BD750" s="120"/>
      <c r="BE750" s="120"/>
      <c r="BF750" s="120"/>
      <c r="BG750" s="120"/>
      <c r="BH750" s="120"/>
      <c r="BI750" s="120"/>
      <c r="BJ750" s="120"/>
      <c r="BK750" s="120"/>
      <c r="BL750" s="120"/>
      <c r="BM750" s="120"/>
      <c r="BN750" s="120"/>
      <c r="BO750" s="120"/>
      <c r="BP750" s="120"/>
      <c r="BQ750" s="120"/>
      <c r="BR750" s="120"/>
      <c r="BS750" s="120"/>
      <c r="BT750" s="120"/>
      <c r="BU750" s="120"/>
      <c r="BV750" s="120"/>
      <c r="BW750" s="120"/>
      <c r="BX750" s="120"/>
      <c r="BY750" s="120"/>
      <c r="BZ750" s="120"/>
      <c r="CA750" s="120"/>
      <c r="CB750" s="120"/>
      <c r="CC750" s="120"/>
      <c r="CD750" s="120"/>
      <c r="CE750" s="120"/>
      <c r="CF750" s="120"/>
      <c r="CG750" s="120"/>
      <c r="CH750" s="120"/>
      <c r="CI750" s="120"/>
      <c r="CJ750" s="120"/>
      <c r="CK750" s="120"/>
      <c r="CL750" s="120"/>
      <c r="CM750" s="120"/>
      <c r="CN750" s="120"/>
      <c r="CO750" s="120"/>
    </row>
    <row r="751" spans="1:93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1"/>
      <c r="U751" s="120"/>
      <c r="V751" s="120"/>
      <c r="W751" s="121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0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20"/>
      <c r="AW751" s="120"/>
      <c r="AX751" s="120"/>
      <c r="AY751" s="120"/>
      <c r="AZ751" s="120"/>
      <c r="BA751" s="120"/>
      <c r="BB751" s="120"/>
      <c r="BC751" s="120"/>
      <c r="BD751" s="120"/>
      <c r="BE751" s="120"/>
      <c r="BF751" s="120"/>
      <c r="BG751" s="120"/>
      <c r="BH751" s="120"/>
      <c r="BI751" s="120"/>
      <c r="BJ751" s="120"/>
      <c r="BK751" s="120"/>
      <c r="BL751" s="120"/>
      <c r="BM751" s="120"/>
      <c r="BN751" s="120"/>
      <c r="BO751" s="120"/>
      <c r="BP751" s="120"/>
      <c r="BQ751" s="120"/>
      <c r="BR751" s="120"/>
      <c r="BS751" s="120"/>
      <c r="BT751" s="120"/>
      <c r="BU751" s="120"/>
      <c r="BV751" s="120"/>
      <c r="BW751" s="120"/>
      <c r="BX751" s="120"/>
      <c r="BY751" s="120"/>
      <c r="BZ751" s="120"/>
      <c r="CA751" s="120"/>
      <c r="CB751" s="120"/>
      <c r="CC751" s="120"/>
      <c r="CD751" s="120"/>
      <c r="CE751" s="120"/>
      <c r="CF751" s="120"/>
      <c r="CG751" s="120"/>
      <c r="CH751" s="120"/>
      <c r="CI751" s="120"/>
      <c r="CJ751" s="120"/>
      <c r="CK751" s="120"/>
      <c r="CL751" s="120"/>
      <c r="CM751" s="120"/>
      <c r="CN751" s="120"/>
      <c r="CO751" s="120"/>
    </row>
    <row r="752" spans="1:93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1"/>
      <c r="U752" s="120"/>
      <c r="V752" s="120"/>
      <c r="W752" s="121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  <c r="AJ752" s="120"/>
      <c r="AK752" s="120"/>
      <c r="AL752" s="120"/>
      <c r="AM752" s="120"/>
      <c r="AN752" s="120"/>
      <c r="AO752" s="120"/>
      <c r="AP752" s="120"/>
      <c r="AQ752" s="120"/>
      <c r="AR752" s="120"/>
      <c r="AS752" s="120"/>
      <c r="AT752" s="120"/>
      <c r="AU752" s="120"/>
      <c r="AV752" s="120"/>
      <c r="AW752" s="120"/>
      <c r="AX752" s="120"/>
      <c r="AY752" s="120"/>
      <c r="AZ752" s="120"/>
      <c r="BA752" s="120"/>
      <c r="BB752" s="120"/>
      <c r="BC752" s="120"/>
      <c r="BD752" s="120"/>
      <c r="BE752" s="120"/>
      <c r="BF752" s="120"/>
      <c r="BG752" s="120"/>
      <c r="BH752" s="120"/>
      <c r="BI752" s="120"/>
      <c r="BJ752" s="120"/>
      <c r="BK752" s="120"/>
      <c r="BL752" s="120"/>
      <c r="BM752" s="120"/>
      <c r="BN752" s="120"/>
      <c r="BO752" s="120"/>
      <c r="BP752" s="120"/>
      <c r="BQ752" s="120"/>
      <c r="BR752" s="120"/>
      <c r="BS752" s="120"/>
      <c r="BT752" s="120"/>
      <c r="BU752" s="120"/>
      <c r="BV752" s="120"/>
      <c r="BW752" s="120"/>
      <c r="BX752" s="120"/>
      <c r="BY752" s="120"/>
      <c r="BZ752" s="120"/>
      <c r="CA752" s="120"/>
      <c r="CB752" s="120"/>
      <c r="CC752" s="120"/>
      <c r="CD752" s="120"/>
      <c r="CE752" s="120"/>
      <c r="CF752" s="120"/>
      <c r="CG752" s="120"/>
      <c r="CH752" s="120"/>
      <c r="CI752" s="120"/>
      <c r="CJ752" s="120"/>
      <c r="CK752" s="120"/>
      <c r="CL752" s="120"/>
      <c r="CM752" s="120"/>
      <c r="CN752" s="120"/>
      <c r="CO752" s="120"/>
    </row>
    <row r="753" spans="1:93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1"/>
      <c r="U753" s="120"/>
      <c r="V753" s="120"/>
      <c r="W753" s="121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  <c r="AJ753" s="120"/>
      <c r="AK753" s="120"/>
      <c r="AL753" s="120"/>
      <c r="AM753" s="120"/>
      <c r="AN753" s="120"/>
      <c r="AO753" s="120"/>
      <c r="AP753" s="120"/>
      <c r="AQ753" s="120"/>
      <c r="AR753" s="120"/>
      <c r="AS753" s="120"/>
      <c r="AT753" s="120"/>
      <c r="AU753" s="120"/>
      <c r="AV753" s="120"/>
      <c r="AW753" s="120"/>
      <c r="AX753" s="120"/>
      <c r="AY753" s="120"/>
      <c r="AZ753" s="120"/>
      <c r="BA753" s="120"/>
      <c r="BB753" s="120"/>
      <c r="BC753" s="120"/>
      <c r="BD753" s="120"/>
      <c r="BE753" s="120"/>
      <c r="BF753" s="120"/>
      <c r="BG753" s="120"/>
      <c r="BH753" s="120"/>
      <c r="BI753" s="120"/>
      <c r="BJ753" s="120"/>
      <c r="BK753" s="120"/>
      <c r="BL753" s="120"/>
      <c r="BM753" s="120"/>
      <c r="BN753" s="120"/>
      <c r="BO753" s="120"/>
      <c r="BP753" s="120"/>
      <c r="BQ753" s="120"/>
      <c r="BR753" s="120"/>
      <c r="BS753" s="120"/>
      <c r="BT753" s="120"/>
      <c r="BU753" s="120"/>
      <c r="BV753" s="120"/>
      <c r="BW753" s="120"/>
      <c r="BX753" s="120"/>
      <c r="BY753" s="120"/>
      <c r="BZ753" s="120"/>
      <c r="CA753" s="120"/>
      <c r="CB753" s="120"/>
      <c r="CC753" s="120"/>
      <c r="CD753" s="120"/>
      <c r="CE753" s="120"/>
      <c r="CF753" s="120"/>
      <c r="CG753" s="120"/>
      <c r="CH753" s="120"/>
      <c r="CI753" s="120"/>
      <c r="CJ753" s="120"/>
      <c r="CK753" s="120"/>
      <c r="CL753" s="120"/>
      <c r="CM753" s="120"/>
      <c r="CN753" s="120"/>
      <c r="CO753" s="120"/>
    </row>
    <row r="754" spans="1:93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1"/>
      <c r="U754" s="120"/>
      <c r="V754" s="120"/>
      <c r="W754" s="121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  <c r="AJ754" s="120"/>
      <c r="AK754" s="120"/>
      <c r="AL754" s="120"/>
      <c r="AM754" s="120"/>
      <c r="AN754" s="120"/>
      <c r="AO754" s="120"/>
      <c r="AP754" s="120"/>
      <c r="AQ754" s="120"/>
      <c r="AR754" s="120"/>
      <c r="AS754" s="120"/>
      <c r="AT754" s="120"/>
      <c r="AU754" s="120"/>
      <c r="AV754" s="120"/>
      <c r="AW754" s="120"/>
      <c r="AX754" s="120"/>
      <c r="AY754" s="120"/>
      <c r="AZ754" s="120"/>
      <c r="BA754" s="120"/>
      <c r="BB754" s="120"/>
      <c r="BC754" s="120"/>
      <c r="BD754" s="120"/>
      <c r="BE754" s="120"/>
      <c r="BF754" s="120"/>
      <c r="BG754" s="120"/>
      <c r="BH754" s="120"/>
      <c r="BI754" s="120"/>
      <c r="BJ754" s="120"/>
      <c r="BK754" s="120"/>
      <c r="BL754" s="120"/>
      <c r="BM754" s="120"/>
      <c r="BN754" s="120"/>
      <c r="BO754" s="120"/>
      <c r="BP754" s="120"/>
      <c r="BQ754" s="120"/>
      <c r="BR754" s="120"/>
      <c r="BS754" s="120"/>
      <c r="BT754" s="120"/>
      <c r="BU754" s="120"/>
      <c r="BV754" s="120"/>
      <c r="BW754" s="120"/>
      <c r="BX754" s="120"/>
      <c r="BY754" s="120"/>
      <c r="BZ754" s="120"/>
      <c r="CA754" s="120"/>
      <c r="CB754" s="120"/>
      <c r="CC754" s="120"/>
      <c r="CD754" s="120"/>
      <c r="CE754" s="120"/>
      <c r="CF754" s="120"/>
      <c r="CG754" s="120"/>
      <c r="CH754" s="120"/>
      <c r="CI754" s="120"/>
      <c r="CJ754" s="120"/>
      <c r="CK754" s="120"/>
      <c r="CL754" s="120"/>
      <c r="CM754" s="120"/>
      <c r="CN754" s="120"/>
      <c r="CO754" s="120"/>
    </row>
    <row r="755" spans="1:93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1"/>
      <c r="U755" s="120"/>
      <c r="V755" s="120"/>
      <c r="W755" s="121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  <c r="AJ755" s="120"/>
      <c r="AK755" s="120"/>
      <c r="AL755" s="120"/>
      <c r="AM755" s="120"/>
      <c r="AN755" s="120"/>
      <c r="AO755" s="120"/>
      <c r="AP755" s="120"/>
      <c r="AQ755" s="120"/>
      <c r="AR755" s="120"/>
      <c r="AS755" s="120"/>
      <c r="AT755" s="120"/>
      <c r="AU755" s="120"/>
      <c r="AV755" s="120"/>
      <c r="AW755" s="120"/>
      <c r="AX755" s="120"/>
      <c r="AY755" s="120"/>
      <c r="AZ755" s="120"/>
      <c r="BA755" s="120"/>
      <c r="BB755" s="120"/>
      <c r="BC755" s="120"/>
      <c r="BD755" s="120"/>
      <c r="BE755" s="120"/>
      <c r="BF755" s="120"/>
      <c r="BG755" s="120"/>
      <c r="BH755" s="120"/>
      <c r="BI755" s="120"/>
      <c r="BJ755" s="120"/>
      <c r="BK755" s="120"/>
      <c r="BL755" s="120"/>
      <c r="BM755" s="120"/>
      <c r="BN755" s="120"/>
      <c r="BO755" s="120"/>
      <c r="BP755" s="120"/>
      <c r="BQ755" s="120"/>
      <c r="BR755" s="120"/>
      <c r="BS755" s="120"/>
      <c r="BT755" s="120"/>
      <c r="BU755" s="120"/>
      <c r="BV755" s="120"/>
      <c r="BW755" s="120"/>
      <c r="BX755" s="120"/>
      <c r="BY755" s="120"/>
      <c r="BZ755" s="120"/>
      <c r="CA755" s="120"/>
      <c r="CB755" s="120"/>
      <c r="CC755" s="120"/>
      <c r="CD755" s="120"/>
      <c r="CE755" s="120"/>
      <c r="CF755" s="120"/>
      <c r="CG755" s="120"/>
      <c r="CH755" s="120"/>
      <c r="CI755" s="120"/>
      <c r="CJ755" s="120"/>
      <c r="CK755" s="120"/>
      <c r="CL755" s="120"/>
      <c r="CM755" s="120"/>
      <c r="CN755" s="120"/>
      <c r="CO755" s="120"/>
    </row>
    <row r="756" spans="1:93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1"/>
      <c r="U756" s="120"/>
      <c r="V756" s="120"/>
      <c r="W756" s="121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  <c r="AJ756" s="120"/>
      <c r="AK756" s="120"/>
      <c r="AL756" s="120"/>
      <c r="AM756" s="120"/>
      <c r="AN756" s="120"/>
      <c r="AO756" s="120"/>
      <c r="AP756" s="120"/>
      <c r="AQ756" s="120"/>
      <c r="AR756" s="120"/>
      <c r="AS756" s="120"/>
      <c r="AT756" s="120"/>
      <c r="AU756" s="120"/>
      <c r="AV756" s="120"/>
      <c r="AW756" s="120"/>
      <c r="AX756" s="120"/>
      <c r="AY756" s="120"/>
      <c r="AZ756" s="120"/>
      <c r="BA756" s="120"/>
      <c r="BB756" s="120"/>
      <c r="BC756" s="120"/>
      <c r="BD756" s="120"/>
      <c r="BE756" s="120"/>
      <c r="BF756" s="120"/>
      <c r="BG756" s="120"/>
      <c r="BH756" s="120"/>
      <c r="BI756" s="120"/>
      <c r="BJ756" s="120"/>
      <c r="BK756" s="120"/>
      <c r="BL756" s="120"/>
      <c r="BM756" s="120"/>
      <c r="BN756" s="120"/>
      <c r="BO756" s="120"/>
      <c r="BP756" s="120"/>
      <c r="BQ756" s="120"/>
      <c r="BR756" s="120"/>
      <c r="BS756" s="120"/>
      <c r="BT756" s="120"/>
      <c r="BU756" s="120"/>
      <c r="BV756" s="120"/>
      <c r="BW756" s="120"/>
      <c r="BX756" s="120"/>
      <c r="BY756" s="120"/>
      <c r="BZ756" s="120"/>
      <c r="CA756" s="120"/>
      <c r="CB756" s="120"/>
      <c r="CC756" s="120"/>
      <c r="CD756" s="120"/>
      <c r="CE756" s="120"/>
      <c r="CF756" s="120"/>
      <c r="CG756" s="120"/>
      <c r="CH756" s="120"/>
      <c r="CI756" s="120"/>
      <c r="CJ756" s="120"/>
      <c r="CK756" s="120"/>
      <c r="CL756" s="120"/>
      <c r="CM756" s="120"/>
      <c r="CN756" s="120"/>
      <c r="CO756" s="120"/>
    </row>
    <row r="757" spans="1:93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1"/>
      <c r="U757" s="120"/>
      <c r="V757" s="120"/>
      <c r="W757" s="121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  <c r="AJ757" s="120"/>
      <c r="AK757" s="120"/>
      <c r="AL757" s="120"/>
      <c r="AM757" s="120"/>
      <c r="AN757" s="120"/>
      <c r="AO757" s="120"/>
      <c r="AP757" s="120"/>
      <c r="AQ757" s="120"/>
      <c r="AR757" s="120"/>
      <c r="AS757" s="120"/>
      <c r="AT757" s="120"/>
      <c r="AU757" s="120"/>
      <c r="AV757" s="120"/>
      <c r="AW757" s="120"/>
      <c r="AX757" s="120"/>
      <c r="AY757" s="120"/>
      <c r="AZ757" s="120"/>
      <c r="BA757" s="120"/>
      <c r="BB757" s="120"/>
      <c r="BC757" s="120"/>
      <c r="BD757" s="120"/>
      <c r="BE757" s="120"/>
      <c r="BF757" s="120"/>
      <c r="BG757" s="120"/>
      <c r="BH757" s="120"/>
      <c r="BI757" s="120"/>
      <c r="BJ757" s="120"/>
      <c r="BK757" s="120"/>
      <c r="BL757" s="120"/>
      <c r="BM757" s="120"/>
      <c r="BN757" s="120"/>
      <c r="BO757" s="120"/>
      <c r="BP757" s="120"/>
      <c r="BQ757" s="120"/>
      <c r="BR757" s="120"/>
      <c r="BS757" s="120"/>
      <c r="BT757" s="120"/>
      <c r="BU757" s="120"/>
      <c r="BV757" s="120"/>
      <c r="BW757" s="120"/>
      <c r="BX757" s="120"/>
      <c r="BY757" s="120"/>
      <c r="BZ757" s="120"/>
      <c r="CA757" s="120"/>
      <c r="CB757" s="120"/>
      <c r="CC757" s="120"/>
      <c r="CD757" s="120"/>
      <c r="CE757" s="120"/>
      <c r="CF757" s="120"/>
      <c r="CG757" s="120"/>
      <c r="CH757" s="120"/>
      <c r="CI757" s="120"/>
      <c r="CJ757" s="120"/>
      <c r="CK757" s="120"/>
      <c r="CL757" s="120"/>
      <c r="CM757" s="120"/>
      <c r="CN757" s="120"/>
      <c r="CO757" s="120"/>
    </row>
    <row r="758" spans="1:93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1"/>
      <c r="U758" s="120"/>
      <c r="V758" s="120"/>
      <c r="W758" s="121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  <c r="AJ758" s="120"/>
      <c r="AK758" s="120"/>
      <c r="AL758" s="120"/>
      <c r="AM758" s="120"/>
      <c r="AN758" s="120"/>
      <c r="AO758" s="120"/>
      <c r="AP758" s="120"/>
      <c r="AQ758" s="120"/>
      <c r="AR758" s="120"/>
      <c r="AS758" s="120"/>
      <c r="AT758" s="120"/>
      <c r="AU758" s="120"/>
      <c r="AV758" s="120"/>
      <c r="AW758" s="120"/>
      <c r="AX758" s="120"/>
      <c r="AY758" s="120"/>
      <c r="AZ758" s="120"/>
      <c r="BA758" s="120"/>
      <c r="BB758" s="120"/>
      <c r="BC758" s="120"/>
      <c r="BD758" s="120"/>
      <c r="BE758" s="120"/>
      <c r="BF758" s="120"/>
      <c r="BG758" s="120"/>
      <c r="BH758" s="120"/>
      <c r="BI758" s="120"/>
      <c r="BJ758" s="120"/>
      <c r="BK758" s="120"/>
      <c r="BL758" s="120"/>
      <c r="BM758" s="120"/>
      <c r="BN758" s="120"/>
      <c r="BO758" s="120"/>
      <c r="BP758" s="120"/>
      <c r="BQ758" s="120"/>
      <c r="BR758" s="120"/>
      <c r="BS758" s="120"/>
      <c r="BT758" s="120"/>
      <c r="BU758" s="120"/>
      <c r="BV758" s="120"/>
      <c r="BW758" s="120"/>
      <c r="BX758" s="120"/>
      <c r="BY758" s="120"/>
      <c r="BZ758" s="120"/>
      <c r="CA758" s="120"/>
      <c r="CB758" s="120"/>
      <c r="CC758" s="120"/>
      <c r="CD758" s="120"/>
      <c r="CE758" s="120"/>
      <c r="CF758" s="120"/>
      <c r="CG758" s="120"/>
      <c r="CH758" s="120"/>
      <c r="CI758" s="120"/>
      <c r="CJ758" s="120"/>
      <c r="CK758" s="120"/>
      <c r="CL758" s="120"/>
      <c r="CM758" s="120"/>
      <c r="CN758" s="120"/>
      <c r="CO758" s="120"/>
    </row>
    <row r="759" spans="1:93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1"/>
      <c r="U759" s="120"/>
      <c r="V759" s="120"/>
      <c r="W759" s="121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0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20"/>
      <c r="BC759" s="120"/>
      <c r="BD759" s="120"/>
      <c r="BE759" s="120"/>
      <c r="BF759" s="120"/>
      <c r="BG759" s="120"/>
      <c r="BH759" s="120"/>
      <c r="BI759" s="120"/>
      <c r="BJ759" s="120"/>
      <c r="BK759" s="120"/>
      <c r="BL759" s="120"/>
      <c r="BM759" s="120"/>
      <c r="BN759" s="120"/>
      <c r="BO759" s="120"/>
      <c r="BP759" s="120"/>
      <c r="BQ759" s="120"/>
      <c r="BR759" s="120"/>
      <c r="BS759" s="120"/>
      <c r="BT759" s="120"/>
      <c r="BU759" s="120"/>
      <c r="BV759" s="120"/>
      <c r="BW759" s="120"/>
      <c r="BX759" s="120"/>
      <c r="BY759" s="120"/>
      <c r="BZ759" s="120"/>
      <c r="CA759" s="120"/>
      <c r="CB759" s="120"/>
      <c r="CC759" s="120"/>
      <c r="CD759" s="120"/>
      <c r="CE759" s="120"/>
      <c r="CF759" s="120"/>
      <c r="CG759" s="120"/>
      <c r="CH759" s="120"/>
      <c r="CI759" s="120"/>
      <c r="CJ759" s="120"/>
      <c r="CK759" s="120"/>
      <c r="CL759" s="120"/>
      <c r="CM759" s="120"/>
      <c r="CN759" s="120"/>
      <c r="CO759" s="120"/>
    </row>
    <row r="760" spans="1:93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1"/>
      <c r="U760" s="120"/>
      <c r="V760" s="120"/>
      <c r="W760" s="121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  <c r="AJ760" s="120"/>
      <c r="AK760" s="120"/>
      <c r="AL760" s="120"/>
      <c r="AM760" s="120"/>
      <c r="AN760" s="120"/>
      <c r="AO760" s="120"/>
      <c r="AP760" s="120"/>
      <c r="AQ760" s="120"/>
      <c r="AR760" s="120"/>
      <c r="AS760" s="120"/>
      <c r="AT760" s="120"/>
      <c r="AU760" s="120"/>
      <c r="AV760" s="120"/>
      <c r="AW760" s="120"/>
      <c r="AX760" s="120"/>
      <c r="AY760" s="120"/>
      <c r="AZ760" s="120"/>
      <c r="BA760" s="120"/>
      <c r="BB760" s="120"/>
      <c r="BC760" s="120"/>
      <c r="BD760" s="120"/>
      <c r="BE760" s="120"/>
      <c r="BF760" s="120"/>
      <c r="BG760" s="120"/>
      <c r="BH760" s="120"/>
      <c r="BI760" s="120"/>
      <c r="BJ760" s="120"/>
      <c r="BK760" s="120"/>
      <c r="BL760" s="120"/>
      <c r="BM760" s="120"/>
      <c r="BN760" s="120"/>
      <c r="BO760" s="120"/>
      <c r="BP760" s="120"/>
      <c r="BQ760" s="120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0"/>
      <c r="CB760" s="120"/>
      <c r="CC760" s="120"/>
      <c r="CD760" s="120"/>
      <c r="CE760" s="120"/>
      <c r="CF760" s="120"/>
      <c r="CG760" s="120"/>
      <c r="CH760" s="120"/>
      <c r="CI760" s="120"/>
      <c r="CJ760" s="120"/>
      <c r="CK760" s="120"/>
      <c r="CL760" s="120"/>
      <c r="CM760" s="120"/>
      <c r="CN760" s="120"/>
      <c r="CO760" s="120"/>
    </row>
    <row r="761" spans="1:93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1"/>
      <c r="U761" s="120"/>
      <c r="V761" s="120"/>
      <c r="W761" s="121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  <c r="AJ761" s="120"/>
      <c r="AK761" s="120"/>
      <c r="AL761" s="120"/>
      <c r="AM761" s="120"/>
      <c r="AN761" s="120"/>
      <c r="AO761" s="120"/>
      <c r="AP761" s="120"/>
      <c r="AQ761" s="120"/>
      <c r="AR761" s="120"/>
      <c r="AS761" s="120"/>
      <c r="AT761" s="120"/>
      <c r="AU761" s="120"/>
      <c r="AV761" s="120"/>
      <c r="AW761" s="120"/>
      <c r="AX761" s="120"/>
      <c r="AY761" s="120"/>
      <c r="AZ761" s="120"/>
      <c r="BA761" s="120"/>
      <c r="BB761" s="120"/>
      <c r="BC761" s="120"/>
      <c r="BD761" s="120"/>
      <c r="BE761" s="120"/>
      <c r="BF761" s="120"/>
      <c r="BG761" s="120"/>
      <c r="BH761" s="120"/>
      <c r="BI761" s="120"/>
      <c r="BJ761" s="120"/>
      <c r="BK761" s="120"/>
      <c r="BL761" s="120"/>
      <c r="BM761" s="120"/>
      <c r="BN761" s="120"/>
      <c r="BO761" s="120"/>
      <c r="BP761" s="120"/>
      <c r="BQ761" s="120"/>
      <c r="BR761" s="120"/>
      <c r="BS761" s="120"/>
      <c r="BT761" s="120"/>
      <c r="BU761" s="120"/>
      <c r="BV761" s="120"/>
      <c r="BW761" s="120"/>
      <c r="BX761" s="120"/>
      <c r="BY761" s="120"/>
      <c r="BZ761" s="120"/>
      <c r="CA761" s="120"/>
      <c r="CB761" s="120"/>
      <c r="CC761" s="120"/>
      <c r="CD761" s="120"/>
      <c r="CE761" s="120"/>
      <c r="CF761" s="120"/>
      <c r="CG761" s="120"/>
      <c r="CH761" s="120"/>
      <c r="CI761" s="120"/>
      <c r="CJ761" s="120"/>
      <c r="CK761" s="120"/>
      <c r="CL761" s="120"/>
      <c r="CM761" s="120"/>
      <c r="CN761" s="120"/>
      <c r="CO761" s="120"/>
    </row>
    <row r="762" spans="1:93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1"/>
      <c r="U762" s="120"/>
      <c r="V762" s="120"/>
      <c r="W762" s="121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  <c r="AJ762" s="120"/>
      <c r="AK762" s="120"/>
      <c r="AL762" s="120"/>
      <c r="AM762" s="120"/>
      <c r="AN762" s="120"/>
      <c r="AO762" s="120"/>
      <c r="AP762" s="120"/>
      <c r="AQ762" s="120"/>
      <c r="AR762" s="120"/>
      <c r="AS762" s="120"/>
      <c r="AT762" s="120"/>
      <c r="AU762" s="120"/>
      <c r="AV762" s="120"/>
      <c r="AW762" s="120"/>
      <c r="AX762" s="120"/>
      <c r="AY762" s="120"/>
      <c r="AZ762" s="120"/>
      <c r="BA762" s="120"/>
      <c r="BB762" s="120"/>
      <c r="BC762" s="120"/>
      <c r="BD762" s="120"/>
      <c r="BE762" s="120"/>
      <c r="BF762" s="120"/>
      <c r="BG762" s="120"/>
      <c r="BH762" s="120"/>
      <c r="BI762" s="120"/>
      <c r="BJ762" s="120"/>
      <c r="BK762" s="120"/>
      <c r="BL762" s="120"/>
      <c r="BM762" s="120"/>
      <c r="BN762" s="120"/>
      <c r="BO762" s="120"/>
      <c r="BP762" s="120"/>
      <c r="BQ762" s="120"/>
      <c r="BR762" s="120"/>
      <c r="BS762" s="120"/>
      <c r="BT762" s="120"/>
      <c r="BU762" s="120"/>
      <c r="BV762" s="120"/>
      <c r="BW762" s="120"/>
      <c r="BX762" s="120"/>
      <c r="BY762" s="120"/>
      <c r="BZ762" s="120"/>
      <c r="CA762" s="120"/>
      <c r="CB762" s="120"/>
      <c r="CC762" s="120"/>
      <c r="CD762" s="120"/>
      <c r="CE762" s="120"/>
      <c r="CF762" s="120"/>
      <c r="CG762" s="120"/>
      <c r="CH762" s="120"/>
      <c r="CI762" s="120"/>
      <c r="CJ762" s="120"/>
      <c r="CK762" s="120"/>
      <c r="CL762" s="120"/>
      <c r="CM762" s="120"/>
      <c r="CN762" s="120"/>
      <c r="CO762" s="120"/>
    </row>
    <row r="763" spans="1:93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1"/>
      <c r="U763" s="120"/>
      <c r="V763" s="120"/>
      <c r="W763" s="121"/>
      <c r="X763" s="120"/>
      <c r="Y763" s="120"/>
      <c r="Z763" s="120"/>
      <c r="AA763" s="120"/>
      <c r="AB763" s="120"/>
      <c r="AC763" s="120"/>
      <c r="AD763" s="120"/>
      <c r="AE763" s="120"/>
      <c r="AF763" s="120"/>
      <c r="AG763" s="120"/>
      <c r="AH763" s="120"/>
      <c r="AI763" s="120"/>
      <c r="AJ763" s="120"/>
      <c r="AK763" s="120"/>
      <c r="AL763" s="120"/>
      <c r="AM763" s="120"/>
      <c r="AN763" s="120"/>
      <c r="AO763" s="120"/>
      <c r="AP763" s="120"/>
      <c r="AQ763" s="120"/>
      <c r="AR763" s="120"/>
      <c r="AS763" s="120"/>
      <c r="AT763" s="120"/>
      <c r="AU763" s="120"/>
      <c r="AV763" s="120"/>
      <c r="AW763" s="120"/>
      <c r="AX763" s="120"/>
      <c r="AY763" s="120"/>
      <c r="AZ763" s="120"/>
      <c r="BA763" s="120"/>
      <c r="BB763" s="120"/>
      <c r="BC763" s="120"/>
      <c r="BD763" s="120"/>
      <c r="BE763" s="120"/>
      <c r="BF763" s="120"/>
      <c r="BG763" s="120"/>
      <c r="BH763" s="120"/>
      <c r="BI763" s="120"/>
      <c r="BJ763" s="120"/>
      <c r="BK763" s="120"/>
      <c r="BL763" s="120"/>
      <c r="BM763" s="120"/>
      <c r="BN763" s="120"/>
      <c r="BO763" s="120"/>
      <c r="BP763" s="120"/>
      <c r="BQ763" s="120"/>
      <c r="BR763" s="120"/>
      <c r="BS763" s="120"/>
      <c r="BT763" s="120"/>
      <c r="BU763" s="120"/>
      <c r="BV763" s="120"/>
      <c r="BW763" s="120"/>
      <c r="BX763" s="120"/>
      <c r="BY763" s="120"/>
      <c r="BZ763" s="120"/>
      <c r="CA763" s="120"/>
      <c r="CB763" s="120"/>
      <c r="CC763" s="120"/>
      <c r="CD763" s="120"/>
      <c r="CE763" s="120"/>
      <c r="CF763" s="120"/>
      <c r="CG763" s="120"/>
      <c r="CH763" s="120"/>
      <c r="CI763" s="120"/>
      <c r="CJ763" s="120"/>
      <c r="CK763" s="120"/>
      <c r="CL763" s="120"/>
      <c r="CM763" s="120"/>
      <c r="CN763" s="120"/>
      <c r="CO763" s="120"/>
    </row>
    <row r="764" spans="1:93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1"/>
      <c r="U764" s="120"/>
      <c r="V764" s="120"/>
      <c r="W764" s="121"/>
      <c r="X764" s="120"/>
      <c r="Y764" s="120"/>
      <c r="Z764" s="120"/>
      <c r="AA764" s="120"/>
      <c r="AB764" s="120"/>
      <c r="AC764" s="120"/>
      <c r="AD764" s="120"/>
      <c r="AE764" s="120"/>
      <c r="AF764" s="120"/>
      <c r="AG764" s="120"/>
      <c r="AH764" s="120"/>
      <c r="AI764" s="120"/>
      <c r="AJ764" s="120"/>
      <c r="AK764" s="120"/>
      <c r="AL764" s="120"/>
      <c r="AM764" s="120"/>
      <c r="AN764" s="120"/>
      <c r="AO764" s="120"/>
      <c r="AP764" s="120"/>
      <c r="AQ764" s="120"/>
      <c r="AR764" s="120"/>
      <c r="AS764" s="120"/>
      <c r="AT764" s="120"/>
      <c r="AU764" s="120"/>
      <c r="AV764" s="120"/>
      <c r="AW764" s="120"/>
      <c r="AX764" s="120"/>
      <c r="AY764" s="120"/>
      <c r="AZ764" s="120"/>
      <c r="BA764" s="120"/>
      <c r="BB764" s="120"/>
      <c r="BC764" s="120"/>
      <c r="BD764" s="120"/>
      <c r="BE764" s="120"/>
      <c r="BF764" s="120"/>
      <c r="BG764" s="120"/>
      <c r="BH764" s="120"/>
      <c r="BI764" s="120"/>
      <c r="BJ764" s="120"/>
      <c r="BK764" s="120"/>
      <c r="BL764" s="120"/>
      <c r="BM764" s="120"/>
      <c r="BN764" s="120"/>
      <c r="BO764" s="120"/>
      <c r="BP764" s="120"/>
      <c r="BQ764" s="120"/>
      <c r="BR764" s="120"/>
      <c r="BS764" s="120"/>
      <c r="BT764" s="120"/>
      <c r="BU764" s="120"/>
      <c r="BV764" s="120"/>
      <c r="BW764" s="120"/>
      <c r="BX764" s="120"/>
      <c r="BY764" s="120"/>
      <c r="BZ764" s="120"/>
      <c r="CA764" s="120"/>
      <c r="CB764" s="120"/>
      <c r="CC764" s="120"/>
      <c r="CD764" s="120"/>
      <c r="CE764" s="120"/>
      <c r="CF764" s="120"/>
      <c r="CG764" s="120"/>
      <c r="CH764" s="120"/>
      <c r="CI764" s="120"/>
      <c r="CJ764" s="120"/>
      <c r="CK764" s="120"/>
      <c r="CL764" s="120"/>
      <c r="CM764" s="120"/>
      <c r="CN764" s="120"/>
      <c r="CO764" s="120"/>
    </row>
    <row r="765" spans="1:93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1"/>
      <c r="U765" s="120"/>
      <c r="V765" s="120"/>
      <c r="W765" s="121"/>
      <c r="X765" s="120"/>
      <c r="Y765" s="120"/>
      <c r="Z765" s="120"/>
      <c r="AA765" s="120"/>
      <c r="AB765" s="120"/>
      <c r="AC765" s="120"/>
      <c r="AD765" s="120"/>
      <c r="AE765" s="120"/>
      <c r="AF765" s="120"/>
      <c r="AG765" s="120"/>
      <c r="AH765" s="120"/>
      <c r="AI765" s="120"/>
      <c r="AJ765" s="120"/>
      <c r="AK765" s="120"/>
      <c r="AL765" s="120"/>
      <c r="AM765" s="120"/>
      <c r="AN765" s="120"/>
      <c r="AO765" s="120"/>
      <c r="AP765" s="120"/>
      <c r="AQ765" s="120"/>
      <c r="AR765" s="120"/>
      <c r="AS765" s="120"/>
      <c r="AT765" s="120"/>
      <c r="AU765" s="120"/>
      <c r="AV765" s="120"/>
      <c r="AW765" s="120"/>
      <c r="AX765" s="120"/>
      <c r="AY765" s="120"/>
      <c r="AZ765" s="120"/>
      <c r="BA765" s="120"/>
      <c r="BB765" s="120"/>
      <c r="BC765" s="120"/>
      <c r="BD765" s="120"/>
      <c r="BE765" s="120"/>
      <c r="BF765" s="120"/>
      <c r="BG765" s="120"/>
      <c r="BH765" s="120"/>
      <c r="BI765" s="120"/>
      <c r="BJ765" s="120"/>
      <c r="BK765" s="120"/>
      <c r="BL765" s="120"/>
      <c r="BM765" s="120"/>
      <c r="BN765" s="120"/>
      <c r="BO765" s="120"/>
      <c r="BP765" s="120"/>
      <c r="BQ765" s="120"/>
      <c r="BR765" s="120"/>
      <c r="BS765" s="120"/>
      <c r="BT765" s="120"/>
      <c r="BU765" s="120"/>
      <c r="BV765" s="120"/>
      <c r="BW765" s="120"/>
      <c r="BX765" s="120"/>
      <c r="BY765" s="120"/>
      <c r="BZ765" s="120"/>
      <c r="CA765" s="120"/>
      <c r="CB765" s="120"/>
      <c r="CC765" s="120"/>
      <c r="CD765" s="120"/>
      <c r="CE765" s="120"/>
      <c r="CF765" s="120"/>
      <c r="CG765" s="120"/>
      <c r="CH765" s="120"/>
      <c r="CI765" s="120"/>
      <c r="CJ765" s="120"/>
      <c r="CK765" s="120"/>
      <c r="CL765" s="120"/>
      <c r="CM765" s="120"/>
      <c r="CN765" s="120"/>
      <c r="CO765" s="120"/>
    </row>
    <row r="766" spans="1:93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1"/>
      <c r="U766" s="120"/>
      <c r="V766" s="120"/>
      <c r="W766" s="121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  <c r="AJ766" s="120"/>
      <c r="AK766" s="120"/>
      <c r="AL766" s="120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20"/>
      <c r="AW766" s="120"/>
      <c r="AX766" s="120"/>
      <c r="AY766" s="120"/>
      <c r="AZ766" s="120"/>
      <c r="BA766" s="120"/>
      <c r="BB766" s="120"/>
      <c r="BC766" s="120"/>
      <c r="BD766" s="120"/>
      <c r="BE766" s="120"/>
      <c r="BF766" s="120"/>
      <c r="BG766" s="120"/>
      <c r="BH766" s="120"/>
      <c r="BI766" s="120"/>
      <c r="BJ766" s="120"/>
      <c r="BK766" s="120"/>
      <c r="BL766" s="120"/>
      <c r="BM766" s="120"/>
      <c r="BN766" s="120"/>
      <c r="BO766" s="120"/>
      <c r="BP766" s="120"/>
      <c r="BQ766" s="120"/>
      <c r="BR766" s="120"/>
      <c r="BS766" s="120"/>
      <c r="BT766" s="120"/>
      <c r="BU766" s="120"/>
      <c r="BV766" s="120"/>
      <c r="BW766" s="120"/>
      <c r="BX766" s="120"/>
      <c r="BY766" s="120"/>
      <c r="BZ766" s="120"/>
      <c r="CA766" s="120"/>
      <c r="CB766" s="120"/>
      <c r="CC766" s="120"/>
      <c r="CD766" s="120"/>
      <c r="CE766" s="120"/>
      <c r="CF766" s="120"/>
      <c r="CG766" s="120"/>
      <c r="CH766" s="120"/>
      <c r="CI766" s="120"/>
      <c r="CJ766" s="120"/>
      <c r="CK766" s="120"/>
      <c r="CL766" s="120"/>
      <c r="CM766" s="120"/>
      <c r="CN766" s="120"/>
      <c r="CO766" s="120"/>
    </row>
    <row r="767" spans="1:93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1"/>
      <c r="U767" s="120"/>
      <c r="V767" s="120"/>
      <c r="W767" s="121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  <c r="AJ767" s="120"/>
      <c r="AK767" s="120"/>
      <c r="AL767" s="120"/>
      <c r="AM767" s="120"/>
      <c r="AN767" s="120"/>
      <c r="AO767" s="120"/>
      <c r="AP767" s="120"/>
      <c r="AQ767" s="120"/>
      <c r="AR767" s="120"/>
      <c r="AS767" s="120"/>
      <c r="AT767" s="120"/>
      <c r="AU767" s="120"/>
      <c r="AV767" s="120"/>
      <c r="AW767" s="120"/>
      <c r="AX767" s="120"/>
      <c r="AY767" s="120"/>
      <c r="AZ767" s="120"/>
      <c r="BA767" s="120"/>
      <c r="BB767" s="120"/>
      <c r="BC767" s="120"/>
      <c r="BD767" s="120"/>
      <c r="BE767" s="120"/>
      <c r="BF767" s="120"/>
      <c r="BG767" s="120"/>
      <c r="BH767" s="120"/>
      <c r="BI767" s="120"/>
      <c r="BJ767" s="120"/>
      <c r="BK767" s="120"/>
      <c r="BL767" s="120"/>
      <c r="BM767" s="120"/>
      <c r="BN767" s="120"/>
      <c r="BO767" s="120"/>
      <c r="BP767" s="120"/>
      <c r="BQ767" s="120"/>
      <c r="BR767" s="120"/>
      <c r="BS767" s="120"/>
      <c r="BT767" s="120"/>
      <c r="BU767" s="120"/>
      <c r="BV767" s="120"/>
      <c r="BW767" s="120"/>
      <c r="BX767" s="120"/>
      <c r="BY767" s="120"/>
      <c r="BZ767" s="120"/>
      <c r="CA767" s="120"/>
      <c r="CB767" s="120"/>
      <c r="CC767" s="120"/>
      <c r="CD767" s="120"/>
      <c r="CE767" s="120"/>
      <c r="CF767" s="120"/>
      <c r="CG767" s="120"/>
      <c r="CH767" s="120"/>
      <c r="CI767" s="120"/>
      <c r="CJ767" s="120"/>
      <c r="CK767" s="120"/>
      <c r="CL767" s="120"/>
      <c r="CM767" s="120"/>
      <c r="CN767" s="120"/>
      <c r="CO767" s="120"/>
    </row>
    <row r="768" spans="1:93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1"/>
      <c r="U768" s="120"/>
      <c r="V768" s="120"/>
      <c r="W768" s="121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  <c r="AJ768" s="120"/>
      <c r="AK768" s="120"/>
      <c r="AL768" s="120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20"/>
      <c r="AW768" s="120"/>
      <c r="AX768" s="120"/>
      <c r="AY768" s="120"/>
      <c r="AZ768" s="120"/>
      <c r="BA768" s="120"/>
      <c r="BB768" s="120"/>
      <c r="BC768" s="120"/>
      <c r="BD768" s="120"/>
      <c r="BE768" s="120"/>
      <c r="BF768" s="120"/>
      <c r="BG768" s="120"/>
      <c r="BH768" s="120"/>
      <c r="BI768" s="120"/>
      <c r="BJ768" s="120"/>
      <c r="BK768" s="120"/>
      <c r="BL768" s="120"/>
      <c r="BM768" s="120"/>
      <c r="BN768" s="120"/>
      <c r="BO768" s="120"/>
      <c r="BP768" s="120"/>
      <c r="BQ768" s="120"/>
      <c r="BR768" s="120"/>
      <c r="BS768" s="120"/>
      <c r="BT768" s="120"/>
      <c r="BU768" s="120"/>
      <c r="BV768" s="120"/>
      <c r="BW768" s="120"/>
      <c r="BX768" s="120"/>
      <c r="BY768" s="120"/>
      <c r="BZ768" s="120"/>
      <c r="CA768" s="120"/>
      <c r="CB768" s="120"/>
      <c r="CC768" s="120"/>
      <c r="CD768" s="120"/>
      <c r="CE768" s="120"/>
      <c r="CF768" s="120"/>
      <c r="CG768" s="120"/>
      <c r="CH768" s="120"/>
      <c r="CI768" s="120"/>
      <c r="CJ768" s="120"/>
      <c r="CK768" s="120"/>
      <c r="CL768" s="120"/>
      <c r="CM768" s="120"/>
      <c r="CN768" s="120"/>
      <c r="CO768" s="120"/>
    </row>
    <row r="769" spans="1:93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1"/>
      <c r="U769" s="120"/>
      <c r="V769" s="120"/>
      <c r="W769" s="121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  <c r="AJ769" s="120"/>
      <c r="AK769" s="120"/>
      <c r="AL769" s="120"/>
      <c r="AM769" s="120"/>
      <c r="AN769" s="120"/>
      <c r="AO769" s="120"/>
      <c r="AP769" s="120"/>
      <c r="AQ769" s="120"/>
      <c r="AR769" s="120"/>
      <c r="AS769" s="120"/>
      <c r="AT769" s="120"/>
      <c r="AU769" s="120"/>
      <c r="AV769" s="120"/>
      <c r="AW769" s="120"/>
      <c r="AX769" s="120"/>
      <c r="AY769" s="120"/>
      <c r="AZ769" s="120"/>
      <c r="BA769" s="120"/>
      <c r="BB769" s="120"/>
      <c r="BC769" s="120"/>
      <c r="BD769" s="120"/>
      <c r="BE769" s="120"/>
      <c r="BF769" s="120"/>
      <c r="BG769" s="120"/>
      <c r="BH769" s="120"/>
      <c r="BI769" s="120"/>
      <c r="BJ769" s="120"/>
      <c r="BK769" s="120"/>
      <c r="BL769" s="120"/>
      <c r="BM769" s="120"/>
      <c r="BN769" s="120"/>
      <c r="BO769" s="120"/>
      <c r="BP769" s="120"/>
      <c r="BQ769" s="120"/>
      <c r="BR769" s="120"/>
      <c r="BS769" s="120"/>
      <c r="BT769" s="120"/>
      <c r="BU769" s="120"/>
      <c r="BV769" s="120"/>
      <c r="BW769" s="120"/>
      <c r="BX769" s="120"/>
      <c r="BY769" s="120"/>
      <c r="BZ769" s="120"/>
      <c r="CA769" s="120"/>
      <c r="CB769" s="120"/>
      <c r="CC769" s="120"/>
      <c r="CD769" s="120"/>
      <c r="CE769" s="120"/>
      <c r="CF769" s="120"/>
      <c r="CG769" s="120"/>
      <c r="CH769" s="120"/>
      <c r="CI769" s="120"/>
      <c r="CJ769" s="120"/>
      <c r="CK769" s="120"/>
      <c r="CL769" s="120"/>
      <c r="CM769" s="120"/>
      <c r="CN769" s="120"/>
      <c r="CO769" s="120"/>
    </row>
    <row r="770" spans="1:93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1"/>
      <c r="U770" s="120"/>
      <c r="V770" s="120"/>
      <c r="W770" s="121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  <c r="AJ770" s="120"/>
      <c r="AK770" s="120"/>
      <c r="AL770" s="120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0"/>
      <c r="AY770" s="120"/>
      <c r="AZ770" s="120"/>
      <c r="BA770" s="120"/>
      <c r="BB770" s="120"/>
      <c r="BC770" s="120"/>
      <c r="BD770" s="120"/>
      <c r="BE770" s="120"/>
      <c r="BF770" s="120"/>
      <c r="BG770" s="120"/>
      <c r="BH770" s="120"/>
      <c r="BI770" s="120"/>
      <c r="BJ770" s="120"/>
      <c r="BK770" s="120"/>
      <c r="BL770" s="120"/>
      <c r="BM770" s="120"/>
      <c r="BN770" s="120"/>
      <c r="BO770" s="120"/>
      <c r="BP770" s="120"/>
      <c r="BQ770" s="120"/>
      <c r="BR770" s="120"/>
      <c r="BS770" s="120"/>
      <c r="BT770" s="120"/>
      <c r="BU770" s="120"/>
      <c r="BV770" s="120"/>
      <c r="BW770" s="120"/>
      <c r="BX770" s="120"/>
      <c r="BY770" s="120"/>
      <c r="BZ770" s="120"/>
      <c r="CA770" s="120"/>
      <c r="CB770" s="120"/>
      <c r="CC770" s="120"/>
      <c r="CD770" s="120"/>
      <c r="CE770" s="120"/>
      <c r="CF770" s="120"/>
      <c r="CG770" s="120"/>
      <c r="CH770" s="120"/>
      <c r="CI770" s="120"/>
      <c r="CJ770" s="120"/>
      <c r="CK770" s="120"/>
      <c r="CL770" s="120"/>
      <c r="CM770" s="120"/>
      <c r="CN770" s="120"/>
      <c r="CO770" s="120"/>
    </row>
    <row r="771" spans="1:93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1"/>
      <c r="U771" s="120"/>
      <c r="V771" s="120"/>
      <c r="W771" s="121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  <c r="AJ771" s="120"/>
      <c r="AK771" s="120"/>
      <c r="AL771" s="120"/>
      <c r="AM771" s="120"/>
      <c r="AN771" s="120"/>
      <c r="AO771" s="120"/>
      <c r="AP771" s="120"/>
      <c r="AQ771" s="120"/>
      <c r="AR771" s="120"/>
      <c r="AS771" s="120"/>
      <c r="AT771" s="120"/>
      <c r="AU771" s="120"/>
      <c r="AV771" s="120"/>
      <c r="AW771" s="120"/>
      <c r="AX771" s="120"/>
      <c r="AY771" s="120"/>
      <c r="AZ771" s="120"/>
      <c r="BA771" s="120"/>
      <c r="BB771" s="120"/>
      <c r="BC771" s="120"/>
      <c r="BD771" s="120"/>
      <c r="BE771" s="120"/>
      <c r="BF771" s="120"/>
      <c r="BG771" s="120"/>
      <c r="BH771" s="120"/>
      <c r="BI771" s="120"/>
      <c r="BJ771" s="120"/>
      <c r="BK771" s="120"/>
      <c r="BL771" s="120"/>
      <c r="BM771" s="120"/>
      <c r="BN771" s="120"/>
      <c r="BO771" s="120"/>
      <c r="BP771" s="120"/>
      <c r="BQ771" s="120"/>
      <c r="BR771" s="120"/>
      <c r="BS771" s="120"/>
      <c r="BT771" s="120"/>
      <c r="BU771" s="120"/>
      <c r="BV771" s="120"/>
      <c r="BW771" s="120"/>
      <c r="BX771" s="120"/>
      <c r="BY771" s="120"/>
      <c r="BZ771" s="120"/>
      <c r="CA771" s="120"/>
      <c r="CB771" s="120"/>
      <c r="CC771" s="120"/>
      <c r="CD771" s="120"/>
      <c r="CE771" s="120"/>
      <c r="CF771" s="120"/>
      <c r="CG771" s="120"/>
      <c r="CH771" s="120"/>
      <c r="CI771" s="120"/>
      <c r="CJ771" s="120"/>
      <c r="CK771" s="120"/>
      <c r="CL771" s="120"/>
      <c r="CM771" s="120"/>
      <c r="CN771" s="120"/>
      <c r="CO771" s="120"/>
    </row>
    <row r="772" spans="1:93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1"/>
      <c r="U772" s="120"/>
      <c r="V772" s="120"/>
      <c r="W772" s="121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20"/>
      <c r="AW772" s="120"/>
      <c r="AX772" s="120"/>
      <c r="AY772" s="120"/>
      <c r="AZ772" s="120"/>
      <c r="BA772" s="120"/>
      <c r="BB772" s="120"/>
      <c r="BC772" s="120"/>
      <c r="BD772" s="120"/>
      <c r="BE772" s="120"/>
      <c r="BF772" s="120"/>
      <c r="BG772" s="120"/>
      <c r="BH772" s="120"/>
      <c r="BI772" s="120"/>
      <c r="BJ772" s="120"/>
      <c r="BK772" s="120"/>
      <c r="BL772" s="120"/>
      <c r="BM772" s="120"/>
      <c r="BN772" s="120"/>
      <c r="BO772" s="120"/>
      <c r="BP772" s="120"/>
      <c r="BQ772" s="120"/>
      <c r="BR772" s="120"/>
      <c r="BS772" s="120"/>
      <c r="BT772" s="120"/>
      <c r="BU772" s="120"/>
      <c r="BV772" s="120"/>
      <c r="BW772" s="120"/>
      <c r="BX772" s="120"/>
      <c r="BY772" s="120"/>
      <c r="BZ772" s="120"/>
      <c r="CA772" s="120"/>
      <c r="CB772" s="120"/>
      <c r="CC772" s="120"/>
      <c r="CD772" s="120"/>
      <c r="CE772" s="120"/>
      <c r="CF772" s="120"/>
      <c r="CG772" s="120"/>
      <c r="CH772" s="120"/>
      <c r="CI772" s="120"/>
      <c r="CJ772" s="120"/>
      <c r="CK772" s="120"/>
      <c r="CL772" s="120"/>
      <c r="CM772" s="120"/>
      <c r="CN772" s="120"/>
      <c r="CO772" s="120"/>
    </row>
    <row r="773" spans="1:93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1"/>
      <c r="U773" s="120"/>
      <c r="V773" s="120"/>
      <c r="W773" s="121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  <c r="AJ773" s="120"/>
      <c r="AK773" s="120"/>
      <c r="AL773" s="120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20"/>
      <c r="AW773" s="120"/>
      <c r="AX773" s="120"/>
      <c r="AY773" s="120"/>
      <c r="AZ773" s="120"/>
      <c r="BA773" s="120"/>
      <c r="BB773" s="120"/>
      <c r="BC773" s="120"/>
      <c r="BD773" s="120"/>
      <c r="BE773" s="120"/>
      <c r="BF773" s="120"/>
      <c r="BG773" s="120"/>
      <c r="BH773" s="120"/>
      <c r="BI773" s="120"/>
      <c r="BJ773" s="120"/>
      <c r="BK773" s="120"/>
      <c r="BL773" s="120"/>
      <c r="BM773" s="120"/>
      <c r="BN773" s="120"/>
      <c r="BO773" s="120"/>
      <c r="BP773" s="120"/>
      <c r="BQ773" s="120"/>
      <c r="BR773" s="120"/>
      <c r="BS773" s="120"/>
      <c r="BT773" s="120"/>
      <c r="BU773" s="120"/>
      <c r="BV773" s="120"/>
      <c r="BW773" s="120"/>
      <c r="BX773" s="120"/>
      <c r="BY773" s="120"/>
      <c r="BZ773" s="120"/>
      <c r="CA773" s="120"/>
      <c r="CB773" s="120"/>
      <c r="CC773" s="120"/>
      <c r="CD773" s="120"/>
      <c r="CE773" s="120"/>
      <c r="CF773" s="120"/>
      <c r="CG773" s="120"/>
      <c r="CH773" s="120"/>
      <c r="CI773" s="120"/>
      <c r="CJ773" s="120"/>
      <c r="CK773" s="120"/>
      <c r="CL773" s="120"/>
      <c r="CM773" s="120"/>
      <c r="CN773" s="120"/>
      <c r="CO773" s="120"/>
    </row>
    <row r="774" spans="1:93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1"/>
      <c r="U774" s="120"/>
      <c r="V774" s="120"/>
      <c r="W774" s="121"/>
      <c r="X774" s="120"/>
      <c r="Y774" s="120"/>
      <c r="Z774" s="120"/>
      <c r="AA774" s="120"/>
      <c r="AB774" s="120"/>
      <c r="AC774" s="120"/>
      <c r="AD774" s="120"/>
      <c r="AE774" s="120"/>
      <c r="AF774" s="120"/>
      <c r="AG774" s="120"/>
      <c r="AH774" s="120"/>
      <c r="AI774" s="120"/>
      <c r="AJ774" s="120"/>
      <c r="AK774" s="120"/>
      <c r="AL774" s="120"/>
      <c r="AM774" s="120"/>
      <c r="AN774" s="120"/>
      <c r="AO774" s="120"/>
      <c r="AP774" s="120"/>
      <c r="AQ774" s="120"/>
      <c r="AR774" s="120"/>
      <c r="AS774" s="120"/>
      <c r="AT774" s="120"/>
      <c r="AU774" s="120"/>
      <c r="AV774" s="120"/>
      <c r="AW774" s="120"/>
      <c r="AX774" s="120"/>
      <c r="AY774" s="120"/>
      <c r="AZ774" s="120"/>
      <c r="BA774" s="120"/>
      <c r="BB774" s="120"/>
      <c r="BC774" s="120"/>
      <c r="BD774" s="120"/>
      <c r="BE774" s="120"/>
      <c r="BF774" s="120"/>
      <c r="BG774" s="120"/>
      <c r="BH774" s="120"/>
      <c r="BI774" s="120"/>
      <c r="BJ774" s="120"/>
      <c r="BK774" s="120"/>
      <c r="BL774" s="120"/>
      <c r="BM774" s="120"/>
      <c r="BN774" s="120"/>
      <c r="BO774" s="120"/>
      <c r="BP774" s="120"/>
      <c r="BQ774" s="120"/>
      <c r="BR774" s="120"/>
      <c r="BS774" s="120"/>
      <c r="BT774" s="120"/>
      <c r="BU774" s="120"/>
      <c r="BV774" s="120"/>
      <c r="BW774" s="120"/>
      <c r="BX774" s="120"/>
      <c r="BY774" s="120"/>
      <c r="BZ774" s="120"/>
      <c r="CA774" s="120"/>
      <c r="CB774" s="120"/>
      <c r="CC774" s="120"/>
      <c r="CD774" s="120"/>
      <c r="CE774" s="120"/>
      <c r="CF774" s="120"/>
      <c r="CG774" s="120"/>
      <c r="CH774" s="120"/>
      <c r="CI774" s="120"/>
      <c r="CJ774" s="120"/>
      <c r="CK774" s="120"/>
      <c r="CL774" s="120"/>
      <c r="CM774" s="120"/>
      <c r="CN774" s="120"/>
      <c r="CO774" s="120"/>
    </row>
    <row r="775" spans="1:93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1"/>
      <c r="U775" s="120"/>
      <c r="V775" s="120"/>
      <c r="W775" s="121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  <c r="AJ775" s="120"/>
      <c r="AK775" s="120"/>
      <c r="AL775" s="120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20"/>
      <c r="AW775" s="120"/>
      <c r="AX775" s="120"/>
      <c r="AY775" s="120"/>
      <c r="AZ775" s="120"/>
      <c r="BA775" s="120"/>
      <c r="BB775" s="120"/>
      <c r="BC775" s="120"/>
      <c r="BD775" s="120"/>
      <c r="BE775" s="120"/>
      <c r="BF775" s="120"/>
      <c r="BG775" s="120"/>
      <c r="BH775" s="120"/>
      <c r="BI775" s="120"/>
      <c r="BJ775" s="120"/>
      <c r="BK775" s="120"/>
      <c r="BL775" s="120"/>
      <c r="BM775" s="120"/>
      <c r="BN775" s="120"/>
      <c r="BO775" s="120"/>
      <c r="BP775" s="120"/>
      <c r="BQ775" s="120"/>
      <c r="BR775" s="120"/>
      <c r="BS775" s="120"/>
      <c r="BT775" s="120"/>
      <c r="BU775" s="120"/>
      <c r="BV775" s="120"/>
      <c r="BW775" s="120"/>
      <c r="BX775" s="120"/>
      <c r="BY775" s="120"/>
      <c r="BZ775" s="120"/>
      <c r="CA775" s="120"/>
      <c r="CB775" s="120"/>
      <c r="CC775" s="120"/>
      <c r="CD775" s="120"/>
      <c r="CE775" s="120"/>
      <c r="CF775" s="120"/>
      <c r="CG775" s="120"/>
      <c r="CH775" s="120"/>
      <c r="CI775" s="120"/>
      <c r="CJ775" s="120"/>
      <c r="CK775" s="120"/>
      <c r="CL775" s="120"/>
      <c r="CM775" s="120"/>
      <c r="CN775" s="120"/>
      <c r="CO775" s="120"/>
    </row>
    <row r="776" spans="1:93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1"/>
      <c r="U776" s="120"/>
      <c r="V776" s="120"/>
      <c r="W776" s="121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  <c r="AJ776" s="120"/>
      <c r="AK776" s="120"/>
      <c r="AL776" s="120"/>
      <c r="AM776" s="120"/>
      <c r="AN776" s="120"/>
      <c r="AO776" s="120"/>
      <c r="AP776" s="120"/>
      <c r="AQ776" s="120"/>
      <c r="AR776" s="120"/>
      <c r="AS776" s="120"/>
      <c r="AT776" s="120"/>
      <c r="AU776" s="120"/>
      <c r="AV776" s="120"/>
      <c r="AW776" s="120"/>
      <c r="AX776" s="120"/>
      <c r="AY776" s="120"/>
      <c r="AZ776" s="120"/>
      <c r="BA776" s="120"/>
      <c r="BB776" s="120"/>
      <c r="BC776" s="120"/>
      <c r="BD776" s="120"/>
      <c r="BE776" s="120"/>
      <c r="BF776" s="120"/>
      <c r="BG776" s="120"/>
      <c r="BH776" s="120"/>
      <c r="BI776" s="120"/>
      <c r="BJ776" s="120"/>
      <c r="BK776" s="120"/>
      <c r="BL776" s="120"/>
      <c r="BM776" s="120"/>
      <c r="BN776" s="120"/>
      <c r="BO776" s="120"/>
      <c r="BP776" s="120"/>
      <c r="BQ776" s="120"/>
      <c r="BR776" s="120"/>
      <c r="BS776" s="120"/>
      <c r="BT776" s="120"/>
      <c r="BU776" s="120"/>
      <c r="BV776" s="120"/>
      <c r="BW776" s="120"/>
      <c r="BX776" s="120"/>
      <c r="BY776" s="120"/>
      <c r="BZ776" s="120"/>
      <c r="CA776" s="120"/>
      <c r="CB776" s="120"/>
      <c r="CC776" s="120"/>
      <c r="CD776" s="120"/>
      <c r="CE776" s="120"/>
      <c r="CF776" s="120"/>
      <c r="CG776" s="120"/>
      <c r="CH776" s="120"/>
      <c r="CI776" s="120"/>
      <c r="CJ776" s="120"/>
      <c r="CK776" s="120"/>
      <c r="CL776" s="120"/>
      <c r="CM776" s="120"/>
      <c r="CN776" s="120"/>
      <c r="CO776" s="120"/>
    </row>
    <row r="777" spans="1:93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1"/>
      <c r="U777" s="120"/>
      <c r="V777" s="120"/>
      <c r="W777" s="121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  <c r="AJ777" s="120"/>
      <c r="AK777" s="120"/>
      <c r="AL777" s="120"/>
      <c r="AM777" s="120"/>
      <c r="AN777" s="120"/>
      <c r="AO777" s="120"/>
      <c r="AP777" s="120"/>
      <c r="AQ777" s="120"/>
      <c r="AR777" s="120"/>
      <c r="AS777" s="120"/>
      <c r="AT777" s="120"/>
      <c r="AU777" s="120"/>
      <c r="AV777" s="120"/>
      <c r="AW777" s="120"/>
      <c r="AX777" s="120"/>
      <c r="AY777" s="120"/>
      <c r="AZ777" s="120"/>
      <c r="BA777" s="120"/>
      <c r="BB777" s="120"/>
      <c r="BC777" s="120"/>
      <c r="BD777" s="120"/>
      <c r="BE777" s="120"/>
      <c r="BF777" s="120"/>
      <c r="BG777" s="120"/>
      <c r="BH777" s="120"/>
      <c r="BI777" s="120"/>
      <c r="BJ777" s="120"/>
      <c r="BK777" s="120"/>
      <c r="BL777" s="120"/>
      <c r="BM777" s="120"/>
      <c r="BN777" s="120"/>
      <c r="BO777" s="120"/>
      <c r="BP777" s="120"/>
      <c r="BQ777" s="120"/>
      <c r="BR777" s="120"/>
      <c r="BS777" s="120"/>
      <c r="BT777" s="120"/>
      <c r="BU777" s="120"/>
      <c r="BV777" s="120"/>
      <c r="BW777" s="120"/>
      <c r="BX777" s="120"/>
      <c r="BY777" s="120"/>
      <c r="BZ777" s="120"/>
      <c r="CA777" s="120"/>
      <c r="CB777" s="120"/>
      <c r="CC777" s="120"/>
      <c r="CD777" s="120"/>
      <c r="CE777" s="120"/>
      <c r="CF777" s="120"/>
      <c r="CG777" s="120"/>
      <c r="CH777" s="120"/>
      <c r="CI777" s="120"/>
      <c r="CJ777" s="120"/>
      <c r="CK777" s="120"/>
      <c r="CL777" s="120"/>
      <c r="CM777" s="120"/>
      <c r="CN777" s="120"/>
      <c r="CO777" s="120"/>
    </row>
    <row r="778" spans="1:93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1"/>
      <c r="U778" s="120"/>
      <c r="V778" s="120"/>
      <c r="W778" s="121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  <c r="AJ778" s="120"/>
      <c r="AK778" s="120"/>
      <c r="AL778" s="120"/>
      <c r="AM778" s="120"/>
      <c r="AN778" s="120"/>
      <c r="AO778" s="120"/>
      <c r="AP778" s="120"/>
      <c r="AQ778" s="120"/>
      <c r="AR778" s="120"/>
      <c r="AS778" s="120"/>
      <c r="AT778" s="120"/>
      <c r="AU778" s="120"/>
      <c r="AV778" s="120"/>
      <c r="AW778" s="120"/>
      <c r="AX778" s="120"/>
      <c r="AY778" s="120"/>
      <c r="AZ778" s="120"/>
      <c r="BA778" s="120"/>
      <c r="BB778" s="120"/>
      <c r="BC778" s="120"/>
      <c r="BD778" s="120"/>
      <c r="BE778" s="120"/>
      <c r="BF778" s="120"/>
      <c r="BG778" s="120"/>
      <c r="BH778" s="120"/>
      <c r="BI778" s="120"/>
      <c r="BJ778" s="120"/>
      <c r="BK778" s="120"/>
      <c r="BL778" s="120"/>
      <c r="BM778" s="120"/>
      <c r="BN778" s="120"/>
      <c r="BO778" s="120"/>
      <c r="BP778" s="120"/>
      <c r="BQ778" s="120"/>
      <c r="BR778" s="120"/>
      <c r="BS778" s="120"/>
      <c r="BT778" s="120"/>
      <c r="BU778" s="120"/>
      <c r="BV778" s="120"/>
      <c r="BW778" s="120"/>
      <c r="BX778" s="120"/>
      <c r="BY778" s="120"/>
      <c r="BZ778" s="120"/>
      <c r="CA778" s="120"/>
      <c r="CB778" s="120"/>
      <c r="CC778" s="120"/>
      <c r="CD778" s="120"/>
      <c r="CE778" s="120"/>
      <c r="CF778" s="120"/>
      <c r="CG778" s="120"/>
      <c r="CH778" s="120"/>
      <c r="CI778" s="120"/>
      <c r="CJ778" s="120"/>
      <c r="CK778" s="120"/>
      <c r="CL778" s="120"/>
      <c r="CM778" s="120"/>
      <c r="CN778" s="120"/>
      <c r="CO778" s="120"/>
    </row>
    <row r="779" spans="1:93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1"/>
      <c r="U779" s="120"/>
      <c r="V779" s="120"/>
      <c r="W779" s="121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  <c r="AJ779" s="120"/>
      <c r="AK779" s="120"/>
      <c r="AL779" s="120"/>
      <c r="AM779" s="120"/>
      <c r="AN779" s="120"/>
      <c r="AO779" s="120"/>
      <c r="AP779" s="120"/>
      <c r="AQ779" s="120"/>
      <c r="AR779" s="120"/>
      <c r="AS779" s="120"/>
      <c r="AT779" s="120"/>
      <c r="AU779" s="120"/>
      <c r="AV779" s="120"/>
      <c r="AW779" s="120"/>
      <c r="AX779" s="120"/>
      <c r="AY779" s="120"/>
      <c r="AZ779" s="120"/>
      <c r="BA779" s="120"/>
      <c r="BB779" s="120"/>
      <c r="BC779" s="120"/>
      <c r="BD779" s="120"/>
      <c r="BE779" s="120"/>
      <c r="BF779" s="120"/>
      <c r="BG779" s="120"/>
      <c r="BH779" s="120"/>
      <c r="BI779" s="120"/>
      <c r="BJ779" s="120"/>
      <c r="BK779" s="120"/>
      <c r="BL779" s="120"/>
      <c r="BM779" s="120"/>
      <c r="BN779" s="120"/>
      <c r="BO779" s="120"/>
      <c r="BP779" s="120"/>
      <c r="BQ779" s="120"/>
      <c r="BR779" s="120"/>
      <c r="BS779" s="120"/>
      <c r="BT779" s="120"/>
      <c r="BU779" s="120"/>
      <c r="BV779" s="120"/>
      <c r="BW779" s="120"/>
      <c r="BX779" s="120"/>
      <c r="BY779" s="120"/>
      <c r="BZ779" s="120"/>
      <c r="CA779" s="120"/>
      <c r="CB779" s="120"/>
      <c r="CC779" s="120"/>
      <c r="CD779" s="120"/>
      <c r="CE779" s="120"/>
      <c r="CF779" s="120"/>
      <c r="CG779" s="120"/>
      <c r="CH779" s="120"/>
      <c r="CI779" s="120"/>
      <c r="CJ779" s="120"/>
      <c r="CK779" s="120"/>
      <c r="CL779" s="120"/>
      <c r="CM779" s="120"/>
      <c r="CN779" s="120"/>
      <c r="CO779" s="120"/>
    </row>
    <row r="780" spans="1:93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1"/>
      <c r="U780" s="120"/>
      <c r="V780" s="120"/>
      <c r="W780" s="121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  <c r="AJ780" s="120"/>
      <c r="AK780" s="120"/>
      <c r="AL780" s="120"/>
      <c r="AM780" s="120"/>
      <c r="AN780" s="120"/>
      <c r="AO780" s="120"/>
      <c r="AP780" s="120"/>
      <c r="AQ780" s="120"/>
      <c r="AR780" s="120"/>
      <c r="AS780" s="120"/>
      <c r="AT780" s="120"/>
      <c r="AU780" s="120"/>
      <c r="AV780" s="120"/>
      <c r="AW780" s="120"/>
      <c r="AX780" s="120"/>
      <c r="AY780" s="120"/>
      <c r="AZ780" s="120"/>
      <c r="BA780" s="120"/>
      <c r="BB780" s="120"/>
      <c r="BC780" s="120"/>
      <c r="BD780" s="120"/>
      <c r="BE780" s="120"/>
      <c r="BF780" s="120"/>
      <c r="BG780" s="120"/>
      <c r="BH780" s="120"/>
      <c r="BI780" s="120"/>
      <c r="BJ780" s="120"/>
      <c r="BK780" s="120"/>
      <c r="BL780" s="120"/>
      <c r="BM780" s="120"/>
      <c r="BN780" s="120"/>
      <c r="BO780" s="120"/>
      <c r="BP780" s="120"/>
      <c r="BQ780" s="120"/>
      <c r="BR780" s="120"/>
      <c r="BS780" s="120"/>
      <c r="BT780" s="120"/>
      <c r="BU780" s="120"/>
      <c r="BV780" s="120"/>
      <c r="BW780" s="120"/>
      <c r="BX780" s="120"/>
      <c r="BY780" s="120"/>
      <c r="BZ780" s="120"/>
      <c r="CA780" s="120"/>
      <c r="CB780" s="120"/>
      <c r="CC780" s="120"/>
      <c r="CD780" s="120"/>
      <c r="CE780" s="120"/>
      <c r="CF780" s="120"/>
      <c r="CG780" s="120"/>
      <c r="CH780" s="120"/>
      <c r="CI780" s="120"/>
      <c r="CJ780" s="120"/>
      <c r="CK780" s="120"/>
      <c r="CL780" s="120"/>
      <c r="CM780" s="120"/>
      <c r="CN780" s="120"/>
      <c r="CO780" s="120"/>
    </row>
    <row r="781" spans="1:93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1"/>
      <c r="U781" s="120"/>
      <c r="V781" s="120"/>
      <c r="W781" s="121"/>
      <c r="X781" s="120"/>
      <c r="Y781" s="120"/>
      <c r="Z781" s="120"/>
      <c r="AA781" s="120"/>
      <c r="AB781" s="120"/>
      <c r="AC781" s="120"/>
      <c r="AD781" s="120"/>
      <c r="AE781" s="120"/>
      <c r="AF781" s="120"/>
      <c r="AG781" s="120"/>
      <c r="AH781" s="120"/>
      <c r="AI781" s="120"/>
      <c r="AJ781" s="120"/>
      <c r="AK781" s="120"/>
      <c r="AL781" s="120"/>
      <c r="AM781" s="120"/>
      <c r="AN781" s="120"/>
      <c r="AO781" s="120"/>
      <c r="AP781" s="120"/>
      <c r="AQ781" s="120"/>
      <c r="AR781" s="120"/>
      <c r="AS781" s="120"/>
      <c r="AT781" s="120"/>
      <c r="AU781" s="120"/>
      <c r="AV781" s="120"/>
      <c r="AW781" s="120"/>
      <c r="AX781" s="120"/>
      <c r="AY781" s="120"/>
      <c r="AZ781" s="120"/>
      <c r="BA781" s="120"/>
      <c r="BB781" s="120"/>
      <c r="BC781" s="120"/>
      <c r="BD781" s="120"/>
      <c r="BE781" s="120"/>
      <c r="BF781" s="120"/>
      <c r="BG781" s="120"/>
      <c r="BH781" s="120"/>
      <c r="BI781" s="120"/>
      <c r="BJ781" s="120"/>
      <c r="BK781" s="120"/>
      <c r="BL781" s="120"/>
      <c r="BM781" s="120"/>
      <c r="BN781" s="120"/>
      <c r="BO781" s="120"/>
      <c r="BP781" s="120"/>
      <c r="BQ781" s="120"/>
      <c r="BR781" s="120"/>
      <c r="BS781" s="120"/>
      <c r="BT781" s="120"/>
      <c r="BU781" s="120"/>
      <c r="BV781" s="120"/>
      <c r="BW781" s="120"/>
      <c r="BX781" s="120"/>
      <c r="BY781" s="120"/>
      <c r="BZ781" s="120"/>
      <c r="CA781" s="120"/>
      <c r="CB781" s="120"/>
      <c r="CC781" s="120"/>
      <c r="CD781" s="120"/>
      <c r="CE781" s="120"/>
      <c r="CF781" s="120"/>
      <c r="CG781" s="120"/>
      <c r="CH781" s="120"/>
      <c r="CI781" s="120"/>
      <c r="CJ781" s="120"/>
      <c r="CK781" s="120"/>
      <c r="CL781" s="120"/>
      <c r="CM781" s="120"/>
      <c r="CN781" s="120"/>
      <c r="CO781" s="120"/>
    </row>
    <row r="782" spans="1:93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1"/>
      <c r="U782" s="120"/>
      <c r="V782" s="120"/>
      <c r="W782" s="121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0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20"/>
      <c r="AW782" s="120"/>
      <c r="AX782" s="120"/>
      <c r="AY782" s="120"/>
      <c r="AZ782" s="120"/>
      <c r="BA782" s="120"/>
      <c r="BB782" s="120"/>
      <c r="BC782" s="120"/>
      <c r="BD782" s="120"/>
      <c r="BE782" s="120"/>
      <c r="BF782" s="120"/>
      <c r="BG782" s="120"/>
      <c r="BH782" s="120"/>
      <c r="BI782" s="120"/>
      <c r="BJ782" s="120"/>
      <c r="BK782" s="120"/>
      <c r="BL782" s="120"/>
      <c r="BM782" s="120"/>
      <c r="BN782" s="120"/>
      <c r="BO782" s="120"/>
      <c r="BP782" s="120"/>
      <c r="BQ782" s="120"/>
      <c r="BR782" s="120"/>
      <c r="BS782" s="120"/>
      <c r="BT782" s="120"/>
      <c r="BU782" s="120"/>
      <c r="BV782" s="120"/>
      <c r="BW782" s="120"/>
      <c r="BX782" s="120"/>
      <c r="BY782" s="120"/>
      <c r="BZ782" s="120"/>
      <c r="CA782" s="120"/>
      <c r="CB782" s="120"/>
      <c r="CC782" s="120"/>
      <c r="CD782" s="120"/>
      <c r="CE782" s="120"/>
      <c r="CF782" s="120"/>
      <c r="CG782" s="120"/>
      <c r="CH782" s="120"/>
      <c r="CI782" s="120"/>
      <c r="CJ782" s="120"/>
      <c r="CK782" s="120"/>
      <c r="CL782" s="120"/>
      <c r="CM782" s="120"/>
      <c r="CN782" s="120"/>
      <c r="CO782" s="120"/>
    </row>
    <row r="783" spans="1:93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1"/>
      <c r="U783" s="120"/>
      <c r="V783" s="120"/>
      <c r="W783" s="121"/>
      <c r="X783" s="120"/>
      <c r="Y783" s="120"/>
      <c r="Z783" s="120"/>
      <c r="AA783" s="120"/>
      <c r="AB783" s="120"/>
      <c r="AC783" s="120"/>
      <c r="AD783" s="120"/>
      <c r="AE783" s="120"/>
      <c r="AF783" s="120"/>
      <c r="AG783" s="120"/>
      <c r="AH783" s="120"/>
      <c r="AI783" s="120"/>
      <c r="AJ783" s="120"/>
      <c r="AK783" s="120"/>
      <c r="AL783" s="120"/>
      <c r="AM783" s="120"/>
      <c r="AN783" s="120"/>
      <c r="AO783" s="120"/>
      <c r="AP783" s="120"/>
      <c r="AQ783" s="120"/>
      <c r="AR783" s="120"/>
      <c r="AS783" s="120"/>
      <c r="AT783" s="120"/>
      <c r="AU783" s="120"/>
      <c r="AV783" s="120"/>
      <c r="AW783" s="120"/>
      <c r="AX783" s="120"/>
      <c r="AY783" s="120"/>
      <c r="AZ783" s="120"/>
      <c r="BA783" s="120"/>
      <c r="BB783" s="120"/>
      <c r="BC783" s="120"/>
      <c r="BD783" s="120"/>
      <c r="BE783" s="120"/>
      <c r="BF783" s="120"/>
      <c r="BG783" s="120"/>
      <c r="BH783" s="120"/>
      <c r="BI783" s="120"/>
      <c r="BJ783" s="120"/>
      <c r="BK783" s="120"/>
      <c r="BL783" s="120"/>
      <c r="BM783" s="120"/>
      <c r="BN783" s="120"/>
      <c r="BO783" s="120"/>
      <c r="BP783" s="120"/>
      <c r="BQ783" s="120"/>
      <c r="BR783" s="120"/>
      <c r="BS783" s="120"/>
      <c r="BT783" s="120"/>
      <c r="BU783" s="120"/>
      <c r="BV783" s="120"/>
      <c r="BW783" s="120"/>
      <c r="BX783" s="120"/>
      <c r="BY783" s="120"/>
      <c r="BZ783" s="120"/>
      <c r="CA783" s="120"/>
      <c r="CB783" s="120"/>
      <c r="CC783" s="120"/>
      <c r="CD783" s="120"/>
      <c r="CE783" s="120"/>
      <c r="CF783" s="120"/>
      <c r="CG783" s="120"/>
      <c r="CH783" s="120"/>
      <c r="CI783" s="120"/>
      <c r="CJ783" s="120"/>
      <c r="CK783" s="120"/>
      <c r="CL783" s="120"/>
      <c r="CM783" s="120"/>
      <c r="CN783" s="120"/>
      <c r="CO783" s="120"/>
    </row>
    <row r="784" spans="1:93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1"/>
      <c r="U784" s="120"/>
      <c r="V784" s="120"/>
      <c r="W784" s="121"/>
      <c r="X784" s="120"/>
      <c r="Y784" s="120"/>
      <c r="Z784" s="120"/>
      <c r="AA784" s="120"/>
      <c r="AB784" s="120"/>
      <c r="AC784" s="120"/>
      <c r="AD784" s="120"/>
      <c r="AE784" s="120"/>
      <c r="AF784" s="120"/>
      <c r="AG784" s="120"/>
      <c r="AH784" s="120"/>
      <c r="AI784" s="120"/>
      <c r="AJ784" s="120"/>
      <c r="AK784" s="120"/>
      <c r="AL784" s="120"/>
      <c r="AM784" s="120"/>
      <c r="AN784" s="120"/>
      <c r="AO784" s="120"/>
      <c r="AP784" s="120"/>
      <c r="AQ784" s="120"/>
      <c r="AR784" s="120"/>
      <c r="AS784" s="120"/>
      <c r="AT784" s="120"/>
      <c r="AU784" s="120"/>
      <c r="AV784" s="120"/>
      <c r="AW784" s="120"/>
      <c r="AX784" s="120"/>
      <c r="AY784" s="120"/>
      <c r="AZ784" s="120"/>
      <c r="BA784" s="120"/>
      <c r="BB784" s="120"/>
      <c r="BC784" s="120"/>
      <c r="BD784" s="120"/>
      <c r="BE784" s="120"/>
      <c r="BF784" s="120"/>
      <c r="BG784" s="120"/>
      <c r="BH784" s="120"/>
      <c r="BI784" s="120"/>
      <c r="BJ784" s="120"/>
      <c r="BK784" s="120"/>
      <c r="BL784" s="120"/>
      <c r="BM784" s="120"/>
      <c r="BN784" s="120"/>
      <c r="BO784" s="120"/>
      <c r="BP784" s="120"/>
      <c r="BQ784" s="120"/>
      <c r="BR784" s="120"/>
      <c r="BS784" s="120"/>
      <c r="BT784" s="120"/>
      <c r="BU784" s="120"/>
      <c r="BV784" s="120"/>
      <c r="BW784" s="120"/>
      <c r="BX784" s="120"/>
      <c r="BY784" s="120"/>
      <c r="BZ784" s="120"/>
      <c r="CA784" s="120"/>
      <c r="CB784" s="120"/>
      <c r="CC784" s="120"/>
      <c r="CD784" s="120"/>
      <c r="CE784" s="120"/>
      <c r="CF784" s="120"/>
      <c r="CG784" s="120"/>
      <c r="CH784" s="120"/>
      <c r="CI784" s="120"/>
      <c r="CJ784" s="120"/>
      <c r="CK784" s="120"/>
      <c r="CL784" s="120"/>
      <c r="CM784" s="120"/>
      <c r="CN784" s="120"/>
      <c r="CO784" s="120"/>
    </row>
    <row r="785" spans="1:93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1"/>
      <c r="U785" s="120"/>
      <c r="V785" s="120"/>
      <c r="W785" s="121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  <c r="AJ785" s="120"/>
      <c r="AK785" s="120"/>
      <c r="AL785" s="120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20"/>
      <c r="AW785" s="120"/>
      <c r="AX785" s="120"/>
      <c r="AY785" s="120"/>
      <c r="AZ785" s="120"/>
      <c r="BA785" s="120"/>
      <c r="BB785" s="120"/>
      <c r="BC785" s="120"/>
      <c r="BD785" s="120"/>
      <c r="BE785" s="120"/>
      <c r="BF785" s="120"/>
      <c r="BG785" s="120"/>
      <c r="BH785" s="120"/>
      <c r="BI785" s="120"/>
      <c r="BJ785" s="120"/>
      <c r="BK785" s="120"/>
      <c r="BL785" s="120"/>
      <c r="BM785" s="120"/>
      <c r="BN785" s="120"/>
      <c r="BO785" s="120"/>
      <c r="BP785" s="120"/>
      <c r="BQ785" s="120"/>
      <c r="BR785" s="120"/>
      <c r="BS785" s="120"/>
      <c r="BT785" s="120"/>
      <c r="BU785" s="120"/>
      <c r="BV785" s="120"/>
      <c r="BW785" s="120"/>
      <c r="BX785" s="120"/>
      <c r="BY785" s="120"/>
      <c r="BZ785" s="120"/>
      <c r="CA785" s="120"/>
      <c r="CB785" s="120"/>
      <c r="CC785" s="120"/>
      <c r="CD785" s="120"/>
      <c r="CE785" s="120"/>
      <c r="CF785" s="120"/>
      <c r="CG785" s="120"/>
      <c r="CH785" s="120"/>
      <c r="CI785" s="120"/>
      <c r="CJ785" s="120"/>
      <c r="CK785" s="120"/>
      <c r="CL785" s="120"/>
      <c r="CM785" s="120"/>
      <c r="CN785" s="120"/>
      <c r="CO785" s="120"/>
    </row>
    <row r="786" spans="1:93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1"/>
      <c r="U786" s="120"/>
      <c r="V786" s="120"/>
      <c r="W786" s="121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  <c r="AJ786" s="120"/>
      <c r="AK786" s="120"/>
      <c r="AL786" s="120"/>
      <c r="AM786" s="120"/>
      <c r="AN786" s="120"/>
      <c r="AO786" s="120"/>
      <c r="AP786" s="120"/>
      <c r="AQ786" s="120"/>
      <c r="AR786" s="120"/>
      <c r="AS786" s="120"/>
      <c r="AT786" s="120"/>
      <c r="AU786" s="120"/>
      <c r="AV786" s="120"/>
      <c r="AW786" s="120"/>
      <c r="AX786" s="120"/>
      <c r="AY786" s="120"/>
      <c r="AZ786" s="120"/>
      <c r="BA786" s="120"/>
      <c r="BB786" s="120"/>
      <c r="BC786" s="120"/>
      <c r="BD786" s="120"/>
      <c r="BE786" s="120"/>
      <c r="BF786" s="120"/>
      <c r="BG786" s="120"/>
      <c r="BH786" s="120"/>
      <c r="BI786" s="120"/>
      <c r="BJ786" s="120"/>
      <c r="BK786" s="120"/>
      <c r="BL786" s="120"/>
      <c r="BM786" s="120"/>
      <c r="BN786" s="120"/>
      <c r="BO786" s="120"/>
      <c r="BP786" s="120"/>
      <c r="BQ786" s="120"/>
      <c r="BR786" s="120"/>
      <c r="BS786" s="120"/>
      <c r="BT786" s="120"/>
      <c r="BU786" s="120"/>
      <c r="BV786" s="120"/>
      <c r="BW786" s="120"/>
      <c r="BX786" s="120"/>
      <c r="BY786" s="120"/>
      <c r="BZ786" s="120"/>
      <c r="CA786" s="120"/>
      <c r="CB786" s="120"/>
      <c r="CC786" s="120"/>
      <c r="CD786" s="120"/>
      <c r="CE786" s="120"/>
      <c r="CF786" s="120"/>
      <c r="CG786" s="120"/>
      <c r="CH786" s="120"/>
      <c r="CI786" s="120"/>
      <c r="CJ786" s="120"/>
      <c r="CK786" s="120"/>
      <c r="CL786" s="120"/>
      <c r="CM786" s="120"/>
      <c r="CN786" s="120"/>
      <c r="CO786" s="120"/>
    </row>
    <row r="787" spans="1:93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1"/>
      <c r="U787" s="120"/>
      <c r="V787" s="120"/>
      <c r="W787" s="121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  <c r="AJ787" s="120"/>
      <c r="AK787" s="120"/>
      <c r="AL787" s="120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20"/>
      <c r="BB787" s="120"/>
      <c r="BC787" s="120"/>
      <c r="BD787" s="120"/>
      <c r="BE787" s="120"/>
      <c r="BF787" s="120"/>
      <c r="BG787" s="120"/>
      <c r="BH787" s="120"/>
      <c r="BI787" s="120"/>
      <c r="BJ787" s="120"/>
      <c r="BK787" s="120"/>
      <c r="BL787" s="120"/>
      <c r="BM787" s="120"/>
      <c r="BN787" s="120"/>
      <c r="BO787" s="120"/>
      <c r="BP787" s="120"/>
      <c r="BQ787" s="120"/>
      <c r="BR787" s="120"/>
      <c r="BS787" s="120"/>
      <c r="BT787" s="120"/>
      <c r="BU787" s="120"/>
      <c r="BV787" s="120"/>
      <c r="BW787" s="120"/>
      <c r="BX787" s="120"/>
      <c r="BY787" s="120"/>
      <c r="BZ787" s="120"/>
      <c r="CA787" s="120"/>
      <c r="CB787" s="120"/>
      <c r="CC787" s="120"/>
      <c r="CD787" s="120"/>
      <c r="CE787" s="120"/>
      <c r="CF787" s="120"/>
      <c r="CG787" s="120"/>
      <c r="CH787" s="120"/>
      <c r="CI787" s="120"/>
      <c r="CJ787" s="120"/>
      <c r="CK787" s="120"/>
      <c r="CL787" s="120"/>
      <c r="CM787" s="120"/>
      <c r="CN787" s="120"/>
      <c r="CO787" s="120"/>
    </row>
    <row r="788" spans="1:93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1"/>
      <c r="U788" s="120"/>
      <c r="V788" s="120"/>
      <c r="W788" s="121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  <c r="AJ788" s="120"/>
      <c r="AK788" s="120"/>
      <c r="AL788" s="120"/>
      <c r="AM788" s="120"/>
      <c r="AN788" s="120"/>
      <c r="AO788" s="120"/>
      <c r="AP788" s="120"/>
      <c r="AQ788" s="120"/>
      <c r="AR788" s="120"/>
      <c r="AS788" s="120"/>
      <c r="AT788" s="120"/>
      <c r="AU788" s="120"/>
      <c r="AV788" s="120"/>
      <c r="AW788" s="120"/>
      <c r="AX788" s="120"/>
      <c r="AY788" s="120"/>
      <c r="AZ788" s="120"/>
      <c r="BA788" s="120"/>
      <c r="BB788" s="120"/>
      <c r="BC788" s="120"/>
      <c r="BD788" s="120"/>
      <c r="BE788" s="120"/>
      <c r="BF788" s="120"/>
      <c r="BG788" s="120"/>
      <c r="BH788" s="120"/>
      <c r="BI788" s="120"/>
      <c r="BJ788" s="120"/>
      <c r="BK788" s="120"/>
      <c r="BL788" s="120"/>
      <c r="BM788" s="120"/>
      <c r="BN788" s="120"/>
      <c r="BO788" s="120"/>
      <c r="BP788" s="120"/>
      <c r="BQ788" s="120"/>
      <c r="BR788" s="120"/>
      <c r="BS788" s="120"/>
      <c r="BT788" s="120"/>
      <c r="BU788" s="120"/>
      <c r="BV788" s="120"/>
      <c r="BW788" s="120"/>
      <c r="BX788" s="120"/>
      <c r="BY788" s="120"/>
      <c r="BZ788" s="120"/>
      <c r="CA788" s="120"/>
      <c r="CB788" s="120"/>
      <c r="CC788" s="120"/>
      <c r="CD788" s="120"/>
      <c r="CE788" s="120"/>
      <c r="CF788" s="120"/>
      <c r="CG788" s="120"/>
      <c r="CH788" s="120"/>
      <c r="CI788" s="120"/>
      <c r="CJ788" s="120"/>
      <c r="CK788" s="120"/>
      <c r="CL788" s="120"/>
      <c r="CM788" s="120"/>
      <c r="CN788" s="120"/>
      <c r="CO788" s="120"/>
    </row>
    <row r="789" spans="1:93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1"/>
      <c r="U789" s="120"/>
      <c r="V789" s="120"/>
      <c r="W789" s="121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  <c r="AJ789" s="120"/>
      <c r="AK789" s="120"/>
      <c r="AL789" s="120"/>
      <c r="AM789" s="120"/>
      <c r="AN789" s="120"/>
      <c r="AO789" s="120"/>
      <c r="AP789" s="120"/>
      <c r="AQ789" s="120"/>
      <c r="AR789" s="120"/>
      <c r="AS789" s="120"/>
      <c r="AT789" s="120"/>
      <c r="AU789" s="120"/>
      <c r="AV789" s="120"/>
      <c r="AW789" s="120"/>
      <c r="AX789" s="120"/>
      <c r="AY789" s="120"/>
      <c r="AZ789" s="120"/>
      <c r="BA789" s="120"/>
      <c r="BB789" s="120"/>
      <c r="BC789" s="120"/>
      <c r="BD789" s="120"/>
      <c r="BE789" s="120"/>
      <c r="BF789" s="120"/>
      <c r="BG789" s="120"/>
      <c r="BH789" s="120"/>
      <c r="BI789" s="120"/>
      <c r="BJ789" s="120"/>
      <c r="BK789" s="120"/>
      <c r="BL789" s="120"/>
      <c r="BM789" s="120"/>
      <c r="BN789" s="120"/>
      <c r="BO789" s="120"/>
      <c r="BP789" s="120"/>
      <c r="BQ789" s="120"/>
      <c r="BR789" s="120"/>
      <c r="BS789" s="120"/>
      <c r="BT789" s="120"/>
      <c r="BU789" s="120"/>
      <c r="BV789" s="120"/>
      <c r="BW789" s="120"/>
      <c r="BX789" s="120"/>
      <c r="BY789" s="120"/>
      <c r="BZ789" s="120"/>
      <c r="CA789" s="120"/>
      <c r="CB789" s="120"/>
      <c r="CC789" s="120"/>
      <c r="CD789" s="120"/>
      <c r="CE789" s="120"/>
      <c r="CF789" s="120"/>
      <c r="CG789" s="120"/>
      <c r="CH789" s="120"/>
      <c r="CI789" s="120"/>
      <c r="CJ789" s="120"/>
      <c r="CK789" s="120"/>
      <c r="CL789" s="120"/>
      <c r="CM789" s="120"/>
      <c r="CN789" s="120"/>
      <c r="CO789" s="120"/>
    </row>
    <row r="790" spans="1:93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1"/>
      <c r="U790" s="120"/>
      <c r="V790" s="120"/>
      <c r="W790" s="121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  <c r="AJ790" s="120"/>
      <c r="AK790" s="120"/>
      <c r="AL790" s="120"/>
      <c r="AM790" s="120"/>
      <c r="AN790" s="120"/>
      <c r="AO790" s="120"/>
      <c r="AP790" s="120"/>
      <c r="AQ790" s="120"/>
      <c r="AR790" s="120"/>
      <c r="AS790" s="120"/>
      <c r="AT790" s="120"/>
      <c r="AU790" s="120"/>
      <c r="AV790" s="120"/>
      <c r="AW790" s="120"/>
      <c r="AX790" s="120"/>
      <c r="AY790" s="120"/>
      <c r="AZ790" s="120"/>
      <c r="BA790" s="120"/>
      <c r="BB790" s="120"/>
      <c r="BC790" s="120"/>
      <c r="BD790" s="120"/>
      <c r="BE790" s="120"/>
      <c r="BF790" s="120"/>
      <c r="BG790" s="120"/>
      <c r="BH790" s="120"/>
      <c r="BI790" s="120"/>
      <c r="BJ790" s="120"/>
      <c r="BK790" s="120"/>
      <c r="BL790" s="120"/>
      <c r="BM790" s="120"/>
      <c r="BN790" s="120"/>
      <c r="BO790" s="120"/>
      <c r="BP790" s="120"/>
      <c r="BQ790" s="120"/>
      <c r="BR790" s="120"/>
      <c r="BS790" s="120"/>
      <c r="BT790" s="120"/>
      <c r="BU790" s="120"/>
      <c r="BV790" s="120"/>
      <c r="BW790" s="120"/>
      <c r="BX790" s="120"/>
      <c r="BY790" s="120"/>
      <c r="BZ790" s="120"/>
      <c r="CA790" s="120"/>
      <c r="CB790" s="120"/>
      <c r="CC790" s="120"/>
      <c r="CD790" s="120"/>
      <c r="CE790" s="120"/>
      <c r="CF790" s="120"/>
      <c r="CG790" s="120"/>
      <c r="CH790" s="120"/>
      <c r="CI790" s="120"/>
      <c r="CJ790" s="120"/>
      <c r="CK790" s="120"/>
      <c r="CL790" s="120"/>
      <c r="CM790" s="120"/>
      <c r="CN790" s="120"/>
      <c r="CO790" s="120"/>
    </row>
    <row r="791" spans="1:93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1"/>
      <c r="U791" s="120"/>
      <c r="V791" s="120"/>
      <c r="W791" s="121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  <c r="AJ791" s="120"/>
      <c r="AK791" s="120"/>
      <c r="AL791" s="120"/>
      <c r="AM791" s="120"/>
      <c r="AN791" s="120"/>
      <c r="AO791" s="120"/>
      <c r="AP791" s="120"/>
      <c r="AQ791" s="120"/>
      <c r="AR791" s="120"/>
      <c r="AS791" s="120"/>
      <c r="AT791" s="120"/>
      <c r="AU791" s="120"/>
      <c r="AV791" s="120"/>
      <c r="AW791" s="120"/>
      <c r="AX791" s="120"/>
      <c r="AY791" s="120"/>
      <c r="AZ791" s="120"/>
      <c r="BA791" s="120"/>
      <c r="BB791" s="120"/>
      <c r="BC791" s="120"/>
      <c r="BD791" s="120"/>
      <c r="BE791" s="120"/>
      <c r="BF791" s="120"/>
      <c r="BG791" s="120"/>
      <c r="BH791" s="120"/>
      <c r="BI791" s="120"/>
      <c r="BJ791" s="120"/>
      <c r="BK791" s="120"/>
      <c r="BL791" s="120"/>
      <c r="BM791" s="120"/>
      <c r="BN791" s="120"/>
      <c r="BO791" s="120"/>
      <c r="BP791" s="120"/>
      <c r="BQ791" s="120"/>
      <c r="BR791" s="120"/>
      <c r="BS791" s="120"/>
      <c r="BT791" s="120"/>
      <c r="BU791" s="120"/>
      <c r="BV791" s="120"/>
      <c r="BW791" s="120"/>
      <c r="BX791" s="120"/>
      <c r="BY791" s="120"/>
      <c r="BZ791" s="120"/>
      <c r="CA791" s="120"/>
      <c r="CB791" s="120"/>
      <c r="CC791" s="120"/>
      <c r="CD791" s="120"/>
      <c r="CE791" s="120"/>
      <c r="CF791" s="120"/>
      <c r="CG791" s="120"/>
      <c r="CH791" s="120"/>
      <c r="CI791" s="120"/>
      <c r="CJ791" s="120"/>
      <c r="CK791" s="120"/>
      <c r="CL791" s="120"/>
      <c r="CM791" s="120"/>
      <c r="CN791" s="120"/>
      <c r="CO791" s="120"/>
    </row>
    <row r="792" spans="1:93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1"/>
      <c r="U792" s="120"/>
      <c r="V792" s="120"/>
      <c r="W792" s="121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  <c r="AJ792" s="120"/>
      <c r="AK792" s="120"/>
      <c r="AL792" s="120"/>
      <c r="AM792" s="120"/>
      <c r="AN792" s="120"/>
      <c r="AO792" s="120"/>
      <c r="AP792" s="120"/>
      <c r="AQ792" s="120"/>
      <c r="AR792" s="120"/>
      <c r="AS792" s="120"/>
      <c r="AT792" s="120"/>
      <c r="AU792" s="120"/>
      <c r="AV792" s="120"/>
      <c r="AW792" s="120"/>
      <c r="AX792" s="120"/>
      <c r="AY792" s="120"/>
      <c r="AZ792" s="120"/>
      <c r="BA792" s="120"/>
      <c r="BB792" s="120"/>
      <c r="BC792" s="120"/>
      <c r="BD792" s="120"/>
      <c r="BE792" s="120"/>
      <c r="BF792" s="120"/>
      <c r="BG792" s="120"/>
      <c r="BH792" s="120"/>
      <c r="BI792" s="120"/>
      <c r="BJ792" s="120"/>
      <c r="BK792" s="120"/>
      <c r="BL792" s="120"/>
      <c r="BM792" s="120"/>
      <c r="BN792" s="120"/>
      <c r="BO792" s="120"/>
      <c r="BP792" s="120"/>
      <c r="BQ792" s="120"/>
      <c r="BR792" s="120"/>
      <c r="BS792" s="120"/>
      <c r="BT792" s="120"/>
      <c r="BU792" s="120"/>
      <c r="BV792" s="120"/>
      <c r="BW792" s="120"/>
      <c r="BX792" s="120"/>
      <c r="BY792" s="120"/>
      <c r="BZ792" s="120"/>
      <c r="CA792" s="120"/>
      <c r="CB792" s="120"/>
      <c r="CC792" s="120"/>
      <c r="CD792" s="120"/>
      <c r="CE792" s="120"/>
      <c r="CF792" s="120"/>
      <c r="CG792" s="120"/>
      <c r="CH792" s="120"/>
      <c r="CI792" s="120"/>
      <c r="CJ792" s="120"/>
      <c r="CK792" s="120"/>
      <c r="CL792" s="120"/>
      <c r="CM792" s="120"/>
      <c r="CN792" s="120"/>
      <c r="CO792" s="120"/>
    </row>
    <row r="793" spans="1:93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1"/>
      <c r="U793" s="120"/>
      <c r="V793" s="120"/>
      <c r="W793" s="121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  <c r="AJ793" s="120"/>
      <c r="AK793" s="120"/>
      <c r="AL793" s="120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20"/>
      <c r="BC793" s="120"/>
      <c r="BD793" s="120"/>
      <c r="BE793" s="120"/>
      <c r="BF793" s="120"/>
      <c r="BG793" s="120"/>
      <c r="BH793" s="120"/>
      <c r="BI793" s="120"/>
      <c r="BJ793" s="120"/>
      <c r="BK793" s="120"/>
      <c r="BL793" s="120"/>
      <c r="BM793" s="120"/>
      <c r="BN793" s="120"/>
      <c r="BO793" s="120"/>
      <c r="BP793" s="120"/>
      <c r="BQ793" s="120"/>
      <c r="BR793" s="120"/>
      <c r="BS793" s="120"/>
      <c r="BT793" s="120"/>
      <c r="BU793" s="120"/>
      <c r="BV793" s="120"/>
      <c r="BW793" s="120"/>
      <c r="BX793" s="120"/>
      <c r="BY793" s="120"/>
      <c r="BZ793" s="120"/>
      <c r="CA793" s="120"/>
      <c r="CB793" s="120"/>
      <c r="CC793" s="120"/>
      <c r="CD793" s="120"/>
      <c r="CE793" s="120"/>
      <c r="CF793" s="120"/>
      <c r="CG793" s="120"/>
      <c r="CH793" s="120"/>
      <c r="CI793" s="120"/>
      <c r="CJ793" s="120"/>
      <c r="CK793" s="120"/>
      <c r="CL793" s="120"/>
      <c r="CM793" s="120"/>
      <c r="CN793" s="120"/>
      <c r="CO793" s="120"/>
    </row>
    <row r="794" spans="1:93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1"/>
      <c r="U794" s="120"/>
      <c r="V794" s="120"/>
      <c r="W794" s="121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  <c r="AJ794" s="120"/>
      <c r="AK794" s="120"/>
      <c r="AL794" s="120"/>
      <c r="AM794" s="120"/>
      <c r="AN794" s="120"/>
      <c r="AO794" s="120"/>
      <c r="AP794" s="120"/>
      <c r="AQ794" s="120"/>
      <c r="AR794" s="120"/>
      <c r="AS794" s="120"/>
      <c r="AT794" s="120"/>
      <c r="AU794" s="120"/>
      <c r="AV794" s="120"/>
      <c r="AW794" s="120"/>
      <c r="AX794" s="120"/>
      <c r="AY794" s="120"/>
      <c r="AZ794" s="120"/>
      <c r="BA794" s="120"/>
      <c r="BB794" s="120"/>
      <c r="BC794" s="120"/>
      <c r="BD794" s="120"/>
      <c r="BE794" s="120"/>
      <c r="BF794" s="120"/>
      <c r="BG794" s="120"/>
      <c r="BH794" s="120"/>
      <c r="BI794" s="120"/>
      <c r="BJ794" s="120"/>
      <c r="BK794" s="120"/>
      <c r="BL794" s="120"/>
      <c r="BM794" s="120"/>
      <c r="BN794" s="120"/>
      <c r="BO794" s="120"/>
      <c r="BP794" s="120"/>
      <c r="BQ794" s="120"/>
      <c r="BR794" s="120"/>
      <c r="BS794" s="120"/>
      <c r="BT794" s="120"/>
      <c r="BU794" s="120"/>
      <c r="BV794" s="120"/>
      <c r="BW794" s="120"/>
      <c r="BX794" s="120"/>
      <c r="BY794" s="120"/>
      <c r="BZ794" s="120"/>
      <c r="CA794" s="120"/>
      <c r="CB794" s="120"/>
      <c r="CC794" s="120"/>
      <c r="CD794" s="120"/>
      <c r="CE794" s="120"/>
      <c r="CF794" s="120"/>
      <c r="CG794" s="120"/>
      <c r="CH794" s="120"/>
      <c r="CI794" s="120"/>
      <c r="CJ794" s="120"/>
      <c r="CK794" s="120"/>
      <c r="CL794" s="120"/>
      <c r="CM794" s="120"/>
      <c r="CN794" s="120"/>
      <c r="CO794" s="120"/>
    </row>
    <row r="795" spans="1:93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1"/>
      <c r="U795" s="120"/>
      <c r="V795" s="120"/>
      <c r="W795" s="121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  <c r="AJ795" s="120"/>
      <c r="AK795" s="120"/>
      <c r="AL795" s="120"/>
      <c r="AM795" s="120"/>
      <c r="AN795" s="120"/>
      <c r="AO795" s="120"/>
      <c r="AP795" s="120"/>
      <c r="AQ795" s="120"/>
      <c r="AR795" s="120"/>
      <c r="AS795" s="120"/>
      <c r="AT795" s="120"/>
      <c r="AU795" s="120"/>
      <c r="AV795" s="120"/>
      <c r="AW795" s="120"/>
      <c r="AX795" s="120"/>
      <c r="AY795" s="120"/>
      <c r="AZ795" s="120"/>
      <c r="BA795" s="120"/>
      <c r="BB795" s="120"/>
      <c r="BC795" s="120"/>
      <c r="BD795" s="120"/>
      <c r="BE795" s="120"/>
      <c r="BF795" s="120"/>
      <c r="BG795" s="120"/>
      <c r="BH795" s="120"/>
      <c r="BI795" s="120"/>
      <c r="BJ795" s="120"/>
      <c r="BK795" s="120"/>
      <c r="BL795" s="120"/>
      <c r="BM795" s="120"/>
      <c r="BN795" s="120"/>
      <c r="BO795" s="120"/>
      <c r="BP795" s="120"/>
      <c r="BQ795" s="120"/>
      <c r="BR795" s="120"/>
      <c r="BS795" s="120"/>
      <c r="BT795" s="120"/>
      <c r="BU795" s="120"/>
      <c r="BV795" s="120"/>
      <c r="BW795" s="120"/>
      <c r="BX795" s="120"/>
      <c r="BY795" s="120"/>
      <c r="BZ795" s="120"/>
      <c r="CA795" s="120"/>
      <c r="CB795" s="120"/>
      <c r="CC795" s="120"/>
      <c r="CD795" s="120"/>
      <c r="CE795" s="120"/>
      <c r="CF795" s="120"/>
      <c r="CG795" s="120"/>
      <c r="CH795" s="120"/>
      <c r="CI795" s="120"/>
      <c r="CJ795" s="120"/>
      <c r="CK795" s="120"/>
      <c r="CL795" s="120"/>
      <c r="CM795" s="120"/>
      <c r="CN795" s="120"/>
      <c r="CO795" s="120"/>
    </row>
    <row r="796" spans="1:93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1"/>
      <c r="U796" s="120"/>
      <c r="V796" s="120"/>
      <c r="W796" s="121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  <c r="AJ796" s="120"/>
      <c r="AK796" s="120"/>
      <c r="AL796" s="120"/>
      <c r="AM796" s="120"/>
      <c r="AN796" s="120"/>
      <c r="AO796" s="120"/>
      <c r="AP796" s="120"/>
      <c r="AQ796" s="120"/>
      <c r="AR796" s="120"/>
      <c r="AS796" s="120"/>
      <c r="AT796" s="120"/>
      <c r="AU796" s="120"/>
      <c r="AV796" s="120"/>
      <c r="AW796" s="120"/>
      <c r="AX796" s="120"/>
      <c r="AY796" s="120"/>
      <c r="AZ796" s="120"/>
      <c r="BA796" s="120"/>
      <c r="BB796" s="120"/>
      <c r="BC796" s="120"/>
      <c r="BD796" s="120"/>
      <c r="BE796" s="120"/>
      <c r="BF796" s="120"/>
      <c r="BG796" s="120"/>
      <c r="BH796" s="120"/>
      <c r="BI796" s="120"/>
      <c r="BJ796" s="120"/>
      <c r="BK796" s="120"/>
      <c r="BL796" s="120"/>
      <c r="BM796" s="120"/>
      <c r="BN796" s="120"/>
      <c r="BO796" s="120"/>
      <c r="BP796" s="120"/>
      <c r="BQ796" s="120"/>
      <c r="BR796" s="120"/>
      <c r="BS796" s="120"/>
      <c r="BT796" s="120"/>
      <c r="BU796" s="120"/>
      <c r="BV796" s="120"/>
      <c r="BW796" s="120"/>
      <c r="BX796" s="120"/>
      <c r="BY796" s="120"/>
      <c r="BZ796" s="120"/>
      <c r="CA796" s="120"/>
      <c r="CB796" s="120"/>
      <c r="CC796" s="120"/>
      <c r="CD796" s="120"/>
      <c r="CE796" s="120"/>
      <c r="CF796" s="120"/>
      <c r="CG796" s="120"/>
      <c r="CH796" s="120"/>
      <c r="CI796" s="120"/>
      <c r="CJ796" s="120"/>
      <c r="CK796" s="120"/>
      <c r="CL796" s="120"/>
      <c r="CM796" s="120"/>
      <c r="CN796" s="120"/>
      <c r="CO796" s="120"/>
    </row>
    <row r="797" spans="1:93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1"/>
      <c r="U797" s="120"/>
      <c r="V797" s="120"/>
      <c r="W797" s="121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  <c r="AJ797" s="120"/>
      <c r="AK797" s="120"/>
      <c r="AL797" s="120"/>
      <c r="AM797" s="120"/>
      <c r="AN797" s="120"/>
      <c r="AO797" s="120"/>
      <c r="AP797" s="120"/>
      <c r="AQ797" s="120"/>
      <c r="AR797" s="120"/>
      <c r="AS797" s="120"/>
      <c r="AT797" s="120"/>
      <c r="AU797" s="120"/>
      <c r="AV797" s="120"/>
      <c r="AW797" s="120"/>
      <c r="AX797" s="120"/>
      <c r="AY797" s="120"/>
      <c r="AZ797" s="120"/>
      <c r="BA797" s="120"/>
      <c r="BB797" s="120"/>
      <c r="BC797" s="120"/>
      <c r="BD797" s="120"/>
      <c r="BE797" s="120"/>
      <c r="BF797" s="120"/>
      <c r="BG797" s="120"/>
      <c r="BH797" s="120"/>
      <c r="BI797" s="120"/>
      <c r="BJ797" s="120"/>
      <c r="BK797" s="120"/>
      <c r="BL797" s="120"/>
      <c r="BM797" s="120"/>
      <c r="BN797" s="120"/>
      <c r="BO797" s="120"/>
      <c r="BP797" s="120"/>
      <c r="BQ797" s="120"/>
      <c r="BR797" s="120"/>
      <c r="BS797" s="120"/>
      <c r="BT797" s="120"/>
      <c r="BU797" s="120"/>
      <c r="BV797" s="120"/>
      <c r="BW797" s="120"/>
      <c r="BX797" s="120"/>
      <c r="BY797" s="120"/>
      <c r="BZ797" s="120"/>
      <c r="CA797" s="120"/>
      <c r="CB797" s="120"/>
      <c r="CC797" s="120"/>
      <c r="CD797" s="120"/>
      <c r="CE797" s="120"/>
      <c r="CF797" s="120"/>
      <c r="CG797" s="120"/>
      <c r="CH797" s="120"/>
      <c r="CI797" s="120"/>
      <c r="CJ797" s="120"/>
      <c r="CK797" s="120"/>
      <c r="CL797" s="120"/>
      <c r="CM797" s="120"/>
      <c r="CN797" s="120"/>
      <c r="CO797" s="120"/>
    </row>
    <row r="798" spans="1:93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1"/>
      <c r="U798" s="120"/>
      <c r="V798" s="120"/>
      <c r="W798" s="121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  <c r="AJ798" s="120"/>
      <c r="AK798" s="120"/>
      <c r="AL798" s="120"/>
      <c r="AM798" s="120"/>
      <c r="AN798" s="120"/>
      <c r="AO798" s="120"/>
      <c r="AP798" s="120"/>
      <c r="AQ798" s="120"/>
      <c r="AR798" s="120"/>
      <c r="AS798" s="120"/>
      <c r="AT798" s="120"/>
      <c r="AU798" s="120"/>
      <c r="AV798" s="120"/>
      <c r="AW798" s="120"/>
      <c r="AX798" s="120"/>
      <c r="AY798" s="120"/>
      <c r="AZ798" s="120"/>
      <c r="BA798" s="120"/>
      <c r="BB798" s="120"/>
      <c r="BC798" s="120"/>
      <c r="BD798" s="120"/>
      <c r="BE798" s="120"/>
      <c r="BF798" s="120"/>
      <c r="BG798" s="120"/>
      <c r="BH798" s="120"/>
      <c r="BI798" s="120"/>
      <c r="BJ798" s="120"/>
      <c r="BK798" s="120"/>
      <c r="BL798" s="120"/>
      <c r="BM798" s="120"/>
      <c r="BN798" s="120"/>
      <c r="BO798" s="120"/>
      <c r="BP798" s="120"/>
      <c r="BQ798" s="120"/>
      <c r="BR798" s="120"/>
      <c r="BS798" s="120"/>
      <c r="BT798" s="120"/>
      <c r="BU798" s="120"/>
      <c r="BV798" s="120"/>
      <c r="BW798" s="120"/>
      <c r="BX798" s="120"/>
      <c r="BY798" s="120"/>
      <c r="BZ798" s="120"/>
      <c r="CA798" s="120"/>
      <c r="CB798" s="120"/>
      <c r="CC798" s="120"/>
      <c r="CD798" s="120"/>
      <c r="CE798" s="120"/>
      <c r="CF798" s="120"/>
      <c r="CG798" s="120"/>
      <c r="CH798" s="120"/>
      <c r="CI798" s="120"/>
      <c r="CJ798" s="120"/>
      <c r="CK798" s="120"/>
      <c r="CL798" s="120"/>
      <c r="CM798" s="120"/>
      <c r="CN798" s="120"/>
      <c r="CO798" s="120"/>
    </row>
    <row r="799" spans="1:93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1"/>
      <c r="U799" s="120"/>
      <c r="V799" s="120"/>
      <c r="W799" s="121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  <c r="AJ799" s="120"/>
      <c r="AK799" s="120"/>
      <c r="AL799" s="120"/>
      <c r="AM799" s="120"/>
      <c r="AN799" s="120"/>
      <c r="AO799" s="120"/>
      <c r="AP799" s="120"/>
      <c r="AQ799" s="120"/>
      <c r="AR799" s="120"/>
      <c r="AS799" s="120"/>
      <c r="AT799" s="120"/>
      <c r="AU799" s="120"/>
      <c r="AV799" s="120"/>
      <c r="AW799" s="120"/>
      <c r="AX799" s="120"/>
      <c r="AY799" s="120"/>
      <c r="AZ799" s="120"/>
      <c r="BA799" s="120"/>
      <c r="BB799" s="120"/>
      <c r="BC799" s="120"/>
      <c r="BD799" s="120"/>
      <c r="BE799" s="120"/>
      <c r="BF799" s="120"/>
      <c r="BG799" s="120"/>
      <c r="BH799" s="120"/>
      <c r="BI799" s="120"/>
      <c r="BJ799" s="120"/>
      <c r="BK799" s="120"/>
      <c r="BL799" s="120"/>
      <c r="BM799" s="120"/>
      <c r="BN799" s="120"/>
      <c r="BO799" s="120"/>
      <c r="BP799" s="120"/>
      <c r="BQ799" s="120"/>
      <c r="BR799" s="120"/>
      <c r="BS799" s="120"/>
      <c r="BT799" s="120"/>
      <c r="BU799" s="120"/>
      <c r="BV799" s="120"/>
      <c r="BW799" s="120"/>
      <c r="BX799" s="120"/>
      <c r="BY799" s="120"/>
      <c r="BZ799" s="120"/>
      <c r="CA799" s="120"/>
      <c r="CB799" s="120"/>
      <c r="CC799" s="120"/>
      <c r="CD799" s="120"/>
      <c r="CE799" s="120"/>
      <c r="CF799" s="120"/>
      <c r="CG799" s="120"/>
      <c r="CH799" s="120"/>
      <c r="CI799" s="120"/>
      <c r="CJ799" s="120"/>
      <c r="CK799" s="120"/>
      <c r="CL799" s="120"/>
      <c r="CM799" s="120"/>
      <c r="CN799" s="120"/>
      <c r="CO799" s="120"/>
    </row>
    <row r="800" spans="1:93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1"/>
      <c r="U800" s="120"/>
      <c r="V800" s="120"/>
      <c r="W800" s="121"/>
      <c r="X800" s="120"/>
      <c r="Y800" s="120"/>
      <c r="Z800" s="120"/>
      <c r="AA800" s="120"/>
      <c r="AB800" s="120"/>
      <c r="AC800" s="120"/>
      <c r="AD800" s="120"/>
      <c r="AE800" s="120"/>
      <c r="AF800" s="120"/>
      <c r="AG800" s="120"/>
      <c r="AH800" s="120"/>
      <c r="AI800" s="120"/>
      <c r="AJ800" s="120"/>
      <c r="AK800" s="120"/>
      <c r="AL800" s="120"/>
      <c r="AM800" s="120"/>
      <c r="AN800" s="120"/>
      <c r="AO800" s="120"/>
      <c r="AP800" s="120"/>
      <c r="AQ800" s="120"/>
      <c r="AR800" s="120"/>
      <c r="AS800" s="120"/>
      <c r="AT800" s="120"/>
      <c r="AU800" s="120"/>
      <c r="AV800" s="120"/>
      <c r="AW800" s="120"/>
      <c r="AX800" s="120"/>
      <c r="AY800" s="120"/>
      <c r="AZ800" s="120"/>
      <c r="BA800" s="120"/>
      <c r="BB800" s="120"/>
      <c r="BC800" s="120"/>
      <c r="BD800" s="120"/>
      <c r="BE800" s="120"/>
      <c r="BF800" s="120"/>
      <c r="BG800" s="120"/>
      <c r="BH800" s="120"/>
      <c r="BI800" s="120"/>
      <c r="BJ800" s="120"/>
      <c r="BK800" s="120"/>
      <c r="BL800" s="120"/>
      <c r="BM800" s="120"/>
      <c r="BN800" s="120"/>
      <c r="BO800" s="120"/>
      <c r="BP800" s="120"/>
      <c r="BQ800" s="120"/>
      <c r="BR800" s="120"/>
      <c r="BS800" s="120"/>
      <c r="BT800" s="120"/>
      <c r="BU800" s="120"/>
      <c r="BV800" s="120"/>
      <c r="BW800" s="120"/>
      <c r="BX800" s="120"/>
      <c r="BY800" s="120"/>
      <c r="BZ800" s="120"/>
      <c r="CA800" s="120"/>
      <c r="CB800" s="120"/>
      <c r="CC800" s="120"/>
      <c r="CD800" s="120"/>
      <c r="CE800" s="120"/>
      <c r="CF800" s="120"/>
      <c r="CG800" s="120"/>
      <c r="CH800" s="120"/>
      <c r="CI800" s="120"/>
      <c r="CJ800" s="120"/>
      <c r="CK800" s="120"/>
      <c r="CL800" s="120"/>
      <c r="CM800" s="120"/>
      <c r="CN800" s="120"/>
      <c r="CO800" s="120"/>
    </row>
    <row r="801" spans="1:93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1"/>
      <c r="U801" s="120"/>
      <c r="V801" s="120"/>
      <c r="W801" s="121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  <c r="AJ801" s="120"/>
      <c r="AK801" s="120"/>
      <c r="AL801" s="120"/>
      <c r="AM801" s="120"/>
      <c r="AN801" s="120"/>
      <c r="AO801" s="120"/>
      <c r="AP801" s="120"/>
      <c r="AQ801" s="120"/>
      <c r="AR801" s="120"/>
      <c r="AS801" s="120"/>
      <c r="AT801" s="120"/>
      <c r="AU801" s="120"/>
      <c r="AV801" s="120"/>
      <c r="AW801" s="120"/>
      <c r="AX801" s="120"/>
      <c r="AY801" s="120"/>
      <c r="AZ801" s="120"/>
      <c r="BA801" s="120"/>
      <c r="BB801" s="120"/>
      <c r="BC801" s="120"/>
      <c r="BD801" s="120"/>
      <c r="BE801" s="120"/>
      <c r="BF801" s="120"/>
      <c r="BG801" s="120"/>
      <c r="BH801" s="120"/>
      <c r="BI801" s="120"/>
      <c r="BJ801" s="120"/>
      <c r="BK801" s="120"/>
      <c r="BL801" s="120"/>
      <c r="BM801" s="120"/>
      <c r="BN801" s="120"/>
      <c r="BO801" s="120"/>
      <c r="BP801" s="120"/>
      <c r="BQ801" s="120"/>
      <c r="BR801" s="120"/>
      <c r="BS801" s="120"/>
      <c r="BT801" s="120"/>
      <c r="BU801" s="120"/>
      <c r="BV801" s="120"/>
      <c r="BW801" s="120"/>
      <c r="BX801" s="120"/>
      <c r="BY801" s="120"/>
      <c r="BZ801" s="120"/>
      <c r="CA801" s="120"/>
      <c r="CB801" s="120"/>
      <c r="CC801" s="120"/>
      <c r="CD801" s="120"/>
      <c r="CE801" s="120"/>
      <c r="CF801" s="120"/>
      <c r="CG801" s="120"/>
      <c r="CH801" s="120"/>
      <c r="CI801" s="120"/>
      <c r="CJ801" s="120"/>
      <c r="CK801" s="120"/>
      <c r="CL801" s="120"/>
      <c r="CM801" s="120"/>
      <c r="CN801" s="120"/>
      <c r="CO801" s="120"/>
    </row>
    <row r="802" spans="1:93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1"/>
      <c r="U802" s="120"/>
      <c r="V802" s="120"/>
      <c r="W802" s="121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  <c r="AJ802" s="120"/>
      <c r="AK802" s="120"/>
      <c r="AL802" s="120"/>
      <c r="AM802" s="120"/>
      <c r="AN802" s="120"/>
      <c r="AO802" s="120"/>
      <c r="AP802" s="120"/>
      <c r="AQ802" s="120"/>
      <c r="AR802" s="120"/>
      <c r="AS802" s="120"/>
      <c r="AT802" s="120"/>
      <c r="AU802" s="120"/>
      <c r="AV802" s="120"/>
      <c r="AW802" s="120"/>
      <c r="AX802" s="120"/>
      <c r="AY802" s="120"/>
      <c r="AZ802" s="120"/>
      <c r="BA802" s="120"/>
      <c r="BB802" s="120"/>
      <c r="BC802" s="120"/>
      <c r="BD802" s="120"/>
      <c r="BE802" s="120"/>
      <c r="BF802" s="120"/>
      <c r="BG802" s="120"/>
      <c r="BH802" s="120"/>
      <c r="BI802" s="120"/>
      <c r="BJ802" s="120"/>
      <c r="BK802" s="120"/>
      <c r="BL802" s="120"/>
      <c r="BM802" s="120"/>
      <c r="BN802" s="120"/>
      <c r="BO802" s="120"/>
      <c r="BP802" s="120"/>
      <c r="BQ802" s="120"/>
      <c r="BR802" s="120"/>
      <c r="BS802" s="120"/>
      <c r="BT802" s="120"/>
      <c r="BU802" s="120"/>
      <c r="BV802" s="120"/>
      <c r="BW802" s="120"/>
      <c r="BX802" s="120"/>
      <c r="BY802" s="120"/>
      <c r="BZ802" s="120"/>
      <c r="CA802" s="120"/>
      <c r="CB802" s="120"/>
      <c r="CC802" s="120"/>
      <c r="CD802" s="120"/>
      <c r="CE802" s="120"/>
      <c r="CF802" s="120"/>
      <c r="CG802" s="120"/>
      <c r="CH802" s="120"/>
      <c r="CI802" s="120"/>
      <c r="CJ802" s="120"/>
      <c r="CK802" s="120"/>
      <c r="CL802" s="120"/>
      <c r="CM802" s="120"/>
      <c r="CN802" s="120"/>
      <c r="CO802" s="120"/>
    </row>
    <row r="803" spans="1:93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1"/>
      <c r="U803" s="120"/>
      <c r="V803" s="120"/>
      <c r="W803" s="121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  <c r="AJ803" s="120"/>
      <c r="AK803" s="120"/>
      <c r="AL803" s="120"/>
      <c r="AM803" s="120"/>
      <c r="AN803" s="120"/>
      <c r="AO803" s="120"/>
      <c r="AP803" s="120"/>
      <c r="AQ803" s="120"/>
      <c r="AR803" s="120"/>
      <c r="AS803" s="120"/>
      <c r="AT803" s="120"/>
      <c r="AU803" s="120"/>
      <c r="AV803" s="120"/>
      <c r="AW803" s="120"/>
      <c r="AX803" s="120"/>
      <c r="AY803" s="120"/>
      <c r="AZ803" s="120"/>
      <c r="BA803" s="120"/>
      <c r="BB803" s="120"/>
      <c r="BC803" s="120"/>
      <c r="BD803" s="120"/>
      <c r="BE803" s="120"/>
      <c r="BF803" s="120"/>
      <c r="BG803" s="120"/>
      <c r="BH803" s="120"/>
      <c r="BI803" s="120"/>
      <c r="BJ803" s="120"/>
      <c r="BK803" s="120"/>
      <c r="BL803" s="120"/>
      <c r="BM803" s="120"/>
      <c r="BN803" s="120"/>
      <c r="BO803" s="120"/>
      <c r="BP803" s="120"/>
      <c r="BQ803" s="120"/>
      <c r="BR803" s="120"/>
      <c r="BS803" s="120"/>
      <c r="BT803" s="120"/>
      <c r="BU803" s="120"/>
      <c r="BV803" s="120"/>
      <c r="BW803" s="120"/>
      <c r="BX803" s="120"/>
      <c r="BY803" s="120"/>
      <c r="BZ803" s="120"/>
      <c r="CA803" s="120"/>
      <c r="CB803" s="120"/>
      <c r="CC803" s="120"/>
      <c r="CD803" s="120"/>
      <c r="CE803" s="120"/>
      <c r="CF803" s="120"/>
      <c r="CG803" s="120"/>
      <c r="CH803" s="120"/>
      <c r="CI803" s="120"/>
      <c r="CJ803" s="120"/>
      <c r="CK803" s="120"/>
      <c r="CL803" s="120"/>
      <c r="CM803" s="120"/>
      <c r="CN803" s="120"/>
      <c r="CO803" s="120"/>
    </row>
    <row r="804" spans="1:93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1"/>
      <c r="U804" s="120"/>
      <c r="V804" s="120"/>
      <c r="W804" s="121"/>
      <c r="X804" s="120"/>
      <c r="Y804" s="120"/>
      <c r="Z804" s="120"/>
      <c r="AA804" s="120"/>
      <c r="AB804" s="120"/>
      <c r="AC804" s="120"/>
      <c r="AD804" s="120"/>
      <c r="AE804" s="120"/>
      <c r="AF804" s="120"/>
      <c r="AG804" s="120"/>
      <c r="AH804" s="120"/>
      <c r="AI804" s="120"/>
      <c r="AJ804" s="120"/>
      <c r="AK804" s="120"/>
      <c r="AL804" s="120"/>
      <c r="AM804" s="120"/>
      <c r="AN804" s="120"/>
      <c r="AO804" s="120"/>
      <c r="AP804" s="120"/>
      <c r="AQ804" s="120"/>
      <c r="AR804" s="120"/>
      <c r="AS804" s="120"/>
      <c r="AT804" s="120"/>
      <c r="AU804" s="120"/>
      <c r="AV804" s="120"/>
      <c r="AW804" s="120"/>
      <c r="AX804" s="120"/>
      <c r="AY804" s="120"/>
      <c r="AZ804" s="120"/>
      <c r="BA804" s="120"/>
      <c r="BB804" s="120"/>
      <c r="BC804" s="120"/>
      <c r="BD804" s="120"/>
      <c r="BE804" s="120"/>
      <c r="BF804" s="120"/>
      <c r="BG804" s="120"/>
      <c r="BH804" s="120"/>
      <c r="BI804" s="120"/>
      <c r="BJ804" s="120"/>
      <c r="BK804" s="120"/>
      <c r="BL804" s="120"/>
      <c r="BM804" s="120"/>
      <c r="BN804" s="120"/>
      <c r="BO804" s="120"/>
      <c r="BP804" s="120"/>
      <c r="BQ804" s="120"/>
      <c r="BR804" s="120"/>
      <c r="BS804" s="120"/>
      <c r="BT804" s="120"/>
      <c r="BU804" s="120"/>
      <c r="BV804" s="120"/>
      <c r="BW804" s="120"/>
      <c r="BX804" s="120"/>
      <c r="BY804" s="120"/>
      <c r="BZ804" s="120"/>
      <c r="CA804" s="120"/>
      <c r="CB804" s="120"/>
      <c r="CC804" s="120"/>
      <c r="CD804" s="120"/>
      <c r="CE804" s="120"/>
      <c r="CF804" s="120"/>
      <c r="CG804" s="120"/>
      <c r="CH804" s="120"/>
      <c r="CI804" s="120"/>
      <c r="CJ804" s="120"/>
      <c r="CK804" s="120"/>
      <c r="CL804" s="120"/>
      <c r="CM804" s="120"/>
      <c r="CN804" s="120"/>
      <c r="CO804" s="120"/>
    </row>
    <row r="805" spans="1:93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1"/>
      <c r="U805" s="120"/>
      <c r="V805" s="120"/>
      <c r="W805" s="121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0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0"/>
      <c r="BJ805" s="120"/>
      <c r="BK805" s="120"/>
      <c r="BL805" s="120"/>
      <c r="BM805" s="120"/>
      <c r="BN805" s="120"/>
      <c r="BO805" s="120"/>
      <c r="BP805" s="120"/>
      <c r="BQ805" s="120"/>
      <c r="BR805" s="120"/>
      <c r="BS805" s="120"/>
      <c r="BT805" s="120"/>
      <c r="BU805" s="120"/>
      <c r="BV805" s="120"/>
      <c r="BW805" s="120"/>
      <c r="BX805" s="120"/>
      <c r="BY805" s="120"/>
      <c r="BZ805" s="120"/>
      <c r="CA805" s="120"/>
      <c r="CB805" s="120"/>
      <c r="CC805" s="120"/>
      <c r="CD805" s="120"/>
      <c r="CE805" s="120"/>
      <c r="CF805" s="120"/>
      <c r="CG805" s="120"/>
      <c r="CH805" s="120"/>
      <c r="CI805" s="120"/>
      <c r="CJ805" s="120"/>
      <c r="CK805" s="120"/>
      <c r="CL805" s="120"/>
      <c r="CM805" s="120"/>
      <c r="CN805" s="120"/>
      <c r="CO805" s="120"/>
    </row>
    <row r="806" spans="1:93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1"/>
      <c r="U806" s="120"/>
      <c r="V806" s="120"/>
      <c r="W806" s="121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  <c r="AJ806" s="120"/>
      <c r="AK806" s="120"/>
      <c r="AL806" s="120"/>
      <c r="AM806" s="120"/>
      <c r="AN806" s="120"/>
      <c r="AO806" s="120"/>
      <c r="AP806" s="120"/>
      <c r="AQ806" s="120"/>
      <c r="AR806" s="120"/>
      <c r="AS806" s="120"/>
      <c r="AT806" s="120"/>
      <c r="AU806" s="120"/>
      <c r="AV806" s="120"/>
      <c r="AW806" s="120"/>
      <c r="AX806" s="120"/>
      <c r="AY806" s="120"/>
      <c r="AZ806" s="120"/>
      <c r="BA806" s="120"/>
      <c r="BB806" s="120"/>
      <c r="BC806" s="120"/>
      <c r="BD806" s="120"/>
      <c r="BE806" s="120"/>
      <c r="BF806" s="120"/>
      <c r="BG806" s="120"/>
      <c r="BH806" s="120"/>
      <c r="BI806" s="120"/>
      <c r="BJ806" s="120"/>
      <c r="BK806" s="120"/>
      <c r="BL806" s="120"/>
      <c r="BM806" s="120"/>
      <c r="BN806" s="120"/>
      <c r="BO806" s="120"/>
      <c r="BP806" s="120"/>
      <c r="BQ806" s="120"/>
      <c r="BR806" s="120"/>
      <c r="BS806" s="120"/>
      <c r="BT806" s="120"/>
      <c r="BU806" s="120"/>
      <c r="BV806" s="120"/>
      <c r="BW806" s="120"/>
      <c r="BX806" s="120"/>
      <c r="BY806" s="120"/>
      <c r="BZ806" s="120"/>
      <c r="CA806" s="120"/>
      <c r="CB806" s="120"/>
      <c r="CC806" s="120"/>
      <c r="CD806" s="120"/>
      <c r="CE806" s="120"/>
      <c r="CF806" s="120"/>
      <c r="CG806" s="120"/>
      <c r="CH806" s="120"/>
      <c r="CI806" s="120"/>
      <c r="CJ806" s="120"/>
      <c r="CK806" s="120"/>
      <c r="CL806" s="120"/>
      <c r="CM806" s="120"/>
      <c r="CN806" s="120"/>
      <c r="CO806" s="120"/>
    </row>
    <row r="807" spans="1:93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1"/>
      <c r="U807" s="120"/>
      <c r="V807" s="120"/>
      <c r="W807" s="121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  <c r="AJ807" s="120"/>
      <c r="AK807" s="120"/>
      <c r="AL807" s="120"/>
      <c r="AM807" s="120"/>
      <c r="AN807" s="120"/>
      <c r="AO807" s="120"/>
      <c r="AP807" s="120"/>
      <c r="AQ807" s="120"/>
      <c r="AR807" s="120"/>
      <c r="AS807" s="120"/>
      <c r="AT807" s="120"/>
      <c r="AU807" s="120"/>
      <c r="AV807" s="120"/>
      <c r="AW807" s="120"/>
      <c r="AX807" s="120"/>
      <c r="AY807" s="120"/>
      <c r="AZ807" s="120"/>
      <c r="BA807" s="120"/>
      <c r="BB807" s="120"/>
      <c r="BC807" s="120"/>
      <c r="BD807" s="120"/>
      <c r="BE807" s="120"/>
      <c r="BF807" s="120"/>
      <c r="BG807" s="120"/>
      <c r="BH807" s="120"/>
      <c r="BI807" s="120"/>
      <c r="BJ807" s="120"/>
      <c r="BK807" s="120"/>
      <c r="BL807" s="120"/>
      <c r="BM807" s="120"/>
      <c r="BN807" s="120"/>
      <c r="BO807" s="120"/>
      <c r="BP807" s="120"/>
      <c r="BQ807" s="120"/>
      <c r="BR807" s="120"/>
      <c r="BS807" s="120"/>
      <c r="BT807" s="120"/>
      <c r="BU807" s="120"/>
      <c r="BV807" s="120"/>
      <c r="BW807" s="120"/>
      <c r="BX807" s="120"/>
      <c r="BY807" s="120"/>
      <c r="BZ807" s="120"/>
      <c r="CA807" s="120"/>
      <c r="CB807" s="120"/>
      <c r="CC807" s="120"/>
      <c r="CD807" s="120"/>
      <c r="CE807" s="120"/>
      <c r="CF807" s="120"/>
      <c r="CG807" s="120"/>
      <c r="CH807" s="120"/>
      <c r="CI807" s="120"/>
      <c r="CJ807" s="120"/>
      <c r="CK807" s="120"/>
      <c r="CL807" s="120"/>
      <c r="CM807" s="120"/>
      <c r="CN807" s="120"/>
      <c r="CO807" s="120"/>
    </row>
    <row r="808" spans="1:93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1"/>
      <c r="U808" s="120"/>
      <c r="V808" s="120"/>
      <c r="W808" s="121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  <c r="AJ808" s="120"/>
      <c r="AK808" s="120"/>
      <c r="AL808" s="120"/>
      <c r="AM808" s="120"/>
      <c r="AN808" s="120"/>
      <c r="AO808" s="120"/>
      <c r="AP808" s="120"/>
      <c r="AQ808" s="120"/>
      <c r="AR808" s="120"/>
      <c r="AS808" s="120"/>
      <c r="AT808" s="120"/>
      <c r="AU808" s="120"/>
      <c r="AV808" s="120"/>
      <c r="AW808" s="120"/>
      <c r="AX808" s="120"/>
      <c r="AY808" s="120"/>
      <c r="AZ808" s="120"/>
      <c r="BA808" s="120"/>
      <c r="BB808" s="120"/>
      <c r="BC808" s="120"/>
      <c r="BD808" s="120"/>
      <c r="BE808" s="120"/>
      <c r="BF808" s="120"/>
      <c r="BG808" s="120"/>
      <c r="BH808" s="120"/>
      <c r="BI808" s="120"/>
      <c r="BJ808" s="120"/>
      <c r="BK808" s="120"/>
      <c r="BL808" s="120"/>
      <c r="BM808" s="120"/>
      <c r="BN808" s="120"/>
      <c r="BO808" s="120"/>
      <c r="BP808" s="120"/>
      <c r="BQ808" s="120"/>
      <c r="BR808" s="120"/>
      <c r="BS808" s="120"/>
      <c r="BT808" s="120"/>
      <c r="BU808" s="120"/>
      <c r="BV808" s="120"/>
      <c r="BW808" s="120"/>
      <c r="BX808" s="120"/>
      <c r="BY808" s="120"/>
      <c r="BZ808" s="120"/>
      <c r="CA808" s="120"/>
      <c r="CB808" s="120"/>
      <c r="CC808" s="120"/>
      <c r="CD808" s="120"/>
      <c r="CE808" s="120"/>
      <c r="CF808" s="120"/>
      <c r="CG808" s="120"/>
      <c r="CH808" s="120"/>
      <c r="CI808" s="120"/>
      <c r="CJ808" s="120"/>
      <c r="CK808" s="120"/>
      <c r="CL808" s="120"/>
      <c r="CM808" s="120"/>
      <c r="CN808" s="120"/>
      <c r="CO808" s="120"/>
    </row>
    <row r="809" spans="1:93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1"/>
      <c r="U809" s="120"/>
      <c r="V809" s="120"/>
      <c r="W809" s="121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  <c r="AJ809" s="120"/>
      <c r="AK809" s="120"/>
      <c r="AL809" s="120"/>
      <c r="AM809" s="120"/>
      <c r="AN809" s="120"/>
      <c r="AO809" s="120"/>
      <c r="AP809" s="120"/>
      <c r="AQ809" s="120"/>
      <c r="AR809" s="120"/>
      <c r="AS809" s="120"/>
      <c r="AT809" s="120"/>
      <c r="AU809" s="120"/>
      <c r="AV809" s="120"/>
      <c r="AW809" s="120"/>
      <c r="AX809" s="120"/>
      <c r="AY809" s="120"/>
      <c r="AZ809" s="120"/>
      <c r="BA809" s="120"/>
      <c r="BB809" s="120"/>
      <c r="BC809" s="120"/>
      <c r="BD809" s="120"/>
      <c r="BE809" s="120"/>
      <c r="BF809" s="120"/>
      <c r="BG809" s="120"/>
      <c r="BH809" s="120"/>
      <c r="BI809" s="120"/>
      <c r="BJ809" s="120"/>
      <c r="BK809" s="120"/>
      <c r="BL809" s="120"/>
      <c r="BM809" s="120"/>
      <c r="BN809" s="120"/>
      <c r="BO809" s="120"/>
      <c r="BP809" s="120"/>
      <c r="BQ809" s="120"/>
      <c r="BR809" s="120"/>
      <c r="BS809" s="120"/>
      <c r="BT809" s="120"/>
      <c r="BU809" s="120"/>
      <c r="BV809" s="120"/>
      <c r="BW809" s="120"/>
      <c r="BX809" s="120"/>
      <c r="BY809" s="120"/>
      <c r="BZ809" s="120"/>
      <c r="CA809" s="120"/>
      <c r="CB809" s="120"/>
      <c r="CC809" s="120"/>
      <c r="CD809" s="120"/>
      <c r="CE809" s="120"/>
      <c r="CF809" s="120"/>
      <c r="CG809" s="120"/>
      <c r="CH809" s="120"/>
      <c r="CI809" s="120"/>
      <c r="CJ809" s="120"/>
      <c r="CK809" s="120"/>
      <c r="CL809" s="120"/>
      <c r="CM809" s="120"/>
      <c r="CN809" s="120"/>
      <c r="CO809" s="120"/>
    </row>
    <row r="810" spans="1:93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1"/>
      <c r="U810" s="120"/>
      <c r="V810" s="120"/>
      <c r="W810" s="121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  <c r="AJ810" s="120"/>
      <c r="AK810" s="120"/>
      <c r="AL810" s="120"/>
      <c r="AM810" s="120"/>
      <c r="AN810" s="120"/>
      <c r="AO810" s="120"/>
      <c r="AP810" s="120"/>
      <c r="AQ810" s="120"/>
      <c r="AR810" s="120"/>
      <c r="AS810" s="120"/>
      <c r="AT810" s="120"/>
      <c r="AU810" s="120"/>
      <c r="AV810" s="120"/>
      <c r="AW810" s="120"/>
      <c r="AX810" s="120"/>
      <c r="AY810" s="120"/>
      <c r="AZ810" s="120"/>
      <c r="BA810" s="120"/>
      <c r="BB810" s="120"/>
      <c r="BC810" s="120"/>
      <c r="BD810" s="120"/>
      <c r="BE810" s="120"/>
      <c r="BF810" s="120"/>
      <c r="BG810" s="120"/>
      <c r="BH810" s="120"/>
      <c r="BI810" s="120"/>
      <c r="BJ810" s="120"/>
      <c r="BK810" s="120"/>
      <c r="BL810" s="120"/>
      <c r="BM810" s="120"/>
      <c r="BN810" s="120"/>
      <c r="BO810" s="120"/>
      <c r="BP810" s="120"/>
      <c r="BQ810" s="120"/>
      <c r="BR810" s="120"/>
      <c r="BS810" s="120"/>
      <c r="BT810" s="120"/>
      <c r="BU810" s="120"/>
      <c r="BV810" s="120"/>
      <c r="BW810" s="120"/>
      <c r="BX810" s="120"/>
      <c r="BY810" s="120"/>
      <c r="BZ810" s="120"/>
      <c r="CA810" s="120"/>
      <c r="CB810" s="120"/>
      <c r="CC810" s="120"/>
      <c r="CD810" s="120"/>
      <c r="CE810" s="120"/>
      <c r="CF810" s="120"/>
      <c r="CG810" s="120"/>
      <c r="CH810" s="120"/>
      <c r="CI810" s="120"/>
      <c r="CJ810" s="120"/>
      <c r="CK810" s="120"/>
      <c r="CL810" s="120"/>
      <c r="CM810" s="120"/>
      <c r="CN810" s="120"/>
      <c r="CO810" s="120"/>
    </row>
    <row r="811" spans="1:93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1"/>
      <c r="U811" s="120"/>
      <c r="V811" s="120"/>
      <c r="W811" s="121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  <c r="AJ811" s="120"/>
      <c r="AK811" s="120"/>
      <c r="AL811" s="120"/>
      <c r="AM811" s="120"/>
      <c r="AN811" s="120"/>
      <c r="AO811" s="120"/>
      <c r="AP811" s="120"/>
      <c r="AQ811" s="120"/>
      <c r="AR811" s="120"/>
      <c r="AS811" s="120"/>
      <c r="AT811" s="120"/>
      <c r="AU811" s="120"/>
      <c r="AV811" s="120"/>
      <c r="AW811" s="120"/>
      <c r="AX811" s="120"/>
      <c r="AY811" s="120"/>
      <c r="AZ811" s="120"/>
      <c r="BA811" s="120"/>
      <c r="BB811" s="120"/>
      <c r="BC811" s="120"/>
      <c r="BD811" s="120"/>
      <c r="BE811" s="120"/>
      <c r="BF811" s="120"/>
      <c r="BG811" s="120"/>
      <c r="BH811" s="120"/>
      <c r="BI811" s="120"/>
      <c r="BJ811" s="120"/>
      <c r="BK811" s="120"/>
      <c r="BL811" s="120"/>
      <c r="BM811" s="120"/>
      <c r="BN811" s="120"/>
      <c r="BO811" s="120"/>
      <c r="BP811" s="120"/>
      <c r="BQ811" s="120"/>
      <c r="BR811" s="120"/>
      <c r="BS811" s="120"/>
      <c r="BT811" s="120"/>
      <c r="BU811" s="120"/>
      <c r="BV811" s="120"/>
      <c r="BW811" s="120"/>
      <c r="BX811" s="120"/>
      <c r="BY811" s="120"/>
      <c r="BZ811" s="120"/>
      <c r="CA811" s="120"/>
      <c r="CB811" s="120"/>
      <c r="CC811" s="120"/>
      <c r="CD811" s="120"/>
      <c r="CE811" s="120"/>
      <c r="CF811" s="120"/>
      <c r="CG811" s="120"/>
      <c r="CH811" s="120"/>
      <c r="CI811" s="120"/>
      <c r="CJ811" s="120"/>
      <c r="CK811" s="120"/>
      <c r="CL811" s="120"/>
      <c r="CM811" s="120"/>
      <c r="CN811" s="120"/>
      <c r="CO811" s="120"/>
    </row>
    <row r="812" spans="1:93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1"/>
      <c r="U812" s="120"/>
      <c r="V812" s="120"/>
      <c r="W812" s="121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  <c r="AJ812" s="120"/>
      <c r="AK812" s="120"/>
      <c r="AL812" s="120"/>
      <c r="AM812" s="120"/>
      <c r="AN812" s="120"/>
      <c r="AO812" s="120"/>
      <c r="AP812" s="120"/>
      <c r="AQ812" s="120"/>
      <c r="AR812" s="120"/>
      <c r="AS812" s="120"/>
      <c r="AT812" s="120"/>
      <c r="AU812" s="120"/>
      <c r="AV812" s="120"/>
      <c r="AW812" s="120"/>
      <c r="AX812" s="120"/>
      <c r="AY812" s="120"/>
      <c r="AZ812" s="120"/>
      <c r="BA812" s="120"/>
      <c r="BB812" s="120"/>
      <c r="BC812" s="120"/>
      <c r="BD812" s="120"/>
      <c r="BE812" s="120"/>
      <c r="BF812" s="120"/>
      <c r="BG812" s="120"/>
      <c r="BH812" s="120"/>
      <c r="BI812" s="120"/>
      <c r="BJ812" s="120"/>
      <c r="BK812" s="120"/>
      <c r="BL812" s="120"/>
      <c r="BM812" s="120"/>
      <c r="BN812" s="120"/>
      <c r="BO812" s="120"/>
      <c r="BP812" s="120"/>
      <c r="BQ812" s="120"/>
      <c r="BR812" s="120"/>
      <c r="BS812" s="120"/>
      <c r="BT812" s="120"/>
      <c r="BU812" s="120"/>
      <c r="BV812" s="120"/>
      <c r="BW812" s="120"/>
      <c r="BX812" s="120"/>
      <c r="BY812" s="120"/>
      <c r="BZ812" s="120"/>
      <c r="CA812" s="120"/>
      <c r="CB812" s="120"/>
      <c r="CC812" s="120"/>
      <c r="CD812" s="120"/>
      <c r="CE812" s="120"/>
      <c r="CF812" s="120"/>
      <c r="CG812" s="120"/>
      <c r="CH812" s="120"/>
      <c r="CI812" s="120"/>
      <c r="CJ812" s="120"/>
      <c r="CK812" s="120"/>
      <c r="CL812" s="120"/>
      <c r="CM812" s="120"/>
      <c r="CN812" s="120"/>
      <c r="CO812" s="120"/>
    </row>
    <row r="813" spans="1:93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1"/>
      <c r="U813" s="120"/>
      <c r="V813" s="120"/>
      <c r="W813" s="121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  <c r="AJ813" s="120"/>
      <c r="AK813" s="120"/>
      <c r="AL813" s="120"/>
      <c r="AM813" s="120"/>
      <c r="AN813" s="120"/>
      <c r="AO813" s="120"/>
      <c r="AP813" s="120"/>
      <c r="AQ813" s="120"/>
      <c r="AR813" s="120"/>
      <c r="AS813" s="120"/>
      <c r="AT813" s="120"/>
      <c r="AU813" s="120"/>
      <c r="AV813" s="120"/>
      <c r="AW813" s="120"/>
      <c r="AX813" s="120"/>
      <c r="AY813" s="120"/>
      <c r="AZ813" s="120"/>
      <c r="BA813" s="120"/>
      <c r="BB813" s="120"/>
      <c r="BC813" s="120"/>
      <c r="BD813" s="120"/>
      <c r="BE813" s="120"/>
      <c r="BF813" s="120"/>
      <c r="BG813" s="120"/>
      <c r="BH813" s="120"/>
      <c r="BI813" s="120"/>
      <c r="BJ813" s="120"/>
      <c r="BK813" s="120"/>
      <c r="BL813" s="120"/>
      <c r="BM813" s="120"/>
      <c r="BN813" s="120"/>
      <c r="BO813" s="120"/>
      <c r="BP813" s="120"/>
      <c r="BQ813" s="120"/>
      <c r="BR813" s="120"/>
      <c r="BS813" s="120"/>
      <c r="BT813" s="120"/>
      <c r="BU813" s="120"/>
      <c r="BV813" s="120"/>
      <c r="BW813" s="120"/>
      <c r="BX813" s="120"/>
      <c r="BY813" s="120"/>
      <c r="BZ813" s="120"/>
      <c r="CA813" s="120"/>
      <c r="CB813" s="120"/>
      <c r="CC813" s="120"/>
      <c r="CD813" s="120"/>
      <c r="CE813" s="120"/>
      <c r="CF813" s="120"/>
      <c r="CG813" s="120"/>
      <c r="CH813" s="120"/>
      <c r="CI813" s="120"/>
      <c r="CJ813" s="120"/>
      <c r="CK813" s="120"/>
      <c r="CL813" s="120"/>
      <c r="CM813" s="120"/>
      <c r="CN813" s="120"/>
      <c r="CO813" s="120"/>
    </row>
    <row r="814" spans="1:93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1"/>
      <c r="U814" s="120"/>
      <c r="V814" s="120"/>
      <c r="W814" s="121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  <c r="AJ814" s="120"/>
      <c r="AK814" s="120"/>
      <c r="AL814" s="120"/>
      <c r="AM814" s="120"/>
      <c r="AN814" s="120"/>
      <c r="AO814" s="120"/>
      <c r="AP814" s="120"/>
      <c r="AQ814" s="120"/>
      <c r="AR814" s="120"/>
      <c r="AS814" s="120"/>
      <c r="AT814" s="120"/>
      <c r="AU814" s="120"/>
      <c r="AV814" s="120"/>
      <c r="AW814" s="120"/>
      <c r="AX814" s="120"/>
      <c r="AY814" s="120"/>
      <c r="AZ814" s="120"/>
      <c r="BA814" s="120"/>
      <c r="BB814" s="120"/>
      <c r="BC814" s="120"/>
      <c r="BD814" s="120"/>
      <c r="BE814" s="120"/>
      <c r="BF814" s="120"/>
      <c r="BG814" s="120"/>
      <c r="BH814" s="120"/>
      <c r="BI814" s="120"/>
      <c r="BJ814" s="120"/>
      <c r="BK814" s="120"/>
      <c r="BL814" s="120"/>
      <c r="BM814" s="120"/>
      <c r="BN814" s="120"/>
      <c r="BO814" s="120"/>
      <c r="BP814" s="120"/>
      <c r="BQ814" s="120"/>
      <c r="BR814" s="120"/>
      <c r="BS814" s="120"/>
      <c r="BT814" s="120"/>
      <c r="BU814" s="120"/>
      <c r="BV814" s="120"/>
      <c r="BW814" s="120"/>
      <c r="BX814" s="120"/>
      <c r="BY814" s="120"/>
      <c r="BZ814" s="120"/>
      <c r="CA814" s="120"/>
      <c r="CB814" s="120"/>
      <c r="CC814" s="120"/>
      <c r="CD814" s="120"/>
      <c r="CE814" s="120"/>
      <c r="CF814" s="120"/>
      <c r="CG814" s="120"/>
      <c r="CH814" s="120"/>
      <c r="CI814" s="120"/>
      <c r="CJ814" s="120"/>
      <c r="CK814" s="120"/>
      <c r="CL814" s="120"/>
      <c r="CM814" s="120"/>
      <c r="CN814" s="120"/>
      <c r="CO814" s="120"/>
    </row>
    <row r="815" spans="1:93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1"/>
      <c r="U815" s="120"/>
      <c r="V815" s="120"/>
      <c r="W815" s="121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  <c r="AJ815" s="120"/>
      <c r="AK815" s="120"/>
      <c r="AL815" s="120"/>
      <c r="AM815" s="120"/>
      <c r="AN815" s="120"/>
      <c r="AO815" s="120"/>
      <c r="AP815" s="120"/>
      <c r="AQ815" s="120"/>
      <c r="AR815" s="120"/>
      <c r="AS815" s="120"/>
      <c r="AT815" s="120"/>
      <c r="AU815" s="120"/>
      <c r="AV815" s="120"/>
      <c r="AW815" s="120"/>
      <c r="AX815" s="120"/>
      <c r="AY815" s="120"/>
      <c r="AZ815" s="120"/>
      <c r="BA815" s="120"/>
      <c r="BB815" s="120"/>
      <c r="BC815" s="120"/>
      <c r="BD815" s="120"/>
      <c r="BE815" s="120"/>
      <c r="BF815" s="120"/>
      <c r="BG815" s="120"/>
      <c r="BH815" s="120"/>
      <c r="BI815" s="120"/>
      <c r="BJ815" s="120"/>
      <c r="BK815" s="120"/>
      <c r="BL815" s="120"/>
      <c r="BM815" s="120"/>
      <c r="BN815" s="120"/>
      <c r="BO815" s="120"/>
      <c r="BP815" s="120"/>
      <c r="BQ815" s="120"/>
      <c r="BR815" s="120"/>
      <c r="BS815" s="120"/>
      <c r="BT815" s="120"/>
      <c r="BU815" s="120"/>
      <c r="BV815" s="120"/>
      <c r="BW815" s="120"/>
      <c r="BX815" s="120"/>
      <c r="BY815" s="120"/>
      <c r="BZ815" s="120"/>
      <c r="CA815" s="120"/>
      <c r="CB815" s="120"/>
      <c r="CC815" s="120"/>
      <c r="CD815" s="120"/>
      <c r="CE815" s="120"/>
      <c r="CF815" s="120"/>
      <c r="CG815" s="120"/>
      <c r="CH815" s="120"/>
      <c r="CI815" s="120"/>
      <c r="CJ815" s="120"/>
      <c r="CK815" s="120"/>
      <c r="CL815" s="120"/>
      <c r="CM815" s="120"/>
      <c r="CN815" s="120"/>
      <c r="CO815" s="120"/>
    </row>
    <row r="816" spans="1:93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1"/>
      <c r="U816" s="120"/>
      <c r="V816" s="120"/>
      <c r="W816" s="121"/>
      <c r="X816" s="120"/>
      <c r="Y816" s="120"/>
      <c r="Z816" s="120"/>
      <c r="AA816" s="120"/>
      <c r="AB816" s="120"/>
      <c r="AC816" s="120"/>
      <c r="AD816" s="120"/>
      <c r="AE816" s="120"/>
      <c r="AF816" s="120"/>
      <c r="AG816" s="120"/>
      <c r="AH816" s="120"/>
      <c r="AI816" s="120"/>
      <c r="AJ816" s="120"/>
      <c r="AK816" s="120"/>
      <c r="AL816" s="120"/>
      <c r="AM816" s="120"/>
      <c r="AN816" s="120"/>
      <c r="AO816" s="120"/>
      <c r="AP816" s="120"/>
      <c r="AQ816" s="120"/>
      <c r="AR816" s="120"/>
      <c r="AS816" s="120"/>
      <c r="AT816" s="120"/>
      <c r="AU816" s="120"/>
      <c r="AV816" s="120"/>
      <c r="AW816" s="120"/>
      <c r="AX816" s="120"/>
      <c r="AY816" s="120"/>
      <c r="AZ816" s="120"/>
      <c r="BA816" s="120"/>
      <c r="BB816" s="120"/>
      <c r="BC816" s="120"/>
      <c r="BD816" s="120"/>
      <c r="BE816" s="120"/>
      <c r="BF816" s="120"/>
      <c r="BG816" s="120"/>
      <c r="BH816" s="120"/>
      <c r="BI816" s="120"/>
      <c r="BJ816" s="120"/>
      <c r="BK816" s="120"/>
      <c r="BL816" s="120"/>
      <c r="BM816" s="120"/>
      <c r="BN816" s="120"/>
      <c r="BO816" s="120"/>
      <c r="BP816" s="120"/>
      <c r="BQ816" s="120"/>
      <c r="BR816" s="120"/>
      <c r="BS816" s="120"/>
      <c r="BT816" s="120"/>
      <c r="BU816" s="120"/>
      <c r="BV816" s="120"/>
      <c r="BW816" s="120"/>
      <c r="BX816" s="120"/>
      <c r="BY816" s="120"/>
      <c r="BZ816" s="120"/>
      <c r="CA816" s="120"/>
      <c r="CB816" s="120"/>
      <c r="CC816" s="120"/>
      <c r="CD816" s="120"/>
      <c r="CE816" s="120"/>
      <c r="CF816" s="120"/>
      <c r="CG816" s="120"/>
      <c r="CH816" s="120"/>
      <c r="CI816" s="120"/>
      <c r="CJ816" s="120"/>
      <c r="CK816" s="120"/>
      <c r="CL816" s="120"/>
      <c r="CM816" s="120"/>
      <c r="CN816" s="120"/>
      <c r="CO816" s="120"/>
    </row>
    <row r="817" spans="1:93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1"/>
      <c r="U817" s="120"/>
      <c r="V817" s="120"/>
      <c r="W817" s="121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  <c r="AJ817" s="120"/>
      <c r="AK817" s="120"/>
      <c r="AL817" s="120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20"/>
      <c r="AW817" s="120"/>
      <c r="AX817" s="120"/>
      <c r="AY817" s="120"/>
      <c r="AZ817" s="120"/>
      <c r="BA817" s="120"/>
      <c r="BB817" s="120"/>
      <c r="BC817" s="120"/>
      <c r="BD817" s="120"/>
      <c r="BE817" s="120"/>
      <c r="BF817" s="120"/>
      <c r="BG817" s="120"/>
      <c r="BH817" s="120"/>
      <c r="BI817" s="120"/>
      <c r="BJ817" s="120"/>
      <c r="BK817" s="120"/>
      <c r="BL817" s="120"/>
      <c r="BM817" s="120"/>
      <c r="BN817" s="120"/>
      <c r="BO817" s="120"/>
      <c r="BP817" s="120"/>
      <c r="BQ817" s="120"/>
      <c r="BR817" s="120"/>
      <c r="BS817" s="120"/>
      <c r="BT817" s="120"/>
      <c r="BU817" s="120"/>
      <c r="BV817" s="120"/>
      <c r="BW817" s="120"/>
      <c r="BX817" s="120"/>
      <c r="BY817" s="120"/>
      <c r="BZ817" s="120"/>
      <c r="CA817" s="120"/>
      <c r="CB817" s="120"/>
      <c r="CC817" s="120"/>
      <c r="CD817" s="120"/>
      <c r="CE817" s="120"/>
      <c r="CF817" s="120"/>
      <c r="CG817" s="120"/>
      <c r="CH817" s="120"/>
      <c r="CI817" s="120"/>
      <c r="CJ817" s="120"/>
      <c r="CK817" s="120"/>
      <c r="CL817" s="120"/>
      <c r="CM817" s="120"/>
      <c r="CN817" s="120"/>
      <c r="CO817" s="120"/>
    </row>
    <row r="818" spans="1:93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1"/>
      <c r="U818" s="120"/>
      <c r="V818" s="120"/>
      <c r="W818" s="121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  <c r="AJ818" s="120"/>
      <c r="AK818" s="120"/>
      <c r="AL818" s="120"/>
      <c r="AM818" s="120"/>
      <c r="AN818" s="120"/>
      <c r="AO818" s="120"/>
      <c r="AP818" s="120"/>
      <c r="AQ818" s="120"/>
      <c r="AR818" s="120"/>
      <c r="AS818" s="120"/>
      <c r="AT818" s="120"/>
      <c r="AU818" s="120"/>
      <c r="AV818" s="120"/>
      <c r="AW818" s="120"/>
      <c r="AX818" s="120"/>
      <c r="AY818" s="120"/>
      <c r="AZ818" s="120"/>
      <c r="BA818" s="120"/>
      <c r="BB818" s="120"/>
      <c r="BC818" s="120"/>
      <c r="BD818" s="120"/>
      <c r="BE818" s="120"/>
      <c r="BF818" s="120"/>
      <c r="BG818" s="120"/>
      <c r="BH818" s="120"/>
      <c r="BI818" s="120"/>
      <c r="BJ818" s="120"/>
      <c r="BK818" s="120"/>
      <c r="BL818" s="120"/>
      <c r="BM818" s="120"/>
      <c r="BN818" s="120"/>
      <c r="BO818" s="120"/>
      <c r="BP818" s="120"/>
      <c r="BQ818" s="120"/>
      <c r="BR818" s="120"/>
      <c r="BS818" s="120"/>
      <c r="BT818" s="120"/>
      <c r="BU818" s="120"/>
      <c r="BV818" s="120"/>
      <c r="BW818" s="120"/>
      <c r="BX818" s="120"/>
      <c r="BY818" s="120"/>
      <c r="BZ818" s="120"/>
      <c r="CA818" s="120"/>
      <c r="CB818" s="120"/>
      <c r="CC818" s="120"/>
      <c r="CD818" s="120"/>
      <c r="CE818" s="120"/>
      <c r="CF818" s="120"/>
      <c r="CG818" s="120"/>
      <c r="CH818" s="120"/>
      <c r="CI818" s="120"/>
      <c r="CJ818" s="120"/>
      <c r="CK818" s="120"/>
      <c r="CL818" s="120"/>
      <c r="CM818" s="120"/>
      <c r="CN818" s="120"/>
      <c r="CO818" s="120"/>
    </row>
    <row r="819" spans="1:93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1"/>
      <c r="U819" s="120"/>
      <c r="V819" s="120"/>
      <c r="W819" s="121"/>
      <c r="X819" s="120"/>
      <c r="Y819" s="120"/>
      <c r="Z819" s="120"/>
      <c r="AA819" s="120"/>
      <c r="AB819" s="120"/>
      <c r="AC819" s="120"/>
      <c r="AD819" s="120"/>
      <c r="AE819" s="120"/>
      <c r="AF819" s="120"/>
      <c r="AG819" s="120"/>
      <c r="AH819" s="120"/>
      <c r="AI819" s="120"/>
      <c r="AJ819" s="120"/>
      <c r="AK819" s="120"/>
      <c r="AL819" s="120"/>
      <c r="AM819" s="120"/>
      <c r="AN819" s="120"/>
      <c r="AO819" s="120"/>
      <c r="AP819" s="120"/>
      <c r="AQ819" s="120"/>
      <c r="AR819" s="120"/>
      <c r="AS819" s="120"/>
      <c r="AT819" s="120"/>
      <c r="AU819" s="120"/>
      <c r="AV819" s="120"/>
      <c r="AW819" s="120"/>
      <c r="AX819" s="120"/>
      <c r="AY819" s="120"/>
      <c r="AZ819" s="120"/>
      <c r="BA819" s="120"/>
      <c r="BB819" s="120"/>
      <c r="BC819" s="120"/>
      <c r="BD819" s="120"/>
      <c r="BE819" s="120"/>
      <c r="BF819" s="120"/>
      <c r="BG819" s="120"/>
      <c r="BH819" s="120"/>
      <c r="BI819" s="120"/>
      <c r="BJ819" s="120"/>
      <c r="BK819" s="120"/>
      <c r="BL819" s="120"/>
      <c r="BM819" s="120"/>
      <c r="BN819" s="120"/>
      <c r="BO819" s="120"/>
      <c r="BP819" s="120"/>
      <c r="BQ819" s="120"/>
      <c r="BR819" s="120"/>
      <c r="BS819" s="120"/>
      <c r="BT819" s="120"/>
      <c r="BU819" s="120"/>
      <c r="BV819" s="120"/>
      <c r="BW819" s="120"/>
      <c r="BX819" s="120"/>
      <c r="BY819" s="120"/>
      <c r="BZ819" s="120"/>
      <c r="CA819" s="120"/>
      <c r="CB819" s="120"/>
      <c r="CC819" s="120"/>
      <c r="CD819" s="120"/>
      <c r="CE819" s="120"/>
      <c r="CF819" s="120"/>
      <c r="CG819" s="120"/>
      <c r="CH819" s="120"/>
      <c r="CI819" s="120"/>
      <c r="CJ819" s="120"/>
      <c r="CK819" s="120"/>
      <c r="CL819" s="120"/>
      <c r="CM819" s="120"/>
      <c r="CN819" s="120"/>
      <c r="CO819" s="120"/>
    </row>
    <row r="820" spans="1:93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1"/>
      <c r="U820" s="120"/>
      <c r="V820" s="120"/>
      <c r="W820" s="121"/>
      <c r="X820" s="120"/>
      <c r="Y820" s="120"/>
      <c r="Z820" s="120"/>
      <c r="AA820" s="120"/>
      <c r="AB820" s="120"/>
      <c r="AC820" s="120"/>
      <c r="AD820" s="120"/>
      <c r="AE820" s="120"/>
      <c r="AF820" s="120"/>
      <c r="AG820" s="120"/>
      <c r="AH820" s="120"/>
      <c r="AI820" s="120"/>
      <c r="AJ820" s="120"/>
      <c r="AK820" s="120"/>
      <c r="AL820" s="120"/>
      <c r="AM820" s="120"/>
      <c r="AN820" s="120"/>
      <c r="AO820" s="120"/>
      <c r="AP820" s="120"/>
      <c r="AQ820" s="120"/>
      <c r="AR820" s="120"/>
      <c r="AS820" s="120"/>
      <c r="AT820" s="120"/>
      <c r="AU820" s="120"/>
      <c r="AV820" s="120"/>
      <c r="AW820" s="120"/>
      <c r="AX820" s="120"/>
      <c r="AY820" s="120"/>
      <c r="AZ820" s="120"/>
      <c r="BA820" s="120"/>
      <c r="BB820" s="120"/>
      <c r="BC820" s="120"/>
      <c r="BD820" s="120"/>
      <c r="BE820" s="120"/>
      <c r="BF820" s="120"/>
      <c r="BG820" s="120"/>
      <c r="BH820" s="120"/>
      <c r="BI820" s="120"/>
      <c r="BJ820" s="120"/>
      <c r="BK820" s="120"/>
      <c r="BL820" s="120"/>
      <c r="BM820" s="120"/>
      <c r="BN820" s="120"/>
      <c r="BO820" s="120"/>
      <c r="BP820" s="120"/>
      <c r="BQ820" s="120"/>
      <c r="BR820" s="120"/>
      <c r="BS820" s="120"/>
      <c r="BT820" s="120"/>
      <c r="BU820" s="120"/>
      <c r="BV820" s="120"/>
      <c r="BW820" s="120"/>
      <c r="BX820" s="120"/>
      <c r="BY820" s="120"/>
      <c r="BZ820" s="120"/>
      <c r="CA820" s="120"/>
      <c r="CB820" s="120"/>
      <c r="CC820" s="120"/>
      <c r="CD820" s="120"/>
      <c r="CE820" s="120"/>
      <c r="CF820" s="120"/>
      <c r="CG820" s="120"/>
      <c r="CH820" s="120"/>
      <c r="CI820" s="120"/>
      <c r="CJ820" s="120"/>
      <c r="CK820" s="120"/>
      <c r="CL820" s="120"/>
      <c r="CM820" s="120"/>
      <c r="CN820" s="120"/>
      <c r="CO820" s="120"/>
    </row>
    <row r="821" spans="1:93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1"/>
      <c r="U821" s="120"/>
      <c r="V821" s="120"/>
      <c r="W821" s="121"/>
      <c r="X821" s="120"/>
      <c r="Y821" s="120"/>
      <c r="Z821" s="120"/>
      <c r="AA821" s="120"/>
      <c r="AB821" s="120"/>
      <c r="AC821" s="120"/>
      <c r="AD821" s="120"/>
      <c r="AE821" s="120"/>
      <c r="AF821" s="120"/>
      <c r="AG821" s="120"/>
      <c r="AH821" s="120"/>
      <c r="AI821" s="120"/>
      <c r="AJ821" s="120"/>
      <c r="AK821" s="120"/>
      <c r="AL821" s="120"/>
      <c r="AM821" s="120"/>
      <c r="AN821" s="120"/>
      <c r="AO821" s="120"/>
      <c r="AP821" s="120"/>
      <c r="AQ821" s="120"/>
      <c r="AR821" s="120"/>
      <c r="AS821" s="120"/>
      <c r="AT821" s="120"/>
      <c r="AU821" s="120"/>
      <c r="AV821" s="120"/>
      <c r="AW821" s="120"/>
      <c r="AX821" s="120"/>
      <c r="AY821" s="120"/>
      <c r="AZ821" s="120"/>
      <c r="BA821" s="120"/>
      <c r="BB821" s="120"/>
      <c r="BC821" s="120"/>
      <c r="BD821" s="120"/>
      <c r="BE821" s="120"/>
      <c r="BF821" s="120"/>
      <c r="BG821" s="120"/>
      <c r="BH821" s="120"/>
      <c r="BI821" s="120"/>
      <c r="BJ821" s="120"/>
      <c r="BK821" s="120"/>
      <c r="BL821" s="120"/>
      <c r="BM821" s="120"/>
      <c r="BN821" s="120"/>
      <c r="BO821" s="120"/>
      <c r="BP821" s="120"/>
      <c r="BQ821" s="120"/>
      <c r="BR821" s="120"/>
      <c r="BS821" s="120"/>
      <c r="BT821" s="120"/>
      <c r="BU821" s="120"/>
      <c r="BV821" s="120"/>
      <c r="BW821" s="120"/>
      <c r="BX821" s="120"/>
      <c r="BY821" s="120"/>
      <c r="BZ821" s="120"/>
      <c r="CA821" s="120"/>
      <c r="CB821" s="120"/>
      <c r="CC821" s="120"/>
      <c r="CD821" s="120"/>
      <c r="CE821" s="120"/>
      <c r="CF821" s="120"/>
      <c r="CG821" s="120"/>
      <c r="CH821" s="120"/>
      <c r="CI821" s="120"/>
      <c r="CJ821" s="120"/>
      <c r="CK821" s="120"/>
      <c r="CL821" s="120"/>
      <c r="CM821" s="120"/>
      <c r="CN821" s="120"/>
      <c r="CO821" s="120"/>
    </row>
    <row r="822" spans="1:93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1"/>
      <c r="U822" s="120"/>
      <c r="V822" s="120"/>
      <c r="W822" s="121"/>
      <c r="X822" s="120"/>
      <c r="Y822" s="120"/>
      <c r="Z822" s="120"/>
      <c r="AA822" s="120"/>
      <c r="AB822" s="120"/>
      <c r="AC822" s="120"/>
      <c r="AD822" s="120"/>
      <c r="AE822" s="120"/>
      <c r="AF822" s="120"/>
      <c r="AG822" s="120"/>
      <c r="AH822" s="120"/>
      <c r="AI822" s="120"/>
      <c r="AJ822" s="120"/>
      <c r="AK822" s="120"/>
      <c r="AL822" s="120"/>
      <c r="AM822" s="120"/>
      <c r="AN822" s="120"/>
      <c r="AO822" s="120"/>
      <c r="AP822" s="120"/>
      <c r="AQ822" s="120"/>
      <c r="AR822" s="120"/>
      <c r="AS822" s="120"/>
      <c r="AT822" s="120"/>
      <c r="AU822" s="120"/>
      <c r="AV822" s="120"/>
      <c r="AW822" s="120"/>
      <c r="AX822" s="120"/>
      <c r="AY822" s="120"/>
      <c r="AZ822" s="120"/>
      <c r="BA822" s="120"/>
      <c r="BB822" s="120"/>
      <c r="BC822" s="120"/>
      <c r="BD822" s="120"/>
      <c r="BE822" s="120"/>
      <c r="BF822" s="120"/>
      <c r="BG822" s="120"/>
      <c r="BH822" s="120"/>
      <c r="BI822" s="120"/>
      <c r="BJ822" s="120"/>
      <c r="BK822" s="120"/>
      <c r="BL822" s="120"/>
      <c r="BM822" s="120"/>
      <c r="BN822" s="120"/>
      <c r="BO822" s="120"/>
      <c r="BP822" s="120"/>
      <c r="BQ822" s="120"/>
      <c r="BR822" s="120"/>
      <c r="BS822" s="120"/>
      <c r="BT822" s="120"/>
      <c r="BU822" s="120"/>
      <c r="BV822" s="120"/>
      <c r="BW822" s="120"/>
      <c r="BX822" s="120"/>
      <c r="BY822" s="120"/>
      <c r="BZ822" s="120"/>
      <c r="CA822" s="120"/>
      <c r="CB822" s="120"/>
      <c r="CC822" s="120"/>
      <c r="CD822" s="120"/>
      <c r="CE822" s="120"/>
      <c r="CF822" s="120"/>
      <c r="CG822" s="120"/>
      <c r="CH822" s="120"/>
      <c r="CI822" s="120"/>
      <c r="CJ822" s="120"/>
      <c r="CK822" s="120"/>
      <c r="CL822" s="120"/>
      <c r="CM822" s="120"/>
      <c r="CN822" s="120"/>
      <c r="CO822" s="120"/>
    </row>
    <row r="823" spans="1:93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1"/>
      <c r="U823" s="120"/>
      <c r="V823" s="120"/>
      <c r="W823" s="121"/>
      <c r="X823" s="120"/>
      <c r="Y823" s="120"/>
      <c r="Z823" s="120"/>
      <c r="AA823" s="120"/>
      <c r="AB823" s="120"/>
      <c r="AC823" s="120"/>
      <c r="AD823" s="120"/>
      <c r="AE823" s="120"/>
      <c r="AF823" s="120"/>
      <c r="AG823" s="120"/>
      <c r="AH823" s="120"/>
      <c r="AI823" s="120"/>
      <c r="AJ823" s="120"/>
      <c r="AK823" s="120"/>
      <c r="AL823" s="120"/>
      <c r="AM823" s="120"/>
      <c r="AN823" s="120"/>
      <c r="AO823" s="120"/>
      <c r="AP823" s="120"/>
      <c r="AQ823" s="120"/>
      <c r="AR823" s="120"/>
      <c r="AS823" s="120"/>
      <c r="AT823" s="120"/>
      <c r="AU823" s="120"/>
      <c r="AV823" s="120"/>
      <c r="AW823" s="120"/>
      <c r="AX823" s="120"/>
      <c r="AY823" s="120"/>
      <c r="AZ823" s="120"/>
      <c r="BA823" s="120"/>
      <c r="BB823" s="120"/>
      <c r="BC823" s="120"/>
      <c r="BD823" s="120"/>
      <c r="BE823" s="120"/>
      <c r="BF823" s="120"/>
      <c r="BG823" s="120"/>
      <c r="BH823" s="120"/>
      <c r="BI823" s="120"/>
      <c r="BJ823" s="120"/>
      <c r="BK823" s="120"/>
      <c r="BL823" s="120"/>
      <c r="BM823" s="120"/>
      <c r="BN823" s="120"/>
      <c r="BO823" s="120"/>
      <c r="BP823" s="120"/>
      <c r="BQ823" s="120"/>
      <c r="BR823" s="120"/>
      <c r="BS823" s="120"/>
      <c r="BT823" s="120"/>
      <c r="BU823" s="120"/>
      <c r="BV823" s="120"/>
      <c r="BW823" s="120"/>
      <c r="BX823" s="120"/>
      <c r="BY823" s="120"/>
      <c r="BZ823" s="120"/>
      <c r="CA823" s="120"/>
      <c r="CB823" s="120"/>
      <c r="CC823" s="120"/>
      <c r="CD823" s="120"/>
      <c r="CE823" s="120"/>
      <c r="CF823" s="120"/>
      <c r="CG823" s="120"/>
      <c r="CH823" s="120"/>
      <c r="CI823" s="120"/>
      <c r="CJ823" s="120"/>
      <c r="CK823" s="120"/>
      <c r="CL823" s="120"/>
      <c r="CM823" s="120"/>
      <c r="CN823" s="120"/>
      <c r="CO823" s="120"/>
    </row>
    <row r="824" spans="1:93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1"/>
      <c r="U824" s="120"/>
      <c r="V824" s="120"/>
      <c r="W824" s="121"/>
      <c r="X824" s="120"/>
      <c r="Y824" s="120"/>
      <c r="Z824" s="120"/>
      <c r="AA824" s="120"/>
      <c r="AB824" s="120"/>
      <c r="AC824" s="120"/>
      <c r="AD824" s="120"/>
      <c r="AE824" s="120"/>
      <c r="AF824" s="120"/>
      <c r="AG824" s="120"/>
      <c r="AH824" s="120"/>
      <c r="AI824" s="120"/>
      <c r="AJ824" s="120"/>
      <c r="AK824" s="120"/>
      <c r="AL824" s="120"/>
      <c r="AM824" s="120"/>
      <c r="AN824" s="120"/>
      <c r="AO824" s="120"/>
      <c r="AP824" s="120"/>
      <c r="AQ824" s="120"/>
      <c r="AR824" s="120"/>
      <c r="AS824" s="120"/>
      <c r="AT824" s="120"/>
      <c r="AU824" s="120"/>
      <c r="AV824" s="120"/>
      <c r="AW824" s="120"/>
      <c r="AX824" s="120"/>
      <c r="AY824" s="120"/>
      <c r="AZ824" s="120"/>
      <c r="BA824" s="120"/>
      <c r="BB824" s="120"/>
      <c r="BC824" s="120"/>
      <c r="BD824" s="120"/>
      <c r="BE824" s="120"/>
      <c r="BF824" s="120"/>
      <c r="BG824" s="120"/>
      <c r="BH824" s="120"/>
      <c r="BI824" s="120"/>
      <c r="BJ824" s="120"/>
      <c r="BK824" s="120"/>
      <c r="BL824" s="120"/>
      <c r="BM824" s="120"/>
      <c r="BN824" s="120"/>
      <c r="BO824" s="120"/>
      <c r="BP824" s="120"/>
      <c r="BQ824" s="120"/>
      <c r="BR824" s="120"/>
      <c r="BS824" s="120"/>
      <c r="BT824" s="120"/>
      <c r="BU824" s="120"/>
      <c r="BV824" s="120"/>
      <c r="BW824" s="120"/>
      <c r="BX824" s="120"/>
      <c r="BY824" s="120"/>
      <c r="BZ824" s="120"/>
      <c r="CA824" s="120"/>
      <c r="CB824" s="120"/>
      <c r="CC824" s="120"/>
      <c r="CD824" s="120"/>
      <c r="CE824" s="120"/>
      <c r="CF824" s="120"/>
      <c r="CG824" s="120"/>
      <c r="CH824" s="120"/>
      <c r="CI824" s="120"/>
      <c r="CJ824" s="120"/>
      <c r="CK824" s="120"/>
      <c r="CL824" s="120"/>
      <c r="CM824" s="120"/>
      <c r="CN824" s="120"/>
      <c r="CO824" s="120"/>
    </row>
    <row r="825" spans="1:93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1"/>
      <c r="U825" s="120"/>
      <c r="V825" s="120"/>
      <c r="W825" s="121"/>
      <c r="X825" s="120"/>
      <c r="Y825" s="120"/>
      <c r="Z825" s="120"/>
      <c r="AA825" s="120"/>
      <c r="AB825" s="120"/>
      <c r="AC825" s="120"/>
      <c r="AD825" s="120"/>
      <c r="AE825" s="120"/>
      <c r="AF825" s="120"/>
      <c r="AG825" s="120"/>
      <c r="AH825" s="120"/>
      <c r="AI825" s="120"/>
      <c r="AJ825" s="120"/>
      <c r="AK825" s="120"/>
      <c r="AL825" s="120"/>
      <c r="AM825" s="120"/>
      <c r="AN825" s="120"/>
      <c r="AO825" s="120"/>
      <c r="AP825" s="120"/>
      <c r="AQ825" s="120"/>
      <c r="AR825" s="120"/>
      <c r="AS825" s="120"/>
      <c r="AT825" s="120"/>
      <c r="AU825" s="120"/>
      <c r="AV825" s="120"/>
      <c r="AW825" s="120"/>
      <c r="AX825" s="120"/>
      <c r="AY825" s="120"/>
      <c r="AZ825" s="120"/>
      <c r="BA825" s="120"/>
      <c r="BB825" s="120"/>
      <c r="BC825" s="120"/>
      <c r="BD825" s="120"/>
      <c r="BE825" s="120"/>
      <c r="BF825" s="120"/>
      <c r="BG825" s="120"/>
      <c r="BH825" s="120"/>
      <c r="BI825" s="120"/>
      <c r="BJ825" s="120"/>
      <c r="BK825" s="120"/>
      <c r="BL825" s="120"/>
      <c r="BM825" s="120"/>
      <c r="BN825" s="120"/>
      <c r="BO825" s="120"/>
      <c r="BP825" s="120"/>
      <c r="BQ825" s="120"/>
      <c r="BR825" s="120"/>
      <c r="BS825" s="120"/>
      <c r="BT825" s="120"/>
      <c r="BU825" s="120"/>
      <c r="BV825" s="120"/>
      <c r="BW825" s="120"/>
      <c r="BX825" s="120"/>
      <c r="BY825" s="120"/>
      <c r="BZ825" s="120"/>
      <c r="CA825" s="120"/>
      <c r="CB825" s="120"/>
      <c r="CC825" s="120"/>
      <c r="CD825" s="120"/>
      <c r="CE825" s="120"/>
      <c r="CF825" s="120"/>
      <c r="CG825" s="120"/>
      <c r="CH825" s="120"/>
      <c r="CI825" s="120"/>
      <c r="CJ825" s="120"/>
      <c r="CK825" s="120"/>
      <c r="CL825" s="120"/>
      <c r="CM825" s="120"/>
      <c r="CN825" s="120"/>
      <c r="CO825" s="120"/>
    </row>
    <row r="826" spans="1:93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1"/>
      <c r="U826" s="120"/>
      <c r="V826" s="120"/>
      <c r="W826" s="121"/>
      <c r="X826" s="120"/>
      <c r="Y826" s="120"/>
      <c r="Z826" s="120"/>
      <c r="AA826" s="120"/>
      <c r="AB826" s="120"/>
      <c r="AC826" s="120"/>
      <c r="AD826" s="120"/>
      <c r="AE826" s="120"/>
      <c r="AF826" s="120"/>
      <c r="AG826" s="120"/>
      <c r="AH826" s="120"/>
      <c r="AI826" s="120"/>
      <c r="AJ826" s="120"/>
      <c r="AK826" s="120"/>
      <c r="AL826" s="120"/>
      <c r="AM826" s="120"/>
      <c r="AN826" s="120"/>
      <c r="AO826" s="120"/>
      <c r="AP826" s="120"/>
      <c r="AQ826" s="120"/>
      <c r="AR826" s="120"/>
      <c r="AS826" s="120"/>
      <c r="AT826" s="120"/>
      <c r="AU826" s="120"/>
      <c r="AV826" s="120"/>
      <c r="AW826" s="120"/>
      <c r="AX826" s="120"/>
      <c r="AY826" s="120"/>
      <c r="AZ826" s="120"/>
      <c r="BA826" s="120"/>
      <c r="BB826" s="120"/>
      <c r="BC826" s="120"/>
      <c r="BD826" s="120"/>
      <c r="BE826" s="120"/>
      <c r="BF826" s="120"/>
      <c r="BG826" s="120"/>
      <c r="BH826" s="120"/>
      <c r="BI826" s="120"/>
      <c r="BJ826" s="120"/>
      <c r="BK826" s="120"/>
      <c r="BL826" s="120"/>
      <c r="BM826" s="120"/>
      <c r="BN826" s="120"/>
      <c r="BO826" s="120"/>
      <c r="BP826" s="120"/>
      <c r="BQ826" s="120"/>
      <c r="BR826" s="120"/>
      <c r="BS826" s="120"/>
      <c r="BT826" s="120"/>
      <c r="BU826" s="120"/>
      <c r="BV826" s="120"/>
      <c r="BW826" s="120"/>
      <c r="BX826" s="120"/>
      <c r="BY826" s="120"/>
      <c r="BZ826" s="120"/>
      <c r="CA826" s="120"/>
      <c r="CB826" s="120"/>
      <c r="CC826" s="120"/>
      <c r="CD826" s="120"/>
      <c r="CE826" s="120"/>
      <c r="CF826" s="120"/>
      <c r="CG826" s="120"/>
      <c r="CH826" s="120"/>
      <c r="CI826" s="120"/>
      <c r="CJ826" s="120"/>
      <c r="CK826" s="120"/>
      <c r="CL826" s="120"/>
      <c r="CM826" s="120"/>
      <c r="CN826" s="120"/>
      <c r="CO826" s="120"/>
    </row>
    <row r="827" spans="1:93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1"/>
      <c r="U827" s="120"/>
      <c r="V827" s="120"/>
      <c r="W827" s="121"/>
      <c r="X827" s="120"/>
      <c r="Y827" s="120"/>
      <c r="Z827" s="120"/>
      <c r="AA827" s="120"/>
      <c r="AB827" s="120"/>
      <c r="AC827" s="120"/>
      <c r="AD827" s="120"/>
      <c r="AE827" s="120"/>
      <c r="AF827" s="120"/>
      <c r="AG827" s="120"/>
      <c r="AH827" s="120"/>
      <c r="AI827" s="120"/>
      <c r="AJ827" s="120"/>
      <c r="AK827" s="120"/>
      <c r="AL827" s="120"/>
      <c r="AM827" s="120"/>
      <c r="AN827" s="120"/>
      <c r="AO827" s="120"/>
      <c r="AP827" s="120"/>
      <c r="AQ827" s="120"/>
      <c r="AR827" s="120"/>
      <c r="AS827" s="120"/>
      <c r="AT827" s="120"/>
      <c r="AU827" s="120"/>
      <c r="AV827" s="120"/>
      <c r="AW827" s="120"/>
      <c r="AX827" s="120"/>
      <c r="AY827" s="120"/>
      <c r="AZ827" s="120"/>
      <c r="BA827" s="120"/>
      <c r="BB827" s="120"/>
      <c r="BC827" s="120"/>
      <c r="BD827" s="120"/>
      <c r="BE827" s="120"/>
      <c r="BF827" s="120"/>
      <c r="BG827" s="120"/>
      <c r="BH827" s="120"/>
      <c r="BI827" s="120"/>
      <c r="BJ827" s="120"/>
      <c r="BK827" s="120"/>
      <c r="BL827" s="120"/>
      <c r="BM827" s="120"/>
      <c r="BN827" s="120"/>
      <c r="BO827" s="120"/>
      <c r="BP827" s="120"/>
      <c r="BQ827" s="120"/>
      <c r="BR827" s="120"/>
      <c r="BS827" s="120"/>
      <c r="BT827" s="120"/>
      <c r="BU827" s="120"/>
      <c r="BV827" s="120"/>
      <c r="BW827" s="120"/>
      <c r="BX827" s="120"/>
      <c r="BY827" s="120"/>
      <c r="BZ827" s="120"/>
      <c r="CA827" s="120"/>
      <c r="CB827" s="120"/>
      <c r="CC827" s="120"/>
      <c r="CD827" s="120"/>
      <c r="CE827" s="120"/>
      <c r="CF827" s="120"/>
      <c r="CG827" s="120"/>
      <c r="CH827" s="120"/>
      <c r="CI827" s="120"/>
      <c r="CJ827" s="120"/>
      <c r="CK827" s="120"/>
      <c r="CL827" s="120"/>
      <c r="CM827" s="120"/>
      <c r="CN827" s="120"/>
      <c r="CO827" s="120"/>
    </row>
    <row r="828" spans="1:93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1"/>
      <c r="U828" s="120"/>
      <c r="V828" s="120"/>
      <c r="W828" s="121"/>
      <c r="X828" s="120"/>
      <c r="Y828" s="120"/>
      <c r="Z828" s="120"/>
      <c r="AA828" s="120"/>
      <c r="AB828" s="120"/>
      <c r="AC828" s="120"/>
      <c r="AD828" s="120"/>
      <c r="AE828" s="120"/>
      <c r="AF828" s="120"/>
      <c r="AG828" s="120"/>
      <c r="AH828" s="120"/>
      <c r="AI828" s="120"/>
      <c r="AJ828" s="120"/>
      <c r="AK828" s="120"/>
      <c r="AL828" s="120"/>
      <c r="AM828" s="120"/>
      <c r="AN828" s="120"/>
      <c r="AO828" s="120"/>
      <c r="AP828" s="120"/>
      <c r="AQ828" s="120"/>
      <c r="AR828" s="120"/>
      <c r="AS828" s="120"/>
      <c r="AT828" s="120"/>
      <c r="AU828" s="120"/>
      <c r="AV828" s="120"/>
      <c r="AW828" s="120"/>
      <c r="AX828" s="120"/>
      <c r="AY828" s="120"/>
      <c r="AZ828" s="120"/>
      <c r="BA828" s="120"/>
      <c r="BB828" s="120"/>
      <c r="BC828" s="120"/>
      <c r="BD828" s="120"/>
      <c r="BE828" s="120"/>
      <c r="BF828" s="120"/>
      <c r="BG828" s="120"/>
      <c r="BH828" s="120"/>
      <c r="BI828" s="120"/>
      <c r="BJ828" s="120"/>
      <c r="BK828" s="120"/>
      <c r="BL828" s="120"/>
      <c r="BM828" s="120"/>
      <c r="BN828" s="120"/>
      <c r="BO828" s="120"/>
      <c r="BP828" s="120"/>
      <c r="BQ828" s="120"/>
      <c r="BR828" s="120"/>
      <c r="BS828" s="120"/>
      <c r="BT828" s="120"/>
      <c r="BU828" s="120"/>
      <c r="BV828" s="120"/>
      <c r="BW828" s="120"/>
      <c r="BX828" s="120"/>
      <c r="BY828" s="120"/>
      <c r="BZ828" s="120"/>
      <c r="CA828" s="120"/>
      <c r="CB828" s="120"/>
      <c r="CC828" s="120"/>
      <c r="CD828" s="120"/>
      <c r="CE828" s="120"/>
      <c r="CF828" s="120"/>
      <c r="CG828" s="120"/>
      <c r="CH828" s="120"/>
      <c r="CI828" s="120"/>
      <c r="CJ828" s="120"/>
      <c r="CK828" s="120"/>
      <c r="CL828" s="120"/>
      <c r="CM828" s="120"/>
      <c r="CN828" s="120"/>
      <c r="CO828" s="120"/>
    </row>
    <row r="829" spans="1:93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1"/>
      <c r="U829" s="120"/>
      <c r="V829" s="120"/>
      <c r="W829" s="121"/>
      <c r="X829" s="120"/>
      <c r="Y829" s="120"/>
      <c r="Z829" s="120"/>
      <c r="AA829" s="120"/>
      <c r="AB829" s="120"/>
      <c r="AC829" s="120"/>
      <c r="AD829" s="120"/>
      <c r="AE829" s="120"/>
      <c r="AF829" s="120"/>
      <c r="AG829" s="120"/>
      <c r="AH829" s="120"/>
      <c r="AI829" s="120"/>
      <c r="AJ829" s="120"/>
      <c r="AK829" s="120"/>
      <c r="AL829" s="120"/>
      <c r="AM829" s="120"/>
      <c r="AN829" s="120"/>
      <c r="AO829" s="120"/>
      <c r="AP829" s="120"/>
      <c r="AQ829" s="120"/>
      <c r="AR829" s="120"/>
      <c r="AS829" s="120"/>
      <c r="AT829" s="120"/>
      <c r="AU829" s="120"/>
      <c r="AV829" s="120"/>
      <c r="AW829" s="120"/>
      <c r="AX829" s="120"/>
      <c r="AY829" s="120"/>
      <c r="AZ829" s="120"/>
      <c r="BA829" s="120"/>
      <c r="BB829" s="120"/>
      <c r="BC829" s="120"/>
      <c r="BD829" s="120"/>
      <c r="BE829" s="120"/>
      <c r="BF829" s="120"/>
      <c r="BG829" s="120"/>
      <c r="BH829" s="120"/>
      <c r="BI829" s="120"/>
      <c r="BJ829" s="120"/>
      <c r="BK829" s="120"/>
      <c r="BL829" s="120"/>
      <c r="BM829" s="120"/>
      <c r="BN829" s="120"/>
      <c r="BO829" s="120"/>
      <c r="BP829" s="120"/>
      <c r="BQ829" s="120"/>
      <c r="BR829" s="120"/>
      <c r="BS829" s="120"/>
      <c r="BT829" s="120"/>
      <c r="BU829" s="120"/>
      <c r="BV829" s="120"/>
      <c r="BW829" s="120"/>
      <c r="BX829" s="120"/>
      <c r="BY829" s="120"/>
      <c r="BZ829" s="120"/>
      <c r="CA829" s="120"/>
      <c r="CB829" s="120"/>
      <c r="CC829" s="120"/>
      <c r="CD829" s="120"/>
      <c r="CE829" s="120"/>
      <c r="CF829" s="120"/>
      <c r="CG829" s="120"/>
      <c r="CH829" s="120"/>
      <c r="CI829" s="120"/>
      <c r="CJ829" s="120"/>
      <c r="CK829" s="120"/>
      <c r="CL829" s="120"/>
      <c r="CM829" s="120"/>
      <c r="CN829" s="120"/>
      <c r="CO829" s="120"/>
    </row>
    <row r="830" spans="1:93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1"/>
      <c r="U830" s="120"/>
      <c r="V830" s="120"/>
      <c r="W830" s="121"/>
      <c r="X830" s="120"/>
      <c r="Y830" s="120"/>
      <c r="Z830" s="120"/>
      <c r="AA830" s="120"/>
      <c r="AB830" s="120"/>
      <c r="AC830" s="120"/>
      <c r="AD830" s="120"/>
      <c r="AE830" s="120"/>
      <c r="AF830" s="120"/>
      <c r="AG830" s="120"/>
      <c r="AH830" s="120"/>
      <c r="AI830" s="120"/>
      <c r="AJ830" s="120"/>
      <c r="AK830" s="120"/>
      <c r="AL830" s="120"/>
      <c r="AM830" s="120"/>
      <c r="AN830" s="120"/>
      <c r="AO830" s="120"/>
      <c r="AP830" s="120"/>
      <c r="AQ830" s="120"/>
      <c r="AR830" s="120"/>
      <c r="AS830" s="120"/>
      <c r="AT830" s="120"/>
      <c r="AU830" s="120"/>
      <c r="AV830" s="120"/>
      <c r="AW830" s="120"/>
      <c r="AX830" s="120"/>
      <c r="AY830" s="120"/>
      <c r="AZ830" s="120"/>
      <c r="BA830" s="120"/>
      <c r="BB830" s="120"/>
      <c r="BC830" s="120"/>
      <c r="BD830" s="120"/>
      <c r="BE830" s="120"/>
      <c r="BF830" s="120"/>
      <c r="BG830" s="120"/>
      <c r="BH830" s="120"/>
      <c r="BI830" s="120"/>
      <c r="BJ830" s="120"/>
      <c r="BK830" s="120"/>
      <c r="BL830" s="120"/>
      <c r="BM830" s="120"/>
      <c r="BN830" s="120"/>
      <c r="BO830" s="120"/>
      <c r="BP830" s="120"/>
      <c r="BQ830" s="120"/>
      <c r="BR830" s="120"/>
      <c r="BS830" s="120"/>
      <c r="BT830" s="120"/>
      <c r="BU830" s="120"/>
      <c r="BV830" s="120"/>
      <c r="BW830" s="120"/>
      <c r="BX830" s="120"/>
      <c r="BY830" s="120"/>
      <c r="BZ830" s="120"/>
      <c r="CA830" s="120"/>
      <c r="CB830" s="120"/>
      <c r="CC830" s="120"/>
      <c r="CD830" s="120"/>
      <c r="CE830" s="120"/>
      <c r="CF830" s="120"/>
      <c r="CG830" s="120"/>
      <c r="CH830" s="120"/>
      <c r="CI830" s="120"/>
      <c r="CJ830" s="120"/>
      <c r="CK830" s="120"/>
      <c r="CL830" s="120"/>
      <c r="CM830" s="120"/>
      <c r="CN830" s="120"/>
      <c r="CO830" s="120"/>
    </row>
    <row r="831" spans="1:93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1"/>
      <c r="U831" s="120"/>
      <c r="V831" s="120"/>
      <c r="W831" s="121"/>
      <c r="X831" s="120"/>
      <c r="Y831" s="120"/>
      <c r="Z831" s="120"/>
      <c r="AA831" s="120"/>
      <c r="AB831" s="120"/>
      <c r="AC831" s="120"/>
      <c r="AD831" s="120"/>
      <c r="AE831" s="120"/>
      <c r="AF831" s="120"/>
      <c r="AG831" s="120"/>
      <c r="AH831" s="120"/>
      <c r="AI831" s="120"/>
      <c r="AJ831" s="120"/>
      <c r="AK831" s="120"/>
      <c r="AL831" s="120"/>
      <c r="AM831" s="120"/>
      <c r="AN831" s="120"/>
      <c r="AO831" s="120"/>
      <c r="AP831" s="120"/>
      <c r="AQ831" s="120"/>
      <c r="AR831" s="120"/>
      <c r="AS831" s="120"/>
      <c r="AT831" s="120"/>
      <c r="AU831" s="120"/>
      <c r="AV831" s="120"/>
      <c r="AW831" s="120"/>
      <c r="AX831" s="120"/>
      <c r="AY831" s="120"/>
      <c r="AZ831" s="120"/>
      <c r="BA831" s="120"/>
      <c r="BB831" s="120"/>
      <c r="BC831" s="120"/>
      <c r="BD831" s="120"/>
      <c r="BE831" s="120"/>
      <c r="BF831" s="120"/>
      <c r="BG831" s="120"/>
      <c r="BH831" s="120"/>
      <c r="BI831" s="120"/>
      <c r="BJ831" s="120"/>
      <c r="BK831" s="120"/>
      <c r="BL831" s="120"/>
      <c r="BM831" s="120"/>
      <c r="BN831" s="120"/>
      <c r="BO831" s="120"/>
      <c r="BP831" s="120"/>
      <c r="BQ831" s="120"/>
      <c r="BR831" s="120"/>
      <c r="BS831" s="120"/>
      <c r="BT831" s="120"/>
      <c r="BU831" s="120"/>
      <c r="BV831" s="120"/>
      <c r="BW831" s="120"/>
      <c r="BX831" s="120"/>
      <c r="BY831" s="120"/>
      <c r="BZ831" s="120"/>
      <c r="CA831" s="120"/>
      <c r="CB831" s="120"/>
      <c r="CC831" s="120"/>
      <c r="CD831" s="120"/>
      <c r="CE831" s="120"/>
      <c r="CF831" s="120"/>
      <c r="CG831" s="120"/>
      <c r="CH831" s="120"/>
      <c r="CI831" s="120"/>
      <c r="CJ831" s="120"/>
      <c r="CK831" s="120"/>
      <c r="CL831" s="120"/>
      <c r="CM831" s="120"/>
      <c r="CN831" s="120"/>
      <c r="CO831" s="120"/>
    </row>
    <row r="832" spans="1:93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1"/>
      <c r="U832" s="120"/>
      <c r="V832" s="120"/>
      <c r="W832" s="121"/>
      <c r="X832" s="120"/>
      <c r="Y832" s="120"/>
      <c r="Z832" s="120"/>
      <c r="AA832" s="120"/>
      <c r="AB832" s="120"/>
      <c r="AC832" s="120"/>
      <c r="AD832" s="120"/>
      <c r="AE832" s="120"/>
      <c r="AF832" s="120"/>
      <c r="AG832" s="120"/>
      <c r="AH832" s="120"/>
      <c r="AI832" s="120"/>
      <c r="AJ832" s="120"/>
      <c r="AK832" s="120"/>
      <c r="AL832" s="120"/>
      <c r="AM832" s="120"/>
      <c r="AN832" s="120"/>
      <c r="AO832" s="120"/>
      <c r="AP832" s="120"/>
      <c r="AQ832" s="120"/>
      <c r="AR832" s="120"/>
      <c r="AS832" s="120"/>
      <c r="AT832" s="120"/>
      <c r="AU832" s="120"/>
      <c r="AV832" s="120"/>
      <c r="AW832" s="120"/>
      <c r="AX832" s="120"/>
      <c r="AY832" s="120"/>
      <c r="AZ832" s="120"/>
      <c r="BA832" s="120"/>
      <c r="BB832" s="120"/>
      <c r="BC832" s="120"/>
      <c r="BD832" s="120"/>
      <c r="BE832" s="120"/>
      <c r="BF832" s="120"/>
      <c r="BG832" s="120"/>
      <c r="BH832" s="120"/>
      <c r="BI832" s="120"/>
      <c r="BJ832" s="120"/>
      <c r="BK832" s="120"/>
      <c r="BL832" s="120"/>
      <c r="BM832" s="120"/>
      <c r="BN832" s="120"/>
      <c r="BO832" s="120"/>
      <c r="BP832" s="120"/>
      <c r="BQ832" s="120"/>
      <c r="BR832" s="120"/>
      <c r="BS832" s="120"/>
      <c r="BT832" s="120"/>
      <c r="BU832" s="120"/>
      <c r="BV832" s="120"/>
      <c r="BW832" s="120"/>
      <c r="BX832" s="120"/>
      <c r="BY832" s="120"/>
      <c r="BZ832" s="120"/>
      <c r="CA832" s="120"/>
      <c r="CB832" s="120"/>
      <c r="CC832" s="120"/>
      <c r="CD832" s="120"/>
      <c r="CE832" s="120"/>
      <c r="CF832" s="120"/>
      <c r="CG832" s="120"/>
      <c r="CH832" s="120"/>
      <c r="CI832" s="120"/>
      <c r="CJ832" s="120"/>
      <c r="CK832" s="120"/>
      <c r="CL832" s="120"/>
      <c r="CM832" s="120"/>
      <c r="CN832" s="120"/>
      <c r="CO832" s="120"/>
    </row>
    <row r="833" spans="1:93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1"/>
      <c r="U833" s="120"/>
      <c r="V833" s="120"/>
      <c r="W833" s="121"/>
      <c r="X833" s="120"/>
      <c r="Y833" s="120"/>
      <c r="Z833" s="120"/>
      <c r="AA833" s="120"/>
      <c r="AB833" s="120"/>
      <c r="AC833" s="120"/>
      <c r="AD833" s="120"/>
      <c r="AE833" s="120"/>
      <c r="AF833" s="120"/>
      <c r="AG833" s="120"/>
      <c r="AH833" s="120"/>
      <c r="AI833" s="120"/>
      <c r="AJ833" s="120"/>
      <c r="AK833" s="120"/>
      <c r="AL833" s="120"/>
      <c r="AM833" s="120"/>
      <c r="AN833" s="120"/>
      <c r="AO833" s="120"/>
      <c r="AP833" s="120"/>
      <c r="AQ833" s="120"/>
      <c r="AR833" s="120"/>
      <c r="AS833" s="120"/>
      <c r="AT833" s="120"/>
      <c r="AU833" s="120"/>
      <c r="AV833" s="120"/>
      <c r="AW833" s="120"/>
      <c r="AX833" s="120"/>
      <c r="AY833" s="120"/>
      <c r="AZ833" s="120"/>
      <c r="BA833" s="120"/>
      <c r="BB833" s="120"/>
      <c r="BC833" s="120"/>
      <c r="BD833" s="120"/>
      <c r="BE833" s="120"/>
      <c r="BF833" s="120"/>
      <c r="BG833" s="120"/>
      <c r="BH833" s="120"/>
      <c r="BI833" s="120"/>
      <c r="BJ833" s="120"/>
      <c r="BK833" s="120"/>
      <c r="BL833" s="120"/>
      <c r="BM833" s="120"/>
      <c r="BN833" s="120"/>
      <c r="BO833" s="120"/>
      <c r="BP833" s="120"/>
      <c r="BQ833" s="120"/>
      <c r="BR833" s="120"/>
      <c r="BS833" s="120"/>
      <c r="BT833" s="120"/>
      <c r="BU833" s="120"/>
      <c r="BV833" s="120"/>
      <c r="BW833" s="120"/>
      <c r="BX833" s="120"/>
      <c r="BY833" s="120"/>
      <c r="BZ833" s="120"/>
      <c r="CA833" s="120"/>
      <c r="CB833" s="120"/>
      <c r="CC833" s="120"/>
      <c r="CD833" s="120"/>
      <c r="CE833" s="120"/>
      <c r="CF833" s="120"/>
      <c r="CG833" s="120"/>
      <c r="CH833" s="120"/>
      <c r="CI833" s="120"/>
      <c r="CJ833" s="120"/>
      <c r="CK833" s="120"/>
      <c r="CL833" s="120"/>
      <c r="CM833" s="120"/>
      <c r="CN833" s="120"/>
      <c r="CO833" s="120"/>
    </row>
    <row r="834" spans="1:93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1"/>
      <c r="U834" s="120"/>
      <c r="V834" s="120"/>
      <c r="W834" s="121"/>
      <c r="X834" s="120"/>
      <c r="Y834" s="120"/>
      <c r="Z834" s="120"/>
      <c r="AA834" s="120"/>
      <c r="AB834" s="120"/>
      <c r="AC834" s="120"/>
      <c r="AD834" s="120"/>
      <c r="AE834" s="120"/>
      <c r="AF834" s="120"/>
      <c r="AG834" s="120"/>
      <c r="AH834" s="120"/>
      <c r="AI834" s="120"/>
      <c r="AJ834" s="120"/>
      <c r="AK834" s="120"/>
      <c r="AL834" s="120"/>
      <c r="AM834" s="120"/>
      <c r="AN834" s="120"/>
      <c r="AO834" s="120"/>
      <c r="AP834" s="120"/>
      <c r="AQ834" s="120"/>
      <c r="AR834" s="120"/>
      <c r="AS834" s="120"/>
      <c r="AT834" s="120"/>
      <c r="AU834" s="120"/>
      <c r="AV834" s="120"/>
      <c r="AW834" s="120"/>
      <c r="AX834" s="120"/>
      <c r="AY834" s="120"/>
      <c r="AZ834" s="120"/>
      <c r="BA834" s="120"/>
      <c r="BB834" s="120"/>
      <c r="BC834" s="120"/>
      <c r="BD834" s="120"/>
      <c r="BE834" s="120"/>
      <c r="BF834" s="120"/>
      <c r="BG834" s="120"/>
      <c r="BH834" s="120"/>
      <c r="BI834" s="120"/>
      <c r="BJ834" s="120"/>
      <c r="BK834" s="120"/>
      <c r="BL834" s="120"/>
      <c r="BM834" s="120"/>
      <c r="BN834" s="120"/>
      <c r="BO834" s="120"/>
      <c r="BP834" s="120"/>
      <c r="BQ834" s="120"/>
      <c r="BR834" s="120"/>
      <c r="BS834" s="120"/>
      <c r="BT834" s="120"/>
      <c r="BU834" s="120"/>
      <c r="BV834" s="120"/>
      <c r="BW834" s="120"/>
      <c r="BX834" s="120"/>
      <c r="BY834" s="120"/>
      <c r="BZ834" s="120"/>
      <c r="CA834" s="120"/>
      <c r="CB834" s="120"/>
      <c r="CC834" s="120"/>
      <c r="CD834" s="120"/>
      <c r="CE834" s="120"/>
      <c r="CF834" s="120"/>
      <c r="CG834" s="120"/>
      <c r="CH834" s="120"/>
      <c r="CI834" s="120"/>
      <c r="CJ834" s="120"/>
      <c r="CK834" s="120"/>
      <c r="CL834" s="120"/>
      <c r="CM834" s="120"/>
      <c r="CN834" s="120"/>
      <c r="CO834" s="120"/>
    </row>
    <row r="835" spans="1:93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1"/>
      <c r="U835" s="120"/>
      <c r="V835" s="120"/>
      <c r="W835" s="121"/>
      <c r="X835" s="120"/>
      <c r="Y835" s="120"/>
      <c r="Z835" s="120"/>
      <c r="AA835" s="120"/>
      <c r="AB835" s="120"/>
      <c r="AC835" s="120"/>
      <c r="AD835" s="120"/>
      <c r="AE835" s="120"/>
      <c r="AF835" s="120"/>
      <c r="AG835" s="120"/>
      <c r="AH835" s="120"/>
      <c r="AI835" s="120"/>
      <c r="AJ835" s="120"/>
      <c r="AK835" s="120"/>
      <c r="AL835" s="120"/>
      <c r="AM835" s="120"/>
      <c r="AN835" s="120"/>
      <c r="AO835" s="120"/>
      <c r="AP835" s="120"/>
      <c r="AQ835" s="120"/>
      <c r="AR835" s="120"/>
      <c r="AS835" s="120"/>
      <c r="AT835" s="120"/>
      <c r="AU835" s="120"/>
      <c r="AV835" s="120"/>
      <c r="AW835" s="120"/>
      <c r="AX835" s="120"/>
      <c r="AY835" s="120"/>
      <c r="AZ835" s="120"/>
      <c r="BA835" s="120"/>
      <c r="BB835" s="120"/>
      <c r="BC835" s="120"/>
      <c r="BD835" s="120"/>
      <c r="BE835" s="120"/>
      <c r="BF835" s="120"/>
      <c r="BG835" s="120"/>
      <c r="BH835" s="120"/>
      <c r="BI835" s="120"/>
      <c r="BJ835" s="120"/>
      <c r="BK835" s="120"/>
      <c r="BL835" s="120"/>
      <c r="BM835" s="120"/>
      <c r="BN835" s="120"/>
      <c r="BO835" s="120"/>
      <c r="BP835" s="120"/>
      <c r="BQ835" s="120"/>
      <c r="BR835" s="120"/>
      <c r="BS835" s="120"/>
      <c r="BT835" s="120"/>
      <c r="BU835" s="120"/>
      <c r="BV835" s="120"/>
      <c r="BW835" s="120"/>
      <c r="BX835" s="120"/>
      <c r="BY835" s="120"/>
      <c r="BZ835" s="120"/>
      <c r="CA835" s="120"/>
      <c r="CB835" s="120"/>
      <c r="CC835" s="120"/>
      <c r="CD835" s="120"/>
      <c r="CE835" s="120"/>
      <c r="CF835" s="120"/>
      <c r="CG835" s="120"/>
      <c r="CH835" s="120"/>
      <c r="CI835" s="120"/>
      <c r="CJ835" s="120"/>
      <c r="CK835" s="120"/>
      <c r="CL835" s="120"/>
      <c r="CM835" s="120"/>
      <c r="CN835" s="120"/>
      <c r="CO835" s="120"/>
    </row>
    <row r="836" spans="1:93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1"/>
      <c r="U836" s="120"/>
      <c r="V836" s="120"/>
      <c r="W836" s="121"/>
      <c r="X836" s="120"/>
      <c r="Y836" s="120"/>
      <c r="Z836" s="120"/>
      <c r="AA836" s="120"/>
      <c r="AB836" s="120"/>
      <c r="AC836" s="120"/>
      <c r="AD836" s="120"/>
      <c r="AE836" s="120"/>
      <c r="AF836" s="120"/>
      <c r="AG836" s="120"/>
      <c r="AH836" s="120"/>
      <c r="AI836" s="120"/>
      <c r="AJ836" s="120"/>
      <c r="AK836" s="120"/>
      <c r="AL836" s="120"/>
      <c r="AM836" s="120"/>
      <c r="AN836" s="120"/>
      <c r="AO836" s="120"/>
      <c r="AP836" s="120"/>
      <c r="AQ836" s="120"/>
      <c r="AR836" s="120"/>
      <c r="AS836" s="120"/>
      <c r="AT836" s="120"/>
      <c r="AU836" s="120"/>
      <c r="AV836" s="120"/>
      <c r="AW836" s="120"/>
      <c r="AX836" s="120"/>
      <c r="AY836" s="120"/>
      <c r="AZ836" s="120"/>
      <c r="BA836" s="120"/>
      <c r="BB836" s="120"/>
      <c r="BC836" s="120"/>
      <c r="BD836" s="120"/>
      <c r="BE836" s="120"/>
      <c r="BF836" s="120"/>
      <c r="BG836" s="120"/>
      <c r="BH836" s="120"/>
      <c r="BI836" s="120"/>
      <c r="BJ836" s="120"/>
      <c r="BK836" s="120"/>
      <c r="BL836" s="120"/>
      <c r="BM836" s="120"/>
      <c r="BN836" s="120"/>
      <c r="BO836" s="120"/>
      <c r="BP836" s="120"/>
      <c r="BQ836" s="120"/>
      <c r="BR836" s="120"/>
      <c r="BS836" s="120"/>
      <c r="BT836" s="120"/>
      <c r="BU836" s="120"/>
      <c r="BV836" s="120"/>
      <c r="BW836" s="120"/>
      <c r="BX836" s="120"/>
      <c r="BY836" s="120"/>
      <c r="BZ836" s="120"/>
      <c r="CA836" s="120"/>
      <c r="CB836" s="120"/>
      <c r="CC836" s="120"/>
      <c r="CD836" s="120"/>
      <c r="CE836" s="120"/>
      <c r="CF836" s="120"/>
      <c r="CG836" s="120"/>
      <c r="CH836" s="120"/>
      <c r="CI836" s="120"/>
      <c r="CJ836" s="120"/>
      <c r="CK836" s="120"/>
      <c r="CL836" s="120"/>
      <c r="CM836" s="120"/>
      <c r="CN836" s="120"/>
      <c r="CO836" s="120"/>
    </row>
    <row r="837" spans="1:93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1"/>
      <c r="U837" s="120"/>
      <c r="V837" s="120"/>
      <c r="W837" s="121"/>
      <c r="X837" s="120"/>
      <c r="Y837" s="120"/>
      <c r="Z837" s="120"/>
      <c r="AA837" s="120"/>
      <c r="AB837" s="120"/>
      <c r="AC837" s="120"/>
      <c r="AD837" s="120"/>
      <c r="AE837" s="120"/>
      <c r="AF837" s="120"/>
      <c r="AG837" s="120"/>
      <c r="AH837" s="120"/>
      <c r="AI837" s="120"/>
      <c r="AJ837" s="120"/>
      <c r="AK837" s="120"/>
      <c r="AL837" s="120"/>
      <c r="AM837" s="120"/>
      <c r="AN837" s="120"/>
      <c r="AO837" s="120"/>
      <c r="AP837" s="120"/>
      <c r="AQ837" s="120"/>
      <c r="AR837" s="120"/>
      <c r="AS837" s="120"/>
      <c r="AT837" s="120"/>
      <c r="AU837" s="120"/>
      <c r="AV837" s="120"/>
      <c r="AW837" s="120"/>
      <c r="AX837" s="120"/>
      <c r="AY837" s="120"/>
      <c r="AZ837" s="120"/>
      <c r="BA837" s="120"/>
      <c r="BB837" s="120"/>
      <c r="BC837" s="120"/>
      <c r="BD837" s="120"/>
      <c r="BE837" s="120"/>
      <c r="BF837" s="120"/>
      <c r="BG837" s="120"/>
      <c r="BH837" s="120"/>
      <c r="BI837" s="120"/>
      <c r="BJ837" s="120"/>
      <c r="BK837" s="120"/>
      <c r="BL837" s="120"/>
      <c r="BM837" s="120"/>
      <c r="BN837" s="120"/>
      <c r="BO837" s="120"/>
      <c r="BP837" s="120"/>
      <c r="BQ837" s="120"/>
      <c r="BR837" s="120"/>
      <c r="BS837" s="120"/>
      <c r="BT837" s="120"/>
      <c r="BU837" s="120"/>
      <c r="BV837" s="120"/>
      <c r="BW837" s="120"/>
      <c r="BX837" s="120"/>
      <c r="BY837" s="120"/>
      <c r="BZ837" s="120"/>
      <c r="CA837" s="120"/>
      <c r="CB837" s="120"/>
      <c r="CC837" s="120"/>
      <c r="CD837" s="120"/>
      <c r="CE837" s="120"/>
      <c r="CF837" s="120"/>
      <c r="CG837" s="120"/>
      <c r="CH837" s="120"/>
      <c r="CI837" s="120"/>
      <c r="CJ837" s="120"/>
      <c r="CK837" s="120"/>
      <c r="CL837" s="120"/>
      <c r="CM837" s="120"/>
      <c r="CN837" s="120"/>
      <c r="CO837" s="120"/>
    </row>
    <row r="838" spans="1:93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1"/>
      <c r="U838" s="120"/>
      <c r="V838" s="120"/>
      <c r="W838" s="121"/>
      <c r="X838" s="120"/>
      <c r="Y838" s="120"/>
      <c r="Z838" s="120"/>
      <c r="AA838" s="120"/>
      <c r="AB838" s="120"/>
      <c r="AC838" s="120"/>
      <c r="AD838" s="120"/>
      <c r="AE838" s="120"/>
      <c r="AF838" s="120"/>
      <c r="AG838" s="120"/>
      <c r="AH838" s="120"/>
      <c r="AI838" s="120"/>
      <c r="AJ838" s="120"/>
      <c r="AK838" s="120"/>
      <c r="AL838" s="120"/>
      <c r="AM838" s="120"/>
      <c r="AN838" s="120"/>
      <c r="AO838" s="120"/>
      <c r="AP838" s="120"/>
      <c r="AQ838" s="120"/>
      <c r="AR838" s="120"/>
      <c r="AS838" s="120"/>
      <c r="AT838" s="120"/>
      <c r="AU838" s="120"/>
      <c r="AV838" s="120"/>
      <c r="AW838" s="120"/>
      <c r="AX838" s="120"/>
      <c r="AY838" s="120"/>
      <c r="AZ838" s="120"/>
      <c r="BA838" s="120"/>
      <c r="BB838" s="120"/>
      <c r="BC838" s="120"/>
      <c r="BD838" s="120"/>
      <c r="BE838" s="120"/>
      <c r="BF838" s="120"/>
      <c r="BG838" s="120"/>
      <c r="BH838" s="120"/>
      <c r="BI838" s="120"/>
      <c r="BJ838" s="120"/>
      <c r="BK838" s="120"/>
      <c r="BL838" s="120"/>
      <c r="BM838" s="120"/>
      <c r="BN838" s="120"/>
      <c r="BO838" s="120"/>
      <c r="BP838" s="120"/>
      <c r="BQ838" s="120"/>
      <c r="BR838" s="120"/>
      <c r="BS838" s="120"/>
      <c r="BT838" s="120"/>
      <c r="BU838" s="120"/>
      <c r="BV838" s="120"/>
      <c r="BW838" s="120"/>
      <c r="BX838" s="120"/>
      <c r="BY838" s="120"/>
      <c r="BZ838" s="120"/>
      <c r="CA838" s="120"/>
      <c r="CB838" s="120"/>
      <c r="CC838" s="120"/>
      <c r="CD838" s="120"/>
      <c r="CE838" s="120"/>
      <c r="CF838" s="120"/>
      <c r="CG838" s="120"/>
      <c r="CH838" s="120"/>
      <c r="CI838" s="120"/>
      <c r="CJ838" s="120"/>
      <c r="CK838" s="120"/>
      <c r="CL838" s="120"/>
      <c r="CM838" s="120"/>
      <c r="CN838" s="120"/>
      <c r="CO838" s="120"/>
    </row>
    <row r="839" spans="1:93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1"/>
      <c r="U839" s="120"/>
      <c r="V839" s="120"/>
      <c r="W839" s="121"/>
      <c r="X839" s="120"/>
      <c r="Y839" s="120"/>
      <c r="Z839" s="120"/>
      <c r="AA839" s="120"/>
      <c r="AB839" s="120"/>
      <c r="AC839" s="120"/>
      <c r="AD839" s="120"/>
      <c r="AE839" s="120"/>
      <c r="AF839" s="120"/>
      <c r="AG839" s="120"/>
      <c r="AH839" s="120"/>
      <c r="AI839" s="120"/>
      <c r="AJ839" s="120"/>
      <c r="AK839" s="120"/>
      <c r="AL839" s="120"/>
      <c r="AM839" s="120"/>
      <c r="AN839" s="120"/>
      <c r="AO839" s="120"/>
      <c r="AP839" s="120"/>
      <c r="AQ839" s="120"/>
      <c r="AR839" s="120"/>
      <c r="AS839" s="120"/>
      <c r="AT839" s="120"/>
      <c r="AU839" s="120"/>
      <c r="AV839" s="120"/>
      <c r="AW839" s="120"/>
      <c r="AX839" s="120"/>
      <c r="AY839" s="120"/>
      <c r="AZ839" s="120"/>
      <c r="BA839" s="120"/>
      <c r="BB839" s="120"/>
      <c r="BC839" s="120"/>
      <c r="BD839" s="120"/>
      <c r="BE839" s="120"/>
      <c r="BF839" s="120"/>
      <c r="BG839" s="120"/>
      <c r="BH839" s="120"/>
      <c r="BI839" s="120"/>
      <c r="BJ839" s="120"/>
      <c r="BK839" s="120"/>
      <c r="BL839" s="120"/>
      <c r="BM839" s="120"/>
      <c r="BN839" s="120"/>
      <c r="BO839" s="120"/>
      <c r="BP839" s="120"/>
      <c r="BQ839" s="120"/>
      <c r="BR839" s="120"/>
      <c r="BS839" s="120"/>
      <c r="BT839" s="120"/>
      <c r="BU839" s="120"/>
      <c r="BV839" s="120"/>
      <c r="BW839" s="120"/>
      <c r="BX839" s="120"/>
      <c r="BY839" s="120"/>
      <c r="BZ839" s="120"/>
      <c r="CA839" s="120"/>
      <c r="CB839" s="120"/>
      <c r="CC839" s="120"/>
      <c r="CD839" s="120"/>
      <c r="CE839" s="120"/>
      <c r="CF839" s="120"/>
      <c r="CG839" s="120"/>
      <c r="CH839" s="120"/>
      <c r="CI839" s="120"/>
      <c r="CJ839" s="120"/>
      <c r="CK839" s="120"/>
      <c r="CL839" s="120"/>
      <c r="CM839" s="120"/>
      <c r="CN839" s="120"/>
      <c r="CO839" s="120"/>
    </row>
    <row r="840" spans="1:93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1"/>
      <c r="U840" s="120"/>
      <c r="V840" s="120"/>
      <c r="W840" s="121"/>
      <c r="X840" s="120"/>
      <c r="Y840" s="120"/>
      <c r="Z840" s="120"/>
      <c r="AA840" s="120"/>
      <c r="AB840" s="120"/>
      <c r="AC840" s="120"/>
      <c r="AD840" s="120"/>
      <c r="AE840" s="120"/>
      <c r="AF840" s="120"/>
      <c r="AG840" s="120"/>
      <c r="AH840" s="120"/>
      <c r="AI840" s="120"/>
      <c r="AJ840" s="120"/>
      <c r="AK840" s="120"/>
      <c r="AL840" s="120"/>
      <c r="AM840" s="120"/>
      <c r="AN840" s="120"/>
      <c r="AO840" s="120"/>
      <c r="AP840" s="120"/>
      <c r="AQ840" s="120"/>
      <c r="AR840" s="120"/>
      <c r="AS840" s="120"/>
      <c r="AT840" s="120"/>
      <c r="AU840" s="120"/>
      <c r="AV840" s="120"/>
      <c r="AW840" s="120"/>
      <c r="AX840" s="120"/>
      <c r="AY840" s="120"/>
      <c r="AZ840" s="120"/>
      <c r="BA840" s="120"/>
      <c r="BB840" s="120"/>
      <c r="BC840" s="120"/>
      <c r="BD840" s="120"/>
      <c r="BE840" s="120"/>
      <c r="BF840" s="120"/>
      <c r="BG840" s="120"/>
      <c r="BH840" s="120"/>
      <c r="BI840" s="120"/>
      <c r="BJ840" s="120"/>
      <c r="BK840" s="120"/>
      <c r="BL840" s="120"/>
      <c r="BM840" s="120"/>
      <c r="BN840" s="120"/>
      <c r="BO840" s="120"/>
      <c r="BP840" s="120"/>
      <c r="BQ840" s="120"/>
      <c r="BR840" s="120"/>
      <c r="BS840" s="120"/>
      <c r="BT840" s="120"/>
      <c r="BU840" s="120"/>
      <c r="BV840" s="120"/>
      <c r="BW840" s="120"/>
      <c r="BX840" s="120"/>
      <c r="BY840" s="120"/>
      <c r="BZ840" s="120"/>
      <c r="CA840" s="120"/>
      <c r="CB840" s="120"/>
      <c r="CC840" s="120"/>
      <c r="CD840" s="120"/>
      <c r="CE840" s="120"/>
      <c r="CF840" s="120"/>
      <c r="CG840" s="120"/>
      <c r="CH840" s="120"/>
      <c r="CI840" s="120"/>
      <c r="CJ840" s="120"/>
      <c r="CK840" s="120"/>
      <c r="CL840" s="120"/>
      <c r="CM840" s="120"/>
      <c r="CN840" s="120"/>
      <c r="CO840" s="120"/>
    </row>
    <row r="841" spans="1:93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1"/>
      <c r="U841" s="120"/>
      <c r="V841" s="120"/>
      <c r="W841" s="121"/>
      <c r="X841" s="120"/>
      <c r="Y841" s="120"/>
      <c r="Z841" s="120"/>
      <c r="AA841" s="120"/>
      <c r="AB841" s="120"/>
      <c r="AC841" s="120"/>
      <c r="AD841" s="120"/>
      <c r="AE841" s="120"/>
      <c r="AF841" s="120"/>
      <c r="AG841" s="120"/>
      <c r="AH841" s="120"/>
      <c r="AI841" s="120"/>
      <c r="AJ841" s="120"/>
      <c r="AK841" s="120"/>
      <c r="AL841" s="120"/>
      <c r="AM841" s="120"/>
      <c r="AN841" s="120"/>
      <c r="AO841" s="120"/>
      <c r="AP841" s="120"/>
      <c r="AQ841" s="120"/>
      <c r="AR841" s="120"/>
      <c r="AS841" s="120"/>
      <c r="AT841" s="120"/>
      <c r="AU841" s="120"/>
      <c r="AV841" s="120"/>
      <c r="AW841" s="120"/>
      <c r="AX841" s="120"/>
      <c r="AY841" s="120"/>
      <c r="AZ841" s="120"/>
      <c r="BA841" s="120"/>
      <c r="BB841" s="120"/>
      <c r="BC841" s="120"/>
      <c r="BD841" s="120"/>
      <c r="BE841" s="120"/>
      <c r="BF841" s="120"/>
      <c r="BG841" s="120"/>
      <c r="BH841" s="120"/>
      <c r="BI841" s="120"/>
      <c r="BJ841" s="120"/>
      <c r="BK841" s="120"/>
      <c r="BL841" s="120"/>
      <c r="BM841" s="120"/>
      <c r="BN841" s="120"/>
      <c r="BO841" s="120"/>
      <c r="BP841" s="120"/>
      <c r="BQ841" s="120"/>
      <c r="BR841" s="120"/>
      <c r="BS841" s="120"/>
      <c r="BT841" s="120"/>
      <c r="BU841" s="120"/>
      <c r="BV841" s="120"/>
      <c r="BW841" s="120"/>
      <c r="BX841" s="120"/>
      <c r="BY841" s="120"/>
      <c r="BZ841" s="120"/>
      <c r="CA841" s="120"/>
      <c r="CB841" s="120"/>
      <c r="CC841" s="120"/>
      <c r="CD841" s="120"/>
      <c r="CE841" s="120"/>
      <c r="CF841" s="120"/>
      <c r="CG841" s="120"/>
      <c r="CH841" s="120"/>
      <c r="CI841" s="120"/>
      <c r="CJ841" s="120"/>
      <c r="CK841" s="120"/>
      <c r="CL841" s="120"/>
      <c r="CM841" s="120"/>
      <c r="CN841" s="120"/>
      <c r="CO841" s="120"/>
    </row>
    <row r="842" spans="1:93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1"/>
      <c r="U842" s="120"/>
      <c r="V842" s="120"/>
      <c r="W842" s="121"/>
      <c r="X842" s="120"/>
      <c r="Y842" s="120"/>
      <c r="Z842" s="120"/>
      <c r="AA842" s="120"/>
      <c r="AB842" s="120"/>
      <c r="AC842" s="120"/>
      <c r="AD842" s="120"/>
      <c r="AE842" s="120"/>
      <c r="AF842" s="120"/>
      <c r="AG842" s="120"/>
      <c r="AH842" s="120"/>
      <c r="AI842" s="120"/>
      <c r="AJ842" s="120"/>
      <c r="AK842" s="120"/>
      <c r="AL842" s="120"/>
      <c r="AM842" s="120"/>
      <c r="AN842" s="120"/>
      <c r="AO842" s="120"/>
      <c r="AP842" s="120"/>
      <c r="AQ842" s="120"/>
      <c r="AR842" s="120"/>
      <c r="AS842" s="120"/>
      <c r="AT842" s="120"/>
      <c r="AU842" s="120"/>
      <c r="AV842" s="120"/>
      <c r="AW842" s="120"/>
      <c r="AX842" s="120"/>
      <c r="AY842" s="120"/>
      <c r="AZ842" s="120"/>
      <c r="BA842" s="120"/>
      <c r="BB842" s="120"/>
      <c r="BC842" s="120"/>
      <c r="BD842" s="120"/>
      <c r="BE842" s="120"/>
      <c r="BF842" s="120"/>
      <c r="BG842" s="120"/>
      <c r="BH842" s="120"/>
      <c r="BI842" s="120"/>
      <c r="BJ842" s="120"/>
      <c r="BK842" s="120"/>
      <c r="BL842" s="120"/>
      <c r="BM842" s="120"/>
      <c r="BN842" s="120"/>
      <c r="BO842" s="120"/>
      <c r="BP842" s="120"/>
      <c r="BQ842" s="120"/>
      <c r="BR842" s="120"/>
      <c r="BS842" s="120"/>
      <c r="BT842" s="120"/>
      <c r="BU842" s="120"/>
      <c r="BV842" s="120"/>
      <c r="BW842" s="120"/>
      <c r="BX842" s="120"/>
      <c r="BY842" s="120"/>
      <c r="BZ842" s="120"/>
      <c r="CA842" s="120"/>
      <c r="CB842" s="120"/>
      <c r="CC842" s="120"/>
      <c r="CD842" s="120"/>
      <c r="CE842" s="120"/>
      <c r="CF842" s="120"/>
      <c r="CG842" s="120"/>
      <c r="CH842" s="120"/>
      <c r="CI842" s="120"/>
      <c r="CJ842" s="120"/>
      <c r="CK842" s="120"/>
      <c r="CL842" s="120"/>
      <c r="CM842" s="120"/>
      <c r="CN842" s="120"/>
      <c r="CO842" s="120"/>
    </row>
    <row r="843" spans="1:93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1"/>
      <c r="U843" s="120"/>
      <c r="V843" s="120"/>
      <c r="W843" s="121"/>
      <c r="X843" s="120"/>
      <c r="Y843" s="120"/>
      <c r="Z843" s="120"/>
      <c r="AA843" s="120"/>
      <c r="AB843" s="120"/>
      <c r="AC843" s="120"/>
      <c r="AD843" s="120"/>
      <c r="AE843" s="120"/>
      <c r="AF843" s="120"/>
      <c r="AG843" s="120"/>
      <c r="AH843" s="120"/>
      <c r="AI843" s="120"/>
      <c r="AJ843" s="120"/>
      <c r="AK843" s="120"/>
      <c r="AL843" s="120"/>
      <c r="AM843" s="120"/>
      <c r="AN843" s="120"/>
      <c r="AO843" s="120"/>
      <c r="AP843" s="120"/>
      <c r="AQ843" s="120"/>
      <c r="AR843" s="120"/>
      <c r="AS843" s="120"/>
      <c r="AT843" s="120"/>
      <c r="AU843" s="120"/>
      <c r="AV843" s="120"/>
      <c r="AW843" s="120"/>
      <c r="AX843" s="120"/>
      <c r="AY843" s="120"/>
      <c r="AZ843" s="120"/>
      <c r="BA843" s="120"/>
      <c r="BB843" s="120"/>
      <c r="BC843" s="120"/>
      <c r="BD843" s="120"/>
      <c r="BE843" s="120"/>
      <c r="BF843" s="120"/>
      <c r="BG843" s="120"/>
      <c r="BH843" s="120"/>
      <c r="BI843" s="120"/>
      <c r="BJ843" s="120"/>
      <c r="BK843" s="120"/>
      <c r="BL843" s="120"/>
      <c r="BM843" s="120"/>
      <c r="BN843" s="120"/>
      <c r="BO843" s="120"/>
      <c r="BP843" s="120"/>
      <c r="BQ843" s="120"/>
      <c r="BR843" s="120"/>
      <c r="BS843" s="120"/>
      <c r="BT843" s="120"/>
      <c r="BU843" s="120"/>
      <c r="BV843" s="120"/>
      <c r="BW843" s="120"/>
      <c r="BX843" s="120"/>
      <c r="BY843" s="120"/>
      <c r="BZ843" s="120"/>
      <c r="CA843" s="120"/>
      <c r="CB843" s="120"/>
      <c r="CC843" s="120"/>
      <c r="CD843" s="120"/>
      <c r="CE843" s="120"/>
      <c r="CF843" s="120"/>
      <c r="CG843" s="120"/>
      <c r="CH843" s="120"/>
      <c r="CI843" s="120"/>
      <c r="CJ843" s="120"/>
      <c r="CK843" s="120"/>
      <c r="CL843" s="120"/>
      <c r="CM843" s="120"/>
      <c r="CN843" s="120"/>
      <c r="CO843" s="120"/>
    </row>
    <row r="844" spans="1:93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1"/>
      <c r="U844" s="120"/>
      <c r="V844" s="120"/>
      <c r="W844" s="121"/>
      <c r="X844" s="120"/>
      <c r="Y844" s="120"/>
      <c r="Z844" s="120"/>
      <c r="AA844" s="120"/>
      <c r="AB844" s="120"/>
      <c r="AC844" s="120"/>
      <c r="AD844" s="120"/>
      <c r="AE844" s="120"/>
      <c r="AF844" s="120"/>
      <c r="AG844" s="120"/>
      <c r="AH844" s="120"/>
      <c r="AI844" s="120"/>
      <c r="AJ844" s="120"/>
      <c r="AK844" s="120"/>
      <c r="AL844" s="120"/>
      <c r="AM844" s="120"/>
      <c r="AN844" s="120"/>
      <c r="AO844" s="120"/>
      <c r="AP844" s="120"/>
      <c r="AQ844" s="120"/>
      <c r="AR844" s="120"/>
      <c r="AS844" s="120"/>
      <c r="AT844" s="120"/>
      <c r="AU844" s="120"/>
      <c r="AV844" s="120"/>
      <c r="AW844" s="120"/>
      <c r="AX844" s="120"/>
      <c r="AY844" s="120"/>
      <c r="AZ844" s="120"/>
      <c r="BA844" s="120"/>
      <c r="BB844" s="120"/>
      <c r="BC844" s="120"/>
      <c r="BD844" s="120"/>
      <c r="BE844" s="120"/>
      <c r="BF844" s="120"/>
      <c r="BG844" s="120"/>
      <c r="BH844" s="120"/>
      <c r="BI844" s="120"/>
      <c r="BJ844" s="120"/>
      <c r="BK844" s="120"/>
      <c r="BL844" s="120"/>
      <c r="BM844" s="120"/>
      <c r="BN844" s="120"/>
      <c r="BO844" s="120"/>
      <c r="BP844" s="120"/>
      <c r="BQ844" s="120"/>
      <c r="BR844" s="120"/>
      <c r="BS844" s="120"/>
      <c r="BT844" s="120"/>
      <c r="BU844" s="120"/>
      <c r="BV844" s="120"/>
      <c r="BW844" s="120"/>
      <c r="BX844" s="120"/>
      <c r="BY844" s="120"/>
      <c r="BZ844" s="120"/>
      <c r="CA844" s="120"/>
      <c r="CB844" s="120"/>
      <c r="CC844" s="120"/>
      <c r="CD844" s="120"/>
      <c r="CE844" s="120"/>
      <c r="CF844" s="120"/>
      <c r="CG844" s="120"/>
      <c r="CH844" s="120"/>
      <c r="CI844" s="120"/>
      <c r="CJ844" s="120"/>
      <c r="CK844" s="120"/>
      <c r="CL844" s="120"/>
      <c r="CM844" s="120"/>
      <c r="CN844" s="120"/>
      <c r="CO844" s="120"/>
    </row>
    <row r="845" spans="1:93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1"/>
      <c r="U845" s="120"/>
      <c r="V845" s="120"/>
      <c r="W845" s="121"/>
      <c r="X845" s="120"/>
      <c r="Y845" s="120"/>
      <c r="Z845" s="120"/>
      <c r="AA845" s="120"/>
      <c r="AB845" s="120"/>
      <c r="AC845" s="120"/>
      <c r="AD845" s="120"/>
      <c r="AE845" s="120"/>
      <c r="AF845" s="120"/>
      <c r="AG845" s="120"/>
      <c r="AH845" s="120"/>
      <c r="AI845" s="120"/>
      <c r="AJ845" s="120"/>
      <c r="AK845" s="120"/>
      <c r="AL845" s="120"/>
      <c r="AM845" s="120"/>
      <c r="AN845" s="120"/>
      <c r="AO845" s="120"/>
      <c r="AP845" s="120"/>
      <c r="AQ845" s="120"/>
      <c r="AR845" s="120"/>
      <c r="AS845" s="120"/>
      <c r="AT845" s="120"/>
      <c r="AU845" s="120"/>
      <c r="AV845" s="120"/>
      <c r="AW845" s="120"/>
      <c r="AX845" s="120"/>
      <c r="AY845" s="120"/>
      <c r="AZ845" s="120"/>
      <c r="BA845" s="120"/>
      <c r="BB845" s="120"/>
      <c r="BC845" s="120"/>
      <c r="BD845" s="120"/>
      <c r="BE845" s="120"/>
      <c r="BF845" s="120"/>
      <c r="BG845" s="120"/>
      <c r="BH845" s="120"/>
      <c r="BI845" s="120"/>
      <c r="BJ845" s="120"/>
      <c r="BK845" s="120"/>
      <c r="BL845" s="120"/>
      <c r="BM845" s="120"/>
      <c r="BN845" s="120"/>
      <c r="BO845" s="120"/>
      <c r="BP845" s="120"/>
      <c r="BQ845" s="120"/>
      <c r="BR845" s="120"/>
      <c r="BS845" s="120"/>
      <c r="BT845" s="120"/>
      <c r="BU845" s="120"/>
      <c r="BV845" s="120"/>
      <c r="BW845" s="120"/>
      <c r="BX845" s="120"/>
      <c r="BY845" s="120"/>
      <c r="BZ845" s="120"/>
      <c r="CA845" s="120"/>
      <c r="CB845" s="120"/>
      <c r="CC845" s="120"/>
      <c r="CD845" s="120"/>
      <c r="CE845" s="120"/>
      <c r="CF845" s="120"/>
      <c r="CG845" s="120"/>
      <c r="CH845" s="120"/>
      <c r="CI845" s="120"/>
      <c r="CJ845" s="120"/>
      <c r="CK845" s="120"/>
      <c r="CL845" s="120"/>
      <c r="CM845" s="120"/>
      <c r="CN845" s="120"/>
      <c r="CO845" s="120"/>
    </row>
    <row r="846" spans="1:93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1"/>
      <c r="U846" s="120"/>
      <c r="V846" s="120"/>
      <c r="W846" s="121"/>
      <c r="X846" s="120"/>
      <c r="Y846" s="120"/>
      <c r="Z846" s="120"/>
      <c r="AA846" s="120"/>
      <c r="AB846" s="120"/>
      <c r="AC846" s="120"/>
      <c r="AD846" s="120"/>
      <c r="AE846" s="120"/>
      <c r="AF846" s="120"/>
      <c r="AG846" s="120"/>
      <c r="AH846" s="120"/>
      <c r="AI846" s="120"/>
      <c r="AJ846" s="120"/>
      <c r="AK846" s="120"/>
      <c r="AL846" s="120"/>
      <c r="AM846" s="120"/>
      <c r="AN846" s="120"/>
      <c r="AO846" s="120"/>
      <c r="AP846" s="120"/>
      <c r="AQ846" s="120"/>
      <c r="AR846" s="120"/>
      <c r="AS846" s="120"/>
      <c r="AT846" s="120"/>
      <c r="AU846" s="120"/>
      <c r="AV846" s="120"/>
      <c r="AW846" s="120"/>
      <c r="AX846" s="120"/>
      <c r="AY846" s="120"/>
      <c r="AZ846" s="120"/>
      <c r="BA846" s="120"/>
      <c r="BB846" s="120"/>
      <c r="BC846" s="120"/>
      <c r="BD846" s="120"/>
      <c r="BE846" s="120"/>
      <c r="BF846" s="120"/>
      <c r="BG846" s="120"/>
      <c r="BH846" s="120"/>
      <c r="BI846" s="120"/>
      <c r="BJ846" s="120"/>
      <c r="BK846" s="120"/>
      <c r="BL846" s="120"/>
      <c r="BM846" s="120"/>
      <c r="BN846" s="120"/>
      <c r="BO846" s="120"/>
      <c r="BP846" s="120"/>
      <c r="BQ846" s="120"/>
      <c r="BR846" s="120"/>
      <c r="BS846" s="120"/>
      <c r="BT846" s="120"/>
      <c r="BU846" s="120"/>
      <c r="BV846" s="120"/>
      <c r="BW846" s="120"/>
      <c r="BX846" s="120"/>
      <c r="BY846" s="120"/>
      <c r="BZ846" s="120"/>
      <c r="CA846" s="120"/>
      <c r="CB846" s="120"/>
      <c r="CC846" s="120"/>
      <c r="CD846" s="120"/>
      <c r="CE846" s="120"/>
      <c r="CF846" s="120"/>
      <c r="CG846" s="120"/>
      <c r="CH846" s="120"/>
      <c r="CI846" s="120"/>
      <c r="CJ846" s="120"/>
      <c r="CK846" s="120"/>
      <c r="CL846" s="120"/>
      <c r="CM846" s="120"/>
      <c r="CN846" s="120"/>
      <c r="CO846" s="120"/>
    </row>
    <row r="847" spans="1:93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1"/>
      <c r="U847" s="120"/>
      <c r="V847" s="120"/>
      <c r="W847" s="121"/>
      <c r="X847" s="120"/>
      <c r="Y847" s="120"/>
      <c r="Z847" s="120"/>
      <c r="AA847" s="120"/>
      <c r="AB847" s="120"/>
      <c r="AC847" s="120"/>
      <c r="AD847" s="120"/>
      <c r="AE847" s="120"/>
      <c r="AF847" s="120"/>
      <c r="AG847" s="120"/>
      <c r="AH847" s="120"/>
      <c r="AI847" s="120"/>
      <c r="AJ847" s="120"/>
      <c r="AK847" s="120"/>
      <c r="AL847" s="120"/>
      <c r="AM847" s="120"/>
      <c r="AN847" s="120"/>
      <c r="AO847" s="120"/>
      <c r="AP847" s="120"/>
      <c r="AQ847" s="120"/>
      <c r="AR847" s="120"/>
      <c r="AS847" s="120"/>
      <c r="AT847" s="120"/>
      <c r="AU847" s="120"/>
      <c r="AV847" s="120"/>
      <c r="AW847" s="120"/>
      <c r="AX847" s="120"/>
      <c r="AY847" s="120"/>
      <c r="AZ847" s="120"/>
      <c r="BA847" s="120"/>
      <c r="BB847" s="120"/>
      <c r="BC847" s="120"/>
      <c r="BD847" s="120"/>
      <c r="BE847" s="120"/>
      <c r="BF847" s="120"/>
      <c r="BG847" s="120"/>
      <c r="BH847" s="120"/>
      <c r="BI847" s="120"/>
      <c r="BJ847" s="120"/>
      <c r="BK847" s="120"/>
      <c r="BL847" s="120"/>
      <c r="BM847" s="120"/>
      <c r="BN847" s="120"/>
      <c r="BO847" s="120"/>
      <c r="BP847" s="120"/>
      <c r="BQ847" s="120"/>
      <c r="BR847" s="120"/>
      <c r="BS847" s="120"/>
      <c r="BT847" s="120"/>
      <c r="BU847" s="120"/>
      <c r="BV847" s="120"/>
      <c r="BW847" s="120"/>
      <c r="BX847" s="120"/>
      <c r="BY847" s="120"/>
      <c r="BZ847" s="120"/>
      <c r="CA847" s="120"/>
      <c r="CB847" s="120"/>
      <c r="CC847" s="120"/>
      <c r="CD847" s="120"/>
      <c r="CE847" s="120"/>
      <c r="CF847" s="120"/>
      <c r="CG847" s="120"/>
      <c r="CH847" s="120"/>
      <c r="CI847" s="120"/>
      <c r="CJ847" s="120"/>
      <c r="CK847" s="120"/>
      <c r="CL847" s="120"/>
      <c r="CM847" s="120"/>
      <c r="CN847" s="120"/>
      <c r="CO847" s="120"/>
    </row>
    <row r="848" spans="1:93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1"/>
      <c r="U848" s="120"/>
      <c r="V848" s="120"/>
      <c r="W848" s="121"/>
      <c r="X848" s="120"/>
      <c r="Y848" s="120"/>
      <c r="Z848" s="120"/>
      <c r="AA848" s="120"/>
      <c r="AB848" s="120"/>
      <c r="AC848" s="120"/>
      <c r="AD848" s="120"/>
      <c r="AE848" s="120"/>
      <c r="AF848" s="120"/>
      <c r="AG848" s="120"/>
      <c r="AH848" s="120"/>
      <c r="AI848" s="120"/>
      <c r="AJ848" s="120"/>
      <c r="AK848" s="120"/>
      <c r="AL848" s="120"/>
      <c r="AM848" s="120"/>
      <c r="AN848" s="120"/>
      <c r="AO848" s="120"/>
      <c r="AP848" s="120"/>
      <c r="AQ848" s="120"/>
      <c r="AR848" s="120"/>
      <c r="AS848" s="120"/>
      <c r="AT848" s="120"/>
      <c r="AU848" s="120"/>
      <c r="AV848" s="120"/>
      <c r="AW848" s="120"/>
      <c r="AX848" s="120"/>
      <c r="AY848" s="120"/>
      <c r="AZ848" s="120"/>
      <c r="BA848" s="120"/>
      <c r="BB848" s="120"/>
      <c r="BC848" s="120"/>
      <c r="BD848" s="120"/>
      <c r="BE848" s="120"/>
      <c r="BF848" s="120"/>
      <c r="BG848" s="120"/>
      <c r="BH848" s="120"/>
      <c r="BI848" s="120"/>
      <c r="BJ848" s="120"/>
      <c r="BK848" s="120"/>
      <c r="BL848" s="120"/>
      <c r="BM848" s="120"/>
      <c r="BN848" s="120"/>
      <c r="BO848" s="120"/>
      <c r="BP848" s="120"/>
      <c r="BQ848" s="120"/>
      <c r="BR848" s="120"/>
      <c r="BS848" s="120"/>
      <c r="BT848" s="120"/>
      <c r="BU848" s="120"/>
      <c r="BV848" s="120"/>
      <c r="BW848" s="120"/>
      <c r="BX848" s="120"/>
      <c r="BY848" s="120"/>
      <c r="BZ848" s="120"/>
      <c r="CA848" s="120"/>
      <c r="CB848" s="120"/>
      <c r="CC848" s="120"/>
      <c r="CD848" s="120"/>
      <c r="CE848" s="120"/>
      <c r="CF848" s="120"/>
      <c r="CG848" s="120"/>
      <c r="CH848" s="120"/>
      <c r="CI848" s="120"/>
      <c r="CJ848" s="120"/>
      <c r="CK848" s="120"/>
      <c r="CL848" s="120"/>
      <c r="CM848" s="120"/>
      <c r="CN848" s="120"/>
      <c r="CO848" s="120"/>
    </row>
    <row r="849" spans="1:93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1"/>
      <c r="U849" s="120"/>
      <c r="V849" s="120"/>
      <c r="W849" s="121"/>
      <c r="X849" s="120"/>
      <c r="Y849" s="120"/>
      <c r="Z849" s="120"/>
      <c r="AA849" s="120"/>
      <c r="AB849" s="120"/>
      <c r="AC849" s="120"/>
      <c r="AD849" s="120"/>
      <c r="AE849" s="120"/>
      <c r="AF849" s="120"/>
      <c r="AG849" s="120"/>
      <c r="AH849" s="120"/>
      <c r="AI849" s="120"/>
      <c r="AJ849" s="120"/>
      <c r="AK849" s="120"/>
      <c r="AL849" s="120"/>
      <c r="AM849" s="120"/>
      <c r="AN849" s="120"/>
      <c r="AO849" s="120"/>
      <c r="AP849" s="120"/>
      <c r="AQ849" s="120"/>
      <c r="AR849" s="120"/>
      <c r="AS849" s="120"/>
      <c r="AT849" s="120"/>
      <c r="AU849" s="120"/>
      <c r="AV849" s="120"/>
      <c r="AW849" s="120"/>
      <c r="AX849" s="120"/>
      <c r="AY849" s="120"/>
      <c r="AZ849" s="120"/>
      <c r="BA849" s="120"/>
      <c r="BB849" s="120"/>
      <c r="BC849" s="120"/>
      <c r="BD849" s="120"/>
      <c r="BE849" s="120"/>
      <c r="BF849" s="120"/>
      <c r="BG849" s="120"/>
      <c r="BH849" s="120"/>
      <c r="BI849" s="120"/>
      <c r="BJ849" s="120"/>
      <c r="BK849" s="120"/>
      <c r="BL849" s="120"/>
      <c r="BM849" s="120"/>
      <c r="BN849" s="120"/>
      <c r="BO849" s="120"/>
      <c r="BP849" s="120"/>
      <c r="BQ849" s="120"/>
      <c r="BR849" s="120"/>
      <c r="BS849" s="120"/>
      <c r="BT849" s="120"/>
      <c r="BU849" s="120"/>
      <c r="BV849" s="120"/>
      <c r="BW849" s="120"/>
      <c r="BX849" s="120"/>
      <c r="BY849" s="120"/>
      <c r="BZ849" s="120"/>
      <c r="CA849" s="120"/>
      <c r="CB849" s="120"/>
      <c r="CC849" s="120"/>
      <c r="CD849" s="120"/>
      <c r="CE849" s="120"/>
      <c r="CF849" s="120"/>
      <c r="CG849" s="120"/>
      <c r="CH849" s="120"/>
      <c r="CI849" s="120"/>
      <c r="CJ849" s="120"/>
      <c r="CK849" s="120"/>
      <c r="CL849" s="120"/>
      <c r="CM849" s="120"/>
      <c r="CN849" s="120"/>
      <c r="CO849" s="120"/>
    </row>
    <row r="850" spans="1:93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1"/>
      <c r="U850" s="120"/>
      <c r="V850" s="120"/>
      <c r="W850" s="121"/>
      <c r="X850" s="120"/>
      <c r="Y850" s="120"/>
      <c r="Z850" s="120"/>
      <c r="AA850" s="120"/>
      <c r="AB850" s="120"/>
      <c r="AC850" s="120"/>
      <c r="AD850" s="120"/>
      <c r="AE850" s="120"/>
      <c r="AF850" s="120"/>
      <c r="AG850" s="120"/>
      <c r="AH850" s="120"/>
      <c r="AI850" s="120"/>
      <c r="AJ850" s="120"/>
      <c r="AK850" s="120"/>
      <c r="AL850" s="120"/>
      <c r="AM850" s="120"/>
      <c r="AN850" s="120"/>
      <c r="AO850" s="120"/>
      <c r="AP850" s="120"/>
      <c r="AQ850" s="120"/>
      <c r="AR850" s="120"/>
      <c r="AS850" s="120"/>
      <c r="AT850" s="120"/>
      <c r="AU850" s="120"/>
      <c r="AV850" s="120"/>
      <c r="AW850" s="120"/>
      <c r="AX850" s="120"/>
      <c r="AY850" s="120"/>
      <c r="AZ850" s="120"/>
      <c r="BA850" s="120"/>
      <c r="BB850" s="120"/>
      <c r="BC850" s="120"/>
      <c r="BD850" s="120"/>
      <c r="BE850" s="120"/>
      <c r="BF850" s="120"/>
      <c r="BG850" s="120"/>
      <c r="BH850" s="120"/>
      <c r="BI850" s="120"/>
      <c r="BJ850" s="120"/>
      <c r="BK850" s="120"/>
      <c r="BL850" s="120"/>
      <c r="BM850" s="120"/>
      <c r="BN850" s="120"/>
      <c r="BO850" s="120"/>
      <c r="BP850" s="120"/>
      <c r="BQ850" s="120"/>
      <c r="BR850" s="120"/>
      <c r="BS850" s="120"/>
      <c r="BT850" s="120"/>
      <c r="BU850" s="120"/>
      <c r="BV850" s="120"/>
      <c r="BW850" s="120"/>
      <c r="BX850" s="120"/>
      <c r="BY850" s="120"/>
      <c r="BZ850" s="120"/>
      <c r="CA850" s="120"/>
      <c r="CB850" s="120"/>
      <c r="CC850" s="120"/>
      <c r="CD850" s="120"/>
      <c r="CE850" s="120"/>
      <c r="CF850" s="120"/>
      <c r="CG850" s="120"/>
      <c r="CH850" s="120"/>
      <c r="CI850" s="120"/>
      <c r="CJ850" s="120"/>
      <c r="CK850" s="120"/>
      <c r="CL850" s="120"/>
      <c r="CM850" s="120"/>
      <c r="CN850" s="120"/>
      <c r="CO850" s="120"/>
    </row>
    <row r="851" spans="1:93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1"/>
      <c r="U851" s="120"/>
      <c r="V851" s="120"/>
      <c r="W851" s="121"/>
      <c r="X851" s="120"/>
      <c r="Y851" s="120"/>
      <c r="Z851" s="120"/>
      <c r="AA851" s="120"/>
      <c r="AB851" s="120"/>
      <c r="AC851" s="120"/>
      <c r="AD851" s="120"/>
      <c r="AE851" s="120"/>
      <c r="AF851" s="120"/>
      <c r="AG851" s="120"/>
      <c r="AH851" s="120"/>
      <c r="AI851" s="120"/>
      <c r="AJ851" s="120"/>
      <c r="AK851" s="120"/>
      <c r="AL851" s="120"/>
      <c r="AM851" s="120"/>
      <c r="AN851" s="120"/>
      <c r="AO851" s="120"/>
      <c r="AP851" s="120"/>
      <c r="AQ851" s="120"/>
      <c r="AR851" s="120"/>
      <c r="AS851" s="120"/>
      <c r="AT851" s="120"/>
      <c r="AU851" s="120"/>
      <c r="AV851" s="120"/>
      <c r="AW851" s="120"/>
      <c r="AX851" s="120"/>
      <c r="AY851" s="120"/>
      <c r="AZ851" s="120"/>
      <c r="BA851" s="120"/>
      <c r="BB851" s="120"/>
      <c r="BC851" s="120"/>
      <c r="BD851" s="120"/>
      <c r="BE851" s="120"/>
      <c r="BF851" s="120"/>
      <c r="BG851" s="120"/>
      <c r="BH851" s="120"/>
      <c r="BI851" s="120"/>
      <c r="BJ851" s="120"/>
      <c r="BK851" s="120"/>
      <c r="BL851" s="120"/>
      <c r="BM851" s="120"/>
      <c r="BN851" s="120"/>
      <c r="BO851" s="120"/>
      <c r="BP851" s="120"/>
      <c r="BQ851" s="120"/>
      <c r="BR851" s="120"/>
      <c r="BS851" s="120"/>
      <c r="BT851" s="120"/>
      <c r="BU851" s="120"/>
      <c r="BV851" s="120"/>
      <c r="BW851" s="120"/>
      <c r="BX851" s="120"/>
      <c r="BY851" s="120"/>
      <c r="BZ851" s="120"/>
      <c r="CA851" s="120"/>
      <c r="CB851" s="120"/>
      <c r="CC851" s="120"/>
      <c r="CD851" s="120"/>
      <c r="CE851" s="120"/>
      <c r="CF851" s="120"/>
      <c r="CG851" s="120"/>
      <c r="CH851" s="120"/>
      <c r="CI851" s="120"/>
      <c r="CJ851" s="120"/>
      <c r="CK851" s="120"/>
      <c r="CL851" s="120"/>
      <c r="CM851" s="120"/>
      <c r="CN851" s="120"/>
      <c r="CO851" s="120"/>
    </row>
    <row r="852" spans="1:93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1"/>
      <c r="U852" s="120"/>
      <c r="V852" s="120"/>
      <c r="W852" s="121"/>
      <c r="X852" s="120"/>
      <c r="Y852" s="120"/>
      <c r="Z852" s="120"/>
      <c r="AA852" s="120"/>
      <c r="AB852" s="120"/>
      <c r="AC852" s="120"/>
      <c r="AD852" s="120"/>
      <c r="AE852" s="120"/>
      <c r="AF852" s="120"/>
      <c r="AG852" s="120"/>
      <c r="AH852" s="120"/>
      <c r="AI852" s="120"/>
      <c r="AJ852" s="120"/>
      <c r="AK852" s="120"/>
      <c r="AL852" s="120"/>
      <c r="AM852" s="120"/>
      <c r="AN852" s="120"/>
      <c r="AO852" s="120"/>
      <c r="AP852" s="120"/>
      <c r="AQ852" s="120"/>
      <c r="AR852" s="120"/>
      <c r="AS852" s="120"/>
      <c r="AT852" s="120"/>
      <c r="AU852" s="120"/>
      <c r="AV852" s="120"/>
      <c r="AW852" s="120"/>
      <c r="AX852" s="120"/>
      <c r="AY852" s="120"/>
      <c r="AZ852" s="120"/>
      <c r="BA852" s="120"/>
      <c r="BB852" s="120"/>
      <c r="BC852" s="120"/>
      <c r="BD852" s="120"/>
      <c r="BE852" s="120"/>
      <c r="BF852" s="120"/>
      <c r="BG852" s="120"/>
      <c r="BH852" s="120"/>
      <c r="BI852" s="120"/>
      <c r="BJ852" s="120"/>
      <c r="BK852" s="120"/>
      <c r="BL852" s="120"/>
      <c r="BM852" s="120"/>
      <c r="BN852" s="120"/>
      <c r="BO852" s="120"/>
      <c r="BP852" s="120"/>
      <c r="BQ852" s="120"/>
      <c r="BR852" s="120"/>
      <c r="BS852" s="120"/>
      <c r="BT852" s="120"/>
      <c r="BU852" s="120"/>
      <c r="BV852" s="120"/>
      <c r="BW852" s="120"/>
      <c r="BX852" s="120"/>
      <c r="BY852" s="120"/>
      <c r="BZ852" s="120"/>
      <c r="CA852" s="120"/>
      <c r="CB852" s="120"/>
      <c r="CC852" s="120"/>
      <c r="CD852" s="120"/>
      <c r="CE852" s="120"/>
      <c r="CF852" s="120"/>
      <c r="CG852" s="120"/>
      <c r="CH852" s="120"/>
      <c r="CI852" s="120"/>
      <c r="CJ852" s="120"/>
      <c r="CK852" s="120"/>
      <c r="CL852" s="120"/>
      <c r="CM852" s="120"/>
      <c r="CN852" s="120"/>
      <c r="CO852" s="120"/>
    </row>
    <row r="853" spans="1:93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1"/>
      <c r="U853" s="120"/>
      <c r="V853" s="120"/>
      <c r="W853" s="121"/>
      <c r="X853" s="120"/>
      <c r="Y853" s="120"/>
      <c r="Z853" s="120"/>
      <c r="AA853" s="120"/>
      <c r="AB853" s="120"/>
      <c r="AC853" s="120"/>
      <c r="AD853" s="120"/>
      <c r="AE853" s="120"/>
      <c r="AF853" s="120"/>
      <c r="AG853" s="120"/>
      <c r="AH853" s="120"/>
      <c r="AI853" s="120"/>
      <c r="AJ853" s="120"/>
      <c r="AK853" s="120"/>
      <c r="AL853" s="120"/>
      <c r="AM853" s="120"/>
      <c r="AN853" s="120"/>
      <c r="AO853" s="120"/>
      <c r="AP853" s="120"/>
      <c r="AQ853" s="120"/>
      <c r="AR853" s="120"/>
      <c r="AS853" s="120"/>
      <c r="AT853" s="120"/>
      <c r="AU853" s="120"/>
      <c r="AV853" s="120"/>
      <c r="AW853" s="120"/>
      <c r="AX853" s="120"/>
      <c r="AY853" s="120"/>
      <c r="AZ853" s="120"/>
      <c r="BA853" s="120"/>
      <c r="BB853" s="120"/>
      <c r="BC853" s="120"/>
      <c r="BD853" s="120"/>
      <c r="BE853" s="120"/>
      <c r="BF853" s="120"/>
      <c r="BG853" s="120"/>
      <c r="BH853" s="120"/>
      <c r="BI853" s="120"/>
      <c r="BJ853" s="120"/>
      <c r="BK853" s="120"/>
      <c r="BL853" s="120"/>
      <c r="BM853" s="120"/>
      <c r="BN853" s="120"/>
      <c r="BO853" s="120"/>
      <c r="BP853" s="120"/>
      <c r="BQ853" s="120"/>
      <c r="BR853" s="120"/>
      <c r="BS853" s="120"/>
      <c r="BT853" s="120"/>
      <c r="BU853" s="120"/>
      <c r="BV853" s="120"/>
      <c r="BW853" s="120"/>
      <c r="BX853" s="120"/>
      <c r="BY853" s="120"/>
      <c r="BZ853" s="120"/>
      <c r="CA853" s="120"/>
      <c r="CB853" s="120"/>
      <c r="CC853" s="120"/>
      <c r="CD853" s="120"/>
      <c r="CE853" s="120"/>
      <c r="CF853" s="120"/>
      <c r="CG853" s="120"/>
      <c r="CH853" s="120"/>
      <c r="CI853" s="120"/>
      <c r="CJ853" s="120"/>
      <c r="CK853" s="120"/>
      <c r="CL853" s="120"/>
      <c r="CM853" s="120"/>
      <c r="CN853" s="120"/>
      <c r="CO853" s="120"/>
    </row>
    <row r="854" spans="1:93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1"/>
      <c r="U854" s="120"/>
      <c r="V854" s="120"/>
      <c r="W854" s="121"/>
      <c r="X854" s="120"/>
      <c r="Y854" s="120"/>
      <c r="Z854" s="120"/>
      <c r="AA854" s="120"/>
      <c r="AB854" s="120"/>
      <c r="AC854" s="120"/>
      <c r="AD854" s="120"/>
      <c r="AE854" s="120"/>
      <c r="AF854" s="120"/>
      <c r="AG854" s="120"/>
      <c r="AH854" s="120"/>
      <c r="AI854" s="120"/>
      <c r="AJ854" s="120"/>
      <c r="AK854" s="120"/>
      <c r="AL854" s="120"/>
      <c r="AM854" s="120"/>
      <c r="AN854" s="120"/>
      <c r="AO854" s="120"/>
      <c r="AP854" s="120"/>
      <c r="AQ854" s="120"/>
      <c r="AR854" s="120"/>
      <c r="AS854" s="120"/>
      <c r="AT854" s="120"/>
      <c r="AU854" s="120"/>
      <c r="AV854" s="120"/>
      <c r="AW854" s="120"/>
      <c r="AX854" s="120"/>
      <c r="AY854" s="120"/>
      <c r="AZ854" s="120"/>
      <c r="BA854" s="120"/>
      <c r="BB854" s="120"/>
      <c r="BC854" s="120"/>
      <c r="BD854" s="120"/>
      <c r="BE854" s="120"/>
      <c r="BF854" s="120"/>
      <c r="BG854" s="120"/>
      <c r="BH854" s="120"/>
      <c r="BI854" s="120"/>
      <c r="BJ854" s="120"/>
      <c r="BK854" s="120"/>
      <c r="BL854" s="120"/>
      <c r="BM854" s="120"/>
      <c r="BN854" s="120"/>
      <c r="BO854" s="120"/>
      <c r="BP854" s="120"/>
      <c r="BQ854" s="120"/>
      <c r="BR854" s="120"/>
      <c r="BS854" s="120"/>
      <c r="BT854" s="120"/>
      <c r="BU854" s="120"/>
      <c r="BV854" s="120"/>
      <c r="BW854" s="120"/>
      <c r="BX854" s="120"/>
      <c r="BY854" s="120"/>
      <c r="BZ854" s="120"/>
      <c r="CA854" s="120"/>
      <c r="CB854" s="120"/>
      <c r="CC854" s="120"/>
      <c r="CD854" s="120"/>
      <c r="CE854" s="120"/>
      <c r="CF854" s="120"/>
      <c r="CG854" s="120"/>
      <c r="CH854" s="120"/>
      <c r="CI854" s="120"/>
      <c r="CJ854" s="120"/>
      <c r="CK854" s="120"/>
      <c r="CL854" s="120"/>
      <c r="CM854" s="120"/>
      <c r="CN854" s="120"/>
      <c r="CO854" s="120"/>
    </row>
    <row r="855" spans="1:93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1"/>
      <c r="U855" s="120"/>
      <c r="V855" s="120"/>
      <c r="W855" s="121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0"/>
      <c r="AI855" s="120"/>
      <c r="AJ855" s="120"/>
      <c r="AK855" s="120"/>
      <c r="AL855" s="120"/>
      <c r="AM855" s="120"/>
      <c r="AN855" s="120"/>
      <c r="AO855" s="120"/>
      <c r="AP855" s="120"/>
      <c r="AQ855" s="120"/>
      <c r="AR855" s="120"/>
      <c r="AS855" s="120"/>
      <c r="AT855" s="120"/>
      <c r="AU855" s="120"/>
      <c r="AV855" s="120"/>
      <c r="AW855" s="120"/>
      <c r="AX855" s="120"/>
      <c r="AY855" s="120"/>
      <c r="AZ855" s="120"/>
      <c r="BA855" s="120"/>
      <c r="BB855" s="120"/>
      <c r="BC855" s="120"/>
      <c r="BD855" s="120"/>
      <c r="BE855" s="120"/>
      <c r="BF855" s="120"/>
      <c r="BG855" s="120"/>
      <c r="BH855" s="120"/>
      <c r="BI855" s="120"/>
      <c r="BJ855" s="120"/>
      <c r="BK855" s="120"/>
      <c r="BL855" s="120"/>
      <c r="BM855" s="120"/>
      <c r="BN855" s="120"/>
      <c r="BO855" s="120"/>
      <c r="BP855" s="120"/>
      <c r="BQ855" s="120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0"/>
      <c r="CB855" s="120"/>
      <c r="CC855" s="120"/>
      <c r="CD855" s="120"/>
      <c r="CE855" s="120"/>
      <c r="CF855" s="120"/>
      <c r="CG855" s="120"/>
      <c r="CH855" s="120"/>
      <c r="CI855" s="120"/>
      <c r="CJ855" s="120"/>
      <c r="CK855" s="120"/>
      <c r="CL855" s="120"/>
      <c r="CM855" s="120"/>
      <c r="CN855" s="120"/>
      <c r="CO855" s="120"/>
    </row>
    <row r="856" spans="1:93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1"/>
      <c r="U856" s="120"/>
      <c r="V856" s="120"/>
      <c r="W856" s="121"/>
      <c r="X856" s="120"/>
      <c r="Y856" s="120"/>
      <c r="Z856" s="120"/>
      <c r="AA856" s="120"/>
      <c r="AB856" s="120"/>
      <c r="AC856" s="120"/>
      <c r="AD856" s="120"/>
      <c r="AE856" s="120"/>
      <c r="AF856" s="120"/>
      <c r="AG856" s="120"/>
      <c r="AH856" s="120"/>
      <c r="AI856" s="120"/>
      <c r="AJ856" s="120"/>
      <c r="AK856" s="120"/>
      <c r="AL856" s="120"/>
      <c r="AM856" s="120"/>
      <c r="AN856" s="120"/>
      <c r="AO856" s="120"/>
      <c r="AP856" s="120"/>
      <c r="AQ856" s="120"/>
      <c r="AR856" s="120"/>
      <c r="AS856" s="120"/>
      <c r="AT856" s="120"/>
      <c r="AU856" s="120"/>
      <c r="AV856" s="120"/>
      <c r="AW856" s="120"/>
      <c r="AX856" s="120"/>
      <c r="AY856" s="120"/>
      <c r="AZ856" s="120"/>
      <c r="BA856" s="120"/>
      <c r="BB856" s="120"/>
      <c r="BC856" s="120"/>
      <c r="BD856" s="120"/>
      <c r="BE856" s="120"/>
      <c r="BF856" s="120"/>
      <c r="BG856" s="120"/>
      <c r="BH856" s="120"/>
      <c r="BI856" s="120"/>
      <c r="BJ856" s="120"/>
      <c r="BK856" s="120"/>
      <c r="BL856" s="120"/>
      <c r="BM856" s="120"/>
      <c r="BN856" s="120"/>
      <c r="BO856" s="120"/>
      <c r="BP856" s="120"/>
      <c r="BQ856" s="120"/>
      <c r="BR856" s="120"/>
      <c r="BS856" s="120"/>
      <c r="BT856" s="120"/>
      <c r="BU856" s="120"/>
      <c r="BV856" s="120"/>
      <c r="BW856" s="120"/>
      <c r="BX856" s="120"/>
      <c r="BY856" s="120"/>
      <c r="BZ856" s="120"/>
      <c r="CA856" s="120"/>
      <c r="CB856" s="120"/>
      <c r="CC856" s="120"/>
      <c r="CD856" s="120"/>
      <c r="CE856" s="120"/>
      <c r="CF856" s="120"/>
      <c r="CG856" s="120"/>
      <c r="CH856" s="120"/>
      <c r="CI856" s="120"/>
      <c r="CJ856" s="120"/>
      <c r="CK856" s="120"/>
      <c r="CL856" s="120"/>
      <c r="CM856" s="120"/>
      <c r="CN856" s="120"/>
      <c r="CO856" s="120"/>
    </row>
    <row r="857" spans="1:93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1"/>
      <c r="U857" s="120"/>
      <c r="V857" s="120"/>
      <c r="W857" s="121"/>
      <c r="X857" s="120"/>
      <c r="Y857" s="120"/>
      <c r="Z857" s="120"/>
      <c r="AA857" s="120"/>
      <c r="AB857" s="120"/>
      <c r="AC857" s="120"/>
      <c r="AD857" s="120"/>
      <c r="AE857" s="120"/>
      <c r="AF857" s="120"/>
      <c r="AG857" s="120"/>
      <c r="AH857" s="120"/>
      <c r="AI857" s="120"/>
      <c r="AJ857" s="120"/>
      <c r="AK857" s="120"/>
      <c r="AL857" s="120"/>
      <c r="AM857" s="120"/>
      <c r="AN857" s="120"/>
      <c r="AO857" s="120"/>
      <c r="AP857" s="120"/>
      <c r="AQ857" s="120"/>
      <c r="AR857" s="120"/>
      <c r="AS857" s="120"/>
      <c r="AT857" s="120"/>
      <c r="AU857" s="120"/>
      <c r="AV857" s="120"/>
      <c r="AW857" s="120"/>
      <c r="AX857" s="120"/>
      <c r="AY857" s="120"/>
      <c r="AZ857" s="120"/>
      <c r="BA857" s="120"/>
      <c r="BB857" s="120"/>
      <c r="BC857" s="120"/>
      <c r="BD857" s="120"/>
      <c r="BE857" s="120"/>
      <c r="BF857" s="120"/>
      <c r="BG857" s="120"/>
      <c r="BH857" s="120"/>
      <c r="BI857" s="120"/>
      <c r="BJ857" s="120"/>
      <c r="BK857" s="120"/>
      <c r="BL857" s="120"/>
      <c r="BM857" s="120"/>
      <c r="BN857" s="120"/>
      <c r="BO857" s="120"/>
      <c r="BP857" s="120"/>
      <c r="BQ857" s="120"/>
      <c r="BR857" s="120"/>
      <c r="BS857" s="120"/>
      <c r="BT857" s="120"/>
      <c r="BU857" s="120"/>
      <c r="BV857" s="120"/>
      <c r="BW857" s="120"/>
      <c r="BX857" s="120"/>
      <c r="BY857" s="120"/>
      <c r="BZ857" s="120"/>
      <c r="CA857" s="120"/>
      <c r="CB857" s="120"/>
      <c r="CC857" s="120"/>
      <c r="CD857" s="120"/>
      <c r="CE857" s="120"/>
      <c r="CF857" s="120"/>
      <c r="CG857" s="120"/>
      <c r="CH857" s="120"/>
      <c r="CI857" s="120"/>
      <c r="CJ857" s="120"/>
      <c r="CK857" s="120"/>
      <c r="CL857" s="120"/>
      <c r="CM857" s="120"/>
      <c r="CN857" s="120"/>
      <c r="CO857" s="120"/>
    </row>
    <row r="858" spans="1:93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1"/>
      <c r="U858" s="120"/>
      <c r="V858" s="120"/>
      <c r="W858" s="121"/>
      <c r="X858" s="120"/>
      <c r="Y858" s="120"/>
      <c r="Z858" s="120"/>
      <c r="AA858" s="120"/>
      <c r="AB858" s="120"/>
      <c r="AC858" s="120"/>
      <c r="AD858" s="120"/>
      <c r="AE858" s="120"/>
      <c r="AF858" s="120"/>
      <c r="AG858" s="120"/>
      <c r="AH858" s="120"/>
      <c r="AI858" s="120"/>
      <c r="AJ858" s="120"/>
      <c r="AK858" s="120"/>
      <c r="AL858" s="120"/>
      <c r="AM858" s="120"/>
      <c r="AN858" s="120"/>
      <c r="AO858" s="120"/>
      <c r="AP858" s="120"/>
      <c r="AQ858" s="120"/>
      <c r="AR858" s="120"/>
      <c r="AS858" s="120"/>
      <c r="AT858" s="120"/>
      <c r="AU858" s="120"/>
      <c r="AV858" s="120"/>
      <c r="AW858" s="120"/>
      <c r="AX858" s="120"/>
      <c r="AY858" s="120"/>
      <c r="AZ858" s="120"/>
      <c r="BA858" s="120"/>
      <c r="BB858" s="120"/>
      <c r="BC858" s="120"/>
      <c r="BD858" s="120"/>
      <c r="BE858" s="120"/>
      <c r="BF858" s="120"/>
      <c r="BG858" s="120"/>
      <c r="BH858" s="120"/>
      <c r="BI858" s="120"/>
      <c r="BJ858" s="120"/>
      <c r="BK858" s="120"/>
      <c r="BL858" s="120"/>
      <c r="BM858" s="120"/>
      <c r="BN858" s="120"/>
      <c r="BO858" s="120"/>
      <c r="BP858" s="120"/>
      <c r="BQ858" s="120"/>
      <c r="BR858" s="120"/>
      <c r="BS858" s="120"/>
      <c r="BT858" s="120"/>
      <c r="BU858" s="120"/>
      <c r="BV858" s="120"/>
      <c r="BW858" s="120"/>
      <c r="BX858" s="120"/>
      <c r="BY858" s="120"/>
      <c r="BZ858" s="120"/>
      <c r="CA858" s="120"/>
      <c r="CB858" s="120"/>
      <c r="CC858" s="120"/>
      <c r="CD858" s="120"/>
      <c r="CE858" s="120"/>
      <c r="CF858" s="120"/>
      <c r="CG858" s="120"/>
      <c r="CH858" s="120"/>
      <c r="CI858" s="120"/>
      <c r="CJ858" s="120"/>
      <c r="CK858" s="120"/>
      <c r="CL858" s="120"/>
      <c r="CM858" s="120"/>
      <c r="CN858" s="120"/>
      <c r="CO858" s="120"/>
    </row>
    <row r="859" spans="1:93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1"/>
      <c r="U859" s="120"/>
      <c r="V859" s="120"/>
      <c r="W859" s="121"/>
      <c r="X859" s="120"/>
      <c r="Y859" s="120"/>
      <c r="Z859" s="120"/>
      <c r="AA859" s="120"/>
      <c r="AB859" s="120"/>
      <c r="AC859" s="120"/>
      <c r="AD859" s="120"/>
      <c r="AE859" s="120"/>
      <c r="AF859" s="120"/>
      <c r="AG859" s="120"/>
      <c r="AH859" s="120"/>
      <c r="AI859" s="120"/>
      <c r="AJ859" s="120"/>
      <c r="AK859" s="120"/>
      <c r="AL859" s="120"/>
      <c r="AM859" s="120"/>
      <c r="AN859" s="120"/>
      <c r="AO859" s="120"/>
      <c r="AP859" s="120"/>
      <c r="AQ859" s="120"/>
      <c r="AR859" s="120"/>
      <c r="AS859" s="120"/>
      <c r="AT859" s="120"/>
      <c r="AU859" s="120"/>
      <c r="AV859" s="120"/>
      <c r="AW859" s="120"/>
      <c r="AX859" s="120"/>
      <c r="AY859" s="120"/>
      <c r="AZ859" s="120"/>
      <c r="BA859" s="120"/>
      <c r="BB859" s="120"/>
      <c r="BC859" s="120"/>
      <c r="BD859" s="120"/>
      <c r="BE859" s="120"/>
      <c r="BF859" s="120"/>
      <c r="BG859" s="120"/>
      <c r="BH859" s="120"/>
      <c r="BI859" s="120"/>
      <c r="BJ859" s="120"/>
      <c r="BK859" s="120"/>
      <c r="BL859" s="120"/>
      <c r="BM859" s="120"/>
      <c r="BN859" s="120"/>
      <c r="BO859" s="120"/>
      <c r="BP859" s="120"/>
      <c r="BQ859" s="120"/>
      <c r="BR859" s="120"/>
      <c r="BS859" s="120"/>
      <c r="BT859" s="120"/>
      <c r="BU859" s="120"/>
      <c r="BV859" s="120"/>
      <c r="BW859" s="120"/>
      <c r="BX859" s="120"/>
      <c r="BY859" s="120"/>
      <c r="BZ859" s="120"/>
      <c r="CA859" s="120"/>
      <c r="CB859" s="120"/>
      <c r="CC859" s="120"/>
      <c r="CD859" s="120"/>
      <c r="CE859" s="120"/>
      <c r="CF859" s="120"/>
      <c r="CG859" s="120"/>
      <c r="CH859" s="120"/>
      <c r="CI859" s="120"/>
      <c r="CJ859" s="120"/>
      <c r="CK859" s="120"/>
      <c r="CL859" s="120"/>
      <c r="CM859" s="120"/>
      <c r="CN859" s="120"/>
      <c r="CO859" s="120"/>
    </row>
    <row r="860" spans="1:93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1"/>
      <c r="U860" s="120"/>
      <c r="V860" s="120"/>
      <c r="W860" s="121"/>
      <c r="X860" s="120"/>
      <c r="Y860" s="120"/>
      <c r="Z860" s="120"/>
      <c r="AA860" s="120"/>
      <c r="AB860" s="120"/>
      <c r="AC860" s="120"/>
      <c r="AD860" s="120"/>
      <c r="AE860" s="120"/>
      <c r="AF860" s="120"/>
      <c r="AG860" s="120"/>
      <c r="AH860" s="120"/>
      <c r="AI860" s="120"/>
      <c r="AJ860" s="120"/>
      <c r="AK860" s="120"/>
      <c r="AL860" s="120"/>
      <c r="AM860" s="120"/>
      <c r="AN860" s="120"/>
      <c r="AO860" s="120"/>
      <c r="AP860" s="120"/>
      <c r="AQ860" s="120"/>
      <c r="AR860" s="120"/>
      <c r="AS860" s="120"/>
      <c r="AT860" s="120"/>
      <c r="AU860" s="120"/>
      <c r="AV860" s="120"/>
      <c r="AW860" s="120"/>
      <c r="AX860" s="120"/>
      <c r="AY860" s="120"/>
      <c r="AZ860" s="120"/>
      <c r="BA860" s="120"/>
      <c r="BB860" s="120"/>
      <c r="BC860" s="120"/>
      <c r="BD860" s="120"/>
      <c r="BE860" s="120"/>
      <c r="BF860" s="120"/>
      <c r="BG860" s="120"/>
      <c r="BH860" s="120"/>
      <c r="BI860" s="120"/>
      <c r="BJ860" s="120"/>
      <c r="BK860" s="120"/>
      <c r="BL860" s="120"/>
      <c r="BM860" s="120"/>
      <c r="BN860" s="120"/>
      <c r="BO860" s="120"/>
      <c r="BP860" s="120"/>
      <c r="BQ860" s="120"/>
      <c r="BR860" s="120"/>
      <c r="BS860" s="120"/>
      <c r="BT860" s="120"/>
      <c r="BU860" s="120"/>
      <c r="BV860" s="120"/>
      <c r="BW860" s="120"/>
      <c r="BX860" s="120"/>
      <c r="BY860" s="120"/>
      <c r="BZ860" s="120"/>
      <c r="CA860" s="120"/>
      <c r="CB860" s="120"/>
      <c r="CC860" s="120"/>
      <c r="CD860" s="120"/>
      <c r="CE860" s="120"/>
      <c r="CF860" s="120"/>
      <c r="CG860" s="120"/>
      <c r="CH860" s="120"/>
      <c r="CI860" s="120"/>
      <c r="CJ860" s="120"/>
      <c r="CK860" s="120"/>
      <c r="CL860" s="120"/>
      <c r="CM860" s="120"/>
      <c r="CN860" s="120"/>
      <c r="CO860" s="120"/>
    </row>
    <row r="861" spans="1:93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1"/>
      <c r="U861" s="120"/>
      <c r="V861" s="120"/>
      <c r="W861" s="121"/>
      <c r="X861" s="120"/>
      <c r="Y861" s="120"/>
      <c r="Z861" s="120"/>
      <c r="AA861" s="120"/>
      <c r="AB861" s="120"/>
      <c r="AC861" s="120"/>
      <c r="AD861" s="120"/>
      <c r="AE861" s="120"/>
      <c r="AF861" s="120"/>
      <c r="AG861" s="120"/>
      <c r="AH861" s="120"/>
      <c r="AI861" s="120"/>
      <c r="AJ861" s="120"/>
      <c r="AK861" s="120"/>
      <c r="AL861" s="120"/>
      <c r="AM861" s="120"/>
      <c r="AN861" s="120"/>
      <c r="AO861" s="120"/>
      <c r="AP861" s="120"/>
      <c r="AQ861" s="120"/>
      <c r="AR861" s="120"/>
      <c r="AS861" s="120"/>
      <c r="AT861" s="120"/>
      <c r="AU861" s="120"/>
      <c r="AV861" s="120"/>
      <c r="AW861" s="120"/>
      <c r="AX861" s="120"/>
      <c r="AY861" s="120"/>
      <c r="AZ861" s="120"/>
      <c r="BA861" s="120"/>
      <c r="BB861" s="120"/>
      <c r="BC861" s="120"/>
      <c r="BD861" s="120"/>
      <c r="BE861" s="120"/>
      <c r="BF861" s="120"/>
      <c r="BG861" s="120"/>
      <c r="BH861" s="120"/>
      <c r="BI861" s="120"/>
      <c r="BJ861" s="120"/>
      <c r="BK861" s="120"/>
      <c r="BL861" s="120"/>
      <c r="BM861" s="120"/>
      <c r="BN861" s="120"/>
      <c r="BO861" s="120"/>
      <c r="BP861" s="120"/>
      <c r="BQ861" s="120"/>
      <c r="BR861" s="120"/>
      <c r="BS861" s="120"/>
      <c r="BT861" s="120"/>
      <c r="BU861" s="120"/>
      <c r="BV861" s="120"/>
      <c r="BW861" s="120"/>
      <c r="BX861" s="120"/>
      <c r="BY861" s="120"/>
      <c r="BZ861" s="120"/>
      <c r="CA861" s="120"/>
      <c r="CB861" s="120"/>
      <c r="CC861" s="120"/>
      <c r="CD861" s="120"/>
      <c r="CE861" s="120"/>
      <c r="CF861" s="120"/>
      <c r="CG861" s="120"/>
      <c r="CH861" s="120"/>
      <c r="CI861" s="120"/>
      <c r="CJ861" s="120"/>
      <c r="CK861" s="120"/>
      <c r="CL861" s="120"/>
      <c r="CM861" s="120"/>
      <c r="CN861" s="120"/>
      <c r="CO861" s="120"/>
    </row>
    <row r="862" spans="1:93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1"/>
      <c r="U862" s="120"/>
      <c r="V862" s="120"/>
      <c r="W862" s="121"/>
      <c r="X862" s="120"/>
      <c r="Y862" s="120"/>
      <c r="Z862" s="120"/>
      <c r="AA862" s="120"/>
      <c r="AB862" s="120"/>
      <c r="AC862" s="120"/>
      <c r="AD862" s="120"/>
      <c r="AE862" s="120"/>
      <c r="AF862" s="120"/>
      <c r="AG862" s="120"/>
      <c r="AH862" s="120"/>
      <c r="AI862" s="120"/>
      <c r="AJ862" s="120"/>
      <c r="AK862" s="120"/>
      <c r="AL862" s="120"/>
      <c r="AM862" s="120"/>
      <c r="AN862" s="120"/>
      <c r="AO862" s="120"/>
      <c r="AP862" s="120"/>
      <c r="AQ862" s="120"/>
      <c r="AR862" s="120"/>
      <c r="AS862" s="120"/>
      <c r="AT862" s="120"/>
      <c r="AU862" s="120"/>
      <c r="AV862" s="120"/>
      <c r="AW862" s="120"/>
      <c r="AX862" s="120"/>
      <c r="AY862" s="120"/>
      <c r="AZ862" s="120"/>
      <c r="BA862" s="120"/>
      <c r="BB862" s="120"/>
      <c r="BC862" s="120"/>
      <c r="BD862" s="120"/>
      <c r="BE862" s="120"/>
      <c r="BF862" s="120"/>
      <c r="BG862" s="120"/>
      <c r="BH862" s="120"/>
      <c r="BI862" s="120"/>
      <c r="BJ862" s="120"/>
      <c r="BK862" s="120"/>
      <c r="BL862" s="120"/>
      <c r="BM862" s="120"/>
      <c r="BN862" s="120"/>
      <c r="BO862" s="120"/>
      <c r="BP862" s="120"/>
      <c r="BQ862" s="120"/>
      <c r="BR862" s="120"/>
      <c r="BS862" s="120"/>
      <c r="BT862" s="120"/>
      <c r="BU862" s="120"/>
      <c r="BV862" s="120"/>
      <c r="BW862" s="120"/>
      <c r="BX862" s="120"/>
      <c r="BY862" s="120"/>
      <c r="BZ862" s="120"/>
      <c r="CA862" s="120"/>
      <c r="CB862" s="120"/>
      <c r="CC862" s="120"/>
      <c r="CD862" s="120"/>
      <c r="CE862" s="120"/>
      <c r="CF862" s="120"/>
      <c r="CG862" s="120"/>
      <c r="CH862" s="120"/>
      <c r="CI862" s="120"/>
      <c r="CJ862" s="120"/>
      <c r="CK862" s="120"/>
      <c r="CL862" s="120"/>
      <c r="CM862" s="120"/>
      <c r="CN862" s="120"/>
      <c r="CO862" s="120"/>
    </row>
    <row r="863" spans="1:93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1"/>
      <c r="U863" s="120"/>
      <c r="V863" s="120"/>
      <c r="W863" s="121"/>
      <c r="X863" s="120"/>
      <c r="Y863" s="120"/>
      <c r="Z863" s="120"/>
      <c r="AA863" s="120"/>
      <c r="AB863" s="120"/>
      <c r="AC863" s="120"/>
      <c r="AD863" s="120"/>
      <c r="AE863" s="120"/>
      <c r="AF863" s="120"/>
      <c r="AG863" s="120"/>
      <c r="AH863" s="120"/>
      <c r="AI863" s="120"/>
      <c r="AJ863" s="120"/>
      <c r="AK863" s="120"/>
      <c r="AL863" s="120"/>
      <c r="AM863" s="120"/>
      <c r="AN863" s="120"/>
      <c r="AO863" s="120"/>
      <c r="AP863" s="120"/>
      <c r="AQ863" s="120"/>
      <c r="AR863" s="120"/>
      <c r="AS863" s="120"/>
      <c r="AT863" s="120"/>
      <c r="AU863" s="120"/>
      <c r="AV863" s="120"/>
      <c r="AW863" s="120"/>
      <c r="AX863" s="120"/>
      <c r="AY863" s="120"/>
      <c r="AZ863" s="120"/>
      <c r="BA863" s="120"/>
      <c r="BB863" s="120"/>
      <c r="BC863" s="120"/>
      <c r="BD863" s="120"/>
      <c r="BE863" s="120"/>
      <c r="BF863" s="120"/>
      <c r="BG863" s="120"/>
      <c r="BH863" s="120"/>
      <c r="BI863" s="120"/>
      <c r="BJ863" s="120"/>
      <c r="BK863" s="120"/>
      <c r="BL863" s="120"/>
      <c r="BM863" s="120"/>
      <c r="BN863" s="120"/>
      <c r="BO863" s="120"/>
      <c r="BP863" s="120"/>
      <c r="BQ863" s="120"/>
      <c r="BR863" s="120"/>
      <c r="BS863" s="120"/>
      <c r="BT863" s="120"/>
      <c r="BU863" s="120"/>
      <c r="BV863" s="120"/>
      <c r="BW863" s="120"/>
      <c r="BX863" s="120"/>
      <c r="BY863" s="120"/>
      <c r="BZ863" s="120"/>
      <c r="CA863" s="120"/>
      <c r="CB863" s="120"/>
      <c r="CC863" s="120"/>
      <c r="CD863" s="120"/>
      <c r="CE863" s="120"/>
      <c r="CF863" s="120"/>
      <c r="CG863" s="120"/>
      <c r="CH863" s="120"/>
      <c r="CI863" s="120"/>
      <c r="CJ863" s="120"/>
      <c r="CK863" s="120"/>
      <c r="CL863" s="120"/>
      <c r="CM863" s="120"/>
      <c r="CN863" s="120"/>
      <c r="CO863" s="120"/>
    </row>
    <row r="864" spans="1:93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1"/>
      <c r="U864" s="120"/>
      <c r="V864" s="120"/>
      <c r="W864" s="121"/>
      <c r="X864" s="120"/>
      <c r="Y864" s="120"/>
      <c r="Z864" s="120"/>
      <c r="AA864" s="120"/>
      <c r="AB864" s="120"/>
      <c r="AC864" s="120"/>
      <c r="AD864" s="120"/>
      <c r="AE864" s="120"/>
      <c r="AF864" s="120"/>
      <c r="AG864" s="120"/>
      <c r="AH864" s="120"/>
      <c r="AI864" s="120"/>
      <c r="AJ864" s="120"/>
      <c r="AK864" s="120"/>
      <c r="AL864" s="120"/>
      <c r="AM864" s="120"/>
      <c r="AN864" s="120"/>
      <c r="AO864" s="120"/>
      <c r="AP864" s="120"/>
      <c r="AQ864" s="120"/>
      <c r="AR864" s="120"/>
      <c r="AS864" s="120"/>
      <c r="AT864" s="120"/>
      <c r="AU864" s="120"/>
      <c r="AV864" s="120"/>
      <c r="AW864" s="120"/>
      <c r="AX864" s="120"/>
      <c r="AY864" s="120"/>
      <c r="AZ864" s="120"/>
      <c r="BA864" s="120"/>
      <c r="BB864" s="120"/>
      <c r="BC864" s="120"/>
      <c r="BD864" s="120"/>
      <c r="BE864" s="120"/>
      <c r="BF864" s="120"/>
      <c r="BG864" s="120"/>
      <c r="BH864" s="120"/>
      <c r="BI864" s="120"/>
      <c r="BJ864" s="120"/>
      <c r="BK864" s="120"/>
      <c r="BL864" s="120"/>
      <c r="BM864" s="120"/>
      <c r="BN864" s="120"/>
      <c r="BO864" s="120"/>
      <c r="BP864" s="120"/>
      <c r="BQ864" s="120"/>
      <c r="BR864" s="120"/>
      <c r="BS864" s="120"/>
      <c r="BT864" s="120"/>
      <c r="BU864" s="120"/>
      <c r="BV864" s="120"/>
      <c r="BW864" s="120"/>
      <c r="BX864" s="120"/>
      <c r="BY864" s="120"/>
      <c r="BZ864" s="120"/>
      <c r="CA864" s="120"/>
      <c r="CB864" s="120"/>
      <c r="CC864" s="120"/>
      <c r="CD864" s="120"/>
      <c r="CE864" s="120"/>
      <c r="CF864" s="120"/>
      <c r="CG864" s="120"/>
      <c r="CH864" s="120"/>
      <c r="CI864" s="120"/>
      <c r="CJ864" s="120"/>
      <c r="CK864" s="120"/>
      <c r="CL864" s="120"/>
      <c r="CM864" s="120"/>
      <c r="CN864" s="120"/>
      <c r="CO864" s="120"/>
    </row>
    <row r="865" spans="1:93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1"/>
      <c r="U865" s="120"/>
      <c r="V865" s="120"/>
      <c r="W865" s="121"/>
      <c r="X865" s="120"/>
      <c r="Y865" s="120"/>
      <c r="Z865" s="120"/>
      <c r="AA865" s="120"/>
      <c r="AB865" s="120"/>
      <c r="AC865" s="120"/>
      <c r="AD865" s="120"/>
      <c r="AE865" s="120"/>
      <c r="AF865" s="120"/>
      <c r="AG865" s="120"/>
      <c r="AH865" s="120"/>
      <c r="AI865" s="120"/>
      <c r="AJ865" s="120"/>
      <c r="AK865" s="120"/>
      <c r="AL865" s="120"/>
      <c r="AM865" s="120"/>
      <c r="AN865" s="120"/>
      <c r="AO865" s="120"/>
      <c r="AP865" s="120"/>
      <c r="AQ865" s="120"/>
      <c r="AR865" s="120"/>
      <c r="AS865" s="120"/>
      <c r="AT865" s="120"/>
      <c r="AU865" s="120"/>
      <c r="AV865" s="120"/>
      <c r="AW865" s="120"/>
      <c r="AX865" s="120"/>
      <c r="AY865" s="120"/>
      <c r="AZ865" s="120"/>
      <c r="BA865" s="120"/>
      <c r="BB865" s="120"/>
      <c r="BC865" s="120"/>
      <c r="BD865" s="120"/>
      <c r="BE865" s="120"/>
      <c r="BF865" s="120"/>
      <c r="BG865" s="120"/>
      <c r="BH865" s="120"/>
      <c r="BI865" s="120"/>
      <c r="BJ865" s="120"/>
      <c r="BK865" s="120"/>
      <c r="BL865" s="120"/>
      <c r="BM865" s="120"/>
      <c r="BN865" s="120"/>
      <c r="BO865" s="120"/>
      <c r="BP865" s="120"/>
      <c r="BQ865" s="120"/>
      <c r="BR865" s="120"/>
      <c r="BS865" s="120"/>
      <c r="BT865" s="120"/>
      <c r="BU865" s="120"/>
      <c r="BV865" s="120"/>
      <c r="BW865" s="120"/>
      <c r="BX865" s="120"/>
      <c r="BY865" s="120"/>
      <c r="BZ865" s="120"/>
      <c r="CA865" s="120"/>
      <c r="CB865" s="120"/>
      <c r="CC865" s="120"/>
      <c r="CD865" s="120"/>
      <c r="CE865" s="120"/>
      <c r="CF865" s="120"/>
      <c r="CG865" s="120"/>
      <c r="CH865" s="120"/>
      <c r="CI865" s="120"/>
      <c r="CJ865" s="120"/>
      <c r="CK865" s="120"/>
      <c r="CL865" s="120"/>
      <c r="CM865" s="120"/>
      <c r="CN865" s="120"/>
      <c r="CO865" s="120"/>
    </row>
    <row r="866" spans="1:93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1"/>
      <c r="U866" s="120"/>
      <c r="V866" s="120"/>
      <c r="W866" s="121"/>
      <c r="X866" s="120"/>
      <c r="Y866" s="120"/>
      <c r="Z866" s="120"/>
      <c r="AA866" s="120"/>
      <c r="AB866" s="120"/>
      <c r="AC866" s="120"/>
      <c r="AD866" s="120"/>
      <c r="AE866" s="120"/>
      <c r="AF866" s="120"/>
      <c r="AG866" s="120"/>
      <c r="AH866" s="120"/>
      <c r="AI866" s="120"/>
      <c r="AJ866" s="120"/>
      <c r="AK866" s="120"/>
      <c r="AL866" s="120"/>
      <c r="AM866" s="120"/>
      <c r="AN866" s="120"/>
      <c r="AO866" s="120"/>
      <c r="AP866" s="120"/>
      <c r="AQ866" s="120"/>
      <c r="AR866" s="120"/>
      <c r="AS866" s="120"/>
      <c r="AT866" s="120"/>
      <c r="AU866" s="120"/>
      <c r="AV866" s="120"/>
      <c r="AW866" s="120"/>
      <c r="AX866" s="120"/>
      <c r="AY866" s="120"/>
      <c r="AZ866" s="120"/>
      <c r="BA866" s="120"/>
      <c r="BB866" s="120"/>
      <c r="BC866" s="120"/>
      <c r="BD866" s="120"/>
      <c r="BE866" s="120"/>
      <c r="BF866" s="120"/>
      <c r="BG866" s="120"/>
      <c r="BH866" s="120"/>
      <c r="BI866" s="120"/>
      <c r="BJ866" s="120"/>
      <c r="BK866" s="120"/>
      <c r="BL866" s="120"/>
      <c r="BM866" s="120"/>
      <c r="BN866" s="120"/>
      <c r="BO866" s="120"/>
      <c r="BP866" s="120"/>
      <c r="BQ866" s="120"/>
      <c r="BR866" s="120"/>
      <c r="BS866" s="120"/>
      <c r="BT866" s="120"/>
      <c r="BU866" s="120"/>
      <c r="BV866" s="120"/>
      <c r="BW866" s="120"/>
      <c r="BX866" s="120"/>
      <c r="BY866" s="120"/>
      <c r="BZ866" s="120"/>
      <c r="CA866" s="120"/>
      <c r="CB866" s="120"/>
      <c r="CC866" s="120"/>
      <c r="CD866" s="120"/>
      <c r="CE866" s="120"/>
      <c r="CF866" s="120"/>
      <c r="CG866" s="120"/>
      <c r="CH866" s="120"/>
      <c r="CI866" s="120"/>
      <c r="CJ866" s="120"/>
      <c r="CK866" s="120"/>
      <c r="CL866" s="120"/>
      <c r="CM866" s="120"/>
      <c r="CN866" s="120"/>
      <c r="CO866" s="120"/>
    </row>
    <row r="867" spans="1:93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1"/>
      <c r="U867" s="120"/>
      <c r="V867" s="120"/>
      <c r="W867" s="121"/>
      <c r="X867" s="120"/>
      <c r="Y867" s="120"/>
      <c r="Z867" s="120"/>
      <c r="AA867" s="120"/>
      <c r="AB867" s="120"/>
      <c r="AC867" s="120"/>
      <c r="AD867" s="120"/>
      <c r="AE867" s="120"/>
      <c r="AF867" s="120"/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0"/>
      <c r="AV867" s="120"/>
      <c r="AW867" s="120"/>
      <c r="AX867" s="120"/>
      <c r="AY867" s="120"/>
      <c r="AZ867" s="120"/>
      <c r="BA867" s="120"/>
      <c r="BB867" s="120"/>
      <c r="BC867" s="120"/>
      <c r="BD867" s="120"/>
      <c r="BE867" s="120"/>
      <c r="BF867" s="120"/>
      <c r="BG867" s="120"/>
      <c r="BH867" s="120"/>
      <c r="BI867" s="120"/>
      <c r="BJ867" s="120"/>
      <c r="BK867" s="120"/>
      <c r="BL867" s="120"/>
      <c r="BM867" s="120"/>
      <c r="BN867" s="120"/>
      <c r="BO867" s="120"/>
      <c r="BP867" s="120"/>
      <c r="BQ867" s="120"/>
      <c r="BR867" s="120"/>
      <c r="BS867" s="120"/>
      <c r="BT867" s="120"/>
      <c r="BU867" s="120"/>
      <c r="BV867" s="120"/>
      <c r="BW867" s="120"/>
      <c r="BX867" s="120"/>
      <c r="BY867" s="120"/>
      <c r="BZ867" s="120"/>
      <c r="CA867" s="120"/>
      <c r="CB867" s="120"/>
      <c r="CC867" s="120"/>
      <c r="CD867" s="120"/>
      <c r="CE867" s="120"/>
      <c r="CF867" s="120"/>
      <c r="CG867" s="120"/>
      <c r="CH867" s="120"/>
      <c r="CI867" s="120"/>
      <c r="CJ867" s="120"/>
      <c r="CK867" s="120"/>
      <c r="CL867" s="120"/>
      <c r="CM867" s="120"/>
      <c r="CN867" s="120"/>
      <c r="CO867" s="120"/>
    </row>
    <row r="868" spans="1:93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1"/>
      <c r="U868" s="120"/>
      <c r="V868" s="120"/>
      <c r="W868" s="121"/>
      <c r="X868" s="120"/>
      <c r="Y868" s="120"/>
      <c r="Z868" s="120"/>
      <c r="AA868" s="120"/>
      <c r="AB868" s="120"/>
      <c r="AC868" s="120"/>
      <c r="AD868" s="120"/>
      <c r="AE868" s="120"/>
      <c r="AF868" s="120"/>
      <c r="AG868" s="120"/>
      <c r="AH868" s="120"/>
      <c r="AI868" s="120"/>
      <c r="AJ868" s="120"/>
      <c r="AK868" s="120"/>
      <c r="AL868" s="120"/>
      <c r="AM868" s="120"/>
      <c r="AN868" s="120"/>
      <c r="AO868" s="120"/>
      <c r="AP868" s="120"/>
      <c r="AQ868" s="120"/>
      <c r="AR868" s="120"/>
      <c r="AS868" s="120"/>
      <c r="AT868" s="120"/>
      <c r="AU868" s="120"/>
      <c r="AV868" s="120"/>
      <c r="AW868" s="120"/>
      <c r="AX868" s="120"/>
      <c r="AY868" s="120"/>
      <c r="AZ868" s="120"/>
      <c r="BA868" s="120"/>
      <c r="BB868" s="120"/>
      <c r="BC868" s="120"/>
      <c r="BD868" s="120"/>
      <c r="BE868" s="120"/>
      <c r="BF868" s="120"/>
      <c r="BG868" s="120"/>
      <c r="BH868" s="120"/>
      <c r="BI868" s="120"/>
      <c r="BJ868" s="120"/>
      <c r="BK868" s="120"/>
      <c r="BL868" s="120"/>
      <c r="BM868" s="120"/>
      <c r="BN868" s="120"/>
      <c r="BO868" s="120"/>
      <c r="BP868" s="120"/>
      <c r="BQ868" s="120"/>
      <c r="BR868" s="120"/>
      <c r="BS868" s="120"/>
      <c r="BT868" s="120"/>
      <c r="BU868" s="120"/>
      <c r="BV868" s="120"/>
      <c r="BW868" s="120"/>
      <c r="BX868" s="120"/>
      <c r="BY868" s="120"/>
      <c r="BZ868" s="120"/>
      <c r="CA868" s="120"/>
      <c r="CB868" s="120"/>
      <c r="CC868" s="120"/>
      <c r="CD868" s="120"/>
      <c r="CE868" s="120"/>
      <c r="CF868" s="120"/>
      <c r="CG868" s="120"/>
      <c r="CH868" s="120"/>
      <c r="CI868" s="120"/>
      <c r="CJ868" s="120"/>
      <c r="CK868" s="120"/>
      <c r="CL868" s="120"/>
      <c r="CM868" s="120"/>
      <c r="CN868" s="120"/>
      <c r="CO868" s="120"/>
    </row>
    <row r="869" spans="1:93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1"/>
      <c r="U869" s="120"/>
      <c r="V869" s="120"/>
      <c r="W869" s="121"/>
      <c r="X869" s="120"/>
      <c r="Y869" s="120"/>
      <c r="Z869" s="120"/>
      <c r="AA869" s="120"/>
      <c r="AB869" s="120"/>
      <c r="AC869" s="120"/>
      <c r="AD869" s="120"/>
      <c r="AE869" s="120"/>
      <c r="AF869" s="120"/>
      <c r="AG869" s="120"/>
      <c r="AH869" s="120"/>
      <c r="AI869" s="120"/>
      <c r="AJ869" s="120"/>
      <c r="AK869" s="120"/>
      <c r="AL869" s="120"/>
      <c r="AM869" s="120"/>
      <c r="AN869" s="120"/>
      <c r="AO869" s="120"/>
      <c r="AP869" s="120"/>
      <c r="AQ869" s="120"/>
      <c r="AR869" s="120"/>
      <c r="AS869" s="120"/>
      <c r="AT869" s="120"/>
      <c r="AU869" s="120"/>
      <c r="AV869" s="120"/>
      <c r="AW869" s="120"/>
      <c r="AX869" s="120"/>
      <c r="AY869" s="120"/>
      <c r="AZ869" s="120"/>
      <c r="BA869" s="120"/>
      <c r="BB869" s="120"/>
      <c r="BC869" s="120"/>
      <c r="BD869" s="120"/>
      <c r="BE869" s="120"/>
      <c r="BF869" s="120"/>
      <c r="BG869" s="120"/>
      <c r="BH869" s="120"/>
      <c r="BI869" s="120"/>
      <c r="BJ869" s="120"/>
      <c r="BK869" s="120"/>
      <c r="BL869" s="120"/>
      <c r="BM869" s="120"/>
      <c r="BN869" s="120"/>
      <c r="BO869" s="120"/>
      <c r="BP869" s="120"/>
      <c r="BQ869" s="120"/>
      <c r="BR869" s="120"/>
      <c r="BS869" s="120"/>
      <c r="BT869" s="120"/>
      <c r="BU869" s="120"/>
      <c r="BV869" s="120"/>
      <c r="BW869" s="120"/>
      <c r="BX869" s="120"/>
      <c r="BY869" s="120"/>
      <c r="BZ869" s="120"/>
      <c r="CA869" s="120"/>
      <c r="CB869" s="120"/>
      <c r="CC869" s="120"/>
      <c r="CD869" s="120"/>
      <c r="CE869" s="120"/>
      <c r="CF869" s="120"/>
      <c r="CG869" s="120"/>
      <c r="CH869" s="120"/>
      <c r="CI869" s="120"/>
      <c r="CJ869" s="120"/>
      <c r="CK869" s="120"/>
      <c r="CL869" s="120"/>
      <c r="CM869" s="120"/>
      <c r="CN869" s="120"/>
      <c r="CO869" s="120"/>
    </row>
    <row r="870" spans="1:93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1"/>
      <c r="U870" s="120"/>
      <c r="V870" s="120"/>
      <c r="W870" s="121"/>
      <c r="X870" s="120"/>
      <c r="Y870" s="120"/>
      <c r="Z870" s="120"/>
      <c r="AA870" s="120"/>
      <c r="AB870" s="120"/>
      <c r="AC870" s="120"/>
      <c r="AD870" s="120"/>
      <c r="AE870" s="120"/>
      <c r="AF870" s="120"/>
      <c r="AG870" s="120"/>
      <c r="AH870" s="120"/>
      <c r="AI870" s="120"/>
      <c r="AJ870" s="120"/>
      <c r="AK870" s="120"/>
      <c r="AL870" s="120"/>
      <c r="AM870" s="120"/>
      <c r="AN870" s="120"/>
      <c r="AO870" s="120"/>
      <c r="AP870" s="120"/>
      <c r="AQ870" s="120"/>
      <c r="AR870" s="120"/>
      <c r="AS870" s="120"/>
      <c r="AT870" s="120"/>
      <c r="AU870" s="120"/>
      <c r="AV870" s="120"/>
      <c r="AW870" s="120"/>
      <c r="AX870" s="120"/>
      <c r="AY870" s="120"/>
      <c r="AZ870" s="120"/>
      <c r="BA870" s="120"/>
      <c r="BB870" s="120"/>
      <c r="BC870" s="120"/>
      <c r="BD870" s="120"/>
      <c r="BE870" s="120"/>
      <c r="BF870" s="120"/>
      <c r="BG870" s="120"/>
      <c r="BH870" s="120"/>
      <c r="BI870" s="120"/>
      <c r="BJ870" s="120"/>
      <c r="BK870" s="120"/>
      <c r="BL870" s="120"/>
      <c r="BM870" s="120"/>
      <c r="BN870" s="120"/>
      <c r="BO870" s="120"/>
      <c r="BP870" s="120"/>
      <c r="BQ870" s="120"/>
      <c r="BR870" s="120"/>
      <c r="BS870" s="120"/>
      <c r="BT870" s="120"/>
      <c r="BU870" s="120"/>
      <c r="BV870" s="120"/>
      <c r="BW870" s="120"/>
      <c r="BX870" s="120"/>
      <c r="BY870" s="120"/>
      <c r="BZ870" s="120"/>
      <c r="CA870" s="120"/>
      <c r="CB870" s="120"/>
      <c r="CC870" s="120"/>
      <c r="CD870" s="120"/>
      <c r="CE870" s="120"/>
      <c r="CF870" s="120"/>
      <c r="CG870" s="120"/>
      <c r="CH870" s="120"/>
      <c r="CI870" s="120"/>
      <c r="CJ870" s="120"/>
      <c r="CK870" s="120"/>
      <c r="CL870" s="120"/>
      <c r="CM870" s="120"/>
      <c r="CN870" s="120"/>
      <c r="CO870" s="120"/>
    </row>
    <row r="871" spans="1:93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1"/>
      <c r="U871" s="120"/>
      <c r="V871" s="120"/>
      <c r="W871" s="121"/>
      <c r="X871" s="120"/>
      <c r="Y871" s="120"/>
      <c r="Z871" s="120"/>
      <c r="AA871" s="120"/>
      <c r="AB871" s="120"/>
      <c r="AC871" s="120"/>
      <c r="AD871" s="120"/>
      <c r="AE871" s="120"/>
      <c r="AF871" s="120"/>
      <c r="AG871" s="120"/>
      <c r="AH871" s="120"/>
      <c r="AI871" s="120"/>
      <c r="AJ871" s="120"/>
      <c r="AK871" s="120"/>
      <c r="AL871" s="120"/>
      <c r="AM871" s="120"/>
      <c r="AN871" s="120"/>
      <c r="AO871" s="120"/>
      <c r="AP871" s="120"/>
      <c r="AQ871" s="120"/>
      <c r="AR871" s="120"/>
      <c r="AS871" s="120"/>
      <c r="AT871" s="120"/>
      <c r="AU871" s="120"/>
      <c r="AV871" s="120"/>
      <c r="AW871" s="120"/>
      <c r="AX871" s="120"/>
      <c r="AY871" s="120"/>
      <c r="AZ871" s="120"/>
      <c r="BA871" s="120"/>
      <c r="BB871" s="120"/>
      <c r="BC871" s="120"/>
      <c r="BD871" s="120"/>
      <c r="BE871" s="120"/>
      <c r="BF871" s="120"/>
      <c r="BG871" s="120"/>
      <c r="BH871" s="120"/>
      <c r="BI871" s="120"/>
      <c r="BJ871" s="120"/>
      <c r="BK871" s="120"/>
      <c r="BL871" s="120"/>
      <c r="BM871" s="120"/>
      <c r="BN871" s="120"/>
      <c r="BO871" s="120"/>
      <c r="BP871" s="120"/>
      <c r="BQ871" s="120"/>
      <c r="BR871" s="120"/>
      <c r="BS871" s="120"/>
      <c r="BT871" s="120"/>
      <c r="BU871" s="120"/>
      <c r="BV871" s="120"/>
      <c r="BW871" s="120"/>
      <c r="BX871" s="120"/>
      <c r="BY871" s="120"/>
      <c r="BZ871" s="120"/>
      <c r="CA871" s="120"/>
      <c r="CB871" s="120"/>
      <c r="CC871" s="120"/>
      <c r="CD871" s="120"/>
      <c r="CE871" s="120"/>
      <c r="CF871" s="120"/>
      <c r="CG871" s="120"/>
      <c r="CH871" s="120"/>
      <c r="CI871" s="120"/>
      <c r="CJ871" s="120"/>
      <c r="CK871" s="120"/>
      <c r="CL871" s="120"/>
      <c r="CM871" s="120"/>
      <c r="CN871" s="120"/>
      <c r="CO871" s="120"/>
    </row>
    <row r="872" spans="1:93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1"/>
      <c r="U872" s="120"/>
      <c r="V872" s="120"/>
      <c r="W872" s="121"/>
      <c r="X872" s="120"/>
      <c r="Y872" s="120"/>
      <c r="Z872" s="120"/>
      <c r="AA872" s="120"/>
      <c r="AB872" s="120"/>
      <c r="AC872" s="120"/>
      <c r="AD872" s="120"/>
      <c r="AE872" s="120"/>
      <c r="AF872" s="120"/>
      <c r="AG872" s="120"/>
      <c r="AH872" s="120"/>
      <c r="AI872" s="120"/>
      <c r="AJ872" s="120"/>
      <c r="AK872" s="120"/>
      <c r="AL872" s="120"/>
      <c r="AM872" s="120"/>
      <c r="AN872" s="120"/>
      <c r="AO872" s="120"/>
      <c r="AP872" s="120"/>
      <c r="AQ872" s="120"/>
      <c r="AR872" s="120"/>
      <c r="AS872" s="120"/>
      <c r="AT872" s="120"/>
      <c r="AU872" s="120"/>
      <c r="AV872" s="120"/>
      <c r="AW872" s="120"/>
      <c r="AX872" s="120"/>
      <c r="AY872" s="120"/>
      <c r="AZ872" s="120"/>
      <c r="BA872" s="120"/>
      <c r="BB872" s="120"/>
      <c r="BC872" s="120"/>
      <c r="BD872" s="120"/>
      <c r="BE872" s="120"/>
      <c r="BF872" s="120"/>
      <c r="BG872" s="120"/>
      <c r="BH872" s="120"/>
      <c r="BI872" s="120"/>
      <c r="BJ872" s="120"/>
      <c r="BK872" s="120"/>
      <c r="BL872" s="120"/>
      <c r="BM872" s="120"/>
      <c r="BN872" s="120"/>
      <c r="BO872" s="120"/>
      <c r="BP872" s="120"/>
      <c r="BQ872" s="120"/>
      <c r="BR872" s="120"/>
      <c r="BS872" s="120"/>
      <c r="BT872" s="120"/>
      <c r="BU872" s="120"/>
      <c r="BV872" s="120"/>
      <c r="BW872" s="120"/>
      <c r="BX872" s="120"/>
      <c r="BY872" s="120"/>
      <c r="BZ872" s="120"/>
      <c r="CA872" s="120"/>
      <c r="CB872" s="120"/>
      <c r="CC872" s="120"/>
      <c r="CD872" s="120"/>
      <c r="CE872" s="120"/>
      <c r="CF872" s="120"/>
      <c r="CG872" s="120"/>
      <c r="CH872" s="120"/>
      <c r="CI872" s="120"/>
      <c r="CJ872" s="120"/>
      <c r="CK872" s="120"/>
      <c r="CL872" s="120"/>
      <c r="CM872" s="120"/>
      <c r="CN872" s="120"/>
      <c r="CO872" s="120"/>
    </row>
    <row r="873" spans="1:93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1"/>
      <c r="U873" s="120"/>
      <c r="V873" s="120"/>
      <c r="W873" s="121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  <c r="AJ873" s="120"/>
      <c r="AK873" s="120"/>
      <c r="AL873" s="120"/>
      <c r="AM873" s="120"/>
      <c r="AN873" s="120"/>
      <c r="AO873" s="120"/>
      <c r="AP873" s="120"/>
      <c r="AQ873" s="120"/>
      <c r="AR873" s="120"/>
      <c r="AS873" s="120"/>
      <c r="AT873" s="120"/>
      <c r="AU873" s="120"/>
      <c r="AV873" s="120"/>
      <c r="AW873" s="120"/>
      <c r="AX873" s="120"/>
      <c r="AY873" s="120"/>
      <c r="AZ873" s="120"/>
      <c r="BA873" s="120"/>
      <c r="BB873" s="120"/>
      <c r="BC873" s="120"/>
      <c r="BD873" s="120"/>
      <c r="BE873" s="120"/>
      <c r="BF873" s="120"/>
      <c r="BG873" s="120"/>
      <c r="BH873" s="120"/>
      <c r="BI873" s="120"/>
      <c r="BJ873" s="120"/>
      <c r="BK873" s="120"/>
      <c r="BL873" s="120"/>
      <c r="BM873" s="120"/>
      <c r="BN873" s="120"/>
      <c r="BO873" s="120"/>
      <c r="BP873" s="120"/>
      <c r="BQ873" s="120"/>
      <c r="BR873" s="120"/>
      <c r="BS873" s="120"/>
      <c r="BT873" s="120"/>
      <c r="BU873" s="120"/>
      <c r="BV873" s="120"/>
      <c r="BW873" s="120"/>
      <c r="BX873" s="120"/>
      <c r="BY873" s="120"/>
      <c r="BZ873" s="120"/>
      <c r="CA873" s="120"/>
      <c r="CB873" s="120"/>
      <c r="CC873" s="120"/>
      <c r="CD873" s="120"/>
      <c r="CE873" s="120"/>
      <c r="CF873" s="120"/>
      <c r="CG873" s="120"/>
      <c r="CH873" s="120"/>
      <c r="CI873" s="120"/>
      <c r="CJ873" s="120"/>
      <c r="CK873" s="120"/>
      <c r="CL873" s="120"/>
      <c r="CM873" s="120"/>
      <c r="CN873" s="120"/>
      <c r="CO873" s="120"/>
    </row>
    <row r="874" spans="1:93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1"/>
      <c r="U874" s="120"/>
      <c r="V874" s="120"/>
      <c r="W874" s="121"/>
      <c r="X874" s="120"/>
      <c r="Y874" s="120"/>
      <c r="Z874" s="120"/>
      <c r="AA874" s="120"/>
      <c r="AB874" s="120"/>
      <c r="AC874" s="120"/>
      <c r="AD874" s="120"/>
      <c r="AE874" s="120"/>
      <c r="AF874" s="120"/>
      <c r="AG874" s="120"/>
      <c r="AH874" s="120"/>
      <c r="AI874" s="120"/>
      <c r="AJ874" s="120"/>
      <c r="AK874" s="120"/>
      <c r="AL874" s="120"/>
      <c r="AM874" s="120"/>
      <c r="AN874" s="120"/>
      <c r="AO874" s="120"/>
      <c r="AP874" s="120"/>
      <c r="AQ874" s="120"/>
      <c r="AR874" s="120"/>
      <c r="AS874" s="120"/>
      <c r="AT874" s="120"/>
      <c r="AU874" s="120"/>
      <c r="AV874" s="120"/>
      <c r="AW874" s="120"/>
      <c r="AX874" s="120"/>
      <c r="AY874" s="120"/>
      <c r="AZ874" s="120"/>
      <c r="BA874" s="120"/>
      <c r="BB874" s="120"/>
      <c r="BC874" s="120"/>
      <c r="BD874" s="120"/>
      <c r="BE874" s="120"/>
      <c r="BF874" s="120"/>
      <c r="BG874" s="120"/>
      <c r="BH874" s="120"/>
      <c r="BI874" s="120"/>
      <c r="BJ874" s="120"/>
      <c r="BK874" s="120"/>
      <c r="BL874" s="120"/>
      <c r="BM874" s="120"/>
      <c r="BN874" s="120"/>
      <c r="BO874" s="120"/>
      <c r="BP874" s="120"/>
      <c r="BQ874" s="120"/>
      <c r="BR874" s="120"/>
      <c r="BS874" s="120"/>
      <c r="BT874" s="120"/>
      <c r="BU874" s="120"/>
      <c r="BV874" s="120"/>
      <c r="BW874" s="120"/>
      <c r="BX874" s="120"/>
      <c r="BY874" s="120"/>
      <c r="BZ874" s="120"/>
      <c r="CA874" s="120"/>
      <c r="CB874" s="120"/>
      <c r="CC874" s="120"/>
      <c r="CD874" s="120"/>
      <c r="CE874" s="120"/>
      <c r="CF874" s="120"/>
      <c r="CG874" s="120"/>
      <c r="CH874" s="120"/>
      <c r="CI874" s="120"/>
      <c r="CJ874" s="120"/>
      <c r="CK874" s="120"/>
      <c r="CL874" s="120"/>
      <c r="CM874" s="120"/>
      <c r="CN874" s="120"/>
      <c r="CO874" s="120"/>
    </row>
    <row r="875" spans="1:93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1"/>
      <c r="U875" s="120"/>
      <c r="V875" s="120"/>
      <c r="W875" s="121"/>
      <c r="X875" s="120"/>
      <c r="Y875" s="120"/>
      <c r="Z875" s="120"/>
      <c r="AA875" s="120"/>
      <c r="AB875" s="120"/>
      <c r="AC875" s="120"/>
      <c r="AD875" s="120"/>
      <c r="AE875" s="120"/>
      <c r="AF875" s="120"/>
      <c r="AG875" s="120"/>
      <c r="AH875" s="120"/>
      <c r="AI875" s="120"/>
      <c r="AJ875" s="120"/>
      <c r="AK875" s="120"/>
      <c r="AL875" s="120"/>
      <c r="AM875" s="120"/>
      <c r="AN875" s="120"/>
      <c r="AO875" s="120"/>
      <c r="AP875" s="120"/>
      <c r="AQ875" s="120"/>
      <c r="AR875" s="120"/>
      <c r="AS875" s="120"/>
      <c r="AT875" s="120"/>
      <c r="AU875" s="120"/>
      <c r="AV875" s="120"/>
      <c r="AW875" s="120"/>
      <c r="AX875" s="120"/>
      <c r="AY875" s="120"/>
      <c r="AZ875" s="120"/>
      <c r="BA875" s="120"/>
      <c r="BB875" s="120"/>
      <c r="BC875" s="120"/>
      <c r="BD875" s="120"/>
      <c r="BE875" s="120"/>
      <c r="BF875" s="120"/>
      <c r="BG875" s="120"/>
      <c r="BH875" s="120"/>
      <c r="BI875" s="120"/>
      <c r="BJ875" s="120"/>
      <c r="BK875" s="120"/>
      <c r="BL875" s="120"/>
      <c r="BM875" s="120"/>
      <c r="BN875" s="120"/>
      <c r="BO875" s="120"/>
      <c r="BP875" s="120"/>
      <c r="BQ875" s="120"/>
      <c r="BR875" s="120"/>
      <c r="BS875" s="120"/>
      <c r="BT875" s="120"/>
      <c r="BU875" s="120"/>
      <c r="BV875" s="120"/>
      <c r="BW875" s="120"/>
      <c r="BX875" s="120"/>
      <c r="BY875" s="120"/>
      <c r="BZ875" s="120"/>
      <c r="CA875" s="120"/>
      <c r="CB875" s="120"/>
      <c r="CC875" s="120"/>
      <c r="CD875" s="120"/>
      <c r="CE875" s="120"/>
      <c r="CF875" s="120"/>
      <c r="CG875" s="120"/>
      <c r="CH875" s="120"/>
      <c r="CI875" s="120"/>
      <c r="CJ875" s="120"/>
      <c r="CK875" s="120"/>
      <c r="CL875" s="120"/>
      <c r="CM875" s="120"/>
      <c r="CN875" s="120"/>
      <c r="CO875" s="120"/>
    </row>
    <row r="876" spans="1:93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1"/>
      <c r="U876" s="120"/>
      <c r="V876" s="120"/>
      <c r="W876" s="121"/>
      <c r="X876" s="120"/>
      <c r="Y876" s="120"/>
      <c r="Z876" s="120"/>
      <c r="AA876" s="120"/>
      <c r="AB876" s="120"/>
      <c r="AC876" s="120"/>
      <c r="AD876" s="120"/>
      <c r="AE876" s="120"/>
      <c r="AF876" s="120"/>
      <c r="AG876" s="120"/>
      <c r="AH876" s="120"/>
      <c r="AI876" s="120"/>
      <c r="AJ876" s="120"/>
      <c r="AK876" s="120"/>
      <c r="AL876" s="120"/>
      <c r="AM876" s="120"/>
      <c r="AN876" s="120"/>
      <c r="AO876" s="120"/>
      <c r="AP876" s="120"/>
      <c r="AQ876" s="120"/>
      <c r="AR876" s="120"/>
      <c r="AS876" s="120"/>
      <c r="AT876" s="120"/>
      <c r="AU876" s="120"/>
      <c r="AV876" s="120"/>
      <c r="AW876" s="120"/>
      <c r="AX876" s="120"/>
      <c r="AY876" s="120"/>
      <c r="AZ876" s="120"/>
      <c r="BA876" s="120"/>
      <c r="BB876" s="120"/>
      <c r="BC876" s="120"/>
      <c r="BD876" s="120"/>
      <c r="BE876" s="120"/>
      <c r="BF876" s="120"/>
      <c r="BG876" s="120"/>
      <c r="BH876" s="120"/>
      <c r="BI876" s="120"/>
      <c r="BJ876" s="120"/>
      <c r="BK876" s="120"/>
      <c r="BL876" s="120"/>
      <c r="BM876" s="120"/>
      <c r="BN876" s="120"/>
      <c r="BO876" s="120"/>
      <c r="BP876" s="120"/>
      <c r="BQ876" s="120"/>
      <c r="BR876" s="120"/>
      <c r="BS876" s="120"/>
      <c r="BT876" s="120"/>
      <c r="BU876" s="120"/>
      <c r="BV876" s="120"/>
      <c r="BW876" s="120"/>
      <c r="BX876" s="120"/>
      <c r="BY876" s="120"/>
      <c r="BZ876" s="120"/>
      <c r="CA876" s="120"/>
      <c r="CB876" s="120"/>
      <c r="CC876" s="120"/>
      <c r="CD876" s="120"/>
      <c r="CE876" s="120"/>
      <c r="CF876" s="120"/>
      <c r="CG876" s="120"/>
      <c r="CH876" s="120"/>
      <c r="CI876" s="120"/>
      <c r="CJ876" s="120"/>
      <c r="CK876" s="120"/>
      <c r="CL876" s="120"/>
      <c r="CM876" s="120"/>
      <c r="CN876" s="120"/>
      <c r="CO876" s="120"/>
    </row>
    <row r="877" spans="1:93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1"/>
      <c r="U877" s="120"/>
      <c r="V877" s="120"/>
      <c r="W877" s="121"/>
      <c r="X877" s="120"/>
      <c r="Y877" s="120"/>
      <c r="Z877" s="120"/>
      <c r="AA877" s="120"/>
      <c r="AB877" s="120"/>
      <c r="AC877" s="120"/>
      <c r="AD877" s="120"/>
      <c r="AE877" s="120"/>
      <c r="AF877" s="120"/>
      <c r="AG877" s="120"/>
      <c r="AH877" s="120"/>
      <c r="AI877" s="120"/>
      <c r="AJ877" s="120"/>
      <c r="AK877" s="120"/>
      <c r="AL877" s="120"/>
      <c r="AM877" s="120"/>
      <c r="AN877" s="120"/>
      <c r="AO877" s="120"/>
      <c r="AP877" s="120"/>
      <c r="AQ877" s="120"/>
      <c r="AR877" s="120"/>
      <c r="AS877" s="120"/>
      <c r="AT877" s="120"/>
      <c r="AU877" s="120"/>
      <c r="AV877" s="120"/>
      <c r="AW877" s="120"/>
      <c r="AX877" s="120"/>
      <c r="AY877" s="120"/>
      <c r="AZ877" s="120"/>
      <c r="BA877" s="120"/>
      <c r="BB877" s="120"/>
      <c r="BC877" s="120"/>
      <c r="BD877" s="120"/>
      <c r="BE877" s="120"/>
      <c r="BF877" s="120"/>
      <c r="BG877" s="120"/>
      <c r="BH877" s="120"/>
      <c r="BI877" s="120"/>
      <c r="BJ877" s="120"/>
      <c r="BK877" s="120"/>
      <c r="BL877" s="120"/>
      <c r="BM877" s="120"/>
      <c r="BN877" s="120"/>
      <c r="BO877" s="120"/>
      <c r="BP877" s="120"/>
      <c r="BQ877" s="120"/>
      <c r="BR877" s="120"/>
      <c r="BS877" s="120"/>
      <c r="BT877" s="120"/>
      <c r="BU877" s="120"/>
      <c r="BV877" s="120"/>
      <c r="BW877" s="120"/>
      <c r="BX877" s="120"/>
      <c r="BY877" s="120"/>
      <c r="BZ877" s="120"/>
      <c r="CA877" s="120"/>
      <c r="CB877" s="120"/>
      <c r="CC877" s="120"/>
      <c r="CD877" s="120"/>
      <c r="CE877" s="120"/>
      <c r="CF877" s="120"/>
      <c r="CG877" s="120"/>
      <c r="CH877" s="120"/>
      <c r="CI877" s="120"/>
      <c r="CJ877" s="120"/>
      <c r="CK877" s="120"/>
      <c r="CL877" s="120"/>
      <c r="CM877" s="120"/>
      <c r="CN877" s="120"/>
      <c r="CO877" s="120"/>
    </row>
    <row r="878" spans="1:93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1"/>
      <c r="U878" s="120"/>
      <c r="V878" s="120"/>
      <c r="W878" s="121"/>
      <c r="X878" s="120"/>
      <c r="Y878" s="120"/>
      <c r="Z878" s="120"/>
      <c r="AA878" s="120"/>
      <c r="AB878" s="120"/>
      <c r="AC878" s="120"/>
      <c r="AD878" s="120"/>
      <c r="AE878" s="120"/>
      <c r="AF878" s="120"/>
      <c r="AG878" s="120"/>
      <c r="AH878" s="120"/>
      <c r="AI878" s="120"/>
      <c r="AJ878" s="120"/>
      <c r="AK878" s="120"/>
      <c r="AL878" s="120"/>
      <c r="AM878" s="120"/>
      <c r="AN878" s="120"/>
      <c r="AO878" s="120"/>
      <c r="AP878" s="120"/>
      <c r="AQ878" s="120"/>
      <c r="AR878" s="120"/>
      <c r="AS878" s="120"/>
      <c r="AT878" s="120"/>
      <c r="AU878" s="120"/>
      <c r="AV878" s="120"/>
      <c r="AW878" s="120"/>
      <c r="AX878" s="120"/>
      <c r="AY878" s="120"/>
      <c r="AZ878" s="120"/>
      <c r="BA878" s="120"/>
      <c r="BB878" s="120"/>
      <c r="BC878" s="120"/>
      <c r="BD878" s="120"/>
      <c r="BE878" s="120"/>
      <c r="BF878" s="120"/>
      <c r="BG878" s="120"/>
      <c r="BH878" s="120"/>
      <c r="BI878" s="120"/>
      <c r="BJ878" s="120"/>
      <c r="BK878" s="120"/>
      <c r="BL878" s="120"/>
      <c r="BM878" s="120"/>
      <c r="BN878" s="120"/>
      <c r="BO878" s="120"/>
      <c r="BP878" s="120"/>
      <c r="BQ878" s="120"/>
      <c r="BR878" s="120"/>
      <c r="BS878" s="120"/>
      <c r="BT878" s="120"/>
      <c r="BU878" s="120"/>
      <c r="BV878" s="120"/>
      <c r="BW878" s="120"/>
      <c r="BX878" s="120"/>
      <c r="BY878" s="120"/>
      <c r="BZ878" s="120"/>
      <c r="CA878" s="120"/>
      <c r="CB878" s="120"/>
      <c r="CC878" s="120"/>
      <c r="CD878" s="120"/>
      <c r="CE878" s="120"/>
      <c r="CF878" s="120"/>
      <c r="CG878" s="120"/>
      <c r="CH878" s="120"/>
      <c r="CI878" s="120"/>
      <c r="CJ878" s="120"/>
      <c r="CK878" s="120"/>
      <c r="CL878" s="120"/>
      <c r="CM878" s="120"/>
      <c r="CN878" s="120"/>
      <c r="CO878" s="120"/>
    </row>
    <row r="879" spans="1:93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1"/>
      <c r="U879" s="120"/>
      <c r="V879" s="120"/>
      <c r="W879" s="121"/>
      <c r="X879" s="120"/>
      <c r="Y879" s="120"/>
      <c r="Z879" s="120"/>
      <c r="AA879" s="120"/>
      <c r="AB879" s="120"/>
      <c r="AC879" s="120"/>
      <c r="AD879" s="120"/>
      <c r="AE879" s="120"/>
      <c r="AF879" s="120"/>
      <c r="AG879" s="120"/>
      <c r="AH879" s="120"/>
      <c r="AI879" s="120"/>
      <c r="AJ879" s="120"/>
      <c r="AK879" s="120"/>
      <c r="AL879" s="120"/>
      <c r="AM879" s="120"/>
      <c r="AN879" s="120"/>
      <c r="AO879" s="120"/>
      <c r="AP879" s="120"/>
      <c r="AQ879" s="120"/>
      <c r="AR879" s="120"/>
      <c r="AS879" s="120"/>
      <c r="AT879" s="120"/>
      <c r="AU879" s="120"/>
      <c r="AV879" s="120"/>
      <c r="AW879" s="120"/>
      <c r="AX879" s="120"/>
      <c r="AY879" s="120"/>
      <c r="AZ879" s="120"/>
      <c r="BA879" s="120"/>
      <c r="BB879" s="120"/>
      <c r="BC879" s="120"/>
      <c r="BD879" s="120"/>
      <c r="BE879" s="120"/>
      <c r="BF879" s="120"/>
      <c r="BG879" s="120"/>
      <c r="BH879" s="120"/>
      <c r="BI879" s="120"/>
      <c r="BJ879" s="120"/>
      <c r="BK879" s="120"/>
      <c r="BL879" s="120"/>
      <c r="BM879" s="120"/>
      <c r="BN879" s="120"/>
      <c r="BO879" s="120"/>
      <c r="BP879" s="120"/>
      <c r="BQ879" s="120"/>
      <c r="BR879" s="120"/>
      <c r="BS879" s="120"/>
      <c r="BT879" s="120"/>
      <c r="BU879" s="120"/>
      <c r="BV879" s="120"/>
      <c r="BW879" s="120"/>
      <c r="BX879" s="120"/>
      <c r="BY879" s="120"/>
      <c r="BZ879" s="120"/>
      <c r="CA879" s="120"/>
      <c r="CB879" s="120"/>
      <c r="CC879" s="120"/>
      <c r="CD879" s="120"/>
      <c r="CE879" s="120"/>
      <c r="CF879" s="120"/>
      <c r="CG879" s="120"/>
      <c r="CH879" s="120"/>
      <c r="CI879" s="120"/>
      <c r="CJ879" s="120"/>
      <c r="CK879" s="120"/>
      <c r="CL879" s="120"/>
      <c r="CM879" s="120"/>
      <c r="CN879" s="120"/>
      <c r="CO879" s="120"/>
    </row>
    <row r="880" spans="1:93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1"/>
      <c r="U880" s="120"/>
      <c r="V880" s="120"/>
      <c r="W880" s="121"/>
      <c r="X880" s="120"/>
      <c r="Y880" s="120"/>
      <c r="Z880" s="120"/>
      <c r="AA880" s="120"/>
      <c r="AB880" s="120"/>
      <c r="AC880" s="120"/>
      <c r="AD880" s="120"/>
      <c r="AE880" s="120"/>
      <c r="AF880" s="120"/>
      <c r="AG880" s="120"/>
      <c r="AH880" s="120"/>
      <c r="AI880" s="120"/>
      <c r="AJ880" s="120"/>
      <c r="AK880" s="120"/>
      <c r="AL880" s="120"/>
      <c r="AM880" s="120"/>
      <c r="AN880" s="120"/>
      <c r="AO880" s="120"/>
      <c r="AP880" s="120"/>
      <c r="AQ880" s="120"/>
      <c r="AR880" s="120"/>
      <c r="AS880" s="120"/>
      <c r="AT880" s="120"/>
      <c r="AU880" s="120"/>
      <c r="AV880" s="120"/>
      <c r="AW880" s="120"/>
      <c r="AX880" s="120"/>
      <c r="AY880" s="120"/>
      <c r="AZ880" s="120"/>
      <c r="BA880" s="120"/>
      <c r="BB880" s="120"/>
      <c r="BC880" s="120"/>
      <c r="BD880" s="120"/>
      <c r="BE880" s="120"/>
      <c r="BF880" s="120"/>
      <c r="BG880" s="120"/>
      <c r="BH880" s="120"/>
      <c r="BI880" s="120"/>
      <c r="BJ880" s="120"/>
      <c r="BK880" s="120"/>
      <c r="BL880" s="120"/>
      <c r="BM880" s="120"/>
      <c r="BN880" s="120"/>
      <c r="BO880" s="120"/>
      <c r="BP880" s="120"/>
      <c r="BQ880" s="120"/>
      <c r="BR880" s="120"/>
      <c r="BS880" s="120"/>
      <c r="BT880" s="120"/>
      <c r="BU880" s="120"/>
      <c r="BV880" s="120"/>
      <c r="BW880" s="120"/>
      <c r="BX880" s="120"/>
      <c r="BY880" s="120"/>
      <c r="BZ880" s="120"/>
      <c r="CA880" s="120"/>
      <c r="CB880" s="120"/>
      <c r="CC880" s="120"/>
      <c r="CD880" s="120"/>
      <c r="CE880" s="120"/>
      <c r="CF880" s="120"/>
      <c r="CG880" s="120"/>
      <c r="CH880" s="120"/>
      <c r="CI880" s="120"/>
      <c r="CJ880" s="120"/>
      <c r="CK880" s="120"/>
      <c r="CL880" s="120"/>
      <c r="CM880" s="120"/>
      <c r="CN880" s="120"/>
      <c r="CO880" s="120"/>
    </row>
    <row r="881" spans="1:93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1"/>
      <c r="U881" s="120"/>
      <c r="V881" s="120"/>
      <c r="W881" s="121"/>
      <c r="X881" s="120"/>
      <c r="Y881" s="120"/>
      <c r="Z881" s="120"/>
      <c r="AA881" s="120"/>
      <c r="AB881" s="120"/>
      <c r="AC881" s="120"/>
      <c r="AD881" s="120"/>
      <c r="AE881" s="120"/>
      <c r="AF881" s="120"/>
      <c r="AG881" s="120"/>
      <c r="AH881" s="120"/>
      <c r="AI881" s="120"/>
      <c r="AJ881" s="120"/>
      <c r="AK881" s="120"/>
      <c r="AL881" s="120"/>
      <c r="AM881" s="120"/>
      <c r="AN881" s="120"/>
      <c r="AO881" s="120"/>
      <c r="AP881" s="120"/>
      <c r="AQ881" s="120"/>
      <c r="AR881" s="120"/>
      <c r="AS881" s="120"/>
      <c r="AT881" s="120"/>
      <c r="AU881" s="120"/>
      <c r="AV881" s="120"/>
      <c r="AW881" s="120"/>
      <c r="AX881" s="120"/>
      <c r="AY881" s="120"/>
      <c r="AZ881" s="120"/>
      <c r="BA881" s="120"/>
      <c r="BB881" s="120"/>
      <c r="BC881" s="120"/>
      <c r="BD881" s="120"/>
      <c r="BE881" s="120"/>
      <c r="BF881" s="120"/>
      <c r="BG881" s="120"/>
      <c r="BH881" s="120"/>
      <c r="BI881" s="120"/>
      <c r="BJ881" s="120"/>
      <c r="BK881" s="120"/>
      <c r="BL881" s="120"/>
      <c r="BM881" s="120"/>
      <c r="BN881" s="120"/>
      <c r="BO881" s="120"/>
      <c r="BP881" s="120"/>
      <c r="BQ881" s="120"/>
      <c r="BR881" s="120"/>
      <c r="BS881" s="120"/>
      <c r="BT881" s="120"/>
      <c r="BU881" s="120"/>
      <c r="BV881" s="120"/>
      <c r="BW881" s="120"/>
      <c r="BX881" s="120"/>
      <c r="BY881" s="120"/>
      <c r="BZ881" s="120"/>
      <c r="CA881" s="120"/>
      <c r="CB881" s="120"/>
      <c r="CC881" s="120"/>
      <c r="CD881" s="120"/>
      <c r="CE881" s="120"/>
      <c r="CF881" s="120"/>
      <c r="CG881" s="120"/>
      <c r="CH881" s="120"/>
      <c r="CI881" s="120"/>
      <c r="CJ881" s="120"/>
      <c r="CK881" s="120"/>
      <c r="CL881" s="120"/>
      <c r="CM881" s="120"/>
      <c r="CN881" s="120"/>
      <c r="CO881" s="120"/>
    </row>
    <row r="882" spans="1:93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1"/>
      <c r="U882" s="120"/>
      <c r="V882" s="120"/>
      <c r="W882" s="121"/>
      <c r="X882" s="120"/>
      <c r="Y882" s="120"/>
      <c r="Z882" s="120"/>
      <c r="AA882" s="120"/>
      <c r="AB882" s="120"/>
      <c r="AC882" s="120"/>
      <c r="AD882" s="120"/>
      <c r="AE882" s="120"/>
      <c r="AF882" s="120"/>
      <c r="AG882" s="120"/>
      <c r="AH882" s="120"/>
      <c r="AI882" s="120"/>
      <c r="AJ882" s="120"/>
      <c r="AK882" s="120"/>
      <c r="AL882" s="120"/>
      <c r="AM882" s="120"/>
      <c r="AN882" s="120"/>
      <c r="AO882" s="120"/>
      <c r="AP882" s="120"/>
      <c r="AQ882" s="120"/>
      <c r="AR882" s="120"/>
      <c r="AS882" s="120"/>
      <c r="AT882" s="120"/>
      <c r="AU882" s="120"/>
      <c r="AV882" s="120"/>
      <c r="AW882" s="120"/>
      <c r="AX882" s="120"/>
      <c r="AY882" s="120"/>
      <c r="AZ882" s="120"/>
      <c r="BA882" s="120"/>
      <c r="BB882" s="120"/>
      <c r="BC882" s="120"/>
      <c r="BD882" s="120"/>
      <c r="BE882" s="120"/>
      <c r="BF882" s="120"/>
      <c r="BG882" s="120"/>
      <c r="BH882" s="120"/>
      <c r="BI882" s="120"/>
      <c r="BJ882" s="120"/>
      <c r="BK882" s="120"/>
      <c r="BL882" s="120"/>
      <c r="BM882" s="120"/>
      <c r="BN882" s="120"/>
      <c r="BO882" s="120"/>
      <c r="BP882" s="120"/>
      <c r="BQ882" s="120"/>
      <c r="BR882" s="120"/>
      <c r="BS882" s="120"/>
      <c r="BT882" s="120"/>
      <c r="BU882" s="120"/>
      <c r="BV882" s="120"/>
      <c r="BW882" s="120"/>
      <c r="BX882" s="120"/>
      <c r="BY882" s="120"/>
      <c r="BZ882" s="120"/>
      <c r="CA882" s="120"/>
      <c r="CB882" s="120"/>
      <c r="CC882" s="120"/>
      <c r="CD882" s="120"/>
      <c r="CE882" s="120"/>
      <c r="CF882" s="120"/>
      <c r="CG882" s="120"/>
      <c r="CH882" s="120"/>
      <c r="CI882" s="120"/>
      <c r="CJ882" s="120"/>
      <c r="CK882" s="120"/>
      <c r="CL882" s="120"/>
      <c r="CM882" s="120"/>
      <c r="CN882" s="120"/>
      <c r="CO882" s="120"/>
    </row>
    <row r="883" spans="1:93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1"/>
      <c r="U883" s="120"/>
      <c r="V883" s="120"/>
      <c r="W883" s="121"/>
      <c r="X883" s="120"/>
      <c r="Y883" s="120"/>
      <c r="Z883" s="120"/>
      <c r="AA883" s="120"/>
      <c r="AB883" s="120"/>
      <c r="AC883" s="120"/>
      <c r="AD883" s="120"/>
      <c r="AE883" s="120"/>
      <c r="AF883" s="120"/>
      <c r="AG883" s="120"/>
      <c r="AH883" s="120"/>
      <c r="AI883" s="120"/>
      <c r="AJ883" s="120"/>
      <c r="AK883" s="120"/>
      <c r="AL883" s="120"/>
      <c r="AM883" s="120"/>
      <c r="AN883" s="120"/>
      <c r="AO883" s="120"/>
      <c r="AP883" s="120"/>
      <c r="AQ883" s="120"/>
      <c r="AR883" s="120"/>
      <c r="AS883" s="120"/>
      <c r="AT883" s="120"/>
      <c r="AU883" s="120"/>
      <c r="AV883" s="120"/>
      <c r="AW883" s="120"/>
      <c r="AX883" s="120"/>
      <c r="AY883" s="120"/>
      <c r="AZ883" s="120"/>
      <c r="BA883" s="120"/>
      <c r="BB883" s="120"/>
      <c r="BC883" s="120"/>
      <c r="BD883" s="120"/>
      <c r="BE883" s="120"/>
      <c r="BF883" s="120"/>
      <c r="BG883" s="120"/>
      <c r="BH883" s="120"/>
      <c r="BI883" s="120"/>
      <c r="BJ883" s="120"/>
      <c r="BK883" s="120"/>
      <c r="BL883" s="120"/>
      <c r="BM883" s="120"/>
      <c r="BN883" s="120"/>
      <c r="BO883" s="120"/>
      <c r="BP883" s="120"/>
      <c r="BQ883" s="120"/>
      <c r="BR883" s="120"/>
      <c r="BS883" s="120"/>
      <c r="BT883" s="120"/>
      <c r="BU883" s="120"/>
      <c r="BV883" s="120"/>
      <c r="BW883" s="120"/>
      <c r="BX883" s="120"/>
      <c r="BY883" s="120"/>
      <c r="BZ883" s="120"/>
      <c r="CA883" s="120"/>
      <c r="CB883" s="120"/>
      <c r="CC883" s="120"/>
      <c r="CD883" s="120"/>
      <c r="CE883" s="120"/>
      <c r="CF883" s="120"/>
      <c r="CG883" s="120"/>
      <c r="CH883" s="120"/>
      <c r="CI883" s="120"/>
      <c r="CJ883" s="120"/>
      <c r="CK883" s="120"/>
      <c r="CL883" s="120"/>
      <c r="CM883" s="120"/>
      <c r="CN883" s="120"/>
      <c r="CO883" s="120"/>
    </row>
    <row r="884" spans="1:93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1"/>
      <c r="U884" s="120"/>
      <c r="V884" s="120"/>
      <c r="W884" s="121"/>
      <c r="X884" s="120"/>
      <c r="Y884" s="120"/>
      <c r="Z884" s="120"/>
      <c r="AA884" s="120"/>
      <c r="AB884" s="120"/>
      <c r="AC884" s="120"/>
      <c r="AD884" s="120"/>
      <c r="AE884" s="120"/>
      <c r="AF884" s="120"/>
      <c r="AG884" s="120"/>
      <c r="AH884" s="120"/>
      <c r="AI884" s="120"/>
      <c r="AJ884" s="120"/>
      <c r="AK884" s="120"/>
      <c r="AL884" s="120"/>
      <c r="AM884" s="120"/>
      <c r="AN884" s="120"/>
      <c r="AO884" s="120"/>
      <c r="AP884" s="120"/>
      <c r="AQ884" s="120"/>
      <c r="AR884" s="120"/>
      <c r="AS884" s="120"/>
      <c r="AT884" s="120"/>
      <c r="AU884" s="120"/>
      <c r="AV884" s="120"/>
      <c r="AW884" s="120"/>
      <c r="AX884" s="120"/>
      <c r="AY884" s="120"/>
      <c r="AZ884" s="120"/>
      <c r="BA884" s="120"/>
      <c r="BB884" s="120"/>
      <c r="BC884" s="120"/>
      <c r="BD884" s="120"/>
      <c r="BE884" s="120"/>
      <c r="BF884" s="120"/>
      <c r="BG884" s="120"/>
      <c r="BH884" s="120"/>
      <c r="BI884" s="120"/>
      <c r="BJ884" s="120"/>
      <c r="BK884" s="120"/>
      <c r="BL884" s="120"/>
      <c r="BM884" s="120"/>
      <c r="BN884" s="120"/>
      <c r="BO884" s="120"/>
      <c r="BP884" s="120"/>
      <c r="BQ884" s="120"/>
      <c r="BR884" s="120"/>
      <c r="BS884" s="120"/>
      <c r="BT884" s="120"/>
      <c r="BU884" s="120"/>
      <c r="BV884" s="120"/>
      <c r="BW884" s="120"/>
      <c r="BX884" s="120"/>
      <c r="BY884" s="120"/>
      <c r="BZ884" s="120"/>
      <c r="CA884" s="120"/>
      <c r="CB884" s="120"/>
      <c r="CC884" s="120"/>
      <c r="CD884" s="120"/>
      <c r="CE884" s="120"/>
      <c r="CF884" s="120"/>
      <c r="CG884" s="120"/>
      <c r="CH884" s="120"/>
      <c r="CI884" s="120"/>
      <c r="CJ884" s="120"/>
      <c r="CK884" s="120"/>
      <c r="CL884" s="120"/>
      <c r="CM884" s="120"/>
      <c r="CN884" s="120"/>
      <c r="CO884" s="120"/>
    </row>
    <row r="885" spans="1:93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1"/>
      <c r="U885" s="120"/>
      <c r="V885" s="120"/>
      <c r="W885" s="121"/>
      <c r="X885" s="120"/>
      <c r="Y885" s="120"/>
      <c r="Z885" s="120"/>
      <c r="AA885" s="120"/>
      <c r="AB885" s="120"/>
      <c r="AC885" s="120"/>
      <c r="AD885" s="120"/>
      <c r="AE885" s="120"/>
      <c r="AF885" s="120"/>
      <c r="AG885" s="120"/>
      <c r="AH885" s="120"/>
      <c r="AI885" s="120"/>
      <c r="AJ885" s="120"/>
      <c r="AK885" s="120"/>
      <c r="AL885" s="120"/>
      <c r="AM885" s="120"/>
      <c r="AN885" s="120"/>
      <c r="AO885" s="120"/>
      <c r="AP885" s="120"/>
      <c r="AQ885" s="120"/>
      <c r="AR885" s="120"/>
      <c r="AS885" s="120"/>
      <c r="AT885" s="120"/>
      <c r="AU885" s="120"/>
      <c r="AV885" s="120"/>
      <c r="AW885" s="120"/>
      <c r="AX885" s="120"/>
      <c r="AY885" s="120"/>
      <c r="AZ885" s="120"/>
      <c r="BA885" s="120"/>
      <c r="BB885" s="120"/>
      <c r="BC885" s="120"/>
      <c r="BD885" s="120"/>
      <c r="BE885" s="120"/>
      <c r="BF885" s="120"/>
      <c r="BG885" s="120"/>
      <c r="BH885" s="120"/>
      <c r="BI885" s="120"/>
      <c r="BJ885" s="120"/>
      <c r="BK885" s="120"/>
      <c r="BL885" s="120"/>
      <c r="BM885" s="120"/>
      <c r="BN885" s="120"/>
      <c r="BO885" s="120"/>
      <c r="BP885" s="120"/>
      <c r="BQ885" s="120"/>
      <c r="BR885" s="120"/>
      <c r="BS885" s="120"/>
      <c r="BT885" s="120"/>
      <c r="BU885" s="120"/>
      <c r="BV885" s="120"/>
      <c r="BW885" s="120"/>
      <c r="BX885" s="120"/>
      <c r="BY885" s="120"/>
      <c r="BZ885" s="120"/>
      <c r="CA885" s="120"/>
      <c r="CB885" s="120"/>
      <c r="CC885" s="120"/>
      <c r="CD885" s="120"/>
      <c r="CE885" s="120"/>
      <c r="CF885" s="120"/>
      <c r="CG885" s="120"/>
      <c r="CH885" s="120"/>
      <c r="CI885" s="120"/>
      <c r="CJ885" s="120"/>
      <c r="CK885" s="120"/>
      <c r="CL885" s="120"/>
      <c r="CM885" s="120"/>
      <c r="CN885" s="120"/>
      <c r="CO885" s="120"/>
    </row>
    <row r="886" spans="1:93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1"/>
      <c r="U886" s="120"/>
      <c r="V886" s="120"/>
      <c r="W886" s="121"/>
      <c r="X886" s="120"/>
      <c r="Y886" s="120"/>
      <c r="Z886" s="120"/>
      <c r="AA886" s="120"/>
      <c r="AB886" s="120"/>
      <c r="AC886" s="120"/>
      <c r="AD886" s="120"/>
      <c r="AE886" s="120"/>
      <c r="AF886" s="120"/>
      <c r="AG886" s="120"/>
      <c r="AH886" s="120"/>
      <c r="AI886" s="120"/>
      <c r="AJ886" s="120"/>
      <c r="AK886" s="120"/>
      <c r="AL886" s="120"/>
      <c r="AM886" s="120"/>
      <c r="AN886" s="120"/>
      <c r="AO886" s="120"/>
      <c r="AP886" s="120"/>
      <c r="AQ886" s="120"/>
      <c r="AR886" s="120"/>
      <c r="AS886" s="120"/>
      <c r="AT886" s="120"/>
      <c r="AU886" s="120"/>
      <c r="AV886" s="120"/>
      <c r="AW886" s="120"/>
      <c r="AX886" s="120"/>
      <c r="AY886" s="120"/>
      <c r="AZ886" s="120"/>
      <c r="BA886" s="120"/>
      <c r="BB886" s="120"/>
      <c r="BC886" s="120"/>
      <c r="BD886" s="120"/>
      <c r="BE886" s="120"/>
      <c r="BF886" s="120"/>
      <c r="BG886" s="120"/>
      <c r="BH886" s="120"/>
      <c r="BI886" s="120"/>
      <c r="BJ886" s="120"/>
      <c r="BK886" s="120"/>
      <c r="BL886" s="120"/>
      <c r="BM886" s="120"/>
      <c r="BN886" s="120"/>
      <c r="BO886" s="120"/>
      <c r="BP886" s="120"/>
      <c r="BQ886" s="120"/>
      <c r="BR886" s="120"/>
      <c r="BS886" s="120"/>
      <c r="BT886" s="120"/>
      <c r="BU886" s="120"/>
      <c r="BV886" s="120"/>
      <c r="BW886" s="120"/>
      <c r="BX886" s="120"/>
      <c r="BY886" s="120"/>
      <c r="BZ886" s="120"/>
      <c r="CA886" s="120"/>
      <c r="CB886" s="120"/>
      <c r="CC886" s="120"/>
      <c r="CD886" s="120"/>
      <c r="CE886" s="120"/>
      <c r="CF886" s="120"/>
      <c r="CG886" s="120"/>
      <c r="CH886" s="120"/>
      <c r="CI886" s="120"/>
      <c r="CJ886" s="120"/>
      <c r="CK886" s="120"/>
      <c r="CL886" s="120"/>
      <c r="CM886" s="120"/>
      <c r="CN886" s="120"/>
      <c r="CO886" s="120"/>
    </row>
    <row r="887" spans="1:93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1"/>
      <c r="U887" s="120"/>
      <c r="V887" s="120"/>
      <c r="W887" s="121"/>
      <c r="X887" s="120"/>
      <c r="Y887" s="120"/>
      <c r="Z887" s="120"/>
      <c r="AA887" s="120"/>
      <c r="AB887" s="120"/>
      <c r="AC887" s="120"/>
      <c r="AD887" s="120"/>
      <c r="AE887" s="120"/>
      <c r="AF887" s="120"/>
      <c r="AG887" s="120"/>
      <c r="AH887" s="120"/>
      <c r="AI887" s="120"/>
      <c r="AJ887" s="120"/>
      <c r="AK887" s="120"/>
      <c r="AL887" s="120"/>
      <c r="AM887" s="120"/>
      <c r="AN887" s="120"/>
      <c r="AO887" s="120"/>
      <c r="AP887" s="120"/>
      <c r="AQ887" s="120"/>
      <c r="AR887" s="120"/>
      <c r="AS887" s="120"/>
      <c r="AT887" s="120"/>
      <c r="AU887" s="120"/>
      <c r="AV887" s="120"/>
      <c r="AW887" s="120"/>
      <c r="AX887" s="120"/>
      <c r="AY887" s="120"/>
      <c r="AZ887" s="120"/>
      <c r="BA887" s="120"/>
      <c r="BB887" s="120"/>
      <c r="BC887" s="120"/>
      <c r="BD887" s="120"/>
      <c r="BE887" s="120"/>
      <c r="BF887" s="120"/>
      <c r="BG887" s="120"/>
      <c r="BH887" s="120"/>
      <c r="BI887" s="120"/>
      <c r="BJ887" s="120"/>
      <c r="BK887" s="120"/>
      <c r="BL887" s="120"/>
      <c r="BM887" s="120"/>
      <c r="BN887" s="120"/>
      <c r="BO887" s="120"/>
      <c r="BP887" s="120"/>
      <c r="BQ887" s="120"/>
      <c r="BR887" s="120"/>
      <c r="BS887" s="120"/>
      <c r="BT887" s="120"/>
      <c r="BU887" s="120"/>
      <c r="BV887" s="120"/>
      <c r="BW887" s="120"/>
      <c r="BX887" s="120"/>
      <c r="BY887" s="120"/>
      <c r="BZ887" s="120"/>
      <c r="CA887" s="120"/>
      <c r="CB887" s="120"/>
      <c r="CC887" s="120"/>
      <c r="CD887" s="120"/>
      <c r="CE887" s="120"/>
      <c r="CF887" s="120"/>
      <c r="CG887" s="120"/>
      <c r="CH887" s="120"/>
      <c r="CI887" s="120"/>
      <c r="CJ887" s="120"/>
      <c r="CK887" s="120"/>
      <c r="CL887" s="120"/>
      <c r="CM887" s="120"/>
      <c r="CN887" s="120"/>
      <c r="CO887" s="120"/>
    </row>
    <row r="888" spans="1:93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1"/>
      <c r="U888" s="120"/>
      <c r="V888" s="120"/>
      <c r="W888" s="121"/>
      <c r="X888" s="120"/>
      <c r="Y888" s="120"/>
      <c r="Z888" s="120"/>
      <c r="AA888" s="120"/>
      <c r="AB888" s="120"/>
      <c r="AC888" s="120"/>
      <c r="AD888" s="120"/>
      <c r="AE888" s="120"/>
      <c r="AF888" s="120"/>
      <c r="AG888" s="120"/>
      <c r="AH888" s="120"/>
      <c r="AI888" s="120"/>
      <c r="AJ888" s="120"/>
      <c r="AK888" s="120"/>
      <c r="AL888" s="120"/>
      <c r="AM888" s="120"/>
      <c r="AN888" s="120"/>
      <c r="AO888" s="120"/>
      <c r="AP888" s="120"/>
      <c r="AQ888" s="120"/>
      <c r="AR888" s="120"/>
      <c r="AS888" s="120"/>
      <c r="AT888" s="120"/>
      <c r="AU888" s="120"/>
      <c r="AV888" s="120"/>
      <c r="AW888" s="120"/>
      <c r="AX888" s="120"/>
      <c r="AY888" s="120"/>
      <c r="AZ888" s="120"/>
      <c r="BA888" s="120"/>
      <c r="BB888" s="120"/>
      <c r="BC888" s="120"/>
      <c r="BD888" s="120"/>
      <c r="BE888" s="120"/>
      <c r="BF888" s="120"/>
      <c r="BG888" s="120"/>
      <c r="BH888" s="120"/>
      <c r="BI888" s="120"/>
      <c r="BJ888" s="120"/>
      <c r="BK888" s="120"/>
      <c r="BL888" s="120"/>
      <c r="BM888" s="120"/>
      <c r="BN888" s="120"/>
      <c r="BO888" s="120"/>
      <c r="BP888" s="120"/>
      <c r="BQ888" s="120"/>
      <c r="BR888" s="120"/>
      <c r="BS888" s="120"/>
      <c r="BT888" s="120"/>
      <c r="BU888" s="120"/>
      <c r="BV888" s="120"/>
      <c r="BW888" s="120"/>
      <c r="BX888" s="120"/>
      <c r="BY888" s="120"/>
      <c r="BZ888" s="120"/>
      <c r="CA888" s="120"/>
      <c r="CB888" s="120"/>
      <c r="CC888" s="120"/>
      <c r="CD888" s="120"/>
      <c r="CE888" s="120"/>
      <c r="CF888" s="120"/>
      <c r="CG888" s="120"/>
      <c r="CH888" s="120"/>
      <c r="CI888" s="120"/>
      <c r="CJ888" s="120"/>
      <c r="CK888" s="120"/>
      <c r="CL888" s="120"/>
      <c r="CM888" s="120"/>
      <c r="CN888" s="120"/>
      <c r="CO888" s="120"/>
    </row>
    <row r="889" spans="1:93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1"/>
      <c r="U889" s="120"/>
      <c r="V889" s="120"/>
      <c r="W889" s="121"/>
      <c r="X889" s="120"/>
      <c r="Y889" s="120"/>
      <c r="Z889" s="120"/>
      <c r="AA889" s="120"/>
      <c r="AB889" s="120"/>
      <c r="AC889" s="120"/>
      <c r="AD889" s="120"/>
      <c r="AE889" s="120"/>
      <c r="AF889" s="120"/>
      <c r="AG889" s="120"/>
      <c r="AH889" s="120"/>
      <c r="AI889" s="120"/>
      <c r="AJ889" s="120"/>
      <c r="AK889" s="120"/>
      <c r="AL889" s="120"/>
      <c r="AM889" s="120"/>
      <c r="AN889" s="120"/>
      <c r="AO889" s="120"/>
      <c r="AP889" s="120"/>
      <c r="AQ889" s="120"/>
      <c r="AR889" s="120"/>
      <c r="AS889" s="120"/>
      <c r="AT889" s="120"/>
      <c r="AU889" s="120"/>
      <c r="AV889" s="120"/>
      <c r="AW889" s="120"/>
      <c r="AX889" s="120"/>
      <c r="AY889" s="120"/>
      <c r="AZ889" s="120"/>
      <c r="BA889" s="120"/>
      <c r="BB889" s="120"/>
      <c r="BC889" s="120"/>
      <c r="BD889" s="120"/>
      <c r="BE889" s="120"/>
      <c r="BF889" s="120"/>
      <c r="BG889" s="120"/>
      <c r="BH889" s="120"/>
      <c r="BI889" s="120"/>
      <c r="BJ889" s="120"/>
      <c r="BK889" s="120"/>
      <c r="BL889" s="120"/>
      <c r="BM889" s="120"/>
      <c r="BN889" s="120"/>
      <c r="BO889" s="120"/>
      <c r="BP889" s="120"/>
      <c r="BQ889" s="120"/>
      <c r="BR889" s="120"/>
      <c r="BS889" s="120"/>
      <c r="BT889" s="120"/>
      <c r="BU889" s="120"/>
      <c r="BV889" s="120"/>
      <c r="BW889" s="120"/>
      <c r="BX889" s="120"/>
      <c r="BY889" s="120"/>
      <c r="BZ889" s="120"/>
      <c r="CA889" s="120"/>
      <c r="CB889" s="120"/>
      <c r="CC889" s="120"/>
      <c r="CD889" s="120"/>
      <c r="CE889" s="120"/>
      <c r="CF889" s="120"/>
      <c r="CG889" s="120"/>
      <c r="CH889" s="120"/>
      <c r="CI889" s="120"/>
      <c r="CJ889" s="120"/>
      <c r="CK889" s="120"/>
      <c r="CL889" s="120"/>
      <c r="CM889" s="120"/>
      <c r="CN889" s="120"/>
      <c r="CO889" s="120"/>
    </row>
    <row r="890" spans="1:93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1"/>
      <c r="U890" s="120"/>
      <c r="V890" s="120"/>
      <c r="W890" s="121"/>
      <c r="X890" s="120"/>
      <c r="Y890" s="120"/>
      <c r="Z890" s="120"/>
      <c r="AA890" s="120"/>
      <c r="AB890" s="120"/>
      <c r="AC890" s="120"/>
      <c r="AD890" s="120"/>
      <c r="AE890" s="120"/>
      <c r="AF890" s="120"/>
      <c r="AG890" s="120"/>
      <c r="AH890" s="120"/>
      <c r="AI890" s="120"/>
      <c r="AJ890" s="120"/>
      <c r="AK890" s="120"/>
      <c r="AL890" s="120"/>
      <c r="AM890" s="120"/>
      <c r="AN890" s="120"/>
      <c r="AO890" s="120"/>
      <c r="AP890" s="120"/>
      <c r="AQ890" s="120"/>
      <c r="AR890" s="120"/>
      <c r="AS890" s="120"/>
      <c r="AT890" s="120"/>
      <c r="AU890" s="120"/>
      <c r="AV890" s="120"/>
      <c r="AW890" s="120"/>
      <c r="AX890" s="120"/>
      <c r="AY890" s="120"/>
      <c r="AZ890" s="120"/>
      <c r="BA890" s="120"/>
      <c r="BB890" s="120"/>
      <c r="BC890" s="120"/>
      <c r="BD890" s="120"/>
      <c r="BE890" s="120"/>
      <c r="BF890" s="120"/>
      <c r="BG890" s="120"/>
      <c r="BH890" s="120"/>
      <c r="BI890" s="120"/>
      <c r="BJ890" s="120"/>
      <c r="BK890" s="120"/>
      <c r="BL890" s="120"/>
      <c r="BM890" s="120"/>
      <c r="BN890" s="120"/>
      <c r="BO890" s="120"/>
      <c r="BP890" s="120"/>
      <c r="BQ890" s="120"/>
      <c r="BR890" s="120"/>
      <c r="BS890" s="120"/>
      <c r="BT890" s="120"/>
      <c r="BU890" s="120"/>
      <c r="BV890" s="120"/>
      <c r="BW890" s="120"/>
      <c r="BX890" s="120"/>
      <c r="BY890" s="120"/>
      <c r="BZ890" s="120"/>
      <c r="CA890" s="120"/>
      <c r="CB890" s="120"/>
      <c r="CC890" s="120"/>
      <c r="CD890" s="120"/>
      <c r="CE890" s="120"/>
      <c r="CF890" s="120"/>
      <c r="CG890" s="120"/>
      <c r="CH890" s="120"/>
      <c r="CI890" s="120"/>
      <c r="CJ890" s="120"/>
      <c r="CK890" s="120"/>
      <c r="CL890" s="120"/>
      <c r="CM890" s="120"/>
      <c r="CN890" s="120"/>
      <c r="CO890" s="120"/>
    </row>
    <row r="891" spans="1:93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1"/>
      <c r="U891" s="120"/>
      <c r="V891" s="120"/>
      <c r="W891" s="121"/>
      <c r="X891" s="120"/>
      <c r="Y891" s="120"/>
      <c r="Z891" s="120"/>
      <c r="AA891" s="120"/>
      <c r="AB891" s="120"/>
      <c r="AC891" s="120"/>
      <c r="AD891" s="120"/>
      <c r="AE891" s="120"/>
      <c r="AF891" s="120"/>
      <c r="AG891" s="120"/>
      <c r="AH891" s="120"/>
      <c r="AI891" s="120"/>
      <c r="AJ891" s="120"/>
      <c r="AK891" s="120"/>
      <c r="AL891" s="120"/>
      <c r="AM891" s="120"/>
      <c r="AN891" s="120"/>
      <c r="AO891" s="120"/>
      <c r="AP891" s="120"/>
      <c r="AQ891" s="120"/>
      <c r="AR891" s="120"/>
      <c r="AS891" s="120"/>
      <c r="AT891" s="120"/>
      <c r="AU891" s="120"/>
      <c r="AV891" s="120"/>
      <c r="AW891" s="120"/>
      <c r="AX891" s="120"/>
      <c r="AY891" s="120"/>
      <c r="AZ891" s="120"/>
      <c r="BA891" s="120"/>
      <c r="BB891" s="120"/>
      <c r="BC891" s="120"/>
      <c r="BD891" s="120"/>
      <c r="BE891" s="120"/>
      <c r="BF891" s="120"/>
      <c r="BG891" s="120"/>
      <c r="BH891" s="120"/>
      <c r="BI891" s="120"/>
      <c r="BJ891" s="120"/>
      <c r="BK891" s="120"/>
      <c r="BL891" s="120"/>
      <c r="BM891" s="120"/>
      <c r="BN891" s="120"/>
      <c r="BO891" s="120"/>
      <c r="BP891" s="120"/>
      <c r="BQ891" s="120"/>
      <c r="BR891" s="120"/>
      <c r="BS891" s="120"/>
      <c r="BT891" s="120"/>
      <c r="BU891" s="120"/>
      <c r="BV891" s="120"/>
      <c r="BW891" s="120"/>
      <c r="BX891" s="120"/>
      <c r="BY891" s="120"/>
      <c r="BZ891" s="120"/>
      <c r="CA891" s="120"/>
      <c r="CB891" s="120"/>
      <c r="CC891" s="120"/>
      <c r="CD891" s="120"/>
      <c r="CE891" s="120"/>
      <c r="CF891" s="120"/>
      <c r="CG891" s="120"/>
      <c r="CH891" s="120"/>
      <c r="CI891" s="120"/>
      <c r="CJ891" s="120"/>
      <c r="CK891" s="120"/>
      <c r="CL891" s="120"/>
      <c r="CM891" s="120"/>
      <c r="CN891" s="120"/>
      <c r="CO891" s="120"/>
    </row>
    <row r="892" spans="1:93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1"/>
      <c r="U892" s="120"/>
      <c r="V892" s="120"/>
      <c r="W892" s="121"/>
      <c r="X892" s="120"/>
      <c r="Y892" s="120"/>
      <c r="Z892" s="120"/>
      <c r="AA892" s="120"/>
      <c r="AB892" s="120"/>
      <c r="AC892" s="120"/>
      <c r="AD892" s="120"/>
      <c r="AE892" s="120"/>
      <c r="AF892" s="120"/>
      <c r="AG892" s="120"/>
      <c r="AH892" s="120"/>
      <c r="AI892" s="120"/>
      <c r="AJ892" s="120"/>
      <c r="AK892" s="120"/>
      <c r="AL892" s="120"/>
      <c r="AM892" s="120"/>
      <c r="AN892" s="120"/>
      <c r="AO892" s="120"/>
      <c r="AP892" s="120"/>
      <c r="AQ892" s="120"/>
      <c r="AR892" s="120"/>
      <c r="AS892" s="120"/>
      <c r="AT892" s="120"/>
      <c r="AU892" s="120"/>
      <c r="AV892" s="120"/>
      <c r="AW892" s="120"/>
      <c r="AX892" s="120"/>
      <c r="AY892" s="120"/>
      <c r="AZ892" s="120"/>
      <c r="BA892" s="120"/>
      <c r="BB892" s="120"/>
      <c r="BC892" s="120"/>
      <c r="BD892" s="120"/>
      <c r="BE892" s="120"/>
      <c r="BF892" s="120"/>
      <c r="BG892" s="120"/>
      <c r="BH892" s="120"/>
      <c r="BI892" s="120"/>
      <c r="BJ892" s="120"/>
      <c r="BK892" s="120"/>
      <c r="BL892" s="120"/>
      <c r="BM892" s="120"/>
      <c r="BN892" s="120"/>
      <c r="BO892" s="120"/>
      <c r="BP892" s="120"/>
      <c r="BQ892" s="120"/>
      <c r="BR892" s="120"/>
      <c r="BS892" s="120"/>
      <c r="BT892" s="120"/>
      <c r="BU892" s="120"/>
      <c r="BV892" s="120"/>
      <c r="BW892" s="120"/>
      <c r="BX892" s="120"/>
      <c r="BY892" s="120"/>
      <c r="BZ892" s="120"/>
      <c r="CA892" s="120"/>
      <c r="CB892" s="120"/>
      <c r="CC892" s="120"/>
      <c r="CD892" s="120"/>
      <c r="CE892" s="120"/>
      <c r="CF892" s="120"/>
      <c r="CG892" s="120"/>
      <c r="CH892" s="120"/>
      <c r="CI892" s="120"/>
      <c r="CJ892" s="120"/>
      <c r="CK892" s="120"/>
      <c r="CL892" s="120"/>
      <c r="CM892" s="120"/>
      <c r="CN892" s="120"/>
      <c r="CO892" s="120"/>
    </row>
    <row r="893" spans="1:93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1"/>
      <c r="U893" s="120"/>
      <c r="V893" s="120"/>
      <c r="W893" s="121"/>
      <c r="X893" s="120"/>
      <c r="Y893" s="120"/>
      <c r="Z893" s="120"/>
      <c r="AA893" s="120"/>
      <c r="AB893" s="120"/>
      <c r="AC893" s="120"/>
      <c r="AD893" s="120"/>
      <c r="AE893" s="120"/>
      <c r="AF893" s="120"/>
      <c r="AG893" s="120"/>
      <c r="AH893" s="120"/>
      <c r="AI893" s="120"/>
      <c r="AJ893" s="120"/>
      <c r="AK893" s="120"/>
      <c r="AL893" s="120"/>
      <c r="AM893" s="120"/>
      <c r="AN893" s="120"/>
      <c r="AO893" s="120"/>
      <c r="AP893" s="120"/>
      <c r="AQ893" s="120"/>
      <c r="AR893" s="120"/>
      <c r="AS893" s="120"/>
      <c r="AT893" s="120"/>
      <c r="AU893" s="120"/>
      <c r="AV893" s="120"/>
      <c r="AW893" s="120"/>
      <c r="AX893" s="120"/>
      <c r="AY893" s="120"/>
      <c r="AZ893" s="120"/>
      <c r="BA893" s="120"/>
      <c r="BB893" s="120"/>
      <c r="BC893" s="120"/>
      <c r="BD893" s="120"/>
      <c r="BE893" s="120"/>
      <c r="BF893" s="120"/>
      <c r="BG893" s="120"/>
      <c r="BH893" s="120"/>
      <c r="BI893" s="120"/>
      <c r="BJ893" s="120"/>
      <c r="BK893" s="120"/>
      <c r="BL893" s="120"/>
      <c r="BM893" s="120"/>
      <c r="BN893" s="120"/>
      <c r="BO893" s="120"/>
      <c r="BP893" s="120"/>
      <c r="BQ893" s="120"/>
      <c r="BR893" s="120"/>
      <c r="BS893" s="120"/>
      <c r="BT893" s="120"/>
      <c r="BU893" s="120"/>
      <c r="BV893" s="120"/>
      <c r="BW893" s="120"/>
      <c r="BX893" s="120"/>
      <c r="BY893" s="120"/>
      <c r="BZ893" s="120"/>
      <c r="CA893" s="120"/>
      <c r="CB893" s="120"/>
      <c r="CC893" s="120"/>
      <c r="CD893" s="120"/>
      <c r="CE893" s="120"/>
      <c r="CF893" s="120"/>
      <c r="CG893" s="120"/>
      <c r="CH893" s="120"/>
      <c r="CI893" s="120"/>
      <c r="CJ893" s="120"/>
      <c r="CK893" s="120"/>
      <c r="CL893" s="120"/>
      <c r="CM893" s="120"/>
      <c r="CN893" s="120"/>
      <c r="CO893" s="120"/>
    </row>
    <row r="894" spans="1:93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1"/>
      <c r="U894" s="120"/>
      <c r="V894" s="120"/>
      <c r="W894" s="121"/>
      <c r="X894" s="120"/>
      <c r="Y894" s="120"/>
      <c r="Z894" s="120"/>
      <c r="AA894" s="120"/>
      <c r="AB894" s="120"/>
      <c r="AC894" s="120"/>
      <c r="AD894" s="120"/>
      <c r="AE894" s="120"/>
      <c r="AF894" s="120"/>
      <c r="AG894" s="120"/>
      <c r="AH894" s="120"/>
      <c r="AI894" s="120"/>
      <c r="AJ894" s="120"/>
      <c r="AK894" s="120"/>
      <c r="AL894" s="120"/>
      <c r="AM894" s="120"/>
      <c r="AN894" s="120"/>
      <c r="AO894" s="120"/>
      <c r="AP894" s="120"/>
      <c r="AQ894" s="120"/>
      <c r="AR894" s="120"/>
      <c r="AS894" s="120"/>
      <c r="AT894" s="120"/>
      <c r="AU894" s="120"/>
      <c r="AV894" s="120"/>
      <c r="AW894" s="120"/>
      <c r="AX894" s="120"/>
      <c r="AY894" s="120"/>
      <c r="AZ894" s="120"/>
      <c r="BA894" s="120"/>
      <c r="BB894" s="120"/>
      <c r="BC894" s="120"/>
      <c r="BD894" s="120"/>
      <c r="BE894" s="120"/>
      <c r="BF894" s="120"/>
      <c r="BG894" s="120"/>
      <c r="BH894" s="120"/>
      <c r="BI894" s="120"/>
      <c r="BJ894" s="120"/>
      <c r="BK894" s="120"/>
      <c r="BL894" s="120"/>
      <c r="BM894" s="120"/>
      <c r="BN894" s="120"/>
      <c r="BO894" s="120"/>
      <c r="BP894" s="120"/>
      <c r="BQ894" s="120"/>
      <c r="BR894" s="120"/>
      <c r="BS894" s="120"/>
      <c r="BT894" s="120"/>
      <c r="BU894" s="120"/>
      <c r="BV894" s="120"/>
      <c r="BW894" s="120"/>
      <c r="BX894" s="120"/>
      <c r="BY894" s="120"/>
      <c r="BZ894" s="120"/>
      <c r="CA894" s="120"/>
      <c r="CB894" s="120"/>
      <c r="CC894" s="120"/>
      <c r="CD894" s="120"/>
      <c r="CE894" s="120"/>
      <c r="CF894" s="120"/>
      <c r="CG894" s="120"/>
      <c r="CH894" s="120"/>
      <c r="CI894" s="120"/>
      <c r="CJ894" s="120"/>
      <c r="CK894" s="120"/>
      <c r="CL894" s="120"/>
      <c r="CM894" s="120"/>
      <c r="CN894" s="120"/>
      <c r="CO894" s="120"/>
    </row>
    <row r="895" spans="1:93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1"/>
      <c r="U895" s="120"/>
      <c r="V895" s="120"/>
      <c r="W895" s="121"/>
      <c r="X895" s="120"/>
      <c r="Y895" s="120"/>
      <c r="Z895" s="120"/>
      <c r="AA895" s="120"/>
      <c r="AB895" s="120"/>
      <c r="AC895" s="120"/>
      <c r="AD895" s="120"/>
      <c r="AE895" s="120"/>
      <c r="AF895" s="120"/>
      <c r="AG895" s="120"/>
      <c r="AH895" s="120"/>
      <c r="AI895" s="120"/>
      <c r="AJ895" s="120"/>
      <c r="AK895" s="120"/>
      <c r="AL895" s="120"/>
      <c r="AM895" s="120"/>
      <c r="AN895" s="120"/>
      <c r="AO895" s="120"/>
      <c r="AP895" s="120"/>
      <c r="AQ895" s="120"/>
      <c r="AR895" s="120"/>
      <c r="AS895" s="120"/>
      <c r="AT895" s="120"/>
      <c r="AU895" s="120"/>
      <c r="AV895" s="120"/>
      <c r="AW895" s="120"/>
      <c r="AX895" s="120"/>
      <c r="AY895" s="120"/>
      <c r="AZ895" s="120"/>
      <c r="BA895" s="120"/>
      <c r="BB895" s="120"/>
      <c r="BC895" s="120"/>
      <c r="BD895" s="120"/>
      <c r="BE895" s="120"/>
      <c r="BF895" s="120"/>
      <c r="BG895" s="120"/>
      <c r="BH895" s="120"/>
      <c r="BI895" s="120"/>
      <c r="BJ895" s="120"/>
      <c r="BK895" s="120"/>
      <c r="BL895" s="120"/>
      <c r="BM895" s="120"/>
      <c r="BN895" s="120"/>
      <c r="BO895" s="120"/>
      <c r="BP895" s="120"/>
      <c r="BQ895" s="120"/>
      <c r="BR895" s="120"/>
      <c r="BS895" s="120"/>
      <c r="BT895" s="120"/>
      <c r="BU895" s="120"/>
      <c r="BV895" s="120"/>
      <c r="BW895" s="120"/>
      <c r="BX895" s="120"/>
      <c r="BY895" s="120"/>
      <c r="BZ895" s="120"/>
      <c r="CA895" s="120"/>
      <c r="CB895" s="120"/>
      <c r="CC895" s="120"/>
      <c r="CD895" s="120"/>
      <c r="CE895" s="120"/>
      <c r="CF895" s="120"/>
      <c r="CG895" s="120"/>
      <c r="CH895" s="120"/>
      <c r="CI895" s="120"/>
      <c r="CJ895" s="120"/>
      <c r="CK895" s="120"/>
      <c r="CL895" s="120"/>
      <c r="CM895" s="120"/>
      <c r="CN895" s="120"/>
      <c r="CO895" s="120"/>
    </row>
    <row r="896" spans="1:93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1"/>
      <c r="U896" s="120"/>
      <c r="V896" s="120"/>
      <c r="W896" s="121"/>
      <c r="X896" s="120"/>
      <c r="Y896" s="120"/>
      <c r="Z896" s="120"/>
      <c r="AA896" s="120"/>
      <c r="AB896" s="120"/>
      <c r="AC896" s="120"/>
      <c r="AD896" s="120"/>
      <c r="AE896" s="120"/>
      <c r="AF896" s="120"/>
      <c r="AG896" s="120"/>
      <c r="AH896" s="120"/>
      <c r="AI896" s="120"/>
      <c r="AJ896" s="120"/>
      <c r="AK896" s="120"/>
      <c r="AL896" s="120"/>
      <c r="AM896" s="120"/>
      <c r="AN896" s="120"/>
      <c r="AO896" s="120"/>
      <c r="AP896" s="120"/>
      <c r="AQ896" s="120"/>
      <c r="AR896" s="120"/>
      <c r="AS896" s="120"/>
      <c r="AT896" s="120"/>
      <c r="AU896" s="120"/>
      <c r="AV896" s="120"/>
      <c r="AW896" s="120"/>
      <c r="AX896" s="120"/>
      <c r="AY896" s="120"/>
      <c r="AZ896" s="120"/>
      <c r="BA896" s="120"/>
      <c r="BB896" s="120"/>
      <c r="BC896" s="120"/>
      <c r="BD896" s="120"/>
      <c r="BE896" s="120"/>
      <c r="BF896" s="120"/>
      <c r="BG896" s="120"/>
      <c r="BH896" s="120"/>
      <c r="BI896" s="120"/>
      <c r="BJ896" s="120"/>
      <c r="BK896" s="120"/>
      <c r="BL896" s="120"/>
      <c r="BM896" s="120"/>
      <c r="BN896" s="120"/>
      <c r="BO896" s="120"/>
      <c r="BP896" s="120"/>
      <c r="BQ896" s="120"/>
      <c r="BR896" s="120"/>
      <c r="BS896" s="120"/>
      <c r="BT896" s="120"/>
      <c r="BU896" s="120"/>
      <c r="BV896" s="120"/>
      <c r="BW896" s="120"/>
      <c r="BX896" s="120"/>
      <c r="BY896" s="120"/>
      <c r="BZ896" s="120"/>
      <c r="CA896" s="120"/>
      <c r="CB896" s="120"/>
      <c r="CC896" s="120"/>
      <c r="CD896" s="120"/>
      <c r="CE896" s="120"/>
      <c r="CF896" s="120"/>
      <c r="CG896" s="120"/>
      <c r="CH896" s="120"/>
      <c r="CI896" s="120"/>
      <c r="CJ896" s="120"/>
      <c r="CK896" s="120"/>
      <c r="CL896" s="120"/>
      <c r="CM896" s="120"/>
      <c r="CN896" s="120"/>
      <c r="CO896" s="120"/>
    </row>
    <row r="897" spans="1:93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1"/>
      <c r="U897" s="120"/>
      <c r="V897" s="120"/>
      <c r="W897" s="121"/>
      <c r="X897" s="120"/>
      <c r="Y897" s="120"/>
      <c r="Z897" s="120"/>
      <c r="AA897" s="120"/>
      <c r="AB897" s="120"/>
      <c r="AC897" s="120"/>
      <c r="AD897" s="120"/>
      <c r="AE897" s="120"/>
      <c r="AF897" s="120"/>
      <c r="AG897" s="120"/>
      <c r="AH897" s="120"/>
      <c r="AI897" s="120"/>
      <c r="AJ897" s="120"/>
      <c r="AK897" s="120"/>
      <c r="AL897" s="120"/>
      <c r="AM897" s="120"/>
      <c r="AN897" s="120"/>
      <c r="AO897" s="120"/>
      <c r="AP897" s="120"/>
      <c r="AQ897" s="120"/>
      <c r="AR897" s="120"/>
      <c r="AS897" s="120"/>
      <c r="AT897" s="120"/>
      <c r="AU897" s="120"/>
      <c r="AV897" s="120"/>
      <c r="AW897" s="120"/>
      <c r="AX897" s="120"/>
      <c r="AY897" s="120"/>
      <c r="AZ897" s="120"/>
      <c r="BA897" s="120"/>
      <c r="BB897" s="120"/>
      <c r="BC897" s="120"/>
      <c r="BD897" s="120"/>
      <c r="BE897" s="120"/>
      <c r="BF897" s="120"/>
      <c r="BG897" s="120"/>
      <c r="BH897" s="120"/>
      <c r="BI897" s="120"/>
      <c r="BJ897" s="120"/>
      <c r="BK897" s="120"/>
      <c r="BL897" s="120"/>
      <c r="BM897" s="120"/>
      <c r="BN897" s="120"/>
      <c r="BO897" s="120"/>
      <c r="BP897" s="120"/>
      <c r="BQ897" s="120"/>
      <c r="BR897" s="120"/>
      <c r="BS897" s="120"/>
      <c r="BT897" s="120"/>
      <c r="BU897" s="120"/>
      <c r="BV897" s="120"/>
      <c r="BW897" s="120"/>
      <c r="BX897" s="120"/>
      <c r="BY897" s="120"/>
      <c r="BZ897" s="120"/>
      <c r="CA897" s="120"/>
      <c r="CB897" s="120"/>
      <c r="CC897" s="120"/>
      <c r="CD897" s="120"/>
      <c r="CE897" s="120"/>
      <c r="CF897" s="120"/>
      <c r="CG897" s="120"/>
      <c r="CH897" s="120"/>
      <c r="CI897" s="120"/>
      <c r="CJ897" s="120"/>
      <c r="CK897" s="120"/>
      <c r="CL897" s="120"/>
      <c r="CM897" s="120"/>
      <c r="CN897" s="120"/>
      <c r="CO897" s="120"/>
    </row>
    <row r="898" spans="1:93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1"/>
      <c r="U898" s="120"/>
      <c r="V898" s="120"/>
      <c r="W898" s="121"/>
      <c r="X898" s="120"/>
      <c r="Y898" s="120"/>
      <c r="Z898" s="120"/>
      <c r="AA898" s="120"/>
      <c r="AB898" s="120"/>
      <c r="AC898" s="120"/>
      <c r="AD898" s="120"/>
      <c r="AE898" s="120"/>
      <c r="AF898" s="120"/>
      <c r="AG898" s="120"/>
      <c r="AH898" s="120"/>
      <c r="AI898" s="120"/>
      <c r="AJ898" s="120"/>
      <c r="AK898" s="120"/>
      <c r="AL898" s="120"/>
      <c r="AM898" s="120"/>
      <c r="AN898" s="120"/>
      <c r="AO898" s="120"/>
      <c r="AP898" s="120"/>
      <c r="AQ898" s="120"/>
      <c r="AR898" s="120"/>
      <c r="AS898" s="120"/>
      <c r="AT898" s="120"/>
      <c r="AU898" s="120"/>
      <c r="AV898" s="120"/>
      <c r="AW898" s="120"/>
      <c r="AX898" s="120"/>
      <c r="AY898" s="120"/>
      <c r="AZ898" s="120"/>
      <c r="BA898" s="120"/>
      <c r="BB898" s="120"/>
      <c r="BC898" s="120"/>
      <c r="BD898" s="120"/>
      <c r="BE898" s="120"/>
      <c r="BF898" s="120"/>
      <c r="BG898" s="120"/>
      <c r="BH898" s="120"/>
      <c r="BI898" s="120"/>
      <c r="BJ898" s="120"/>
      <c r="BK898" s="120"/>
      <c r="BL898" s="120"/>
      <c r="BM898" s="120"/>
      <c r="BN898" s="120"/>
      <c r="BO898" s="120"/>
      <c r="BP898" s="120"/>
      <c r="BQ898" s="120"/>
      <c r="BR898" s="120"/>
      <c r="BS898" s="120"/>
      <c r="BT898" s="120"/>
      <c r="BU898" s="120"/>
      <c r="BV898" s="120"/>
      <c r="BW898" s="120"/>
      <c r="BX898" s="120"/>
      <c r="BY898" s="120"/>
      <c r="BZ898" s="120"/>
      <c r="CA898" s="120"/>
      <c r="CB898" s="120"/>
      <c r="CC898" s="120"/>
      <c r="CD898" s="120"/>
      <c r="CE898" s="120"/>
      <c r="CF898" s="120"/>
      <c r="CG898" s="120"/>
      <c r="CH898" s="120"/>
      <c r="CI898" s="120"/>
      <c r="CJ898" s="120"/>
      <c r="CK898" s="120"/>
      <c r="CL898" s="120"/>
      <c r="CM898" s="120"/>
      <c r="CN898" s="120"/>
      <c r="CO898" s="120"/>
    </row>
    <row r="899" spans="1:93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1"/>
      <c r="U899" s="120"/>
      <c r="V899" s="120"/>
      <c r="W899" s="121"/>
      <c r="X899" s="120"/>
      <c r="Y899" s="120"/>
      <c r="Z899" s="120"/>
      <c r="AA899" s="120"/>
      <c r="AB899" s="120"/>
      <c r="AC899" s="120"/>
      <c r="AD899" s="120"/>
      <c r="AE899" s="120"/>
      <c r="AF899" s="120"/>
      <c r="AG899" s="120"/>
      <c r="AH899" s="120"/>
      <c r="AI899" s="120"/>
      <c r="AJ899" s="120"/>
      <c r="AK899" s="120"/>
      <c r="AL899" s="120"/>
      <c r="AM899" s="120"/>
      <c r="AN899" s="120"/>
      <c r="AO899" s="120"/>
      <c r="AP899" s="120"/>
      <c r="AQ899" s="120"/>
      <c r="AR899" s="120"/>
      <c r="AS899" s="120"/>
      <c r="AT899" s="120"/>
      <c r="AU899" s="120"/>
      <c r="AV899" s="120"/>
      <c r="AW899" s="120"/>
      <c r="AX899" s="120"/>
      <c r="AY899" s="120"/>
      <c r="AZ899" s="120"/>
      <c r="BA899" s="120"/>
      <c r="BB899" s="120"/>
      <c r="BC899" s="120"/>
      <c r="BD899" s="120"/>
      <c r="BE899" s="120"/>
      <c r="BF899" s="120"/>
      <c r="BG899" s="120"/>
      <c r="BH899" s="120"/>
      <c r="BI899" s="120"/>
      <c r="BJ899" s="120"/>
      <c r="BK899" s="120"/>
      <c r="BL899" s="120"/>
      <c r="BM899" s="120"/>
      <c r="BN899" s="120"/>
      <c r="BO899" s="120"/>
      <c r="BP899" s="120"/>
      <c r="BQ899" s="120"/>
      <c r="BR899" s="120"/>
      <c r="BS899" s="120"/>
      <c r="BT899" s="120"/>
      <c r="BU899" s="120"/>
      <c r="BV899" s="120"/>
      <c r="BW899" s="120"/>
      <c r="BX899" s="120"/>
      <c r="BY899" s="120"/>
      <c r="BZ899" s="120"/>
      <c r="CA899" s="120"/>
      <c r="CB899" s="120"/>
      <c r="CC899" s="120"/>
      <c r="CD899" s="120"/>
      <c r="CE899" s="120"/>
      <c r="CF899" s="120"/>
      <c r="CG899" s="120"/>
      <c r="CH899" s="120"/>
      <c r="CI899" s="120"/>
      <c r="CJ899" s="120"/>
      <c r="CK899" s="120"/>
      <c r="CL899" s="120"/>
      <c r="CM899" s="120"/>
      <c r="CN899" s="120"/>
      <c r="CO899" s="120"/>
    </row>
    <row r="900" spans="1:93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1"/>
      <c r="U900" s="120"/>
      <c r="V900" s="120"/>
      <c r="W900" s="121"/>
      <c r="X900" s="120"/>
      <c r="Y900" s="120"/>
      <c r="Z900" s="120"/>
      <c r="AA900" s="120"/>
      <c r="AB900" s="120"/>
      <c r="AC900" s="120"/>
      <c r="AD900" s="120"/>
      <c r="AE900" s="120"/>
      <c r="AF900" s="120"/>
      <c r="AG900" s="120"/>
      <c r="AH900" s="120"/>
      <c r="AI900" s="120"/>
      <c r="AJ900" s="120"/>
      <c r="AK900" s="120"/>
      <c r="AL900" s="120"/>
      <c r="AM900" s="120"/>
      <c r="AN900" s="120"/>
      <c r="AO900" s="120"/>
      <c r="AP900" s="120"/>
      <c r="AQ900" s="120"/>
      <c r="AR900" s="120"/>
      <c r="AS900" s="120"/>
      <c r="AT900" s="120"/>
      <c r="AU900" s="120"/>
      <c r="AV900" s="120"/>
      <c r="AW900" s="120"/>
      <c r="AX900" s="120"/>
      <c r="AY900" s="120"/>
      <c r="AZ900" s="120"/>
      <c r="BA900" s="120"/>
      <c r="BB900" s="120"/>
      <c r="BC900" s="120"/>
      <c r="BD900" s="120"/>
      <c r="BE900" s="120"/>
      <c r="BF900" s="120"/>
      <c r="BG900" s="120"/>
      <c r="BH900" s="120"/>
      <c r="BI900" s="120"/>
      <c r="BJ900" s="120"/>
      <c r="BK900" s="120"/>
      <c r="BL900" s="120"/>
      <c r="BM900" s="120"/>
      <c r="BN900" s="120"/>
      <c r="BO900" s="120"/>
      <c r="BP900" s="120"/>
      <c r="BQ900" s="120"/>
      <c r="BR900" s="120"/>
      <c r="BS900" s="120"/>
      <c r="BT900" s="120"/>
      <c r="BU900" s="120"/>
      <c r="BV900" s="120"/>
      <c r="BW900" s="120"/>
      <c r="BX900" s="120"/>
      <c r="BY900" s="120"/>
      <c r="BZ900" s="120"/>
      <c r="CA900" s="120"/>
      <c r="CB900" s="120"/>
      <c r="CC900" s="120"/>
      <c r="CD900" s="120"/>
      <c r="CE900" s="120"/>
      <c r="CF900" s="120"/>
      <c r="CG900" s="120"/>
      <c r="CH900" s="120"/>
      <c r="CI900" s="120"/>
      <c r="CJ900" s="120"/>
      <c r="CK900" s="120"/>
      <c r="CL900" s="120"/>
      <c r="CM900" s="120"/>
      <c r="CN900" s="120"/>
      <c r="CO900" s="120"/>
    </row>
    <row r="901" spans="1:93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1"/>
      <c r="U901" s="120"/>
      <c r="V901" s="120"/>
      <c r="W901" s="121"/>
      <c r="X901" s="120"/>
      <c r="Y901" s="120"/>
      <c r="Z901" s="120"/>
      <c r="AA901" s="120"/>
      <c r="AB901" s="120"/>
      <c r="AC901" s="120"/>
      <c r="AD901" s="120"/>
      <c r="AE901" s="120"/>
      <c r="AF901" s="120"/>
      <c r="AG901" s="120"/>
      <c r="AH901" s="120"/>
      <c r="AI901" s="120"/>
      <c r="AJ901" s="120"/>
      <c r="AK901" s="120"/>
      <c r="AL901" s="120"/>
      <c r="AM901" s="120"/>
      <c r="AN901" s="120"/>
      <c r="AO901" s="120"/>
      <c r="AP901" s="120"/>
      <c r="AQ901" s="120"/>
      <c r="AR901" s="120"/>
      <c r="AS901" s="120"/>
      <c r="AT901" s="120"/>
      <c r="AU901" s="120"/>
      <c r="AV901" s="120"/>
      <c r="AW901" s="120"/>
      <c r="AX901" s="120"/>
      <c r="AY901" s="120"/>
      <c r="AZ901" s="120"/>
      <c r="BA901" s="120"/>
      <c r="BB901" s="120"/>
      <c r="BC901" s="120"/>
      <c r="BD901" s="120"/>
      <c r="BE901" s="120"/>
      <c r="BF901" s="120"/>
      <c r="BG901" s="120"/>
      <c r="BH901" s="120"/>
      <c r="BI901" s="120"/>
      <c r="BJ901" s="120"/>
      <c r="BK901" s="120"/>
      <c r="BL901" s="120"/>
      <c r="BM901" s="120"/>
      <c r="BN901" s="120"/>
      <c r="BO901" s="120"/>
      <c r="BP901" s="120"/>
      <c r="BQ901" s="120"/>
      <c r="BR901" s="120"/>
      <c r="BS901" s="120"/>
      <c r="BT901" s="120"/>
      <c r="BU901" s="120"/>
      <c r="BV901" s="120"/>
      <c r="BW901" s="120"/>
      <c r="BX901" s="120"/>
      <c r="BY901" s="120"/>
      <c r="BZ901" s="120"/>
      <c r="CA901" s="120"/>
      <c r="CB901" s="120"/>
      <c r="CC901" s="120"/>
      <c r="CD901" s="120"/>
      <c r="CE901" s="120"/>
      <c r="CF901" s="120"/>
      <c r="CG901" s="120"/>
      <c r="CH901" s="120"/>
      <c r="CI901" s="120"/>
      <c r="CJ901" s="120"/>
      <c r="CK901" s="120"/>
      <c r="CL901" s="120"/>
      <c r="CM901" s="120"/>
      <c r="CN901" s="120"/>
      <c r="CO901" s="120"/>
    </row>
    <row r="902" spans="1:93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1"/>
      <c r="U902" s="120"/>
      <c r="V902" s="120"/>
      <c r="W902" s="121"/>
      <c r="X902" s="120"/>
      <c r="Y902" s="120"/>
      <c r="Z902" s="120"/>
      <c r="AA902" s="120"/>
      <c r="AB902" s="120"/>
      <c r="AC902" s="120"/>
      <c r="AD902" s="120"/>
      <c r="AE902" s="120"/>
      <c r="AF902" s="120"/>
      <c r="AG902" s="120"/>
      <c r="AH902" s="120"/>
      <c r="AI902" s="120"/>
      <c r="AJ902" s="120"/>
      <c r="AK902" s="120"/>
      <c r="AL902" s="120"/>
      <c r="AM902" s="120"/>
      <c r="AN902" s="120"/>
      <c r="AO902" s="120"/>
      <c r="AP902" s="120"/>
      <c r="AQ902" s="120"/>
      <c r="AR902" s="120"/>
      <c r="AS902" s="120"/>
      <c r="AT902" s="120"/>
      <c r="AU902" s="120"/>
      <c r="AV902" s="120"/>
      <c r="AW902" s="120"/>
      <c r="AX902" s="120"/>
      <c r="AY902" s="120"/>
      <c r="AZ902" s="120"/>
      <c r="BA902" s="120"/>
      <c r="BB902" s="120"/>
      <c r="BC902" s="120"/>
      <c r="BD902" s="120"/>
      <c r="BE902" s="120"/>
      <c r="BF902" s="120"/>
      <c r="BG902" s="120"/>
      <c r="BH902" s="120"/>
      <c r="BI902" s="120"/>
      <c r="BJ902" s="120"/>
      <c r="BK902" s="120"/>
      <c r="BL902" s="120"/>
      <c r="BM902" s="120"/>
      <c r="BN902" s="120"/>
      <c r="BO902" s="120"/>
      <c r="BP902" s="120"/>
      <c r="BQ902" s="120"/>
      <c r="BR902" s="120"/>
      <c r="BS902" s="120"/>
      <c r="BT902" s="120"/>
      <c r="BU902" s="120"/>
      <c r="BV902" s="120"/>
      <c r="BW902" s="120"/>
      <c r="BX902" s="120"/>
      <c r="BY902" s="120"/>
      <c r="BZ902" s="120"/>
      <c r="CA902" s="120"/>
      <c r="CB902" s="120"/>
      <c r="CC902" s="120"/>
      <c r="CD902" s="120"/>
      <c r="CE902" s="120"/>
      <c r="CF902" s="120"/>
      <c r="CG902" s="120"/>
      <c r="CH902" s="120"/>
      <c r="CI902" s="120"/>
      <c r="CJ902" s="120"/>
      <c r="CK902" s="120"/>
      <c r="CL902" s="120"/>
      <c r="CM902" s="120"/>
      <c r="CN902" s="120"/>
      <c r="CO902" s="120"/>
    </row>
    <row r="903" spans="1:93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1"/>
      <c r="U903" s="120"/>
      <c r="V903" s="120"/>
      <c r="W903" s="121"/>
      <c r="X903" s="120"/>
      <c r="Y903" s="120"/>
      <c r="Z903" s="120"/>
      <c r="AA903" s="120"/>
      <c r="AB903" s="120"/>
      <c r="AC903" s="120"/>
      <c r="AD903" s="120"/>
      <c r="AE903" s="120"/>
      <c r="AF903" s="120"/>
      <c r="AG903" s="120"/>
      <c r="AH903" s="120"/>
      <c r="AI903" s="120"/>
      <c r="AJ903" s="120"/>
      <c r="AK903" s="120"/>
      <c r="AL903" s="120"/>
      <c r="AM903" s="120"/>
      <c r="AN903" s="120"/>
      <c r="AO903" s="120"/>
      <c r="AP903" s="120"/>
      <c r="AQ903" s="120"/>
      <c r="AR903" s="120"/>
      <c r="AS903" s="120"/>
      <c r="AT903" s="120"/>
      <c r="AU903" s="120"/>
      <c r="AV903" s="120"/>
      <c r="AW903" s="120"/>
      <c r="AX903" s="120"/>
      <c r="AY903" s="120"/>
      <c r="AZ903" s="120"/>
      <c r="BA903" s="120"/>
      <c r="BB903" s="120"/>
      <c r="BC903" s="120"/>
      <c r="BD903" s="120"/>
      <c r="BE903" s="120"/>
      <c r="BF903" s="120"/>
      <c r="BG903" s="120"/>
      <c r="BH903" s="120"/>
      <c r="BI903" s="120"/>
      <c r="BJ903" s="120"/>
      <c r="BK903" s="120"/>
      <c r="BL903" s="120"/>
      <c r="BM903" s="120"/>
      <c r="BN903" s="120"/>
      <c r="BO903" s="120"/>
      <c r="BP903" s="120"/>
      <c r="BQ903" s="120"/>
      <c r="BR903" s="120"/>
      <c r="BS903" s="120"/>
      <c r="BT903" s="120"/>
      <c r="BU903" s="120"/>
      <c r="BV903" s="120"/>
      <c r="BW903" s="120"/>
      <c r="BX903" s="120"/>
      <c r="BY903" s="120"/>
      <c r="BZ903" s="120"/>
      <c r="CA903" s="120"/>
      <c r="CB903" s="120"/>
      <c r="CC903" s="120"/>
      <c r="CD903" s="120"/>
      <c r="CE903" s="120"/>
      <c r="CF903" s="120"/>
      <c r="CG903" s="120"/>
      <c r="CH903" s="120"/>
      <c r="CI903" s="120"/>
      <c r="CJ903" s="120"/>
      <c r="CK903" s="120"/>
      <c r="CL903" s="120"/>
      <c r="CM903" s="120"/>
      <c r="CN903" s="120"/>
      <c r="CO903" s="120"/>
    </row>
    <row r="904" spans="1:93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1"/>
      <c r="U904" s="120"/>
      <c r="V904" s="120"/>
      <c r="W904" s="121"/>
      <c r="X904" s="120"/>
      <c r="Y904" s="120"/>
      <c r="Z904" s="120"/>
      <c r="AA904" s="120"/>
      <c r="AB904" s="120"/>
      <c r="AC904" s="120"/>
      <c r="AD904" s="120"/>
      <c r="AE904" s="120"/>
      <c r="AF904" s="120"/>
      <c r="AG904" s="120"/>
      <c r="AH904" s="120"/>
      <c r="AI904" s="120"/>
      <c r="AJ904" s="120"/>
      <c r="AK904" s="120"/>
      <c r="AL904" s="120"/>
      <c r="AM904" s="120"/>
      <c r="AN904" s="120"/>
      <c r="AO904" s="120"/>
      <c r="AP904" s="120"/>
      <c r="AQ904" s="120"/>
      <c r="AR904" s="120"/>
      <c r="AS904" s="120"/>
      <c r="AT904" s="120"/>
      <c r="AU904" s="120"/>
      <c r="AV904" s="120"/>
      <c r="AW904" s="120"/>
      <c r="AX904" s="120"/>
      <c r="AY904" s="120"/>
      <c r="AZ904" s="120"/>
      <c r="BA904" s="120"/>
      <c r="BB904" s="120"/>
      <c r="BC904" s="120"/>
      <c r="BD904" s="120"/>
      <c r="BE904" s="120"/>
      <c r="BF904" s="120"/>
      <c r="BG904" s="120"/>
      <c r="BH904" s="120"/>
      <c r="BI904" s="120"/>
      <c r="BJ904" s="120"/>
      <c r="BK904" s="120"/>
      <c r="BL904" s="120"/>
      <c r="BM904" s="120"/>
      <c r="BN904" s="120"/>
      <c r="BO904" s="120"/>
      <c r="BP904" s="120"/>
      <c r="BQ904" s="120"/>
      <c r="BR904" s="120"/>
      <c r="BS904" s="120"/>
      <c r="BT904" s="120"/>
      <c r="BU904" s="120"/>
      <c r="BV904" s="120"/>
      <c r="BW904" s="120"/>
      <c r="BX904" s="120"/>
      <c r="BY904" s="120"/>
      <c r="BZ904" s="120"/>
      <c r="CA904" s="120"/>
      <c r="CB904" s="120"/>
      <c r="CC904" s="120"/>
      <c r="CD904" s="120"/>
      <c r="CE904" s="120"/>
      <c r="CF904" s="120"/>
      <c r="CG904" s="120"/>
      <c r="CH904" s="120"/>
      <c r="CI904" s="120"/>
      <c r="CJ904" s="120"/>
      <c r="CK904" s="120"/>
      <c r="CL904" s="120"/>
      <c r="CM904" s="120"/>
      <c r="CN904" s="120"/>
      <c r="CO904" s="120"/>
    </row>
    <row r="905" spans="1:93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1"/>
      <c r="U905" s="120"/>
      <c r="V905" s="120"/>
      <c r="W905" s="121"/>
      <c r="X905" s="120"/>
      <c r="Y905" s="120"/>
      <c r="Z905" s="120"/>
      <c r="AA905" s="120"/>
      <c r="AB905" s="120"/>
      <c r="AC905" s="120"/>
      <c r="AD905" s="120"/>
      <c r="AE905" s="120"/>
      <c r="AF905" s="120"/>
      <c r="AG905" s="120"/>
      <c r="AH905" s="120"/>
      <c r="AI905" s="120"/>
      <c r="AJ905" s="120"/>
      <c r="AK905" s="120"/>
      <c r="AL905" s="120"/>
      <c r="AM905" s="120"/>
      <c r="AN905" s="120"/>
      <c r="AO905" s="120"/>
      <c r="AP905" s="120"/>
      <c r="AQ905" s="120"/>
      <c r="AR905" s="120"/>
      <c r="AS905" s="120"/>
      <c r="AT905" s="120"/>
      <c r="AU905" s="120"/>
      <c r="AV905" s="120"/>
      <c r="AW905" s="120"/>
      <c r="AX905" s="120"/>
      <c r="AY905" s="120"/>
      <c r="AZ905" s="120"/>
      <c r="BA905" s="120"/>
      <c r="BB905" s="120"/>
      <c r="BC905" s="120"/>
      <c r="BD905" s="120"/>
      <c r="BE905" s="120"/>
      <c r="BF905" s="120"/>
      <c r="BG905" s="120"/>
      <c r="BH905" s="120"/>
      <c r="BI905" s="120"/>
      <c r="BJ905" s="120"/>
      <c r="BK905" s="120"/>
      <c r="BL905" s="120"/>
      <c r="BM905" s="120"/>
      <c r="BN905" s="120"/>
      <c r="BO905" s="120"/>
      <c r="BP905" s="120"/>
      <c r="BQ905" s="120"/>
      <c r="BR905" s="120"/>
      <c r="BS905" s="120"/>
      <c r="BT905" s="120"/>
      <c r="BU905" s="120"/>
      <c r="BV905" s="120"/>
      <c r="BW905" s="120"/>
      <c r="BX905" s="120"/>
      <c r="BY905" s="120"/>
      <c r="BZ905" s="120"/>
      <c r="CA905" s="120"/>
      <c r="CB905" s="120"/>
      <c r="CC905" s="120"/>
      <c r="CD905" s="120"/>
      <c r="CE905" s="120"/>
      <c r="CF905" s="120"/>
      <c r="CG905" s="120"/>
      <c r="CH905" s="120"/>
      <c r="CI905" s="120"/>
      <c r="CJ905" s="120"/>
      <c r="CK905" s="120"/>
      <c r="CL905" s="120"/>
      <c r="CM905" s="120"/>
      <c r="CN905" s="120"/>
      <c r="CO905" s="120"/>
    </row>
    <row r="906" spans="1:93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1"/>
      <c r="U906" s="120"/>
      <c r="V906" s="120"/>
      <c r="W906" s="121"/>
      <c r="X906" s="120"/>
      <c r="Y906" s="120"/>
      <c r="Z906" s="120"/>
      <c r="AA906" s="120"/>
      <c r="AB906" s="120"/>
      <c r="AC906" s="120"/>
      <c r="AD906" s="120"/>
      <c r="AE906" s="120"/>
      <c r="AF906" s="120"/>
      <c r="AG906" s="120"/>
      <c r="AH906" s="120"/>
      <c r="AI906" s="120"/>
      <c r="AJ906" s="120"/>
      <c r="AK906" s="120"/>
      <c r="AL906" s="120"/>
      <c r="AM906" s="120"/>
      <c r="AN906" s="120"/>
      <c r="AO906" s="120"/>
      <c r="AP906" s="120"/>
      <c r="AQ906" s="120"/>
      <c r="AR906" s="120"/>
      <c r="AS906" s="120"/>
      <c r="AT906" s="120"/>
      <c r="AU906" s="120"/>
      <c r="AV906" s="120"/>
      <c r="AW906" s="120"/>
      <c r="AX906" s="120"/>
      <c r="AY906" s="120"/>
      <c r="AZ906" s="120"/>
      <c r="BA906" s="120"/>
      <c r="BB906" s="120"/>
      <c r="BC906" s="120"/>
      <c r="BD906" s="120"/>
      <c r="BE906" s="120"/>
      <c r="BF906" s="120"/>
      <c r="BG906" s="120"/>
      <c r="BH906" s="120"/>
      <c r="BI906" s="120"/>
      <c r="BJ906" s="120"/>
      <c r="BK906" s="120"/>
      <c r="BL906" s="120"/>
      <c r="BM906" s="120"/>
      <c r="BN906" s="120"/>
      <c r="BO906" s="120"/>
      <c r="BP906" s="120"/>
      <c r="BQ906" s="120"/>
      <c r="BR906" s="120"/>
      <c r="BS906" s="120"/>
      <c r="BT906" s="120"/>
      <c r="BU906" s="120"/>
      <c r="BV906" s="120"/>
      <c r="BW906" s="120"/>
      <c r="BX906" s="120"/>
      <c r="BY906" s="120"/>
      <c r="BZ906" s="120"/>
      <c r="CA906" s="120"/>
      <c r="CB906" s="120"/>
      <c r="CC906" s="120"/>
      <c r="CD906" s="120"/>
      <c r="CE906" s="120"/>
      <c r="CF906" s="120"/>
      <c r="CG906" s="120"/>
      <c r="CH906" s="120"/>
      <c r="CI906" s="120"/>
      <c r="CJ906" s="120"/>
      <c r="CK906" s="120"/>
      <c r="CL906" s="120"/>
      <c r="CM906" s="120"/>
      <c r="CN906" s="120"/>
      <c r="CO906" s="120"/>
    </row>
    <row r="907" spans="1:93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1"/>
      <c r="U907" s="120"/>
      <c r="V907" s="120"/>
      <c r="W907" s="121"/>
      <c r="X907" s="120"/>
      <c r="Y907" s="120"/>
      <c r="Z907" s="120"/>
      <c r="AA907" s="120"/>
      <c r="AB907" s="120"/>
      <c r="AC907" s="120"/>
      <c r="AD907" s="120"/>
      <c r="AE907" s="120"/>
      <c r="AF907" s="120"/>
      <c r="AG907" s="120"/>
      <c r="AH907" s="120"/>
      <c r="AI907" s="120"/>
      <c r="AJ907" s="120"/>
      <c r="AK907" s="120"/>
      <c r="AL907" s="120"/>
      <c r="AM907" s="120"/>
      <c r="AN907" s="120"/>
      <c r="AO907" s="120"/>
      <c r="AP907" s="120"/>
      <c r="AQ907" s="120"/>
      <c r="AR907" s="120"/>
      <c r="AS907" s="120"/>
      <c r="AT907" s="120"/>
      <c r="AU907" s="120"/>
      <c r="AV907" s="120"/>
      <c r="AW907" s="120"/>
      <c r="AX907" s="120"/>
      <c r="AY907" s="120"/>
      <c r="AZ907" s="120"/>
      <c r="BA907" s="120"/>
      <c r="BB907" s="120"/>
      <c r="BC907" s="120"/>
      <c r="BD907" s="120"/>
      <c r="BE907" s="120"/>
      <c r="BF907" s="120"/>
      <c r="BG907" s="120"/>
      <c r="BH907" s="120"/>
      <c r="BI907" s="120"/>
      <c r="BJ907" s="120"/>
      <c r="BK907" s="120"/>
      <c r="BL907" s="120"/>
      <c r="BM907" s="120"/>
      <c r="BN907" s="120"/>
      <c r="BO907" s="120"/>
      <c r="BP907" s="120"/>
      <c r="BQ907" s="120"/>
      <c r="BR907" s="120"/>
      <c r="BS907" s="120"/>
      <c r="BT907" s="120"/>
      <c r="BU907" s="120"/>
      <c r="BV907" s="120"/>
      <c r="BW907" s="120"/>
      <c r="BX907" s="120"/>
      <c r="BY907" s="120"/>
      <c r="BZ907" s="120"/>
      <c r="CA907" s="120"/>
      <c r="CB907" s="120"/>
      <c r="CC907" s="120"/>
      <c r="CD907" s="120"/>
      <c r="CE907" s="120"/>
      <c r="CF907" s="120"/>
      <c r="CG907" s="120"/>
      <c r="CH907" s="120"/>
      <c r="CI907" s="120"/>
      <c r="CJ907" s="120"/>
      <c r="CK907" s="120"/>
      <c r="CL907" s="120"/>
      <c r="CM907" s="120"/>
      <c r="CN907" s="120"/>
      <c r="CO907" s="120"/>
    </row>
    <row r="908" spans="1:93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1"/>
      <c r="U908" s="120"/>
      <c r="V908" s="120"/>
      <c r="W908" s="121"/>
      <c r="X908" s="120"/>
      <c r="Y908" s="120"/>
      <c r="Z908" s="120"/>
      <c r="AA908" s="120"/>
      <c r="AB908" s="120"/>
      <c r="AC908" s="120"/>
      <c r="AD908" s="120"/>
      <c r="AE908" s="120"/>
      <c r="AF908" s="120"/>
      <c r="AG908" s="120"/>
      <c r="AH908" s="120"/>
      <c r="AI908" s="120"/>
      <c r="AJ908" s="120"/>
      <c r="AK908" s="120"/>
      <c r="AL908" s="120"/>
      <c r="AM908" s="120"/>
      <c r="AN908" s="120"/>
      <c r="AO908" s="120"/>
      <c r="AP908" s="120"/>
      <c r="AQ908" s="120"/>
      <c r="AR908" s="120"/>
      <c r="AS908" s="120"/>
      <c r="AT908" s="120"/>
      <c r="AU908" s="120"/>
      <c r="AV908" s="120"/>
      <c r="AW908" s="120"/>
      <c r="AX908" s="120"/>
      <c r="AY908" s="120"/>
      <c r="AZ908" s="120"/>
      <c r="BA908" s="120"/>
      <c r="BB908" s="120"/>
      <c r="BC908" s="120"/>
      <c r="BD908" s="120"/>
      <c r="BE908" s="120"/>
      <c r="BF908" s="120"/>
      <c r="BG908" s="120"/>
      <c r="BH908" s="120"/>
      <c r="BI908" s="120"/>
      <c r="BJ908" s="120"/>
      <c r="BK908" s="120"/>
      <c r="BL908" s="120"/>
      <c r="BM908" s="120"/>
      <c r="BN908" s="120"/>
      <c r="BO908" s="120"/>
      <c r="BP908" s="120"/>
      <c r="BQ908" s="120"/>
      <c r="BR908" s="120"/>
      <c r="BS908" s="120"/>
      <c r="BT908" s="120"/>
      <c r="BU908" s="120"/>
      <c r="BV908" s="120"/>
      <c r="BW908" s="120"/>
      <c r="BX908" s="120"/>
      <c r="BY908" s="120"/>
      <c r="BZ908" s="120"/>
      <c r="CA908" s="120"/>
      <c r="CB908" s="120"/>
      <c r="CC908" s="120"/>
      <c r="CD908" s="120"/>
      <c r="CE908" s="120"/>
      <c r="CF908" s="120"/>
      <c r="CG908" s="120"/>
      <c r="CH908" s="120"/>
      <c r="CI908" s="120"/>
      <c r="CJ908" s="120"/>
      <c r="CK908" s="120"/>
      <c r="CL908" s="120"/>
      <c r="CM908" s="120"/>
      <c r="CN908" s="120"/>
      <c r="CO908" s="120"/>
    </row>
    <row r="909" spans="1:93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1"/>
      <c r="U909" s="120"/>
      <c r="V909" s="120"/>
      <c r="W909" s="121"/>
      <c r="X909" s="120"/>
      <c r="Y909" s="120"/>
      <c r="Z909" s="120"/>
      <c r="AA909" s="120"/>
      <c r="AB909" s="120"/>
      <c r="AC909" s="120"/>
      <c r="AD909" s="120"/>
      <c r="AE909" s="120"/>
      <c r="AF909" s="120"/>
      <c r="AG909" s="120"/>
      <c r="AH909" s="120"/>
      <c r="AI909" s="120"/>
      <c r="AJ909" s="120"/>
      <c r="AK909" s="120"/>
      <c r="AL909" s="120"/>
      <c r="AM909" s="120"/>
      <c r="AN909" s="120"/>
      <c r="AO909" s="120"/>
      <c r="AP909" s="120"/>
      <c r="AQ909" s="120"/>
      <c r="AR909" s="120"/>
      <c r="AS909" s="120"/>
      <c r="AT909" s="120"/>
      <c r="AU909" s="120"/>
      <c r="AV909" s="120"/>
      <c r="AW909" s="120"/>
      <c r="AX909" s="120"/>
      <c r="AY909" s="120"/>
      <c r="AZ909" s="120"/>
      <c r="BA909" s="120"/>
      <c r="BB909" s="120"/>
      <c r="BC909" s="120"/>
      <c r="BD909" s="120"/>
      <c r="BE909" s="120"/>
      <c r="BF909" s="120"/>
      <c r="BG909" s="120"/>
      <c r="BH909" s="120"/>
      <c r="BI909" s="120"/>
      <c r="BJ909" s="120"/>
      <c r="BK909" s="120"/>
      <c r="BL909" s="120"/>
      <c r="BM909" s="120"/>
      <c r="BN909" s="120"/>
      <c r="BO909" s="120"/>
      <c r="BP909" s="120"/>
      <c r="BQ909" s="120"/>
      <c r="BR909" s="120"/>
      <c r="BS909" s="120"/>
      <c r="BT909" s="120"/>
      <c r="BU909" s="120"/>
      <c r="BV909" s="120"/>
      <c r="BW909" s="120"/>
      <c r="BX909" s="120"/>
      <c r="BY909" s="120"/>
      <c r="BZ909" s="120"/>
      <c r="CA909" s="120"/>
      <c r="CB909" s="120"/>
      <c r="CC909" s="120"/>
      <c r="CD909" s="120"/>
      <c r="CE909" s="120"/>
      <c r="CF909" s="120"/>
      <c r="CG909" s="120"/>
      <c r="CH909" s="120"/>
      <c r="CI909" s="120"/>
      <c r="CJ909" s="120"/>
      <c r="CK909" s="120"/>
      <c r="CL909" s="120"/>
      <c r="CM909" s="120"/>
      <c r="CN909" s="120"/>
      <c r="CO909" s="120"/>
    </row>
    <row r="910" spans="1:93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1"/>
      <c r="U910" s="120"/>
      <c r="V910" s="120"/>
      <c r="W910" s="121"/>
      <c r="X910" s="120"/>
      <c r="Y910" s="120"/>
      <c r="Z910" s="120"/>
      <c r="AA910" s="120"/>
      <c r="AB910" s="120"/>
      <c r="AC910" s="120"/>
      <c r="AD910" s="120"/>
      <c r="AE910" s="120"/>
      <c r="AF910" s="120"/>
      <c r="AG910" s="120"/>
      <c r="AH910" s="120"/>
      <c r="AI910" s="120"/>
      <c r="AJ910" s="120"/>
      <c r="AK910" s="120"/>
      <c r="AL910" s="120"/>
      <c r="AM910" s="120"/>
      <c r="AN910" s="120"/>
      <c r="AO910" s="120"/>
      <c r="AP910" s="120"/>
      <c r="AQ910" s="120"/>
      <c r="AR910" s="120"/>
      <c r="AS910" s="120"/>
      <c r="AT910" s="120"/>
      <c r="AU910" s="120"/>
      <c r="AV910" s="120"/>
      <c r="AW910" s="120"/>
      <c r="AX910" s="120"/>
      <c r="AY910" s="120"/>
      <c r="AZ910" s="120"/>
      <c r="BA910" s="120"/>
      <c r="BB910" s="120"/>
      <c r="BC910" s="120"/>
      <c r="BD910" s="120"/>
      <c r="BE910" s="120"/>
      <c r="BF910" s="120"/>
      <c r="BG910" s="120"/>
      <c r="BH910" s="120"/>
      <c r="BI910" s="120"/>
      <c r="BJ910" s="120"/>
      <c r="BK910" s="120"/>
      <c r="BL910" s="120"/>
      <c r="BM910" s="120"/>
      <c r="BN910" s="120"/>
      <c r="BO910" s="120"/>
      <c r="BP910" s="120"/>
      <c r="BQ910" s="120"/>
      <c r="BR910" s="120"/>
      <c r="BS910" s="120"/>
      <c r="BT910" s="120"/>
      <c r="BU910" s="120"/>
      <c r="BV910" s="120"/>
      <c r="BW910" s="120"/>
      <c r="BX910" s="120"/>
      <c r="BY910" s="120"/>
      <c r="BZ910" s="120"/>
      <c r="CA910" s="120"/>
      <c r="CB910" s="120"/>
      <c r="CC910" s="120"/>
      <c r="CD910" s="120"/>
      <c r="CE910" s="120"/>
      <c r="CF910" s="120"/>
      <c r="CG910" s="120"/>
      <c r="CH910" s="120"/>
      <c r="CI910" s="120"/>
      <c r="CJ910" s="120"/>
      <c r="CK910" s="120"/>
      <c r="CL910" s="120"/>
      <c r="CM910" s="120"/>
      <c r="CN910" s="120"/>
      <c r="CO910" s="120"/>
    </row>
    <row r="911" spans="1:93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1"/>
      <c r="U911" s="120"/>
      <c r="V911" s="120"/>
      <c r="W911" s="121"/>
      <c r="X911" s="120"/>
      <c r="Y911" s="120"/>
      <c r="Z911" s="120"/>
      <c r="AA911" s="120"/>
      <c r="AB911" s="120"/>
      <c r="AC911" s="120"/>
      <c r="AD911" s="120"/>
      <c r="AE911" s="120"/>
      <c r="AF911" s="120"/>
      <c r="AG911" s="120"/>
      <c r="AH911" s="120"/>
      <c r="AI911" s="120"/>
      <c r="AJ911" s="120"/>
      <c r="AK911" s="120"/>
      <c r="AL911" s="120"/>
      <c r="AM911" s="120"/>
      <c r="AN911" s="120"/>
      <c r="AO911" s="120"/>
      <c r="AP911" s="120"/>
      <c r="AQ911" s="120"/>
      <c r="AR911" s="120"/>
      <c r="AS911" s="120"/>
      <c r="AT911" s="120"/>
      <c r="AU911" s="120"/>
      <c r="AV911" s="120"/>
      <c r="AW911" s="120"/>
      <c r="AX911" s="120"/>
      <c r="AY911" s="120"/>
      <c r="AZ911" s="120"/>
      <c r="BA911" s="120"/>
      <c r="BB911" s="120"/>
      <c r="BC911" s="120"/>
      <c r="BD911" s="120"/>
      <c r="BE911" s="120"/>
      <c r="BF911" s="120"/>
      <c r="BG911" s="120"/>
      <c r="BH911" s="120"/>
      <c r="BI911" s="120"/>
      <c r="BJ911" s="120"/>
      <c r="BK911" s="120"/>
      <c r="BL911" s="120"/>
      <c r="BM911" s="120"/>
      <c r="BN911" s="120"/>
      <c r="BO911" s="120"/>
      <c r="BP911" s="120"/>
      <c r="BQ911" s="120"/>
      <c r="BR911" s="120"/>
      <c r="BS911" s="120"/>
      <c r="BT911" s="120"/>
      <c r="BU911" s="120"/>
      <c r="BV911" s="120"/>
      <c r="BW911" s="120"/>
      <c r="BX911" s="120"/>
      <c r="BY911" s="120"/>
      <c r="BZ911" s="120"/>
      <c r="CA911" s="120"/>
      <c r="CB911" s="120"/>
      <c r="CC911" s="120"/>
      <c r="CD911" s="120"/>
      <c r="CE911" s="120"/>
      <c r="CF911" s="120"/>
      <c r="CG911" s="120"/>
      <c r="CH911" s="120"/>
      <c r="CI911" s="120"/>
      <c r="CJ911" s="120"/>
      <c r="CK911" s="120"/>
      <c r="CL911" s="120"/>
      <c r="CM911" s="120"/>
      <c r="CN911" s="120"/>
      <c r="CO911" s="120"/>
    </row>
    <row r="912" spans="1:93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1"/>
      <c r="U912" s="120"/>
      <c r="V912" s="120"/>
      <c r="W912" s="121"/>
      <c r="X912" s="120"/>
      <c r="Y912" s="120"/>
      <c r="Z912" s="120"/>
      <c r="AA912" s="120"/>
      <c r="AB912" s="120"/>
      <c r="AC912" s="120"/>
      <c r="AD912" s="120"/>
      <c r="AE912" s="120"/>
      <c r="AF912" s="120"/>
      <c r="AG912" s="120"/>
      <c r="AH912" s="120"/>
      <c r="AI912" s="120"/>
      <c r="AJ912" s="120"/>
      <c r="AK912" s="120"/>
      <c r="AL912" s="120"/>
      <c r="AM912" s="120"/>
      <c r="AN912" s="120"/>
      <c r="AO912" s="120"/>
      <c r="AP912" s="120"/>
      <c r="AQ912" s="120"/>
      <c r="AR912" s="120"/>
      <c r="AS912" s="120"/>
      <c r="AT912" s="120"/>
      <c r="AU912" s="120"/>
      <c r="AV912" s="120"/>
      <c r="AW912" s="120"/>
      <c r="AX912" s="120"/>
      <c r="AY912" s="120"/>
      <c r="AZ912" s="120"/>
      <c r="BA912" s="120"/>
      <c r="BB912" s="120"/>
      <c r="BC912" s="120"/>
      <c r="BD912" s="120"/>
      <c r="BE912" s="120"/>
      <c r="BF912" s="120"/>
      <c r="BG912" s="120"/>
      <c r="BH912" s="120"/>
      <c r="BI912" s="120"/>
      <c r="BJ912" s="120"/>
      <c r="BK912" s="120"/>
      <c r="BL912" s="120"/>
      <c r="BM912" s="120"/>
      <c r="BN912" s="120"/>
      <c r="BO912" s="120"/>
      <c r="BP912" s="120"/>
      <c r="BQ912" s="120"/>
      <c r="BR912" s="120"/>
      <c r="BS912" s="120"/>
      <c r="BT912" s="120"/>
      <c r="BU912" s="120"/>
      <c r="BV912" s="120"/>
      <c r="BW912" s="120"/>
      <c r="BX912" s="120"/>
      <c r="BY912" s="120"/>
      <c r="BZ912" s="120"/>
      <c r="CA912" s="120"/>
      <c r="CB912" s="120"/>
      <c r="CC912" s="120"/>
      <c r="CD912" s="120"/>
      <c r="CE912" s="120"/>
      <c r="CF912" s="120"/>
      <c r="CG912" s="120"/>
      <c r="CH912" s="120"/>
      <c r="CI912" s="120"/>
      <c r="CJ912" s="120"/>
      <c r="CK912" s="120"/>
      <c r="CL912" s="120"/>
      <c r="CM912" s="120"/>
      <c r="CN912" s="120"/>
      <c r="CO912" s="120"/>
    </row>
    <row r="913" spans="1:93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1"/>
      <c r="U913" s="120"/>
      <c r="V913" s="120"/>
      <c r="W913" s="121"/>
      <c r="X913" s="120"/>
      <c r="Y913" s="120"/>
      <c r="Z913" s="120"/>
      <c r="AA913" s="120"/>
      <c r="AB913" s="120"/>
      <c r="AC913" s="120"/>
      <c r="AD913" s="120"/>
      <c r="AE913" s="120"/>
      <c r="AF913" s="120"/>
      <c r="AG913" s="120"/>
      <c r="AH913" s="120"/>
      <c r="AI913" s="120"/>
      <c r="AJ913" s="120"/>
      <c r="AK913" s="120"/>
      <c r="AL913" s="120"/>
      <c r="AM913" s="120"/>
      <c r="AN913" s="120"/>
      <c r="AO913" s="120"/>
      <c r="AP913" s="120"/>
      <c r="AQ913" s="120"/>
      <c r="AR913" s="120"/>
      <c r="AS913" s="120"/>
      <c r="AT913" s="120"/>
      <c r="AU913" s="120"/>
      <c r="AV913" s="120"/>
      <c r="AW913" s="120"/>
      <c r="AX913" s="120"/>
      <c r="AY913" s="120"/>
      <c r="AZ913" s="120"/>
      <c r="BA913" s="120"/>
      <c r="BB913" s="120"/>
      <c r="BC913" s="120"/>
      <c r="BD913" s="120"/>
      <c r="BE913" s="120"/>
      <c r="BF913" s="120"/>
      <c r="BG913" s="120"/>
      <c r="BH913" s="120"/>
      <c r="BI913" s="120"/>
      <c r="BJ913" s="120"/>
      <c r="BK913" s="120"/>
      <c r="BL913" s="120"/>
      <c r="BM913" s="120"/>
      <c r="BN913" s="120"/>
      <c r="BO913" s="120"/>
      <c r="BP913" s="120"/>
      <c r="BQ913" s="120"/>
      <c r="BR913" s="120"/>
      <c r="BS913" s="120"/>
      <c r="BT913" s="120"/>
      <c r="BU913" s="120"/>
      <c r="BV913" s="120"/>
      <c r="BW913" s="120"/>
      <c r="BX913" s="120"/>
      <c r="BY913" s="120"/>
      <c r="BZ913" s="120"/>
      <c r="CA913" s="120"/>
      <c r="CB913" s="120"/>
      <c r="CC913" s="120"/>
      <c r="CD913" s="120"/>
      <c r="CE913" s="120"/>
      <c r="CF913" s="120"/>
      <c r="CG913" s="120"/>
      <c r="CH913" s="120"/>
      <c r="CI913" s="120"/>
      <c r="CJ913" s="120"/>
      <c r="CK913" s="120"/>
      <c r="CL913" s="120"/>
      <c r="CM913" s="120"/>
      <c r="CN913" s="120"/>
      <c r="CO913" s="120"/>
    </row>
    <row r="914" spans="1:93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1"/>
      <c r="U914" s="120"/>
      <c r="V914" s="120"/>
      <c r="W914" s="121"/>
      <c r="X914" s="120"/>
      <c r="Y914" s="120"/>
      <c r="Z914" s="120"/>
      <c r="AA914" s="120"/>
      <c r="AB914" s="120"/>
      <c r="AC914" s="120"/>
      <c r="AD914" s="120"/>
      <c r="AE914" s="120"/>
      <c r="AF914" s="120"/>
      <c r="AG914" s="120"/>
      <c r="AH914" s="120"/>
      <c r="AI914" s="120"/>
      <c r="AJ914" s="120"/>
      <c r="AK914" s="120"/>
      <c r="AL914" s="120"/>
      <c r="AM914" s="120"/>
      <c r="AN914" s="120"/>
      <c r="AO914" s="120"/>
      <c r="AP914" s="120"/>
      <c r="AQ914" s="120"/>
      <c r="AR914" s="120"/>
      <c r="AS914" s="120"/>
      <c r="AT914" s="120"/>
      <c r="AU914" s="120"/>
      <c r="AV914" s="120"/>
      <c r="AW914" s="120"/>
      <c r="AX914" s="120"/>
      <c r="AY914" s="120"/>
      <c r="AZ914" s="120"/>
      <c r="BA914" s="120"/>
      <c r="BB914" s="120"/>
      <c r="BC914" s="120"/>
      <c r="BD914" s="120"/>
      <c r="BE914" s="120"/>
      <c r="BF914" s="120"/>
      <c r="BG914" s="120"/>
      <c r="BH914" s="120"/>
      <c r="BI914" s="120"/>
      <c r="BJ914" s="120"/>
      <c r="BK914" s="120"/>
      <c r="BL914" s="120"/>
      <c r="BM914" s="120"/>
      <c r="BN914" s="120"/>
      <c r="BO914" s="120"/>
      <c r="BP914" s="120"/>
      <c r="BQ914" s="120"/>
      <c r="BR914" s="120"/>
      <c r="BS914" s="120"/>
      <c r="BT914" s="120"/>
      <c r="BU914" s="120"/>
      <c r="BV914" s="120"/>
      <c r="BW914" s="120"/>
      <c r="BX914" s="120"/>
      <c r="BY914" s="120"/>
      <c r="BZ914" s="120"/>
      <c r="CA914" s="120"/>
      <c r="CB914" s="120"/>
      <c r="CC914" s="120"/>
      <c r="CD914" s="120"/>
      <c r="CE914" s="120"/>
      <c r="CF914" s="120"/>
      <c r="CG914" s="120"/>
      <c r="CH914" s="120"/>
      <c r="CI914" s="120"/>
      <c r="CJ914" s="120"/>
      <c r="CK914" s="120"/>
      <c r="CL914" s="120"/>
      <c r="CM914" s="120"/>
      <c r="CN914" s="120"/>
      <c r="CO914" s="120"/>
    </row>
    <row r="915" spans="1:93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1"/>
      <c r="U915" s="120"/>
      <c r="V915" s="120"/>
      <c r="W915" s="121"/>
      <c r="X915" s="120"/>
      <c r="Y915" s="120"/>
      <c r="Z915" s="120"/>
      <c r="AA915" s="120"/>
      <c r="AB915" s="120"/>
      <c r="AC915" s="120"/>
      <c r="AD915" s="120"/>
      <c r="AE915" s="120"/>
      <c r="AF915" s="120"/>
      <c r="AG915" s="120"/>
      <c r="AH915" s="120"/>
      <c r="AI915" s="120"/>
      <c r="AJ915" s="120"/>
      <c r="AK915" s="120"/>
      <c r="AL915" s="120"/>
      <c r="AM915" s="120"/>
      <c r="AN915" s="120"/>
      <c r="AO915" s="120"/>
      <c r="AP915" s="120"/>
      <c r="AQ915" s="120"/>
      <c r="AR915" s="120"/>
      <c r="AS915" s="120"/>
      <c r="AT915" s="120"/>
      <c r="AU915" s="120"/>
      <c r="AV915" s="120"/>
      <c r="AW915" s="120"/>
      <c r="AX915" s="120"/>
      <c r="AY915" s="120"/>
      <c r="AZ915" s="120"/>
      <c r="BA915" s="120"/>
      <c r="BB915" s="120"/>
      <c r="BC915" s="120"/>
      <c r="BD915" s="120"/>
      <c r="BE915" s="120"/>
      <c r="BF915" s="120"/>
      <c r="BG915" s="120"/>
      <c r="BH915" s="120"/>
      <c r="BI915" s="120"/>
      <c r="BJ915" s="120"/>
      <c r="BK915" s="120"/>
      <c r="BL915" s="120"/>
      <c r="BM915" s="120"/>
      <c r="BN915" s="120"/>
      <c r="BO915" s="120"/>
      <c r="BP915" s="120"/>
      <c r="BQ915" s="120"/>
      <c r="BR915" s="120"/>
      <c r="BS915" s="120"/>
      <c r="BT915" s="120"/>
      <c r="BU915" s="120"/>
      <c r="BV915" s="120"/>
      <c r="BW915" s="120"/>
      <c r="BX915" s="120"/>
      <c r="BY915" s="120"/>
      <c r="BZ915" s="120"/>
      <c r="CA915" s="120"/>
      <c r="CB915" s="120"/>
      <c r="CC915" s="120"/>
      <c r="CD915" s="120"/>
      <c r="CE915" s="120"/>
      <c r="CF915" s="120"/>
      <c r="CG915" s="120"/>
      <c r="CH915" s="120"/>
      <c r="CI915" s="120"/>
      <c r="CJ915" s="120"/>
      <c r="CK915" s="120"/>
      <c r="CL915" s="120"/>
      <c r="CM915" s="120"/>
      <c r="CN915" s="120"/>
      <c r="CO915" s="120"/>
    </row>
    <row r="916" spans="1:93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1"/>
      <c r="U916" s="120"/>
      <c r="V916" s="120"/>
      <c r="W916" s="121"/>
      <c r="X916" s="120"/>
      <c r="Y916" s="120"/>
      <c r="Z916" s="120"/>
      <c r="AA916" s="120"/>
      <c r="AB916" s="120"/>
      <c r="AC916" s="120"/>
      <c r="AD916" s="120"/>
      <c r="AE916" s="120"/>
      <c r="AF916" s="120"/>
      <c r="AG916" s="120"/>
      <c r="AH916" s="120"/>
      <c r="AI916" s="120"/>
      <c r="AJ916" s="120"/>
      <c r="AK916" s="120"/>
      <c r="AL916" s="120"/>
      <c r="AM916" s="120"/>
      <c r="AN916" s="120"/>
      <c r="AO916" s="120"/>
      <c r="AP916" s="120"/>
      <c r="AQ916" s="120"/>
      <c r="AR916" s="120"/>
      <c r="AS916" s="120"/>
      <c r="AT916" s="120"/>
      <c r="AU916" s="120"/>
      <c r="AV916" s="120"/>
      <c r="AW916" s="120"/>
      <c r="AX916" s="120"/>
      <c r="AY916" s="120"/>
      <c r="AZ916" s="120"/>
      <c r="BA916" s="120"/>
      <c r="BB916" s="120"/>
      <c r="BC916" s="120"/>
      <c r="BD916" s="120"/>
      <c r="BE916" s="120"/>
      <c r="BF916" s="120"/>
      <c r="BG916" s="120"/>
      <c r="BH916" s="120"/>
      <c r="BI916" s="120"/>
      <c r="BJ916" s="120"/>
      <c r="BK916" s="120"/>
      <c r="BL916" s="120"/>
      <c r="BM916" s="120"/>
      <c r="BN916" s="120"/>
      <c r="BO916" s="120"/>
      <c r="BP916" s="120"/>
      <c r="BQ916" s="120"/>
      <c r="BR916" s="120"/>
      <c r="BS916" s="120"/>
      <c r="BT916" s="120"/>
      <c r="BU916" s="120"/>
      <c r="BV916" s="120"/>
      <c r="BW916" s="120"/>
      <c r="BX916" s="120"/>
      <c r="BY916" s="120"/>
      <c r="BZ916" s="120"/>
      <c r="CA916" s="120"/>
      <c r="CB916" s="120"/>
      <c r="CC916" s="120"/>
      <c r="CD916" s="120"/>
      <c r="CE916" s="120"/>
      <c r="CF916" s="120"/>
      <c r="CG916" s="120"/>
      <c r="CH916" s="120"/>
      <c r="CI916" s="120"/>
      <c r="CJ916" s="120"/>
      <c r="CK916" s="120"/>
      <c r="CL916" s="120"/>
      <c r="CM916" s="120"/>
      <c r="CN916" s="120"/>
      <c r="CO916" s="120"/>
    </row>
    <row r="917" spans="1:93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1"/>
      <c r="U917" s="120"/>
      <c r="V917" s="120"/>
      <c r="W917" s="121"/>
      <c r="X917" s="120"/>
      <c r="Y917" s="120"/>
      <c r="Z917" s="120"/>
      <c r="AA917" s="120"/>
      <c r="AB917" s="120"/>
      <c r="AC917" s="120"/>
      <c r="AD917" s="120"/>
      <c r="AE917" s="120"/>
      <c r="AF917" s="120"/>
      <c r="AG917" s="120"/>
      <c r="AH917" s="120"/>
      <c r="AI917" s="120"/>
      <c r="AJ917" s="120"/>
      <c r="AK917" s="120"/>
      <c r="AL917" s="120"/>
      <c r="AM917" s="120"/>
      <c r="AN917" s="120"/>
      <c r="AO917" s="120"/>
      <c r="AP917" s="120"/>
      <c r="AQ917" s="120"/>
      <c r="AR917" s="120"/>
      <c r="AS917" s="120"/>
      <c r="AT917" s="120"/>
      <c r="AU917" s="120"/>
      <c r="AV917" s="120"/>
      <c r="AW917" s="120"/>
      <c r="AX917" s="120"/>
      <c r="AY917" s="120"/>
      <c r="AZ917" s="120"/>
      <c r="BA917" s="120"/>
      <c r="BB917" s="120"/>
      <c r="BC917" s="120"/>
      <c r="BD917" s="120"/>
      <c r="BE917" s="120"/>
      <c r="BF917" s="120"/>
      <c r="BG917" s="120"/>
      <c r="BH917" s="120"/>
      <c r="BI917" s="120"/>
      <c r="BJ917" s="120"/>
      <c r="BK917" s="120"/>
      <c r="BL917" s="120"/>
      <c r="BM917" s="120"/>
      <c r="BN917" s="120"/>
      <c r="BO917" s="120"/>
      <c r="BP917" s="120"/>
      <c r="BQ917" s="120"/>
      <c r="BR917" s="120"/>
      <c r="BS917" s="120"/>
      <c r="BT917" s="120"/>
      <c r="BU917" s="120"/>
      <c r="BV917" s="120"/>
      <c r="BW917" s="120"/>
      <c r="BX917" s="120"/>
      <c r="BY917" s="120"/>
      <c r="BZ917" s="120"/>
      <c r="CA917" s="120"/>
      <c r="CB917" s="120"/>
      <c r="CC917" s="120"/>
      <c r="CD917" s="120"/>
      <c r="CE917" s="120"/>
      <c r="CF917" s="120"/>
      <c r="CG917" s="120"/>
      <c r="CH917" s="120"/>
      <c r="CI917" s="120"/>
      <c r="CJ917" s="120"/>
      <c r="CK917" s="120"/>
      <c r="CL917" s="120"/>
      <c r="CM917" s="120"/>
      <c r="CN917" s="120"/>
      <c r="CO917" s="120"/>
    </row>
    <row r="918" spans="1:93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1"/>
      <c r="U918" s="120"/>
      <c r="V918" s="120"/>
      <c r="W918" s="121"/>
      <c r="X918" s="120"/>
      <c r="Y918" s="120"/>
      <c r="Z918" s="120"/>
      <c r="AA918" s="120"/>
      <c r="AB918" s="120"/>
      <c r="AC918" s="120"/>
      <c r="AD918" s="120"/>
      <c r="AE918" s="120"/>
      <c r="AF918" s="120"/>
      <c r="AG918" s="120"/>
      <c r="AH918" s="120"/>
      <c r="AI918" s="120"/>
      <c r="AJ918" s="120"/>
      <c r="AK918" s="120"/>
      <c r="AL918" s="120"/>
      <c r="AM918" s="120"/>
      <c r="AN918" s="120"/>
      <c r="AO918" s="120"/>
      <c r="AP918" s="120"/>
      <c r="AQ918" s="120"/>
      <c r="AR918" s="120"/>
      <c r="AS918" s="120"/>
      <c r="AT918" s="120"/>
      <c r="AU918" s="120"/>
      <c r="AV918" s="120"/>
      <c r="AW918" s="120"/>
      <c r="AX918" s="120"/>
      <c r="AY918" s="120"/>
      <c r="AZ918" s="120"/>
      <c r="BA918" s="120"/>
      <c r="BB918" s="120"/>
      <c r="BC918" s="120"/>
      <c r="BD918" s="120"/>
      <c r="BE918" s="120"/>
      <c r="BF918" s="120"/>
      <c r="BG918" s="120"/>
      <c r="BH918" s="120"/>
      <c r="BI918" s="120"/>
      <c r="BJ918" s="120"/>
      <c r="BK918" s="120"/>
      <c r="BL918" s="120"/>
      <c r="BM918" s="120"/>
      <c r="BN918" s="120"/>
      <c r="BO918" s="120"/>
      <c r="BP918" s="120"/>
      <c r="BQ918" s="120"/>
      <c r="BR918" s="120"/>
      <c r="BS918" s="120"/>
      <c r="BT918" s="120"/>
      <c r="BU918" s="120"/>
      <c r="BV918" s="120"/>
      <c r="BW918" s="120"/>
      <c r="BX918" s="120"/>
      <c r="BY918" s="120"/>
      <c r="BZ918" s="120"/>
      <c r="CA918" s="120"/>
      <c r="CB918" s="120"/>
      <c r="CC918" s="120"/>
      <c r="CD918" s="120"/>
      <c r="CE918" s="120"/>
      <c r="CF918" s="120"/>
      <c r="CG918" s="120"/>
      <c r="CH918" s="120"/>
      <c r="CI918" s="120"/>
      <c r="CJ918" s="120"/>
      <c r="CK918" s="120"/>
      <c r="CL918" s="120"/>
      <c r="CM918" s="120"/>
      <c r="CN918" s="120"/>
      <c r="CO918" s="120"/>
    </row>
    <row r="919" spans="1:93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1"/>
      <c r="U919" s="120"/>
      <c r="V919" s="120"/>
      <c r="W919" s="121"/>
      <c r="X919" s="120"/>
      <c r="Y919" s="120"/>
      <c r="Z919" s="120"/>
      <c r="AA919" s="120"/>
      <c r="AB919" s="120"/>
      <c r="AC919" s="120"/>
      <c r="AD919" s="120"/>
      <c r="AE919" s="120"/>
      <c r="AF919" s="120"/>
      <c r="AG919" s="120"/>
      <c r="AH919" s="120"/>
      <c r="AI919" s="120"/>
      <c r="AJ919" s="120"/>
      <c r="AK919" s="120"/>
      <c r="AL919" s="120"/>
      <c r="AM919" s="120"/>
      <c r="AN919" s="120"/>
      <c r="AO919" s="120"/>
      <c r="AP919" s="120"/>
      <c r="AQ919" s="120"/>
      <c r="AR919" s="120"/>
      <c r="AS919" s="120"/>
      <c r="AT919" s="120"/>
      <c r="AU919" s="120"/>
      <c r="AV919" s="120"/>
      <c r="AW919" s="120"/>
      <c r="AX919" s="120"/>
      <c r="AY919" s="120"/>
      <c r="AZ919" s="120"/>
      <c r="BA919" s="120"/>
      <c r="BB919" s="120"/>
      <c r="BC919" s="120"/>
      <c r="BD919" s="120"/>
      <c r="BE919" s="120"/>
      <c r="BF919" s="120"/>
      <c r="BG919" s="120"/>
      <c r="BH919" s="120"/>
      <c r="BI919" s="120"/>
      <c r="BJ919" s="120"/>
      <c r="BK919" s="120"/>
      <c r="BL919" s="120"/>
      <c r="BM919" s="120"/>
      <c r="BN919" s="120"/>
      <c r="BO919" s="120"/>
      <c r="BP919" s="120"/>
      <c r="BQ919" s="120"/>
      <c r="BR919" s="120"/>
      <c r="BS919" s="120"/>
      <c r="BT919" s="120"/>
      <c r="BU919" s="120"/>
      <c r="BV919" s="120"/>
      <c r="BW919" s="120"/>
      <c r="BX919" s="120"/>
      <c r="BY919" s="120"/>
      <c r="BZ919" s="120"/>
      <c r="CA919" s="120"/>
      <c r="CB919" s="120"/>
      <c r="CC919" s="120"/>
      <c r="CD919" s="120"/>
      <c r="CE919" s="120"/>
      <c r="CF919" s="120"/>
      <c r="CG919" s="120"/>
      <c r="CH919" s="120"/>
      <c r="CI919" s="120"/>
      <c r="CJ919" s="120"/>
      <c r="CK919" s="120"/>
      <c r="CL919" s="120"/>
      <c r="CM919" s="120"/>
      <c r="CN919" s="120"/>
      <c r="CO919" s="120"/>
    </row>
    <row r="920" spans="1:93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1"/>
      <c r="U920" s="120"/>
      <c r="V920" s="120"/>
      <c r="W920" s="121"/>
      <c r="X920" s="120"/>
      <c r="Y920" s="120"/>
      <c r="Z920" s="120"/>
      <c r="AA920" s="120"/>
      <c r="AB920" s="120"/>
      <c r="AC920" s="120"/>
      <c r="AD920" s="120"/>
      <c r="AE920" s="120"/>
      <c r="AF920" s="120"/>
      <c r="AG920" s="120"/>
      <c r="AH920" s="120"/>
      <c r="AI920" s="120"/>
      <c r="AJ920" s="120"/>
      <c r="AK920" s="120"/>
      <c r="AL920" s="120"/>
      <c r="AM920" s="120"/>
      <c r="AN920" s="120"/>
      <c r="AO920" s="120"/>
      <c r="AP920" s="120"/>
      <c r="AQ920" s="120"/>
      <c r="AR920" s="120"/>
      <c r="AS920" s="120"/>
      <c r="AT920" s="120"/>
      <c r="AU920" s="120"/>
      <c r="AV920" s="120"/>
      <c r="AW920" s="120"/>
      <c r="AX920" s="120"/>
      <c r="AY920" s="120"/>
      <c r="AZ920" s="120"/>
      <c r="BA920" s="120"/>
      <c r="BB920" s="120"/>
      <c r="BC920" s="120"/>
      <c r="BD920" s="120"/>
      <c r="BE920" s="120"/>
      <c r="BF920" s="120"/>
      <c r="BG920" s="120"/>
      <c r="BH920" s="120"/>
      <c r="BI920" s="120"/>
      <c r="BJ920" s="120"/>
      <c r="BK920" s="120"/>
      <c r="BL920" s="120"/>
      <c r="BM920" s="120"/>
      <c r="BN920" s="120"/>
      <c r="BO920" s="120"/>
      <c r="BP920" s="120"/>
      <c r="BQ920" s="120"/>
      <c r="BR920" s="120"/>
      <c r="BS920" s="120"/>
      <c r="BT920" s="120"/>
      <c r="BU920" s="120"/>
      <c r="BV920" s="120"/>
      <c r="BW920" s="120"/>
      <c r="BX920" s="120"/>
      <c r="BY920" s="120"/>
      <c r="BZ920" s="120"/>
      <c r="CA920" s="120"/>
      <c r="CB920" s="120"/>
      <c r="CC920" s="120"/>
      <c r="CD920" s="120"/>
      <c r="CE920" s="120"/>
      <c r="CF920" s="120"/>
      <c r="CG920" s="120"/>
      <c r="CH920" s="120"/>
      <c r="CI920" s="120"/>
      <c r="CJ920" s="120"/>
      <c r="CK920" s="120"/>
      <c r="CL920" s="120"/>
      <c r="CM920" s="120"/>
      <c r="CN920" s="120"/>
      <c r="CO920" s="120"/>
    </row>
    <row r="921" spans="1:93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1"/>
      <c r="U921" s="120"/>
      <c r="V921" s="120"/>
      <c r="W921" s="121"/>
      <c r="X921" s="120"/>
      <c r="Y921" s="120"/>
      <c r="Z921" s="120"/>
      <c r="AA921" s="120"/>
      <c r="AB921" s="120"/>
      <c r="AC921" s="120"/>
      <c r="AD921" s="120"/>
      <c r="AE921" s="120"/>
      <c r="AF921" s="120"/>
      <c r="AG921" s="120"/>
      <c r="AH921" s="120"/>
      <c r="AI921" s="120"/>
      <c r="AJ921" s="120"/>
      <c r="AK921" s="120"/>
      <c r="AL921" s="120"/>
      <c r="AM921" s="120"/>
      <c r="AN921" s="120"/>
      <c r="AO921" s="120"/>
      <c r="AP921" s="120"/>
      <c r="AQ921" s="120"/>
      <c r="AR921" s="120"/>
      <c r="AS921" s="120"/>
      <c r="AT921" s="120"/>
      <c r="AU921" s="120"/>
      <c r="AV921" s="120"/>
      <c r="AW921" s="120"/>
      <c r="AX921" s="120"/>
      <c r="AY921" s="120"/>
      <c r="AZ921" s="120"/>
      <c r="BA921" s="120"/>
      <c r="BB921" s="120"/>
      <c r="BC921" s="120"/>
      <c r="BD921" s="120"/>
      <c r="BE921" s="120"/>
      <c r="BF921" s="120"/>
      <c r="BG921" s="120"/>
      <c r="BH921" s="120"/>
      <c r="BI921" s="120"/>
      <c r="BJ921" s="120"/>
      <c r="BK921" s="120"/>
      <c r="BL921" s="120"/>
      <c r="BM921" s="120"/>
      <c r="BN921" s="120"/>
      <c r="BO921" s="120"/>
      <c r="BP921" s="120"/>
      <c r="BQ921" s="120"/>
      <c r="BR921" s="120"/>
      <c r="BS921" s="120"/>
      <c r="BT921" s="120"/>
      <c r="BU921" s="120"/>
      <c r="BV921" s="120"/>
      <c r="BW921" s="120"/>
      <c r="BX921" s="120"/>
      <c r="BY921" s="120"/>
      <c r="BZ921" s="120"/>
      <c r="CA921" s="120"/>
      <c r="CB921" s="120"/>
      <c r="CC921" s="120"/>
      <c r="CD921" s="120"/>
      <c r="CE921" s="120"/>
      <c r="CF921" s="120"/>
      <c r="CG921" s="120"/>
      <c r="CH921" s="120"/>
      <c r="CI921" s="120"/>
      <c r="CJ921" s="120"/>
      <c r="CK921" s="120"/>
      <c r="CL921" s="120"/>
      <c r="CM921" s="120"/>
      <c r="CN921" s="120"/>
      <c r="CO921" s="120"/>
    </row>
    <row r="922" spans="1:93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1"/>
      <c r="U922" s="120"/>
      <c r="V922" s="120"/>
      <c r="W922" s="121"/>
      <c r="X922" s="120"/>
      <c r="Y922" s="120"/>
      <c r="Z922" s="120"/>
      <c r="AA922" s="120"/>
      <c r="AB922" s="120"/>
      <c r="AC922" s="120"/>
      <c r="AD922" s="120"/>
      <c r="AE922" s="120"/>
      <c r="AF922" s="120"/>
      <c r="AG922" s="120"/>
      <c r="AH922" s="120"/>
      <c r="AI922" s="120"/>
      <c r="AJ922" s="120"/>
      <c r="AK922" s="120"/>
      <c r="AL922" s="120"/>
      <c r="AM922" s="120"/>
      <c r="AN922" s="120"/>
      <c r="AO922" s="120"/>
      <c r="AP922" s="120"/>
      <c r="AQ922" s="120"/>
      <c r="AR922" s="120"/>
      <c r="AS922" s="120"/>
      <c r="AT922" s="120"/>
      <c r="AU922" s="120"/>
      <c r="AV922" s="120"/>
      <c r="AW922" s="120"/>
      <c r="AX922" s="120"/>
      <c r="AY922" s="120"/>
      <c r="AZ922" s="120"/>
      <c r="BA922" s="120"/>
      <c r="BB922" s="120"/>
      <c r="BC922" s="120"/>
      <c r="BD922" s="120"/>
      <c r="BE922" s="120"/>
      <c r="BF922" s="120"/>
      <c r="BG922" s="120"/>
      <c r="BH922" s="120"/>
      <c r="BI922" s="120"/>
      <c r="BJ922" s="120"/>
      <c r="BK922" s="120"/>
      <c r="BL922" s="120"/>
      <c r="BM922" s="120"/>
      <c r="BN922" s="120"/>
      <c r="BO922" s="120"/>
      <c r="BP922" s="120"/>
      <c r="BQ922" s="120"/>
      <c r="BR922" s="120"/>
      <c r="BS922" s="120"/>
      <c r="BT922" s="120"/>
      <c r="BU922" s="120"/>
      <c r="BV922" s="120"/>
      <c r="BW922" s="120"/>
      <c r="BX922" s="120"/>
      <c r="BY922" s="120"/>
      <c r="BZ922" s="120"/>
      <c r="CA922" s="120"/>
      <c r="CB922" s="120"/>
      <c r="CC922" s="120"/>
      <c r="CD922" s="120"/>
      <c r="CE922" s="120"/>
      <c r="CF922" s="120"/>
      <c r="CG922" s="120"/>
      <c r="CH922" s="120"/>
      <c r="CI922" s="120"/>
      <c r="CJ922" s="120"/>
      <c r="CK922" s="120"/>
      <c r="CL922" s="120"/>
      <c r="CM922" s="120"/>
      <c r="CN922" s="120"/>
      <c r="CO922" s="120"/>
    </row>
    <row r="923" spans="1:93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1"/>
      <c r="U923" s="120"/>
      <c r="V923" s="120"/>
      <c r="W923" s="121"/>
      <c r="X923" s="120"/>
      <c r="Y923" s="120"/>
      <c r="Z923" s="120"/>
      <c r="AA923" s="120"/>
      <c r="AB923" s="120"/>
      <c r="AC923" s="120"/>
      <c r="AD923" s="120"/>
      <c r="AE923" s="120"/>
      <c r="AF923" s="120"/>
      <c r="AG923" s="120"/>
      <c r="AH923" s="120"/>
      <c r="AI923" s="120"/>
      <c r="AJ923" s="120"/>
      <c r="AK923" s="120"/>
      <c r="AL923" s="120"/>
      <c r="AM923" s="120"/>
      <c r="AN923" s="120"/>
      <c r="AO923" s="120"/>
      <c r="AP923" s="120"/>
      <c r="AQ923" s="120"/>
      <c r="AR923" s="120"/>
      <c r="AS923" s="120"/>
      <c r="AT923" s="120"/>
      <c r="AU923" s="120"/>
      <c r="AV923" s="120"/>
      <c r="AW923" s="120"/>
      <c r="AX923" s="120"/>
      <c r="AY923" s="120"/>
      <c r="AZ923" s="120"/>
      <c r="BA923" s="120"/>
      <c r="BB923" s="120"/>
      <c r="BC923" s="120"/>
      <c r="BD923" s="120"/>
      <c r="BE923" s="120"/>
      <c r="BF923" s="120"/>
      <c r="BG923" s="120"/>
      <c r="BH923" s="120"/>
      <c r="BI923" s="120"/>
      <c r="BJ923" s="120"/>
      <c r="BK923" s="120"/>
      <c r="BL923" s="120"/>
      <c r="BM923" s="120"/>
      <c r="BN923" s="120"/>
      <c r="BO923" s="120"/>
      <c r="BP923" s="120"/>
      <c r="BQ923" s="120"/>
      <c r="BR923" s="120"/>
      <c r="BS923" s="120"/>
      <c r="BT923" s="120"/>
      <c r="BU923" s="120"/>
      <c r="BV923" s="120"/>
      <c r="BW923" s="120"/>
      <c r="BX923" s="120"/>
      <c r="BY923" s="120"/>
      <c r="BZ923" s="120"/>
      <c r="CA923" s="120"/>
      <c r="CB923" s="120"/>
      <c r="CC923" s="120"/>
      <c r="CD923" s="120"/>
      <c r="CE923" s="120"/>
      <c r="CF923" s="120"/>
      <c r="CG923" s="120"/>
      <c r="CH923" s="120"/>
      <c r="CI923" s="120"/>
      <c r="CJ923" s="120"/>
      <c r="CK923" s="120"/>
      <c r="CL923" s="120"/>
      <c r="CM923" s="120"/>
      <c r="CN923" s="120"/>
      <c r="CO923" s="120"/>
    </row>
    <row r="924" spans="1:93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1"/>
      <c r="U924" s="120"/>
      <c r="V924" s="120"/>
      <c r="W924" s="121"/>
      <c r="X924" s="120"/>
      <c r="Y924" s="120"/>
      <c r="Z924" s="120"/>
      <c r="AA924" s="120"/>
      <c r="AB924" s="120"/>
      <c r="AC924" s="120"/>
      <c r="AD924" s="120"/>
      <c r="AE924" s="120"/>
      <c r="AF924" s="120"/>
      <c r="AG924" s="120"/>
      <c r="AH924" s="120"/>
      <c r="AI924" s="120"/>
      <c r="AJ924" s="120"/>
      <c r="AK924" s="120"/>
      <c r="AL924" s="120"/>
      <c r="AM924" s="120"/>
      <c r="AN924" s="120"/>
      <c r="AO924" s="120"/>
      <c r="AP924" s="120"/>
      <c r="AQ924" s="120"/>
      <c r="AR924" s="120"/>
      <c r="AS924" s="120"/>
      <c r="AT924" s="120"/>
      <c r="AU924" s="120"/>
      <c r="AV924" s="120"/>
      <c r="AW924" s="120"/>
      <c r="AX924" s="120"/>
      <c r="AY924" s="120"/>
      <c r="AZ924" s="120"/>
      <c r="BA924" s="120"/>
      <c r="BB924" s="120"/>
      <c r="BC924" s="120"/>
      <c r="BD924" s="120"/>
      <c r="BE924" s="120"/>
      <c r="BF924" s="120"/>
      <c r="BG924" s="120"/>
      <c r="BH924" s="120"/>
      <c r="BI924" s="120"/>
      <c r="BJ924" s="120"/>
      <c r="BK924" s="120"/>
      <c r="BL924" s="120"/>
      <c r="BM924" s="120"/>
      <c r="BN924" s="120"/>
      <c r="BO924" s="120"/>
      <c r="BP924" s="120"/>
      <c r="BQ924" s="120"/>
      <c r="BR924" s="120"/>
      <c r="BS924" s="120"/>
      <c r="BT924" s="120"/>
      <c r="BU924" s="120"/>
      <c r="BV924" s="120"/>
      <c r="BW924" s="120"/>
      <c r="BX924" s="120"/>
      <c r="BY924" s="120"/>
      <c r="BZ924" s="120"/>
      <c r="CA924" s="120"/>
      <c r="CB924" s="120"/>
      <c r="CC924" s="120"/>
      <c r="CD924" s="120"/>
      <c r="CE924" s="120"/>
      <c r="CF924" s="120"/>
      <c r="CG924" s="120"/>
      <c r="CH924" s="120"/>
      <c r="CI924" s="120"/>
      <c r="CJ924" s="120"/>
      <c r="CK924" s="120"/>
      <c r="CL924" s="120"/>
      <c r="CM924" s="120"/>
      <c r="CN924" s="120"/>
      <c r="CO924" s="120"/>
    </row>
    <row r="925" spans="1:93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1"/>
      <c r="U925" s="120"/>
      <c r="V925" s="120"/>
      <c r="W925" s="121"/>
      <c r="X925" s="120"/>
      <c r="Y925" s="120"/>
      <c r="Z925" s="120"/>
      <c r="AA925" s="120"/>
      <c r="AB925" s="120"/>
      <c r="AC925" s="120"/>
      <c r="AD925" s="120"/>
      <c r="AE925" s="120"/>
      <c r="AF925" s="120"/>
      <c r="AG925" s="120"/>
      <c r="AH925" s="120"/>
      <c r="AI925" s="120"/>
      <c r="AJ925" s="120"/>
      <c r="AK925" s="120"/>
      <c r="AL925" s="120"/>
      <c r="AM925" s="120"/>
      <c r="AN925" s="120"/>
      <c r="AO925" s="120"/>
      <c r="AP925" s="120"/>
      <c r="AQ925" s="120"/>
      <c r="AR925" s="120"/>
      <c r="AS925" s="120"/>
      <c r="AT925" s="120"/>
      <c r="AU925" s="120"/>
      <c r="AV925" s="120"/>
      <c r="AW925" s="120"/>
      <c r="AX925" s="120"/>
      <c r="AY925" s="120"/>
      <c r="AZ925" s="120"/>
      <c r="BA925" s="120"/>
      <c r="BB925" s="120"/>
      <c r="BC925" s="120"/>
      <c r="BD925" s="120"/>
      <c r="BE925" s="120"/>
      <c r="BF925" s="120"/>
      <c r="BG925" s="120"/>
      <c r="BH925" s="120"/>
      <c r="BI925" s="120"/>
      <c r="BJ925" s="120"/>
      <c r="BK925" s="120"/>
      <c r="BL925" s="120"/>
      <c r="BM925" s="120"/>
      <c r="BN925" s="120"/>
      <c r="BO925" s="120"/>
      <c r="BP925" s="120"/>
      <c r="BQ925" s="120"/>
      <c r="BR925" s="120"/>
      <c r="BS925" s="120"/>
      <c r="BT925" s="120"/>
      <c r="BU925" s="120"/>
      <c r="BV925" s="120"/>
      <c r="BW925" s="120"/>
      <c r="BX925" s="120"/>
      <c r="BY925" s="120"/>
      <c r="BZ925" s="120"/>
      <c r="CA925" s="120"/>
      <c r="CB925" s="120"/>
      <c r="CC925" s="120"/>
      <c r="CD925" s="120"/>
      <c r="CE925" s="120"/>
      <c r="CF925" s="120"/>
      <c r="CG925" s="120"/>
      <c r="CH925" s="120"/>
      <c r="CI925" s="120"/>
      <c r="CJ925" s="120"/>
      <c r="CK925" s="120"/>
      <c r="CL925" s="120"/>
      <c r="CM925" s="120"/>
      <c r="CN925" s="120"/>
      <c r="CO925" s="120"/>
    </row>
    <row r="926" spans="1:93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1"/>
      <c r="U926" s="120"/>
      <c r="V926" s="120"/>
      <c r="W926" s="121"/>
      <c r="X926" s="120"/>
      <c r="Y926" s="120"/>
      <c r="Z926" s="120"/>
      <c r="AA926" s="120"/>
      <c r="AB926" s="120"/>
      <c r="AC926" s="120"/>
      <c r="AD926" s="120"/>
      <c r="AE926" s="120"/>
      <c r="AF926" s="120"/>
      <c r="AG926" s="120"/>
      <c r="AH926" s="120"/>
      <c r="AI926" s="120"/>
      <c r="AJ926" s="120"/>
      <c r="AK926" s="120"/>
      <c r="AL926" s="120"/>
      <c r="AM926" s="120"/>
      <c r="AN926" s="120"/>
      <c r="AO926" s="120"/>
      <c r="AP926" s="120"/>
      <c r="AQ926" s="120"/>
      <c r="AR926" s="120"/>
      <c r="AS926" s="120"/>
      <c r="AT926" s="120"/>
      <c r="AU926" s="120"/>
      <c r="AV926" s="120"/>
      <c r="AW926" s="120"/>
      <c r="AX926" s="120"/>
      <c r="AY926" s="120"/>
      <c r="AZ926" s="120"/>
      <c r="BA926" s="120"/>
      <c r="BB926" s="120"/>
      <c r="BC926" s="120"/>
      <c r="BD926" s="120"/>
      <c r="BE926" s="120"/>
      <c r="BF926" s="120"/>
      <c r="BG926" s="120"/>
      <c r="BH926" s="120"/>
      <c r="BI926" s="120"/>
      <c r="BJ926" s="120"/>
      <c r="BK926" s="120"/>
      <c r="BL926" s="120"/>
      <c r="BM926" s="120"/>
      <c r="BN926" s="120"/>
      <c r="BO926" s="120"/>
      <c r="BP926" s="120"/>
      <c r="BQ926" s="120"/>
      <c r="BR926" s="120"/>
      <c r="BS926" s="120"/>
      <c r="BT926" s="120"/>
      <c r="BU926" s="120"/>
      <c r="BV926" s="120"/>
      <c r="BW926" s="120"/>
      <c r="BX926" s="120"/>
      <c r="BY926" s="120"/>
      <c r="BZ926" s="120"/>
      <c r="CA926" s="120"/>
      <c r="CB926" s="120"/>
      <c r="CC926" s="120"/>
      <c r="CD926" s="120"/>
      <c r="CE926" s="120"/>
      <c r="CF926" s="120"/>
      <c r="CG926" s="120"/>
      <c r="CH926" s="120"/>
      <c r="CI926" s="120"/>
      <c r="CJ926" s="120"/>
      <c r="CK926" s="120"/>
      <c r="CL926" s="120"/>
      <c r="CM926" s="120"/>
      <c r="CN926" s="120"/>
      <c r="CO926" s="120"/>
    </row>
    <row r="927" spans="1:93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1"/>
      <c r="U927" s="120"/>
      <c r="V927" s="120"/>
      <c r="W927" s="121"/>
      <c r="X927" s="120"/>
      <c r="Y927" s="120"/>
      <c r="Z927" s="120"/>
      <c r="AA927" s="120"/>
      <c r="AB927" s="120"/>
      <c r="AC927" s="120"/>
      <c r="AD927" s="120"/>
      <c r="AE927" s="120"/>
      <c r="AF927" s="120"/>
      <c r="AG927" s="120"/>
      <c r="AH927" s="120"/>
      <c r="AI927" s="120"/>
      <c r="AJ927" s="120"/>
      <c r="AK927" s="120"/>
      <c r="AL927" s="120"/>
      <c r="AM927" s="120"/>
      <c r="AN927" s="120"/>
      <c r="AO927" s="120"/>
      <c r="AP927" s="120"/>
      <c r="AQ927" s="120"/>
      <c r="AR927" s="120"/>
      <c r="AS927" s="120"/>
      <c r="AT927" s="120"/>
      <c r="AU927" s="120"/>
      <c r="AV927" s="120"/>
      <c r="AW927" s="120"/>
      <c r="AX927" s="120"/>
      <c r="AY927" s="120"/>
      <c r="AZ927" s="120"/>
      <c r="BA927" s="120"/>
      <c r="BB927" s="120"/>
      <c r="BC927" s="120"/>
      <c r="BD927" s="120"/>
      <c r="BE927" s="120"/>
      <c r="BF927" s="120"/>
      <c r="BG927" s="120"/>
      <c r="BH927" s="120"/>
      <c r="BI927" s="120"/>
      <c r="BJ927" s="120"/>
      <c r="BK927" s="120"/>
      <c r="BL927" s="120"/>
      <c r="BM927" s="120"/>
      <c r="BN927" s="120"/>
      <c r="BO927" s="120"/>
      <c r="BP927" s="120"/>
      <c r="BQ927" s="120"/>
      <c r="BR927" s="120"/>
      <c r="BS927" s="120"/>
      <c r="BT927" s="120"/>
      <c r="BU927" s="120"/>
      <c r="BV927" s="120"/>
      <c r="BW927" s="120"/>
      <c r="BX927" s="120"/>
      <c r="BY927" s="120"/>
      <c r="BZ927" s="120"/>
      <c r="CA927" s="120"/>
      <c r="CB927" s="120"/>
      <c r="CC927" s="120"/>
      <c r="CD927" s="120"/>
      <c r="CE927" s="120"/>
      <c r="CF927" s="120"/>
      <c r="CG927" s="120"/>
      <c r="CH927" s="120"/>
      <c r="CI927" s="120"/>
      <c r="CJ927" s="120"/>
      <c r="CK927" s="120"/>
      <c r="CL927" s="120"/>
      <c r="CM927" s="120"/>
      <c r="CN927" s="120"/>
      <c r="CO927" s="120"/>
    </row>
    <row r="928" spans="1:93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1"/>
      <c r="U928" s="120"/>
      <c r="V928" s="120"/>
      <c r="W928" s="121"/>
      <c r="X928" s="120"/>
      <c r="Y928" s="120"/>
      <c r="Z928" s="120"/>
      <c r="AA928" s="120"/>
      <c r="AB928" s="120"/>
      <c r="AC928" s="120"/>
      <c r="AD928" s="120"/>
      <c r="AE928" s="120"/>
      <c r="AF928" s="120"/>
      <c r="AG928" s="120"/>
      <c r="AH928" s="120"/>
      <c r="AI928" s="120"/>
      <c r="AJ928" s="120"/>
      <c r="AK928" s="120"/>
      <c r="AL928" s="120"/>
      <c r="AM928" s="120"/>
      <c r="AN928" s="120"/>
      <c r="AO928" s="120"/>
      <c r="AP928" s="120"/>
      <c r="AQ928" s="120"/>
      <c r="AR928" s="120"/>
      <c r="AS928" s="120"/>
      <c r="AT928" s="120"/>
      <c r="AU928" s="120"/>
      <c r="AV928" s="120"/>
      <c r="AW928" s="120"/>
      <c r="AX928" s="120"/>
      <c r="AY928" s="120"/>
      <c r="AZ928" s="120"/>
      <c r="BA928" s="120"/>
      <c r="BB928" s="120"/>
      <c r="BC928" s="120"/>
      <c r="BD928" s="120"/>
      <c r="BE928" s="120"/>
      <c r="BF928" s="120"/>
      <c r="BG928" s="120"/>
      <c r="BH928" s="120"/>
      <c r="BI928" s="120"/>
      <c r="BJ928" s="120"/>
      <c r="BK928" s="120"/>
      <c r="BL928" s="120"/>
      <c r="BM928" s="120"/>
      <c r="BN928" s="120"/>
      <c r="BO928" s="120"/>
      <c r="BP928" s="120"/>
      <c r="BQ928" s="120"/>
      <c r="BR928" s="120"/>
      <c r="BS928" s="120"/>
      <c r="BT928" s="120"/>
      <c r="BU928" s="120"/>
      <c r="BV928" s="120"/>
      <c r="BW928" s="120"/>
      <c r="BX928" s="120"/>
      <c r="BY928" s="120"/>
      <c r="BZ928" s="120"/>
      <c r="CA928" s="120"/>
      <c r="CB928" s="120"/>
      <c r="CC928" s="120"/>
      <c r="CD928" s="120"/>
      <c r="CE928" s="120"/>
      <c r="CF928" s="120"/>
      <c r="CG928" s="120"/>
      <c r="CH928" s="120"/>
      <c r="CI928" s="120"/>
      <c r="CJ928" s="120"/>
      <c r="CK928" s="120"/>
      <c r="CL928" s="120"/>
      <c r="CM928" s="120"/>
      <c r="CN928" s="120"/>
      <c r="CO928" s="120"/>
    </row>
    <row r="929" spans="1:93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1"/>
      <c r="U929" s="120"/>
      <c r="V929" s="120"/>
      <c r="W929" s="121"/>
      <c r="X929" s="120"/>
      <c r="Y929" s="120"/>
      <c r="Z929" s="120"/>
      <c r="AA929" s="120"/>
      <c r="AB929" s="120"/>
      <c r="AC929" s="120"/>
      <c r="AD929" s="120"/>
      <c r="AE929" s="120"/>
      <c r="AF929" s="120"/>
      <c r="AG929" s="120"/>
      <c r="AH929" s="120"/>
      <c r="AI929" s="120"/>
      <c r="AJ929" s="120"/>
      <c r="AK929" s="120"/>
      <c r="AL929" s="120"/>
      <c r="AM929" s="120"/>
      <c r="AN929" s="120"/>
      <c r="AO929" s="120"/>
      <c r="AP929" s="120"/>
      <c r="AQ929" s="120"/>
      <c r="AR929" s="120"/>
      <c r="AS929" s="120"/>
      <c r="AT929" s="120"/>
      <c r="AU929" s="120"/>
      <c r="AV929" s="120"/>
      <c r="AW929" s="120"/>
      <c r="AX929" s="120"/>
      <c r="AY929" s="120"/>
      <c r="AZ929" s="120"/>
      <c r="BA929" s="120"/>
      <c r="BB929" s="120"/>
      <c r="BC929" s="120"/>
      <c r="BD929" s="120"/>
      <c r="BE929" s="120"/>
      <c r="BF929" s="120"/>
      <c r="BG929" s="120"/>
      <c r="BH929" s="120"/>
      <c r="BI929" s="120"/>
      <c r="BJ929" s="120"/>
      <c r="BK929" s="120"/>
      <c r="BL929" s="120"/>
      <c r="BM929" s="120"/>
      <c r="BN929" s="120"/>
      <c r="BO929" s="120"/>
      <c r="BP929" s="120"/>
      <c r="BQ929" s="120"/>
      <c r="BR929" s="120"/>
      <c r="BS929" s="120"/>
      <c r="BT929" s="120"/>
      <c r="BU929" s="120"/>
      <c r="BV929" s="120"/>
      <c r="BW929" s="120"/>
      <c r="BX929" s="120"/>
      <c r="BY929" s="120"/>
      <c r="BZ929" s="120"/>
      <c r="CA929" s="120"/>
      <c r="CB929" s="120"/>
      <c r="CC929" s="120"/>
      <c r="CD929" s="120"/>
      <c r="CE929" s="120"/>
      <c r="CF929" s="120"/>
      <c r="CG929" s="120"/>
      <c r="CH929" s="120"/>
      <c r="CI929" s="120"/>
      <c r="CJ929" s="120"/>
      <c r="CK929" s="120"/>
      <c r="CL929" s="120"/>
      <c r="CM929" s="120"/>
      <c r="CN929" s="120"/>
      <c r="CO929" s="120"/>
    </row>
    <row r="930" spans="1:93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1"/>
      <c r="U930" s="120"/>
      <c r="V930" s="120"/>
      <c r="W930" s="121"/>
      <c r="X930" s="120"/>
      <c r="Y930" s="120"/>
      <c r="Z930" s="120"/>
      <c r="AA930" s="120"/>
      <c r="AB930" s="120"/>
      <c r="AC930" s="120"/>
      <c r="AD930" s="120"/>
      <c r="AE930" s="120"/>
      <c r="AF930" s="120"/>
      <c r="AG930" s="120"/>
      <c r="AH930" s="120"/>
      <c r="AI930" s="120"/>
      <c r="AJ930" s="120"/>
      <c r="AK930" s="120"/>
      <c r="AL930" s="120"/>
      <c r="AM930" s="120"/>
      <c r="AN930" s="120"/>
      <c r="AO930" s="120"/>
      <c r="AP930" s="120"/>
      <c r="AQ930" s="120"/>
      <c r="AR930" s="120"/>
      <c r="AS930" s="120"/>
      <c r="AT930" s="120"/>
      <c r="AU930" s="120"/>
      <c r="AV930" s="120"/>
      <c r="AW930" s="120"/>
      <c r="AX930" s="120"/>
      <c r="AY930" s="120"/>
      <c r="AZ930" s="120"/>
      <c r="BA930" s="120"/>
      <c r="BB930" s="120"/>
      <c r="BC930" s="120"/>
      <c r="BD930" s="120"/>
      <c r="BE930" s="120"/>
      <c r="BF930" s="120"/>
      <c r="BG930" s="120"/>
      <c r="BH930" s="120"/>
      <c r="BI930" s="120"/>
      <c r="BJ930" s="120"/>
      <c r="BK930" s="120"/>
      <c r="BL930" s="120"/>
      <c r="BM930" s="120"/>
      <c r="BN930" s="120"/>
      <c r="BO930" s="120"/>
      <c r="BP930" s="120"/>
      <c r="BQ930" s="120"/>
      <c r="BR930" s="120"/>
      <c r="BS930" s="120"/>
      <c r="BT930" s="120"/>
      <c r="BU930" s="120"/>
      <c r="BV930" s="120"/>
      <c r="BW930" s="120"/>
      <c r="BX930" s="120"/>
      <c r="BY930" s="120"/>
      <c r="BZ930" s="120"/>
      <c r="CA930" s="120"/>
      <c r="CB930" s="120"/>
      <c r="CC930" s="120"/>
      <c r="CD930" s="120"/>
      <c r="CE930" s="120"/>
      <c r="CF930" s="120"/>
      <c r="CG930" s="120"/>
      <c r="CH930" s="120"/>
      <c r="CI930" s="120"/>
      <c r="CJ930" s="120"/>
      <c r="CK930" s="120"/>
      <c r="CL930" s="120"/>
      <c r="CM930" s="120"/>
      <c r="CN930" s="120"/>
      <c r="CO930" s="120"/>
    </row>
    <row r="931" spans="1:93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1"/>
      <c r="U931" s="120"/>
      <c r="V931" s="120"/>
      <c r="W931" s="121"/>
      <c r="X931" s="120"/>
      <c r="Y931" s="120"/>
      <c r="Z931" s="120"/>
      <c r="AA931" s="120"/>
      <c r="AB931" s="120"/>
      <c r="AC931" s="120"/>
      <c r="AD931" s="120"/>
      <c r="AE931" s="120"/>
      <c r="AF931" s="120"/>
      <c r="AG931" s="120"/>
      <c r="AH931" s="120"/>
      <c r="AI931" s="120"/>
      <c r="AJ931" s="120"/>
      <c r="AK931" s="120"/>
      <c r="AL931" s="120"/>
      <c r="AM931" s="120"/>
      <c r="AN931" s="120"/>
      <c r="AO931" s="120"/>
      <c r="AP931" s="120"/>
      <c r="AQ931" s="120"/>
      <c r="AR931" s="120"/>
      <c r="AS931" s="120"/>
      <c r="AT931" s="120"/>
      <c r="AU931" s="120"/>
      <c r="AV931" s="120"/>
      <c r="AW931" s="120"/>
      <c r="AX931" s="120"/>
      <c r="AY931" s="120"/>
      <c r="AZ931" s="120"/>
      <c r="BA931" s="120"/>
      <c r="BB931" s="120"/>
      <c r="BC931" s="120"/>
      <c r="BD931" s="120"/>
      <c r="BE931" s="120"/>
      <c r="BF931" s="120"/>
      <c r="BG931" s="120"/>
      <c r="BH931" s="120"/>
      <c r="BI931" s="120"/>
      <c r="BJ931" s="120"/>
      <c r="BK931" s="120"/>
      <c r="BL931" s="120"/>
      <c r="BM931" s="120"/>
      <c r="BN931" s="120"/>
      <c r="BO931" s="120"/>
      <c r="BP931" s="120"/>
      <c r="BQ931" s="120"/>
      <c r="BR931" s="120"/>
      <c r="BS931" s="120"/>
      <c r="BT931" s="120"/>
      <c r="BU931" s="120"/>
      <c r="BV931" s="120"/>
      <c r="BW931" s="120"/>
      <c r="BX931" s="120"/>
      <c r="BY931" s="120"/>
      <c r="BZ931" s="120"/>
      <c r="CA931" s="120"/>
      <c r="CB931" s="120"/>
      <c r="CC931" s="120"/>
      <c r="CD931" s="120"/>
      <c r="CE931" s="120"/>
      <c r="CF931" s="120"/>
      <c r="CG931" s="120"/>
      <c r="CH931" s="120"/>
      <c r="CI931" s="120"/>
      <c r="CJ931" s="120"/>
      <c r="CK931" s="120"/>
      <c r="CL931" s="120"/>
      <c r="CM931" s="120"/>
      <c r="CN931" s="120"/>
      <c r="CO931" s="120"/>
    </row>
    <row r="932" spans="1:93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1"/>
      <c r="U932" s="120"/>
      <c r="V932" s="120"/>
      <c r="W932" s="121"/>
      <c r="X932" s="120"/>
      <c r="Y932" s="120"/>
      <c r="Z932" s="120"/>
      <c r="AA932" s="120"/>
      <c r="AB932" s="120"/>
      <c r="AC932" s="120"/>
      <c r="AD932" s="120"/>
      <c r="AE932" s="120"/>
      <c r="AF932" s="120"/>
      <c r="AG932" s="120"/>
      <c r="AH932" s="120"/>
      <c r="AI932" s="120"/>
      <c r="AJ932" s="120"/>
      <c r="AK932" s="120"/>
      <c r="AL932" s="120"/>
      <c r="AM932" s="120"/>
      <c r="AN932" s="120"/>
      <c r="AO932" s="120"/>
      <c r="AP932" s="120"/>
      <c r="AQ932" s="120"/>
      <c r="AR932" s="120"/>
      <c r="AS932" s="120"/>
      <c r="AT932" s="120"/>
      <c r="AU932" s="120"/>
      <c r="AV932" s="120"/>
      <c r="AW932" s="120"/>
      <c r="AX932" s="120"/>
      <c r="AY932" s="120"/>
      <c r="AZ932" s="120"/>
      <c r="BA932" s="120"/>
      <c r="BB932" s="120"/>
      <c r="BC932" s="120"/>
      <c r="BD932" s="120"/>
      <c r="BE932" s="120"/>
      <c r="BF932" s="120"/>
      <c r="BG932" s="120"/>
      <c r="BH932" s="120"/>
      <c r="BI932" s="120"/>
      <c r="BJ932" s="120"/>
      <c r="BK932" s="120"/>
      <c r="BL932" s="120"/>
      <c r="BM932" s="120"/>
      <c r="BN932" s="120"/>
      <c r="BO932" s="120"/>
      <c r="BP932" s="120"/>
      <c r="BQ932" s="120"/>
      <c r="BR932" s="120"/>
      <c r="BS932" s="120"/>
      <c r="BT932" s="120"/>
      <c r="BU932" s="120"/>
      <c r="BV932" s="120"/>
      <c r="BW932" s="120"/>
      <c r="BX932" s="120"/>
      <c r="BY932" s="120"/>
      <c r="BZ932" s="120"/>
      <c r="CA932" s="120"/>
      <c r="CB932" s="120"/>
      <c r="CC932" s="120"/>
      <c r="CD932" s="120"/>
      <c r="CE932" s="120"/>
      <c r="CF932" s="120"/>
      <c r="CG932" s="120"/>
      <c r="CH932" s="120"/>
      <c r="CI932" s="120"/>
      <c r="CJ932" s="120"/>
      <c r="CK932" s="120"/>
      <c r="CL932" s="120"/>
      <c r="CM932" s="120"/>
      <c r="CN932" s="120"/>
      <c r="CO932" s="120"/>
    </row>
    <row r="933" spans="1:93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1"/>
      <c r="U933" s="120"/>
      <c r="V933" s="120"/>
      <c r="W933" s="121"/>
      <c r="X933" s="120"/>
      <c r="Y933" s="120"/>
      <c r="Z933" s="120"/>
      <c r="AA933" s="120"/>
      <c r="AB933" s="120"/>
      <c r="AC933" s="120"/>
      <c r="AD933" s="120"/>
      <c r="AE933" s="120"/>
      <c r="AF933" s="120"/>
      <c r="AG933" s="120"/>
      <c r="AH933" s="120"/>
      <c r="AI933" s="120"/>
      <c r="AJ933" s="120"/>
      <c r="AK933" s="120"/>
      <c r="AL933" s="120"/>
      <c r="AM933" s="120"/>
      <c r="AN933" s="120"/>
      <c r="AO933" s="120"/>
      <c r="AP933" s="120"/>
      <c r="AQ933" s="120"/>
      <c r="AR933" s="120"/>
      <c r="AS933" s="120"/>
      <c r="AT933" s="120"/>
      <c r="AU933" s="120"/>
      <c r="AV933" s="120"/>
      <c r="AW933" s="120"/>
      <c r="AX933" s="120"/>
      <c r="AY933" s="120"/>
      <c r="AZ933" s="120"/>
      <c r="BA933" s="120"/>
      <c r="BB933" s="120"/>
      <c r="BC933" s="120"/>
      <c r="BD933" s="120"/>
      <c r="BE933" s="120"/>
      <c r="BF933" s="120"/>
      <c r="BG933" s="120"/>
      <c r="BH933" s="120"/>
      <c r="BI933" s="120"/>
      <c r="BJ933" s="120"/>
      <c r="BK933" s="120"/>
      <c r="BL933" s="120"/>
      <c r="BM933" s="120"/>
      <c r="BN933" s="120"/>
      <c r="BO933" s="120"/>
      <c r="BP933" s="120"/>
      <c r="BQ933" s="120"/>
      <c r="BR933" s="120"/>
      <c r="BS933" s="120"/>
      <c r="BT933" s="120"/>
      <c r="BU933" s="120"/>
      <c r="BV933" s="120"/>
      <c r="BW933" s="120"/>
      <c r="BX933" s="120"/>
      <c r="BY933" s="120"/>
      <c r="BZ933" s="120"/>
      <c r="CA933" s="120"/>
      <c r="CB933" s="120"/>
      <c r="CC933" s="120"/>
      <c r="CD933" s="120"/>
      <c r="CE933" s="120"/>
      <c r="CF933" s="120"/>
      <c r="CG933" s="120"/>
      <c r="CH933" s="120"/>
      <c r="CI933" s="120"/>
      <c r="CJ933" s="120"/>
      <c r="CK933" s="120"/>
      <c r="CL933" s="120"/>
      <c r="CM933" s="120"/>
      <c r="CN933" s="120"/>
      <c r="CO933" s="120"/>
    </row>
    <row r="934" spans="1:93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1"/>
      <c r="U934" s="120"/>
      <c r="V934" s="120"/>
      <c r="W934" s="121"/>
      <c r="X934" s="120"/>
      <c r="Y934" s="120"/>
      <c r="Z934" s="120"/>
      <c r="AA934" s="120"/>
      <c r="AB934" s="120"/>
      <c r="AC934" s="120"/>
      <c r="AD934" s="120"/>
      <c r="AE934" s="120"/>
      <c r="AF934" s="120"/>
      <c r="AG934" s="120"/>
      <c r="AH934" s="120"/>
      <c r="AI934" s="120"/>
      <c r="AJ934" s="120"/>
      <c r="AK934" s="120"/>
      <c r="AL934" s="120"/>
      <c r="AM934" s="120"/>
      <c r="AN934" s="120"/>
      <c r="AO934" s="120"/>
      <c r="AP934" s="120"/>
      <c r="AQ934" s="120"/>
      <c r="AR934" s="120"/>
      <c r="AS934" s="120"/>
      <c r="AT934" s="120"/>
      <c r="AU934" s="120"/>
      <c r="AV934" s="120"/>
      <c r="AW934" s="120"/>
      <c r="AX934" s="120"/>
      <c r="AY934" s="120"/>
      <c r="AZ934" s="120"/>
      <c r="BA934" s="120"/>
      <c r="BB934" s="120"/>
      <c r="BC934" s="120"/>
      <c r="BD934" s="120"/>
      <c r="BE934" s="120"/>
      <c r="BF934" s="120"/>
      <c r="BG934" s="120"/>
      <c r="BH934" s="120"/>
      <c r="BI934" s="120"/>
      <c r="BJ934" s="120"/>
      <c r="BK934" s="120"/>
      <c r="BL934" s="120"/>
      <c r="BM934" s="120"/>
      <c r="BN934" s="120"/>
      <c r="BO934" s="120"/>
      <c r="BP934" s="120"/>
      <c r="BQ934" s="120"/>
      <c r="BR934" s="120"/>
      <c r="BS934" s="120"/>
      <c r="BT934" s="120"/>
      <c r="BU934" s="120"/>
      <c r="BV934" s="120"/>
      <c r="BW934" s="120"/>
      <c r="BX934" s="120"/>
      <c r="BY934" s="120"/>
      <c r="BZ934" s="120"/>
      <c r="CA934" s="120"/>
      <c r="CB934" s="120"/>
      <c r="CC934" s="120"/>
      <c r="CD934" s="120"/>
      <c r="CE934" s="120"/>
      <c r="CF934" s="120"/>
      <c r="CG934" s="120"/>
      <c r="CH934" s="120"/>
      <c r="CI934" s="120"/>
      <c r="CJ934" s="120"/>
      <c r="CK934" s="120"/>
      <c r="CL934" s="120"/>
      <c r="CM934" s="120"/>
      <c r="CN934" s="120"/>
      <c r="CO934" s="120"/>
    </row>
    <row r="935" spans="1:93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1"/>
      <c r="U935" s="120"/>
      <c r="V935" s="120"/>
      <c r="W935" s="121"/>
      <c r="X935" s="120"/>
      <c r="Y935" s="120"/>
      <c r="Z935" s="120"/>
      <c r="AA935" s="120"/>
      <c r="AB935" s="120"/>
      <c r="AC935" s="120"/>
      <c r="AD935" s="120"/>
      <c r="AE935" s="120"/>
      <c r="AF935" s="120"/>
      <c r="AG935" s="120"/>
      <c r="AH935" s="120"/>
      <c r="AI935" s="120"/>
      <c r="AJ935" s="120"/>
      <c r="AK935" s="120"/>
      <c r="AL935" s="120"/>
      <c r="AM935" s="120"/>
      <c r="AN935" s="120"/>
      <c r="AO935" s="120"/>
      <c r="AP935" s="120"/>
      <c r="AQ935" s="120"/>
      <c r="AR935" s="120"/>
      <c r="AS935" s="120"/>
      <c r="AT935" s="120"/>
      <c r="AU935" s="120"/>
      <c r="AV935" s="120"/>
      <c r="AW935" s="120"/>
      <c r="AX935" s="120"/>
      <c r="AY935" s="120"/>
      <c r="AZ935" s="120"/>
      <c r="BA935" s="120"/>
      <c r="BB935" s="120"/>
      <c r="BC935" s="120"/>
      <c r="BD935" s="120"/>
      <c r="BE935" s="120"/>
      <c r="BF935" s="120"/>
      <c r="BG935" s="120"/>
      <c r="BH935" s="120"/>
      <c r="BI935" s="120"/>
      <c r="BJ935" s="120"/>
      <c r="BK935" s="120"/>
      <c r="BL935" s="120"/>
      <c r="BM935" s="120"/>
      <c r="BN935" s="120"/>
      <c r="BO935" s="120"/>
      <c r="BP935" s="120"/>
      <c r="BQ935" s="120"/>
      <c r="BR935" s="120"/>
      <c r="BS935" s="120"/>
      <c r="BT935" s="120"/>
      <c r="BU935" s="120"/>
      <c r="BV935" s="120"/>
      <c r="BW935" s="120"/>
      <c r="BX935" s="120"/>
      <c r="BY935" s="120"/>
      <c r="BZ935" s="120"/>
      <c r="CA935" s="120"/>
      <c r="CB935" s="120"/>
      <c r="CC935" s="120"/>
      <c r="CD935" s="120"/>
      <c r="CE935" s="120"/>
      <c r="CF935" s="120"/>
      <c r="CG935" s="120"/>
      <c r="CH935" s="120"/>
      <c r="CI935" s="120"/>
      <c r="CJ935" s="120"/>
      <c r="CK935" s="120"/>
      <c r="CL935" s="120"/>
      <c r="CM935" s="120"/>
      <c r="CN935" s="120"/>
      <c r="CO935" s="120"/>
    </row>
    <row r="936" spans="1:93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1"/>
      <c r="U936" s="120"/>
      <c r="V936" s="120"/>
      <c r="W936" s="121"/>
      <c r="X936" s="120"/>
      <c r="Y936" s="120"/>
      <c r="Z936" s="120"/>
      <c r="AA936" s="120"/>
      <c r="AB936" s="120"/>
      <c r="AC936" s="120"/>
      <c r="AD936" s="120"/>
      <c r="AE936" s="120"/>
      <c r="AF936" s="120"/>
      <c r="AG936" s="120"/>
      <c r="AH936" s="120"/>
      <c r="AI936" s="120"/>
      <c r="AJ936" s="120"/>
      <c r="AK936" s="120"/>
      <c r="AL936" s="120"/>
      <c r="AM936" s="120"/>
      <c r="AN936" s="120"/>
      <c r="AO936" s="120"/>
      <c r="AP936" s="120"/>
      <c r="AQ936" s="120"/>
      <c r="AR936" s="120"/>
      <c r="AS936" s="120"/>
      <c r="AT936" s="120"/>
      <c r="AU936" s="120"/>
      <c r="AV936" s="120"/>
      <c r="AW936" s="120"/>
      <c r="AX936" s="120"/>
      <c r="AY936" s="120"/>
      <c r="AZ936" s="120"/>
      <c r="BA936" s="120"/>
      <c r="BB936" s="120"/>
      <c r="BC936" s="120"/>
      <c r="BD936" s="120"/>
      <c r="BE936" s="120"/>
      <c r="BF936" s="120"/>
      <c r="BG936" s="120"/>
      <c r="BH936" s="120"/>
      <c r="BI936" s="120"/>
      <c r="BJ936" s="120"/>
      <c r="BK936" s="120"/>
      <c r="BL936" s="120"/>
      <c r="BM936" s="120"/>
      <c r="BN936" s="120"/>
      <c r="BO936" s="120"/>
      <c r="BP936" s="120"/>
      <c r="BQ936" s="120"/>
      <c r="BR936" s="120"/>
      <c r="BS936" s="120"/>
      <c r="BT936" s="120"/>
      <c r="BU936" s="120"/>
      <c r="BV936" s="120"/>
      <c r="BW936" s="120"/>
      <c r="BX936" s="120"/>
      <c r="BY936" s="120"/>
      <c r="BZ936" s="120"/>
      <c r="CA936" s="120"/>
      <c r="CB936" s="120"/>
      <c r="CC936" s="120"/>
      <c r="CD936" s="120"/>
      <c r="CE936" s="120"/>
      <c r="CF936" s="120"/>
      <c r="CG936" s="120"/>
      <c r="CH936" s="120"/>
      <c r="CI936" s="120"/>
      <c r="CJ936" s="120"/>
      <c r="CK936" s="120"/>
      <c r="CL936" s="120"/>
      <c r="CM936" s="120"/>
      <c r="CN936" s="120"/>
      <c r="CO936" s="120"/>
    </row>
    <row r="937" spans="1:93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1"/>
      <c r="U937" s="120"/>
      <c r="V937" s="120"/>
      <c r="W937" s="121"/>
      <c r="X937" s="120"/>
      <c r="Y937" s="120"/>
      <c r="Z937" s="120"/>
      <c r="AA937" s="120"/>
      <c r="AB937" s="120"/>
      <c r="AC937" s="120"/>
      <c r="AD937" s="120"/>
      <c r="AE937" s="120"/>
      <c r="AF937" s="120"/>
      <c r="AG937" s="120"/>
      <c r="AH937" s="120"/>
      <c r="AI937" s="120"/>
      <c r="AJ937" s="120"/>
      <c r="AK937" s="120"/>
      <c r="AL937" s="120"/>
      <c r="AM937" s="120"/>
      <c r="AN937" s="120"/>
      <c r="AO937" s="120"/>
      <c r="AP937" s="120"/>
      <c r="AQ937" s="120"/>
      <c r="AR937" s="120"/>
      <c r="AS937" s="120"/>
      <c r="AT937" s="120"/>
      <c r="AU937" s="120"/>
      <c r="AV937" s="120"/>
      <c r="AW937" s="120"/>
      <c r="AX937" s="120"/>
      <c r="AY937" s="120"/>
      <c r="AZ937" s="120"/>
      <c r="BA937" s="120"/>
      <c r="BB937" s="120"/>
      <c r="BC937" s="120"/>
      <c r="BD937" s="120"/>
      <c r="BE937" s="120"/>
      <c r="BF937" s="120"/>
      <c r="BG937" s="120"/>
      <c r="BH937" s="120"/>
      <c r="BI937" s="120"/>
      <c r="BJ937" s="120"/>
      <c r="BK937" s="120"/>
      <c r="BL937" s="120"/>
      <c r="BM937" s="120"/>
      <c r="BN937" s="120"/>
      <c r="BO937" s="120"/>
      <c r="BP937" s="120"/>
      <c r="BQ937" s="120"/>
      <c r="BR937" s="120"/>
      <c r="BS937" s="120"/>
      <c r="BT937" s="120"/>
      <c r="BU937" s="120"/>
      <c r="BV937" s="120"/>
      <c r="BW937" s="120"/>
      <c r="BX937" s="120"/>
      <c r="BY937" s="120"/>
      <c r="BZ937" s="120"/>
      <c r="CA937" s="120"/>
      <c r="CB937" s="120"/>
      <c r="CC937" s="120"/>
      <c r="CD937" s="120"/>
      <c r="CE937" s="120"/>
      <c r="CF937" s="120"/>
      <c r="CG937" s="120"/>
      <c r="CH937" s="120"/>
      <c r="CI937" s="120"/>
      <c r="CJ937" s="120"/>
      <c r="CK937" s="120"/>
      <c r="CL937" s="120"/>
      <c r="CM937" s="120"/>
      <c r="CN937" s="120"/>
      <c r="CO937" s="120"/>
    </row>
    <row r="938" spans="1:93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1"/>
      <c r="U938" s="120"/>
      <c r="V938" s="120"/>
      <c r="W938" s="121"/>
      <c r="X938" s="120"/>
      <c r="Y938" s="120"/>
      <c r="Z938" s="120"/>
      <c r="AA938" s="120"/>
      <c r="AB938" s="120"/>
      <c r="AC938" s="120"/>
      <c r="AD938" s="120"/>
      <c r="AE938" s="120"/>
      <c r="AF938" s="120"/>
      <c r="AG938" s="120"/>
      <c r="AH938" s="120"/>
      <c r="AI938" s="120"/>
      <c r="AJ938" s="120"/>
      <c r="AK938" s="120"/>
      <c r="AL938" s="120"/>
      <c r="AM938" s="120"/>
      <c r="AN938" s="120"/>
      <c r="AO938" s="120"/>
      <c r="AP938" s="120"/>
      <c r="AQ938" s="120"/>
      <c r="AR938" s="120"/>
      <c r="AS938" s="120"/>
      <c r="AT938" s="120"/>
      <c r="AU938" s="120"/>
      <c r="AV938" s="120"/>
      <c r="AW938" s="120"/>
      <c r="AX938" s="120"/>
      <c r="AY938" s="120"/>
      <c r="AZ938" s="120"/>
      <c r="BA938" s="120"/>
      <c r="BB938" s="120"/>
      <c r="BC938" s="120"/>
      <c r="BD938" s="120"/>
      <c r="BE938" s="120"/>
      <c r="BF938" s="120"/>
      <c r="BG938" s="120"/>
      <c r="BH938" s="120"/>
      <c r="BI938" s="120"/>
      <c r="BJ938" s="120"/>
      <c r="BK938" s="120"/>
      <c r="BL938" s="120"/>
      <c r="BM938" s="120"/>
      <c r="BN938" s="120"/>
      <c r="BO938" s="120"/>
      <c r="BP938" s="120"/>
      <c r="BQ938" s="120"/>
      <c r="BR938" s="120"/>
      <c r="BS938" s="120"/>
      <c r="BT938" s="120"/>
      <c r="BU938" s="120"/>
      <c r="BV938" s="120"/>
      <c r="BW938" s="120"/>
      <c r="BX938" s="120"/>
      <c r="BY938" s="120"/>
      <c r="BZ938" s="120"/>
      <c r="CA938" s="120"/>
      <c r="CB938" s="120"/>
      <c r="CC938" s="120"/>
      <c r="CD938" s="120"/>
      <c r="CE938" s="120"/>
      <c r="CF938" s="120"/>
      <c r="CG938" s="120"/>
      <c r="CH938" s="120"/>
      <c r="CI938" s="120"/>
      <c r="CJ938" s="120"/>
      <c r="CK938" s="120"/>
      <c r="CL938" s="120"/>
      <c r="CM938" s="120"/>
      <c r="CN938" s="120"/>
      <c r="CO938" s="120"/>
    </row>
    <row r="939" spans="1:93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1"/>
      <c r="U939" s="120"/>
      <c r="V939" s="120"/>
      <c r="W939" s="121"/>
      <c r="X939" s="120"/>
      <c r="Y939" s="120"/>
      <c r="Z939" s="120"/>
      <c r="AA939" s="120"/>
      <c r="AB939" s="120"/>
      <c r="AC939" s="120"/>
      <c r="AD939" s="120"/>
      <c r="AE939" s="120"/>
      <c r="AF939" s="120"/>
      <c r="AG939" s="120"/>
      <c r="AH939" s="120"/>
      <c r="AI939" s="120"/>
      <c r="AJ939" s="120"/>
      <c r="AK939" s="120"/>
      <c r="AL939" s="120"/>
      <c r="AM939" s="120"/>
      <c r="AN939" s="120"/>
      <c r="AO939" s="120"/>
      <c r="AP939" s="120"/>
      <c r="AQ939" s="120"/>
      <c r="AR939" s="120"/>
      <c r="AS939" s="120"/>
      <c r="AT939" s="120"/>
      <c r="AU939" s="120"/>
      <c r="AV939" s="120"/>
      <c r="AW939" s="120"/>
      <c r="AX939" s="120"/>
      <c r="AY939" s="120"/>
      <c r="AZ939" s="120"/>
      <c r="BA939" s="120"/>
      <c r="BB939" s="120"/>
      <c r="BC939" s="120"/>
      <c r="BD939" s="120"/>
      <c r="BE939" s="120"/>
      <c r="BF939" s="120"/>
      <c r="BG939" s="120"/>
      <c r="BH939" s="120"/>
      <c r="BI939" s="120"/>
      <c r="BJ939" s="120"/>
      <c r="BK939" s="120"/>
      <c r="BL939" s="120"/>
      <c r="BM939" s="120"/>
      <c r="BN939" s="120"/>
      <c r="BO939" s="120"/>
      <c r="BP939" s="120"/>
      <c r="BQ939" s="120"/>
      <c r="BR939" s="120"/>
      <c r="BS939" s="120"/>
      <c r="BT939" s="120"/>
      <c r="BU939" s="120"/>
      <c r="BV939" s="120"/>
      <c r="BW939" s="120"/>
      <c r="BX939" s="120"/>
      <c r="BY939" s="120"/>
      <c r="BZ939" s="120"/>
      <c r="CA939" s="120"/>
      <c r="CB939" s="120"/>
      <c r="CC939" s="120"/>
      <c r="CD939" s="120"/>
      <c r="CE939" s="120"/>
      <c r="CF939" s="120"/>
      <c r="CG939" s="120"/>
      <c r="CH939" s="120"/>
      <c r="CI939" s="120"/>
      <c r="CJ939" s="120"/>
      <c r="CK939" s="120"/>
      <c r="CL939" s="120"/>
      <c r="CM939" s="120"/>
      <c r="CN939" s="120"/>
      <c r="CO939" s="120"/>
    </row>
    <row r="940" spans="1:93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1"/>
      <c r="U940" s="120"/>
      <c r="V940" s="120"/>
      <c r="W940" s="121"/>
      <c r="X940" s="120"/>
      <c r="Y940" s="120"/>
      <c r="Z940" s="120"/>
      <c r="AA940" s="120"/>
      <c r="AB940" s="120"/>
      <c r="AC940" s="120"/>
      <c r="AD940" s="120"/>
      <c r="AE940" s="120"/>
      <c r="AF940" s="120"/>
      <c r="AG940" s="120"/>
      <c r="AH940" s="120"/>
      <c r="AI940" s="120"/>
      <c r="AJ940" s="120"/>
      <c r="AK940" s="120"/>
      <c r="AL940" s="120"/>
      <c r="AM940" s="120"/>
      <c r="AN940" s="120"/>
      <c r="AO940" s="120"/>
      <c r="AP940" s="120"/>
      <c r="AQ940" s="120"/>
      <c r="AR940" s="120"/>
      <c r="AS940" s="120"/>
      <c r="AT940" s="120"/>
      <c r="AU940" s="120"/>
      <c r="AV940" s="120"/>
      <c r="AW940" s="120"/>
      <c r="AX940" s="120"/>
      <c r="AY940" s="120"/>
      <c r="AZ940" s="120"/>
      <c r="BA940" s="120"/>
      <c r="BB940" s="120"/>
      <c r="BC940" s="120"/>
      <c r="BD940" s="120"/>
      <c r="BE940" s="120"/>
      <c r="BF940" s="120"/>
      <c r="BG940" s="120"/>
      <c r="BH940" s="120"/>
      <c r="BI940" s="120"/>
      <c r="BJ940" s="120"/>
      <c r="BK940" s="120"/>
      <c r="BL940" s="120"/>
      <c r="BM940" s="120"/>
      <c r="BN940" s="120"/>
      <c r="BO940" s="120"/>
      <c r="BP940" s="120"/>
      <c r="BQ940" s="120"/>
      <c r="BR940" s="120"/>
      <c r="BS940" s="120"/>
      <c r="BT940" s="120"/>
      <c r="BU940" s="120"/>
      <c r="BV940" s="120"/>
      <c r="BW940" s="120"/>
      <c r="BX940" s="120"/>
      <c r="BY940" s="120"/>
      <c r="BZ940" s="120"/>
      <c r="CA940" s="120"/>
      <c r="CB940" s="120"/>
      <c r="CC940" s="120"/>
      <c r="CD940" s="120"/>
      <c r="CE940" s="120"/>
      <c r="CF940" s="120"/>
      <c r="CG940" s="120"/>
      <c r="CH940" s="120"/>
      <c r="CI940" s="120"/>
      <c r="CJ940" s="120"/>
      <c r="CK940" s="120"/>
      <c r="CL940" s="120"/>
      <c r="CM940" s="120"/>
      <c r="CN940" s="120"/>
      <c r="CO940" s="120"/>
    </row>
    <row r="941" spans="1:93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1"/>
      <c r="U941" s="120"/>
      <c r="V941" s="120"/>
      <c r="W941" s="121"/>
      <c r="X941" s="120"/>
      <c r="Y941" s="120"/>
      <c r="Z941" s="120"/>
      <c r="AA941" s="120"/>
      <c r="AB941" s="120"/>
      <c r="AC941" s="120"/>
      <c r="AD941" s="120"/>
      <c r="AE941" s="120"/>
      <c r="AF941" s="120"/>
      <c r="AG941" s="120"/>
      <c r="AH941" s="120"/>
      <c r="AI941" s="120"/>
      <c r="AJ941" s="120"/>
      <c r="AK941" s="120"/>
      <c r="AL941" s="120"/>
      <c r="AM941" s="120"/>
      <c r="AN941" s="120"/>
      <c r="AO941" s="120"/>
      <c r="AP941" s="120"/>
      <c r="AQ941" s="120"/>
      <c r="AR941" s="120"/>
      <c r="AS941" s="120"/>
      <c r="AT941" s="120"/>
      <c r="AU941" s="120"/>
      <c r="AV941" s="120"/>
      <c r="AW941" s="120"/>
      <c r="AX941" s="120"/>
      <c r="AY941" s="120"/>
      <c r="AZ941" s="120"/>
      <c r="BA941" s="120"/>
      <c r="BB941" s="120"/>
      <c r="BC941" s="120"/>
      <c r="BD941" s="120"/>
      <c r="BE941" s="120"/>
      <c r="BF941" s="120"/>
      <c r="BG941" s="120"/>
      <c r="BH941" s="120"/>
      <c r="BI941" s="120"/>
      <c r="BJ941" s="120"/>
      <c r="BK941" s="120"/>
      <c r="BL941" s="120"/>
      <c r="BM941" s="120"/>
      <c r="BN941" s="120"/>
      <c r="BO941" s="120"/>
      <c r="BP941" s="120"/>
      <c r="BQ941" s="120"/>
      <c r="BR941" s="120"/>
      <c r="BS941" s="120"/>
      <c r="BT941" s="120"/>
      <c r="BU941" s="120"/>
      <c r="BV941" s="120"/>
      <c r="BW941" s="120"/>
      <c r="BX941" s="120"/>
      <c r="BY941" s="120"/>
      <c r="BZ941" s="120"/>
      <c r="CA941" s="120"/>
      <c r="CB941" s="120"/>
      <c r="CC941" s="120"/>
      <c r="CD941" s="120"/>
      <c r="CE941" s="120"/>
      <c r="CF941" s="120"/>
      <c r="CG941" s="120"/>
      <c r="CH941" s="120"/>
      <c r="CI941" s="120"/>
      <c r="CJ941" s="120"/>
      <c r="CK941" s="120"/>
      <c r="CL941" s="120"/>
      <c r="CM941" s="120"/>
      <c r="CN941" s="120"/>
      <c r="CO941" s="120"/>
    </row>
    <row r="942" spans="1:93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1"/>
      <c r="U942" s="120"/>
      <c r="V942" s="120"/>
      <c r="W942" s="121"/>
      <c r="X942" s="120"/>
      <c r="Y942" s="120"/>
      <c r="Z942" s="120"/>
      <c r="AA942" s="120"/>
      <c r="AB942" s="120"/>
      <c r="AC942" s="120"/>
      <c r="AD942" s="120"/>
      <c r="AE942" s="120"/>
      <c r="AF942" s="120"/>
      <c r="AG942" s="120"/>
      <c r="AH942" s="120"/>
      <c r="AI942" s="120"/>
      <c r="AJ942" s="120"/>
      <c r="AK942" s="120"/>
      <c r="AL942" s="120"/>
      <c r="AM942" s="120"/>
      <c r="AN942" s="120"/>
      <c r="AO942" s="120"/>
      <c r="AP942" s="120"/>
      <c r="AQ942" s="120"/>
      <c r="AR942" s="120"/>
      <c r="AS942" s="120"/>
      <c r="AT942" s="120"/>
      <c r="AU942" s="120"/>
      <c r="AV942" s="120"/>
      <c r="AW942" s="120"/>
      <c r="AX942" s="120"/>
      <c r="AY942" s="120"/>
      <c r="AZ942" s="120"/>
      <c r="BA942" s="120"/>
      <c r="BB942" s="120"/>
      <c r="BC942" s="120"/>
      <c r="BD942" s="120"/>
      <c r="BE942" s="120"/>
      <c r="BF942" s="120"/>
      <c r="BG942" s="120"/>
      <c r="BH942" s="120"/>
      <c r="BI942" s="120"/>
      <c r="BJ942" s="120"/>
      <c r="BK942" s="120"/>
      <c r="BL942" s="120"/>
      <c r="BM942" s="120"/>
      <c r="BN942" s="120"/>
      <c r="BO942" s="120"/>
      <c r="BP942" s="120"/>
      <c r="BQ942" s="120"/>
      <c r="BR942" s="120"/>
      <c r="BS942" s="120"/>
      <c r="BT942" s="120"/>
      <c r="BU942" s="120"/>
      <c r="BV942" s="120"/>
      <c r="BW942" s="120"/>
      <c r="BX942" s="120"/>
      <c r="BY942" s="120"/>
      <c r="BZ942" s="120"/>
      <c r="CA942" s="120"/>
      <c r="CB942" s="120"/>
      <c r="CC942" s="120"/>
      <c r="CD942" s="120"/>
      <c r="CE942" s="120"/>
      <c r="CF942" s="120"/>
      <c r="CG942" s="120"/>
      <c r="CH942" s="120"/>
      <c r="CI942" s="120"/>
      <c r="CJ942" s="120"/>
      <c r="CK942" s="120"/>
      <c r="CL942" s="120"/>
      <c r="CM942" s="120"/>
      <c r="CN942" s="120"/>
      <c r="CO942" s="120"/>
    </row>
    <row r="943" spans="1:93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1"/>
      <c r="U943" s="120"/>
      <c r="V943" s="120"/>
      <c r="W943" s="121"/>
      <c r="X943" s="120"/>
      <c r="Y943" s="120"/>
      <c r="Z943" s="120"/>
      <c r="AA943" s="120"/>
      <c r="AB943" s="120"/>
      <c r="AC943" s="120"/>
      <c r="AD943" s="120"/>
      <c r="AE943" s="120"/>
      <c r="AF943" s="120"/>
      <c r="AG943" s="120"/>
      <c r="AH943" s="120"/>
      <c r="AI943" s="120"/>
      <c r="AJ943" s="120"/>
      <c r="AK943" s="120"/>
      <c r="AL943" s="120"/>
      <c r="AM943" s="120"/>
      <c r="AN943" s="120"/>
      <c r="AO943" s="120"/>
      <c r="AP943" s="120"/>
      <c r="AQ943" s="120"/>
      <c r="AR943" s="120"/>
      <c r="AS943" s="120"/>
      <c r="AT943" s="120"/>
      <c r="AU943" s="120"/>
      <c r="AV943" s="120"/>
      <c r="AW943" s="120"/>
      <c r="AX943" s="120"/>
      <c r="AY943" s="120"/>
      <c r="AZ943" s="120"/>
      <c r="BA943" s="120"/>
      <c r="BB943" s="120"/>
      <c r="BC943" s="120"/>
      <c r="BD943" s="120"/>
      <c r="BE943" s="120"/>
      <c r="BF943" s="120"/>
      <c r="BG943" s="120"/>
      <c r="BH943" s="120"/>
      <c r="BI943" s="120"/>
      <c r="BJ943" s="120"/>
      <c r="BK943" s="120"/>
      <c r="BL943" s="120"/>
      <c r="BM943" s="120"/>
      <c r="BN943" s="120"/>
      <c r="BO943" s="120"/>
      <c r="BP943" s="120"/>
      <c r="BQ943" s="120"/>
      <c r="BR943" s="120"/>
      <c r="BS943" s="120"/>
      <c r="BT943" s="120"/>
      <c r="BU943" s="120"/>
      <c r="BV943" s="120"/>
      <c r="BW943" s="120"/>
      <c r="BX943" s="120"/>
      <c r="BY943" s="120"/>
      <c r="BZ943" s="120"/>
      <c r="CA943" s="120"/>
      <c r="CB943" s="120"/>
      <c r="CC943" s="120"/>
      <c r="CD943" s="120"/>
      <c r="CE943" s="120"/>
      <c r="CF943" s="120"/>
      <c r="CG943" s="120"/>
      <c r="CH943" s="120"/>
      <c r="CI943" s="120"/>
      <c r="CJ943" s="120"/>
      <c r="CK943" s="120"/>
      <c r="CL943" s="120"/>
      <c r="CM943" s="120"/>
      <c r="CN943" s="120"/>
      <c r="CO943" s="120"/>
    </row>
    <row r="944" spans="1:93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1"/>
      <c r="U944" s="120"/>
      <c r="V944" s="120"/>
      <c r="W944" s="121"/>
      <c r="X944" s="120"/>
      <c r="Y944" s="120"/>
      <c r="Z944" s="120"/>
      <c r="AA944" s="120"/>
      <c r="AB944" s="120"/>
      <c r="AC944" s="120"/>
      <c r="AD944" s="120"/>
      <c r="AE944" s="120"/>
      <c r="AF944" s="120"/>
      <c r="AG944" s="120"/>
      <c r="AH944" s="120"/>
      <c r="AI944" s="120"/>
      <c r="AJ944" s="120"/>
      <c r="AK944" s="120"/>
      <c r="AL944" s="120"/>
      <c r="AM944" s="120"/>
      <c r="AN944" s="120"/>
      <c r="AO944" s="120"/>
      <c r="AP944" s="120"/>
      <c r="AQ944" s="120"/>
      <c r="AR944" s="120"/>
      <c r="AS944" s="120"/>
      <c r="AT944" s="120"/>
      <c r="AU944" s="120"/>
      <c r="AV944" s="120"/>
      <c r="AW944" s="120"/>
      <c r="AX944" s="120"/>
      <c r="AY944" s="120"/>
      <c r="AZ944" s="120"/>
      <c r="BA944" s="120"/>
      <c r="BB944" s="120"/>
      <c r="BC944" s="120"/>
      <c r="BD944" s="120"/>
      <c r="BE944" s="120"/>
      <c r="BF944" s="120"/>
      <c r="BG944" s="120"/>
      <c r="BH944" s="120"/>
      <c r="BI944" s="120"/>
      <c r="BJ944" s="120"/>
      <c r="BK944" s="120"/>
      <c r="BL944" s="120"/>
      <c r="BM944" s="120"/>
      <c r="BN944" s="120"/>
      <c r="BO944" s="120"/>
      <c r="BP944" s="120"/>
      <c r="BQ944" s="120"/>
      <c r="BR944" s="120"/>
      <c r="BS944" s="120"/>
      <c r="BT944" s="120"/>
      <c r="BU944" s="120"/>
      <c r="BV944" s="120"/>
      <c r="BW944" s="120"/>
      <c r="BX944" s="120"/>
      <c r="BY944" s="120"/>
      <c r="BZ944" s="120"/>
      <c r="CA944" s="120"/>
      <c r="CB944" s="120"/>
      <c r="CC944" s="120"/>
      <c r="CD944" s="120"/>
      <c r="CE944" s="120"/>
      <c r="CF944" s="120"/>
      <c r="CG944" s="120"/>
      <c r="CH944" s="120"/>
      <c r="CI944" s="120"/>
      <c r="CJ944" s="120"/>
      <c r="CK944" s="120"/>
      <c r="CL944" s="120"/>
      <c r="CM944" s="120"/>
      <c r="CN944" s="120"/>
      <c r="CO944" s="120"/>
    </row>
    <row r="945" spans="1:93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1"/>
      <c r="U945" s="120"/>
      <c r="V945" s="120"/>
      <c r="W945" s="121"/>
      <c r="X945" s="120"/>
      <c r="Y945" s="120"/>
      <c r="Z945" s="120"/>
      <c r="AA945" s="120"/>
      <c r="AB945" s="120"/>
      <c r="AC945" s="120"/>
      <c r="AD945" s="120"/>
      <c r="AE945" s="120"/>
      <c r="AF945" s="120"/>
      <c r="AG945" s="120"/>
      <c r="AH945" s="120"/>
      <c r="AI945" s="120"/>
      <c r="AJ945" s="120"/>
      <c r="AK945" s="120"/>
      <c r="AL945" s="120"/>
      <c r="AM945" s="120"/>
      <c r="AN945" s="120"/>
      <c r="AO945" s="120"/>
      <c r="AP945" s="120"/>
      <c r="AQ945" s="120"/>
      <c r="AR945" s="120"/>
      <c r="AS945" s="120"/>
      <c r="AT945" s="120"/>
      <c r="AU945" s="120"/>
      <c r="AV945" s="120"/>
      <c r="AW945" s="120"/>
      <c r="AX945" s="120"/>
      <c r="AY945" s="120"/>
      <c r="AZ945" s="120"/>
      <c r="BA945" s="120"/>
      <c r="BB945" s="120"/>
      <c r="BC945" s="120"/>
      <c r="BD945" s="120"/>
      <c r="BE945" s="120"/>
      <c r="BF945" s="120"/>
      <c r="BG945" s="120"/>
      <c r="BH945" s="120"/>
      <c r="BI945" s="120"/>
      <c r="BJ945" s="120"/>
      <c r="BK945" s="120"/>
      <c r="BL945" s="120"/>
      <c r="BM945" s="120"/>
      <c r="BN945" s="120"/>
      <c r="BO945" s="120"/>
      <c r="BP945" s="120"/>
      <c r="BQ945" s="120"/>
      <c r="BR945" s="120"/>
      <c r="BS945" s="120"/>
      <c r="BT945" s="120"/>
      <c r="BU945" s="120"/>
      <c r="BV945" s="120"/>
      <c r="BW945" s="120"/>
      <c r="BX945" s="120"/>
      <c r="BY945" s="120"/>
      <c r="BZ945" s="120"/>
      <c r="CA945" s="120"/>
      <c r="CB945" s="120"/>
      <c r="CC945" s="120"/>
      <c r="CD945" s="120"/>
      <c r="CE945" s="120"/>
      <c r="CF945" s="120"/>
      <c r="CG945" s="120"/>
      <c r="CH945" s="120"/>
      <c r="CI945" s="120"/>
      <c r="CJ945" s="120"/>
      <c r="CK945" s="120"/>
      <c r="CL945" s="120"/>
      <c r="CM945" s="120"/>
      <c r="CN945" s="120"/>
      <c r="CO945" s="120"/>
    </row>
    <row r="946" spans="1:93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1"/>
      <c r="U946" s="120"/>
      <c r="V946" s="120"/>
      <c r="W946" s="121"/>
      <c r="X946" s="120"/>
      <c r="Y946" s="120"/>
      <c r="Z946" s="120"/>
      <c r="AA946" s="120"/>
      <c r="AB946" s="120"/>
      <c r="AC946" s="120"/>
      <c r="AD946" s="120"/>
      <c r="AE946" s="120"/>
      <c r="AF946" s="120"/>
      <c r="AG946" s="120"/>
      <c r="AH946" s="120"/>
      <c r="AI946" s="120"/>
      <c r="AJ946" s="120"/>
      <c r="AK946" s="120"/>
      <c r="AL946" s="120"/>
      <c r="AM946" s="120"/>
      <c r="AN946" s="120"/>
      <c r="AO946" s="120"/>
      <c r="AP946" s="120"/>
      <c r="AQ946" s="120"/>
      <c r="AR946" s="120"/>
      <c r="AS946" s="120"/>
      <c r="AT946" s="120"/>
      <c r="AU946" s="120"/>
      <c r="AV946" s="120"/>
      <c r="AW946" s="120"/>
      <c r="AX946" s="120"/>
      <c r="AY946" s="120"/>
      <c r="AZ946" s="120"/>
      <c r="BA946" s="120"/>
      <c r="BB946" s="120"/>
      <c r="BC946" s="120"/>
      <c r="BD946" s="120"/>
      <c r="BE946" s="120"/>
      <c r="BF946" s="120"/>
      <c r="BG946" s="120"/>
      <c r="BH946" s="120"/>
      <c r="BI946" s="120"/>
      <c r="BJ946" s="120"/>
      <c r="BK946" s="120"/>
      <c r="BL946" s="120"/>
      <c r="BM946" s="120"/>
      <c r="BN946" s="120"/>
      <c r="BO946" s="120"/>
      <c r="BP946" s="120"/>
      <c r="BQ946" s="120"/>
      <c r="BR946" s="120"/>
      <c r="BS946" s="120"/>
      <c r="BT946" s="120"/>
      <c r="BU946" s="120"/>
      <c r="BV946" s="120"/>
      <c r="BW946" s="120"/>
      <c r="BX946" s="120"/>
      <c r="BY946" s="120"/>
      <c r="BZ946" s="120"/>
      <c r="CA946" s="120"/>
      <c r="CB946" s="120"/>
      <c r="CC946" s="120"/>
      <c r="CD946" s="120"/>
      <c r="CE946" s="120"/>
      <c r="CF946" s="120"/>
      <c r="CG946" s="120"/>
      <c r="CH946" s="120"/>
      <c r="CI946" s="120"/>
      <c r="CJ946" s="120"/>
      <c r="CK946" s="120"/>
      <c r="CL946" s="120"/>
      <c r="CM946" s="120"/>
      <c r="CN946" s="120"/>
      <c r="CO946" s="120"/>
    </row>
    <row r="947" spans="1:93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1"/>
      <c r="U947" s="120"/>
      <c r="V947" s="120"/>
      <c r="W947" s="121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  <c r="AJ947" s="120"/>
      <c r="AK947" s="120"/>
      <c r="AL947" s="120"/>
      <c r="AM947" s="120"/>
      <c r="AN947" s="120"/>
      <c r="AO947" s="120"/>
      <c r="AP947" s="120"/>
      <c r="AQ947" s="120"/>
      <c r="AR947" s="120"/>
      <c r="AS947" s="120"/>
      <c r="AT947" s="120"/>
      <c r="AU947" s="120"/>
      <c r="AV947" s="120"/>
      <c r="AW947" s="120"/>
      <c r="AX947" s="120"/>
      <c r="AY947" s="120"/>
      <c r="AZ947" s="120"/>
      <c r="BA947" s="120"/>
      <c r="BB947" s="120"/>
      <c r="BC947" s="120"/>
      <c r="BD947" s="120"/>
      <c r="BE947" s="120"/>
      <c r="BF947" s="120"/>
      <c r="BG947" s="120"/>
      <c r="BH947" s="120"/>
      <c r="BI947" s="120"/>
      <c r="BJ947" s="120"/>
      <c r="BK947" s="120"/>
      <c r="BL947" s="120"/>
      <c r="BM947" s="120"/>
      <c r="BN947" s="120"/>
      <c r="BO947" s="120"/>
      <c r="BP947" s="120"/>
      <c r="BQ947" s="120"/>
      <c r="BR947" s="120"/>
      <c r="BS947" s="120"/>
      <c r="BT947" s="120"/>
      <c r="BU947" s="120"/>
      <c r="BV947" s="120"/>
      <c r="BW947" s="120"/>
      <c r="BX947" s="120"/>
      <c r="BY947" s="120"/>
      <c r="BZ947" s="120"/>
      <c r="CA947" s="120"/>
      <c r="CB947" s="120"/>
      <c r="CC947" s="120"/>
      <c r="CD947" s="120"/>
      <c r="CE947" s="120"/>
      <c r="CF947" s="120"/>
      <c r="CG947" s="120"/>
      <c r="CH947" s="120"/>
      <c r="CI947" s="120"/>
      <c r="CJ947" s="120"/>
      <c r="CK947" s="120"/>
      <c r="CL947" s="120"/>
      <c r="CM947" s="120"/>
      <c r="CN947" s="120"/>
      <c r="CO947" s="120"/>
    </row>
    <row r="948" spans="1:93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1"/>
      <c r="U948" s="120"/>
      <c r="V948" s="120"/>
      <c r="W948" s="121"/>
      <c r="X948" s="120"/>
      <c r="Y948" s="120"/>
      <c r="Z948" s="120"/>
      <c r="AA948" s="120"/>
      <c r="AB948" s="120"/>
      <c r="AC948" s="120"/>
      <c r="AD948" s="120"/>
      <c r="AE948" s="120"/>
      <c r="AF948" s="120"/>
      <c r="AG948" s="120"/>
      <c r="AH948" s="120"/>
      <c r="AI948" s="120"/>
      <c r="AJ948" s="120"/>
      <c r="AK948" s="120"/>
      <c r="AL948" s="120"/>
      <c r="AM948" s="120"/>
      <c r="AN948" s="120"/>
      <c r="AO948" s="120"/>
      <c r="AP948" s="120"/>
      <c r="AQ948" s="120"/>
      <c r="AR948" s="120"/>
      <c r="AS948" s="120"/>
      <c r="AT948" s="120"/>
      <c r="AU948" s="120"/>
      <c r="AV948" s="120"/>
      <c r="AW948" s="120"/>
      <c r="AX948" s="120"/>
      <c r="AY948" s="120"/>
      <c r="AZ948" s="120"/>
      <c r="BA948" s="120"/>
      <c r="BB948" s="120"/>
      <c r="BC948" s="120"/>
      <c r="BD948" s="120"/>
      <c r="BE948" s="120"/>
      <c r="BF948" s="120"/>
      <c r="BG948" s="120"/>
      <c r="BH948" s="120"/>
      <c r="BI948" s="120"/>
      <c r="BJ948" s="120"/>
      <c r="BK948" s="120"/>
      <c r="BL948" s="120"/>
      <c r="BM948" s="120"/>
      <c r="BN948" s="120"/>
      <c r="BO948" s="120"/>
      <c r="BP948" s="120"/>
      <c r="BQ948" s="120"/>
      <c r="BR948" s="120"/>
      <c r="BS948" s="120"/>
      <c r="BT948" s="120"/>
      <c r="BU948" s="120"/>
      <c r="BV948" s="120"/>
      <c r="BW948" s="120"/>
      <c r="BX948" s="120"/>
      <c r="BY948" s="120"/>
      <c r="BZ948" s="120"/>
      <c r="CA948" s="120"/>
      <c r="CB948" s="120"/>
      <c r="CC948" s="120"/>
      <c r="CD948" s="120"/>
      <c r="CE948" s="120"/>
      <c r="CF948" s="120"/>
      <c r="CG948" s="120"/>
      <c r="CH948" s="120"/>
      <c r="CI948" s="120"/>
      <c r="CJ948" s="120"/>
      <c r="CK948" s="120"/>
      <c r="CL948" s="120"/>
      <c r="CM948" s="120"/>
      <c r="CN948" s="120"/>
      <c r="CO948" s="120"/>
    </row>
    <row r="949" spans="1:93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1"/>
      <c r="U949" s="120"/>
      <c r="V949" s="120"/>
      <c r="W949" s="121"/>
      <c r="X949" s="120"/>
      <c r="Y949" s="120"/>
      <c r="Z949" s="120"/>
      <c r="AA949" s="120"/>
      <c r="AB949" s="120"/>
      <c r="AC949" s="120"/>
      <c r="AD949" s="120"/>
      <c r="AE949" s="120"/>
      <c r="AF949" s="120"/>
      <c r="AG949" s="120"/>
      <c r="AH949" s="120"/>
      <c r="AI949" s="120"/>
      <c r="AJ949" s="120"/>
      <c r="AK949" s="120"/>
      <c r="AL949" s="120"/>
      <c r="AM949" s="120"/>
      <c r="AN949" s="120"/>
      <c r="AO949" s="120"/>
      <c r="AP949" s="120"/>
      <c r="AQ949" s="120"/>
      <c r="AR949" s="120"/>
      <c r="AS949" s="120"/>
      <c r="AT949" s="120"/>
      <c r="AU949" s="120"/>
      <c r="AV949" s="120"/>
      <c r="AW949" s="120"/>
      <c r="AX949" s="120"/>
      <c r="AY949" s="120"/>
      <c r="AZ949" s="120"/>
      <c r="BA949" s="120"/>
      <c r="BB949" s="120"/>
      <c r="BC949" s="120"/>
      <c r="BD949" s="120"/>
      <c r="BE949" s="120"/>
      <c r="BF949" s="120"/>
      <c r="BG949" s="120"/>
      <c r="BH949" s="120"/>
      <c r="BI949" s="120"/>
      <c r="BJ949" s="120"/>
      <c r="BK949" s="120"/>
      <c r="BL949" s="120"/>
      <c r="BM949" s="120"/>
      <c r="BN949" s="120"/>
      <c r="BO949" s="120"/>
      <c r="BP949" s="120"/>
      <c r="BQ949" s="120"/>
      <c r="BR949" s="120"/>
      <c r="BS949" s="120"/>
      <c r="BT949" s="120"/>
      <c r="BU949" s="120"/>
      <c r="BV949" s="120"/>
      <c r="BW949" s="120"/>
      <c r="BX949" s="120"/>
      <c r="BY949" s="120"/>
      <c r="BZ949" s="120"/>
      <c r="CA949" s="120"/>
      <c r="CB949" s="120"/>
      <c r="CC949" s="120"/>
      <c r="CD949" s="120"/>
      <c r="CE949" s="120"/>
      <c r="CF949" s="120"/>
      <c r="CG949" s="120"/>
      <c r="CH949" s="120"/>
      <c r="CI949" s="120"/>
      <c r="CJ949" s="120"/>
      <c r="CK949" s="120"/>
      <c r="CL949" s="120"/>
      <c r="CM949" s="120"/>
      <c r="CN949" s="120"/>
      <c r="CO949" s="120"/>
    </row>
    <row r="950" spans="1:93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1"/>
      <c r="U950" s="120"/>
      <c r="V950" s="120"/>
      <c r="W950" s="121"/>
      <c r="X950" s="120"/>
      <c r="Y950" s="120"/>
      <c r="Z950" s="120"/>
      <c r="AA950" s="120"/>
      <c r="AB950" s="120"/>
      <c r="AC950" s="120"/>
      <c r="AD950" s="120"/>
      <c r="AE950" s="120"/>
      <c r="AF950" s="120"/>
      <c r="AG950" s="120"/>
      <c r="AH950" s="120"/>
      <c r="AI950" s="120"/>
      <c r="AJ950" s="120"/>
      <c r="AK950" s="120"/>
      <c r="AL950" s="120"/>
      <c r="AM950" s="120"/>
      <c r="AN950" s="120"/>
      <c r="AO950" s="120"/>
      <c r="AP950" s="120"/>
      <c r="AQ950" s="120"/>
      <c r="AR950" s="120"/>
      <c r="AS950" s="120"/>
      <c r="AT950" s="120"/>
      <c r="AU950" s="120"/>
      <c r="AV950" s="120"/>
      <c r="AW950" s="120"/>
      <c r="AX950" s="120"/>
      <c r="AY950" s="120"/>
      <c r="AZ950" s="120"/>
      <c r="BA950" s="120"/>
      <c r="BB950" s="120"/>
      <c r="BC950" s="120"/>
      <c r="BD950" s="120"/>
      <c r="BE950" s="120"/>
      <c r="BF950" s="120"/>
      <c r="BG950" s="120"/>
      <c r="BH950" s="120"/>
      <c r="BI950" s="120"/>
      <c r="BJ950" s="120"/>
      <c r="BK950" s="120"/>
      <c r="BL950" s="120"/>
      <c r="BM950" s="120"/>
      <c r="BN950" s="120"/>
      <c r="BO950" s="120"/>
      <c r="BP950" s="120"/>
      <c r="BQ950" s="120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0"/>
      <c r="CB950" s="120"/>
      <c r="CC950" s="120"/>
      <c r="CD950" s="120"/>
      <c r="CE950" s="120"/>
      <c r="CF950" s="120"/>
      <c r="CG950" s="120"/>
      <c r="CH950" s="120"/>
      <c r="CI950" s="120"/>
      <c r="CJ950" s="120"/>
      <c r="CK950" s="120"/>
      <c r="CL950" s="120"/>
      <c r="CM950" s="120"/>
      <c r="CN950" s="120"/>
      <c r="CO950" s="120"/>
    </row>
    <row r="951" spans="1:93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1"/>
      <c r="U951" s="120"/>
      <c r="V951" s="120"/>
      <c r="W951" s="121"/>
      <c r="X951" s="120"/>
      <c r="Y951" s="120"/>
      <c r="Z951" s="120"/>
      <c r="AA951" s="120"/>
      <c r="AB951" s="120"/>
      <c r="AC951" s="120"/>
      <c r="AD951" s="120"/>
      <c r="AE951" s="120"/>
      <c r="AF951" s="120"/>
      <c r="AG951" s="120"/>
      <c r="AH951" s="120"/>
      <c r="AI951" s="120"/>
      <c r="AJ951" s="120"/>
      <c r="AK951" s="120"/>
      <c r="AL951" s="120"/>
      <c r="AM951" s="120"/>
      <c r="AN951" s="120"/>
      <c r="AO951" s="120"/>
      <c r="AP951" s="120"/>
      <c r="AQ951" s="120"/>
      <c r="AR951" s="120"/>
      <c r="AS951" s="120"/>
      <c r="AT951" s="120"/>
      <c r="AU951" s="120"/>
      <c r="AV951" s="120"/>
      <c r="AW951" s="120"/>
      <c r="AX951" s="120"/>
      <c r="AY951" s="120"/>
      <c r="AZ951" s="120"/>
      <c r="BA951" s="120"/>
      <c r="BB951" s="120"/>
      <c r="BC951" s="120"/>
      <c r="BD951" s="120"/>
      <c r="BE951" s="120"/>
      <c r="BF951" s="120"/>
      <c r="BG951" s="120"/>
      <c r="BH951" s="120"/>
      <c r="BI951" s="120"/>
      <c r="BJ951" s="120"/>
      <c r="BK951" s="120"/>
      <c r="BL951" s="120"/>
      <c r="BM951" s="120"/>
      <c r="BN951" s="120"/>
      <c r="BO951" s="120"/>
      <c r="BP951" s="120"/>
      <c r="BQ951" s="120"/>
      <c r="BR951" s="120"/>
      <c r="BS951" s="120"/>
      <c r="BT951" s="120"/>
      <c r="BU951" s="120"/>
      <c r="BV951" s="120"/>
      <c r="BW951" s="120"/>
      <c r="BX951" s="120"/>
      <c r="BY951" s="120"/>
      <c r="BZ951" s="120"/>
      <c r="CA951" s="120"/>
      <c r="CB951" s="120"/>
      <c r="CC951" s="120"/>
      <c r="CD951" s="120"/>
      <c r="CE951" s="120"/>
      <c r="CF951" s="120"/>
      <c r="CG951" s="120"/>
      <c r="CH951" s="120"/>
      <c r="CI951" s="120"/>
      <c r="CJ951" s="120"/>
      <c r="CK951" s="120"/>
      <c r="CL951" s="120"/>
      <c r="CM951" s="120"/>
      <c r="CN951" s="120"/>
      <c r="CO951" s="120"/>
    </row>
    <row r="952" spans="1:93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1"/>
      <c r="U952" s="120"/>
      <c r="V952" s="120"/>
      <c r="W952" s="121"/>
      <c r="X952" s="120"/>
      <c r="Y952" s="120"/>
      <c r="Z952" s="120"/>
      <c r="AA952" s="120"/>
      <c r="AB952" s="120"/>
      <c r="AC952" s="120"/>
      <c r="AD952" s="120"/>
      <c r="AE952" s="120"/>
      <c r="AF952" s="120"/>
      <c r="AG952" s="120"/>
      <c r="AH952" s="120"/>
      <c r="AI952" s="120"/>
      <c r="AJ952" s="120"/>
      <c r="AK952" s="120"/>
      <c r="AL952" s="120"/>
      <c r="AM952" s="120"/>
      <c r="AN952" s="120"/>
      <c r="AO952" s="120"/>
      <c r="AP952" s="120"/>
      <c r="AQ952" s="120"/>
      <c r="AR952" s="120"/>
      <c r="AS952" s="120"/>
      <c r="AT952" s="120"/>
      <c r="AU952" s="120"/>
      <c r="AV952" s="120"/>
      <c r="AW952" s="120"/>
      <c r="AX952" s="120"/>
      <c r="AY952" s="120"/>
      <c r="AZ952" s="120"/>
      <c r="BA952" s="120"/>
      <c r="BB952" s="120"/>
      <c r="BC952" s="120"/>
      <c r="BD952" s="120"/>
      <c r="BE952" s="120"/>
      <c r="BF952" s="120"/>
      <c r="BG952" s="120"/>
      <c r="BH952" s="120"/>
      <c r="BI952" s="120"/>
      <c r="BJ952" s="120"/>
      <c r="BK952" s="120"/>
      <c r="BL952" s="120"/>
      <c r="BM952" s="120"/>
      <c r="BN952" s="120"/>
      <c r="BO952" s="120"/>
      <c r="BP952" s="120"/>
      <c r="BQ952" s="120"/>
      <c r="BR952" s="120"/>
      <c r="BS952" s="120"/>
      <c r="BT952" s="120"/>
      <c r="BU952" s="120"/>
      <c r="BV952" s="120"/>
      <c r="BW952" s="120"/>
      <c r="BX952" s="120"/>
      <c r="BY952" s="120"/>
      <c r="BZ952" s="120"/>
      <c r="CA952" s="120"/>
      <c r="CB952" s="120"/>
      <c r="CC952" s="120"/>
      <c r="CD952" s="120"/>
      <c r="CE952" s="120"/>
      <c r="CF952" s="120"/>
      <c r="CG952" s="120"/>
      <c r="CH952" s="120"/>
      <c r="CI952" s="120"/>
      <c r="CJ952" s="120"/>
      <c r="CK952" s="120"/>
      <c r="CL952" s="120"/>
      <c r="CM952" s="120"/>
      <c r="CN952" s="120"/>
      <c r="CO952" s="120"/>
    </row>
    <row r="953" spans="1:93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1"/>
      <c r="U953" s="120"/>
      <c r="V953" s="120"/>
      <c r="W953" s="121"/>
      <c r="X953" s="120"/>
      <c r="Y953" s="120"/>
      <c r="Z953" s="120"/>
      <c r="AA953" s="120"/>
      <c r="AB953" s="120"/>
      <c r="AC953" s="120"/>
      <c r="AD953" s="120"/>
      <c r="AE953" s="120"/>
      <c r="AF953" s="120"/>
      <c r="AG953" s="120"/>
      <c r="AH953" s="120"/>
      <c r="AI953" s="120"/>
      <c r="AJ953" s="120"/>
      <c r="AK953" s="120"/>
      <c r="AL953" s="120"/>
      <c r="AM953" s="120"/>
      <c r="AN953" s="120"/>
      <c r="AO953" s="120"/>
      <c r="AP953" s="120"/>
      <c r="AQ953" s="120"/>
      <c r="AR953" s="120"/>
      <c r="AS953" s="120"/>
      <c r="AT953" s="120"/>
      <c r="AU953" s="120"/>
      <c r="AV953" s="120"/>
      <c r="AW953" s="120"/>
      <c r="AX953" s="120"/>
      <c r="AY953" s="120"/>
      <c r="AZ953" s="120"/>
      <c r="BA953" s="120"/>
      <c r="BB953" s="120"/>
      <c r="BC953" s="120"/>
      <c r="BD953" s="120"/>
      <c r="BE953" s="120"/>
      <c r="BF953" s="120"/>
      <c r="BG953" s="120"/>
      <c r="BH953" s="120"/>
      <c r="BI953" s="120"/>
      <c r="BJ953" s="120"/>
      <c r="BK953" s="120"/>
      <c r="BL953" s="120"/>
      <c r="BM953" s="120"/>
      <c r="BN953" s="120"/>
      <c r="BO953" s="120"/>
      <c r="BP953" s="120"/>
      <c r="BQ953" s="120"/>
      <c r="BR953" s="120"/>
      <c r="BS953" s="120"/>
      <c r="BT953" s="120"/>
      <c r="BU953" s="120"/>
      <c r="BV953" s="120"/>
      <c r="BW953" s="120"/>
      <c r="BX953" s="120"/>
      <c r="BY953" s="120"/>
      <c r="BZ953" s="120"/>
      <c r="CA953" s="120"/>
      <c r="CB953" s="120"/>
      <c r="CC953" s="120"/>
      <c r="CD953" s="120"/>
      <c r="CE953" s="120"/>
      <c r="CF953" s="120"/>
      <c r="CG953" s="120"/>
      <c r="CH953" s="120"/>
      <c r="CI953" s="120"/>
      <c r="CJ953" s="120"/>
      <c r="CK953" s="120"/>
      <c r="CL953" s="120"/>
      <c r="CM953" s="120"/>
      <c r="CN953" s="120"/>
      <c r="CO953" s="120"/>
    </row>
    <row r="954" spans="1:93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1"/>
      <c r="U954" s="120"/>
      <c r="V954" s="120"/>
      <c r="W954" s="121"/>
      <c r="X954" s="120"/>
      <c r="Y954" s="120"/>
      <c r="Z954" s="120"/>
      <c r="AA954" s="120"/>
      <c r="AB954" s="120"/>
      <c r="AC954" s="120"/>
      <c r="AD954" s="120"/>
      <c r="AE954" s="120"/>
      <c r="AF954" s="120"/>
      <c r="AG954" s="120"/>
      <c r="AH954" s="120"/>
      <c r="AI954" s="120"/>
      <c r="AJ954" s="120"/>
      <c r="AK954" s="120"/>
      <c r="AL954" s="120"/>
      <c r="AM954" s="120"/>
      <c r="AN954" s="120"/>
      <c r="AO954" s="120"/>
      <c r="AP954" s="120"/>
      <c r="AQ954" s="120"/>
      <c r="AR954" s="120"/>
      <c r="AS954" s="120"/>
      <c r="AT954" s="120"/>
      <c r="AU954" s="120"/>
      <c r="AV954" s="120"/>
      <c r="AW954" s="120"/>
      <c r="AX954" s="120"/>
      <c r="AY954" s="120"/>
      <c r="AZ954" s="120"/>
      <c r="BA954" s="120"/>
      <c r="BB954" s="120"/>
      <c r="BC954" s="120"/>
      <c r="BD954" s="120"/>
      <c r="BE954" s="120"/>
      <c r="BF954" s="120"/>
      <c r="BG954" s="120"/>
      <c r="BH954" s="120"/>
      <c r="BI954" s="120"/>
      <c r="BJ954" s="120"/>
      <c r="BK954" s="120"/>
      <c r="BL954" s="120"/>
      <c r="BM954" s="120"/>
      <c r="BN954" s="120"/>
      <c r="BO954" s="120"/>
      <c r="BP954" s="120"/>
      <c r="BQ954" s="120"/>
      <c r="BR954" s="120"/>
      <c r="BS954" s="120"/>
      <c r="BT954" s="120"/>
      <c r="BU954" s="120"/>
      <c r="BV954" s="120"/>
      <c r="BW954" s="120"/>
      <c r="BX954" s="120"/>
      <c r="BY954" s="120"/>
      <c r="BZ954" s="120"/>
      <c r="CA954" s="120"/>
      <c r="CB954" s="120"/>
      <c r="CC954" s="120"/>
      <c r="CD954" s="120"/>
      <c r="CE954" s="120"/>
      <c r="CF954" s="120"/>
      <c r="CG954" s="120"/>
      <c r="CH954" s="120"/>
      <c r="CI954" s="120"/>
      <c r="CJ954" s="120"/>
      <c r="CK954" s="120"/>
      <c r="CL954" s="120"/>
      <c r="CM954" s="120"/>
      <c r="CN954" s="120"/>
      <c r="CO954" s="120"/>
    </row>
    <row r="955" spans="1:93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1"/>
      <c r="U955" s="120"/>
      <c r="V955" s="120"/>
      <c r="W955" s="121"/>
      <c r="X955" s="120"/>
      <c r="Y955" s="120"/>
      <c r="Z955" s="120"/>
      <c r="AA955" s="120"/>
      <c r="AB955" s="120"/>
      <c r="AC955" s="120"/>
      <c r="AD955" s="120"/>
      <c r="AE955" s="120"/>
      <c r="AF955" s="120"/>
      <c r="AG955" s="120"/>
      <c r="AH955" s="120"/>
      <c r="AI955" s="120"/>
      <c r="AJ955" s="120"/>
      <c r="AK955" s="120"/>
      <c r="AL955" s="120"/>
      <c r="AM955" s="120"/>
      <c r="AN955" s="120"/>
      <c r="AO955" s="120"/>
      <c r="AP955" s="120"/>
      <c r="AQ955" s="120"/>
      <c r="AR955" s="120"/>
      <c r="AS955" s="120"/>
      <c r="AT955" s="120"/>
      <c r="AU955" s="120"/>
      <c r="AV955" s="120"/>
      <c r="AW955" s="120"/>
      <c r="AX955" s="120"/>
      <c r="AY955" s="120"/>
      <c r="AZ955" s="120"/>
      <c r="BA955" s="120"/>
      <c r="BB955" s="120"/>
      <c r="BC955" s="120"/>
      <c r="BD955" s="120"/>
      <c r="BE955" s="120"/>
      <c r="BF955" s="120"/>
      <c r="BG955" s="120"/>
      <c r="BH955" s="120"/>
      <c r="BI955" s="120"/>
      <c r="BJ955" s="120"/>
      <c r="BK955" s="120"/>
      <c r="BL955" s="120"/>
      <c r="BM955" s="120"/>
      <c r="BN955" s="120"/>
      <c r="BO955" s="120"/>
      <c r="BP955" s="120"/>
      <c r="BQ955" s="120"/>
      <c r="BR955" s="120"/>
      <c r="BS955" s="120"/>
      <c r="BT955" s="120"/>
      <c r="BU955" s="120"/>
      <c r="BV955" s="120"/>
      <c r="BW955" s="120"/>
      <c r="BX955" s="120"/>
      <c r="BY955" s="120"/>
      <c r="BZ955" s="120"/>
      <c r="CA955" s="120"/>
      <c r="CB955" s="120"/>
      <c r="CC955" s="120"/>
      <c r="CD955" s="120"/>
      <c r="CE955" s="120"/>
      <c r="CF955" s="120"/>
      <c r="CG955" s="120"/>
      <c r="CH955" s="120"/>
      <c r="CI955" s="120"/>
      <c r="CJ955" s="120"/>
      <c r="CK955" s="120"/>
      <c r="CL955" s="120"/>
      <c r="CM955" s="120"/>
      <c r="CN955" s="120"/>
      <c r="CO955" s="120"/>
    </row>
    <row r="956" spans="1:93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1"/>
      <c r="U956" s="120"/>
      <c r="V956" s="120"/>
      <c r="W956" s="121"/>
      <c r="X956" s="120"/>
      <c r="Y956" s="120"/>
      <c r="Z956" s="120"/>
      <c r="AA956" s="120"/>
      <c r="AB956" s="120"/>
      <c r="AC956" s="120"/>
      <c r="AD956" s="120"/>
      <c r="AE956" s="120"/>
      <c r="AF956" s="120"/>
      <c r="AG956" s="120"/>
      <c r="AH956" s="120"/>
      <c r="AI956" s="120"/>
      <c r="AJ956" s="120"/>
      <c r="AK956" s="120"/>
      <c r="AL956" s="120"/>
      <c r="AM956" s="120"/>
      <c r="AN956" s="120"/>
      <c r="AO956" s="120"/>
      <c r="AP956" s="120"/>
      <c r="AQ956" s="120"/>
      <c r="AR956" s="120"/>
      <c r="AS956" s="120"/>
      <c r="AT956" s="120"/>
      <c r="AU956" s="120"/>
      <c r="AV956" s="120"/>
      <c r="AW956" s="120"/>
      <c r="AX956" s="120"/>
      <c r="AY956" s="120"/>
      <c r="AZ956" s="120"/>
      <c r="BA956" s="120"/>
      <c r="BB956" s="120"/>
      <c r="BC956" s="120"/>
      <c r="BD956" s="120"/>
      <c r="BE956" s="120"/>
      <c r="BF956" s="120"/>
      <c r="BG956" s="120"/>
      <c r="BH956" s="120"/>
      <c r="BI956" s="120"/>
      <c r="BJ956" s="120"/>
      <c r="BK956" s="120"/>
      <c r="BL956" s="120"/>
      <c r="BM956" s="120"/>
      <c r="BN956" s="120"/>
      <c r="BO956" s="120"/>
      <c r="BP956" s="120"/>
      <c r="BQ956" s="120"/>
      <c r="BR956" s="120"/>
      <c r="BS956" s="120"/>
      <c r="BT956" s="120"/>
      <c r="BU956" s="120"/>
      <c r="BV956" s="120"/>
      <c r="BW956" s="120"/>
      <c r="BX956" s="120"/>
      <c r="BY956" s="120"/>
      <c r="BZ956" s="120"/>
      <c r="CA956" s="120"/>
      <c r="CB956" s="120"/>
      <c r="CC956" s="120"/>
      <c r="CD956" s="120"/>
      <c r="CE956" s="120"/>
      <c r="CF956" s="120"/>
      <c r="CG956" s="120"/>
      <c r="CH956" s="120"/>
      <c r="CI956" s="120"/>
      <c r="CJ956" s="120"/>
      <c r="CK956" s="120"/>
      <c r="CL956" s="120"/>
      <c r="CM956" s="120"/>
      <c r="CN956" s="120"/>
      <c r="CO956" s="120"/>
    </row>
    <row r="957" spans="1:93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1"/>
      <c r="U957" s="120"/>
      <c r="V957" s="120"/>
      <c r="W957" s="121"/>
      <c r="X957" s="120"/>
      <c r="Y957" s="120"/>
      <c r="Z957" s="120"/>
      <c r="AA957" s="120"/>
      <c r="AB957" s="120"/>
      <c r="AC957" s="120"/>
      <c r="AD957" s="120"/>
      <c r="AE957" s="120"/>
      <c r="AF957" s="120"/>
      <c r="AG957" s="120"/>
      <c r="AH957" s="120"/>
      <c r="AI957" s="120"/>
      <c r="AJ957" s="120"/>
      <c r="AK957" s="120"/>
      <c r="AL957" s="120"/>
      <c r="AM957" s="120"/>
      <c r="AN957" s="120"/>
      <c r="AO957" s="120"/>
      <c r="AP957" s="120"/>
      <c r="AQ957" s="120"/>
      <c r="AR957" s="120"/>
      <c r="AS957" s="120"/>
      <c r="AT957" s="120"/>
      <c r="AU957" s="120"/>
      <c r="AV957" s="120"/>
      <c r="AW957" s="120"/>
      <c r="AX957" s="120"/>
      <c r="AY957" s="120"/>
      <c r="AZ957" s="120"/>
      <c r="BA957" s="120"/>
      <c r="BB957" s="120"/>
      <c r="BC957" s="120"/>
      <c r="BD957" s="120"/>
      <c r="BE957" s="120"/>
      <c r="BF957" s="120"/>
      <c r="BG957" s="120"/>
      <c r="BH957" s="120"/>
      <c r="BI957" s="120"/>
      <c r="BJ957" s="120"/>
      <c r="BK957" s="120"/>
      <c r="BL957" s="120"/>
      <c r="BM957" s="120"/>
      <c r="BN957" s="120"/>
      <c r="BO957" s="120"/>
      <c r="BP957" s="120"/>
      <c r="BQ957" s="120"/>
      <c r="BR957" s="120"/>
      <c r="BS957" s="120"/>
      <c r="BT957" s="120"/>
      <c r="BU957" s="120"/>
      <c r="BV957" s="120"/>
      <c r="BW957" s="120"/>
      <c r="BX957" s="120"/>
      <c r="BY957" s="120"/>
      <c r="BZ957" s="120"/>
      <c r="CA957" s="120"/>
      <c r="CB957" s="120"/>
      <c r="CC957" s="120"/>
      <c r="CD957" s="120"/>
      <c r="CE957" s="120"/>
      <c r="CF957" s="120"/>
      <c r="CG957" s="120"/>
      <c r="CH957" s="120"/>
      <c r="CI957" s="120"/>
      <c r="CJ957" s="120"/>
      <c r="CK957" s="120"/>
      <c r="CL957" s="120"/>
      <c r="CM957" s="120"/>
      <c r="CN957" s="120"/>
      <c r="CO957" s="120"/>
    </row>
    <row r="958" spans="1:93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1"/>
      <c r="U958" s="120"/>
      <c r="V958" s="120"/>
      <c r="W958" s="121"/>
      <c r="X958" s="120"/>
      <c r="Y958" s="120"/>
      <c r="Z958" s="120"/>
      <c r="AA958" s="120"/>
      <c r="AB958" s="120"/>
      <c r="AC958" s="120"/>
      <c r="AD958" s="120"/>
      <c r="AE958" s="120"/>
      <c r="AF958" s="120"/>
      <c r="AG958" s="120"/>
      <c r="AH958" s="120"/>
      <c r="AI958" s="120"/>
      <c r="AJ958" s="120"/>
      <c r="AK958" s="120"/>
      <c r="AL958" s="120"/>
      <c r="AM958" s="120"/>
      <c r="AN958" s="120"/>
      <c r="AO958" s="120"/>
      <c r="AP958" s="120"/>
      <c r="AQ958" s="120"/>
      <c r="AR958" s="120"/>
      <c r="AS958" s="120"/>
      <c r="AT958" s="120"/>
      <c r="AU958" s="120"/>
      <c r="AV958" s="120"/>
      <c r="AW958" s="120"/>
      <c r="AX958" s="120"/>
      <c r="AY958" s="120"/>
      <c r="AZ958" s="120"/>
      <c r="BA958" s="120"/>
      <c r="BB958" s="120"/>
      <c r="BC958" s="120"/>
      <c r="BD958" s="120"/>
      <c r="BE958" s="120"/>
      <c r="BF958" s="120"/>
      <c r="BG958" s="120"/>
      <c r="BH958" s="120"/>
      <c r="BI958" s="120"/>
      <c r="BJ958" s="120"/>
      <c r="BK958" s="120"/>
      <c r="BL958" s="120"/>
      <c r="BM958" s="120"/>
      <c r="BN958" s="120"/>
      <c r="BO958" s="120"/>
      <c r="BP958" s="120"/>
      <c r="BQ958" s="120"/>
      <c r="BR958" s="120"/>
      <c r="BS958" s="120"/>
      <c r="BT958" s="120"/>
      <c r="BU958" s="120"/>
      <c r="BV958" s="120"/>
      <c r="BW958" s="120"/>
      <c r="BX958" s="120"/>
      <c r="BY958" s="120"/>
      <c r="BZ958" s="120"/>
      <c r="CA958" s="120"/>
      <c r="CB958" s="120"/>
      <c r="CC958" s="120"/>
      <c r="CD958" s="120"/>
      <c r="CE958" s="120"/>
      <c r="CF958" s="120"/>
      <c r="CG958" s="120"/>
      <c r="CH958" s="120"/>
      <c r="CI958" s="120"/>
      <c r="CJ958" s="120"/>
      <c r="CK958" s="120"/>
      <c r="CL958" s="120"/>
      <c r="CM958" s="120"/>
      <c r="CN958" s="120"/>
      <c r="CO958" s="120"/>
    </row>
    <row r="959" spans="1:93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1"/>
      <c r="U959" s="120"/>
      <c r="V959" s="120"/>
      <c r="W959" s="121"/>
      <c r="X959" s="120"/>
      <c r="Y959" s="120"/>
      <c r="Z959" s="120"/>
      <c r="AA959" s="120"/>
      <c r="AB959" s="120"/>
      <c r="AC959" s="120"/>
      <c r="AD959" s="120"/>
      <c r="AE959" s="120"/>
      <c r="AF959" s="120"/>
      <c r="AG959" s="120"/>
      <c r="AH959" s="120"/>
      <c r="AI959" s="120"/>
      <c r="AJ959" s="120"/>
      <c r="AK959" s="120"/>
      <c r="AL959" s="120"/>
      <c r="AM959" s="120"/>
      <c r="AN959" s="120"/>
      <c r="AO959" s="120"/>
      <c r="AP959" s="120"/>
      <c r="AQ959" s="120"/>
      <c r="AR959" s="120"/>
      <c r="AS959" s="120"/>
      <c r="AT959" s="120"/>
      <c r="AU959" s="120"/>
      <c r="AV959" s="120"/>
      <c r="AW959" s="120"/>
      <c r="AX959" s="120"/>
      <c r="AY959" s="120"/>
      <c r="AZ959" s="120"/>
      <c r="BA959" s="120"/>
      <c r="BB959" s="120"/>
      <c r="BC959" s="120"/>
      <c r="BD959" s="120"/>
      <c r="BE959" s="120"/>
      <c r="BF959" s="120"/>
      <c r="BG959" s="120"/>
      <c r="BH959" s="120"/>
      <c r="BI959" s="120"/>
      <c r="BJ959" s="120"/>
      <c r="BK959" s="120"/>
      <c r="BL959" s="120"/>
      <c r="BM959" s="120"/>
      <c r="BN959" s="120"/>
      <c r="BO959" s="120"/>
      <c r="BP959" s="120"/>
      <c r="BQ959" s="120"/>
      <c r="BR959" s="120"/>
      <c r="BS959" s="120"/>
      <c r="BT959" s="120"/>
      <c r="BU959" s="120"/>
      <c r="BV959" s="120"/>
      <c r="BW959" s="120"/>
      <c r="BX959" s="120"/>
      <c r="BY959" s="120"/>
      <c r="BZ959" s="120"/>
      <c r="CA959" s="120"/>
      <c r="CB959" s="120"/>
      <c r="CC959" s="120"/>
      <c r="CD959" s="120"/>
      <c r="CE959" s="120"/>
      <c r="CF959" s="120"/>
      <c r="CG959" s="120"/>
      <c r="CH959" s="120"/>
      <c r="CI959" s="120"/>
      <c r="CJ959" s="120"/>
      <c r="CK959" s="120"/>
      <c r="CL959" s="120"/>
      <c r="CM959" s="120"/>
      <c r="CN959" s="120"/>
      <c r="CO959" s="120"/>
    </row>
    <row r="960" spans="1:93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1"/>
      <c r="U960" s="120"/>
      <c r="V960" s="120"/>
      <c r="W960" s="121"/>
      <c r="X960" s="120"/>
      <c r="Y960" s="120"/>
      <c r="Z960" s="120"/>
      <c r="AA960" s="120"/>
      <c r="AB960" s="120"/>
      <c r="AC960" s="120"/>
      <c r="AD960" s="120"/>
      <c r="AE960" s="120"/>
      <c r="AF960" s="120"/>
      <c r="AG960" s="120"/>
      <c r="AH960" s="120"/>
      <c r="AI960" s="120"/>
      <c r="AJ960" s="120"/>
      <c r="AK960" s="120"/>
      <c r="AL960" s="120"/>
      <c r="AM960" s="120"/>
      <c r="AN960" s="120"/>
      <c r="AO960" s="120"/>
      <c r="AP960" s="120"/>
      <c r="AQ960" s="120"/>
      <c r="AR960" s="120"/>
      <c r="AS960" s="120"/>
      <c r="AT960" s="120"/>
      <c r="AU960" s="120"/>
      <c r="AV960" s="120"/>
      <c r="AW960" s="120"/>
      <c r="AX960" s="120"/>
      <c r="AY960" s="120"/>
      <c r="AZ960" s="120"/>
      <c r="BA960" s="120"/>
      <c r="BB960" s="120"/>
      <c r="BC960" s="120"/>
      <c r="BD960" s="120"/>
      <c r="BE960" s="120"/>
      <c r="BF960" s="120"/>
      <c r="BG960" s="120"/>
      <c r="BH960" s="120"/>
      <c r="BI960" s="120"/>
      <c r="BJ960" s="120"/>
      <c r="BK960" s="120"/>
      <c r="BL960" s="120"/>
      <c r="BM960" s="120"/>
      <c r="BN960" s="120"/>
      <c r="BO960" s="120"/>
      <c r="BP960" s="120"/>
      <c r="BQ960" s="120"/>
      <c r="BR960" s="120"/>
      <c r="BS960" s="120"/>
      <c r="BT960" s="120"/>
      <c r="BU960" s="120"/>
      <c r="BV960" s="120"/>
      <c r="BW960" s="120"/>
      <c r="BX960" s="120"/>
      <c r="BY960" s="120"/>
      <c r="BZ960" s="120"/>
      <c r="CA960" s="120"/>
      <c r="CB960" s="120"/>
      <c r="CC960" s="120"/>
      <c r="CD960" s="120"/>
      <c r="CE960" s="120"/>
      <c r="CF960" s="120"/>
      <c r="CG960" s="120"/>
      <c r="CH960" s="120"/>
      <c r="CI960" s="120"/>
      <c r="CJ960" s="120"/>
      <c r="CK960" s="120"/>
      <c r="CL960" s="120"/>
      <c r="CM960" s="120"/>
      <c r="CN960" s="120"/>
      <c r="CO960" s="120"/>
    </row>
    <row r="961" spans="1:93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1"/>
      <c r="U961" s="120"/>
      <c r="V961" s="120"/>
      <c r="W961" s="121"/>
      <c r="X961" s="120"/>
      <c r="Y961" s="120"/>
      <c r="Z961" s="120"/>
      <c r="AA961" s="120"/>
      <c r="AB961" s="120"/>
      <c r="AC961" s="120"/>
      <c r="AD961" s="120"/>
      <c r="AE961" s="120"/>
      <c r="AF961" s="120"/>
      <c r="AG961" s="120"/>
      <c r="AH961" s="120"/>
      <c r="AI961" s="120"/>
      <c r="AJ961" s="120"/>
      <c r="AK961" s="120"/>
      <c r="AL961" s="120"/>
      <c r="AM961" s="120"/>
      <c r="AN961" s="120"/>
      <c r="AO961" s="120"/>
      <c r="AP961" s="120"/>
      <c r="AQ961" s="120"/>
      <c r="AR961" s="120"/>
      <c r="AS961" s="120"/>
      <c r="AT961" s="120"/>
      <c r="AU961" s="120"/>
      <c r="AV961" s="120"/>
      <c r="AW961" s="120"/>
      <c r="AX961" s="120"/>
      <c r="AY961" s="120"/>
      <c r="AZ961" s="120"/>
      <c r="BA961" s="120"/>
      <c r="BB961" s="120"/>
      <c r="BC961" s="120"/>
      <c r="BD961" s="120"/>
      <c r="BE961" s="120"/>
      <c r="BF961" s="120"/>
      <c r="BG961" s="120"/>
      <c r="BH961" s="120"/>
      <c r="BI961" s="120"/>
      <c r="BJ961" s="120"/>
      <c r="BK961" s="120"/>
      <c r="BL961" s="120"/>
      <c r="BM961" s="120"/>
      <c r="BN961" s="120"/>
      <c r="BO961" s="120"/>
      <c r="BP961" s="120"/>
      <c r="BQ961" s="120"/>
      <c r="BR961" s="120"/>
      <c r="BS961" s="120"/>
      <c r="BT961" s="120"/>
      <c r="BU961" s="120"/>
      <c r="BV961" s="120"/>
      <c r="BW961" s="120"/>
      <c r="BX961" s="120"/>
      <c r="BY961" s="120"/>
      <c r="BZ961" s="120"/>
      <c r="CA961" s="120"/>
      <c r="CB961" s="120"/>
      <c r="CC961" s="120"/>
      <c r="CD961" s="120"/>
      <c r="CE961" s="120"/>
      <c r="CF961" s="120"/>
      <c r="CG961" s="120"/>
      <c r="CH961" s="120"/>
      <c r="CI961" s="120"/>
      <c r="CJ961" s="120"/>
      <c r="CK961" s="120"/>
      <c r="CL961" s="120"/>
      <c r="CM961" s="120"/>
      <c r="CN961" s="120"/>
      <c r="CO961" s="120"/>
    </row>
    <row r="962" spans="1:93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1"/>
      <c r="U962" s="120"/>
      <c r="V962" s="120"/>
      <c r="W962" s="121"/>
      <c r="X962" s="120"/>
      <c r="Y962" s="120"/>
      <c r="Z962" s="120"/>
      <c r="AA962" s="120"/>
      <c r="AB962" s="120"/>
      <c r="AC962" s="120"/>
      <c r="AD962" s="120"/>
      <c r="AE962" s="120"/>
      <c r="AF962" s="120"/>
      <c r="AG962" s="120"/>
      <c r="AH962" s="120"/>
      <c r="AI962" s="120"/>
      <c r="AJ962" s="120"/>
      <c r="AK962" s="120"/>
      <c r="AL962" s="120"/>
      <c r="AM962" s="120"/>
      <c r="AN962" s="120"/>
      <c r="AO962" s="120"/>
      <c r="AP962" s="120"/>
      <c r="AQ962" s="120"/>
      <c r="AR962" s="120"/>
      <c r="AS962" s="120"/>
      <c r="AT962" s="120"/>
      <c r="AU962" s="120"/>
      <c r="AV962" s="120"/>
      <c r="AW962" s="120"/>
      <c r="AX962" s="120"/>
      <c r="AY962" s="120"/>
      <c r="AZ962" s="120"/>
      <c r="BA962" s="120"/>
      <c r="BB962" s="120"/>
      <c r="BC962" s="120"/>
      <c r="BD962" s="120"/>
      <c r="BE962" s="120"/>
      <c r="BF962" s="120"/>
      <c r="BG962" s="120"/>
      <c r="BH962" s="120"/>
      <c r="BI962" s="120"/>
      <c r="BJ962" s="120"/>
      <c r="BK962" s="120"/>
      <c r="BL962" s="120"/>
      <c r="BM962" s="120"/>
      <c r="BN962" s="120"/>
      <c r="BO962" s="120"/>
      <c r="BP962" s="120"/>
      <c r="BQ962" s="120"/>
      <c r="BR962" s="120"/>
      <c r="BS962" s="120"/>
      <c r="BT962" s="120"/>
      <c r="BU962" s="120"/>
      <c r="BV962" s="120"/>
      <c r="BW962" s="120"/>
      <c r="BX962" s="120"/>
      <c r="BY962" s="120"/>
      <c r="BZ962" s="120"/>
      <c r="CA962" s="120"/>
      <c r="CB962" s="120"/>
      <c r="CC962" s="120"/>
      <c r="CD962" s="120"/>
      <c r="CE962" s="120"/>
      <c r="CF962" s="120"/>
      <c r="CG962" s="120"/>
      <c r="CH962" s="120"/>
      <c r="CI962" s="120"/>
      <c r="CJ962" s="120"/>
      <c r="CK962" s="120"/>
      <c r="CL962" s="120"/>
      <c r="CM962" s="120"/>
      <c r="CN962" s="120"/>
      <c r="CO962" s="120"/>
    </row>
    <row r="963" spans="1:93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1"/>
      <c r="U963" s="120"/>
      <c r="V963" s="120"/>
      <c r="W963" s="121"/>
      <c r="X963" s="120"/>
      <c r="Y963" s="120"/>
      <c r="Z963" s="120"/>
      <c r="AA963" s="120"/>
      <c r="AB963" s="120"/>
      <c r="AC963" s="120"/>
      <c r="AD963" s="120"/>
      <c r="AE963" s="120"/>
      <c r="AF963" s="120"/>
      <c r="AG963" s="120"/>
      <c r="AH963" s="120"/>
      <c r="AI963" s="120"/>
      <c r="AJ963" s="120"/>
      <c r="AK963" s="120"/>
      <c r="AL963" s="120"/>
      <c r="AM963" s="120"/>
      <c r="AN963" s="120"/>
      <c r="AO963" s="120"/>
      <c r="AP963" s="120"/>
      <c r="AQ963" s="120"/>
      <c r="AR963" s="120"/>
      <c r="AS963" s="120"/>
      <c r="AT963" s="120"/>
      <c r="AU963" s="120"/>
      <c r="AV963" s="120"/>
      <c r="AW963" s="120"/>
      <c r="AX963" s="120"/>
      <c r="AY963" s="120"/>
      <c r="AZ963" s="120"/>
      <c r="BA963" s="120"/>
      <c r="BB963" s="120"/>
      <c r="BC963" s="120"/>
      <c r="BD963" s="120"/>
      <c r="BE963" s="120"/>
      <c r="BF963" s="120"/>
      <c r="BG963" s="120"/>
      <c r="BH963" s="120"/>
      <c r="BI963" s="120"/>
      <c r="BJ963" s="120"/>
      <c r="BK963" s="120"/>
      <c r="BL963" s="120"/>
      <c r="BM963" s="120"/>
      <c r="BN963" s="120"/>
      <c r="BO963" s="120"/>
      <c r="BP963" s="120"/>
      <c r="BQ963" s="120"/>
      <c r="BR963" s="120"/>
      <c r="BS963" s="120"/>
      <c r="BT963" s="120"/>
      <c r="BU963" s="120"/>
      <c r="BV963" s="120"/>
      <c r="BW963" s="120"/>
      <c r="BX963" s="120"/>
      <c r="BY963" s="120"/>
      <c r="BZ963" s="120"/>
      <c r="CA963" s="120"/>
      <c r="CB963" s="120"/>
      <c r="CC963" s="120"/>
      <c r="CD963" s="120"/>
      <c r="CE963" s="120"/>
      <c r="CF963" s="120"/>
      <c r="CG963" s="120"/>
      <c r="CH963" s="120"/>
      <c r="CI963" s="120"/>
      <c r="CJ963" s="120"/>
      <c r="CK963" s="120"/>
      <c r="CL963" s="120"/>
      <c r="CM963" s="120"/>
      <c r="CN963" s="120"/>
      <c r="CO963" s="120"/>
    </row>
    <row r="964" spans="1:93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1"/>
      <c r="U964" s="120"/>
      <c r="V964" s="120"/>
      <c r="W964" s="121"/>
      <c r="X964" s="120"/>
      <c r="Y964" s="120"/>
      <c r="Z964" s="120"/>
      <c r="AA964" s="120"/>
      <c r="AB964" s="120"/>
      <c r="AC964" s="120"/>
      <c r="AD964" s="120"/>
      <c r="AE964" s="120"/>
      <c r="AF964" s="120"/>
      <c r="AG964" s="120"/>
      <c r="AH964" s="120"/>
      <c r="AI964" s="120"/>
      <c r="AJ964" s="120"/>
      <c r="AK964" s="120"/>
      <c r="AL964" s="120"/>
      <c r="AM964" s="120"/>
      <c r="AN964" s="120"/>
      <c r="AO964" s="120"/>
      <c r="AP964" s="120"/>
      <c r="AQ964" s="120"/>
      <c r="AR964" s="120"/>
      <c r="AS964" s="120"/>
      <c r="AT964" s="120"/>
      <c r="AU964" s="120"/>
      <c r="AV964" s="120"/>
      <c r="AW964" s="120"/>
      <c r="AX964" s="120"/>
      <c r="AY964" s="120"/>
      <c r="AZ964" s="120"/>
      <c r="BA964" s="120"/>
      <c r="BB964" s="120"/>
      <c r="BC964" s="120"/>
      <c r="BD964" s="120"/>
      <c r="BE964" s="120"/>
      <c r="BF964" s="120"/>
      <c r="BG964" s="120"/>
      <c r="BH964" s="120"/>
      <c r="BI964" s="120"/>
      <c r="BJ964" s="120"/>
      <c r="BK964" s="120"/>
      <c r="BL964" s="120"/>
      <c r="BM964" s="120"/>
      <c r="BN964" s="120"/>
      <c r="BO964" s="120"/>
      <c r="BP964" s="120"/>
      <c r="BQ964" s="120"/>
      <c r="BR964" s="120"/>
      <c r="BS964" s="120"/>
      <c r="BT964" s="120"/>
      <c r="BU964" s="120"/>
      <c r="BV964" s="120"/>
      <c r="BW964" s="120"/>
      <c r="BX964" s="120"/>
      <c r="BY964" s="120"/>
      <c r="BZ964" s="120"/>
      <c r="CA964" s="120"/>
      <c r="CB964" s="120"/>
      <c r="CC964" s="120"/>
      <c r="CD964" s="120"/>
      <c r="CE964" s="120"/>
      <c r="CF964" s="120"/>
      <c r="CG964" s="120"/>
      <c r="CH964" s="120"/>
      <c r="CI964" s="120"/>
      <c r="CJ964" s="120"/>
      <c r="CK964" s="120"/>
      <c r="CL964" s="120"/>
      <c r="CM964" s="120"/>
      <c r="CN964" s="120"/>
      <c r="CO964" s="120"/>
    </row>
    <row r="965" spans="1:93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1"/>
      <c r="U965" s="120"/>
      <c r="V965" s="120"/>
      <c r="W965" s="121"/>
      <c r="X965" s="120"/>
      <c r="Y965" s="120"/>
      <c r="Z965" s="120"/>
      <c r="AA965" s="120"/>
      <c r="AB965" s="120"/>
      <c r="AC965" s="120"/>
      <c r="AD965" s="120"/>
      <c r="AE965" s="120"/>
      <c r="AF965" s="120"/>
      <c r="AG965" s="120"/>
      <c r="AH965" s="120"/>
      <c r="AI965" s="120"/>
      <c r="AJ965" s="120"/>
      <c r="AK965" s="120"/>
      <c r="AL965" s="120"/>
      <c r="AM965" s="120"/>
      <c r="AN965" s="120"/>
      <c r="AO965" s="120"/>
      <c r="AP965" s="120"/>
      <c r="AQ965" s="120"/>
      <c r="AR965" s="120"/>
      <c r="AS965" s="120"/>
      <c r="AT965" s="120"/>
      <c r="AU965" s="120"/>
      <c r="AV965" s="120"/>
      <c r="AW965" s="120"/>
      <c r="AX965" s="120"/>
      <c r="AY965" s="120"/>
      <c r="AZ965" s="120"/>
      <c r="BA965" s="120"/>
      <c r="BB965" s="120"/>
      <c r="BC965" s="120"/>
      <c r="BD965" s="120"/>
      <c r="BE965" s="120"/>
      <c r="BF965" s="120"/>
      <c r="BG965" s="120"/>
      <c r="BH965" s="120"/>
      <c r="BI965" s="120"/>
      <c r="BJ965" s="120"/>
      <c r="BK965" s="120"/>
      <c r="BL965" s="120"/>
      <c r="BM965" s="120"/>
      <c r="BN965" s="120"/>
      <c r="BO965" s="120"/>
      <c r="BP965" s="120"/>
      <c r="BQ965" s="120"/>
      <c r="BR965" s="120"/>
      <c r="BS965" s="120"/>
      <c r="BT965" s="120"/>
      <c r="BU965" s="120"/>
      <c r="BV965" s="120"/>
      <c r="BW965" s="120"/>
      <c r="BX965" s="120"/>
      <c r="BY965" s="120"/>
      <c r="BZ965" s="120"/>
      <c r="CA965" s="120"/>
      <c r="CB965" s="120"/>
      <c r="CC965" s="120"/>
      <c r="CD965" s="120"/>
      <c r="CE965" s="120"/>
      <c r="CF965" s="120"/>
      <c r="CG965" s="120"/>
      <c r="CH965" s="120"/>
      <c r="CI965" s="120"/>
      <c r="CJ965" s="120"/>
      <c r="CK965" s="120"/>
      <c r="CL965" s="120"/>
      <c r="CM965" s="120"/>
      <c r="CN965" s="120"/>
      <c r="CO965" s="120"/>
    </row>
    <row r="966" spans="1:93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1"/>
      <c r="U966" s="120"/>
      <c r="V966" s="120"/>
      <c r="W966" s="121"/>
      <c r="X966" s="120"/>
      <c r="Y966" s="120"/>
      <c r="Z966" s="120"/>
      <c r="AA966" s="120"/>
      <c r="AB966" s="120"/>
      <c r="AC966" s="120"/>
      <c r="AD966" s="120"/>
      <c r="AE966" s="120"/>
      <c r="AF966" s="120"/>
      <c r="AG966" s="120"/>
      <c r="AH966" s="120"/>
      <c r="AI966" s="120"/>
      <c r="AJ966" s="120"/>
      <c r="AK966" s="120"/>
      <c r="AL966" s="120"/>
      <c r="AM966" s="120"/>
      <c r="AN966" s="120"/>
      <c r="AO966" s="120"/>
      <c r="AP966" s="120"/>
      <c r="AQ966" s="120"/>
      <c r="AR966" s="120"/>
      <c r="AS966" s="120"/>
      <c r="AT966" s="120"/>
      <c r="AU966" s="120"/>
      <c r="AV966" s="120"/>
      <c r="AW966" s="120"/>
      <c r="AX966" s="120"/>
      <c r="AY966" s="120"/>
      <c r="AZ966" s="120"/>
      <c r="BA966" s="120"/>
      <c r="BB966" s="120"/>
      <c r="BC966" s="120"/>
      <c r="BD966" s="120"/>
      <c r="BE966" s="120"/>
      <c r="BF966" s="120"/>
      <c r="BG966" s="120"/>
      <c r="BH966" s="120"/>
      <c r="BI966" s="120"/>
      <c r="BJ966" s="120"/>
      <c r="BK966" s="120"/>
      <c r="BL966" s="120"/>
      <c r="BM966" s="120"/>
      <c r="BN966" s="120"/>
      <c r="BO966" s="120"/>
      <c r="BP966" s="120"/>
      <c r="BQ966" s="120"/>
      <c r="BR966" s="120"/>
      <c r="BS966" s="120"/>
      <c r="BT966" s="120"/>
      <c r="BU966" s="120"/>
      <c r="BV966" s="120"/>
      <c r="BW966" s="120"/>
      <c r="BX966" s="120"/>
      <c r="BY966" s="120"/>
      <c r="BZ966" s="120"/>
      <c r="CA966" s="120"/>
      <c r="CB966" s="120"/>
      <c r="CC966" s="120"/>
      <c r="CD966" s="120"/>
      <c r="CE966" s="120"/>
      <c r="CF966" s="120"/>
      <c r="CG966" s="120"/>
      <c r="CH966" s="120"/>
      <c r="CI966" s="120"/>
      <c r="CJ966" s="120"/>
      <c r="CK966" s="120"/>
      <c r="CL966" s="120"/>
      <c r="CM966" s="120"/>
      <c r="CN966" s="120"/>
      <c r="CO966" s="120"/>
    </row>
    <row r="967" spans="1:93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1"/>
      <c r="U967" s="120"/>
      <c r="V967" s="120"/>
      <c r="W967" s="121"/>
      <c r="X967" s="120"/>
      <c r="Y967" s="120"/>
      <c r="Z967" s="120"/>
      <c r="AA967" s="120"/>
      <c r="AB967" s="120"/>
      <c r="AC967" s="120"/>
      <c r="AD967" s="120"/>
      <c r="AE967" s="120"/>
      <c r="AF967" s="120"/>
      <c r="AG967" s="120"/>
      <c r="AH967" s="120"/>
      <c r="AI967" s="120"/>
      <c r="AJ967" s="120"/>
      <c r="AK967" s="120"/>
      <c r="AL967" s="120"/>
      <c r="AM967" s="120"/>
      <c r="AN967" s="120"/>
      <c r="AO967" s="120"/>
      <c r="AP967" s="120"/>
      <c r="AQ967" s="120"/>
      <c r="AR967" s="120"/>
      <c r="AS967" s="120"/>
      <c r="AT967" s="120"/>
      <c r="AU967" s="120"/>
      <c r="AV967" s="120"/>
      <c r="AW967" s="120"/>
      <c r="AX967" s="120"/>
      <c r="AY967" s="120"/>
      <c r="AZ967" s="120"/>
      <c r="BA967" s="120"/>
      <c r="BB967" s="120"/>
      <c r="BC967" s="120"/>
      <c r="BD967" s="120"/>
      <c r="BE967" s="120"/>
      <c r="BF967" s="120"/>
      <c r="BG967" s="120"/>
      <c r="BH967" s="120"/>
      <c r="BI967" s="120"/>
      <c r="BJ967" s="120"/>
      <c r="BK967" s="120"/>
      <c r="BL967" s="120"/>
      <c r="BM967" s="120"/>
      <c r="BN967" s="120"/>
      <c r="BO967" s="120"/>
      <c r="BP967" s="120"/>
      <c r="BQ967" s="120"/>
      <c r="BR967" s="120"/>
      <c r="BS967" s="120"/>
      <c r="BT967" s="120"/>
      <c r="BU967" s="120"/>
      <c r="BV967" s="120"/>
      <c r="BW967" s="120"/>
      <c r="BX967" s="120"/>
      <c r="BY967" s="120"/>
      <c r="BZ967" s="120"/>
      <c r="CA967" s="120"/>
      <c r="CB967" s="120"/>
      <c r="CC967" s="120"/>
      <c r="CD967" s="120"/>
      <c r="CE967" s="120"/>
      <c r="CF967" s="120"/>
      <c r="CG967" s="120"/>
      <c r="CH967" s="120"/>
      <c r="CI967" s="120"/>
      <c r="CJ967" s="120"/>
      <c r="CK967" s="120"/>
      <c r="CL967" s="120"/>
      <c r="CM967" s="120"/>
      <c r="CN967" s="120"/>
      <c r="CO967" s="120"/>
    </row>
    <row r="968" spans="1:93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1"/>
      <c r="U968" s="120"/>
      <c r="V968" s="120"/>
      <c r="W968" s="121"/>
      <c r="X968" s="120"/>
      <c r="Y968" s="120"/>
      <c r="Z968" s="120"/>
      <c r="AA968" s="120"/>
      <c r="AB968" s="120"/>
      <c r="AC968" s="120"/>
      <c r="AD968" s="120"/>
      <c r="AE968" s="120"/>
      <c r="AF968" s="120"/>
      <c r="AG968" s="120"/>
      <c r="AH968" s="120"/>
      <c r="AI968" s="120"/>
      <c r="AJ968" s="120"/>
      <c r="AK968" s="120"/>
      <c r="AL968" s="120"/>
      <c r="AM968" s="120"/>
      <c r="AN968" s="120"/>
      <c r="AO968" s="120"/>
      <c r="AP968" s="120"/>
      <c r="AQ968" s="120"/>
      <c r="AR968" s="120"/>
      <c r="AS968" s="120"/>
      <c r="AT968" s="120"/>
      <c r="AU968" s="120"/>
      <c r="AV968" s="120"/>
      <c r="AW968" s="120"/>
      <c r="AX968" s="120"/>
      <c r="AY968" s="120"/>
      <c r="AZ968" s="120"/>
      <c r="BA968" s="120"/>
      <c r="BB968" s="120"/>
      <c r="BC968" s="120"/>
      <c r="BD968" s="120"/>
      <c r="BE968" s="120"/>
      <c r="BF968" s="120"/>
      <c r="BG968" s="120"/>
      <c r="BH968" s="120"/>
      <c r="BI968" s="120"/>
      <c r="BJ968" s="120"/>
      <c r="BK968" s="120"/>
      <c r="BL968" s="120"/>
      <c r="BM968" s="120"/>
      <c r="BN968" s="120"/>
      <c r="BO968" s="120"/>
      <c r="BP968" s="120"/>
      <c r="BQ968" s="120"/>
      <c r="BR968" s="120"/>
      <c r="BS968" s="120"/>
      <c r="BT968" s="120"/>
      <c r="BU968" s="120"/>
      <c r="BV968" s="120"/>
      <c r="BW968" s="120"/>
      <c r="BX968" s="120"/>
      <c r="BY968" s="120"/>
      <c r="BZ968" s="120"/>
      <c r="CA968" s="120"/>
      <c r="CB968" s="120"/>
      <c r="CC968" s="120"/>
      <c r="CD968" s="120"/>
      <c r="CE968" s="120"/>
      <c r="CF968" s="120"/>
      <c r="CG968" s="120"/>
      <c r="CH968" s="120"/>
      <c r="CI968" s="120"/>
      <c r="CJ968" s="120"/>
      <c r="CK968" s="120"/>
      <c r="CL968" s="120"/>
      <c r="CM968" s="120"/>
      <c r="CN968" s="120"/>
      <c r="CO968" s="120"/>
    </row>
    <row r="969" spans="1:93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1"/>
      <c r="U969" s="120"/>
      <c r="V969" s="120"/>
      <c r="W969" s="121"/>
      <c r="X969" s="120"/>
      <c r="Y969" s="120"/>
      <c r="Z969" s="120"/>
      <c r="AA969" s="120"/>
      <c r="AB969" s="120"/>
      <c r="AC969" s="120"/>
      <c r="AD969" s="120"/>
      <c r="AE969" s="120"/>
      <c r="AF969" s="120"/>
      <c r="AG969" s="120"/>
      <c r="AH969" s="120"/>
      <c r="AI969" s="120"/>
      <c r="AJ969" s="120"/>
      <c r="AK969" s="120"/>
      <c r="AL969" s="120"/>
      <c r="AM969" s="120"/>
      <c r="AN969" s="120"/>
      <c r="AO969" s="120"/>
      <c r="AP969" s="120"/>
      <c r="AQ969" s="120"/>
      <c r="AR969" s="120"/>
      <c r="AS969" s="120"/>
      <c r="AT969" s="120"/>
      <c r="AU969" s="120"/>
      <c r="AV969" s="120"/>
      <c r="AW969" s="120"/>
      <c r="AX969" s="120"/>
      <c r="AY969" s="120"/>
      <c r="AZ969" s="120"/>
      <c r="BA969" s="120"/>
      <c r="BB969" s="120"/>
      <c r="BC969" s="120"/>
      <c r="BD969" s="120"/>
      <c r="BE969" s="120"/>
      <c r="BF969" s="120"/>
      <c r="BG969" s="120"/>
      <c r="BH969" s="120"/>
      <c r="BI969" s="120"/>
      <c r="BJ969" s="120"/>
      <c r="BK969" s="120"/>
      <c r="BL969" s="120"/>
      <c r="BM969" s="120"/>
      <c r="BN969" s="120"/>
      <c r="BO969" s="120"/>
      <c r="BP969" s="120"/>
      <c r="BQ969" s="120"/>
      <c r="BR969" s="120"/>
      <c r="BS969" s="120"/>
      <c r="BT969" s="120"/>
      <c r="BU969" s="120"/>
      <c r="BV969" s="120"/>
      <c r="BW969" s="120"/>
      <c r="BX969" s="120"/>
      <c r="BY969" s="120"/>
      <c r="BZ969" s="120"/>
      <c r="CA969" s="120"/>
      <c r="CB969" s="120"/>
      <c r="CC969" s="120"/>
      <c r="CD969" s="120"/>
      <c r="CE969" s="120"/>
      <c r="CF969" s="120"/>
      <c r="CG969" s="120"/>
      <c r="CH969" s="120"/>
      <c r="CI969" s="120"/>
      <c r="CJ969" s="120"/>
      <c r="CK969" s="120"/>
      <c r="CL969" s="120"/>
      <c r="CM969" s="120"/>
      <c r="CN969" s="120"/>
      <c r="CO969" s="120"/>
    </row>
    <row r="970" spans="1:93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1"/>
      <c r="U970" s="120"/>
      <c r="V970" s="120"/>
      <c r="W970" s="121"/>
      <c r="X970" s="120"/>
      <c r="Y970" s="120"/>
      <c r="Z970" s="120"/>
      <c r="AA970" s="120"/>
      <c r="AB970" s="120"/>
      <c r="AC970" s="120"/>
      <c r="AD970" s="120"/>
      <c r="AE970" s="120"/>
      <c r="AF970" s="120"/>
      <c r="AG970" s="120"/>
      <c r="AH970" s="120"/>
      <c r="AI970" s="120"/>
      <c r="AJ970" s="120"/>
      <c r="AK970" s="120"/>
      <c r="AL970" s="120"/>
      <c r="AM970" s="120"/>
      <c r="AN970" s="120"/>
      <c r="AO970" s="120"/>
      <c r="AP970" s="120"/>
      <c r="AQ970" s="120"/>
      <c r="AR970" s="120"/>
      <c r="AS970" s="120"/>
      <c r="AT970" s="120"/>
      <c r="AU970" s="120"/>
      <c r="AV970" s="120"/>
      <c r="AW970" s="120"/>
      <c r="AX970" s="120"/>
      <c r="AY970" s="120"/>
      <c r="AZ970" s="120"/>
      <c r="BA970" s="120"/>
      <c r="BB970" s="120"/>
      <c r="BC970" s="120"/>
      <c r="BD970" s="120"/>
      <c r="BE970" s="120"/>
      <c r="BF970" s="120"/>
      <c r="BG970" s="120"/>
      <c r="BH970" s="120"/>
      <c r="BI970" s="120"/>
      <c r="BJ970" s="120"/>
      <c r="BK970" s="120"/>
      <c r="BL970" s="120"/>
      <c r="BM970" s="120"/>
      <c r="BN970" s="120"/>
      <c r="BO970" s="120"/>
      <c r="BP970" s="120"/>
      <c r="BQ970" s="120"/>
      <c r="BR970" s="120"/>
      <c r="BS970" s="120"/>
      <c r="BT970" s="120"/>
      <c r="BU970" s="120"/>
      <c r="BV970" s="120"/>
      <c r="BW970" s="120"/>
      <c r="BX970" s="120"/>
      <c r="BY970" s="120"/>
      <c r="BZ970" s="120"/>
      <c r="CA970" s="120"/>
      <c r="CB970" s="120"/>
      <c r="CC970" s="120"/>
      <c r="CD970" s="120"/>
      <c r="CE970" s="120"/>
      <c r="CF970" s="120"/>
      <c r="CG970" s="120"/>
      <c r="CH970" s="120"/>
      <c r="CI970" s="120"/>
      <c r="CJ970" s="120"/>
      <c r="CK970" s="120"/>
      <c r="CL970" s="120"/>
      <c r="CM970" s="120"/>
      <c r="CN970" s="120"/>
      <c r="CO970" s="120"/>
    </row>
    <row r="971" spans="1:93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1"/>
      <c r="U971" s="120"/>
      <c r="V971" s="120"/>
      <c r="W971" s="121"/>
      <c r="X971" s="120"/>
      <c r="Y971" s="120"/>
      <c r="Z971" s="120"/>
      <c r="AA971" s="120"/>
      <c r="AB971" s="120"/>
      <c r="AC971" s="120"/>
      <c r="AD971" s="120"/>
      <c r="AE971" s="120"/>
      <c r="AF971" s="120"/>
      <c r="AG971" s="120"/>
      <c r="AH971" s="120"/>
      <c r="AI971" s="120"/>
      <c r="AJ971" s="120"/>
      <c r="AK971" s="120"/>
      <c r="AL971" s="120"/>
      <c r="AM971" s="120"/>
      <c r="AN971" s="120"/>
      <c r="AO971" s="120"/>
      <c r="AP971" s="120"/>
      <c r="AQ971" s="120"/>
      <c r="AR971" s="120"/>
      <c r="AS971" s="120"/>
      <c r="AT971" s="120"/>
      <c r="AU971" s="120"/>
      <c r="AV971" s="120"/>
      <c r="AW971" s="120"/>
      <c r="AX971" s="120"/>
      <c r="AY971" s="120"/>
      <c r="AZ971" s="120"/>
      <c r="BA971" s="120"/>
      <c r="BB971" s="120"/>
      <c r="BC971" s="120"/>
      <c r="BD971" s="120"/>
      <c r="BE971" s="120"/>
      <c r="BF971" s="120"/>
      <c r="BG971" s="120"/>
      <c r="BH971" s="120"/>
      <c r="BI971" s="120"/>
      <c r="BJ971" s="120"/>
      <c r="BK971" s="120"/>
      <c r="BL971" s="120"/>
      <c r="BM971" s="120"/>
      <c r="BN971" s="120"/>
      <c r="BO971" s="120"/>
      <c r="BP971" s="120"/>
      <c r="BQ971" s="120"/>
      <c r="BR971" s="120"/>
      <c r="BS971" s="120"/>
      <c r="BT971" s="120"/>
      <c r="BU971" s="120"/>
      <c r="BV971" s="120"/>
      <c r="BW971" s="120"/>
      <c r="BX971" s="120"/>
      <c r="BY971" s="120"/>
      <c r="BZ971" s="120"/>
      <c r="CA971" s="120"/>
      <c r="CB971" s="120"/>
      <c r="CC971" s="120"/>
      <c r="CD971" s="120"/>
      <c r="CE971" s="120"/>
      <c r="CF971" s="120"/>
      <c r="CG971" s="120"/>
      <c r="CH971" s="120"/>
      <c r="CI971" s="120"/>
      <c r="CJ971" s="120"/>
      <c r="CK971" s="120"/>
      <c r="CL971" s="120"/>
      <c r="CM971" s="120"/>
      <c r="CN971" s="120"/>
      <c r="CO971" s="120"/>
    </row>
    <row r="972" spans="1:93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1"/>
      <c r="U972" s="120"/>
      <c r="V972" s="120"/>
      <c r="W972" s="121"/>
      <c r="X972" s="120"/>
      <c r="Y972" s="120"/>
      <c r="Z972" s="120"/>
      <c r="AA972" s="120"/>
      <c r="AB972" s="120"/>
      <c r="AC972" s="120"/>
      <c r="AD972" s="120"/>
      <c r="AE972" s="120"/>
      <c r="AF972" s="120"/>
      <c r="AG972" s="120"/>
      <c r="AH972" s="120"/>
      <c r="AI972" s="120"/>
      <c r="AJ972" s="120"/>
      <c r="AK972" s="120"/>
      <c r="AL972" s="120"/>
      <c r="AM972" s="120"/>
      <c r="AN972" s="120"/>
      <c r="AO972" s="120"/>
      <c r="AP972" s="120"/>
      <c r="AQ972" s="120"/>
      <c r="AR972" s="120"/>
      <c r="AS972" s="120"/>
      <c r="AT972" s="120"/>
      <c r="AU972" s="120"/>
      <c r="AV972" s="120"/>
      <c r="AW972" s="120"/>
      <c r="AX972" s="120"/>
      <c r="AY972" s="120"/>
      <c r="AZ972" s="120"/>
      <c r="BA972" s="120"/>
      <c r="BB972" s="120"/>
      <c r="BC972" s="120"/>
      <c r="BD972" s="120"/>
      <c r="BE972" s="120"/>
      <c r="BF972" s="120"/>
      <c r="BG972" s="120"/>
      <c r="BH972" s="120"/>
      <c r="BI972" s="120"/>
      <c r="BJ972" s="120"/>
      <c r="BK972" s="120"/>
      <c r="BL972" s="120"/>
      <c r="BM972" s="120"/>
      <c r="BN972" s="120"/>
      <c r="BO972" s="120"/>
      <c r="BP972" s="120"/>
      <c r="BQ972" s="120"/>
      <c r="BR972" s="120"/>
      <c r="BS972" s="120"/>
      <c r="BT972" s="120"/>
      <c r="BU972" s="120"/>
      <c r="BV972" s="120"/>
      <c r="BW972" s="120"/>
      <c r="BX972" s="120"/>
      <c r="BY972" s="120"/>
      <c r="BZ972" s="120"/>
      <c r="CA972" s="120"/>
      <c r="CB972" s="120"/>
      <c r="CC972" s="120"/>
      <c r="CD972" s="120"/>
      <c r="CE972" s="120"/>
      <c r="CF972" s="120"/>
      <c r="CG972" s="120"/>
      <c r="CH972" s="120"/>
      <c r="CI972" s="120"/>
      <c r="CJ972" s="120"/>
      <c r="CK972" s="120"/>
      <c r="CL972" s="120"/>
      <c r="CM972" s="120"/>
      <c r="CN972" s="120"/>
      <c r="CO972" s="120"/>
    </row>
    <row r="973" spans="1:93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1"/>
      <c r="U973" s="120"/>
      <c r="V973" s="120"/>
      <c r="W973" s="121"/>
      <c r="X973" s="120"/>
      <c r="Y973" s="120"/>
      <c r="Z973" s="120"/>
      <c r="AA973" s="120"/>
      <c r="AB973" s="120"/>
      <c r="AC973" s="120"/>
      <c r="AD973" s="120"/>
      <c r="AE973" s="120"/>
      <c r="AF973" s="120"/>
      <c r="AG973" s="120"/>
      <c r="AH973" s="120"/>
      <c r="AI973" s="120"/>
      <c r="AJ973" s="120"/>
      <c r="AK973" s="120"/>
      <c r="AL973" s="120"/>
      <c r="AM973" s="120"/>
      <c r="AN973" s="120"/>
      <c r="AO973" s="120"/>
      <c r="AP973" s="120"/>
      <c r="AQ973" s="120"/>
      <c r="AR973" s="120"/>
      <c r="AS973" s="120"/>
      <c r="AT973" s="120"/>
      <c r="AU973" s="120"/>
      <c r="AV973" s="120"/>
      <c r="AW973" s="120"/>
      <c r="AX973" s="120"/>
      <c r="AY973" s="120"/>
      <c r="AZ973" s="120"/>
      <c r="BA973" s="120"/>
      <c r="BB973" s="120"/>
      <c r="BC973" s="120"/>
      <c r="BD973" s="120"/>
      <c r="BE973" s="120"/>
      <c r="BF973" s="120"/>
      <c r="BG973" s="120"/>
      <c r="BH973" s="120"/>
      <c r="BI973" s="120"/>
      <c r="BJ973" s="120"/>
      <c r="BK973" s="120"/>
      <c r="BL973" s="120"/>
      <c r="BM973" s="120"/>
      <c r="BN973" s="120"/>
      <c r="BO973" s="120"/>
      <c r="BP973" s="120"/>
      <c r="BQ973" s="120"/>
      <c r="BR973" s="120"/>
      <c r="BS973" s="120"/>
      <c r="BT973" s="120"/>
      <c r="BU973" s="120"/>
      <c r="BV973" s="120"/>
      <c r="BW973" s="120"/>
      <c r="BX973" s="120"/>
      <c r="BY973" s="120"/>
      <c r="BZ973" s="120"/>
      <c r="CA973" s="120"/>
      <c r="CB973" s="120"/>
      <c r="CC973" s="120"/>
      <c r="CD973" s="120"/>
      <c r="CE973" s="120"/>
      <c r="CF973" s="120"/>
      <c r="CG973" s="120"/>
      <c r="CH973" s="120"/>
      <c r="CI973" s="120"/>
      <c r="CJ973" s="120"/>
      <c r="CK973" s="120"/>
      <c r="CL973" s="120"/>
      <c r="CM973" s="120"/>
      <c r="CN973" s="120"/>
      <c r="CO973" s="120"/>
    </row>
    <row r="974" spans="1:93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1"/>
      <c r="U974" s="120"/>
      <c r="V974" s="120"/>
      <c r="W974" s="121"/>
      <c r="X974" s="120"/>
      <c r="Y974" s="120"/>
      <c r="Z974" s="120"/>
      <c r="AA974" s="120"/>
      <c r="AB974" s="120"/>
      <c r="AC974" s="120"/>
      <c r="AD974" s="120"/>
      <c r="AE974" s="120"/>
      <c r="AF974" s="120"/>
      <c r="AG974" s="120"/>
      <c r="AH974" s="120"/>
      <c r="AI974" s="120"/>
      <c r="AJ974" s="120"/>
      <c r="AK974" s="120"/>
      <c r="AL974" s="120"/>
      <c r="AM974" s="120"/>
      <c r="AN974" s="120"/>
      <c r="AO974" s="120"/>
      <c r="AP974" s="120"/>
      <c r="AQ974" s="120"/>
      <c r="AR974" s="120"/>
      <c r="AS974" s="120"/>
      <c r="AT974" s="120"/>
      <c r="AU974" s="120"/>
      <c r="AV974" s="120"/>
      <c r="AW974" s="120"/>
      <c r="AX974" s="120"/>
      <c r="AY974" s="120"/>
      <c r="AZ974" s="120"/>
      <c r="BA974" s="120"/>
      <c r="BB974" s="120"/>
      <c r="BC974" s="120"/>
      <c r="BD974" s="120"/>
      <c r="BE974" s="120"/>
      <c r="BF974" s="120"/>
      <c r="BG974" s="120"/>
      <c r="BH974" s="120"/>
      <c r="BI974" s="120"/>
      <c r="BJ974" s="120"/>
      <c r="BK974" s="120"/>
      <c r="BL974" s="120"/>
      <c r="BM974" s="120"/>
      <c r="BN974" s="120"/>
      <c r="BO974" s="120"/>
      <c r="BP974" s="120"/>
      <c r="BQ974" s="120"/>
      <c r="BR974" s="120"/>
      <c r="BS974" s="120"/>
      <c r="BT974" s="120"/>
      <c r="BU974" s="120"/>
      <c r="BV974" s="120"/>
      <c r="BW974" s="120"/>
      <c r="BX974" s="120"/>
      <c r="BY974" s="120"/>
      <c r="BZ974" s="120"/>
      <c r="CA974" s="120"/>
      <c r="CB974" s="120"/>
      <c r="CC974" s="120"/>
      <c r="CD974" s="120"/>
      <c r="CE974" s="120"/>
      <c r="CF974" s="120"/>
      <c r="CG974" s="120"/>
      <c r="CH974" s="120"/>
      <c r="CI974" s="120"/>
      <c r="CJ974" s="120"/>
      <c r="CK974" s="120"/>
      <c r="CL974" s="120"/>
      <c r="CM974" s="120"/>
      <c r="CN974" s="120"/>
      <c r="CO974" s="120"/>
    </row>
    <row r="975" spans="1:93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1"/>
      <c r="U975" s="120"/>
      <c r="V975" s="120"/>
      <c r="W975" s="121"/>
      <c r="X975" s="120"/>
      <c r="Y975" s="120"/>
      <c r="Z975" s="120"/>
      <c r="AA975" s="120"/>
      <c r="AB975" s="120"/>
      <c r="AC975" s="120"/>
      <c r="AD975" s="120"/>
      <c r="AE975" s="120"/>
      <c r="AF975" s="120"/>
      <c r="AG975" s="120"/>
      <c r="AH975" s="120"/>
      <c r="AI975" s="120"/>
      <c r="AJ975" s="120"/>
      <c r="AK975" s="120"/>
      <c r="AL975" s="120"/>
      <c r="AM975" s="120"/>
      <c r="AN975" s="120"/>
      <c r="AO975" s="120"/>
      <c r="AP975" s="120"/>
      <c r="AQ975" s="120"/>
      <c r="AR975" s="120"/>
      <c r="AS975" s="120"/>
      <c r="AT975" s="120"/>
      <c r="AU975" s="120"/>
      <c r="AV975" s="120"/>
      <c r="AW975" s="120"/>
      <c r="AX975" s="120"/>
      <c r="AY975" s="120"/>
      <c r="AZ975" s="120"/>
      <c r="BA975" s="120"/>
      <c r="BB975" s="120"/>
      <c r="BC975" s="120"/>
      <c r="BD975" s="120"/>
      <c r="BE975" s="120"/>
      <c r="BF975" s="120"/>
      <c r="BG975" s="120"/>
      <c r="BH975" s="120"/>
      <c r="BI975" s="120"/>
      <c r="BJ975" s="120"/>
      <c r="BK975" s="120"/>
      <c r="BL975" s="120"/>
      <c r="BM975" s="120"/>
      <c r="BN975" s="120"/>
      <c r="BO975" s="120"/>
      <c r="BP975" s="120"/>
      <c r="BQ975" s="120"/>
      <c r="BR975" s="120"/>
      <c r="BS975" s="120"/>
      <c r="BT975" s="120"/>
      <c r="BU975" s="120"/>
      <c r="BV975" s="120"/>
      <c r="BW975" s="120"/>
      <c r="BX975" s="120"/>
      <c r="BY975" s="120"/>
      <c r="BZ975" s="120"/>
      <c r="CA975" s="120"/>
      <c r="CB975" s="120"/>
      <c r="CC975" s="120"/>
      <c r="CD975" s="120"/>
      <c r="CE975" s="120"/>
      <c r="CF975" s="120"/>
      <c r="CG975" s="120"/>
      <c r="CH975" s="120"/>
      <c r="CI975" s="120"/>
      <c r="CJ975" s="120"/>
      <c r="CK975" s="120"/>
      <c r="CL975" s="120"/>
      <c r="CM975" s="120"/>
      <c r="CN975" s="120"/>
      <c r="CO975" s="120"/>
    </row>
    <row r="976" spans="1:93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1"/>
      <c r="U976" s="120"/>
      <c r="V976" s="120"/>
      <c r="W976" s="121"/>
      <c r="X976" s="120"/>
      <c r="Y976" s="120"/>
      <c r="Z976" s="120"/>
      <c r="AA976" s="120"/>
      <c r="AB976" s="120"/>
      <c r="AC976" s="120"/>
      <c r="AD976" s="120"/>
      <c r="AE976" s="120"/>
      <c r="AF976" s="120"/>
      <c r="AG976" s="120"/>
      <c r="AH976" s="120"/>
      <c r="AI976" s="120"/>
      <c r="AJ976" s="120"/>
      <c r="AK976" s="120"/>
      <c r="AL976" s="120"/>
      <c r="AM976" s="120"/>
      <c r="AN976" s="120"/>
      <c r="AO976" s="120"/>
      <c r="AP976" s="120"/>
      <c r="AQ976" s="120"/>
      <c r="AR976" s="120"/>
      <c r="AS976" s="120"/>
      <c r="AT976" s="120"/>
      <c r="AU976" s="120"/>
      <c r="AV976" s="120"/>
      <c r="AW976" s="120"/>
      <c r="AX976" s="120"/>
      <c r="AY976" s="120"/>
      <c r="AZ976" s="120"/>
      <c r="BA976" s="120"/>
      <c r="BB976" s="120"/>
      <c r="BC976" s="120"/>
      <c r="BD976" s="120"/>
      <c r="BE976" s="120"/>
      <c r="BF976" s="120"/>
      <c r="BG976" s="120"/>
      <c r="BH976" s="120"/>
      <c r="BI976" s="120"/>
      <c r="BJ976" s="120"/>
      <c r="BK976" s="120"/>
      <c r="BL976" s="120"/>
      <c r="BM976" s="120"/>
      <c r="BN976" s="120"/>
      <c r="BO976" s="120"/>
      <c r="BP976" s="120"/>
      <c r="BQ976" s="120"/>
      <c r="BR976" s="120"/>
      <c r="BS976" s="120"/>
      <c r="BT976" s="120"/>
      <c r="BU976" s="120"/>
      <c r="BV976" s="120"/>
      <c r="BW976" s="120"/>
      <c r="BX976" s="120"/>
      <c r="BY976" s="120"/>
      <c r="BZ976" s="120"/>
      <c r="CA976" s="120"/>
      <c r="CB976" s="120"/>
      <c r="CC976" s="120"/>
      <c r="CD976" s="120"/>
      <c r="CE976" s="120"/>
      <c r="CF976" s="120"/>
      <c r="CG976" s="120"/>
      <c r="CH976" s="120"/>
      <c r="CI976" s="120"/>
      <c r="CJ976" s="120"/>
      <c r="CK976" s="120"/>
      <c r="CL976" s="120"/>
      <c r="CM976" s="120"/>
      <c r="CN976" s="120"/>
      <c r="CO976" s="120"/>
    </row>
    <row r="977" spans="1:93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1"/>
      <c r="U977" s="120"/>
      <c r="V977" s="120"/>
      <c r="W977" s="121"/>
      <c r="X977" s="120"/>
      <c r="Y977" s="120"/>
      <c r="Z977" s="120"/>
      <c r="AA977" s="120"/>
      <c r="AB977" s="120"/>
      <c r="AC977" s="120"/>
      <c r="AD977" s="120"/>
      <c r="AE977" s="120"/>
      <c r="AF977" s="120"/>
      <c r="AG977" s="120"/>
      <c r="AH977" s="120"/>
      <c r="AI977" s="120"/>
      <c r="AJ977" s="120"/>
      <c r="AK977" s="120"/>
      <c r="AL977" s="120"/>
      <c r="AM977" s="120"/>
      <c r="AN977" s="120"/>
      <c r="AO977" s="120"/>
      <c r="AP977" s="120"/>
      <c r="AQ977" s="120"/>
      <c r="AR977" s="120"/>
      <c r="AS977" s="120"/>
      <c r="AT977" s="120"/>
      <c r="AU977" s="120"/>
      <c r="AV977" s="120"/>
      <c r="AW977" s="120"/>
      <c r="AX977" s="120"/>
      <c r="AY977" s="120"/>
      <c r="AZ977" s="120"/>
      <c r="BA977" s="120"/>
      <c r="BB977" s="120"/>
      <c r="BC977" s="120"/>
      <c r="BD977" s="120"/>
      <c r="BE977" s="120"/>
      <c r="BF977" s="120"/>
      <c r="BG977" s="120"/>
      <c r="BH977" s="120"/>
      <c r="BI977" s="120"/>
      <c r="BJ977" s="120"/>
      <c r="BK977" s="120"/>
      <c r="BL977" s="120"/>
      <c r="BM977" s="120"/>
      <c r="BN977" s="120"/>
      <c r="BO977" s="120"/>
      <c r="BP977" s="120"/>
      <c r="BQ977" s="120"/>
      <c r="BR977" s="120"/>
      <c r="BS977" s="120"/>
      <c r="BT977" s="120"/>
      <c r="BU977" s="120"/>
      <c r="BV977" s="120"/>
      <c r="BW977" s="120"/>
      <c r="BX977" s="120"/>
      <c r="BY977" s="120"/>
      <c r="BZ977" s="120"/>
      <c r="CA977" s="120"/>
      <c r="CB977" s="120"/>
      <c r="CC977" s="120"/>
      <c r="CD977" s="120"/>
      <c r="CE977" s="120"/>
      <c r="CF977" s="120"/>
      <c r="CG977" s="120"/>
      <c r="CH977" s="120"/>
      <c r="CI977" s="120"/>
      <c r="CJ977" s="120"/>
      <c r="CK977" s="120"/>
      <c r="CL977" s="120"/>
      <c r="CM977" s="120"/>
      <c r="CN977" s="120"/>
      <c r="CO977" s="120"/>
    </row>
    <row r="978" spans="1:93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1"/>
      <c r="U978" s="120"/>
      <c r="V978" s="120"/>
      <c r="W978" s="121"/>
      <c r="X978" s="120"/>
      <c r="Y978" s="120"/>
      <c r="Z978" s="120"/>
      <c r="AA978" s="120"/>
      <c r="AB978" s="120"/>
      <c r="AC978" s="120"/>
      <c r="AD978" s="120"/>
      <c r="AE978" s="120"/>
      <c r="AF978" s="120"/>
      <c r="AG978" s="120"/>
      <c r="AH978" s="120"/>
      <c r="AI978" s="120"/>
      <c r="AJ978" s="120"/>
      <c r="AK978" s="120"/>
      <c r="AL978" s="120"/>
      <c r="AM978" s="120"/>
      <c r="AN978" s="120"/>
      <c r="AO978" s="120"/>
      <c r="AP978" s="120"/>
      <c r="AQ978" s="120"/>
      <c r="AR978" s="120"/>
      <c r="AS978" s="120"/>
      <c r="AT978" s="120"/>
      <c r="AU978" s="120"/>
      <c r="AV978" s="120"/>
      <c r="AW978" s="120"/>
      <c r="AX978" s="120"/>
      <c r="AY978" s="120"/>
      <c r="AZ978" s="120"/>
      <c r="BA978" s="120"/>
      <c r="BB978" s="120"/>
      <c r="BC978" s="120"/>
      <c r="BD978" s="120"/>
      <c r="BE978" s="120"/>
      <c r="BF978" s="120"/>
      <c r="BG978" s="120"/>
      <c r="BH978" s="120"/>
      <c r="BI978" s="120"/>
      <c r="BJ978" s="120"/>
      <c r="BK978" s="120"/>
      <c r="BL978" s="120"/>
      <c r="BM978" s="120"/>
      <c r="BN978" s="120"/>
      <c r="BO978" s="120"/>
      <c r="BP978" s="120"/>
      <c r="BQ978" s="120"/>
      <c r="BR978" s="120"/>
      <c r="BS978" s="120"/>
      <c r="BT978" s="120"/>
      <c r="BU978" s="120"/>
      <c r="BV978" s="120"/>
      <c r="BW978" s="120"/>
      <c r="BX978" s="120"/>
      <c r="BY978" s="120"/>
      <c r="BZ978" s="120"/>
      <c r="CA978" s="120"/>
      <c r="CB978" s="120"/>
      <c r="CC978" s="120"/>
      <c r="CD978" s="120"/>
      <c r="CE978" s="120"/>
      <c r="CF978" s="120"/>
      <c r="CG978" s="120"/>
      <c r="CH978" s="120"/>
      <c r="CI978" s="120"/>
      <c r="CJ978" s="120"/>
      <c r="CK978" s="120"/>
      <c r="CL978" s="120"/>
      <c r="CM978" s="120"/>
      <c r="CN978" s="120"/>
      <c r="CO978" s="120"/>
    </row>
    <row r="979" spans="1:93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1"/>
      <c r="U979" s="120"/>
      <c r="V979" s="120"/>
      <c r="W979" s="121"/>
      <c r="X979" s="120"/>
      <c r="Y979" s="120"/>
      <c r="Z979" s="120"/>
      <c r="AA979" s="120"/>
      <c r="AB979" s="120"/>
      <c r="AC979" s="120"/>
      <c r="AD979" s="120"/>
      <c r="AE979" s="120"/>
      <c r="AF979" s="120"/>
      <c r="AG979" s="120"/>
      <c r="AH979" s="120"/>
      <c r="AI979" s="120"/>
      <c r="AJ979" s="120"/>
      <c r="AK979" s="120"/>
      <c r="AL979" s="120"/>
      <c r="AM979" s="120"/>
      <c r="AN979" s="120"/>
      <c r="AO979" s="120"/>
      <c r="AP979" s="120"/>
      <c r="AQ979" s="120"/>
      <c r="AR979" s="120"/>
      <c r="AS979" s="120"/>
      <c r="AT979" s="120"/>
      <c r="AU979" s="120"/>
      <c r="AV979" s="120"/>
      <c r="AW979" s="120"/>
      <c r="AX979" s="120"/>
      <c r="AY979" s="120"/>
      <c r="AZ979" s="120"/>
      <c r="BA979" s="120"/>
      <c r="BB979" s="120"/>
      <c r="BC979" s="120"/>
      <c r="BD979" s="120"/>
      <c r="BE979" s="120"/>
      <c r="BF979" s="120"/>
      <c r="BG979" s="120"/>
      <c r="BH979" s="120"/>
      <c r="BI979" s="120"/>
      <c r="BJ979" s="120"/>
      <c r="BK979" s="120"/>
      <c r="BL979" s="120"/>
      <c r="BM979" s="120"/>
      <c r="BN979" s="120"/>
      <c r="BO979" s="120"/>
      <c r="BP979" s="120"/>
      <c r="BQ979" s="120"/>
      <c r="BR979" s="120"/>
      <c r="BS979" s="120"/>
      <c r="BT979" s="120"/>
      <c r="BU979" s="120"/>
      <c r="BV979" s="120"/>
      <c r="BW979" s="120"/>
      <c r="BX979" s="120"/>
      <c r="BY979" s="120"/>
      <c r="BZ979" s="120"/>
      <c r="CA979" s="120"/>
      <c r="CB979" s="120"/>
      <c r="CC979" s="120"/>
      <c r="CD979" s="120"/>
      <c r="CE979" s="120"/>
      <c r="CF979" s="120"/>
      <c r="CG979" s="120"/>
      <c r="CH979" s="120"/>
      <c r="CI979" s="120"/>
      <c r="CJ979" s="120"/>
      <c r="CK979" s="120"/>
      <c r="CL979" s="120"/>
      <c r="CM979" s="120"/>
      <c r="CN979" s="120"/>
      <c r="CO979" s="120"/>
    </row>
    <row r="980" spans="1:93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1"/>
      <c r="U980" s="120"/>
      <c r="V980" s="120"/>
      <c r="W980" s="121"/>
      <c r="X980" s="120"/>
      <c r="Y980" s="120"/>
      <c r="Z980" s="120"/>
      <c r="AA980" s="120"/>
      <c r="AB980" s="120"/>
      <c r="AC980" s="120"/>
      <c r="AD980" s="120"/>
      <c r="AE980" s="120"/>
      <c r="AF980" s="120"/>
      <c r="AG980" s="120"/>
      <c r="AH980" s="120"/>
      <c r="AI980" s="120"/>
      <c r="AJ980" s="120"/>
      <c r="AK980" s="120"/>
      <c r="AL980" s="120"/>
      <c r="AM980" s="120"/>
      <c r="AN980" s="120"/>
      <c r="AO980" s="120"/>
      <c r="AP980" s="120"/>
      <c r="AQ980" s="120"/>
      <c r="AR980" s="120"/>
      <c r="AS980" s="120"/>
      <c r="AT980" s="120"/>
      <c r="AU980" s="120"/>
      <c r="AV980" s="120"/>
      <c r="AW980" s="120"/>
      <c r="AX980" s="120"/>
      <c r="AY980" s="120"/>
      <c r="AZ980" s="120"/>
      <c r="BA980" s="120"/>
      <c r="BB980" s="120"/>
      <c r="BC980" s="120"/>
      <c r="BD980" s="120"/>
      <c r="BE980" s="120"/>
      <c r="BF980" s="120"/>
      <c r="BG980" s="120"/>
      <c r="BH980" s="120"/>
      <c r="BI980" s="120"/>
      <c r="BJ980" s="120"/>
      <c r="BK980" s="120"/>
      <c r="BL980" s="120"/>
      <c r="BM980" s="120"/>
      <c r="BN980" s="120"/>
      <c r="BO980" s="120"/>
      <c r="BP980" s="120"/>
      <c r="BQ980" s="120"/>
      <c r="BR980" s="120"/>
      <c r="BS980" s="120"/>
      <c r="BT980" s="120"/>
      <c r="BU980" s="120"/>
      <c r="BV980" s="120"/>
      <c r="BW980" s="120"/>
      <c r="BX980" s="120"/>
      <c r="BY980" s="120"/>
      <c r="BZ980" s="120"/>
      <c r="CA980" s="120"/>
      <c r="CB980" s="120"/>
      <c r="CC980" s="120"/>
      <c r="CD980" s="120"/>
      <c r="CE980" s="120"/>
      <c r="CF980" s="120"/>
      <c r="CG980" s="120"/>
      <c r="CH980" s="120"/>
      <c r="CI980" s="120"/>
      <c r="CJ980" s="120"/>
      <c r="CK980" s="120"/>
      <c r="CL980" s="120"/>
      <c r="CM980" s="120"/>
      <c r="CN980" s="120"/>
      <c r="CO980" s="120"/>
    </row>
    <row r="981" spans="1:93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1"/>
      <c r="U981" s="120"/>
      <c r="V981" s="120"/>
      <c r="W981" s="121"/>
      <c r="X981" s="120"/>
      <c r="Y981" s="120"/>
      <c r="Z981" s="120"/>
      <c r="AA981" s="120"/>
      <c r="AB981" s="120"/>
      <c r="AC981" s="120"/>
      <c r="AD981" s="120"/>
      <c r="AE981" s="120"/>
      <c r="AF981" s="120"/>
      <c r="AG981" s="120"/>
      <c r="AH981" s="120"/>
      <c r="AI981" s="120"/>
      <c r="AJ981" s="120"/>
      <c r="AK981" s="120"/>
      <c r="AL981" s="120"/>
      <c r="AM981" s="120"/>
      <c r="AN981" s="120"/>
      <c r="AO981" s="120"/>
      <c r="AP981" s="120"/>
      <c r="AQ981" s="120"/>
      <c r="AR981" s="120"/>
      <c r="AS981" s="120"/>
      <c r="AT981" s="120"/>
      <c r="AU981" s="120"/>
      <c r="AV981" s="120"/>
      <c r="AW981" s="120"/>
      <c r="AX981" s="120"/>
      <c r="AY981" s="120"/>
      <c r="AZ981" s="120"/>
      <c r="BA981" s="120"/>
      <c r="BB981" s="120"/>
      <c r="BC981" s="120"/>
      <c r="BD981" s="120"/>
      <c r="BE981" s="120"/>
      <c r="BF981" s="120"/>
      <c r="BG981" s="120"/>
      <c r="BH981" s="120"/>
      <c r="BI981" s="120"/>
      <c r="BJ981" s="120"/>
      <c r="BK981" s="120"/>
      <c r="BL981" s="120"/>
      <c r="BM981" s="120"/>
      <c r="BN981" s="120"/>
      <c r="BO981" s="120"/>
      <c r="BP981" s="120"/>
      <c r="BQ981" s="120"/>
      <c r="BR981" s="120"/>
      <c r="BS981" s="120"/>
      <c r="BT981" s="120"/>
      <c r="BU981" s="120"/>
      <c r="BV981" s="120"/>
      <c r="BW981" s="120"/>
      <c r="BX981" s="120"/>
      <c r="BY981" s="120"/>
      <c r="BZ981" s="120"/>
      <c r="CA981" s="120"/>
      <c r="CB981" s="120"/>
      <c r="CC981" s="120"/>
      <c r="CD981" s="120"/>
      <c r="CE981" s="120"/>
      <c r="CF981" s="120"/>
      <c r="CG981" s="120"/>
      <c r="CH981" s="120"/>
      <c r="CI981" s="120"/>
      <c r="CJ981" s="120"/>
      <c r="CK981" s="120"/>
      <c r="CL981" s="120"/>
      <c r="CM981" s="120"/>
      <c r="CN981" s="120"/>
      <c r="CO981" s="120"/>
    </row>
    <row r="982" spans="1:93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1"/>
      <c r="U982" s="120"/>
      <c r="V982" s="120"/>
      <c r="W982" s="121"/>
      <c r="X982" s="120"/>
      <c r="Y982" s="120"/>
      <c r="Z982" s="120"/>
      <c r="AA982" s="120"/>
      <c r="AB982" s="120"/>
      <c r="AC982" s="120"/>
      <c r="AD982" s="120"/>
      <c r="AE982" s="120"/>
      <c r="AF982" s="120"/>
      <c r="AG982" s="120"/>
      <c r="AH982" s="120"/>
      <c r="AI982" s="120"/>
      <c r="AJ982" s="120"/>
      <c r="AK982" s="120"/>
      <c r="AL982" s="120"/>
      <c r="AM982" s="120"/>
      <c r="AN982" s="120"/>
      <c r="AO982" s="120"/>
      <c r="AP982" s="120"/>
      <c r="AQ982" s="120"/>
      <c r="AR982" s="120"/>
      <c r="AS982" s="120"/>
      <c r="AT982" s="120"/>
      <c r="AU982" s="120"/>
      <c r="AV982" s="120"/>
      <c r="AW982" s="120"/>
      <c r="AX982" s="120"/>
      <c r="AY982" s="120"/>
      <c r="AZ982" s="120"/>
      <c r="BA982" s="120"/>
      <c r="BB982" s="120"/>
      <c r="BC982" s="120"/>
      <c r="BD982" s="120"/>
      <c r="BE982" s="120"/>
      <c r="BF982" s="120"/>
      <c r="BG982" s="120"/>
      <c r="BH982" s="120"/>
      <c r="BI982" s="120"/>
      <c r="BJ982" s="120"/>
      <c r="BK982" s="120"/>
      <c r="BL982" s="120"/>
      <c r="BM982" s="120"/>
      <c r="BN982" s="120"/>
      <c r="BO982" s="120"/>
      <c r="BP982" s="120"/>
      <c r="BQ982" s="120"/>
      <c r="BR982" s="120"/>
      <c r="BS982" s="120"/>
      <c r="BT982" s="120"/>
      <c r="BU982" s="120"/>
      <c r="BV982" s="120"/>
      <c r="BW982" s="120"/>
      <c r="BX982" s="120"/>
      <c r="BY982" s="120"/>
      <c r="BZ982" s="120"/>
      <c r="CA982" s="120"/>
      <c r="CB982" s="120"/>
      <c r="CC982" s="120"/>
      <c r="CD982" s="120"/>
      <c r="CE982" s="120"/>
      <c r="CF982" s="120"/>
      <c r="CG982" s="120"/>
      <c r="CH982" s="120"/>
      <c r="CI982" s="120"/>
      <c r="CJ982" s="120"/>
      <c r="CK982" s="120"/>
      <c r="CL982" s="120"/>
      <c r="CM982" s="120"/>
      <c r="CN982" s="120"/>
      <c r="CO982" s="120"/>
    </row>
    <row r="983" spans="1:93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1"/>
      <c r="U983" s="120"/>
      <c r="V983" s="120"/>
      <c r="W983" s="121"/>
      <c r="X983" s="120"/>
      <c r="Y983" s="120"/>
      <c r="Z983" s="120"/>
      <c r="AA983" s="120"/>
      <c r="AB983" s="120"/>
      <c r="AC983" s="120"/>
      <c r="AD983" s="120"/>
      <c r="AE983" s="120"/>
      <c r="AF983" s="120"/>
      <c r="AG983" s="120"/>
      <c r="AH983" s="120"/>
      <c r="AI983" s="120"/>
      <c r="AJ983" s="120"/>
      <c r="AK983" s="120"/>
      <c r="AL983" s="120"/>
      <c r="AM983" s="120"/>
      <c r="AN983" s="120"/>
      <c r="AO983" s="120"/>
      <c r="AP983" s="120"/>
      <c r="AQ983" s="120"/>
      <c r="AR983" s="120"/>
      <c r="AS983" s="120"/>
      <c r="AT983" s="120"/>
      <c r="AU983" s="120"/>
      <c r="AV983" s="120"/>
      <c r="AW983" s="120"/>
      <c r="AX983" s="120"/>
      <c r="AY983" s="120"/>
      <c r="AZ983" s="120"/>
      <c r="BA983" s="120"/>
      <c r="BB983" s="120"/>
      <c r="BC983" s="120"/>
      <c r="BD983" s="120"/>
      <c r="BE983" s="120"/>
      <c r="BF983" s="120"/>
      <c r="BG983" s="120"/>
      <c r="BH983" s="120"/>
      <c r="BI983" s="120"/>
      <c r="BJ983" s="120"/>
      <c r="BK983" s="120"/>
      <c r="BL983" s="120"/>
      <c r="BM983" s="120"/>
      <c r="BN983" s="120"/>
      <c r="BO983" s="120"/>
      <c r="BP983" s="120"/>
      <c r="BQ983" s="120"/>
      <c r="BR983" s="120"/>
      <c r="BS983" s="120"/>
      <c r="BT983" s="120"/>
      <c r="BU983" s="120"/>
      <c r="BV983" s="120"/>
      <c r="BW983" s="120"/>
      <c r="BX983" s="120"/>
      <c r="BY983" s="120"/>
      <c r="BZ983" s="120"/>
      <c r="CA983" s="120"/>
      <c r="CB983" s="120"/>
      <c r="CC983" s="120"/>
      <c r="CD983" s="120"/>
      <c r="CE983" s="120"/>
      <c r="CF983" s="120"/>
      <c r="CG983" s="120"/>
      <c r="CH983" s="120"/>
      <c r="CI983" s="120"/>
      <c r="CJ983" s="120"/>
      <c r="CK983" s="120"/>
      <c r="CL983" s="120"/>
      <c r="CM983" s="120"/>
      <c r="CN983" s="120"/>
      <c r="CO983" s="120"/>
    </row>
    <row r="984" spans="1:93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1"/>
      <c r="U984" s="120"/>
      <c r="V984" s="120"/>
      <c r="W984" s="121"/>
      <c r="X984" s="120"/>
      <c r="Y984" s="120"/>
      <c r="Z984" s="120"/>
      <c r="AA984" s="120"/>
      <c r="AB984" s="120"/>
      <c r="AC984" s="120"/>
      <c r="AD984" s="120"/>
      <c r="AE984" s="120"/>
      <c r="AF984" s="120"/>
      <c r="AG984" s="120"/>
      <c r="AH984" s="120"/>
      <c r="AI984" s="120"/>
      <c r="AJ984" s="120"/>
      <c r="AK984" s="120"/>
      <c r="AL984" s="120"/>
      <c r="AM984" s="120"/>
      <c r="AN984" s="120"/>
      <c r="AO984" s="120"/>
      <c r="AP984" s="120"/>
      <c r="AQ984" s="120"/>
      <c r="AR984" s="120"/>
      <c r="AS984" s="120"/>
      <c r="AT984" s="120"/>
      <c r="AU984" s="120"/>
      <c r="AV984" s="120"/>
      <c r="AW984" s="120"/>
      <c r="AX984" s="120"/>
      <c r="AY984" s="120"/>
      <c r="AZ984" s="120"/>
      <c r="BA984" s="120"/>
      <c r="BB984" s="120"/>
      <c r="BC984" s="120"/>
      <c r="BD984" s="120"/>
      <c r="BE984" s="120"/>
      <c r="BF984" s="120"/>
      <c r="BG984" s="120"/>
      <c r="BH984" s="120"/>
      <c r="BI984" s="120"/>
      <c r="BJ984" s="120"/>
      <c r="BK984" s="120"/>
      <c r="BL984" s="120"/>
      <c r="BM984" s="120"/>
      <c r="BN984" s="120"/>
      <c r="BO984" s="120"/>
      <c r="BP984" s="120"/>
      <c r="BQ984" s="120"/>
      <c r="BR984" s="120"/>
      <c r="BS984" s="120"/>
      <c r="BT984" s="120"/>
      <c r="BU984" s="120"/>
      <c r="BV984" s="120"/>
      <c r="BW984" s="120"/>
      <c r="BX984" s="120"/>
      <c r="BY984" s="120"/>
      <c r="BZ984" s="120"/>
      <c r="CA984" s="120"/>
      <c r="CB984" s="120"/>
      <c r="CC984" s="120"/>
      <c r="CD984" s="120"/>
      <c r="CE984" s="120"/>
      <c r="CF984" s="120"/>
      <c r="CG984" s="120"/>
      <c r="CH984" s="120"/>
      <c r="CI984" s="120"/>
      <c r="CJ984" s="120"/>
      <c r="CK984" s="120"/>
      <c r="CL984" s="120"/>
      <c r="CM984" s="120"/>
      <c r="CN984" s="120"/>
      <c r="CO984" s="120"/>
    </row>
    <row r="985" spans="1:93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1"/>
      <c r="U985" s="120"/>
      <c r="V985" s="120"/>
      <c r="W985" s="121"/>
      <c r="X985" s="120"/>
      <c r="Y985" s="120"/>
      <c r="Z985" s="120"/>
      <c r="AA985" s="120"/>
      <c r="AB985" s="120"/>
      <c r="AC985" s="120"/>
      <c r="AD985" s="120"/>
      <c r="AE985" s="120"/>
      <c r="AF985" s="120"/>
      <c r="AG985" s="120"/>
      <c r="AH985" s="120"/>
      <c r="AI985" s="120"/>
      <c r="AJ985" s="120"/>
      <c r="AK985" s="120"/>
      <c r="AL985" s="120"/>
      <c r="AM985" s="120"/>
      <c r="AN985" s="120"/>
      <c r="AO985" s="120"/>
      <c r="AP985" s="120"/>
      <c r="AQ985" s="120"/>
      <c r="AR985" s="120"/>
      <c r="AS985" s="120"/>
      <c r="AT985" s="120"/>
      <c r="AU985" s="120"/>
      <c r="AV985" s="120"/>
      <c r="AW985" s="120"/>
      <c r="AX985" s="120"/>
      <c r="AY985" s="120"/>
      <c r="AZ985" s="120"/>
      <c r="BA985" s="120"/>
      <c r="BB985" s="120"/>
      <c r="BC985" s="120"/>
      <c r="BD985" s="120"/>
      <c r="BE985" s="120"/>
      <c r="BF985" s="120"/>
      <c r="BG985" s="120"/>
      <c r="BH985" s="120"/>
      <c r="BI985" s="120"/>
      <c r="BJ985" s="120"/>
      <c r="BK985" s="120"/>
      <c r="BL985" s="120"/>
      <c r="BM985" s="120"/>
      <c r="BN985" s="120"/>
      <c r="BO985" s="120"/>
      <c r="BP985" s="120"/>
      <c r="BQ985" s="120"/>
      <c r="BR985" s="120"/>
      <c r="BS985" s="120"/>
      <c r="BT985" s="120"/>
      <c r="BU985" s="120"/>
      <c r="BV985" s="120"/>
      <c r="BW985" s="120"/>
      <c r="BX985" s="120"/>
      <c r="BY985" s="120"/>
      <c r="BZ985" s="120"/>
      <c r="CA985" s="120"/>
      <c r="CB985" s="120"/>
      <c r="CC985" s="120"/>
      <c r="CD985" s="120"/>
      <c r="CE985" s="120"/>
      <c r="CF985" s="120"/>
      <c r="CG985" s="120"/>
      <c r="CH985" s="120"/>
      <c r="CI985" s="120"/>
      <c r="CJ985" s="120"/>
      <c r="CK985" s="120"/>
      <c r="CL985" s="120"/>
      <c r="CM985" s="120"/>
      <c r="CN985" s="120"/>
      <c r="CO985" s="120"/>
    </row>
    <row r="986" spans="1:93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1"/>
      <c r="U986" s="120"/>
      <c r="V986" s="120"/>
      <c r="W986" s="121"/>
      <c r="X986" s="120"/>
      <c r="Y986" s="120"/>
      <c r="Z986" s="120"/>
      <c r="AA986" s="120"/>
      <c r="AB986" s="120"/>
      <c r="AC986" s="120"/>
      <c r="AD986" s="120"/>
      <c r="AE986" s="120"/>
      <c r="AF986" s="120"/>
      <c r="AG986" s="120"/>
      <c r="AH986" s="120"/>
      <c r="AI986" s="120"/>
      <c r="AJ986" s="120"/>
      <c r="AK986" s="120"/>
      <c r="AL986" s="120"/>
      <c r="AM986" s="120"/>
      <c r="AN986" s="120"/>
      <c r="AO986" s="120"/>
      <c r="AP986" s="120"/>
      <c r="AQ986" s="120"/>
      <c r="AR986" s="120"/>
      <c r="AS986" s="120"/>
      <c r="AT986" s="120"/>
      <c r="AU986" s="120"/>
      <c r="AV986" s="120"/>
      <c r="AW986" s="120"/>
      <c r="AX986" s="120"/>
      <c r="AY986" s="120"/>
      <c r="AZ986" s="120"/>
      <c r="BA986" s="120"/>
      <c r="BB986" s="120"/>
      <c r="BC986" s="120"/>
      <c r="BD986" s="120"/>
      <c r="BE986" s="120"/>
      <c r="BF986" s="120"/>
      <c r="BG986" s="120"/>
      <c r="BH986" s="120"/>
      <c r="BI986" s="120"/>
      <c r="BJ986" s="120"/>
      <c r="BK986" s="120"/>
      <c r="BL986" s="120"/>
      <c r="BM986" s="120"/>
      <c r="BN986" s="120"/>
      <c r="BO986" s="120"/>
      <c r="BP986" s="120"/>
      <c r="BQ986" s="120"/>
      <c r="BR986" s="120"/>
      <c r="BS986" s="120"/>
      <c r="BT986" s="120"/>
      <c r="BU986" s="120"/>
      <c r="BV986" s="120"/>
      <c r="BW986" s="120"/>
      <c r="BX986" s="120"/>
      <c r="BY986" s="120"/>
      <c r="BZ986" s="120"/>
      <c r="CA986" s="120"/>
      <c r="CB986" s="120"/>
      <c r="CC986" s="120"/>
      <c r="CD986" s="120"/>
      <c r="CE986" s="120"/>
      <c r="CF986" s="120"/>
      <c r="CG986" s="120"/>
      <c r="CH986" s="120"/>
      <c r="CI986" s="120"/>
      <c r="CJ986" s="120"/>
      <c r="CK986" s="120"/>
      <c r="CL986" s="120"/>
      <c r="CM986" s="120"/>
      <c r="CN986" s="120"/>
      <c r="CO986" s="120"/>
    </row>
    <row r="987" spans="1:93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1"/>
      <c r="U987" s="120"/>
      <c r="V987" s="120"/>
      <c r="W987" s="121"/>
      <c r="X987" s="120"/>
      <c r="Y987" s="120"/>
      <c r="Z987" s="120"/>
      <c r="AA987" s="120"/>
      <c r="AB987" s="120"/>
      <c r="AC987" s="120"/>
      <c r="AD987" s="120"/>
      <c r="AE987" s="120"/>
      <c r="AF987" s="120"/>
      <c r="AG987" s="120"/>
      <c r="AH987" s="120"/>
      <c r="AI987" s="120"/>
      <c r="AJ987" s="120"/>
      <c r="AK987" s="120"/>
      <c r="AL987" s="120"/>
      <c r="AM987" s="120"/>
      <c r="AN987" s="120"/>
      <c r="AO987" s="120"/>
      <c r="AP987" s="120"/>
      <c r="AQ987" s="120"/>
      <c r="AR987" s="120"/>
      <c r="AS987" s="120"/>
      <c r="AT987" s="120"/>
      <c r="AU987" s="120"/>
      <c r="AV987" s="120"/>
      <c r="AW987" s="120"/>
      <c r="AX987" s="120"/>
      <c r="AY987" s="120"/>
      <c r="AZ987" s="120"/>
      <c r="BA987" s="120"/>
      <c r="BB987" s="120"/>
      <c r="BC987" s="120"/>
      <c r="BD987" s="120"/>
      <c r="BE987" s="120"/>
      <c r="BF987" s="120"/>
      <c r="BG987" s="120"/>
      <c r="BH987" s="120"/>
      <c r="BI987" s="120"/>
      <c r="BJ987" s="120"/>
      <c r="BK987" s="120"/>
      <c r="BL987" s="120"/>
      <c r="BM987" s="120"/>
      <c r="BN987" s="120"/>
      <c r="BO987" s="120"/>
      <c r="BP987" s="120"/>
      <c r="BQ987" s="120"/>
      <c r="BR987" s="120"/>
      <c r="BS987" s="120"/>
      <c r="BT987" s="120"/>
      <c r="BU987" s="120"/>
      <c r="BV987" s="120"/>
      <c r="BW987" s="120"/>
      <c r="BX987" s="120"/>
      <c r="BY987" s="120"/>
      <c r="BZ987" s="120"/>
      <c r="CA987" s="120"/>
      <c r="CB987" s="120"/>
      <c r="CC987" s="120"/>
      <c r="CD987" s="120"/>
      <c r="CE987" s="120"/>
      <c r="CF987" s="120"/>
      <c r="CG987" s="120"/>
      <c r="CH987" s="120"/>
      <c r="CI987" s="120"/>
      <c r="CJ987" s="120"/>
      <c r="CK987" s="120"/>
      <c r="CL987" s="120"/>
      <c r="CM987" s="120"/>
      <c r="CN987" s="120"/>
      <c r="CO987" s="120"/>
    </row>
    <row r="988" spans="1:93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1"/>
      <c r="U988" s="120"/>
      <c r="V988" s="120"/>
      <c r="W988" s="121"/>
      <c r="X988" s="120"/>
      <c r="Y988" s="120"/>
      <c r="Z988" s="120"/>
      <c r="AA988" s="120"/>
      <c r="AB988" s="120"/>
      <c r="AC988" s="120"/>
      <c r="AD988" s="120"/>
      <c r="AE988" s="120"/>
      <c r="AF988" s="120"/>
      <c r="AG988" s="120"/>
      <c r="AH988" s="120"/>
      <c r="AI988" s="120"/>
      <c r="AJ988" s="120"/>
      <c r="AK988" s="120"/>
      <c r="AL988" s="120"/>
      <c r="AM988" s="120"/>
      <c r="AN988" s="120"/>
      <c r="AO988" s="120"/>
      <c r="AP988" s="120"/>
      <c r="AQ988" s="120"/>
      <c r="AR988" s="120"/>
      <c r="AS988" s="120"/>
      <c r="AT988" s="120"/>
      <c r="AU988" s="120"/>
      <c r="AV988" s="120"/>
      <c r="AW988" s="120"/>
      <c r="AX988" s="120"/>
      <c r="AY988" s="120"/>
      <c r="AZ988" s="120"/>
      <c r="BA988" s="120"/>
      <c r="BB988" s="120"/>
      <c r="BC988" s="120"/>
      <c r="BD988" s="120"/>
      <c r="BE988" s="120"/>
      <c r="BF988" s="120"/>
      <c r="BG988" s="120"/>
      <c r="BH988" s="120"/>
      <c r="BI988" s="120"/>
      <c r="BJ988" s="120"/>
      <c r="BK988" s="120"/>
      <c r="BL988" s="120"/>
      <c r="BM988" s="120"/>
      <c r="BN988" s="120"/>
      <c r="BO988" s="120"/>
      <c r="BP988" s="120"/>
      <c r="BQ988" s="120"/>
      <c r="BR988" s="120"/>
      <c r="BS988" s="120"/>
      <c r="BT988" s="120"/>
      <c r="BU988" s="120"/>
      <c r="BV988" s="120"/>
      <c r="BW988" s="120"/>
      <c r="BX988" s="120"/>
      <c r="BY988" s="120"/>
      <c r="BZ988" s="120"/>
      <c r="CA988" s="120"/>
      <c r="CB988" s="120"/>
      <c r="CC988" s="120"/>
      <c r="CD988" s="120"/>
      <c r="CE988" s="120"/>
      <c r="CF988" s="120"/>
      <c r="CG988" s="120"/>
      <c r="CH988" s="120"/>
      <c r="CI988" s="120"/>
      <c r="CJ988" s="120"/>
      <c r="CK988" s="120"/>
      <c r="CL988" s="120"/>
      <c r="CM988" s="120"/>
      <c r="CN988" s="120"/>
      <c r="CO988" s="120"/>
    </row>
    <row r="989" spans="1:93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1"/>
      <c r="U989" s="120"/>
      <c r="V989" s="120"/>
      <c r="W989" s="121"/>
      <c r="X989" s="120"/>
      <c r="Y989" s="120"/>
      <c r="Z989" s="120"/>
      <c r="AA989" s="120"/>
      <c r="AB989" s="120"/>
      <c r="AC989" s="120"/>
      <c r="AD989" s="120"/>
      <c r="AE989" s="120"/>
      <c r="AF989" s="120"/>
      <c r="AG989" s="120"/>
      <c r="AH989" s="120"/>
      <c r="AI989" s="120"/>
      <c r="AJ989" s="120"/>
      <c r="AK989" s="120"/>
      <c r="AL989" s="120"/>
      <c r="AM989" s="120"/>
      <c r="AN989" s="120"/>
      <c r="AO989" s="120"/>
      <c r="AP989" s="120"/>
      <c r="AQ989" s="120"/>
      <c r="AR989" s="120"/>
      <c r="AS989" s="120"/>
      <c r="AT989" s="120"/>
      <c r="AU989" s="120"/>
      <c r="AV989" s="120"/>
      <c r="AW989" s="120"/>
      <c r="AX989" s="120"/>
      <c r="AY989" s="120"/>
      <c r="AZ989" s="120"/>
      <c r="BA989" s="120"/>
      <c r="BB989" s="120"/>
      <c r="BC989" s="120"/>
      <c r="BD989" s="120"/>
      <c r="BE989" s="120"/>
      <c r="BF989" s="120"/>
      <c r="BG989" s="120"/>
      <c r="BH989" s="120"/>
      <c r="BI989" s="120"/>
      <c r="BJ989" s="120"/>
      <c r="BK989" s="120"/>
      <c r="BL989" s="120"/>
      <c r="BM989" s="120"/>
      <c r="BN989" s="120"/>
      <c r="BO989" s="120"/>
      <c r="BP989" s="120"/>
      <c r="BQ989" s="120"/>
      <c r="BR989" s="120"/>
      <c r="BS989" s="120"/>
      <c r="BT989" s="120"/>
      <c r="BU989" s="120"/>
      <c r="BV989" s="120"/>
      <c r="BW989" s="120"/>
      <c r="BX989" s="120"/>
      <c r="BY989" s="120"/>
      <c r="BZ989" s="120"/>
      <c r="CA989" s="120"/>
      <c r="CB989" s="120"/>
      <c r="CC989" s="120"/>
      <c r="CD989" s="120"/>
      <c r="CE989" s="120"/>
      <c r="CF989" s="120"/>
      <c r="CG989" s="120"/>
      <c r="CH989" s="120"/>
      <c r="CI989" s="120"/>
      <c r="CJ989" s="120"/>
      <c r="CK989" s="120"/>
      <c r="CL989" s="120"/>
      <c r="CM989" s="120"/>
      <c r="CN989" s="120"/>
      <c r="CO989" s="120"/>
    </row>
    <row r="990" spans="1:93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1"/>
      <c r="U990" s="120"/>
      <c r="V990" s="120"/>
      <c r="W990" s="121"/>
      <c r="X990" s="120"/>
      <c r="Y990" s="120"/>
      <c r="Z990" s="120"/>
      <c r="AA990" s="120"/>
      <c r="AB990" s="120"/>
      <c r="AC990" s="120"/>
      <c r="AD990" s="120"/>
      <c r="AE990" s="120"/>
      <c r="AF990" s="120"/>
      <c r="AG990" s="120"/>
      <c r="AH990" s="120"/>
      <c r="AI990" s="120"/>
      <c r="AJ990" s="120"/>
      <c r="AK990" s="120"/>
      <c r="AL990" s="120"/>
      <c r="AM990" s="120"/>
      <c r="AN990" s="120"/>
      <c r="AO990" s="120"/>
      <c r="AP990" s="120"/>
      <c r="AQ990" s="120"/>
      <c r="AR990" s="120"/>
      <c r="AS990" s="120"/>
      <c r="AT990" s="120"/>
      <c r="AU990" s="120"/>
      <c r="AV990" s="120"/>
      <c r="AW990" s="120"/>
      <c r="AX990" s="120"/>
      <c r="AY990" s="120"/>
      <c r="AZ990" s="120"/>
      <c r="BA990" s="120"/>
      <c r="BB990" s="120"/>
      <c r="BC990" s="120"/>
      <c r="BD990" s="120"/>
      <c r="BE990" s="120"/>
      <c r="BF990" s="120"/>
      <c r="BG990" s="120"/>
      <c r="BH990" s="120"/>
      <c r="BI990" s="120"/>
      <c r="BJ990" s="120"/>
      <c r="BK990" s="120"/>
      <c r="BL990" s="120"/>
      <c r="BM990" s="120"/>
      <c r="BN990" s="120"/>
      <c r="BO990" s="120"/>
      <c r="BP990" s="120"/>
      <c r="BQ990" s="120"/>
      <c r="BR990" s="120"/>
      <c r="BS990" s="120"/>
      <c r="BT990" s="120"/>
      <c r="BU990" s="120"/>
      <c r="BV990" s="120"/>
      <c r="BW990" s="120"/>
      <c r="BX990" s="120"/>
      <c r="BY990" s="120"/>
      <c r="BZ990" s="120"/>
      <c r="CA990" s="120"/>
      <c r="CB990" s="120"/>
      <c r="CC990" s="120"/>
      <c r="CD990" s="120"/>
      <c r="CE990" s="120"/>
      <c r="CF990" s="120"/>
      <c r="CG990" s="120"/>
      <c r="CH990" s="120"/>
      <c r="CI990" s="120"/>
      <c r="CJ990" s="120"/>
      <c r="CK990" s="120"/>
      <c r="CL990" s="120"/>
      <c r="CM990" s="120"/>
      <c r="CN990" s="120"/>
      <c r="CO990" s="120"/>
    </row>
    <row r="991" spans="1:93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1"/>
      <c r="U991" s="120"/>
      <c r="V991" s="120"/>
      <c r="W991" s="121"/>
      <c r="X991" s="120"/>
      <c r="Y991" s="120"/>
      <c r="Z991" s="120"/>
      <c r="AA991" s="120"/>
      <c r="AB991" s="120"/>
      <c r="AC991" s="120"/>
      <c r="AD991" s="120"/>
      <c r="AE991" s="120"/>
      <c r="AF991" s="120"/>
      <c r="AG991" s="120"/>
      <c r="AH991" s="120"/>
      <c r="AI991" s="120"/>
      <c r="AJ991" s="120"/>
      <c r="AK991" s="120"/>
      <c r="AL991" s="120"/>
      <c r="AM991" s="120"/>
      <c r="AN991" s="120"/>
      <c r="AO991" s="120"/>
      <c r="AP991" s="120"/>
      <c r="AQ991" s="120"/>
      <c r="AR991" s="120"/>
      <c r="AS991" s="120"/>
      <c r="AT991" s="120"/>
      <c r="AU991" s="120"/>
      <c r="AV991" s="120"/>
      <c r="AW991" s="120"/>
      <c r="AX991" s="120"/>
      <c r="AY991" s="120"/>
      <c r="AZ991" s="120"/>
      <c r="BA991" s="120"/>
      <c r="BB991" s="120"/>
      <c r="BC991" s="120"/>
      <c r="BD991" s="120"/>
      <c r="BE991" s="120"/>
      <c r="BF991" s="120"/>
      <c r="BG991" s="120"/>
      <c r="BH991" s="120"/>
      <c r="BI991" s="120"/>
      <c r="BJ991" s="120"/>
      <c r="BK991" s="120"/>
      <c r="BL991" s="120"/>
      <c r="BM991" s="120"/>
      <c r="BN991" s="120"/>
      <c r="BO991" s="120"/>
      <c r="BP991" s="120"/>
      <c r="BQ991" s="120"/>
      <c r="BR991" s="120"/>
      <c r="BS991" s="120"/>
      <c r="BT991" s="120"/>
      <c r="BU991" s="120"/>
      <c r="BV991" s="120"/>
      <c r="BW991" s="120"/>
      <c r="BX991" s="120"/>
      <c r="BY991" s="120"/>
      <c r="BZ991" s="120"/>
      <c r="CA991" s="120"/>
      <c r="CB991" s="120"/>
      <c r="CC991" s="120"/>
      <c r="CD991" s="120"/>
      <c r="CE991" s="120"/>
      <c r="CF991" s="120"/>
      <c r="CG991" s="120"/>
      <c r="CH991" s="120"/>
      <c r="CI991" s="120"/>
      <c r="CJ991" s="120"/>
      <c r="CK991" s="120"/>
      <c r="CL991" s="120"/>
      <c r="CM991" s="120"/>
      <c r="CN991" s="120"/>
      <c r="CO991" s="120"/>
    </row>
    <row r="992" spans="1:93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1"/>
      <c r="U992" s="120"/>
      <c r="V992" s="120"/>
      <c r="W992" s="121"/>
      <c r="X992" s="120"/>
      <c r="Y992" s="120"/>
      <c r="Z992" s="120"/>
      <c r="AA992" s="120"/>
      <c r="AB992" s="120"/>
      <c r="AC992" s="120"/>
      <c r="AD992" s="120"/>
      <c r="AE992" s="120"/>
      <c r="AF992" s="120"/>
      <c r="AG992" s="120"/>
      <c r="AH992" s="120"/>
      <c r="AI992" s="120"/>
      <c r="AJ992" s="120"/>
      <c r="AK992" s="120"/>
      <c r="AL992" s="120"/>
      <c r="AM992" s="120"/>
      <c r="AN992" s="120"/>
      <c r="AO992" s="120"/>
      <c r="AP992" s="120"/>
      <c r="AQ992" s="120"/>
      <c r="AR992" s="120"/>
      <c r="AS992" s="120"/>
      <c r="AT992" s="120"/>
      <c r="AU992" s="120"/>
      <c r="AV992" s="120"/>
      <c r="AW992" s="120"/>
      <c r="AX992" s="120"/>
      <c r="AY992" s="120"/>
      <c r="AZ992" s="120"/>
      <c r="BA992" s="120"/>
      <c r="BB992" s="120"/>
      <c r="BC992" s="120"/>
      <c r="BD992" s="120"/>
      <c r="BE992" s="120"/>
      <c r="BF992" s="120"/>
      <c r="BG992" s="120"/>
      <c r="BH992" s="120"/>
      <c r="BI992" s="120"/>
      <c r="BJ992" s="120"/>
      <c r="BK992" s="120"/>
      <c r="BL992" s="120"/>
      <c r="BM992" s="120"/>
      <c r="BN992" s="120"/>
      <c r="BO992" s="120"/>
      <c r="BP992" s="120"/>
      <c r="BQ992" s="120"/>
      <c r="BR992" s="120"/>
      <c r="BS992" s="120"/>
      <c r="BT992" s="120"/>
      <c r="BU992" s="120"/>
      <c r="BV992" s="120"/>
      <c r="BW992" s="120"/>
      <c r="BX992" s="120"/>
      <c r="BY992" s="120"/>
      <c r="BZ992" s="120"/>
      <c r="CA992" s="120"/>
      <c r="CB992" s="120"/>
      <c r="CC992" s="120"/>
      <c r="CD992" s="120"/>
      <c r="CE992" s="120"/>
      <c r="CF992" s="120"/>
      <c r="CG992" s="120"/>
      <c r="CH992" s="120"/>
      <c r="CI992" s="120"/>
      <c r="CJ992" s="120"/>
      <c r="CK992" s="120"/>
      <c r="CL992" s="120"/>
      <c r="CM992" s="120"/>
      <c r="CN992" s="120"/>
      <c r="CO992" s="120"/>
    </row>
    <row r="993" spans="1:93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1"/>
      <c r="U993" s="120"/>
      <c r="V993" s="120"/>
      <c r="W993" s="121"/>
      <c r="X993" s="120"/>
      <c r="Y993" s="120"/>
      <c r="Z993" s="120"/>
      <c r="AA993" s="120"/>
      <c r="AB993" s="120"/>
      <c r="AC993" s="120"/>
      <c r="AD993" s="120"/>
      <c r="AE993" s="120"/>
      <c r="AF993" s="120"/>
      <c r="AG993" s="120"/>
      <c r="AH993" s="120"/>
      <c r="AI993" s="120"/>
      <c r="AJ993" s="120"/>
      <c r="AK993" s="120"/>
      <c r="AL993" s="120"/>
      <c r="AM993" s="120"/>
      <c r="AN993" s="120"/>
      <c r="AO993" s="120"/>
      <c r="AP993" s="120"/>
      <c r="AQ993" s="120"/>
      <c r="AR993" s="120"/>
      <c r="AS993" s="120"/>
      <c r="AT993" s="120"/>
      <c r="AU993" s="120"/>
      <c r="AV993" s="120"/>
      <c r="AW993" s="120"/>
      <c r="AX993" s="120"/>
      <c r="AY993" s="120"/>
      <c r="AZ993" s="120"/>
      <c r="BA993" s="120"/>
      <c r="BB993" s="120"/>
      <c r="BC993" s="120"/>
      <c r="BD993" s="120"/>
      <c r="BE993" s="120"/>
      <c r="BF993" s="120"/>
      <c r="BG993" s="120"/>
      <c r="BH993" s="120"/>
      <c r="BI993" s="120"/>
      <c r="BJ993" s="120"/>
      <c r="BK993" s="120"/>
      <c r="BL993" s="120"/>
      <c r="BM993" s="120"/>
      <c r="BN993" s="120"/>
      <c r="BO993" s="120"/>
      <c r="BP993" s="120"/>
      <c r="BQ993" s="120"/>
      <c r="BR993" s="120"/>
      <c r="BS993" s="120"/>
      <c r="BT993" s="120"/>
      <c r="BU993" s="120"/>
      <c r="BV993" s="120"/>
      <c r="BW993" s="120"/>
      <c r="BX993" s="120"/>
      <c r="BY993" s="120"/>
      <c r="BZ993" s="120"/>
      <c r="CA993" s="120"/>
      <c r="CB993" s="120"/>
      <c r="CC993" s="120"/>
      <c r="CD993" s="120"/>
      <c r="CE993" s="120"/>
      <c r="CF993" s="120"/>
      <c r="CG993" s="120"/>
      <c r="CH993" s="120"/>
      <c r="CI993" s="120"/>
      <c r="CJ993" s="120"/>
      <c r="CK993" s="120"/>
      <c r="CL993" s="120"/>
      <c r="CM993" s="120"/>
      <c r="CN993" s="120"/>
      <c r="CO993" s="120"/>
    </row>
    <row r="994" spans="1:93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1"/>
      <c r="U994" s="120"/>
      <c r="V994" s="120"/>
      <c r="W994" s="121"/>
      <c r="X994" s="120"/>
      <c r="Y994" s="120"/>
      <c r="Z994" s="120"/>
      <c r="AA994" s="120"/>
      <c r="AB994" s="120"/>
      <c r="AC994" s="120"/>
      <c r="AD994" s="120"/>
      <c r="AE994" s="120"/>
      <c r="AF994" s="120"/>
      <c r="AG994" s="120"/>
      <c r="AH994" s="120"/>
      <c r="AI994" s="120"/>
      <c r="AJ994" s="120"/>
      <c r="AK994" s="120"/>
      <c r="AL994" s="120"/>
      <c r="AM994" s="120"/>
      <c r="AN994" s="120"/>
      <c r="AO994" s="120"/>
      <c r="AP994" s="120"/>
      <c r="AQ994" s="120"/>
      <c r="AR994" s="120"/>
      <c r="AS994" s="120"/>
      <c r="AT994" s="120"/>
      <c r="AU994" s="120"/>
      <c r="AV994" s="120"/>
      <c r="AW994" s="120"/>
      <c r="AX994" s="120"/>
      <c r="AY994" s="120"/>
      <c r="AZ994" s="120"/>
      <c r="BA994" s="120"/>
      <c r="BB994" s="120"/>
      <c r="BC994" s="120"/>
      <c r="BD994" s="120"/>
      <c r="BE994" s="120"/>
      <c r="BF994" s="120"/>
      <c r="BG994" s="120"/>
      <c r="BH994" s="120"/>
      <c r="BI994" s="120"/>
      <c r="BJ994" s="120"/>
      <c r="BK994" s="120"/>
      <c r="BL994" s="120"/>
      <c r="BM994" s="120"/>
      <c r="BN994" s="120"/>
      <c r="BO994" s="120"/>
      <c r="BP994" s="120"/>
      <c r="BQ994" s="120"/>
      <c r="BR994" s="120"/>
      <c r="BS994" s="120"/>
      <c r="BT994" s="120"/>
      <c r="BU994" s="120"/>
      <c r="BV994" s="120"/>
      <c r="BW994" s="120"/>
      <c r="BX994" s="120"/>
      <c r="BY994" s="120"/>
      <c r="BZ994" s="120"/>
      <c r="CA994" s="120"/>
      <c r="CB994" s="120"/>
      <c r="CC994" s="120"/>
      <c r="CD994" s="120"/>
      <c r="CE994" s="120"/>
      <c r="CF994" s="120"/>
      <c r="CG994" s="120"/>
      <c r="CH994" s="120"/>
      <c r="CI994" s="120"/>
      <c r="CJ994" s="120"/>
      <c r="CK994" s="120"/>
      <c r="CL994" s="120"/>
      <c r="CM994" s="120"/>
      <c r="CN994" s="120"/>
      <c r="CO994" s="120"/>
    </row>
    <row r="995" spans="1:93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1"/>
      <c r="U995" s="120"/>
      <c r="V995" s="120"/>
      <c r="W995" s="121"/>
      <c r="X995" s="120"/>
      <c r="Y995" s="120"/>
      <c r="Z995" s="120"/>
      <c r="AA995" s="120"/>
      <c r="AB995" s="120"/>
      <c r="AC995" s="120"/>
      <c r="AD995" s="120"/>
      <c r="AE995" s="120"/>
      <c r="AF995" s="120"/>
      <c r="AG995" s="120"/>
      <c r="AH995" s="120"/>
      <c r="AI995" s="120"/>
      <c r="AJ995" s="120"/>
      <c r="AK995" s="120"/>
      <c r="AL995" s="120"/>
      <c r="AM995" s="120"/>
      <c r="AN995" s="120"/>
      <c r="AO995" s="120"/>
      <c r="AP995" s="120"/>
      <c r="AQ995" s="120"/>
      <c r="AR995" s="120"/>
      <c r="AS995" s="120"/>
      <c r="AT995" s="120"/>
      <c r="AU995" s="120"/>
      <c r="AV995" s="120"/>
      <c r="AW995" s="120"/>
      <c r="AX995" s="120"/>
      <c r="AY995" s="120"/>
      <c r="AZ995" s="120"/>
      <c r="BA995" s="120"/>
      <c r="BB995" s="120"/>
      <c r="BC995" s="120"/>
      <c r="BD995" s="120"/>
      <c r="BE995" s="120"/>
      <c r="BF995" s="120"/>
      <c r="BG995" s="120"/>
      <c r="BH995" s="120"/>
      <c r="BI995" s="120"/>
      <c r="BJ995" s="120"/>
      <c r="BK995" s="120"/>
      <c r="BL995" s="120"/>
      <c r="BM995" s="120"/>
      <c r="BN995" s="120"/>
      <c r="BO995" s="120"/>
      <c r="BP995" s="120"/>
      <c r="BQ995" s="120"/>
      <c r="BR995" s="120"/>
      <c r="BS995" s="120"/>
      <c r="BT995" s="120"/>
      <c r="BU995" s="120"/>
      <c r="BV995" s="120"/>
      <c r="BW995" s="120"/>
      <c r="BX995" s="120"/>
      <c r="BY995" s="120"/>
      <c r="BZ995" s="120"/>
      <c r="CA995" s="120"/>
      <c r="CB995" s="120"/>
      <c r="CC995" s="120"/>
      <c r="CD995" s="120"/>
      <c r="CE995" s="120"/>
      <c r="CF995" s="120"/>
      <c r="CG995" s="120"/>
      <c r="CH995" s="120"/>
      <c r="CI995" s="120"/>
      <c r="CJ995" s="120"/>
      <c r="CK995" s="120"/>
      <c r="CL995" s="120"/>
      <c r="CM995" s="120"/>
      <c r="CN995" s="120"/>
      <c r="CO995" s="120"/>
    </row>
    <row r="996" spans="1:93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1"/>
      <c r="U996" s="120"/>
      <c r="V996" s="120"/>
      <c r="W996" s="121"/>
      <c r="X996" s="120"/>
      <c r="Y996" s="120"/>
      <c r="Z996" s="120"/>
      <c r="AA996" s="120"/>
      <c r="AB996" s="120"/>
      <c r="AC996" s="120"/>
      <c r="AD996" s="120"/>
      <c r="AE996" s="120"/>
      <c r="AF996" s="120"/>
      <c r="AG996" s="120"/>
      <c r="AH996" s="120"/>
      <c r="AI996" s="120"/>
      <c r="AJ996" s="120"/>
      <c r="AK996" s="120"/>
      <c r="AL996" s="120"/>
      <c r="AM996" s="120"/>
      <c r="AN996" s="120"/>
      <c r="AO996" s="120"/>
      <c r="AP996" s="120"/>
      <c r="AQ996" s="120"/>
      <c r="AR996" s="120"/>
      <c r="AS996" s="120"/>
      <c r="AT996" s="120"/>
      <c r="AU996" s="120"/>
      <c r="AV996" s="120"/>
      <c r="AW996" s="120"/>
      <c r="AX996" s="120"/>
      <c r="AY996" s="120"/>
      <c r="AZ996" s="120"/>
      <c r="BA996" s="120"/>
      <c r="BB996" s="120"/>
      <c r="BC996" s="120"/>
      <c r="BD996" s="120"/>
      <c r="BE996" s="120"/>
      <c r="BF996" s="120"/>
      <c r="BG996" s="120"/>
      <c r="BH996" s="120"/>
      <c r="BI996" s="120"/>
      <c r="BJ996" s="120"/>
      <c r="BK996" s="120"/>
      <c r="BL996" s="120"/>
      <c r="BM996" s="120"/>
      <c r="BN996" s="120"/>
      <c r="BO996" s="120"/>
      <c r="BP996" s="120"/>
      <c r="BQ996" s="120"/>
      <c r="BR996" s="120"/>
      <c r="BS996" s="120"/>
      <c r="BT996" s="120"/>
      <c r="BU996" s="120"/>
      <c r="BV996" s="120"/>
      <c r="BW996" s="120"/>
      <c r="BX996" s="120"/>
      <c r="BY996" s="120"/>
      <c r="BZ996" s="120"/>
      <c r="CA996" s="120"/>
      <c r="CB996" s="120"/>
      <c r="CC996" s="120"/>
      <c r="CD996" s="120"/>
      <c r="CE996" s="120"/>
      <c r="CF996" s="120"/>
      <c r="CG996" s="120"/>
      <c r="CH996" s="120"/>
      <c r="CI996" s="120"/>
      <c r="CJ996" s="120"/>
      <c r="CK996" s="120"/>
      <c r="CL996" s="120"/>
      <c r="CM996" s="120"/>
      <c r="CN996" s="120"/>
      <c r="CO996" s="120"/>
    </row>
    <row r="997" spans="1:93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1"/>
      <c r="U997" s="120"/>
      <c r="V997" s="120"/>
      <c r="W997" s="121"/>
      <c r="X997" s="120"/>
      <c r="Y997" s="120"/>
      <c r="Z997" s="120"/>
      <c r="AA997" s="120"/>
      <c r="AB997" s="120"/>
      <c r="AC997" s="120"/>
      <c r="AD997" s="120"/>
      <c r="AE997" s="120"/>
      <c r="AF997" s="120"/>
      <c r="AG997" s="120"/>
      <c r="AH997" s="120"/>
      <c r="AI997" s="120"/>
      <c r="AJ997" s="120"/>
      <c r="AK997" s="120"/>
      <c r="AL997" s="120"/>
      <c r="AM997" s="120"/>
      <c r="AN997" s="120"/>
      <c r="AO997" s="120"/>
      <c r="AP997" s="120"/>
      <c r="AQ997" s="120"/>
      <c r="AR997" s="120"/>
      <c r="AS997" s="120"/>
      <c r="AT997" s="120"/>
      <c r="AU997" s="120"/>
      <c r="AV997" s="120"/>
      <c r="AW997" s="120"/>
      <c r="AX997" s="120"/>
      <c r="AY997" s="120"/>
      <c r="AZ997" s="120"/>
      <c r="BA997" s="120"/>
      <c r="BB997" s="120"/>
      <c r="BC997" s="120"/>
      <c r="BD997" s="120"/>
      <c r="BE997" s="120"/>
      <c r="BF997" s="120"/>
      <c r="BG997" s="120"/>
      <c r="BH997" s="120"/>
      <c r="BI997" s="120"/>
      <c r="BJ997" s="120"/>
      <c r="BK997" s="120"/>
      <c r="BL997" s="120"/>
      <c r="BM997" s="120"/>
      <c r="BN997" s="120"/>
      <c r="BO997" s="120"/>
      <c r="BP997" s="120"/>
      <c r="BQ997" s="120"/>
      <c r="BR997" s="120"/>
      <c r="BS997" s="120"/>
      <c r="BT997" s="120"/>
      <c r="BU997" s="120"/>
      <c r="BV997" s="120"/>
      <c r="BW997" s="120"/>
      <c r="BX997" s="120"/>
      <c r="BY997" s="120"/>
      <c r="BZ997" s="120"/>
      <c r="CA997" s="120"/>
      <c r="CB997" s="120"/>
      <c r="CC997" s="120"/>
      <c r="CD997" s="120"/>
      <c r="CE997" s="120"/>
      <c r="CF997" s="120"/>
      <c r="CG997" s="120"/>
      <c r="CH997" s="120"/>
      <c r="CI997" s="120"/>
      <c r="CJ997" s="120"/>
      <c r="CK997" s="120"/>
      <c r="CL997" s="120"/>
      <c r="CM997" s="120"/>
      <c r="CN997" s="120"/>
      <c r="CO997" s="120"/>
    </row>
    <row r="998" spans="1:93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1"/>
      <c r="U998" s="120"/>
      <c r="V998" s="120"/>
      <c r="W998" s="121"/>
      <c r="X998" s="120"/>
      <c r="Y998" s="120"/>
      <c r="Z998" s="120"/>
      <c r="AA998" s="120"/>
      <c r="AB998" s="120"/>
      <c r="AC998" s="120"/>
      <c r="AD998" s="120"/>
      <c r="AE998" s="120"/>
      <c r="AF998" s="120"/>
      <c r="AG998" s="120"/>
      <c r="AH998" s="120"/>
      <c r="AI998" s="120"/>
      <c r="AJ998" s="120"/>
      <c r="AK998" s="120"/>
      <c r="AL998" s="120"/>
      <c r="AM998" s="120"/>
      <c r="AN998" s="120"/>
      <c r="AO998" s="120"/>
      <c r="AP998" s="120"/>
      <c r="AQ998" s="120"/>
      <c r="AR998" s="120"/>
      <c r="AS998" s="120"/>
      <c r="AT998" s="120"/>
      <c r="AU998" s="120"/>
      <c r="AV998" s="120"/>
      <c r="AW998" s="120"/>
      <c r="AX998" s="120"/>
      <c r="AY998" s="120"/>
      <c r="AZ998" s="120"/>
      <c r="BA998" s="120"/>
      <c r="BB998" s="120"/>
      <c r="BC998" s="120"/>
      <c r="BD998" s="120"/>
      <c r="BE998" s="120"/>
      <c r="BF998" s="120"/>
      <c r="BG998" s="120"/>
      <c r="BH998" s="120"/>
      <c r="BI998" s="120"/>
      <c r="BJ998" s="120"/>
      <c r="BK998" s="120"/>
      <c r="BL998" s="120"/>
      <c r="BM998" s="120"/>
      <c r="BN998" s="120"/>
      <c r="BO998" s="120"/>
      <c r="BP998" s="120"/>
      <c r="BQ998" s="120"/>
      <c r="BR998" s="120"/>
      <c r="BS998" s="120"/>
      <c r="BT998" s="120"/>
      <c r="BU998" s="120"/>
      <c r="BV998" s="120"/>
      <c r="BW998" s="120"/>
      <c r="BX998" s="120"/>
      <c r="BY998" s="120"/>
      <c r="BZ998" s="120"/>
      <c r="CA998" s="120"/>
      <c r="CB998" s="120"/>
      <c r="CC998" s="120"/>
      <c r="CD998" s="120"/>
      <c r="CE998" s="120"/>
      <c r="CF998" s="120"/>
      <c r="CG998" s="120"/>
      <c r="CH998" s="120"/>
      <c r="CI998" s="120"/>
      <c r="CJ998" s="120"/>
      <c r="CK998" s="120"/>
      <c r="CL998" s="120"/>
      <c r="CM998" s="120"/>
      <c r="CN998" s="120"/>
      <c r="CO998" s="120"/>
    </row>
    <row r="999" spans="1:93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1"/>
      <c r="U999" s="120"/>
      <c r="V999" s="120"/>
      <c r="W999" s="121"/>
      <c r="X999" s="120"/>
      <c r="Y999" s="120"/>
      <c r="Z999" s="120"/>
      <c r="AA999" s="120"/>
      <c r="AB999" s="120"/>
      <c r="AC999" s="120"/>
      <c r="AD999" s="120"/>
      <c r="AE999" s="120"/>
      <c r="AF999" s="120"/>
      <c r="AG999" s="120"/>
      <c r="AH999" s="120"/>
      <c r="AI999" s="120"/>
      <c r="AJ999" s="120"/>
      <c r="AK999" s="120"/>
      <c r="AL999" s="120"/>
      <c r="AM999" s="120"/>
      <c r="AN999" s="120"/>
      <c r="AO999" s="120"/>
      <c r="AP999" s="120"/>
      <c r="AQ999" s="120"/>
      <c r="AR999" s="120"/>
      <c r="AS999" s="120"/>
      <c r="AT999" s="120"/>
      <c r="AU999" s="120"/>
      <c r="AV999" s="120"/>
      <c r="AW999" s="120"/>
      <c r="AX999" s="120"/>
      <c r="AY999" s="120"/>
      <c r="AZ999" s="120"/>
      <c r="BA999" s="120"/>
      <c r="BB999" s="120"/>
      <c r="BC999" s="120"/>
      <c r="BD999" s="120"/>
      <c r="BE999" s="120"/>
      <c r="BF999" s="120"/>
      <c r="BG999" s="120"/>
      <c r="BH999" s="120"/>
      <c r="BI999" s="120"/>
      <c r="BJ999" s="120"/>
      <c r="BK999" s="120"/>
      <c r="BL999" s="120"/>
      <c r="BM999" s="120"/>
      <c r="BN999" s="120"/>
      <c r="BO999" s="120"/>
      <c r="BP999" s="120"/>
      <c r="BQ999" s="120"/>
      <c r="BR999" s="120"/>
      <c r="BS999" s="120"/>
      <c r="BT999" s="120"/>
      <c r="BU999" s="120"/>
      <c r="BV999" s="120"/>
      <c r="BW999" s="120"/>
      <c r="BX999" s="120"/>
      <c r="BY999" s="120"/>
      <c r="BZ999" s="120"/>
      <c r="CA999" s="120"/>
      <c r="CB999" s="120"/>
      <c r="CC999" s="120"/>
      <c r="CD999" s="120"/>
      <c r="CE999" s="120"/>
      <c r="CF999" s="120"/>
      <c r="CG999" s="120"/>
      <c r="CH999" s="120"/>
      <c r="CI999" s="120"/>
      <c r="CJ999" s="120"/>
      <c r="CK999" s="120"/>
      <c r="CL999" s="120"/>
      <c r="CM999" s="120"/>
      <c r="CN999" s="120"/>
      <c r="CO999" s="120"/>
    </row>
  </sheetData>
  <mergeCells count="76">
    <mergeCell ref="BG4:BI4"/>
    <mergeCell ref="BJ4:BL4"/>
    <mergeCell ref="AS5:AT5"/>
    <mergeCell ref="AV5:AW5"/>
    <mergeCell ref="AY5:AZ5"/>
    <mergeCell ref="BB5:BC5"/>
    <mergeCell ref="BE5:BF5"/>
    <mergeCell ref="CB4:CD4"/>
    <mergeCell ref="CE4:CG4"/>
    <mergeCell ref="CH4:CJ4"/>
    <mergeCell ref="CK4:CM4"/>
    <mergeCell ref="CN4:CO4"/>
    <mergeCell ref="BM4:BO4"/>
    <mergeCell ref="BP4:BR4"/>
    <mergeCell ref="BS4:BU4"/>
    <mergeCell ref="BV4:BX4"/>
    <mergeCell ref="BY4:CA4"/>
    <mergeCell ref="CC5:CD5"/>
    <mergeCell ref="CF5:CG5"/>
    <mergeCell ref="BH5:BI5"/>
    <mergeCell ref="BK5:BL5"/>
    <mergeCell ref="BN5:BO5"/>
    <mergeCell ref="BQ5:BR5"/>
    <mergeCell ref="BT5:BU5"/>
    <mergeCell ref="BW5:BX5"/>
    <mergeCell ref="BZ5:CA5"/>
    <mergeCell ref="A89:B89"/>
    <mergeCell ref="A104:B104"/>
    <mergeCell ref="E5:E6"/>
    <mergeCell ref="F5:F6"/>
    <mergeCell ref="A7:B7"/>
    <mergeCell ref="A13:B13"/>
    <mergeCell ref="A31:B31"/>
    <mergeCell ref="A52:B52"/>
    <mergeCell ref="A74:B74"/>
    <mergeCell ref="C5:C6"/>
    <mergeCell ref="D5:D6"/>
    <mergeCell ref="AE5:AF5"/>
    <mergeCell ref="AH5:AI5"/>
    <mergeCell ref="AK5:AL5"/>
    <mergeCell ref="AN5:AO5"/>
    <mergeCell ref="AP5:AQ5"/>
    <mergeCell ref="CI5:CJ5"/>
    <mergeCell ref="CL5:CM5"/>
    <mergeCell ref="A2:B6"/>
    <mergeCell ref="C2:CO2"/>
    <mergeCell ref="R3:Z3"/>
    <mergeCell ref="AA3:AQ3"/>
    <mergeCell ref="AR3:BF3"/>
    <mergeCell ref="BG3:BX3"/>
    <mergeCell ref="BY3:CO3"/>
    <mergeCell ref="G5:G6"/>
    <mergeCell ref="J5:K5"/>
    <mergeCell ref="L5:N5"/>
    <mergeCell ref="O5:Q5"/>
    <mergeCell ref="S5:T5"/>
    <mergeCell ref="V5:W5"/>
    <mergeCell ref="AB5:AC5"/>
    <mergeCell ref="AU4:AW4"/>
    <mergeCell ref="AX4:AZ4"/>
    <mergeCell ref="BA4:BC4"/>
    <mergeCell ref="BD4:BF4"/>
    <mergeCell ref="C3:Q3"/>
    <mergeCell ref="C4:G4"/>
    <mergeCell ref="H4:I4"/>
    <mergeCell ref="J4:Q4"/>
    <mergeCell ref="AG4:AI4"/>
    <mergeCell ref="AJ4:AL4"/>
    <mergeCell ref="AM4:AO4"/>
    <mergeCell ref="AP4:AQ4"/>
    <mergeCell ref="AR4:AT4"/>
    <mergeCell ref="R4:T4"/>
    <mergeCell ref="U4:W4"/>
    <mergeCell ref="X4:Z4"/>
    <mergeCell ref="AA4:AC4"/>
    <mergeCell ref="AD4:AF4"/>
  </mergeCells>
  <printOptions horizontalCentered="1"/>
  <pageMargins left="0.23622047244094491" right="0.23622047244094491" top="0.74803149606299213" bottom="0.74803149606299213" header="0" footer="0"/>
  <pageSetup paperSize="9" scale="49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4" manualBreakCount="4">
    <brk id="17" max="1048575" man="1"/>
    <brk id="43" max="1048575" man="1"/>
    <brk id="58" max="1048575" man="1"/>
    <brk id="7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J17" sqref="J17"/>
      <selection pane="topRight" activeCell="J17" sqref="J17"/>
      <selection pane="bottomLeft" activeCell="J17" sqref="J17"/>
      <selection pane="bottomRight" activeCell="Q7" sqref="Q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7" width="12.7109375" customWidth="1"/>
    <col min="18" max="18" width="13.42578125" bestFit="1" customWidth="1"/>
    <col min="19" max="19" width="11.42578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82" t="s">
        <v>1</v>
      </c>
      <c r="B2" s="383"/>
      <c r="C2" s="352" t="s">
        <v>196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4"/>
    </row>
    <row r="3" spans="1:20" ht="30" customHeight="1" x14ac:dyDescent="0.2">
      <c r="A3" s="384"/>
      <c r="B3" s="385"/>
      <c r="C3" s="355" t="s">
        <v>3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414" t="s">
        <v>197</v>
      </c>
      <c r="S3" s="361"/>
      <c r="T3" s="362"/>
    </row>
    <row r="4" spans="1:20" ht="30" customHeight="1" x14ac:dyDescent="0.2">
      <c r="A4" s="384"/>
      <c r="B4" s="385"/>
      <c r="C4" s="366" t="s">
        <v>6</v>
      </c>
      <c r="D4" s="356"/>
      <c r="E4" s="356"/>
      <c r="F4" s="356"/>
      <c r="G4" s="359"/>
      <c r="H4" s="367" t="s">
        <v>7</v>
      </c>
      <c r="I4" s="359"/>
      <c r="J4" s="371" t="s">
        <v>8</v>
      </c>
      <c r="K4" s="356"/>
      <c r="L4" s="356"/>
      <c r="M4" s="356"/>
      <c r="N4" s="356"/>
      <c r="O4" s="356"/>
      <c r="P4" s="356"/>
      <c r="Q4" s="359"/>
      <c r="R4" s="415"/>
      <c r="S4" s="364"/>
      <c r="T4" s="365"/>
    </row>
    <row r="5" spans="1:20" ht="24" customHeight="1" x14ac:dyDescent="0.3">
      <c r="A5" s="384"/>
      <c r="B5" s="385"/>
      <c r="C5" s="437" t="s">
        <v>13</v>
      </c>
      <c r="D5" s="438" t="s">
        <v>14</v>
      </c>
      <c r="E5" s="439" t="s">
        <v>15</v>
      </c>
      <c r="F5" s="440" t="s">
        <v>16</v>
      </c>
      <c r="G5" s="441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64"/>
      <c r="N5" s="365"/>
      <c r="O5" s="375" t="s">
        <v>19</v>
      </c>
      <c r="P5" s="364"/>
      <c r="Q5" s="365"/>
      <c r="R5" s="216" t="s">
        <v>21</v>
      </c>
      <c r="S5" s="376" t="s">
        <v>22</v>
      </c>
      <c r="T5" s="359"/>
    </row>
    <row r="6" spans="1:20" ht="36" customHeight="1" x14ac:dyDescent="0.2">
      <c r="A6" s="386"/>
      <c r="B6" s="387"/>
      <c r="C6" s="442"/>
      <c r="D6" s="443"/>
      <c r="E6" s="443"/>
      <c r="F6" s="443"/>
      <c r="G6" s="443"/>
      <c r="H6" s="6"/>
      <c r="I6" s="6"/>
      <c r="J6" s="8" t="s">
        <v>23</v>
      </c>
      <c r="K6" s="9" t="s">
        <v>24</v>
      </c>
      <c r="L6" s="8" t="s">
        <v>23</v>
      </c>
      <c r="M6" s="450" t="s">
        <v>25</v>
      </c>
      <c r="N6" s="451" t="s">
        <v>26</v>
      </c>
      <c r="O6" s="452" t="s">
        <v>23</v>
      </c>
      <c r="P6" s="450" t="s">
        <v>25</v>
      </c>
      <c r="Q6" s="451" t="s">
        <v>26</v>
      </c>
      <c r="R6" s="14" t="s">
        <v>28</v>
      </c>
      <c r="S6" s="17" t="s">
        <v>28</v>
      </c>
      <c r="T6" s="16" t="s">
        <v>24</v>
      </c>
    </row>
    <row r="7" spans="1:20" ht="24" customHeight="1" x14ac:dyDescent="0.2">
      <c r="A7" s="389" t="s">
        <v>233</v>
      </c>
      <c r="B7" s="390"/>
      <c r="C7" s="210">
        <f t="shared" ref="C7:C116" ca="1" si="0">D7+G7</f>
        <v>4016300</v>
      </c>
      <c r="D7" s="211">
        <f t="shared" ref="D7:E7" ca="1" si="1">D8+D9+D12</f>
        <v>4016300</v>
      </c>
      <c r="E7" s="23">
        <f t="shared" ca="1" si="1"/>
        <v>1807300</v>
      </c>
      <c r="F7" s="24">
        <f ca="1">F8+F9</f>
        <v>2209000</v>
      </c>
      <c r="G7" s="25">
        <f t="shared" ref="G7:I7" ca="1" si="2">G8+G9+G12</f>
        <v>0</v>
      </c>
      <c r="H7" s="26">
        <f t="shared" ca="1" si="2"/>
        <v>3012200</v>
      </c>
      <c r="I7" s="26">
        <f t="shared" ca="1" si="2"/>
        <v>0</v>
      </c>
      <c r="J7" s="27">
        <f t="shared" ref="J7:J116" ca="1" si="3">L7+O7</f>
        <v>1296295.58</v>
      </c>
      <c r="K7" s="28">
        <f t="shared" ref="K7:K116" ca="1" si="4">IF(C7&gt;0,J7*100/C7,0)</f>
        <v>32.275865348704031</v>
      </c>
      <c r="L7" s="27">
        <f ca="1">L8+L9+L12</f>
        <v>1296295.58</v>
      </c>
      <c r="M7" s="29">
        <f t="shared" ref="M7:M116" ca="1" si="5">IF(D7&gt;0,L7*100/D7,0)</f>
        <v>32.275865348704031</v>
      </c>
      <c r="N7" s="29">
        <f t="shared" ref="N7:N116" ca="1" si="6">IF(H7&gt;0,L7*100/H7,0)</f>
        <v>43.034844299847286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1">
        <f t="shared" ref="R7:S7" ca="1" si="9">R8</f>
        <v>1584</v>
      </c>
      <c r="S7" s="32">
        <f t="shared" ca="1" si="9"/>
        <v>792</v>
      </c>
      <c r="T7" s="33">
        <f t="shared" ref="T7:T8" ca="1" si="10">IF(R7&gt;0,S7*100/R7,0)</f>
        <v>50</v>
      </c>
    </row>
    <row r="8" spans="1:20" ht="28.5" customHeight="1" x14ac:dyDescent="0.2">
      <c r="A8" s="34" t="s">
        <v>31</v>
      </c>
      <c r="B8" s="35"/>
      <c r="C8" s="36">
        <f t="shared" ca="1" si="0"/>
        <v>3509800</v>
      </c>
      <c r="D8" s="37">
        <f t="shared" ref="D8:I8" ca="1" si="11">+D13+D31+D52+D74</f>
        <v>3509800</v>
      </c>
      <c r="E8" s="38">
        <f t="shared" ca="1" si="11"/>
        <v>1573000</v>
      </c>
      <c r="F8" s="38">
        <f t="shared" ca="1" si="11"/>
        <v>1936800</v>
      </c>
      <c r="G8" s="38">
        <f t="shared" ca="1" si="11"/>
        <v>0</v>
      </c>
      <c r="H8" s="38">
        <f t="shared" ca="1" si="11"/>
        <v>2094000</v>
      </c>
      <c r="I8" s="38">
        <f t="shared" ca="1" si="11"/>
        <v>0</v>
      </c>
      <c r="J8" s="38">
        <f t="shared" ca="1" si="3"/>
        <v>1236495.54</v>
      </c>
      <c r="K8" s="39">
        <f t="shared" ca="1" si="4"/>
        <v>35.229800558436381</v>
      </c>
      <c r="L8" s="38">
        <f ca="1">+L13+L31+L52+L74</f>
        <v>1236495.54</v>
      </c>
      <c r="M8" s="40">
        <f t="shared" ca="1" si="5"/>
        <v>35.229800558436381</v>
      </c>
      <c r="N8" s="40">
        <f t="shared" ca="1" si="6"/>
        <v>59.049452722063037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8">
        <f t="shared" ref="R8:S8" ca="1" si="12">+R13+R31+R52+R74</f>
        <v>1584</v>
      </c>
      <c r="S8" s="38">
        <f t="shared" ca="1" si="12"/>
        <v>792</v>
      </c>
      <c r="T8" s="40">
        <f t="shared" ca="1" si="10"/>
        <v>50</v>
      </c>
    </row>
    <row r="9" spans="1:20" ht="28.5" customHeight="1" x14ac:dyDescent="0.2">
      <c r="A9" s="44" t="s">
        <v>234</v>
      </c>
      <c r="B9" s="45"/>
      <c r="C9" s="46">
        <f t="shared" ca="1" si="0"/>
        <v>506500</v>
      </c>
      <c r="D9" s="47">
        <f t="shared" ref="D9:I9" ca="1" si="13">+D10+D11</f>
        <v>506500</v>
      </c>
      <c r="E9" s="46">
        <f t="shared" ca="1" si="13"/>
        <v>234300</v>
      </c>
      <c r="F9" s="46">
        <f t="shared" ca="1" si="13"/>
        <v>272200</v>
      </c>
      <c r="G9" s="46">
        <f t="shared" ca="1" si="13"/>
        <v>0</v>
      </c>
      <c r="H9" s="46">
        <f t="shared" ca="1" si="13"/>
        <v>918200</v>
      </c>
      <c r="I9" s="46">
        <f t="shared" ca="1" si="13"/>
        <v>0</v>
      </c>
      <c r="J9" s="46">
        <f t="shared" ca="1" si="3"/>
        <v>59800.04</v>
      </c>
      <c r="K9" s="48">
        <f t="shared" ca="1" si="4"/>
        <v>11.806523198420534</v>
      </c>
      <c r="L9" s="46">
        <f ca="1">+L10+L11</f>
        <v>59800.04</v>
      </c>
      <c r="M9" s="49">
        <f t="shared" ca="1" si="5"/>
        <v>11.806523198420534</v>
      </c>
      <c r="N9" s="49">
        <f t="shared" ca="1" si="6"/>
        <v>6.5127466782835981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9"/>
    </row>
    <row r="10" spans="1:20" ht="28.5" hidden="1" customHeight="1" x14ac:dyDescent="0.2">
      <c r="A10" s="44" t="s">
        <v>32</v>
      </c>
      <c r="B10" s="45"/>
      <c r="C10" s="46">
        <f t="shared" ca="1" si="0"/>
        <v>372200</v>
      </c>
      <c r="D10" s="47">
        <f t="shared" ref="D10:I10" ca="1" si="14">+D89</f>
        <v>372200</v>
      </c>
      <c r="E10" s="46">
        <f t="shared" ca="1" si="14"/>
        <v>100000</v>
      </c>
      <c r="F10" s="46">
        <f t="shared" ca="1" si="14"/>
        <v>272200</v>
      </c>
      <c r="G10" s="46">
        <f t="shared" ca="1" si="14"/>
        <v>0</v>
      </c>
      <c r="H10" s="46">
        <f t="shared" ca="1" si="14"/>
        <v>895400</v>
      </c>
      <c r="I10" s="46">
        <f t="shared" ca="1" si="14"/>
        <v>0</v>
      </c>
      <c r="J10" s="46">
        <f t="shared" ca="1" si="3"/>
        <v>59800.04</v>
      </c>
      <c r="K10" s="48">
        <f t="shared" ca="1" si="4"/>
        <v>16.066641590542719</v>
      </c>
      <c r="L10" s="46">
        <f ca="1">+L89</f>
        <v>59800.04</v>
      </c>
      <c r="M10" s="49">
        <f t="shared" ca="1" si="5"/>
        <v>16.066641590542719</v>
      </c>
      <c r="N10" s="49">
        <f t="shared" ca="1" si="6"/>
        <v>6.6785838731293277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9"/>
    </row>
    <row r="11" spans="1:20" ht="28.5" hidden="1" customHeight="1" x14ac:dyDescent="0.2">
      <c r="A11" s="53" t="s">
        <v>33</v>
      </c>
      <c r="B11" s="45"/>
      <c r="C11" s="46">
        <f t="shared" ca="1" si="0"/>
        <v>134300</v>
      </c>
      <c r="D11" s="47">
        <f t="shared" ref="D11:I11" ca="1" si="15">+D104</f>
        <v>134300</v>
      </c>
      <c r="E11" s="46">
        <f t="shared" ca="1" si="15"/>
        <v>134300</v>
      </c>
      <c r="F11" s="46">
        <f t="shared" ca="1" si="15"/>
        <v>0</v>
      </c>
      <c r="G11" s="46">
        <f t="shared" ca="1" si="15"/>
        <v>0</v>
      </c>
      <c r="H11" s="46">
        <f t="shared" ca="1" si="15"/>
        <v>22800</v>
      </c>
      <c r="I11" s="46">
        <f t="shared" ca="1" si="15"/>
        <v>0</v>
      </c>
      <c r="J11" s="46">
        <f t="shared" ca="1" si="3"/>
        <v>0</v>
      </c>
      <c r="K11" s="48">
        <f t="shared" ca="1" si="4"/>
        <v>0</v>
      </c>
      <c r="L11" s="46">
        <f ca="1">+L104</f>
        <v>0</v>
      </c>
      <c r="M11" s="49">
        <f t="shared" ca="1" si="5"/>
        <v>0</v>
      </c>
      <c r="N11" s="49">
        <f t="shared" ca="1" si="6"/>
        <v>0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9"/>
    </row>
    <row r="12" spans="1:20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60">
        <f t="shared" ref="T12:T88" si="16">IF(R12&gt;0,S12*100/R12,0)</f>
        <v>0</v>
      </c>
    </row>
    <row r="13" spans="1:20" ht="28.5" customHeight="1" x14ac:dyDescent="0.2">
      <c r="A13" s="377" t="s">
        <v>35</v>
      </c>
      <c r="B13" s="359"/>
      <c r="C13" s="62">
        <f t="shared" ca="1" si="0"/>
        <v>1193200</v>
      </c>
      <c r="D13" s="63">
        <f t="shared" ref="D13:I13" ca="1" si="17">SUM(D14:D30)</f>
        <v>1193200</v>
      </c>
      <c r="E13" s="64">
        <f t="shared" ca="1" si="17"/>
        <v>715000</v>
      </c>
      <c r="F13" s="64">
        <f t="shared" ca="1" si="17"/>
        <v>478200</v>
      </c>
      <c r="G13" s="64">
        <f t="shared" ca="1" si="17"/>
        <v>0</v>
      </c>
      <c r="H13" s="64">
        <f t="shared" ca="1" si="17"/>
        <v>947200</v>
      </c>
      <c r="I13" s="64">
        <f t="shared" ca="1" si="17"/>
        <v>0</v>
      </c>
      <c r="J13" s="64">
        <f t="shared" ca="1" si="3"/>
        <v>543027.90999999992</v>
      </c>
      <c r="K13" s="65">
        <f t="shared" ca="1" si="4"/>
        <v>45.510217063359029</v>
      </c>
      <c r="L13" s="64">
        <f ca="1">SUM(L14:L30)</f>
        <v>543027.90999999992</v>
      </c>
      <c r="M13" s="66">
        <f t="shared" ca="1" si="5"/>
        <v>45.510217063359029</v>
      </c>
      <c r="N13" s="66">
        <f t="shared" ca="1" si="6"/>
        <v>57.329804687499994</v>
      </c>
      <c r="O13" s="67">
        <f ca="1">SUM(O14:O30)</f>
        <v>0</v>
      </c>
      <c r="P13" s="67">
        <f t="shared" ref="P13:P116" ca="1" si="18">IF(G13&gt;0,O13*100/G13,0)</f>
        <v>0</v>
      </c>
      <c r="Q13" s="66">
        <f t="shared" ca="1" si="8"/>
        <v>0</v>
      </c>
      <c r="R13" s="64">
        <f t="shared" ref="R13:S13" ca="1" si="19">SUM(R14:R30)</f>
        <v>396</v>
      </c>
      <c r="S13" s="64">
        <f t="shared" ca="1" si="19"/>
        <v>332</v>
      </c>
      <c r="T13" s="66">
        <f t="shared" ca="1" si="16"/>
        <v>83.838383838383834</v>
      </c>
    </row>
    <row r="14" spans="1:20" ht="24" customHeight="1" x14ac:dyDescent="0.2">
      <c r="A14" s="68">
        <v>1</v>
      </c>
      <c r="B14" s="69" t="s">
        <v>36</v>
      </c>
      <c r="C14" s="70">
        <f t="shared" ca="1" si="0"/>
        <v>26900</v>
      </c>
      <c r="D14" s="71">
        <f t="shared" ref="D14:D30" ca="1" si="20">+E14+F14</f>
        <v>26900</v>
      </c>
      <c r="E14" s="72">
        <f ca="1">IFERROR(__xludf.DUMMYFUNCTION("IMPORTRANGE(""https://docs.google.com/spreadsheets/d/1MeEWN-I1oV_STSDYn1IFDPWt_1FKiwhDph83XaGc0o0/edit?usp=sharing"",""งบพรบ!CZ14"")"),0)</f>
        <v>0</v>
      </c>
      <c r="F14" s="72">
        <f ca="1">IFERROR(__xludf.DUMMYFUNCTION("IMPORTRANGE(""https://docs.google.com/spreadsheets/d/1MeEWN-I1oV_STSDYn1IFDPWt_1FKiwhDph83XaGc0o0/edit?usp=sharing"",""งบพรบ!DA14"")"),26900)</f>
        <v>26900</v>
      </c>
      <c r="G14" s="73">
        <f ca="1">IFERROR(__xludf.DUMMYFUNCTION("IMPORTRANGE(""https://docs.google.com/spreadsheets/d/1MeEWN-I1oV_STSDYn1IFDPWt_1FKiwhDph83XaGc0o0/edit?usp=sharing"",""งบพรบ!DB14"")"),0)</f>
        <v>0</v>
      </c>
      <c r="H14" s="73">
        <f ca="1">IFERROR(__xludf.DUMMYFUNCTION("IMPORTRANGE(""https://docs.google.com/spreadsheets/d/1MeEWN-I1oV_STSDYn1IFDPWt_1FKiwhDph83XaGc0o0/edit?usp=sharing"",""งบพรบ!DD14"")"),23900)</f>
        <v>23900</v>
      </c>
      <c r="I14" s="73">
        <f ca="1">IFERROR(__xludf.DUMMYFUNCTION("IMPORTRANGE(""https://docs.google.com/spreadsheets/d/1MeEWN-I1oV_STSDYn1IFDPWt_1FKiwhDph83XaGc0o0/edit?usp=sharing"",""งบพรบ!DE14"")"),0)</f>
        <v>0</v>
      </c>
      <c r="J14" s="73">
        <f t="shared" ca="1" si="3"/>
        <v>21740</v>
      </c>
      <c r="K14" s="74">
        <f t="shared" ca="1" si="4"/>
        <v>80.817843866171003</v>
      </c>
      <c r="L14" s="73">
        <f ca="1">IFERROR(__xludf.DUMMYFUNCTION("IMPORTRANGE(""https://docs.google.com/spreadsheets/d/1MeEWN-I1oV_STSDYn1IFDPWt_1FKiwhDph83XaGc0o0/edit?usp=sharing"",""งบพรบ!DF14"")"),21740)</f>
        <v>21740</v>
      </c>
      <c r="M14" s="75">
        <f t="shared" ca="1" si="5"/>
        <v>80.817843866171003</v>
      </c>
      <c r="N14" s="75">
        <f t="shared" ca="1" si="6"/>
        <v>90.962343096234306</v>
      </c>
      <c r="O14" s="76">
        <f ca="1">IFERROR(__xludf.DUMMYFUNCTION("IMPORTRANGE(""https://docs.google.com/spreadsheets/d/1MeEWN-I1oV_STSDYn1IFDPWt_1FKiwhDph83XaGc0o0/edit?usp=sharing"",""งบพรบ!DG14"")"),0)</f>
        <v>0</v>
      </c>
      <c r="P14" s="76">
        <f t="shared" ca="1" si="18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IFERROR(__xludf.DUMMYFUNCTION("IMPORTRANGE(""https://docs.google.com/spreadsheets/d/1KxicF4apzSqm0-jIpmueT4kyZtE-Cwn5zskl7GD4loQ/edit?usp=sharing"",""กำแพงเพชร!I271"")"),22)</f>
        <v>22</v>
      </c>
      <c r="S14" s="73">
        <f ca="1">IFERROR(__xludf.DUMMYFUNCTION("IMPORTRANGE(""https://docs.google.com/spreadsheets/d/1KxicF4apzSqm0-jIpmueT4kyZtE-Cwn5zskl7GD4loQ/edit?usp=sharing"",""กำแพงเพชร!J271"")"),22)</f>
        <v>22</v>
      </c>
      <c r="T14" s="77">
        <f t="shared" ca="1" si="16"/>
        <v>100</v>
      </c>
    </row>
    <row r="15" spans="1:20" ht="24" customHeight="1" x14ac:dyDescent="0.2">
      <c r="A15" s="78">
        <v>2</v>
      </c>
      <c r="B15" s="79" t="s">
        <v>37</v>
      </c>
      <c r="C15" s="80">
        <f t="shared" ca="1" si="0"/>
        <v>30700</v>
      </c>
      <c r="D15" s="81">
        <f t="shared" ca="1" si="20"/>
        <v>30700</v>
      </c>
      <c r="E15" s="82">
        <f ca="1">IFERROR(__xludf.DUMMYFUNCTION("IMPORTRANGE(""https://docs.google.com/spreadsheets/d/1MeEWN-I1oV_STSDYn1IFDPWt_1FKiwhDph83XaGc0o0/edit?usp=sharing"",""งบพรบ!CZ15"")"),0)</f>
        <v>0</v>
      </c>
      <c r="F15" s="82">
        <f ca="1">IFERROR(__xludf.DUMMYFUNCTION("IMPORTRANGE(""https://docs.google.com/spreadsheets/d/1MeEWN-I1oV_STSDYn1IFDPWt_1FKiwhDph83XaGc0o0/edit?usp=sharing"",""งบพรบ!DA15"")"),30700)</f>
        <v>30700</v>
      </c>
      <c r="G15" s="82">
        <f ca="1">IFERROR(__xludf.DUMMYFUNCTION("IMPORTRANGE(""https://docs.google.com/spreadsheets/d/1MeEWN-I1oV_STSDYn1IFDPWt_1FKiwhDph83XaGc0o0/edit?usp=sharing"",""งบพรบ!DB15"")"),0)</f>
        <v>0</v>
      </c>
      <c r="H15" s="82">
        <f ca="1">IFERROR(__xludf.DUMMYFUNCTION("IMPORTRANGE(""https://docs.google.com/spreadsheets/d/1MeEWN-I1oV_STSDYn1IFDPWt_1FKiwhDph83XaGc0o0/edit?usp=sharing"",""งบพรบ!DD15"")"),27700)</f>
        <v>27700</v>
      </c>
      <c r="I15" s="82">
        <f ca="1">IFERROR(__xludf.DUMMYFUNCTION("IMPORTRANGE(""https://docs.google.com/spreadsheets/d/1MeEWN-I1oV_STSDYn1IFDPWt_1FKiwhDph83XaGc0o0/edit?usp=sharing"",""งบพรบ!DE15"")"),0)</f>
        <v>0</v>
      </c>
      <c r="J15" s="82">
        <f t="shared" ca="1" si="3"/>
        <v>21860.6</v>
      </c>
      <c r="K15" s="83">
        <f t="shared" ca="1" si="4"/>
        <v>71.207166123778507</v>
      </c>
      <c r="L15" s="82">
        <f ca="1">IFERROR(__xludf.DUMMYFUNCTION("IMPORTRANGE(""https://docs.google.com/spreadsheets/d/1MeEWN-I1oV_STSDYn1IFDPWt_1FKiwhDph83XaGc0o0/edit?usp=sharing"",""งบพรบ!DF15"")"),21860.6)</f>
        <v>21860.6</v>
      </c>
      <c r="M15" s="84">
        <f t="shared" ca="1" si="5"/>
        <v>71.207166123778507</v>
      </c>
      <c r="N15" s="84">
        <f t="shared" ca="1" si="6"/>
        <v>78.919133574007219</v>
      </c>
      <c r="O15" s="85">
        <f ca="1">IFERROR(__xludf.DUMMYFUNCTION("IMPORTRANGE(""https://docs.google.com/spreadsheets/d/1MeEWN-I1oV_STSDYn1IFDPWt_1FKiwhDph83XaGc0o0/edit?usp=sharing"",""งบพรบ!DG15"")"),0)</f>
        <v>0</v>
      </c>
      <c r="P15" s="85">
        <f t="shared" ca="1" si="18"/>
        <v>0</v>
      </c>
      <c r="Q15" s="84">
        <f t="shared" ca="1" si="8"/>
        <v>0</v>
      </c>
      <c r="R15" s="86">
        <f ca="1">IFERROR(__xludf.DUMMYFUNCTION("IMPORTRANGE(""https://docs.google.com/spreadsheets/d/1ZNYWeiFoFA1K1U4xKWqRX29MBvEyRHXORjo734Gnq_c/edit?usp=sharing"",""เชียงราย!I271"")"),26)</f>
        <v>26</v>
      </c>
      <c r="S15" s="86">
        <f ca="1">IFERROR(__xludf.DUMMYFUNCTION("IMPORTRANGE(""https://docs.google.com/spreadsheets/d/1ZNYWeiFoFA1K1U4xKWqRX29MBvEyRHXORjo734Gnq_c/edit?usp=sharing"",""เชียงราย!J271"")"),26)</f>
        <v>26</v>
      </c>
      <c r="T15" s="87">
        <f t="shared" ca="1" si="16"/>
        <v>100</v>
      </c>
    </row>
    <row r="16" spans="1:20" ht="24" customHeight="1" x14ac:dyDescent="0.2">
      <c r="A16" s="78">
        <v>3</v>
      </c>
      <c r="B16" s="79" t="s">
        <v>38</v>
      </c>
      <c r="C16" s="80">
        <f t="shared" ca="1" si="0"/>
        <v>30700</v>
      </c>
      <c r="D16" s="81">
        <f t="shared" ca="1" si="20"/>
        <v>30700</v>
      </c>
      <c r="E16" s="82">
        <f ca="1">IFERROR(__xludf.DUMMYFUNCTION("IMPORTRANGE(""https://docs.google.com/spreadsheets/d/1MeEWN-I1oV_STSDYn1IFDPWt_1FKiwhDph83XaGc0o0/edit?usp=sharing"",""งบพรบ!CZ16"")"),0)</f>
        <v>0</v>
      </c>
      <c r="F16" s="82">
        <f ca="1">IFERROR(__xludf.DUMMYFUNCTION("IMPORTRANGE(""https://docs.google.com/spreadsheets/d/1MeEWN-I1oV_STSDYn1IFDPWt_1FKiwhDph83XaGc0o0/edit?usp=sharing"",""งบพรบ!DA16"")"),30700)</f>
        <v>30700</v>
      </c>
      <c r="G16" s="82">
        <f ca="1">IFERROR(__xludf.DUMMYFUNCTION("IMPORTRANGE(""https://docs.google.com/spreadsheets/d/1MeEWN-I1oV_STSDYn1IFDPWt_1FKiwhDph83XaGc0o0/edit?usp=sharing"",""งบพรบ!DB16"")"),0)</f>
        <v>0</v>
      </c>
      <c r="H16" s="82">
        <f ca="1">IFERROR(__xludf.DUMMYFUNCTION("IMPORTRANGE(""https://docs.google.com/spreadsheets/d/1MeEWN-I1oV_STSDYn1IFDPWt_1FKiwhDph83XaGc0o0/edit?usp=sharing"",""งบพรบ!DD16"")"),27700)</f>
        <v>27700</v>
      </c>
      <c r="I16" s="82">
        <f ca="1">IFERROR(__xludf.DUMMYFUNCTION("IMPORTRANGE(""https://docs.google.com/spreadsheets/d/1MeEWN-I1oV_STSDYn1IFDPWt_1FKiwhDph83XaGc0o0/edit?usp=sharing"",""งบพรบ!DE16"")"),0)</f>
        <v>0</v>
      </c>
      <c r="J16" s="82">
        <f t="shared" ca="1" si="3"/>
        <v>27340</v>
      </c>
      <c r="K16" s="83">
        <f t="shared" ca="1" si="4"/>
        <v>89.055374592833871</v>
      </c>
      <c r="L16" s="82">
        <f ca="1">IFERROR(__xludf.DUMMYFUNCTION("IMPORTRANGE(""https://docs.google.com/spreadsheets/d/1MeEWN-I1oV_STSDYn1IFDPWt_1FKiwhDph83XaGc0o0/edit?usp=sharing"",""งบพรบ!DF16"")"),27340)</f>
        <v>27340</v>
      </c>
      <c r="M16" s="84">
        <f t="shared" ca="1" si="5"/>
        <v>89.055374592833871</v>
      </c>
      <c r="N16" s="84">
        <f t="shared" ca="1" si="6"/>
        <v>98.700361010830321</v>
      </c>
      <c r="O16" s="85">
        <f ca="1">IFERROR(__xludf.DUMMYFUNCTION("IMPORTRANGE(""https://docs.google.com/spreadsheets/d/1MeEWN-I1oV_STSDYn1IFDPWt_1FKiwhDph83XaGc0o0/edit?usp=sharing"",""งบพรบ!DG16"")"),0)</f>
        <v>0</v>
      </c>
      <c r="P16" s="85">
        <f t="shared" ca="1" si="18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IFERROR(__xludf.DUMMYFUNCTION("IMPORTRANGE(""https://docs.google.com/spreadsheets/d/1Jgv0Y7YlHDtsiDawwp-uvifEJ8HVaSn0k2aGHG8-hwM/edit?usp=sharing"",""เชียงใหม่!I271"")"),26)</f>
        <v>26</v>
      </c>
      <c r="S16" s="86">
        <f ca="1">IFERROR(__xludf.DUMMYFUNCTION("IMPORTRANGE(""https://docs.google.com/spreadsheets/d/1Jgv0Y7YlHDtsiDawwp-uvifEJ8HVaSn0k2aGHG8-hwM/edit?usp=sharing"",""เชียงใหม่!J271"")"),26)</f>
        <v>26</v>
      </c>
      <c r="T16" s="87">
        <f t="shared" ca="1" si="16"/>
        <v>100</v>
      </c>
    </row>
    <row r="17" spans="1:20" ht="24" customHeight="1" x14ac:dyDescent="0.2">
      <c r="A17" s="78">
        <v>4</v>
      </c>
      <c r="B17" s="79" t="s">
        <v>39</v>
      </c>
      <c r="C17" s="80">
        <f t="shared" ca="1" si="0"/>
        <v>26900</v>
      </c>
      <c r="D17" s="81">
        <f t="shared" ca="1" si="20"/>
        <v>26900</v>
      </c>
      <c r="E17" s="82">
        <f ca="1">IFERROR(__xludf.DUMMYFUNCTION("IMPORTRANGE(""https://docs.google.com/spreadsheets/d/1MeEWN-I1oV_STSDYn1IFDPWt_1FKiwhDph83XaGc0o0/edit?usp=sharing"",""งบพรบ!CZ17"")"),0)</f>
        <v>0</v>
      </c>
      <c r="F17" s="82">
        <f ca="1">IFERROR(__xludf.DUMMYFUNCTION("IMPORTRANGE(""https://docs.google.com/spreadsheets/d/1MeEWN-I1oV_STSDYn1IFDPWt_1FKiwhDph83XaGc0o0/edit?usp=sharing"",""งบพรบ!DA17"")"),26900)</f>
        <v>26900</v>
      </c>
      <c r="G17" s="82">
        <f ca="1">IFERROR(__xludf.DUMMYFUNCTION("IMPORTRANGE(""https://docs.google.com/spreadsheets/d/1MeEWN-I1oV_STSDYn1IFDPWt_1FKiwhDph83XaGc0o0/edit?usp=sharing"",""งบพรบ!DB17"")"),0)</f>
        <v>0</v>
      </c>
      <c r="H17" s="82">
        <f ca="1">IFERROR(__xludf.DUMMYFUNCTION("IMPORTRANGE(""https://docs.google.com/spreadsheets/d/1MeEWN-I1oV_STSDYn1IFDPWt_1FKiwhDph83XaGc0o0/edit?usp=sharing"",""งบพรบ!DD17"")"),23900)</f>
        <v>23900</v>
      </c>
      <c r="I17" s="82">
        <f ca="1">IFERROR(__xludf.DUMMYFUNCTION("IMPORTRANGE(""https://docs.google.com/spreadsheets/d/1MeEWN-I1oV_STSDYn1IFDPWt_1FKiwhDph83XaGc0o0/edit?usp=sharing"",""งบพรบ!DE17"")"),0)</f>
        <v>0</v>
      </c>
      <c r="J17" s="82">
        <f t="shared" ca="1" si="3"/>
        <v>19170</v>
      </c>
      <c r="K17" s="83">
        <f t="shared" ca="1" si="4"/>
        <v>71.263940520446099</v>
      </c>
      <c r="L17" s="82">
        <f ca="1">IFERROR(__xludf.DUMMYFUNCTION("IMPORTRANGE(""https://docs.google.com/spreadsheets/d/1MeEWN-I1oV_STSDYn1IFDPWt_1FKiwhDph83XaGc0o0/edit?usp=sharing"",""งบพรบ!DF17"")"),19170)</f>
        <v>19170</v>
      </c>
      <c r="M17" s="84">
        <f t="shared" ca="1" si="5"/>
        <v>71.263940520446099</v>
      </c>
      <c r="N17" s="84">
        <f t="shared" ca="1" si="6"/>
        <v>80.209205020920507</v>
      </c>
      <c r="O17" s="85">
        <f ca="1">IFERROR(__xludf.DUMMYFUNCTION("IMPORTRANGE(""https://docs.google.com/spreadsheets/d/1MeEWN-I1oV_STSDYn1IFDPWt_1FKiwhDph83XaGc0o0/edit?usp=sharing"",""งบพรบ!DG17"")"),0)</f>
        <v>0</v>
      </c>
      <c r="P17" s="85">
        <f t="shared" ca="1" si="18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IFERROR(__xludf.DUMMYFUNCTION("IMPORTRANGE(""https://docs.google.com/spreadsheets/d/1JWG2rZePOz9pe-f-ObA-yDr0VoOX2kSb0qIix2mTUo8/edit?usp=sharing"",""ตาก!I271"")"),22)</f>
        <v>22</v>
      </c>
      <c r="S17" s="86">
        <f ca="1">IFERROR(__xludf.DUMMYFUNCTION("IMPORTRANGE(""https://docs.google.com/spreadsheets/d/1JWG2rZePOz9pe-f-ObA-yDr0VoOX2kSb0qIix2mTUo8/edit?usp=sharing"",""ตาก!J271"")"),22)</f>
        <v>22</v>
      </c>
      <c r="T17" s="87">
        <f t="shared" ca="1" si="16"/>
        <v>100</v>
      </c>
    </row>
    <row r="18" spans="1:20" ht="24" customHeight="1" x14ac:dyDescent="0.2">
      <c r="A18" s="78">
        <v>5</v>
      </c>
      <c r="B18" s="79" t="s">
        <v>40</v>
      </c>
      <c r="C18" s="80">
        <f t="shared" ca="1" si="0"/>
        <v>26900</v>
      </c>
      <c r="D18" s="81">
        <f t="shared" ca="1" si="20"/>
        <v>26900</v>
      </c>
      <c r="E18" s="82">
        <f ca="1">IFERROR(__xludf.DUMMYFUNCTION("IMPORTRANGE(""https://docs.google.com/spreadsheets/d/1MeEWN-I1oV_STSDYn1IFDPWt_1FKiwhDph83XaGc0o0/edit?usp=sharing"",""งบพรบ!CZ18"")"),0)</f>
        <v>0</v>
      </c>
      <c r="F18" s="82">
        <f ca="1">IFERROR(__xludf.DUMMYFUNCTION("IMPORTRANGE(""https://docs.google.com/spreadsheets/d/1MeEWN-I1oV_STSDYn1IFDPWt_1FKiwhDph83XaGc0o0/edit?usp=sharing"",""งบพรบ!DA18"")"),26900)</f>
        <v>26900</v>
      </c>
      <c r="G18" s="82">
        <f ca="1">IFERROR(__xludf.DUMMYFUNCTION("IMPORTRANGE(""https://docs.google.com/spreadsheets/d/1MeEWN-I1oV_STSDYn1IFDPWt_1FKiwhDph83XaGc0o0/edit?usp=sharing"",""งบพรบ!DB18"")"),0)</f>
        <v>0</v>
      </c>
      <c r="H18" s="82">
        <f ca="1">IFERROR(__xludf.DUMMYFUNCTION("IMPORTRANGE(""https://docs.google.com/spreadsheets/d/1MeEWN-I1oV_STSDYn1IFDPWt_1FKiwhDph83XaGc0o0/edit?usp=sharing"",""งบพรบ!DD18"")"),23900)</f>
        <v>23900</v>
      </c>
      <c r="I18" s="82">
        <f ca="1">IFERROR(__xludf.DUMMYFUNCTION("IMPORTRANGE(""https://docs.google.com/spreadsheets/d/1MeEWN-I1oV_STSDYn1IFDPWt_1FKiwhDph83XaGc0o0/edit?usp=sharing"",""งบพรบ!DE18"")"),0)</f>
        <v>0</v>
      </c>
      <c r="J18" s="82">
        <f t="shared" ca="1" si="3"/>
        <v>19100</v>
      </c>
      <c r="K18" s="83">
        <f t="shared" ca="1" si="4"/>
        <v>71.003717472118964</v>
      </c>
      <c r="L18" s="82">
        <f ca="1">IFERROR(__xludf.DUMMYFUNCTION("IMPORTRANGE(""https://docs.google.com/spreadsheets/d/1MeEWN-I1oV_STSDYn1IFDPWt_1FKiwhDph83XaGc0o0/edit?usp=sharing"",""งบพรบ!DF18"")"),19100)</f>
        <v>19100</v>
      </c>
      <c r="M18" s="84">
        <f t="shared" ca="1" si="5"/>
        <v>71.003717472118964</v>
      </c>
      <c r="N18" s="84">
        <f t="shared" ca="1" si="6"/>
        <v>79.9163179916318</v>
      </c>
      <c r="O18" s="85">
        <f ca="1">IFERROR(__xludf.DUMMYFUNCTION("IMPORTRANGE(""https://docs.google.com/spreadsheets/d/1MeEWN-I1oV_STSDYn1IFDPWt_1FKiwhDph83XaGc0o0/edit?usp=sharing"",""งบพรบ!DG18"")"),0)</f>
        <v>0</v>
      </c>
      <c r="P18" s="85">
        <f t="shared" ca="1" si="18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IFERROR(__xludf.DUMMYFUNCTION("IMPORTRANGE(""https://docs.google.com/spreadsheets/d/10nSRjK08hx8Y6HgSOQKNw81lyY46Zc7U_Cj72hBMp9U/edit?usp=sharing"",""นครสวรรค์!I271"")"),22)</f>
        <v>22</v>
      </c>
      <c r="S18" s="86">
        <f ca="1">IFERROR(__xludf.DUMMYFUNCTION("IMPORTRANGE(""https://docs.google.com/spreadsheets/d/10nSRjK08hx8Y6HgSOQKNw81lyY46Zc7U_Cj72hBMp9U/edit?usp=sharing"",""นครสวรรค์!J271"")"),22)</f>
        <v>22</v>
      </c>
      <c r="T18" s="87">
        <f t="shared" ca="1" si="16"/>
        <v>100</v>
      </c>
    </row>
    <row r="19" spans="1:20" ht="24" customHeight="1" x14ac:dyDescent="0.2">
      <c r="A19" s="78">
        <v>6</v>
      </c>
      <c r="B19" s="79" t="s">
        <v>41</v>
      </c>
      <c r="C19" s="80">
        <f t="shared" ca="1" si="0"/>
        <v>26900</v>
      </c>
      <c r="D19" s="81">
        <f t="shared" ca="1" si="20"/>
        <v>26900</v>
      </c>
      <c r="E19" s="82">
        <f ca="1">IFERROR(__xludf.DUMMYFUNCTION("IMPORTRANGE(""https://docs.google.com/spreadsheets/d/1MeEWN-I1oV_STSDYn1IFDPWt_1FKiwhDph83XaGc0o0/edit?usp=sharing"",""งบพรบ!CZ19"")"),0)</f>
        <v>0</v>
      </c>
      <c r="F19" s="82">
        <f ca="1">IFERROR(__xludf.DUMMYFUNCTION("IMPORTRANGE(""https://docs.google.com/spreadsheets/d/1MeEWN-I1oV_STSDYn1IFDPWt_1FKiwhDph83XaGc0o0/edit?usp=sharing"",""งบพรบ!DA19"")"),26900)</f>
        <v>26900</v>
      </c>
      <c r="G19" s="82">
        <f ca="1">IFERROR(__xludf.DUMMYFUNCTION("IMPORTRANGE(""https://docs.google.com/spreadsheets/d/1MeEWN-I1oV_STSDYn1IFDPWt_1FKiwhDph83XaGc0o0/edit?usp=sharing"",""งบพรบ!DB19"")"),0)</f>
        <v>0</v>
      </c>
      <c r="H19" s="82">
        <f ca="1">IFERROR(__xludf.DUMMYFUNCTION("IMPORTRANGE(""https://docs.google.com/spreadsheets/d/1MeEWN-I1oV_STSDYn1IFDPWt_1FKiwhDph83XaGc0o0/edit?usp=sharing"",""งบพรบ!DD19"")"),23900)</f>
        <v>23900</v>
      </c>
      <c r="I19" s="82">
        <f ca="1">IFERROR(__xludf.DUMMYFUNCTION("IMPORTRANGE(""https://docs.google.com/spreadsheets/d/1MeEWN-I1oV_STSDYn1IFDPWt_1FKiwhDph83XaGc0o0/edit?usp=sharing"",""งบพรบ!DE19"")"),0)</f>
        <v>0</v>
      </c>
      <c r="J19" s="82">
        <f t="shared" ca="1" si="3"/>
        <v>15280</v>
      </c>
      <c r="K19" s="83">
        <f t="shared" ca="1" si="4"/>
        <v>56.802973977695167</v>
      </c>
      <c r="L19" s="82">
        <f ca="1">IFERROR(__xludf.DUMMYFUNCTION("IMPORTRANGE(""https://docs.google.com/spreadsheets/d/1MeEWN-I1oV_STSDYn1IFDPWt_1FKiwhDph83XaGc0o0/edit?usp=sharing"",""งบพรบ!DF19"")"),15280)</f>
        <v>15280</v>
      </c>
      <c r="M19" s="84">
        <f t="shared" ca="1" si="5"/>
        <v>56.802973977695167</v>
      </c>
      <c r="N19" s="84">
        <f t="shared" ca="1" si="6"/>
        <v>63.93305439330544</v>
      </c>
      <c r="O19" s="85">
        <f ca="1">IFERROR(__xludf.DUMMYFUNCTION("IMPORTRANGE(""https://docs.google.com/spreadsheets/d/1MeEWN-I1oV_STSDYn1IFDPWt_1FKiwhDph83XaGc0o0/edit?usp=sharing"",""งบพรบ!DG19"")"),0)</f>
        <v>0</v>
      </c>
      <c r="P19" s="85">
        <f t="shared" ca="1" si="18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IFERROR(__xludf.DUMMYFUNCTION("IMPORTRANGE(""https://docs.google.com/spreadsheets/d/1gFVb7qd7amutrIxAAoM7lcy35hllxznovot8lyOfvDo/edit?usp=sharing"",""น่าน!I271"")"),22)</f>
        <v>22</v>
      </c>
      <c r="S19" s="86">
        <f ca="1">IFERROR(__xludf.DUMMYFUNCTION("IMPORTRANGE(""https://docs.google.com/spreadsheets/d/1gFVb7qd7amutrIxAAoM7lcy35hllxznovot8lyOfvDo/edit?usp=sharing"",""น่าน!J271"")"),0)</f>
        <v>0</v>
      </c>
      <c r="T19" s="87">
        <f t="shared" ca="1" si="16"/>
        <v>0</v>
      </c>
    </row>
    <row r="20" spans="1:20" ht="24" customHeight="1" x14ac:dyDescent="0.2">
      <c r="A20" s="78">
        <v>7</v>
      </c>
      <c r="B20" s="79" t="s">
        <v>42</v>
      </c>
      <c r="C20" s="80">
        <f t="shared" ca="1" si="0"/>
        <v>26900</v>
      </c>
      <c r="D20" s="81">
        <f t="shared" ca="1" si="20"/>
        <v>26900</v>
      </c>
      <c r="E20" s="82">
        <f ca="1">IFERROR(__xludf.DUMMYFUNCTION("IMPORTRANGE(""https://docs.google.com/spreadsheets/d/1MeEWN-I1oV_STSDYn1IFDPWt_1FKiwhDph83XaGc0o0/edit?usp=sharing"",""งบพรบ!CZ20"")"),0)</f>
        <v>0</v>
      </c>
      <c r="F20" s="82">
        <f ca="1">IFERROR(__xludf.DUMMYFUNCTION("IMPORTRANGE(""https://docs.google.com/spreadsheets/d/1MeEWN-I1oV_STSDYn1IFDPWt_1FKiwhDph83XaGc0o0/edit?usp=sharing"",""งบพรบ!DA20"")"),26900)</f>
        <v>26900</v>
      </c>
      <c r="G20" s="82">
        <f ca="1">IFERROR(__xludf.DUMMYFUNCTION("IMPORTRANGE(""https://docs.google.com/spreadsheets/d/1MeEWN-I1oV_STSDYn1IFDPWt_1FKiwhDph83XaGc0o0/edit?usp=sharing"",""งบพรบ!DB20"")"),0)</f>
        <v>0</v>
      </c>
      <c r="H20" s="82">
        <f ca="1">IFERROR(__xludf.DUMMYFUNCTION("IMPORTRANGE(""https://docs.google.com/spreadsheets/d/1MeEWN-I1oV_STSDYn1IFDPWt_1FKiwhDph83XaGc0o0/edit?usp=sharing"",""งบพรบ!DD20"")"),23900)</f>
        <v>23900</v>
      </c>
      <c r="I20" s="82">
        <f ca="1">IFERROR(__xludf.DUMMYFUNCTION("IMPORTRANGE(""https://docs.google.com/spreadsheets/d/1MeEWN-I1oV_STSDYn1IFDPWt_1FKiwhDph83XaGc0o0/edit?usp=sharing"",""งบพรบ!DE20"")"),0)</f>
        <v>0</v>
      </c>
      <c r="J20" s="82">
        <f t="shared" ca="1" si="3"/>
        <v>18470</v>
      </c>
      <c r="K20" s="83">
        <f t="shared" ca="1" si="4"/>
        <v>68.661710037174714</v>
      </c>
      <c r="L20" s="82">
        <f ca="1">IFERROR(__xludf.DUMMYFUNCTION("IMPORTRANGE(""https://docs.google.com/spreadsheets/d/1MeEWN-I1oV_STSDYn1IFDPWt_1FKiwhDph83XaGc0o0/edit?usp=sharing"",""งบพรบ!DF20"")"),18470)</f>
        <v>18470</v>
      </c>
      <c r="M20" s="84">
        <f t="shared" ca="1" si="5"/>
        <v>68.661710037174714</v>
      </c>
      <c r="N20" s="84">
        <f t="shared" ca="1" si="6"/>
        <v>77.280334728033466</v>
      </c>
      <c r="O20" s="85">
        <f ca="1">IFERROR(__xludf.DUMMYFUNCTION("IMPORTRANGE(""https://docs.google.com/spreadsheets/d/1MeEWN-I1oV_STSDYn1IFDPWt_1FKiwhDph83XaGc0o0/edit?usp=sharing"",""งบพรบ!DG20"")"),0)</f>
        <v>0</v>
      </c>
      <c r="P20" s="85">
        <f t="shared" ca="1" si="18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IFERROR(__xludf.DUMMYFUNCTION("IMPORTRANGE(""https://docs.google.com/spreadsheets/d/1K0Aa9s-6EuHE5M0FG1F9aHLXRCOV917xvycTdLdct0w/edit?usp=sharing"",""พะเยา!I271"")"),22)</f>
        <v>22</v>
      </c>
      <c r="S20" s="86">
        <f ca="1">IFERROR(__xludf.DUMMYFUNCTION("IMPORTRANGE(""https://docs.google.com/spreadsheets/d/1K0Aa9s-6EuHE5M0FG1F9aHLXRCOV917xvycTdLdct0w/edit?usp=sharing"",""พะเยา!J271"")"),22)</f>
        <v>22</v>
      </c>
      <c r="T20" s="87">
        <f t="shared" ca="1" si="16"/>
        <v>100</v>
      </c>
    </row>
    <row r="21" spans="1:20" ht="24" customHeight="1" x14ac:dyDescent="0.2">
      <c r="A21" s="78">
        <v>8</v>
      </c>
      <c r="B21" s="79" t="s">
        <v>43</v>
      </c>
      <c r="C21" s="80">
        <f t="shared" ca="1" si="0"/>
        <v>312900</v>
      </c>
      <c r="D21" s="81">
        <f t="shared" ca="1" si="20"/>
        <v>312900</v>
      </c>
      <c r="E21" s="82">
        <f ca="1">IFERROR(__xludf.DUMMYFUNCTION("IMPORTRANGE(""https://docs.google.com/spreadsheets/d/1MeEWN-I1oV_STSDYn1IFDPWt_1FKiwhDph83XaGc0o0/edit?usp=sharing"",""งบพรบ!CZ21"")"),286000)</f>
        <v>286000</v>
      </c>
      <c r="F21" s="82">
        <f ca="1">IFERROR(__xludf.DUMMYFUNCTION("IMPORTRANGE(""https://docs.google.com/spreadsheets/d/1MeEWN-I1oV_STSDYn1IFDPWt_1FKiwhDph83XaGc0o0/edit?usp=sharing"",""งบพรบ!DA21"")"),26900)</f>
        <v>26900</v>
      </c>
      <c r="G21" s="82">
        <f ca="1">IFERROR(__xludf.DUMMYFUNCTION("IMPORTRANGE(""https://docs.google.com/spreadsheets/d/1MeEWN-I1oV_STSDYn1IFDPWt_1FKiwhDph83XaGc0o0/edit?usp=sharing"",""งบพรบ!DB21"")"),0)</f>
        <v>0</v>
      </c>
      <c r="H21" s="82">
        <f ca="1">IFERROR(__xludf.DUMMYFUNCTION("IMPORTRANGE(""https://docs.google.com/spreadsheets/d/1MeEWN-I1oV_STSDYn1IFDPWt_1FKiwhDph83XaGc0o0/edit?usp=sharing"",""งบพรบ!DD21"")"),231900)</f>
        <v>231900</v>
      </c>
      <c r="I21" s="82">
        <f ca="1">IFERROR(__xludf.DUMMYFUNCTION("IMPORTRANGE(""https://docs.google.com/spreadsheets/d/1MeEWN-I1oV_STSDYn1IFDPWt_1FKiwhDph83XaGc0o0/edit?usp=sharing"",""งบพรบ!DE21"")"),0)</f>
        <v>0</v>
      </c>
      <c r="J21" s="82">
        <f t="shared" ca="1" si="3"/>
        <v>100080.01</v>
      </c>
      <c r="K21" s="83">
        <f t="shared" ca="1" si="4"/>
        <v>31.984662831575584</v>
      </c>
      <c r="L21" s="82">
        <f ca="1">IFERROR(__xludf.DUMMYFUNCTION("IMPORTRANGE(""https://docs.google.com/spreadsheets/d/1MeEWN-I1oV_STSDYn1IFDPWt_1FKiwhDph83XaGc0o0/edit?usp=sharing"",""งบพรบ!DF21"")"),100080.01)</f>
        <v>100080.01</v>
      </c>
      <c r="M21" s="84">
        <f t="shared" ca="1" si="5"/>
        <v>31.984662831575584</v>
      </c>
      <c r="N21" s="84">
        <f t="shared" ca="1" si="6"/>
        <v>43.156537300560586</v>
      </c>
      <c r="O21" s="85">
        <f ca="1">IFERROR(__xludf.DUMMYFUNCTION("IMPORTRANGE(""https://docs.google.com/spreadsheets/d/1MeEWN-I1oV_STSDYn1IFDPWt_1FKiwhDph83XaGc0o0/edit?usp=sharing"",""งบพรบ!DG21"")"),0)</f>
        <v>0</v>
      </c>
      <c r="P21" s="85">
        <f t="shared" ca="1" si="18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IFERROR(__xludf.DUMMYFUNCTION("IMPORTRANGE(""https://docs.google.com/spreadsheets/d/1Y9LPKx95PyL5OKy09d-KbKJSuuEZCFdkhYjwC0XQjBA/edit?usp=sharing"",""พิจิตร!I271"")"),22)</f>
        <v>22</v>
      </c>
      <c r="S21" s="86">
        <f ca="1">IFERROR(__xludf.DUMMYFUNCTION("IMPORTRANGE(""https://docs.google.com/spreadsheets/d/1Y9LPKx95PyL5OKy09d-KbKJSuuEZCFdkhYjwC0XQjBA/edit?usp=sharing"",""พิจิตร!J271"")"),22)</f>
        <v>22</v>
      </c>
      <c r="T21" s="87">
        <f t="shared" ca="1" si="16"/>
        <v>100</v>
      </c>
    </row>
    <row r="22" spans="1:20" ht="24" customHeight="1" x14ac:dyDescent="0.2">
      <c r="A22" s="78">
        <v>9</v>
      </c>
      <c r="B22" s="79" t="s">
        <v>44</v>
      </c>
      <c r="C22" s="80">
        <f t="shared" ca="1" si="0"/>
        <v>28800</v>
      </c>
      <c r="D22" s="81">
        <f t="shared" ca="1" si="20"/>
        <v>28800</v>
      </c>
      <c r="E22" s="82">
        <f ca="1">IFERROR(__xludf.DUMMYFUNCTION("IMPORTRANGE(""https://docs.google.com/spreadsheets/d/1MeEWN-I1oV_STSDYn1IFDPWt_1FKiwhDph83XaGc0o0/edit?usp=sharing"",""งบพรบ!CZ22"")"),0)</f>
        <v>0</v>
      </c>
      <c r="F22" s="82">
        <f ca="1">IFERROR(__xludf.DUMMYFUNCTION("IMPORTRANGE(""https://docs.google.com/spreadsheets/d/1MeEWN-I1oV_STSDYn1IFDPWt_1FKiwhDph83XaGc0o0/edit?usp=sharing"",""งบพรบ!DA22"")"),28800)</f>
        <v>28800</v>
      </c>
      <c r="G22" s="82">
        <f ca="1">IFERROR(__xludf.DUMMYFUNCTION("IMPORTRANGE(""https://docs.google.com/spreadsheets/d/1MeEWN-I1oV_STSDYn1IFDPWt_1FKiwhDph83XaGc0o0/edit?usp=sharing"",""งบพรบ!DB22"")"),0)</f>
        <v>0</v>
      </c>
      <c r="H22" s="82">
        <f ca="1">IFERROR(__xludf.DUMMYFUNCTION("IMPORTRANGE(""https://docs.google.com/spreadsheets/d/1MeEWN-I1oV_STSDYn1IFDPWt_1FKiwhDph83XaGc0o0/edit?usp=sharing"",""งบพรบ!DD22"")"),25800)</f>
        <v>25800</v>
      </c>
      <c r="I22" s="82">
        <f ca="1">IFERROR(__xludf.DUMMYFUNCTION("IMPORTRANGE(""https://docs.google.com/spreadsheets/d/1MeEWN-I1oV_STSDYn1IFDPWt_1FKiwhDph83XaGc0o0/edit?usp=sharing"",""งบพรบ!DE22"")"),0)</f>
        <v>0</v>
      </c>
      <c r="J22" s="82">
        <f t="shared" ca="1" si="3"/>
        <v>22350</v>
      </c>
      <c r="K22" s="83">
        <f t="shared" ca="1" si="4"/>
        <v>77.604166666666671</v>
      </c>
      <c r="L22" s="82">
        <f ca="1">IFERROR(__xludf.DUMMYFUNCTION("IMPORTRANGE(""https://docs.google.com/spreadsheets/d/1MeEWN-I1oV_STSDYn1IFDPWt_1FKiwhDph83XaGc0o0/edit?usp=sharing"",""งบพรบ!DF22"")"),22350)</f>
        <v>22350</v>
      </c>
      <c r="M22" s="84">
        <f t="shared" ca="1" si="5"/>
        <v>77.604166666666671</v>
      </c>
      <c r="N22" s="84">
        <f t="shared" ca="1" si="6"/>
        <v>86.627906976744185</v>
      </c>
      <c r="O22" s="85">
        <f ca="1">IFERROR(__xludf.DUMMYFUNCTION("IMPORTRANGE(""https://docs.google.com/spreadsheets/d/1MeEWN-I1oV_STSDYn1IFDPWt_1FKiwhDph83XaGc0o0/edit?usp=sharing"",""งบพรบ!DG22"")"),0)</f>
        <v>0</v>
      </c>
      <c r="P22" s="85">
        <f t="shared" ca="1" si="18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IFERROR(__xludf.DUMMYFUNCTION("IMPORTRANGE(""https://docs.google.com/spreadsheets/d/16OMuOwy2eVqZcYWOouQtTpa8X1L23h4660uVHc0C8os/edit?usp=sharing"",""พิษณุโลก!I271"")"),24)</f>
        <v>24</v>
      </c>
      <c r="S22" s="86">
        <f ca="1">IFERROR(__xludf.DUMMYFUNCTION("IMPORTRANGE(""https://docs.google.com/spreadsheets/d/16OMuOwy2eVqZcYWOouQtTpa8X1L23h4660uVHc0C8os/edit?usp=sharing"",""พิษณุโลก!J271"")"),24)</f>
        <v>24</v>
      </c>
      <c r="T22" s="87">
        <f t="shared" ca="1" si="16"/>
        <v>100</v>
      </c>
    </row>
    <row r="23" spans="1:20" ht="24" customHeight="1" x14ac:dyDescent="0.2">
      <c r="A23" s="78">
        <v>10</v>
      </c>
      <c r="B23" s="79" t="s">
        <v>45</v>
      </c>
      <c r="C23" s="80">
        <f t="shared" ca="1" si="0"/>
        <v>26900</v>
      </c>
      <c r="D23" s="81">
        <f t="shared" ca="1" si="20"/>
        <v>26900</v>
      </c>
      <c r="E23" s="82">
        <f ca="1">IFERROR(__xludf.DUMMYFUNCTION("IMPORTRANGE(""https://docs.google.com/spreadsheets/d/1MeEWN-I1oV_STSDYn1IFDPWt_1FKiwhDph83XaGc0o0/edit?usp=sharing"",""งบพรบ!CZ23"")"),0)</f>
        <v>0</v>
      </c>
      <c r="F23" s="82">
        <f ca="1">IFERROR(__xludf.DUMMYFUNCTION("IMPORTRANGE(""https://docs.google.com/spreadsheets/d/1MeEWN-I1oV_STSDYn1IFDPWt_1FKiwhDph83XaGc0o0/edit?usp=sharing"",""งบพรบ!DA23"")"),26900)</f>
        <v>26900</v>
      </c>
      <c r="G23" s="82">
        <f ca="1">IFERROR(__xludf.DUMMYFUNCTION("IMPORTRANGE(""https://docs.google.com/spreadsheets/d/1MeEWN-I1oV_STSDYn1IFDPWt_1FKiwhDph83XaGc0o0/edit?usp=sharing"",""งบพรบ!DB23"")"),0)</f>
        <v>0</v>
      </c>
      <c r="H23" s="82">
        <f ca="1">IFERROR(__xludf.DUMMYFUNCTION("IMPORTRANGE(""https://docs.google.com/spreadsheets/d/1MeEWN-I1oV_STSDYn1IFDPWt_1FKiwhDph83XaGc0o0/edit?usp=sharing"",""งบพรบ!DD23"")"),23900)</f>
        <v>23900</v>
      </c>
      <c r="I23" s="82">
        <f ca="1">IFERROR(__xludf.DUMMYFUNCTION("IMPORTRANGE(""https://docs.google.com/spreadsheets/d/1MeEWN-I1oV_STSDYn1IFDPWt_1FKiwhDph83XaGc0o0/edit?usp=sharing"",""งบพรบ!DE23"")"),0)</f>
        <v>0</v>
      </c>
      <c r="J23" s="82">
        <f t="shared" ca="1" si="3"/>
        <v>18132.5</v>
      </c>
      <c r="K23" s="83">
        <f t="shared" ca="1" si="4"/>
        <v>67.407063197026019</v>
      </c>
      <c r="L23" s="82">
        <f ca="1">IFERROR(__xludf.DUMMYFUNCTION("IMPORTRANGE(""https://docs.google.com/spreadsheets/d/1MeEWN-I1oV_STSDYn1IFDPWt_1FKiwhDph83XaGc0o0/edit?usp=sharing"",""งบพรบ!DF23"")"),18132.5)</f>
        <v>18132.5</v>
      </c>
      <c r="M23" s="84">
        <f t="shared" ca="1" si="5"/>
        <v>67.407063197026019</v>
      </c>
      <c r="N23" s="84">
        <f t="shared" ca="1" si="6"/>
        <v>75.86820083682008</v>
      </c>
      <c r="O23" s="85">
        <f ca="1">IFERROR(__xludf.DUMMYFUNCTION("IMPORTRANGE(""https://docs.google.com/spreadsheets/d/1MeEWN-I1oV_STSDYn1IFDPWt_1FKiwhDph83XaGc0o0/edit?usp=sharing"",""งบพรบ!DG23"")"),0)</f>
        <v>0</v>
      </c>
      <c r="P23" s="85">
        <f t="shared" ca="1" si="18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IFERROR(__xludf.DUMMYFUNCTION("IMPORTRANGE(""https://docs.google.com/spreadsheets/d/1GfgTldLG6k77HXaMQzaafODklYuucJZQNs_GAPEfZyY/edit?usp=sharing"",""เพชรบูรณ์!I271"")"),22)</f>
        <v>22</v>
      </c>
      <c r="S23" s="86">
        <f ca="1">IFERROR(__xludf.DUMMYFUNCTION("IMPORTRANGE(""https://docs.google.com/spreadsheets/d/1GfgTldLG6k77HXaMQzaafODklYuucJZQNs_GAPEfZyY/edit?usp=sharing"",""เพชรบูรณ์!J271"")"),22)</f>
        <v>22</v>
      </c>
      <c r="T23" s="87">
        <f t="shared" ca="1" si="16"/>
        <v>100</v>
      </c>
    </row>
    <row r="24" spans="1:20" ht="24" customHeight="1" x14ac:dyDescent="0.2">
      <c r="A24" s="78">
        <v>11</v>
      </c>
      <c r="B24" s="79" t="s">
        <v>46</v>
      </c>
      <c r="C24" s="80">
        <f t="shared" ca="1" si="0"/>
        <v>26900</v>
      </c>
      <c r="D24" s="81">
        <f t="shared" ca="1" si="20"/>
        <v>26900</v>
      </c>
      <c r="E24" s="82">
        <f ca="1">IFERROR(__xludf.DUMMYFUNCTION("IMPORTRANGE(""https://docs.google.com/spreadsheets/d/1MeEWN-I1oV_STSDYn1IFDPWt_1FKiwhDph83XaGc0o0/edit?usp=sharing"",""งบพรบ!CZ24"")"),0)</f>
        <v>0</v>
      </c>
      <c r="F24" s="82">
        <f ca="1">IFERROR(__xludf.DUMMYFUNCTION("IMPORTRANGE(""https://docs.google.com/spreadsheets/d/1MeEWN-I1oV_STSDYn1IFDPWt_1FKiwhDph83XaGc0o0/edit?usp=sharing"",""งบพรบ!DA24"")"),26900)</f>
        <v>26900</v>
      </c>
      <c r="G24" s="82">
        <f ca="1">IFERROR(__xludf.DUMMYFUNCTION("IMPORTRANGE(""https://docs.google.com/spreadsheets/d/1MeEWN-I1oV_STSDYn1IFDPWt_1FKiwhDph83XaGc0o0/edit?usp=sharing"",""งบพรบ!DB24"")"),0)</f>
        <v>0</v>
      </c>
      <c r="H24" s="82">
        <f ca="1">IFERROR(__xludf.DUMMYFUNCTION("IMPORTRANGE(""https://docs.google.com/spreadsheets/d/1MeEWN-I1oV_STSDYn1IFDPWt_1FKiwhDph83XaGc0o0/edit?usp=sharing"",""งบพรบ!DD24"")"),23900)</f>
        <v>23900</v>
      </c>
      <c r="I24" s="82">
        <f ca="1">IFERROR(__xludf.DUMMYFUNCTION("IMPORTRANGE(""https://docs.google.com/spreadsheets/d/1MeEWN-I1oV_STSDYn1IFDPWt_1FKiwhDph83XaGc0o0/edit?usp=sharing"",""งบพรบ!DE24"")"),0)</f>
        <v>0</v>
      </c>
      <c r="J24" s="82">
        <f t="shared" ca="1" si="3"/>
        <v>21020</v>
      </c>
      <c r="K24" s="83">
        <f t="shared" ca="1" si="4"/>
        <v>78.141263940520446</v>
      </c>
      <c r="L24" s="82">
        <f ca="1">IFERROR(__xludf.DUMMYFUNCTION("IMPORTRANGE(""https://docs.google.com/spreadsheets/d/1MeEWN-I1oV_STSDYn1IFDPWt_1FKiwhDph83XaGc0o0/edit?usp=sharing"",""งบพรบ!DF24"")"),21020)</f>
        <v>21020</v>
      </c>
      <c r="M24" s="84">
        <f t="shared" ca="1" si="5"/>
        <v>78.141263940520446</v>
      </c>
      <c r="N24" s="84">
        <f t="shared" ca="1" si="6"/>
        <v>87.94979079497908</v>
      </c>
      <c r="O24" s="85">
        <f ca="1">IFERROR(__xludf.DUMMYFUNCTION("IMPORTRANGE(""https://docs.google.com/spreadsheets/d/1MeEWN-I1oV_STSDYn1IFDPWt_1FKiwhDph83XaGc0o0/edit?usp=sharing"",""งบพรบ!DG24"")"),0)</f>
        <v>0</v>
      </c>
      <c r="P24" s="85">
        <f t="shared" ca="1" si="18"/>
        <v>0</v>
      </c>
      <c r="Q24" s="84">
        <f t="shared" ca="1" si="8"/>
        <v>0</v>
      </c>
      <c r="R24" s="86">
        <f ca="1">IFERROR(__xludf.DUMMYFUNCTION("IMPORTRANGE(""https://docs.google.com/spreadsheets/d/1gvTMYAnm7v1yG1BKWFtr0DnaTsq59oW9dwWvFgq6hs0/edit?usp=sharing"",""แพร่!I271"")"),22)</f>
        <v>22</v>
      </c>
      <c r="S24" s="86">
        <f ca="1">IFERROR(__xludf.DUMMYFUNCTION("IMPORTRANGE(""https://docs.google.com/spreadsheets/d/1gvTMYAnm7v1yG1BKWFtr0DnaTsq59oW9dwWvFgq6hs0/edit?usp=sharing"",""แพร่!J271"")"),24)</f>
        <v>24</v>
      </c>
      <c r="T24" s="87">
        <f t="shared" ca="1" si="16"/>
        <v>109.09090909090909</v>
      </c>
    </row>
    <row r="25" spans="1:20" ht="24" customHeight="1" x14ac:dyDescent="0.2">
      <c r="A25" s="78">
        <v>12</v>
      </c>
      <c r="B25" s="79" t="s">
        <v>47</v>
      </c>
      <c r="C25" s="80">
        <f t="shared" ca="1" si="0"/>
        <v>25000</v>
      </c>
      <c r="D25" s="81">
        <f t="shared" ca="1" si="20"/>
        <v>25000</v>
      </c>
      <c r="E25" s="82">
        <f ca="1">IFERROR(__xludf.DUMMYFUNCTION("IMPORTRANGE(""https://docs.google.com/spreadsheets/d/1MeEWN-I1oV_STSDYn1IFDPWt_1FKiwhDph83XaGc0o0/edit?usp=sharing"",""งบพรบ!CZ25"")"),0)</f>
        <v>0</v>
      </c>
      <c r="F25" s="82">
        <f ca="1">IFERROR(__xludf.DUMMYFUNCTION("IMPORTRANGE(""https://docs.google.com/spreadsheets/d/1MeEWN-I1oV_STSDYn1IFDPWt_1FKiwhDph83XaGc0o0/edit?usp=sharing"",""งบพรบ!DA25"")"),25000)</f>
        <v>25000</v>
      </c>
      <c r="G25" s="82">
        <f ca="1">IFERROR(__xludf.DUMMYFUNCTION("IMPORTRANGE(""https://docs.google.com/spreadsheets/d/1MeEWN-I1oV_STSDYn1IFDPWt_1FKiwhDph83XaGc0o0/edit?usp=sharing"",""งบพรบ!DB25"")"),0)</f>
        <v>0</v>
      </c>
      <c r="H25" s="82">
        <f ca="1">IFERROR(__xludf.DUMMYFUNCTION("IMPORTRANGE(""https://docs.google.com/spreadsheets/d/1MeEWN-I1oV_STSDYn1IFDPWt_1FKiwhDph83XaGc0o0/edit?usp=sharing"",""งบพรบ!DD25"")"),22000)</f>
        <v>22000</v>
      </c>
      <c r="I25" s="82">
        <f ca="1">IFERROR(__xludf.DUMMYFUNCTION("IMPORTRANGE(""https://docs.google.com/spreadsheets/d/1MeEWN-I1oV_STSDYn1IFDPWt_1FKiwhDph83XaGc0o0/edit?usp=sharing"",""งบพรบ!DE25"")"),0)</f>
        <v>0</v>
      </c>
      <c r="J25" s="82">
        <f t="shared" ca="1" si="3"/>
        <v>17784</v>
      </c>
      <c r="K25" s="83">
        <f t="shared" ca="1" si="4"/>
        <v>71.135999999999996</v>
      </c>
      <c r="L25" s="82">
        <f ca="1">IFERROR(__xludf.DUMMYFUNCTION("IMPORTRANGE(""https://docs.google.com/spreadsheets/d/1MeEWN-I1oV_STSDYn1IFDPWt_1FKiwhDph83XaGc0o0/edit?usp=sharing"",""งบพรบ!DF25"")"),17784)</f>
        <v>17784</v>
      </c>
      <c r="M25" s="84">
        <f t="shared" ca="1" si="5"/>
        <v>71.135999999999996</v>
      </c>
      <c r="N25" s="84">
        <f t="shared" ca="1" si="6"/>
        <v>80.836363636363643</v>
      </c>
      <c r="O25" s="85">
        <f ca="1">IFERROR(__xludf.DUMMYFUNCTION("IMPORTRANGE(""https://docs.google.com/spreadsheets/d/1MeEWN-I1oV_STSDYn1IFDPWt_1FKiwhDph83XaGc0o0/edit?usp=sharing"",""งบพรบ!DG25"")"),0)</f>
        <v>0</v>
      </c>
      <c r="P25" s="85">
        <f t="shared" ca="1" si="18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IFERROR(__xludf.DUMMYFUNCTION("IMPORTRANGE(""https://docs.google.com/spreadsheets/d/1Wbcosgy-Xa1xXUArJSOenub6EfZHUSzc_bpJFWwQUf0/edit?usp=sharing"",""แม่ฮ่องสอน!I271"")"),20)</f>
        <v>20</v>
      </c>
      <c r="S25" s="86">
        <f ca="1">IFERROR(__xludf.DUMMYFUNCTION("IMPORTRANGE(""https://docs.google.com/spreadsheets/d/1Wbcosgy-Xa1xXUArJSOenub6EfZHUSzc_bpJFWwQUf0/edit?usp=sharing"",""แม่ฮ่องสอน!J271"")"),0)</f>
        <v>0</v>
      </c>
      <c r="T25" s="87">
        <f t="shared" ca="1" si="16"/>
        <v>0</v>
      </c>
    </row>
    <row r="26" spans="1:20" ht="24" customHeight="1" x14ac:dyDescent="0.2">
      <c r="A26" s="78">
        <v>13</v>
      </c>
      <c r="B26" s="79" t="s">
        <v>48</v>
      </c>
      <c r="C26" s="80">
        <f t="shared" ca="1" si="0"/>
        <v>34500</v>
      </c>
      <c r="D26" s="81">
        <f t="shared" ca="1" si="20"/>
        <v>34500</v>
      </c>
      <c r="E26" s="82">
        <f ca="1">IFERROR(__xludf.DUMMYFUNCTION("IMPORTRANGE(""https://docs.google.com/spreadsheets/d/1MeEWN-I1oV_STSDYn1IFDPWt_1FKiwhDph83XaGc0o0/edit?usp=sharing"",""งบพรบ!CZ26"")"),0)</f>
        <v>0</v>
      </c>
      <c r="F26" s="82">
        <f ca="1">IFERROR(__xludf.DUMMYFUNCTION("IMPORTRANGE(""https://docs.google.com/spreadsheets/d/1MeEWN-I1oV_STSDYn1IFDPWt_1FKiwhDph83XaGc0o0/edit?usp=sharing"",""งบพรบ!DA26"")"),34500)</f>
        <v>34500</v>
      </c>
      <c r="G26" s="82">
        <f ca="1">IFERROR(__xludf.DUMMYFUNCTION("IMPORTRANGE(""https://docs.google.com/spreadsheets/d/1MeEWN-I1oV_STSDYn1IFDPWt_1FKiwhDph83XaGc0o0/edit?usp=sharing"",""งบพรบ!DB26"")"),0)</f>
        <v>0</v>
      </c>
      <c r="H26" s="82">
        <f ca="1">IFERROR(__xludf.DUMMYFUNCTION("IMPORTRANGE(""https://docs.google.com/spreadsheets/d/1MeEWN-I1oV_STSDYn1IFDPWt_1FKiwhDph83XaGc0o0/edit?usp=sharing"",""งบพรบ!DD26"")"),31500)</f>
        <v>31500</v>
      </c>
      <c r="I26" s="82">
        <f ca="1">IFERROR(__xludf.DUMMYFUNCTION("IMPORTRANGE(""https://docs.google.com/spreadsheets/d/1MeEWN-I1oV_STSDYn1IFDPWt_1FKiwhDph83XaGc0o0/edit?usp=sharing"",""งบพรบ!DE26"")"),0)</f>
        <v>0</v>
      </c>
      <c r="J26" s="82">
        <f t="shared" ca="1" si="3"/>
        <v>31500</v>
      </c>
      <c r="K26" s="83">
        <f t="shared" ca="1" si="4"/>
        <v>91.304347826086953</v>
      </c>
      <c r="L26" s="82">
        <f ca="1">IFERROR(__xludf.DUMMYFUNCTION("IMPORTRANGE(""https://docs.google.com/spreadsheets/d/1MeEWN-I1oV_STSDYn1IFDPWt_1FKiwhDph83XaGc0o0/edit?usp=sharing"",""งบพรบ!DF26"")"),31500)</f>
        <v>31500</v>
      </c>
      <c r="M26" s="84">
        <f t="shared" ca="1" si="5"/>
        <v>91.304347826086953</v>
      </c>
      <c r="N26" s="84">
        <f t="shared" ca="1" si="6"/>
        <v>100</v>
      </c>
      <c r="O26" s="85">
        <f ca="1">IFERROR(__xludf.DUMMYFUNCTION("IMPORTRANGE(""https://docs.google.com/spreadsheets/d/1MeEWN-I1oV_STSDYn1IFDPWt_1FKiwhDph83XaGc0o0/edit?usp=sharing"",""งบพรบ!DG26"")"),0)</f>
        <v>0</v>
      </c>
      <c r="P26" s="85">
        <f t="shared" ca="1" si="18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IFERROR(__xludf.DUMMYFUNCTION("IMPORTRANGE(""https://docs.google.com/spreadsheets/d/1p7ERhsr0qZeSn-KSOdeHS9r0heI-lHtkcn2OH7hP0jQ/edit?usp=sharing"",""ลำปาง!I271"")"),30)</f>
        <v>30</v>
      </c>
      <c r="S26" s="86">
        <f ca="1">IFERROR(__xludf.DUMMYFUNCTION("IMPORTRANGE(""https://docs.google.com/spreadsheets/d/1p7ERhsr0qZeSn-KSOdeHS9r0heI-lHtkcn2OH7hP0jQ/edit?usp=sharing"",""ลำปาง!J271"")"),30)</f>
        <v>30</v>
      </c>
      <c r="T26" s="87">
        <f t="shared" ca="1" si="16"/>
        <v>100</v>
      </c>
    </row>
    <row r="27" spans="1:20" ht="24" customHeight="1" x14ac:dyDescent="0.2">
      <c r="A27" s="78">
        <v>14</v>
      </c>
      <c r="B27" s="79" t="s">
        <v>49</v>
      </c>
      <c r="C27" s="80">
        <f t="shared" ca="1" si="0"/>
        <v>312900</v>
      </c>
      <c r="D27" s="81">
        <f t="shared" ca="1" si="20"/>
        <v>312900</v>
      </c>
      <c r="E27" s="82">
        <f ca="1">IFERROR(__xludf.DUMMYFUNCTION("IMPORTRANGE(""https://docs.google.com/spreadsheets/d/1MeEWN-I1oV_STSDYn1IFDPWt_1FKiwhDph83XaGc0o0/edit?usp=sharing"",""งบพรบ!CZ27"")"),286000)</f>
        <v>286000</v>
      </c>
      <c r="F27" s="82">
        <f ca="1">IFERROR(__xludf.DUMMYFUNCTION("IMPORTRANGE(""https://docs.google.com/spreadsheets/d/1MeEWN-I1oV_STSDYn1IFDPWt_1FKiwhDph83XaGc0o0/edit?usp=sharing"",""งบพรบ!DA27"")"),26900)</f>
        <v>26900</v>
      </c>
      <c r="G27" s="82">
        <f ca="1">IFERROR(__xludf.DUMMYFUNCTION("IMPORTRANGE(""https://docs.google.com/spreadsheets/d/1MeEWN-I1oV_STSDYn1IFDPWt_1FKiwhDph83XaGc0o0/edit?usp=sharing"",""งบพรบ!DB27"")"),0)</f>
        <v>0</v>
      </c>
      <c r="H27" s="82">
        <f ca="1">IFERROR(__xludf.DUMMYFUNCTION("IMPORTRANGE(""https://docs.google.com/spreadsheets/d/1MeEWN-I1oV_STSDYn1IFDPWt_1FKiwhDph83XaGc0o0/edit?usp=sharing"",""งบพรบ!DD27"")"),231900)</f>
        <v>231900</v>
      </c>
      <c r="I27" s="82">
        <f ca="1">IFERROR(__xludf.DUMMYFUNCTION("IMPORTRANGE(""https://docs.google.com/spreadsheets/d/1MeEWN-I1oV_STSDYn1IFDPWt_1FKiwhDph83XaGc0o0/edit?usp=sharing"",""งบพรบ!DE27"")"),0)</f>
        <v>0</v>
      </c>
      <c r="J27" s="82">
        <f t="shared" ca="1" si="3"/>
        <v>90819.8</v>
      </c>
      <c r="K27" s="83">
        <f t="shared" ca="1" si="4"/>
        <v>29.02518376478108</v>
      </c>
      <c r="L27" s="82">
        <f ca="1">IFERROR(__xludf.DUMMYFUNCTION("IMPORTRANGE(""https://docs.google.com/spreadsheets/d/1MeEWN-I1oV_STSDYn1IFDPWt_1FKiwhDph83XaGc0o0/edit?usp=sharing"",""งบพรบ!DF27"")"),90819.8)</f>
        <v>90819.8</v>
      </c>
      <c r="M27" s="84">
        <f t="shared" ca="1" si="5"/>
        <v>29.02518376478108</v>
      </c>
      <c r="N27" s="84">
        <f t="shared" ca="1" si="6"/>
        <v>39.163346269943943</v>
      </c>
      <c r="O27" s="85">
        <f ca="1">IFERROR(__xludf.DUMMYFUNCTION("IMPORTRANGE(""https://docs.google.com/spreadsheets/d/1MeEWN-I1oV_STSDYn1IFDPWt_1FKiwhDph83XaGc0o0/edit?usp=sharing"",""งบพรบ!DG27"")"),0)</f>
        <v>0</v>
      </c>
      <c r="P27" s="85">
        <f t="shared" ca="1" si="18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IFERROR(__xludf.DUMMYFUNCTION("IMPORTRANGE(""https://docs.google.com/spreadsheets/d/1-uUXvimVhiU2U0bMN-xi2te0tS4X7DI2GLPnMjzl8cA/edit?usp=sharing"",""ลำพูน!I271"")"),22)</f>
        <v>22</v>
      </c>
      <c r="S27" s="86">
        <f ca="1">IFERROR(__xludf.DUMMYFUNCTION("IMPORTRANGE(""https://docs.google.com/spreadsheets/d/1-uUXvimVhiU2U0bMN-xi2te0tS4X7DI2GLPnMjzl8cA/edit?usp=sharing"",""ลำพูน!J271"")"),22)</f>
        <v>22</v>
      </c>
      <c r="T27" s="87">
        <f t="shared" ca="1" si="16"/>
        <v>100</v>
      </c>
    </row>
    <row r="28" spans="1:20" ht="24" customHeight="1" x14ac:dyDescent="0.2">
      <c r="A28" s="78">
        <v>15</v>
      </c>
      <c r="B28" s="79" t="s">
        <v>50</v>
      </c>
      <c r="C28" s="80">
        <f t="shared" ca="1" si="0"/>
        <v>30700</v>
      </c>
      <c r="D28" s="81">
        <f t="shared" ca="1" si="20"/>
        <v>30700</v>
      </c>
      <c r="E28" s="82">
        <f ca="1">IFERROR(__xludf.DUMMYFUNCTION("IMPORTRANGE(""https://docs.google.com/spreadsheets/d/1MeEWN-I1oV_STSDYn1IFDPWt_1FKiwhDph83XaGc0o0/edit?usp=sharing"",""งบพรบ!CZ28"")"),0)</f>
        <v>0</v>
      </c>
      <c r="F28" s="82">
        <f ca="1">IFERROR(__xludf.DUMMYFUNCTION("IMPORTRANGE(""https://docs.google.com/spreadsheets/d/1MeEWN-I1oV_STSDYn1IFDPWt_1FKiwhDph83XaGc0o0/edit?usp=sharing"",""งบพรบ!DA28"")"),30700)</f>
        <v>30700</v>
      </c>
      <c r="G28" s="82">
        <f ca="1">IFERROR(__xludf.DUMMYFUNCTION("IMPORTRANGE(""https://docs.google.com/spreadsheets/d/1MeEWN-I1oV_STSDYn1IFDPWt_1FKiwhDph83XaGc0o0/edit?usp=sharing"",""งบพรบ!DB28"")"),0)</f>
        <v>0</v>
      </c>
      <c r="H28" s="82">
        <f ca="1">IFERROR(__xludf.DUMMYFUNCTION("IMPORTRANGE(""https://docs.google.com/spreadsheets/d/1MeEWN-I1oV_STSDYn1IFDPWt_1FKiwhDph83XaGc0o0/edit?usp=sharing"",""งบพรบ!DD28"")"),27700)</f>
        <v>27700</v>
      </c>
      <c r="I28" s="82">
        <f ca="1">IFERROR(__xludf.DUMMYFUNCTION("IMPORTRANGE(""https://docs.google.com/spreadsheets/d/1MeEWN-I1oV_STSDYn1IFDPWt_1FKiwhDph83XaGc0o0/edit?usp=sharing"",""งบพรบ!DE28"")"),0)</f>
        <v>0</v>
      </c>
      <c r="J28" s="82">
        <f t="shared" ca="1" si="3"/>
        <v>24830</v>
      </c>
      <c r="K28" s="83">
        <f t="shared" ca="1" si="4"/>
        <v>80.879478827361567</v>
      </c>
      <c r="L28" s="82">
        <f ca="1">IFERROR(__xludf.DUMMYFUNCTION("IMPORTRANGE(""https://docs.google.com/spreadsheets/d/1MeEWN-I1oV_STSDYn1IFDPWt_1FKiwhDph83XaGc0o0/edit?usp=sharing"",""งบพรบ!DF28"")"),24830)</f>
        <v>24830</v>
      </c>
      <c r="M28" s="84">
        <f t="shared" ca="1" si="5"/>
        <v>80.879478827361567</v>
      </c>
      <c r="N28" s="84">
        <f t="shared" ca="1" si="6"/>
        <v>89.638989169675085</v>
      </c>
      <c r="O28" s="85">
        <f ca="1">IFERROR(__xludf.DUMMYFUNCTION("IMPORTRANGE(""https://docs.google.com/spreadsheets/d/1MeEWN-I1oV_STSDYn1IFDPWt_1FKiwhDph83XaGc0o0/edit?usp=sharing"",""งบพรบ!DG28"")"),0)</f>
        <v>0</v>
      </c>
      <c r="P28" s="85">
        <f t="shared" ca="1" si="18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IFERROR(__xludf.DUMMYFUNCTION("IMPORTRANGE(""https://docs.google.com/spreadsheets/d/17HrOaa5pBUI1onckFfumXB8xlg35qb2uBAFfF1D-Myo/edit?usp=sharing"",""สุโขทัย!I271"")"),26)</f>
        <v>26</v>
      </c>
      <c r="S28" s="86">
        <f ca="1">IFERROR(__xludf.DUMMYFUNCTION("IMPORTRANGE(""https://docs.google.com/spreadsheets/d/17HrOaa5pBUI1onckFfumXB8xlg35qb2uBAFfF1D-Myo/edit?usp=sharing"",""สุโขทัย!J271"")"),26)</f>
        <v>26</v>
      </c>
      <c r="T28" s="87">
        <f t="shared" ca="1" si="16"/>
        <v>100</v>
      </c>
    </row>
    <row r="29" spans="1:20" ht="24" customHeight="1" x14ac:dyDescent="0.2">
      <c r="A29" s="78">
        <v>16</v>
      </c>
      <c r="B29" s="79" t="s">
        <v>51</v>
      </c>
      <c r="C29" s="80">
        <f t="shared" ca="1" si="0"/>
        <v>169900</v>
      </c>
      <c r="D29" s="81">
        <f t="shared" ca="1" si="20"/>
        <v>169900</v>
      </c>
      <c r="E29" s="82">
        <f ca="1">IFERROR(__xludf.DUMMYFUNCTION("IMPORTRANGE(""https://docs.google.com/spreadsheets/d/1MeEWN-I1oV_STSDYn1IFDPWt_1FKiwhDph83XaGc0o0/edit?usp=sharing"",""งบพรบ!CZ29"")"),143000)</f>
        <v>143000</v>
      </c>
      <c r="F29" s="82">
        <f ca="1">IFERROR(__xludf.DUMMYFUNCTION("IMPORTRANGE(""https://docs.google.com/spreadsheets/d/1MeEWN-I1oV_STSDYn1IFDPWt_1FKiwhDph83XaGc0o0/edit?usp=sharing"",""งบพรบ!DA29"")"),26900)</f>
        <v>26900</v>
      </c>
      <c r="G29" s="82">
        <f ca="1">IFERROR(__xludf.DUMMYFUNCTION("IMPORTRANGE(""https://docs.google.com/spreadsheets/d/1MeEWN-I1oV_STSDYn1IFDPWt_1FKiwhDph83XaGc0o0/edit?usp=sharing"",""งบพรบ!DB29"")"),0)</f>
        <v>0</v>
      </c>
      <c r="H29" s="82">
        <f ca="1">IFERROR(__xludf.DUMMYFUNCTION("IMPORTRANGE(""https://docs.google.com/spreadsheets/d/1MeEWN-I1oV_STSDYn1IFDPWt_1FKiwhDph83XaGc0o0/edit?usp=sharing"",""งบพรบ!DD29"")"),127900)</f>
        <v>127900</v>
      </c>
      <c r="I29" s="82">
        <f ca="1">IFERROR(__xludf.DUMMYFUNCTION("IMPORTRANGE(""https://docs.google.com/spreadsheets/d/1MeEWN-I1oV_STSDYn1IFDPWt_1FKiwhDph83XaGc0o0/edit?usp=sharing"",""งบพรบ!DE29"")"),0)</f>
        <v>0</v>
      </c>
      <c r="J29" s="82">
        <f t="shared" ca="1" si="3"/>
        <v>73551</v>
      </c>
      <c r="K29" s="83">
        <f t="shared" ca="1" si="4"/>
        <v>43.290759270158915</v>
      </c>
      <c r="L29" s="82">
        <f ca="1">IFERROR(__xludf.DUMMYFUNCTION("IMPORTRANGE(""https://docs.google.com/spreadsheets/d/1MeEWN-I1oV_STSDYn1IFDPWt_1FKiwhDph83XaGc0o0/edit?usp=sharing"",""งบพรบ!DF29"")"),73551)</f>
        <v>73551</v>
      </c>
      <c r="M29" s="84">
        <f t="shared" ca="1" si="5"/>
        <v>43.290759270158915</v>
      </c>
      <c r="N29" s="84">
        <f t="shared" ca="1" si="6"/>
        <v>57.506645817044564</v>
      </c>
      <c r="O29" s="85">
        <f ca="1">IFERROR(__xludf.DUMMYFUNCTION("IMPORTRANGE(""https://docs.google.com/spreadsheets/d/1MeEWN-I1oV_STSDYn1IFDPWt_1FKiwhDph83XaGc0o0/edit?usp=sharing"",""งบพรบ!DG29"")"),0)</f>
        <v>0</v>
      </c>
      <c r="P29" s="85">
        <f t="shared" ca="1" si="18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IFERROR(__xludf.DUMMYFUNCTION("IMPORTRANGE(""https://docs.google.com/spreadsheets/d/1ubs5cl16eYL9gHbdHTJtmtYb9MGzHBs7CAphn8kNCgM/edit?usp=sharing"",""อุตรดิตถ์!I271"")"),22)</f>
        <v>22</v>
      </c>
      <c r="S29" s="86">
        <f ca="1">IFERROR(__xludf.DUMMYFUNCTION("IMPORTRANGE(""https://docs.google.com/spreadsheets/d/1ubs5cl16eYL9gHbdHTJtmtYb9MGzHBs7CAphn8kNCgM/edit?usp=sharing"",""อุตรดิตถ์!J271"")"),22)</f>
        <v>22</v>
      </c>
      <c r="T29" s="87">
        <f t="shared" ca="1" si="16"/>
        <v>100</v>
      </c>
    </row>
    <row r="30" spans="1:20" ht="24" customHeight="1" x14ac:dyDescent="0.2">
      <c r="A30" s="89">
        <v>17</v>
      </c>
      <c r="B30" s="90" t="s">
        <v>52</v>
      </c>
      <c r="C30" s="91">
        <f t="shared" ca="1" si="0"/>
        <v>28800</v>
      </c>
      <c r="D30" s="92">
        <f t="shared" ca="1" si="20"/>
        <v>28800</v>
      </c>
      <c r="E30" s="93">
        <f ca="1">IFERROR(__xludf.DUMMYFUNCTION("IMPORTRANGE(""https://docs.google.com/spreadsheets/d/1MeEWN-I1oV_STSDYn1IFDPWt_1FKiwhDph83XaGc0o0/edit?usp=sharing"",""งบพรบ!CZ30"")"),0)</f>
        <v>0</v>
      </c>
      <c r="F30" s="93">
        <f ca="1">IFERROR(__xludf.DUMMYFUNCTION("IMPORTRANGE(""https://docs.google.com/spreadsheets/d/1MeEWN-I1oV_STSDYn1IFDPWt_1FKiwhDph83XaGc0o0/edit?usp=sharing"",""งบพรบ!DA30"")"),28800)</f>
        <v>28800</v>
      </c>
      <c r="G30" s="93">
        <f ca="1">IFERROR(__xludf.DUMMYFUNCTION("IMPORTRANGE(""https://docs.google.com/spreadsheets/d/1MeEWN-I1oV_STSDYn1IFDPWt_1FKiwhDph83XaGc0o0/edit?usp=sharing"",""งบพรบ!DB30"")"),0)</f>
        <v>0</v>
      </c>
      <c r="H30" s="93">
        <f ca="1">IFERROR(__xludf.DUMMYFUNCTION("IMPORTRANGE(""https://docs.google.com/spreadsheets/d/1MeEWN-I1oV_STSDYn1IFDPWt_1FKiwhDph83XaGc0o0/edit?usp=sharing"",""งบพรบ!DD30"")"),25800)</f>
        <v>25800</v>
      </c>
      <c r="I30" s="93">
        <f ca="1">IFERROR(__xludf.DUMMYFUNCTION("IMPORTRANGE(""https://docs.google.com/spreadsheets/d/1MeEWN-I1oV_STSDYn1IFDPWt_1FKiwhDph83XaGc0o0/edit?usp=sharing"",""งบพรบ!DE30"")"),0)</f>
        <v>0</v>
      </c>
      <c r="J30" s="93">
        <f t="shared" ca="1" si="3"/>
        <v>0</v>
      </c>
      <c r="K30" s="94">
        <f t="shared" ca="1" si="4"/>
        <v>0</v>
      </c>
      <c r="L30" s="93">
        <f ca="1">IFERROR(__xludf.DUMMYFUNCTION("IMPORTRANGE(""https://docs.google.com/spreadsheets/d/1MeEWN-I1oV_STSDYn1IFDPWt_1FKiwhDph83XaGc0o0/edit?usp=sharing"",""งบพรบ!DF30"")"),0)</f>
        <v>0</v>
      </c>
      <c r="M30" s="95">
        <f t="shared" ca="1" si="5"/>
        <v>0</v>
      </c>
      <c r="N30" s="95">
        <f t="shared" ca="1" si="6"/>
        <v>0</v>
      </c>
      <c r="O30" s="96">
        <f ca="1">IFERROR(__xludf.DUMMYFUNCTION("IMPORTRANGE(""https://docs.google.com/spreadsheets/d/1MeEWN-I1oV_STSDYn1IFDPWt_1FKiwhDph83XaGc0o0/edit?usp=sharing"",""งบพรบ!DG30"")"),0)</f>
        <v>0</v>
      </c>
      <c r="P30" s="96">
        <f t="shared" ca="1" si="18"/>
        <v>0</v>
      </c>
      <c r="Q30" s="95">
        <f t="shared" ca="1" si="8"/>
        <v>0</v>
      </c>
      <c r="R30" s="97">
        <f ca="1">IFERROR(__xludf.DUMMYFUNCTION("IMPORTRANGE(""https://docs.google.com/spreadsheets/d/1kII0BjS6CtVrBvI8IrytgPdxDrlyQDyigzMsohRtDMs/edit?usp=sharing"",""อุทัยธานี!I271"")"),24)</f>
        <v>24</v>
      </c>
      <c r="S30" s="97">
        <f ca="1">IFERROR(__xludf.DUMMYFUNCTION("IMPORTRANGE(""https://docs.google.com/spreadsheets/d/1kII0BjS6CtVrBvI8IrytgPdxDrlyQDyigzMsohRtDMs/edit?usp=sharing"",""อุทัยธานี!J271"")"),0)</f>
        <v>0</v>
      </c>
      <c r="T30" s="98">
        <f t="shared" ca="1" si="16"/>
        <v>0</v>
      </c>
    </row>
    <row r="31" spans="1:20" ht="21" customHeight="1" x14ac:dyDescent="0.2">
      <c r="A31" s="378" t="s">
        <v>53</v>
      </c>
      <c r="B31" s="379"/>
      <c r="C31" s="99">
        <f t="shared" ca="1" si="0"/>
        <v>844900</v>
      </c>
      <c r="D31" s="62">
        <f t="shared" ref="D31:I31" ca="1" si="21">SUM(D32:D51)</f>
        <v>844900</v>
      </c>
      <c r="E31" s="62">
        <f t="shared" ca="1" si="21"/>
        <v>286000</v>
      </c>
      <c r="F31" s="62">
        <f t="shared" ca="1" si="21"/>
        <v>558900</v>
      </c>
      <c r="G31" s="62">
        <f t="shared" ca="1" si="21"/>
        <v>0</v>
      </c>
      <c r="H31" s="62">
        <f t="shared" ca="1" si="21"/>
        <v>706900</v>
      </c>
      <c r="I31" s="62">
        <f t="shared" ca="1" si="21"/>
        <v>0</v>
      </c>
      <c r="J31" s="62">
        <f t="shared" ca="1" si="3"/>
        <v>523348</v>
      </c>
      <c r="K31" s="100">
        <f t="shared" ca="1" si="4"/>
        <v>61.942004971002483</v>
      </c>
      <c r="L31" s="62">
        <f ca="1">SUM(L32:L51)</f>
        <v>523348</v>
      </c>
      <c r="M31" s="101">
        <f t="shared" ca="1" si="5"/>
        <v>61.942004971002483</v>
      </c>
      <c r="N31" s="101">
        <f t="shared" ca="1" si="6"/>
        <v>74.034233979346439</v>
      </c>
      <c r="O31" s="102">
        <f ca="1">SUM(O32:O51)</f>
        <v>0</v>
      </c>
      <c r="P31" s="102">
        <f t="shared" ca="1" si="18"/>
        <v>0</v>
      </c>
      <c r="Q31" s="101">
        <f t="shared" ca="1" si="8"/>
        <v>0</v>
      </c>
      <c r="R31" s="62">
        <f t="shared" ref="R31:S31" ca="1" si="22">SUM(R32:R51)</f>
        <v>462</v>
      </c>
      <c r="S31" s="62">
        <f t="shared" ca="1" si="22"/>
        <v>438</v>
      </c>
      <c r="T31" s="101">
        <f t="shared" ca="1" si="16"/>
        <v>94.805194805194802</v>
      </c>
    </row>
    <row r="32" spans="1:20" ht="21" customHeight="1" x14ac:dyDescent="0.2">
      <c r="A32" s="68">
        <v>1</v>
      </c>
      <c r="B32" s="69" t="s">
        <v>54</v>
      </c>
      <c r="C32" s="103">
        <f t="shared" ca="1" si="0"/>
        <v>25000</v>
      </c>
      <c r="D32" s="71">
        <f t="shared" ref="D32:D51" ca="1" si="23">+E32+F32</f>
        <v>25000</v>
      </c>
      <c r="E32" s="72">
        <f ca="1">IFERROR(__xludf.DUMMYFUNCTION("IMPORTRANGE(""https://docs.google.com/spreadsheets/d/1MeEWN-I1oV_STSDYn1IFDPWt_1FKiwhDph83XaGc0o0/edit?usp=sharing"",""งบพรบ!CZ32"")"),0)</f>
        <v>0</v>
      </c>
      <c r="F32" s="72">
        <f ca="1">IFERROR(__xludf.DUMMYFUNCTION("IMPORTRANGE(""https://docs.google.com/spreadsheets/d/1MeEWN-I1oV_STSDYn1IFDPWt_1FKiwhDph83XaGc0o0/edit?usp=sharing"",""งบพรบ!DA32"")"),25000)</f>
        <v>25000</v>
      </c>
      <c r="G32" s="73">
        <f ca="1">IFERROR(__xludf.DUMMYFUNCTION("IMPORTRANGE(""https://docs.google.com/spreadsheets/d/1MeEWN-I1oV_STSDYn1IFDPWt_1FKiwhDph83XaGc0o0/edit?usp=sharing"",""งบพรบ!DB32"")"),0)</f>
        <v>0</v>
      </c>
      <c r="H32" s="73">
        <f ca="1">IFERROR(__xludf.DUMMYFUNCTION("IMPORTRANGE(""https://docs.google.com/spreadsheets/d/1MeEWN-I1oV_STSDYn1IFDPWt_1FKiwhDph83XaGc0o0/edit?usp=sharing"",""งบพรบ!DD32"")"),22000)</f>
        <v>22000</v>
      </c>
      <c r="I32" s="73">
        <f ca="1">IFERROR(__xludf.DUMMYFUNCTION("IMPORTRANGE(""https://docs.google.com/spreadsheets/d/1MeEWN-I1oV_STSDYn1IFDPWt_1FKiwhDph83XaGc0o0/edit?usp=sharing"",""งบพรบ!DE32"")"),0)</f>
        <v>0</v>
      </c>
      <c r="J32" s="73">
        <f t="shared" ca="1" si="3"/>
        <v>20780</v>
      </c>
      <c r="K32" s="74">
        <f t="shared" ca="1" si="4"/>
        <v>83.12</v>
      </c>
      <c r="L32" s="73">
        <f ca="1">IFERROR(__xludf.DUMMYFUNCTION("IMPORTRANGE(""https://docs.google.com/spreadsheets/d/1MeEWN-I1oV_STSDYn1IFDPWt_1FKiwhDph83XaGc0o0/edit?usp=sharing"",""งบพรบ!DF32"")"),20780)</f>
        <v>20780</v>
      </c>
      <c r="M32" s="75">
        <f t="shared" ca="1" si="5"/>
        <v>83.12</v>
      </c>
      <c r="N32" s="75">
        <f t="shared" ca="1" si="6"/>
        <v>94.454545454545453</v>
      </c>
      <c r="O32" s="76">
        <f ca="1">IFERROR(__xludf.DUMMYFUNCTION("IMPORTRANGE(""https://docs.google.com/spreadsheets/d/1MeEWN-I1oV_STSDYn1IFDPWt_1FKiwhDph83XaGc0o0/edit?usp=sharing"",""งบพรบ!DG32"")"),0)</f>
        <v>0</v>
      </c>
      <c r="P32" s="76">
        <f t="shared" ca="1" si="18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IFERROR(__xludf.DUMMYFUNCTION("IMPORTRANGE(""https://docs.google.com/spreadsheets/d/1fb2B9NLcpJgjIieIJvenUTNPn0TimZDUi0OtYeiSQ_s/edit?usp=sharing"",""กาฬสินธุ์!I271"")"),20)</f>
        <v>20</v>
      </c>
      <c r="S32" s="73">
        <f ca="1">IFERROR(__xludf.DUMMYFUNCTION("IMPORTRANGE(""https://docs.google.com/spreadsheets/d/1fb2B9NLcpJgjIieIJvenUTNPn0TimZDUi0OtYeiSQ_s/edit?usp=sharing"",""กาฬสินธุ์!J271"")"),20)</f>
        <v>20</v>
      </c>
      <c r="T32" s="77">
        <f t="shared" ca="1" si="16"/>
        <v>100</v>
      </c>
    </row>
    <row r="33" spans="1:20" ht="21" customHeight="1" x14ac:dyDescent="0.2">
      <c r="A33" s="78">
        <v>2</v>
      </c>
      <c r="B33" s="79" t="s">
        <v>55</v>
      </c>
      <c r="C33" s="80">
        <f t="shared" ca="1" si="0"/>
        <v>30700</v>
      </c>
      <c r="D33" s="81">
        <f t="shared" ca="1" si="23"/>
        <v>30700</v>
      </c>
      <c r="E33" s="82">
        <f ca="1">IFERROR(__xludf.DUMMYFUNCTION("IMPORTRANGE(""https://docs.google.com/spreadsheets/d/1MeEWN-I1oV_STSDYn1IFDPWt_1FKiwhDph83XaGc0o0/edit?usp=sharing"",""งบพรบ!CZ33"")"),0)</f>
        <v>0</v>
      </c>
      <c r="F33" s="82">
        <f ca="1">IFERROR(__xludf.DUMMYFUNCTION("IMPORTRANGE(""https://docs.google.com/spreadsheets/d/1MeEWN-I1oV_STSDYn1IFDPWt_1FKiwhDph83XaGc0o0/edit?usp=sharing"",""งบพรบ!DA33"")"),30700)</f>
        <v>30700</v>
      </c>
      <c r="G33" s="82">
        <f ca="1">IFERROR(__xludf.DUMMYFUNCTION("IMPORTRANGE(""https://docs.google.com/spreadsheets/d/1MeEWN-I1oV_STSDYn1IFDPWt_1FKiwhDph83XaGc0o0/edit?usp=sharing"",""งบพรบ!DB33"")"),0)</f>
        <v>0</v>
      </c>
      <c r="H33" s="82">
        <f ca="1">IFERROR(__xludf.DUMMYFUNCTION("IMPORTRANGE(""https://docs.google.com/spreadsheets/d/1MeEWN-I1oV_STSDYn1IFDPWt_1FKiwhDph83XaGc0o0/edit?usp=sharing"",""งบพรบ!DD33"")"),27700)</f>
        <v>27700</v>
      </c>
      <c r="I33" s="82">
        <f ca="1">IFERROR(__xludf.DUMMYFUNCTION("IMPORTRANGE(""https://docs.google.com/spreadsheets/d/1MeEWN-I1oV_STSDYn1IFDPWt_1FKiwhDph83XaGc0o0/edit?usp=sharing"",""งบพรบ!DE33"")"),0)</f>
        <v>0</v>
      </c>
      <c r="J33" s="82">
        <f t="shared" ca="1" si="3"/>
        <v>25340</v>
      </c>
      <c r="K33" s="83">
        <f t="shared" ca="1" si="4"/>
        <v>82.54071661237785</v>
      </c>
      <c r="L33" s="82">
        <f ca="1">IFERROR(__xludf.DUMMYFUNCTION("IMPORTRANGE(""https://docs.google.com/spreadsheets/d/1MeEWN-I1oV_STSDYn1IFDPWt_1FKiwhDph83XaGc0o0/edit?usp=sharing"",""งบพรบ!DF33"")"),25340)</f>
        <v>25340</v>
      </c>
      <c r="M33" s="84">
        <f t="shared" ca="1" si="5"/>
        <v>82.54071661237785</v>
      </c>
      <c r="N33" s="84">
        <f t="shared" ca="1" si="6"/>
        <v>91.480144404332137</v>
      </c>
      <c r="O33" s="85">
        <f ca="1">IFERROR(__xludf.DUMMYFUNCTION("IMPORTRANGE(""https://docs.google.com/spreadsheets/d/1MeEWN-I1oV_STSDYn1IFDPWt_1FKiwhDph83XaGc0o0/edit?usp=sharing"",""งบพรบ!DG33"")"),0)</f>
        <v>0</v>
      </c>
      <c r="P33" s="85">
        <f t="shared" ca="1" si="18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IFERROR(__xludf.DUMMYFUNCTION("IMPORTRANGE(""https://docs.google.com/spreadsheets/d/1SaMnqrwRGmFYNR0MhpWmHuL5niYUd5E7vDq8X7whAlI/edit?usp=sharing"",""ขอนแก่น!I271"")"),26)</f>
        <v>26</v>
      </c>
      <c r="S33" s="86">
        <f ca="1">IFERROR(__xludf.DUMMYFUNCTION("IMPORTRANGE(""https://docs.google.com/spreadsheets/d/1SaMnqrwRGmFYNR0MhpWmHuL5niYUd5E7vDq8X7whAlI/edit?usp=sharing"",""ขอนแก่น!J271"")"),26)</f>
        <v>26</v>
      </c>
      <c r="T33" s="87">
        <f t="shared" ca="1" si="16"/>
        <v>100</v>
      </c>
    </row>
    <row r="34" spans="1:20" ht="21" customHeight="1" x14ac:dyDescent="0.2">
      <c r="A34" s="78">
        <v>3</v>
      </c>
      <c r="B34" s="79" t="s">
        <v>56</v>
      </c>
      <c r="C34" s="80">
        <f t="shared" ca="1" si="0"/>
        <v>26900</v>
      </c>
      <c r="D34" s="81">
        <f t="shared" ca="1" si="23"/>
        <v>26900</v>
      </c>
      <c r="E34" s="82">
        <f ca="1">IFERROR(__xludf.DUMMYFUNCTION("IMPORTRANGE(""https://docs.google.com/spreadsheets/d/1MeEWN-I1oV_STSDYn1IFDPWt_1FKiwhDph83XaGc0o0/edit?usp=sharing"",""งบพรบ!CZ34"")"),0)</f>
        <v>0</v>
      </c>
      <c r="F34" s="82">
        <f ca="1">IFERROR(__xludf.DUMMYFUNCTION("IMPORTRANGE(""https://docs.google.com/spreadsheets/d/1MeEWN-I1oV_STSDYn1IFDPWt_1FKiwhDph83XaGc0o0/edit?usp=sharing"",""งบพรบ!DA34"")"),26900)</f>
        <v>26900</v>
      </c>
      <c r="G34" s="82">
        <f ca="1">IFERROR(__xludf.DUMMYFUNCTION("IMPORTRANGE(""https://docs.google.com/spreadsheets/d/1MeEWN-I1oV_STSDYn1IFDPWt_1FKiwhDph83XaGc0o0/edit?usp=sharing"",""งบพรบ!DB34"")"),0)</f>
        <v>0</v>
      </c>
      <c r="H34" s="82">
        <f ca="1">IFERROR(__xludf.DUMMYFUNCTION("IMPORTRANGE(""https://docs.google.com/spreadsheets/d/1MeEWN-I1oV_STSDYn1IFDPWt_1FKiwhDph83XaGc0o0/edit?usp=sharing"",""งบพรบ!DD34"")"),23900)</f>
        <v>23900</v>
      </c>
      <c r="I34" s="82">
        <f ca="1">IFERROR(__xludf.DUMMYFUNCTION("IMPORTRANGE(""https://docs.google.com/spreadsheets/d/1MeEWN-I1oV_STSDYn1IFDPWt_1FKiwhDph83XaGc0o0/edit?usp=sharing"",""งบพรบ!DE34"")"),0)</f>
        <v>0</v>
      </c>
      <c r="J34" s="82">
        <f t="shared" ca="1" si="3"/>
        <v>19420</v>
      </c>
      <c r="K34" s="83">
        <f t="shared" ca="1" si="4"/>
        <v>72.193308550185876</v>
      </c>
      <c r="L34" s="82">
        <f ca="1">IFERROR(__xludf.DUMMYFUNCTION("IMPORTRANGE(""https://docs.google.com/spreadsheets/d/1MeEWN-I1oV_STSDYn1IFDPWt_1FKiwhDph83XaGc0o0/edit?usp=sharing"",""งบพรบ!DF34"")"),19420)</f>
        <v>19420</v>
      </c>
      <c r="M34" s="84">
        <f t="shared" ca="1" si="5"/>
        <v>72.193308550185876</v>
      </c>
      <c r="N34" s="84">
        <f t="shared" ca="1" si="6"/>
        <v>81.255230125523013</v>
      </c>
      <c r="O34" s="85">
        <f ca="1">IFERROR(__xludf.DUMMYFUNCTION("IMPORTRANGE(""https://docs.google.com/spreadsheets/d/1MeEWN-I1oV_STSDYn1IFDPWt_1FKiwhDph83XaGc0o0/edit?usp=sharing"",""งบพรบ!DG34"")"),0)</f>
        <v>0</v>
      </c>
      <c r="P34" s="85">
        <f t="shared" ca="1" si="18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IFERROR(__xludf.DUMMYFUNCTION("IMPORTRANGE(""https://docs.google.com/spreadsheets/d/1xQzEtGHhTTgxHh6YUkKY1P4dRyjVhS74dGswLfAASA4/edit?usp=sharing"",""ชัยภูมิ!I271"")"),22)</f>
        <v>22</v>
      </c>
      <c r="S34" s="86">
        <f ca="1">IFERROR(__xludf.DUMMYFUNCTION("IMPORTRANGE(""https://docs.google.com/spreadsheets/d/1xQzEtGHhTTgxHh6YUkKY1P4dRyjVhS74dGswLfAASA4/edit?usp=sharing"",""ชัยภูมิ!J271"")"),22)</f>
        <v>22</v>
      </c>
      <c r="T34" s="87">
        <f t="shared" ca="1" si="16"/>
        <v>100</v>
      </c>
    </row>
    <row r="35" spans="1:20" ht="21" customHeight="1" x14ac:dyDescent="0.2">
      <c r="A35" s="78">
        <v>4</v>
      </c>
      <c r="B35" s="79" t="s">
        <v>57</v>
      </c>
      <c r="C35" s="80">
        <f t="shared" ca="1" si="0"/>
        <v>169900</v>
      </c>
      <c r="D35" s="81">
        <f t="shared" ca="1" si="23"/>
        <v>169900</v>
      </c>
      <c r="E35" s="82">
        <f ca="1">IFERROR(__xludf.DUMMYFUNCTION("IMPORTRANGE(""https://docs.google.com/spreadsheets/d/1MeEWN-I1oV_STSDYn1IFDPWt_1FKiwhDph83XaGc0o0/edit?usp=sharing"",""งบพรบ!CZ35"")"),143000)</f>
        <v>143000</v>
      </c>
      <c r="F35" s="82">
        <f ca="1">IFERROR(__xludf.DUMMYFUNCTION("IMPORTRANGE(""https://docs.google.com/spreadsheets/d/1MeEWN-I1oV_STSDYn1IFDPWt_1FKiwhDph83XaGc0o0/edit?usp=sharing"",""งบพรบ!DA35"")"),26900)</f>
        <v>26900</v>
      </c>
      <c r="G35" s="82">
        <f ca="1">IFERROR(__xludf.DUMMYFUNCTION("IMPORTRANGE(""https://docs.google.com/spreadsheets/d/1MeEWN-I1oV_STSDYn1IFDPWt_1FKiwhDph83XaGc0o0/edit?usp=sharing"",""งบพรบ!DB35"")"),0)</f>
        <v>0</v>
      </c>
      <c r="H35" s="82">
        <f ca="1">IFERROR(__xludf.DUMMYFUNCTION("IMPORTRANGE(""https://docs.google.com/spreadsheets/d/1MeEWN-I1oV_STSDYn1IFDPWt_1FKiwhDph83XaGc0o0/edit?usp=sharing"",""งบพรบ!DD35"")"),127900)</f>
        <v>127900</v>
      </c>
      <c r="I35" s="82">
        <f ca="1">IFERROR(__xludf.DUMMYFUNCTION("IMPORTRANGE(""https://docs.google.com/spreadsheets/d/1MeEWN-I1oV_STSDYn1IFDPWt_1FKiwhDph83XaGc0o0/edit?usp=sharing"",""งบพรบ!DE35"")"),0)</f>
        <v>0</v>
      </c>
      <c r="J35" s="82">
        <f t="shared" ca="1" si="3"/>
        <v>72894.5</v>
      </c>
      <c r="K35" s="83">
        <f t="shared" ca="1" si="4"/>
        <v>42.904355503237198</v>
      </c>
      <c r="L35" s="82">
        <f ca="1">IFERROR(__xludf.DUMMYFUNCTION("IMPORTRANGE(""https://docs.google.com/spreadsheets/d/1MeEWN-I1oV_STSDYn1IFDPWt_1FKiwhDph83XaGc0o0/edit?usp=sharing"",""งบพรบ!DF35"")"),72894.5)</f>
        <v>72894.5</v>
      </c>
      <c r="M35" s="84">
        <f t="shared" ca="1" si="5"/>
        <v>42.904355503237198</v>
      </c>
      <c r="N35" s="84">
        <f t="shared" ca="1" si="6"/>
        <v>56.993354182955436</v>
      </c>
      <c r="O35" s="85">
        <f ca="1">IFERROR(__xludf.DUMMYFUNCTION("IMPORTRANGE(""https://docs.google.com/spreadsheets/d/1MeEWN-I1oV_STSDYn1IFDPWt_1FKiwhDph83XaGc0o0/edit?usp=sharing"",""งบพรบ!DG35"")"),0)</f>
        <v>0</v>
      </c>
      <c r="P35" s="85">
        <f t="shared" ca="1" si="18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IFERROR(__xludf.DUMMYFUNCTION("IMPORTRANGE(""https://docs.google.com/spreadsheets/d/1EXMBoBxU3OFbjT2TRpneM33qFjqDzrKmn9ydcflfI0o/edit?usp=sharing"",""นครพนม!I271"")"),22)</f>
        <v>22</v>
      </c>
      <c r="S35" s="86">
        <f ca="1">IFERROR(__xludf.DUMMYFUNCTION("IMPORTRANGE(""https://docs.google.com/spreadsheets/d/1EXMBoBxU3OFbjT2TRpneM33qFjqDzrKmn9ydcflfI0o/edit?usp=sharing"",""นครพนม!J271"")"),22)</f>
        <v>22</v>
      </c>
      <c r="T35" s="87">
        <f t="shared" ca="1" si="16"/>
        <v>100</v>
      </c>
    </row>
    <row r="36" spans="1:20" ht="21" customHeight="1" x14ac:dyDescent="0.2">
      <c r="A36" s="78">
        <v>5</v>
      </c>
      <c r="B36" s="79" t="s">
        <v>58</v>
      </c>
      <c r="C36" s="80">
        <f t="shared" ca="1" si="0"/>
        <v>28800</v>
      </c>
      <c r="D36" s="81">
        <f t="shared" ca="1" si="23"/>
        <v>28800</v>
      </c>
      <c r="E36" s="82">
        <f ca="1">IFERROR(__xludf.DUMMYFUNCTION("IMPORTRANGE(""https://docs.google.com/spreadsheets/d/1MeEWN-I1oV_STSDYn1IFDPWt_1FKiwhDph83XaGc0o0/edit?usp=sharing"",""งบพรบ!CZ36"")"),0)</f>
        <v>0</v>
      </c>
      <c r="F36" s="82">
        <f ca="1">IFERROR(__xludf.DUMMYFUNCTION("IMPORTRANGE(""https://docs.google.com/spreadsheets/d/1MeEWN-I1oV_STSDYn1IFDPWt_1FKiwhDph83XaGc0o0/edit?usp=sharing"",""งบพรบ!DA36"")"),28800)</f>
        <v>28800</v>
      </c>
      <c r="G36" s="82">
        <f ca="1">IFERROR(__xludf.DUMMYFUNCTION("IMPORTRANGE(""https://docs.google.com/spreadsheets/d/1MeEWN-I1oV_STSDYn1IFDPWt_1FKiwhDph83XaGc0o0/edit?usp=sharing"",""งบพรบ!DB36"")"),0)</f>
        <v>0</v>
      </c>
      <c r="H36" s="82">
        <f ca="1">IFERROR(__xludf.DUMMYFUNCTION("IMPORTRANGE(""https://docs.google.com/spreadsheets/d/1MeEWN-I1oV_STSDYn1IFDPWt_1FKiwhDph83XaGc0o0/edit?usp=sharing"",""งบพรบ!DD36"")"),25800)</f>
        <v>25800</v>
      </c>
      <c r="I36" s="82">
        <f ca="1">IFERROR(__xludf.DUMMYFUNCTION("IMPORTRANGE(""https://docs.google.com/spreadsheets/d/1MeEWN-I1oV_STSDYn1IFDPWt_1FKiwhDph83XaGc0o0/edit?usp=sharing"",""งบพรบ!DE36"")"),0)</f>
        <v>0</v>
      </c>
      <c r="J36" s="82">
        <f t="shared" ca="1" si="3"/>
        <v>24520</v>
      </c>
      <c r="K36" s="83">
        <f t="shared" ca="1" si="4"/>
        <v>85.138888888888886</v>
      </c>
      <c r="L36" s="82">
        <f ca="1">IFERROR(__xludf.DUMMYFUNCTION("IMPORTRANGE(""https://docs.google.com/spreadsheets/d/1MeEWN-I1oV_STSDYn1IFDPWt_1FKiwhDph83XaGc0o0/edit?usp=sharing"",""งบพรบ!DF36"")"),24520)</f>
        <v>24520</v>
      </c>
      <c r="M36" s="84">
        <f t="shared" ca="1" si="5"/>
        <v>85.138888888888886</v>
      </c>
      <c r="N36" s="84">
        <f t="shared" ca="1" si="6"/>
        <v>95.038759689922486</v>
      </c>
      <c r="O36" s="85">
        <f ca="1">IFERROR(__xludf.DUMMYFUNCTION("IMPORTRANGE(""https://docs.google.com/spreadsheets/d/1MeEWN-I1oV_STSDYn1IFDPWt_1FKiwhDph83XaGc0o0/edit?usp=sharing"",""งบพรบ!DG36"")"),0)</f>
        <v>0</v>
      </c>
      <c r="P36" s="85">
        <f t="shared" ca="1" si="18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IFERROR(__xludf.DUMMYFUNCTION("IMPORTRANGE(""https://docs.google.com/spreadsheets/d/1bDQrolntRWtHumK8W-x-HXKntwxB9S3sF5aDeRS66Ko/edit?usp=sharing"",""นครราชสีมา!I271"")"),24)</f>
        <v>24</v>
      </c>
      <c r="S36" s="86">
        <f ca="1">IFERROR(__xludf.DUMMYFUNCTION("IMPORTRANGE(""https://docs.google.com/spreadsheets/d/1bDQrolntRWtHumK8W-x-HXKntwxB9S3sF5aDeRS66Ko/edit?usp=sharing"",""นครราชสีมา!J271"")"),24)</f>
        <v>24</v>
      </c>
      <c r="T36" s="87">
        <f t="shared" ca="1" si="16"/>
        <v>100</v>
      </c>
    </row>
    <row r="37" spans="1:20" ht="21" customHeight="1" x14ac:dyDescent="0.2">
      <c r="A37" s="78">
        <v>6</v>
      </c>
      <c r="B37" s="79" t="s">
        <v>59</v>
      </c>
      <c r="C37" s="80">
        <f t="shared" ca="1" si="0"/>
        <v>177500</v>
      </c>
      <c r="D37" s="81">
        <f t="shared" ca="1" si="23"/>
        <v>177500</v>
      </c>
      <c r="E37" s="82">
        <f ca="1">IFERROR(__xludf.DUMMYFUNCTION("IMPORTRANGE(""https://docs.google.com/spreadsheets/d/1MeEWN-I1oV_STSDYn1IFDPWt_1FKiwhDph83XaGc0o0/edit?usp=sharing"",""งบพรบ!CZ37"")"),143000)</f>
        <v>143000</v>
      </c>
      <c r="F37" s="82">
        <f ca="1">IFERROR(__xludf.DUMMYFUNCTION("IMPORTRANGE(""https://docs.google.com/spreadsheets/d/1MeEWN-I1oV_STSDYn1IFDPWt_1FKiwhDph83XaGc0o0/edit?usp=sharing"",""งบพรบ!DA37"")"),34500)</f>
        <v>34500</v>
      </c>
      <c r="G37" s="82">
        <f ca="1">IFERROR(__xludf.DUMMYFUNCTION("IMPORTRANGE(""https://docs.google.com/spreadsheets/d/1MeEWN-I1oV_STSDYn1IFDPWt_1FKiwhDph83XaGc0o0/edit?usp=sharing"",""งบพรบ!DB37"")"),0)</f>
        <v>0</v>
      </c>
      <c r="H37" s="82">
        <f ca="1">IFERROR(__xludf.DUMMYFUNCTION("IMPORTRANGE(""https://docs.google.com/spreadsheets/d/1MeEWN-I1oV_STSDYn1IFDPWt_1FKiwhDph83XaGc0o0/edit?usp=sharing"",""งบพรบ!DD37"")"),135500)</f>
        <v>135500</v>
      </c>
      <c r="I37" s="82">
        <f ca="1">IFERROR(__xludf.DUMMYFUNCTION("IMPORTRANGE(""https://docs.google.com/spreadsheets/d/1MeEWN-I1oV_STSDYn1IFDPWt_1FKiwhDph83XaGc0o0/edit?usp=sharing"",""งบพรบ!DE37"")"),0)</f>
        <v>0</v>
      </c>
      <c r="J37" s="82">
        <f t="shared" ca="1" si="3"/>
        <v>66726</v>
      </c>
      <c r="K37" s="83">
        <f t="shared" ca="1" si="4"/>
        <v>37.592112676056338</v>
      </c>
      <c r="L37" s="82">
        <f ca="1">IFERROR(__xludf.DUMMYFUNCTION("IMPORTRANGE(""https://docs.google.com/spreadsheets/d/1MeEWN-I1oV_STSDYn1IFDPWt_1FKiwhDph83XaGc0o0/edit?usp=sharing"",""งบพรบ!DF37"")"),66726)</f>
        <v>66726</v>
      </c>
      <c r="M37" s="84">
        <f t="shared" ca="1" si="5"/>
        <v>37.592112676056338</v>
      </c>
      <c r="N37" s="84">
        <f t="shared" ca="1" si="6"/>
        <v>49.244280442804431</v>
      </c>
      <c r="O37" s="85">
        <f ca="1">IFERROR(__xludf.DUMMYFUNCTION("IMPORTRANGE(""https://docs.google.com/spreadsheets/d/1MeEWN-I1oV_STSDYn1IFDPWt_1FKiwhDph83XaGc0o0/edit?usp=sharing"",""งบพรบ!DG37"")"),0)</f>
        <v>0</v>
      </c>
      <c r="P37" s="85">
        <f t="shared" ca="1" si="18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IFERROR(__xludf.DUMMYFUNCTION("IMPORTRANGE(""https://docs.google.com/spreadsheets/d/1_MzZ-2gVPiCW-d2VcafoCmFJQTSrZ6SQyFcMqRRQQ2w/edit?usp=sharing"",""บึงกาฬ!I271"")"),30)</f>
        <v>30</v>
      </c>
      <c r="S37" s="86">
        <f ca="1">IFERROR(__xludf.DUMMYFUNCTION("IMPORTRANGE(""https://docs.google.com/spreadsheets/d/1_MzZ-2gVPiCW-d2VcafoCmFJQTSrZ6SQyFcMqRRQQ2w/edit?usp=sharing"",""บึงกาฬ!J271"")"),30)</f>
        <v>30</v>
      </c>
      <c r="T37" s="87">
        <f t="shared" ca="1" si="16"/>
        <v>100</v>
      </c>
    </row>
    <row r="38" spans="1:20" ht="21" customHeight="1" x14ac:dyDescent="0.2">
      <c r="A38" s="78">
        <v>7</v>
      </c>
      <c r="B38" s="79" t="s">
        <v>60</v>
      </c>
      <c r="C38" s="80">
        <f t="shared" ca="1" si="0"/>
        <v>26900</v>
      </c>
      <c r="D38" s="81">
        <f t="shared" ca="1" si="23"/>
        <v>26900</v>
      </c>
      <c r="E38" s="82">
        <f ca="1">IFERROR(__xludf.DUMMYFUNCTION("IMPORTRANGE(""https://docs.google.com/spreadsheets/d/1MeEWN-I1oV_STSDYn1IFDPWt_1FKiwhDph83XaGc0o0/edit?usp=sharing"",""งบพรบ!CZ38"")"),0)</f>
        <v>0</v>
      </c>
      <c r="F38" s="82">
        <f ca="1">IFERROR(__xludf.DUMMYFUNCTION("IMPORTRANGE(""https://docs.google.com/spreadsheets/d/1MeEWN-I1oV_STSDYn1IFDPWt_1FKiwhDph83XaGc0o0/edit?usp=sharing"",""งบพรบ!DA38"")"),26900)</f>
        <v>26900</v>
      </c>
      <c r="G38" s="82">
        <f ca="1">IFERROR(__xludf.DUMMYFUNCTION("IMPORTRANGE(""https://docs.google.com/spreadsheets/d/1MeEWN-I1oV_STSDYn1IFDPWt_1FKiwhDph83XaGc0o0/edit?usp=sharing"",""งบพรบ!DB38"")"),0)</f>
        <v>0</v>
      </c>
      <c r="H38" s="82">
        <f ca="1">IFERROR(__xludf.DUMMYFUNCTION("IMPORTRANGE(""https://docs.google.com/spreadsheets/d/1MeEWN-I1oV_STSDYn1IFDPWt_1FKiwhDph83XaGc0o0/edit?usp=sharing"",""งบพรบ!DD38"")"),23900)</f>
        <v>23900</v>
      </c>
      <c r="I38" s="82">
        <f ca="1">IFERROR(__xludf.DUMMYFUNCTION("IMPORTRANGE(""https://docs.google.com/spreadsheets/d/1MeEWN-I1oV_STSDYn1IFDPWt_1FKiwhDph83XaGc0o0/edit?usp=sharing"",""งบพรบ!DE38"")"),0)</f>
        <v>0</v>
      </c>
      <c r="J38" s="82">
        <f t="shared" ca="1" si="3"/>
        <v>4180</v>
      </c>
      <c r="K38" s="83">
        <f t="shared" ca="1" si="4"/>
        <v>15.53903345724907</v>
      </c>
      <c r="L38" s="82">
        <f ca="1">IFERROR(__xludf.DUMMYFUNCTION("IMPORTRANGE(""https://docs.google.com/spreadsheets/d/1MeEWN-I1oV_STSDYn1IFDPWt_1FKiwhDph83XaGc0o0/edit?usp=sharing"",""งบพรบ!DF38"")"),4180)</f>
        <v>4180</v>
      </c>
      <c r="M38" s="84">
        <f t="shared" ca="1" si="5"/>
        <v>15.53903345724907</v>
      </c>
      <c r="N38" s="84">
        <f t="shared" ca="1" si="6"/>
        <v>17.489539748953973</v>
      </c>
      <c r="O38" s="85">
        <f ca="1">IFERROR(__xludf.DUMMYFUNCTION("IMPORTRANGE(""https://docs.google.com/spreadsheets/d/1MeEWN-I1oV_STSDYn1IFDPWt_1FKiwhDph83XaGc0o0/edit?usp=sharing"",""งบพรบ!DG38"")"),0)</f>
        <v>0</v>
      </c>
      <c r="P38" s="85">
        <f t="shared" ca="1" si="18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IFERROR(__xludf.DUMMYFUNCTION("IMPORTRANGE(""https://docs.google.com/spreadsheets/d/1B3lPpzOuaNwVItLwLEZYl_qEblfcx7dRnbRkAw0l-pE/edit?usp=sharing"",""บุรีรัมย์!I271"")"),22)</f>
        <v>22</v>
      </c>
      <c r="S38" s="86">
        <f ca="1">IFERROR(__xludf.DUMMYFUNCTION("IMPORTRANGE(""https://docs.google.com/spreadsheets/d/1B3lPpzOuaNwVItLwLEZYl_qEblfcx7dRnbRkAw0l-pE/edit?usp=sharing"",""บุรีรัมย์!J271"")"),22)</f>
        <v>22</v>
      </c>
      <c r="T38" s="87">
        <f t="shared" ca="1" si="16"/>
        <v>100</v>
      </c>
    </row>
    <row r="39" spans="1:20" ht="21" customHeight="1" x14ac:dyDescent="0.2">
      <c r="A39" s="78">
        <v>8</v>
      </c>
      <c r="B39" s="79" t="s">
        <v>61</v>
      </c>
      <c r="C39" s="80">
        <f t="shared" ca="1" si="0"/>
        <v>26900</v>
      </c>
      <c r="D39" s="81">
        <f t="shared" ca="1" si="23"/>
        <v>26900</v>
      </c>
      <c r="E39" s="82">
        <f ca="1">IFERROR(__xludf.DUMMYFUNCTION("IMPORTRANGE(""https://docs.google.com/spreadsheets/d/1MeEWN-I1oV_STSDYn1IFDPWt_1FKiwhDph83XaGc0o0/edit?usp=sharing"",""งบพรบ!CZ39"")"),0)</f>
        <v>0</v>
      </c>
      <c r="F39" s="82">
        <f ca="1">IFERROR(__xludf.DUMMYFUNCTION("IMPORTRANGE(""https://docs.google.com/spreadsheets/d/1MeEWN-I1oV_STSDYn1IFDPWt_1FKiwhDph83XaGc0o0/edit?usp=sharing"",""งบพรบ!DA39"")"),26900)</f>
        <v>26900</v>
      </c>
      <c r="G39" s="82">
        <f ca="1">IFERROR(__xludf.DUMMYFUNCTION("IMPORTRANGE(""https://docs.google.com/spreadsheets/d/1MeEWN-I1oV_STSDYn1IFDPWt_1FKiwhDph83XaGc0o0/edit?usp=sharing"",""งบพรบ!DB39"")"),0)</f>
        <v>0</v>
      </c>
      <c r="H39" s="82">
        <f ca="1">IFERROR(__xludf.DUMMYFUNCTION("IMPORTRANGE(""https://docs.google.com/spreadsheets/d/1MeEWN-I1oV_STSDYn1IFDPWt_1FKiwhDph83XaGc0o0/edit?usp=sharing"",""งบพรบ!DD39"")"),23900)</f>
        <v>23900</v>
      </c>
      <c r="I39" s="82">
        <f ca="1">IFERROR(__xludf.DUMMYFUNCTION("IMPORTRANGE(""https://docs.google.com/spreadsheets/d/1MeEWN-I1oV_STSDYn1IFDPWt_1FKiwhDph83XaGc0o0/edit?usp=sharing"",""งบพรบ!DE39"")"),0)</f>
        <v>0</v>
      </c>
      <c r="J39" s="82">
        <f t="shared" ca="1" si="3"/>
        <v>21150</v>
      </c>
      <c r="K39" s="83">
        <f t="shared" ca="1" si="4"/>
        <v>78.624535315985128</v>
      </c>
      <c r="L39" s="82">
        <f ca="1">IFERROR(__xludf.DUMMYFUNCTION("IMPORTRANGE(""https://docs.google.com/spreadsheets/d/1MeEWN-I1oV_STSDYn1IFDPWt_1FKiwhDph83XaGc0o0/edit?usp=sharing"",""งบพรบ!DF39"")"),21150)</f>
        <v>21150</v>
      </c>
      <c r="M39" s="84">
        <f t="shared" ca="1" si="5"/>
        <v>78.624535315985128</v>
      </c>
      <c r="N39" s="84">
        <f t="shared" ca="1" si="6"/>
        <v>88.493723849372387</v>
      </c>
      <c r="O39" s="85">
        <f ca="1">IFERROR(__xludf.DUMMYFUNCTION("IMPORTRANGE(""https://docs.google.com/spreadsheets/d/1MeEWN-I1oV_STSDYn1IFDPWt_1FKiwhDph83XaGc0o0/edit?usp=sharing"",""งบพรบ!DG39"")"),0)</f>
        <v>0</v>
      </c>
      <c r="P39" s="85">
        <f t="shared" ca="1" si="18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IFERROR(__xludf.DUMMYFUNCTION("IMPORTRANGE(""https://docs.google.com/spreadsheets/d/19GOkiOqnzYbevLYWrMk4qFOXe3rX14BkSA8X-mq-a40/edit?usp=sharing"",""มหาสารคาม!I271"")"),22)</f>
        <v>22</v>
      </c>
      <c r="S39" s="86">
        <f ca="1">IFERROR(__xludf.DUMMYFUNCTION("IMPORTRANGE(""https://docs.google.com/spreadsheets/d/19GOkiOqnzYbevLYWrMk4qFOXe3rX14BkSA8X-mq-a40/edit?usp=sharing"",""มหาสารคาม!J271"")"),22)</f>
        <v>22</v>
      </c>
      <c r="T39" s="87">
        <f t="shared" ca="1" si="16"/>
        <v>100</v>
      </c>
    </row>
    <row r="40" spans="1:20" ht="21" customHeight="1" x14ac:dyDescent="0.2">
      <c r="A40" s="78">
        <v>9</v>
      </c>
      <c r="B40" s="79" t="s">
        <v>62</v>
      </c>
      <c r="C40" s="80">
        <f t="shared" ca="1" si="0"/>
        <v>26900</v>
      </c>
      <c r="D40" s="81">
        <f t="shared" ca="1" si="23"/>
        <v>26900</v>
      </c>
      <c r="E40" s="82">
        <f ca="1">IFERROR(__xludf.DUMMYFUNCTION("IMPORTRANGE(""https://docs.google.com/spreadsheets/d/1MeEWN-I1oV_STSDYn1IFDPWt_1FKiwhDph83XaGc0o0/edit?usp=sharing"",""งบพรบ!CZ40"")"),0)</f>
        <v>0</v>
      </c>
      <c r="F40" s="82">
        <f ca="1">IFERROR(__xludf.DUMMYFUNCTION("IMPORTRANGE(""https://docs.google.com/spreadsheets/d/1MeEWN-I1oV_STSDYn1IFDPWt_1FKiwhDph83XaGc0o0/edit?usp=sharing"",""งบพรบ!DA40"")"),26900)</f>
        <v>26900</v>
      </c>
      <c r="G40" s="82">
        <f ca="1">IFERROR(__xludf.DUMMYFUNCTION("IMPORTRANGE(""https://docs.google.com/spreadsheets/d/1MeEWN-I1oV_STSDYn1IFDPWt_1FKiwhDph83XaGc0o0/edit?usp=sharing"",""งบพรบ!DB40"")"),0)</f>
        <v>0</v>
      </c>
      <c r="H40" s="82">
        <f ca="1">IFERROR(__xludf.DUMMYFUNCTION("IMPORTRANGE(""https://docs.google.com/spreadsheets/d/1MeEWN-I1oV_STSDYn1IFDPWt_1FKiwhDph83XaGc0o0/edit?usp=sharing"",""งบพรบ!DD40"")"),23900)</f>
        <v>23900</v>
      </c>
      <c r="I40" s="82">
        <f ca="1">IFERROR(__xludf.DUMMYFUNCTION("IMPORTRANGE(""https://docs.google.com/spreadsheets/d/1MeEWN-I1oV_STSDYn1IFDPWt_1FKiwhDph83XaGc0o0/edit?usp=sharing"",""งบพรบ!DE40"")"),0)</f>
        <v>0</v>
      </c>
      <c r="J40" s="82">
        <f t="shared" ca="1" si="3"/>
        <v>23900</v>
      </c>
      <c r="K40" s="83">
        <f t="shared" ca="1" si="4"/>
        <v>88.847583643122675</v>
      </c>
      <c r="L40" s="82">
        <f ca="1">IFERROR(__xludf.DUMMYFUNCTION("IMPORTRANGE(""https://docs.google.com/spreadsheets/d/1MeEWN-I1oV_STSDYn1IFDPWt_1FKiwhDph83XaGc0o0/edit?usp=sharing"",""งบพรบ!DF40"")"),23900)</f>
        <v>23900</v>
      </c>
      <c r="M40" s="84">
        <f t="shared" ca="1" si="5"/>
        <v>88.847583643122675</v>
      </c>
      <c r="N40" s="84">
        <f t="shared" ca="1" si="6"/>
        <v>100</v>
      </c>
      <c r="O40" s="85">
        <f ca="1">IFERROR(__xludf.DUMMYFUNCTION("IMPORTRANGE(""https://docs.google.com/spreadsheets/d/1MeEWN-I1oV_STSDYn1IFDPWt_1FKiwhDph83XaGc0o0/edit?usp=sharing"",""งบพรบ!DG40"")"),0)</f>
        <v>0</v>
      </c>
      <c r="P40" s="85">
        <f t="shared" ca="1" si="18"/>
        <v>0</v>
      </c>
      <c r="Q40" s="84">
        <f t="shared" ca="1" si="8"/>
        <v>0</v>
      </c>
      <c r="R40" s="86">
        <f ca="1">IFERROR(__xludf.DUMMYFUNCTION("IMPORTRANGE(""https://docs.google.com/spreadsheets/d/1uMKqWwuNQ-TCKboGA3Bb1qXb5uj2-faACNUINCz8PN4/edit?usp=sharing"",""มุกดาหาร!I271"")"),22)</f>
        <v>22</v>
      </c>
      <c r="S40" s="86">
        <f ca="1">IFERROR(__xludf.DUMMYFUNCTION("IMPORTRANGE(""https://docs.google.com/spreadsheets/d/1uMKqWwuNQ-TCKboGA3Bb1qXb5uj2-faACNUINCz8PN4/edit?usp=sharing"",""มุกดาหาร!J271"")"),22)</f>
        <v>22</v>
      </c>
      <c r="T40" s="87">
        <f t="shared" ca="1" si="16"/>
        <v>100</v>
      </c>
    </row>
    <row r="41" spans="1:20" ht="21" customHeight="1" x14ac:dyDescent="0.2">
      <c r="A41" s="78">
        <v>10</v>
      </c>
      <c r="B41" s="79" t="s">
        <v>63</v>
      </c>
      <c r="C41" s="80">
        <f t="shared" ca="1" si="0"/>
        <v>26900</v>
      </c>
      <c r="D41" s="81">
        <f t="shared" ca="1" si="23"/>
        <v>26900</v>
      </c>
      <c r="E41" s="82">
        <f ca="1">IFERROR(__xludf.DUMMYFUNCTION("IMPORTRANGE(""https://docs.google.com/spreadsheets/d/1MeEWN-I1oV_STSDYn1IFDPWt_1FKiwhDph83XaGc0o0/edit?usp=sharing"",""งบพรบ!CZ41"")"),0)</f>
        <v>0</v>
      </c>
      <c r="F41" s="82">
        <f ca="1">IFERROR(__xludf.DUMMYFUNCTION("IMPORTRANGE(""https://docs.google.com/spreadsheets/d/1MeEWN-I1oV_STSDYn1IFDPWt_1FKiwhDph83XaGc0o0/edit?usp=sharing"",""งบพรบ!DA41"")"),26900)</f>
        <v>26900</v>
      </c>
      <c r="G41" s="82">
        <f ca="1">IFERROR(__xludf.DUMMYFUNCTION("IMPORTRANGE(""https://docs.google.com/spreadsheets/d/1MeEWN-I1oV_STSDYn1IFDPWt_1FKiwhDph83XaGc0o0/edit?usp=sharing"",""งบพรบ!DB41"")"),0)</f>
        <v>0</v>
      </c>
      <c r="H41" s="82">
        <f ca="1">IFERROR(__xludf.DUMMYFUNCTION("IMPORTRANGE(""https://docs.google.com/spreadsheets/d/1MeEWN-I1oV_STSDYn1IFDPWt_1FKiwhDph83XaGc0o0/edit?usp=sharing"",""งบพรบ!DD41"")"),23900)</f>
        <v>23900</v>
      </c>
      <c r="I41" s="82">
        <f ca="1">IFERROR(__xludf.DUMMYFUNCTION("IMPORTRANGE(""https://docs.google.com/spreadsheets/d/1MeEWN-I1oV_STSDYn1IFDPWt_1FKiwhDph83XaGc0o0/edit?usp=sharing"",""งบพรบ!DE41"")"),0)</f>
        <v>0</v>
      </c>
      <c r="J41" s="82">
        <f t="shared" ca="1" si="3"/>
        <v>15680</v>
      </c>
      <c r="K41" s="83">
        <f t="shared" ca="1" si="4"/>
        <v>58.289962825278813</v>
      </c>
      <c r="L41" s="82">
        <f ca="1">IFERROR(__xludf.DUMMYFUNCTION("IMPORTRANGE(""https://docs.google.com/spreadsheets/d/1MeEWN-I1oV_STSDYn1IFDPWt_1FKiwhDph83XaGc0o0/edit?usp=sharing"",""งบพรบ!DF41"")"),15680)</f>
        <v>15680</v>
      </c>
      <c r="M41" s="84">
        <f t="shared" ca="1" si="5"/>
        <v>58.289962825278813</v>
      </c>
      <c r="N41" s="84">
        <f t="shared" ca="1" si="6"/>
        <v>65.606694560669453</v>
      </c>
      <c r="O41" s="85">
        <f ca="1">IFERROR(__xludf.DUMMYFUNCTION("IMPORTRANGE(""https://docs.google.com/spreadsheets/d/1MeEWN-I1oV_STSDYn1IFDPWt_1FKiwhDph83XaGc0o0/edit?usp=sharing"",""งบพรบ!DG41"")"),0)</f>
        <v>0</v>
      </c>
      <c r="P41" s="85">
        <f t="shared" ca="1" si="18"/>
        <v>0</v>
      </c>
      <c r="Q41" s="84">
        <f t="shared" ca="1" si="8"/>
        <v>0</v>
      </c>
      <c r="R41" s="86">
        <f ca="1">IFERROR(__xludf.DUMMYFUNCTION("IMPORTRANGE(""https://docs.google.com/spreadsheets/d/1oKaccgDdQABndOzGr688Dbfxb_V3YcF67VqEPBtdzsc/edit?usp=sharing"",""ยโสธร!I271"")"),22)</f>
        <v>22</v>
      </c>
      <c r="S41" s="86">
        <f ca="1">IFERROR(__xludf.DUMMYFUNCTION("IMPORTRANGE(""https://docs.google.com/spreadsheets/d/1oKaccgDdQABndOzGr688Dbfxb_V3YcF67VqEPBtdzsc/edit?usp=sharing"",""ยโสธร!J271"")"),22)</f>
        <v>22</v>
      </c>
      <c r="T41" s="87">
        <f t="shared" ca="1" si="16"/>
        <v>100</v>
      </c>
    </row>
    <row r="42" spans="1:20" ht="21" customHeight="1" x14ac:dyDescent="0.2">
      <c r="A42" s="78">
        <v>11</v>
      </c>
      <c r="B42" s="79" t="s">
        <v>64</v>
      </c>
      <c r="C42" s="80">
        <f t="shared" ca="1" si="0"/>
        <v>30700</v>
      </c>
      <c r="D42" s="81">
        <f t="shared" ca="1" si="23"/>
        <v>30700</v>
      </c>
      <c r="E42" s="82">
        <f ca="1">IFERROR(__xludf.DUMMYFUNCTION("IMPORTRANGE(""https://docs.google.com/spreadsheets/d/1MeEWN-I1oV_STSDYn1IFDPWt_1FKiwhDph83XaGc0o0/edit?usp=sharing"",""งบพรบ!CZ42"")"),0)</f>
        <v>0</v>
      </c>
      <c r="F42" s="82">
        <f ca="1">IFERROR(__xludf.DUMMYFUNCTION("IMPORTRANGE(""https://docs.google.com/spreadsheets/d/1MeEWN-I1oV_STSDYn1IFDPWt_1FKiwhDph83XaGc0o0/edit?usp=sharing"",""งบพรบ!DA42"")"),30700)</f>
        <v>30700</v>
      </c>
      <c r="G42" s="82">
        <f ca="1">IFERROR(__xludf.DUMMYFUNCTION("IMPORTRANGE(""https://docs.google.com/spreadsheets/d/1MeEWN-I1oV_STSDYn1IFDPWt_1FKiwhDph83XaGc0o0/edit?usp=sharing"",""งบพรบ!DB42"")"),0)</f>
        <v>0</v>
      </c>
      <c r="H42" s="82">
        <f ca="1">IFERROR(__xludf.DUMMYFUNCTION("IMPORTRANGE(""https://docs.google.com/spreadsheets/d/1MeEWN-I1oV_STSDYn1IFDPWt_1FKiwhDph83XaGc0o0/edit?usp=sharing"",""งบพรบ!DD42"")"),27700)</f>
        <v>27700</v>
      </c>
      <c r="I42" s="82">
        <f ca="1">IFERROR(__xludf.DUMMYFUNCTION("IMPORTRANGE(""https://docs.google.com/spreadsheets/d/1MeEWN-I1oV_STSDYn1IFDPWt_1FKiwhDph83XaGc0o0/edit?usp=sharing"",""งบพรบ!DE42"")"),0)</f>
        <v>0</v>
      </c>
      <c r="J42" s="82">
        <f t="shared" ca="1" si="3"/>
        <v>26875</v>
      </c>
      <c r="K42" s="83">
        <f t="shared" ca="1" si="4"/>
        <v>87.54071661237785</v>
      </c>
      <c r="L42" s="82">
        <f ca="1">IFERROR(__xludf.DUMMYFUNCTION("IMPORTRANGE(""https://docs.google.com/spreadsheets/d/1MeEWN-I1oV_STSDYn1IFDPWt_1FKiwhDph83XaGc0o0/edit?usp=sharing"",""งบพรบ!DF42"")"),26875)</f>
        <v>26875</v>
      </c>
      <c r="M42" s="84">
        <f t="shared" ca="1" si="5"/>
        <v>87.54071661237785</v>
      </c>
      <c r="N42" s="84">
        <f t="shared" ca="1" si="6"/>
        <v>97.021660649819495</v>
      </c>
      <c r="O42" s="85">
        <f ca="1">IFERROR(__xludf.DUMMYFUNCTION("IMPORTRANGE(""https://docs.google.com/spreadsheets/d/1MeEWN-I1oV_STSDYn1IFDPWt_1FKiwhDph83XaGc0o0/edit?usp=sharing"",""งบพรบ!DG42"")"),0)</f>
        <v>0</v>
      </c>
      <c r="P42" s="85">
        <f t="shared" ca="1" si="18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IFERROR(__xludf.DUMMYFUNCTION("IMPORTRANGE(""https://docs.google.com/spreadsheets/d/1BRgc8xKpxZ0PX-gauieMVkV_IOxKSotf0yW8MabGprQ/edit?usp=sharing"",""ร้อยเอ็ด!I271"")"),26)</f>
        <v>26</v>
      </c>
      <c r="S42" s="86">
        <f ca="1">IFERROR(__xludf.DUMMYFUNCTION("IMPORTRANGE(""https://docs.google.com/spreadsheets/d/1BRgc8xKpxZ0PX-gauieMVkV_IOxKSotf0yW8MabGprQ/edit?usp=sharing"",""ร้อยเอ็ด!J271"")"),26)</f>
        <v>26</v>
      </c>
      <c r="T42" s="87">
        <f t="shared" ca="1" si="16"/>
        <v>100</v>
      </c>
    </row>
    <row r="43" spans="1:20" ht="21" customHeight="1" x14ac:dyDescent="0.2">
      <c r="A43" s="78">
        <v>12</v>
      </c>
      <c r="B43" s="79" t="s">
        <v>65</v>
      </c>
      <c r="C43" s="80">
        <f t="shared" ca="1" si="0"/>
        <v>26900</v>
      </c>
      <c r="D43" s="81">
        <f t="shared" ca="1" si="23"/>
        <v>26900</v>
      </c>
      <c r="E43" s="82">
        <f ca="1">IFERROR(__xludf.DUMMYFUNCTION("IMPORTRANGE(""https://docs.google.com/spreadsheets/d/1MeEWN-I1oV_STSDYn1IFDPWt_1FKiwhDph83XaGc0o0/edit?usp=sharing"",""งบพรบ!CZ43"")"),0)</f>
        <v>0</v>
      </c>
      <c r="F43" s="82">
        <f ca="1">IFERROR(__xludf.DUMMYFUNCTION("IMPORTRANGE(""https://docs.google.com/spreadsheets/d/1MeEWN-I1oV_STSDYn1IFDPWt_1FKiwhDph83XaGc0o0/edit?usp=sharing"",""งบพรบ!DA43"")"),26900)</f>
        <v>26900</v>
      </c>
      <c r="G43" s="82">
        <f ca="1">IFERROR(__xludf.DUMMYFUNCTION("IMPORTRANGE(""https://docs.google.com/spreadsheets/d/1MeEWN-I1oV_STSDYn1IFDPWt_1FKiwhDph83XaGc0o0/edit?usp=sharing"",""งบพรบ!DB43"")"),0)</f>
        <v>0</v>
      </c>
      <c r="H43" s="82">
        <f ca="1">IFERROR(__xludf.DUMMYFUNCTION("IMPORTRANGE(""https://docs.google.com/spreadsheets/d/1MeEWN-I1oV_STSDYn1IFDPWt_1FKiwhDph83XaGc0o0/edit?usp=sharing"",""งบพรบ!DD43"")"),23900)</f>
        <v>23900</v>
      </c>
      <c r="I43" s="82">
        <f ca="1">IFERROR(__xludf.DUMMYFUNCTION("IMPORTRANGE(""https://docs.google.com/spreadsheets/d/1MeEWN-I1oV_STSDYn1IFDPWt_1FKiwhDph83XaGc0o0/edit?usp=sharing"",""งบพรบ!DE43"")"),0)</f>
        <v>0</v>
      </c>
      <c r="J43" s="82">
        <f t="shared" ca="1" si="3"/>
        <v>23466</v>
      </c>
      <c r="K43" s="83">
        <f t="shared" ca="1" si="4"/>
        <v>87.234200743494426</v>
      </c>
      <c r="L43" s="82">
        <f ca="1">IFERROR(__xludf.DUMMYFUNCTION("IMPORTRANGE(""https://docs.google.com/spreadsheets/d/1MeEWN-I1oV_STSDYn1IFDPWt_1FKiwhDph83XaGc0o0/edit?usp=sharing"",""งบพรบ!DF43"")"),23466)</f>
        <v>23466</v>
      </c>
      <c r="M43" s="84">
        <f t="shared" ca="1" si="5"/>
        <v>87.234200743494426</v>
      </c>
      <c r="N43" s="84">
        <f t="shared" ca="1" si="6"/>
        <v>98.18410041841004</v>
      </c>
      <c r="O43" s="85">
        <f ca="1">IFERROR(__xludf.DUMMYFUNCTION("IMPORTRANGE(""https://docs.google.com/spreadsheets/d/1MeEWN-I1oV_STSDYn1IFDPWt_1FKiwhDph83XaGc0o0/edit?usp=sharing"",""งบพรบ!DG43"")"),0)</f>
        <v>0</v>
      </c>
      <c r="P43" s="85">
        <f t="shared" ca="1" si="18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IFERROR(__xludf.DUMMYFUNCTION("IMPORTRANGE(""https://docs.google.com/spreadsheets/d/1IdolZc-dfdgMwAm_KZxYJl1sUOcIgnbGQzbWOlddedo/edit?usp=sharing"",""เลย!I271"")"),22)</f>
        <v>22</v>
      </c>
      <c r="S43" s="86">
        <f ca="1">IFERROR(__xludf.DUMMYFUNCTION("IMPORTRANGE(""https://docs.google.com/spreadsheets/d/1IdolZc-dfdgMwAm_KZxYJl1sUOcIgnbGQzbWOlddedo/edit?usp=sharing"",""เลย!J271"")"),22)</f>
        <v>22</v>
      </c>
      <c r="T43" s="87">
        <f t="shared" ca="1" si="16"/>
        <v>100</v>
      </c>
    </row>
    <row r="44" spans="1:20" ht="21" customHeight="1" x14ac:dyDescent="0.2">
      <c r="A44" s="78">
        <v>13</v>
      </c>
      <c r="B44" s="79" t="s">
        <v>66</v>
      </c>
      <c r="C44" s="80">
        <f t="shared" ca="1" si="0"/>
        <v>26900</v>
      </c>
      <c r="D44" s="81">
        <f t="shared" ca="1" si="23"/>
        <v>26900</v>
      </c>
      <c r="E44" s="82">
        <f ca="1">IFERROR(__xludf.DUMMYFUNCTION("IMPORTRANGE(""https://docs.google.com/spreadsheets/d/1MeEWN-I1oV_STSDYn1IFDPWt_1FKiwhDph83XaGc0o0/edit?usp=sharing"",""งบพรบ!CZ44"")"),0)</f>
        <v>0</v>
      </c>
      <c r="F44" s="82">
        <f ca="1">IFERROR(__xludf.DUMMYFUNCTION("IMPORTRANGE(""https://docs.google.com/spreadsheets/d/1MeEWN-I1oV_STSDYn1IFDPWt_1FKiwhDph83XaGc0o0/edit?usp=sharing"",""งบพรบ!DA44"")"),26900)</f>
        <v>26900</v>
      </c>
      <c r="G44" s="82">
        <f ca="1">IFERROR(__xludf.DUMMYFUNCTION("IMPORTRANGE(""https://docs.google.com/spreadsheets/d/1MeEWN-I1oV_STSDYn1IFDPWt_1FKiwhDph83XaGc0o0/edit?usp=sharing"",""งบพรบ!DB44"")"),0)</f>
        <v>0</v>
      </c>
      <c r="H44" s="82">
        <f ca="1">IFERROR(__xludf.DUMMYFUNCTION("IMPORTRANGE(""https://docs.google.com/spreadsheets/d/1MeEWN-I1oV_STSDYn1IFDPWt_1FKiwhDph83XaGc0o0/edit?usp=sharing"",""งบพรบ!DD44"")"),23900)</f>
        <v>23900</v>
      </c>
      <c r="I44" s="82">
        <f ca="1">IFERROR(__xludf.DUMMYFUNCTION("IMPORTRANGE(""https://docs.google.com/spreadsheets/d/1MeEWN-I1oV_STSDYn1IFDPWt_1FKiwhDph83XaGc0o0/edit?usp=sharing"",""งบพรบ!DE44"")"),0)</f>
        <v>0</v>
      </c>
      <c r="J44" s="82">
        <f t="shared" ca="1" si="3"/>
        <v>22630</v>
      </c>
      <c r="K44" s="83">
        <f t="shared" ca="1" si="4"/>
        <v>84.126394052044603</v>
      </c>
      <c r="L44" s="82">
        <f ca="1">IFERROR(__xludf.DUMMYFUNCTION("IMPORTRANGE(""https://docs.google.com/spreadsheets/d/1MeEWN-I1oV_STSDYn1IFDPWt_1FKiwhDph83XaGc0o0/edit?usp=sharing"",""งบพรบ!DF44"")"),22630)</f>
        <v>22630</v>
      </c>
      <c r="M44" s="84">
        <f t="shared" ca="1" si="5"/>
        <v>84.126394052044603</v>
      </c>
      <c r="N44" s="84">
        <f t="shared" ca="1" si="6"/>
        <v>94.686192468619254</v>
      </c>
      <c r="O44" s="85">
        <f ca="1">IFERROR(__xludf.DUMMYFUNCTION("IMPORTRANGE(""https://docs.google.com/spreadsheets/d/1MeEWN-I1oV_STSDYn1IFDPWt_1FKiwhDph83XaGc0o0/edit?usp=sharing"",""งบพรบ!DG44"")"),0)</f>
        <v>0</v>
      </c>
      <c r="P44" s="85">
        <f t="shared" ca="1" si="18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IFERROR(__xludf.DUMMYFUNCTION("IMPORTRANGE(""https://docs.google.com/spreadsheets/d/1tZ0nmtGuIRCaGAMXHlQU8EpR9LOAJvyKfc4f7EFmE34/edit?usp=sharing"",""ศรีสะเกษ!I271"")"),22)</f>
        <v>22</v>
      </c>
      <c r="S44" s="86">
        <f ca="1">IFERROR(__xludf.DUMMYFUNCTION("IMPORTRANGE(""https://docs.google.com/spreadsheets/d/1tZ0nmtGuIRCaGAMXHlQU8EpR9LOAJvyKfc4f7EFmE34/edit?usp=sharing"",""ศรีสะเกษ!J271"")"),22)</f>
        <v>22</v>
      </c>
      <c r="T44" s="87">
        <f t="shared" ca="1" si="16"/>
        <v>100</v>
      </c>
    </row>
    <row r="45" spans="1:20" ht="21" customHeight="1" x14ac:dyDescent="0.2">
      <c r="A45" s="78">
        <v>14</v>
      </c>
      <c r="B45" s="79" t="s">
        <v>67</v>
      </c>
      <c r="C45" s="80">
        <f t="shared" ca="1" si="0"/>
        <v>30700</v>
      </c>
      <c r="D45" s="81">
        <f t="shared" ca="1" si="23"/>
        <v>30700</v>
      </c>
      <c r="E45" s="82">
        <f ca="1">IFERROR(__xludf.DUMMYFUNCTION("IMPORTRANGE(""https://docs.google.com/spreadsheets/d/1MeEWN-I1oV_STSDYn1IFDPWt_1FKiwhDph83XaGc0o0/edit?usp=sharing"",""งบพรบ!CZ45"")"),0)</f>
        <v>0</v>
      </c>
      <c r="F45" s="82">
        <f ca="1">IFERROR(__xludf.DUMMYFUNCTION("IMPORTRANGE(""https://docs.google.com/spreadsheets/d/1MeEWN-I1oV_STSDYn1IFDPWt_1FKiwhDph83XaGc0o0/edit?usp=sharing"",""งบพรบ!DA45"")"),30700)</f>
        <v>30700</v>
      </c>
      <c r="G45" s="82">
        <f ca="1">IFERROR(__xludf.DUMMYFUNCTION("IMPORTRANGE(""https://docs.google.com/spreadsheets/d/1MeEWN-I1oV_STSDYn1IFDPWt_1FKiwhDph83XaGc0o0/edit?usp=sharing"",""งบพรบ!DB45"")"),0)</f>
        <v>0</v>
      </c>
      <c r="H45" s="82">
        <f ca="1">IFERROR(__xludf.DUMMYFUNCTION("IMPORTRANGE(""https://docs.google.com/spreadsheets/d/1MeEWN-I1oV_STSDYn1IFDPWt_1FKiwhDph83XaGc0o0/edit?usp=sharing"",""งบพรบ!DD45"")"),27700)</f>
        <v>27700</v>
      </c>
      <c r="I45" s="82">
        <f ca="1">IFERROR(__xludf.DUMMYFUNCTION("IMPORTRANGE(""https://docs.google.com/spreadsheets/d/1MeEWN-I1oV_STSDYn1IFDPWt_1FKiwhDph83XaGc0o0/edit?usp=sharing"",""งบพรบ!DE45"")"),0)</f>
        <v>0</v>
      </c>
      <c r="J45" s="82">
        <f t="shared" ca="1" si="3"/>
        <v>26192</v>
      </c>
      <c r="K45" s="83">
        <f t="shared" ca="1" si="4"/>
        <v>85.31596091205212</v>
      </c>
      <c r="L45" s="82">
        <f ca="1">IFERROR(__xludf.DUMMYFUNCTION("IMPORTRANGE(""https://docs.google.com/spreadsheets/d/1MeEWN-I1oV_STSDYn1IFDPWt_1FKiwhDph83XaGc0o0/edit?usp=sharing"",""งบพรบ!DF45"")"),26192)</f>
        <v>26192</v>
      </c>
      <c r="M45" s="84">
        <f t="shared" ca="1" si="5"/>
        <v>85.31596091205212</v>
      </c>
      <c r="N45" s="84">
        <f t="shared" ca="1" si="6"/>
        <v>94.555956678700355</v>
      </c>
      <c r="O45" s="85">
        <f ca="1">IFERROR(__xludf.DUMMYFUNCTION("IMPORTRANGE(""https://docs.google.com/spreadsheets/d/1MeEWN-I1oV_STSDYn1IFDPWt_1FKiwhDph83XaGc0o0/edit?usp=sharing"",""งบพรบ!DG45"")"),0)</f>
        <v>0</v>
      </c>
      <c r="P45" s="85">
        <f t="shared" ca="1" si="18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IFERROR(__xludf.DUMMYFUNCTION("IMPORTRANGE(""https://docs.google.com/spreadsheets/d/1QC8psz9w0f9IVE9Xuc2FT_btkaOzZbbUSgYObpBuetM/edit?usp=sharing"",""สกลนคร!I271"")"),26)</f>
        <v>26</v>
      </c>
      <c r="S45" s="86">
        <f ca="1">IFERROR(__xludf.DUMMYFUNCTION("IMPORTRANGE(""https://docs.google.com/spreadsheets/d/1QC8psz9w0f9IVE9Xuc2FT_btkaOzZbbUSgYObpBuetM/edit?usp=sharing"",""สกลนคร!J271"")"),26)</f>
        <v>26</v>
      </c>
      <c r="T45" s="87">
        <f t="shared" ca="1" si="16"/>
        <v>100</v>
      </c>
    </row>
    <row r="46" spans="1:20" ht="21" customHeight="1" x14ac:dyDescent="0.2">
      <c r="A46" s="78">
        <v>15</v>
      </c>
      <c r="B46" s="79" t="s">
        <v>68</v>
      </c>
      <c r="C46" s="80">
        <f t="shared" ca="1" si="0"/>
        <v>26900</v>
      </c>
      <c r="D46" s="81">
        <f t="shared" ca="1" si="23"/>
        <v>26900</v>
      </c>
      <c r="E46" s="82">
        <f ca="1">IFERROR(__xludf.DUMMYFUNCTION("IMPORTRANGE(""https://docs.google.com/spreadsheets/d/1MeEWN-I1oV_STSDYn1IFDPWt_1FKiwhDph83XaGc0o0/edit?usp=sharing"",""งบพรบ!CZ46"")"),0)</f>
        <v>0</v>
      </c>
      <c r="F46" s="82">
        <f ca="1">IFERROR(__xludf.DUMMYFUNCTION("IMPORTRANGE(""https://docs.google.com/spreadsheets/d/1MeEWN-I1oV_STSDYn1IFDPWt_1FKiwhDph83XaGc0o0/edit?usp=sharing"",""งบพรบ!DA46"")"),26900)</f>
        <v>26900</v>
      </c>
      <c r="G46" s="82">
        <f ca="1">IFERROR(__xludf.DUMMYFUNCTION("IMPORTRANGE(""https://docs.google.com/spreadsheets/d/1MeEWN-I1oV_STSDYn1IFDPWt_1FKiwhDph83XaGc0o0/edit?usp=sharing"",""งบพรบ!DB46"")"),0)</f>
        <v>0</v>
      </c>
      <c r="H46" s="82">
        <f ca="1">IFERROR(__xludf.DUMMYFUNCTION("IMPORTRANGE(""https://docs.google.com/spreadsheets/d/1MeEWN-I1oV_STSDYn1IFDPWt_1FKiwhDph83XaGc0o0/edit?usp=sharing"",""งบพรบ!DD46"")"),23900)</f>
        <v>23900</v>
      </c>
      <c r="I46" s="82">
        <f ca="1">IFERROR(__xludf.DUMMYFUNCTION("IMPORTRANGE(""https://docs.google.com/spreadsheets/d/1MeEWN-I1oV_STSDYn1IFDPWt_1FKiwhDph83XaGc0o0/edit?usp=sharing"",""งบพรบ!DE46"")"),0)</f>
        <v>0</v>
      </c>
      <c r="J46" s="82">
        <f t="shared" ca="1" si="3"/>
        <v>20475</v>
      </c>
      <c r="K46" s="83">
        <f t="shared" ca="1" si="4"/>
        <v>76.115241635687738</v>
      </c>
      <c r="L46" s="82">
        <f ca="1">IFERROR(__xludf.DUMMYFUNCTION("IMPORTRANGE(""https://docs.google.com/spreadsheets/d/1MeEWN-I1oV_STSDYn1IFDPWt_1FKiwhDph83XaGc0o0/edit?usp=sharing"",""งบพรบ!DF46"")"),20475)</f>
        <v>20475</v>
      </c>
      <c r="M46" s="84">
        <f t="shared" ca="1" si="5"/>
        <v>76.115241635687738</v>
      </c>
      <c r="N46" s="84">
        <f t="shared" ca="1" si="6"/>
        <v>85.669456066945614</v>
      </c>
      <c r="O46" s="85">
        <f ca="1">IFERROR(__xludf.DUMMYFUNCTION("IMPORTRANGE(""https://docs.google.com/spreadsheets/d/1MeEWN-I1oV_STSDYn1IFDPWt_1FKiwhDph83XaGc0o0/edit?usp=sharing"",""งบพรบ!DG46"")"),0)</f>
        <v>0</v>
      </c>
      <c r="P46" s="85">
        <f t="shared" ca="1" si="18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IFERROR(__xludf.DUMMYFUNCTION("IMPORTRANGE(""https://docs.google.com/spreadsheets/d/1wPdvRbu02d33MYVlbsCnyTiZpefEBs9NNktAnT1HZvw/edit?usp=sharing"",""สุรินทร์!I271"")"),22)</f>
        <v>22</v>
      </c>
      <c r="S46" s="86">
        <f ca="1">IFERROR(__xludf.DUMMYFUNCTION("IMPORTRANGE(""https://docs.google.com/spreadsheets/d/1wPdvRbu02d33MYVlbsCnyTiZpefEBs9NNktAnT1HZvw/edit?usp=sharing"",""สุรินทร์!J271"")"),22)</f>
        <v>22</v>
      </c>
      <c r="T46" s="87">
        <f t="shared" ca="1" si="16"/>
        <v>100</v>
      </c>
    </row>
    <row r="47" spans="1:20" ht="21" customHeight="1" x14ac:dyDescent="0.2">
      <c r="A47" s="78">
        <v>16</v>
      </c>
      <c r="B47" s="79" t="s">
        <v>69</v>
      </c>
      <c r="C47" s="80">
        <f t="shared" ca="1" si="0"/>
        <v>26900</v>
      </c>
      <c r="D47" s="81">
        <f t="shared" ca="1" si="23"/>
        <v>26900</v>
      </c>
      <c r="E47" s="82">
        <f ca="1">IFERROR(__xludf.DUMMYFUNCTION("IMPORTRANGE(""https://docs.google.com/spreadsheets/d/1MeEWN-I1oV_STSDYn1IFDPWt_1FKiwhDph83XaGc0o0/edit?usp=sharing"",""งบพรบ!CZ47"")"),0)</f>
        <v>0</v>
      </c>
      <c r="F47" s="82">
        <f ca="1">IFERROR(__xludf.DUMMYFUNCTION("IMPORTRANGE(""https://docs.google.com/spreadsheets/d/1MeEWN-I1oV_STSDYn1IFDPWt_1FKiwhDph83XaGc0o0/edit?usp=sharing"",""งบพรบ!DA47"")"),26900)</f>
        <v>26900</v>
      </c>
      <c r="G47" s="82">
        <f ca="1">IFERROR(__xludf.DUMMYFUNCTION("IMPORTRANGE(""https://docs.google.com/spreadsheets/d/1MeEWN-I1oV_STSDYn1IFDPWt_1FKiwhDph83XaGc0o0/edit?usp=sharing"",""งบพรบ!DB47"")"),0)</f>
        <v>0</v>
      </c>
      <c r="H47" s="82">
        <f ca="1">IFERROR(__xludf.DUMMYFUNCTION("IMPORTRANGE(""https://docs.google.com/spreadsheets/d/1MeEWN-I1oV_STSDYn1IFDPWt_1FKiwhDph83XaGc0o0/edit?usp=sharing"",""งบพรบ!DD47"")"),23900)</f>
        <v>23900</v>
      </c>
      <c r="I47" s="82">
        <f ca="1">IFERROR(__xludf.DUMMYFUNCTION("IMPORTRANGE(""https://docs.google.com/spreadsheets/d/1MeEWN-I1oV_STSDYn1IFDPWt_1FKiwhDph83XaGc0o0/edit?usp=sharing"",""งบพรบ!DE47"")"),0)</f>
        <v>0</v>
      </c>
      <c r="J47" s="82">
        <f t="shared" ca="1" si="3"/>
        <v>23900</v>
      </c>
      <c r="K47" s="83">
        <f t="shared" ca="1" si="4"/>
        <v>88.847583643122675</v>
      </c>
      <c r="L47" s="82">
        <f ca="1">IFERROR(__xludf.DUMMYFUNCTION("IMPORTRANGE(""https://docs.google.com/spreadsheets/d/1MeEWN-I1oV_STSDYn1IFDPWt_1FKiwhDph83XaGc0o0/edit?usp=sharing"",""งบพรบ!DF47"")"),23900)</f>
        <v>23900</v>
      </c>
      <c r="M47" s="84">
        <f t="shared" ca="1" si="5"/>
        <v>88.847583643122675</v>
      </c>
      <c r="N47" s="84">
        <f t="shared" ca="1" si="6"/>
        <v>100</v>
      </c>
      <c r="O47" s="85">
        <f ca="1">IFERROR(__xludf.DUMMYFUNCTION("IMPORTRANGE(""https://docs.google.com/spreadsheets/d/1MeEWN-I1oV_STSDYn1IFDPWt_1FKiwhDph83XaGc0o0/edit?usp=sharing"",""งบพรบ!DG47"")"),0)</f>
        <v>0</v>
      </c>
      <c r="P47" s="85">
        <f t="shared" ca="1" si="18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IFERROR(__xludf.DUMMYFUNCTION("IMPORTRANGE(""https://docs.google.com/spreadsheets/d/1GVExpf-Exi_2gmuqTYH28fseTB9MoKPXWcXCbSt_YrM/edit?usp=sharing"",""หนองคาย!I271"")"),22)</f>
        <v>22</v>
      </c>
      <c r="S47" s="86">
        <f ca="1">IFERROR(__xludf.DUMMYFUNCTION("IMPORTRANGE(""https://docs.google.com/spreadsheets/d/1GVExpf-Exi_2gmuqTYH28fseTB9MoKPXWcXCbSt_YrM/edit?usp=sharing"",""หนองคาย!J271"")"),22)</f>
        <v>22</v>
      </c>
      <c r="T47" s="87">
        <f t="shared" ca="1" si="16"/>
        <v>100</v>
      </c>
    </row>
    <row r="48" spans="1:20" ht="21" customHeight="1" x14ac:dyDescent="0.2">
      <c r="A48" s="78">
        <v>17</v>
      </c>
      <c r="B48" s="79" t="s">
        <v>70</v>
      </c>
      <c r="C48" s="80">
        <f t="shared" ca="1" si="0"/>
        <v>26900</v>
      </c>
      <c r="D48" s="81">
        <f t="shared" ca="1" si="23"/>
        <v>26900</v>
      </c>
      <c r="E48" s="82">
        <f ca="1">IFERROR(__xludf.DUMMYFUNCTION("IMPORTRANGE(""https://docs.google.com/spreadsheets/d/1MeEWN-I1oV_STSDYn1IFDPWt_1FKiwhDph83XaGc0o0/edit?usp=sharing"",""งบพรบ!CZ48"")"),0)</f>
        <v>0</v>
      </c>
      <c r="F48" s="82">
        <f ca="1">IFERROR(__xludf.DUMMYFUNCTION("IMPORTRANGE(""https://docs.google.com/spreadsheets/d/1MeEWN-I1oV_STSDYn1IFDPWt_1FKiwhDph83XaGc0o0/edit?usp=sharing"",""งบพรบ!DA48"")"),26900)</f>
        <v>26900</v>
      </c>
      <c r="G48" s="82">
        <f ca="1">IFERROR(__xludf.DUMMYFUNCTION("IMPORTRANGE(""https://docs.google.com/spreadsheets/d/1MeEWN-I1oV_STSDYn1IFDPWt_1FKiwhDph83XaGc0o0/edit?usp=sharing"",""งบพรบ!DB48"")"),0)</f>
        <v>0</v>
      </c>
      <c r="H48" s="82">
        <f ca="1">IFERROR(__xludf.DUMMYFUNCTION("IMPORTRANGE(""https://docs.google.com/spreadsheets/d/1MeEWN-I1oV_STSDYn1IFDPWt_1FKiwhDph83XaGc0o0/edit?usp=sharing"",""งบพรบ!DD48"")"),23900)</f>
        <v>23900</v>
      </c>
      <c r="I48" s="82">
        <f ca="1">IFERROR(__xludf.DUMMYFUNCTION("IMPORTRANGE(""https://docs.google.com/spreadsheets/d/1MeEWN-I1oV_STSDYn1IFDPWt_1FKiwhDph83XaGc0o0/edit?usp=sharing"",""งบพรบ!DE48"")"),0)</f>
        <v>0</v>
      </c>
      <c r="J48" s="82">
        <f t="shared" ca="1" si="3"/>
        <v>23183.5</v>
      </c>
      <c r="K48" s="83">
        <f t="shared" ca="1" si="4"/>
        <v>86.184014869888472</v>
      </c>
      <c r="L48" s="82">
        <f ca="1">IFERROR(__xludf.DUMMYFUNCTION("IMPORTRANGE(""https://docs.google.com/spreadsheets/d/1MeEWN-I1oV_STSDYn1IFDPWt_1FKiwhDph83XaGc0o0/edit?usp=sharing"",""งบพรบ!DF48"")"),23183.5)</f>
        <v>23183.5</v>
      </c>
      <c r="M48" s="84">
        <f t="shared" ca="1" si="5"/>
        <v>86.184014869888472</v>
      </c>
      <c r="N48" s="84">
        <f t="shared" ca="1" si="6"/>
        <v>97.0020920502092</v>
      </c>
      <c r="O48" s="85">
        <f ca="1">IFERROR(__xludf.DUMMYFUNCTION("IMPORTRANGE(""https://docs.google.com/spreadsheets/d/1MeEWN-I1oV_STSDYn1IFDPWt_1FKiwhDph83XaGc0o0/edit?usp=sharing"",""งบพรบ!DG48"")"),0)</f>
        <v>0</v>
      </c>
      <c r="P48" s="85">
        <f t="shared" ca="1" si="18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IFERROR(__xludf.DUMMYFUNCTION("IMPORTRANGE(""https://docs.google.com/spreadsheets/d/16UeMz0UgOB5BZcoxP75eYGcLFtGYRn9GoesD4OX9m5U/edit?usp=sharing"",""หนองบัวลำภู!I271"")"),22)</f>
        <v>22</v>
      </c>
      <c r="S48" s="86">
        <f ca="1">IFERROR(__xludf.DUMMYFUNCTION("IMPORTRANGE(""https://docs.google.com/spreadsheets/d/16UeMz0UgOB5BZcoxP75eYGcLFtGYRn9GoesD4OX9m5U/edit?usp=sharing"",""หนองบัวลำภู!J271"")"),22)</f>
        <v>22</v>
      </c>
      <c r="T48" s="87">
        <f t="shared" ca="1" si="16"/>
        <v>100</v>
      </c>
    </row>
    <row r="49" spans="1:20" ht="21" customHeight="1" x14ac:dyDescent="0.2">
      <c r="A49" s="78">
        <v>18</v>
      </c>
      <c r="B49" s="79" t="s">
        <v>71</v>
      </c>
      <c r="C49" s="80">
        <f t="shared" ca="1" si="0"/>
        <v>28800</v>
      </c>
      <c r="D49" s="81">
        <f t="shared" ca="1" si="23"/>
        <v>28800</v>
      </c>
      <c r="E49" s="82">
        <f ca="1">IFERROR(__xludf.DUMMYFUNCTION("IMPORTRANGE(""https://docs.google.com/spreadsheets/d/1MeEWN-I1oV_STSDYn1IFDPWt_1FKiwhDph83XaGc0o0/edit?usp=sharing"",""งบพรบ!CZ49"")"),0)</f>
        <v>0</v>
      </c>
      <c r="F49" s="82">
        <f ca="1">IFERROR(__xludf.DUMMYFUNCTION("IMPORTRANGE(""https://docs.google.com/spreadsheets/d/1MeEWN-I1oV_STSDYn1IFDPWt_1FKiwhDph83XaGc0o0/edit?usp=sharing"",""งบพรบ!DA49"")"),28800)</f>
        <v>28800</v>
      </c>
      <c r="G49" s="82">
        <f ca="1">IFERROR(__xludf.DUMMYFUNCTION("IMPORTRANGE(""https://docs.google.com/spreadsheets/d/1MeEWN-I1oV_STSDYn1IFDPWt_1FKiwhDph83XaGc0o0/edit?usp=sharing"",""งบพรบ!DB49"")"),0)</f>
        <v>0</v>
      </c>
      <c r="H49" s="82">
        <f ca="1">IFERROR(__xludf.DUMMYFUNCTION("IMPORTRANGE(""https://docs.google.com/spreadsheets/d/1MeEWN-I1oV_STSDYn1IFDPWt_1FKiwhDph83XaGc0o0/edit?usp=sharing"",""งบพรบ!DD49"")"),25800)</f>
        <v>25800</v>
      </c>
      <c r="I49" s="82">
        <f ca="1">IFERROR(__xludf.DUMMYFUNCTION("IMPORTRANGE(""https://docs.google.com/spreadsheets/d/1MeEWN-I1oV_STSDYn1IFDPWt_1FKiwhDph83XaGc0o0/edit?usp=sharing"",""งบพรบ!DE49"")"),0)</f>
        <v>0</v>
      </c>
      <c r="J49" s="82">
        <f t="shared" ca="1" si="3"/>
        <v>24280</v>
      </c>
      <c r="K49" s="83">
        <f t="shared" ca="1" si="4"/>
        <v>84.305555555555557</v>
      </c>
      <c r="L49" s="82">
        <f ca="1">IFERROR(__xludf.DUMMYFUNCTION("IMPORTRANGE(""https://docs.google.com/spreadsheets/d/1MeEWN-I1oV_STSDYn1IFDPWt_1FKiwhDph83XaGc0o0/edit?usp=sharing"",""งบพรบ!DF49"")"),24280)</f>
        <v>24280</v>
      </c>
      <c r="M49" s="84">
        <f t="shared" ca="1" si="5"/>
        <v>84.305555555555557</v>
      </c>
      <c r="N49" s="84">
        <f t="shared" ca="1" si="6"/>
        <v>94.108527131782949</v>
      </c>
      <c r="O49" s="85">
        <f ca="1">IFERROR(__xludf.DUMMYFUNCTION("IMPORTRANGE(""https://docs.google.com/spreadsheets/d/1MeEWN-I1oV_STSDYn1IFDPWt_1FKiwhDph83XaGc0o0/edit?usp=sharing"",""งบพรบ!DG49"")"),0)</f>
        <v>0</v>
      </c>
      <c r="P49" s="85">
        <f t="shared" ca="1" si="18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IFERROR(__xludf.DUMMYFUNCTION("IMPORTRANGE(""https://docs.google.com/spreadsheets/d/1uUP8Zo1-qaJLuIkRU0qlwLSE3DHkbdrrj2JGJiWBQZE/edit?usp=sharing"",""อำนาจเจริญ!I271"")"),24)</f>
        <v>24</v>
      </c>
      <c r="S49" s="86">
        <f ca="1">IFERROR(__xludf.DUMMYFUNCTION("IMPORTRANGE(""https://docs.google.com/spreadsheets/d/1uUP8Zo1-qaJLuIkRU0qlwLSE3DHkbdrrj2JGJiWBQZE/edit?usp=sharing"",""อำนาจเจริญ!J271"")"),24)</f>
        <v>24</v>
      </c>
      <c r="T49" s="87">
        <f t="shared" ca="1" si="16"/>
        <v>100</v>
      </c>
    </row>
    <row r="50" spans="1:20" ht="21" customHeight="1" x14ac:dyDescent="0.2">
      <c r="A50" s="78">
        <v>19</v>
      </c>
      <c r="B50" s="79" t="s">
        <v>72</v>
      </c>
      <c r="C50" s="80">
        <f t="shared" ca="1" si="0"/>
        <v>25000</v>
      </c>
      <c r="D50" s="81">
        <f t="shared" ca="1" si="23"/>
        <v>25000</v>
      </c>
      <c r="E50" s="82">
        <f ca="1">IFERROR(__xludf.DUMMYFUNCTION("IMPORTRANGE(""https://docs.google.com/spreadsheets/d/1MeEWN-I1oV_STSDYn1IFDPWt_1FKiwhDph83XaGc0o0/edit?usp=sharing"",""งบพรบ!CZ50"")"),0)</f>
        <v>0</v>
      </c>
      <c r="F50" s="82">
        <f ca="1">IFERROR(__xludf.DUMMYFUNCTION("IMPORTRANGE(""https://docs.google.com/spreadsheets/d/1MeEWN-I1oV_STSDYn1IFDPWt_1FKiwhDph83XaGc0o0/edit?usp=sharing"",""งบพรบ!DA50"")"),25000)</f>
        <v>25000</v>
      </c>
      <c r="G50" s="82">
        <f ca="1">IFERROR(__xludf.DUMMYFUNCTION("IMPORTRANGE(""https://docs.google.com/spreadsheets/d/1MeEWN-I1oV_STSDYn1IFDPWt_1FKiwhDph83XaGc0o0/edit?usp=sharing"",""งบพรบ!DB50"")"),0)</f>
        <v>0</v>
      </c>
      <c r="H50" s="82">
        <f ca="1">IFERROR(__xludf.DUMMYFUNCTION("IMPORTRANGE(""https://docs.google.com/spreadsheets/d/1MeEWN-I1oV_STSDYn1IFDPWt_1FKiwhDph83XaGc0o0/edit?usp=sharing"",""งบพรบ!DD50"")"),22000)</f>
        <v>22000</v>
      </c>
      <c r="I50" s="82">
        <f ca="1">IFERROR(__xludf.DUMMYFUNCTION("IMPORTRANGE(""https://docs.google.com/spreadsheets/d/1MeEWN-I1oV_STSDYn1IFDPWt_1FKiwhDph83XaGc0o0/edit?usp=sharing"",""งบพรบ!DE50"")"),0)</f>
        <v>0</v>
      </c>
      <c r="J50" s="82">
        <f t="shared" ca="1" si="3"/>
        <v>17116</v>
      </c>
      <c r="K50" s="83">
        <f t="shared" ca="1" si="4"/>
        <v>68.463999999999999</v>
      </c>
      <c r="L50" s="82">
        <f ca="1">IFERROR(__xludf.DUMMYFUNCTION("IMPORTRANGE(""https://docs.google.com/spreadsheets/d/1MeEWN-I1oV_STSDYn1IFDPWt_1FKiwhDph83XaGc0o0/edit?usp=sharing"",""งบพรบ!DF50"")"),17116)</f>
        <v>17116</v>
      </c>
      <c r="M50" s="84">
        <f t="shared" ca="1" si="5"/>
        <v>68.463999999999999</v>
      </c>
      <c r="N50" s="84">
        <f t="shared" ca="1" si="6"/>
        <v>77.8</v>
      </c>
      <c r="O50" s="85">
        <f ca="1">IFERROR(__xludf.DUMMYFUNCTION("IMPORTRANGE(""https://docs.google.com/spreadsheets/d/1MeEWN-I1oV_STSDYn1IFDPWt_1FKiwhDph83XaGc0o0/edit?usp=sharing"",""งบพรบ!DG50"")"),0)</f>
        <v>0</v>
      </c>
      <c r="P50" s="85">
        <f t="shared" ca="1" si="18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IFERROR(__xludf.DUMMYFUNCTION("IMPORTRANGE(""https://docs.google.com/spreadsheets/d/1hb_taSOHanzRjqfzWPiFo8yiT83VV1L7vvUCLhOiHKc/edit?usp=sharing"",""อุดรธานี!I271"")"),20)</f>
        <v>20</v>
      </c>
      <c r="S50" s="86">
        <f ca="1">IFERROR(__xludf.DUMMYFUNCTION("IMPORTRANGE(""https://docs.google.com/spreadsheets/d/1hb_taSOHanzRjqfzWPiFo8yiT83VV1L7vvUCLhOiHKc/edit?usp=sharing"",""อุดรธานี!J271"")"),20)</f>
        <v>20</v>
      </c>
      <c r="T50" s="87">
        <f t="shared" ca="1" si="16"/>
        <v>100</v>
      </c>
    </row>
    <row r="51" spans="1:20" ht="21" customHeight="1" x14ac:dyDescent="0.2">
      <c r="A51" s="89">
        <v>20</v>
      </c>
      <c r="B51" s="90" t="s">
        <v>73</v>
      </c>
      <c r="C51" s="91">
        <f t="shared" ca="1" si="0"/>
        <v>28800</v>
      </c>
      <c r="D51" s="92">
        <f t="shared" ca="1" si="23"/>
        <v>28800</v>
      </c>
      <c r="E51" s="93">
        <f ca="1">IFERROR(__xludf.DUMMYFUNCTION("IMPORTRANGE(""https://docs.google.com/spreadsheets/d/1MeEWN-I1oV_STSDYn1IFDPWt_1FKiwhDph83XaGc0o0/edit?usp=sharing"",""งบพรบ!CZ51"")"),0)</f>
        <v>0</v>
      </c>
      <c r="F51" s="93">
        <f ca="1">IFERROR(__xludf.DUMMYFUNCTION("IMPORTRANGE(""https://docs.google.com/spreadsheets/d/1MeEWN-I1oV_STSDYn1IFDPWt_1FKiwhDph83XaGc0o0/edit?usp=sharing"",""งบพรบ!DA51"")"),28800)</f>
        <v>28800</v>
      </c>
      <c r="G51" s="93">
        <f ca="1">IFERROR(__xludf.DUMMYFUNCTION("IMPORTRANGE(""https://docs.google.com/spreadsheets/d/1MeEWN-I1oV_STSDYn1IFDPWt_1FKiwhDph83XaGc0o0/edit?usp=sharing"",""งบพรบ!DB51"")"),0)</f>
        <v>0</v>
      </c>
      <c r="H51" s="93">
        <f ca="1">IFERROR(__xludf.DUMMYFUNCTION("IMPORTRANGE(""https://docs.google.com/spreadsheets/d/1MeEWN-I1oV_STSDYn1IFDPWt_1FKiwhDph83XaGc0o0/edit?usp=sharing"",""งบพรบ!DD51"")"),25800)</f>
        <v>25800</v>
      </c>
      <c r="I51" s="93">
        <f ca="1">IFERROR(__xludf.DUMMYFUNCTION("IMPORTRANGE(""https://docs.google.com/spreadsheets/d/1MeEWN-I1oV_STSDYn1IFDPWt_1FKiwhDph83XaGc0o0/edit?usp=sharing"",""งบพรบ!DE51"")"),0)</f>
        <v>0</v>
      </c>
      <c r="J51" s="93">
        <f t="shared" ca="1" si="3"/>
        <v>20640</v>
      </c>
      <c r="K51" s="94">
        <f t="shared" ca="1" si="4"/>
        <v>71.666666666666671</v>
      </c>
      <c r="L51" s="93">
        <f ca="1">IFERROR(__xludf.DUMMYFUNCTION("IMPORTRANGE(""https://docs.google.com/spreadsheets/d/1MeEWN-I1oV_STSDYn1IFDPWt_1FKiwhDph83XaGc0o0/edit?usp=sharing"",""งบพรบ!DF51"")"),20640)</f>
        <v>20640</v>
      </c>
      <c r="M51" s="95">
        <f t="shared" ca="1" si="5"/>
        <v>71.666666666666671</v>
      </c>
      <c r="N51" s="95">
        <f t="shared" ca="1" si="6"/>
        <v>80</v>
      </c>
      <c r="O51" s="96">
        <f ca="1">IFERROR(__xludf.DUMMYFUNCTION("IMPORTRANGE(""https://docs.google.com/spreadsheets/d/1MeEWN-I1oV_STSDYn1IFDPWt_1FKiwhDph83XaGc0o0/edit?usp=sharing"",""งบพรบ!DG51"")"),0)</f>
        <v>0</v>
      </c>
      <c r="P51" s="96">
        <f t="shared" ca="1" si="18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IFERROR(__xludf.DUMMYFUNCTION("IMPORTRANGE(""https://docs.google.com/spreadsheets/d/17IOkEwkUd63EGNfyNDnM5de9YlZ7rwzTiW6-dokVjKI/edit?usp=sharing"",""อุบลราชธานี!I271"")"),24)</f>
        <v>24</v>
      </c>
      <c r="S51" s="97">
        <f ca="1">IFERROR(__xludf.DUMMYFUNCTION("IMPORTRANGE(""https://docs.google.com/spreadsheets/d/17IOkEwkUd63EGNfyNDnM5de9YlZ7rwzTiW6-dokVjKI/edit?usp=sharing"",""อุบลราชธานี!J271"")"),0)</f>
        <v>0</v>
      </c>
      <c r="T51" s="98">
        <f t="shared" ca="1" si="16"/>
        <v>0</v>
      </c>
    </row>
    <row r="52" spans="1:20" ht="21" customHeight="1" x14ac:dyDescent="0.2">
      <c r="A52" s="380" t="s">
        <v>74</v>
      </c>
      <c r="B52" s="379"/>
      <c r="C52" s="99">
        <f t="shared" ca="1" si="0"/>
        <v>830000</v>
      </c>
      <c r="D52" s="62">
        <f t="shared" ref="D52:I52" ca="1" si="24">SUM(D53:D73)</f>
        <v>830000</v>
      </c>
      <c r="E52" s="62">
        <f t="shared" ca="1" si="24"/>
        <v>286000</v>
      </c>
      <c r="F52" s="62">
        <f t="shared" ca="1" si="24"/>
        <v>544000</v>
      </c>
      <c r="G52" s="62">
        <f t="shared" ca="1" si="24"/>
        <v>0</v>
      </c>
      <c r="H52" s="62">
        <f t="shared" ca="1" si="24"/>
        <v>208000</v>
      </c>
      <c r="I52" s="62">
        <f t="shared" ca="1" si="24"/>
        <v>0</v>
      </c>
      <c r="J52" s="62">
        <f t="shared" ca="1" si="3"/>
        <v>86529.33</v>
      </c>
      <c r="K52" s="100">
        <f t="shared" ca="1" si="4"/>
        <v>10.425220481927711</v>
      </c>
      <c r="L52" s="62">
        <f ca="1">SUM(L53:L73)</f>
        <v>86529.33</v>
      </c>
      <c r="M52" s="101">
        <f t="shared" ca="1" si="5"/>
        <v>10.425220481927711</v>
      </c>
      <c r="N52" s="101">
        <f t="shared" ca="1" si="6"/>
        <v>41.60063942307692</v>
      </c>
      <c r="O52" s="102">
        <f ca="1">SUM(O53:O73)</f>
        <v>0</v>
      </c>
      <c r="P52" s="102">
        <f t="shared" ca="1" si="18"/>
        <v>0</v>
      </c>
      <c r="Q52" s="101">
        <f t="shared" ca="1" si="8"/>
        <v>0</v>
      </c>
      <c r="R52" s="62">
        <f t="shared" ref="R52:S52" ca="1" si="25">SUM(R53:R73)</f>
        <v>440</v>
      </c>
      <c r="S52" s="62">
        <f t="shared" ca="1" si="25"/>
        <v>0</v>
      </c>
      <c r="T52" s="101">
        <f t="shared" ca="1" si="16"/>
        <v>0</v>
      </c>
    </row>
    <row r="53" spans="1:20" ht="21" customHeight="1" x14ac:dyDescent="0.2">
      <c r="A53" s="68">
        <v>1</v>
      </c>
      <c r="B53" s="69" t="s">
        <v>75</v>
      </c>
      <c r="C53" s="103">
        <f t="shared" ca="1" si="0"/>
        <v>32600</v>
      </c>
      <c r="D53" s="71">
        <f t="shared" ref="D53:D73" ca="1" si="26">+E53+F53</f>
        <v>32600</v>
      </c>
      <c r="E53" s="72">
        <f ca="1">IFERROR(__xludf.DUMMYFUNCTION("IMPORTRANGE(""https://docs.google.com/spreadsheets/d/1MeEWN-I1oV_STSDYn1IFDPWt_1FKiwhDph83XaGc0o0/edit?usp=sharing"",""งบพรบ!CZ53"")"),0)</f>
        <v>0</v>
      </c>
      <c r="F53" s="72">
        <f ca="1">IFERROR(__xludf.DUMMYFUNCTION("IMPORTRANGE(""https://docs.google.com/spreadsheets/d/1MeEWN-I1oV_STSDYn1IFDPWt_1FKiwhDph83XaGc0o0/edit?usp=sharing"",""งบพรบ!DA53"")"),32600)</f>
        <v>32600</v>
      </c>
      <c r="G53" s="73">
        <f ca="1">IFERROR(__xludf.DUMMYFUNCTION("IMPORTRANGE(""https://docs.google.com/spreadsheets/d/1MeEWN-I1oV_STSDYn1IFDPWt_1FKiwhDph83XaGc0o0/edit?usp=sharing"",""งบพรบ!DB53"")"),0)</f>
        <v>0</v>
      </c>
      <c r="H53" s="73">
        <f ca="1">IFERROR(__xludf.DUMMYFUNCTION("IMPORTRANGE(""https://docs.google.com/spreadsheets/d/1MeEWN-I1oV_STSDYn1IFDPWt_1FKiwhDph83XaGc0o0/edit?usp=sharing"",""งบพรบ!DD53"")"),0)</f>
        <v>0</v>
      </c>
      <c r="I53" s="73">
        <f ca="1">IFERROR(__xludf.DUMMYFUNCTION("IMPORTRANGE(""https://docs.google.com/spreadsheets/d/1MeEWN-I1oV_STSDYn1IFDPWt_1FKiwhDph83XaGc0o0/edit?usp=sharing"",""งบพรบ!DE53"")"),0)</f>
        <v>0</v>
      </c>
      <c r="J53" s="73">
        <f t="shared" ca="1" si="3"/>
        <v>0</v>
      </c>
      <c r="K53" s="74">
        <f t="shared" ca="1" si="4"/>
        <v>0</v>
      </c>
      <c r="L53" s="73">
        <f ca="1">IFERROR(__xludf.DUMMYFUNCTION("IMPORTRANGE(""https://docs.google.com/spreadsheets/d/1MeEWN-I1oV_STSDYn1IFDPWt_1FKiwhDph83XaGc0o0/edit?usp=sharing"",""งบพรบ!DF53"")"),0)</f>
        <v>0</v>
      </c>
      <c r="M53" s="75">
        <f t="shared" ca="1" si="5"/>
        <v>0</v>
      </c>
      <c r="N53" s="75">
        <f t="shared" ca="1" si="6"/>
        <v>0</v>
      </c>
      <c r="O53" s="76">
        <f ca="1">IFERROR(__xludf.DUMMYFUNCTION("IMPORTRANGE(""https://docs.google.com/spreadsheets/d/1MeEWN-I1oV_STSDYn1IFDPWt_1FKiwhDph83XaGc0o0/edit?usp=sharing"",""งบพรบ!DG53"")"),0)</f>
        <v>0</v>
      </c>
      <c r="P53" s="76">
        <f t="shared" ca="1" si="18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IFERROR(__xludf.DUMMYFUNCTION("IMPORTRANGE(""https://docs.google.com/spreadsheets/d/1hKO5uv94SSRZWOvrh72HRcpyoEQF9TsE_Cvxl77XNU4/edit?usp=sharing"",""กาญจนบุรี!I271"")"),28)</f>
        <v>28</v>
      </c>
      <c r="S53" s="73">
        <f ca="1">IFERROR(__xludf.DUMMYFUNCTION("IMPORTRANGE(""https://docs.google.com/spreadsheets/d/1hKO5uv94SSRZWOvrh72HRcpyoEQF9TsE_Cvxl77XNU4/edit?usp=sharing"",""กาญจนบุรี!J271"")"),0)</f>
        <v>0</v>
      </c>
      <c r="T53" s="77">
        <f t="shared" ca="1" si="16"/>
        <v>0</v>
      </c>
    </row>
    <row r="54" spans="1:20" ht="21" customHeight="1" x14ac:dyDescent="0.2">
      <c r="A54" s="78">
        <v>2</v>
      </c>
      <c r="B54" s="79" t="s">
        <v>76</v>
      </c>
      <c r="C54" s="80">
        <f t="shared" ca="1" si="0"/>
        <v>26900</v>
      </c>
      <c r="D54" s="81">
        <f t="shared" ca="1" si="26"/>
        <v>26900</v>
      </c>
      <c r="E54" s="82">
        <f ca="1">IFERROR(__xludf.DUMMYFUNCTION("IMPORTRANGE(""https://docs.google.com/spreadsheets/d/1MeEWN-I1oV_STSDYn1IFDPWt_1FKiwhDph83XaGc0o0/edit?usp=sharing"",""งบพรบ!CZ54"")"),0)</f>
        <v>0</v>
      </c>
      <c r="F54" s="82">
        <f ca="1">IFERROR(__xludf.DUMMYFUNCTION("IMPORTRANGE(""https://docs.google.com/spreadsheets/d/1MeEWN-I1oV_STSDYn1IFDPWt_1FKiwhDph83XaGc0o0/edit?usp=sharing"",""งบพรบ!DA54"")"),26900)</f>
        <v>26900</v>
      </c>
      <c r="G54" s="82">
        <f ca="1">IFERROR(__xludf.DUMMYFUNCTION("IMPORTRANGE(""https://docs.google.com/spreadsheets/d/1MeEWN-I1oV_STSDYn1IFDPWt_1FKiwhDph83XaGc0o0/edit?usp=sharing"",""งบพรบ!DB54"")"),0)</f>
        <v>0</v>
      </c>
      <c r="H54" s="82">
        <f ca="1">IFERROR(__xludf.DUMMYFUNCTION("IMPORTRANGE(""https://docs.google.com/spreadsheets/d/1MeEWN-I1oV_STSDYn1IFDPWt_1FKiwhDph83XaGc0o0/edit?usp=sharing"",""งบพรบ!DD54"")"),0)</f>
        <v>0</v>
      </c>
      <c r="I54" s="82">
        <f ca="1">IFERROR(__xludf.DUMMYFUNCTION("IMPORTRANGE(""https://docs.google.com/spreadsheets/d/1MeEWN-I1oV_STSDYn1IFDPWt_1FKiwhDph83XaGc0o0/edit?usp=sharing"",""งบพรบ!DE54"")"),0)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IFERROR(__xludf.DUMMYFUNCTION("IMPORTRANGE(""https://docs.google.com/spreadsheets/d/1MeEWN-I1oV_STSDYn1IFDPWt_1FKiwhDph83XaGc0o0/edit?usp=sharing"",""งบพรบ!DF54"")"),0)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IFERROR(__xludf.DUMMYFUNCTION("IMPORTRANGE(""https://docs.google.com/spreadsheets/d/1MeEWN-I1oV_STSDYn1IFDPWt_1FKiwhDph83XaGc0o0/edit?usp=sharing"",""งบพรบ!DG54"")"),0)</f>
        <v>0</v>
      </c>
      <c r="P54" s="85">
        <f t="shared" ca="1" si="18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IFERROR(__xludf.DUMMYFUNCTION("IMPORTRANGE(""https://docs.google.com/spreadsheets/d/1njBaP_xXd-Uotvo2D9zb01TTCFkLJLDK97Tk1l9Qux0/edit?usp=sharing"",""จันทบุรี!I271"")"),22)</f>
        <v>22</v>
      </c>
      <c r="S54" s="86">
        <f ca="1">IFERROR(__xludf.DUMMYFUNCTION("IMPORTRANGE(""https://docs.google.com/spreadsheets/d/1njBaP_xXd-Uotvo2D9zb01TTCFkLJLDK97Tk1l9Qux0/edit?usp=sharing"",""จันทบุรี!J271"")"),0)</f>
        <v>0</v>
      </c>
      <c r="T54" s="87">
        <f t="shared" ca="1" si="16"/>
        <v>0</v>
      </c>
    </row>
    <row r="55" spans="1:20" ht="21" customHeight="1" x14ac:dyDescent="0.2">
      <c r="A55" s="78">
        <v>3</v>
      </c>
      <c r="B55" s="79" t="s">
        <v>77</v>
      </c>
      <c r="C55" s="80">
        <f t="shared" ca="1" si="0"/>
        <v>26900</v>
      </c>
      <c r="D55" s="81">
        <f t="shared" ca="1" si="26"/>
        <v>26900</v>
      </c>
      <c r="E55" s="82">
        <f ca="1">IFERROR(__xludf.DUMMYFUNCTION("IMPORTRANGE(""https://docs.google.com/spreadsheets/d/1MeEWN-I1oV_STSDYn1IFDPWt_1FKiwhDph83XaGc0o0/edit?usp=sharing"",""งบพรบ!CZ55"")"),0)</f>
        <v>0</v>
      </c>
      <c r="F55" s="82">
        <f ca="1">IFERROR(__xludf.DUMMYFUNCTION("IMPORTRANGE(""https://docs.google.com/spreadsheets/d/1MeEWN-I1oV_STSDYn1IFDPWt_1FKiwhDph83XaGc0o0/edit?usp=sharing"",""งบพรบ!DA55"")"),26900)</f>
        <v>26900</v>
      </c>
      <c r="G55" s="82">
        <f ca="1">IFERROR(__xludf.DUMMYFUNCTION("IMPORTRANGE(""https://docs.google.com/spreadsheets/d/1MeEWN-I1oV_STSDYn1IFDPWt_1FKiwhDph83XaGc0o0/edit?usp=sharing"",""งบพรบ!DB55"")"),0)</f>
        <v>0</v>
      </c>
      <c r="H55" s="82">
        <f ca="1">IFERROR(__xludf.DUMMYFUNCTION("IMPORTRANGE(""https://docs.google.com/spreadsheets/d/1MeEWN-I1oV_STSDYn1IFDPWt_1FKiwhDph83XaGc0o0/edit?usp=sharing"",""งบพรบ!DD55"")"),0)</f>
        <v>0</v>
      </c>
      <c r="I55" s="82">
        <f ca="1">IFERROR(__xludf.DUMMYFUNCTION("IMPORTRANGE(""https://docs.google.com/spreadsheets/d/1MeEWN-I1oV_STSDYn1IFDPWt_1FKiwhDph83XaGc0o0/edit?usp=sharing"",""งบพรบ!DE55"")"),0)</f>
        <v>0</v>
      </c>
      <c r="J55" s="82">
        <f t="shared" ca="1" si="3"/>
        <v>0</v>
      </c>
      <c r="K55" s="83">
        <f t="shared" ca="1" si="4"/>
        <v>0</v>
      </c>
      <c r="L55" s="82">
        <f ca="1">IFERROR(__xludf.DUMMYFUNCTION("IMPORTRANGE(""https://docs.google.com/spreadsheets/d/1MeEWN-I1oV_STSDYn1IFDPWt_1FKiwhDph83XaGc0o0/edit?usp=sharing"",""งบพรบ!DF55"")"),0)</f>
        <v>0</v>
      </c>
      <c r="M55" s="84">
        <f t="shared" ca="1" si="5"/>
        <v>0</v>
      </c>
      <c r="N55" s="84">
        <f t="shared" ca="1" si="6"/>
        <v>0</v>
      </c>
      <c r="O55" s="85">
        <f ca="1">IFERROR(__xludf.DUMMYFUNCTION("IMPORTRANGE(""https://docs.google.com/spreadsheets/d/1MeEWN-I1oV_STSDYn1IFDPWt_1FKiwhDph83XaGc0o0/edit?usp=sharing"",""งบพรบ!DG55"")"),0)</f>
        <v>0</v>
      </c>
      <c r="P55" s="85">
        <f t="shared" ca="1" si="18"/>
        <v>0</v>
      </c>
      <c r="Q55" s="84">
        <f t="shared" ca="1" si="8"/>
        <v>0</v>
      </c>
      <c r="R55" s="86">
        <f ca="1">IFERROR(__xludf.DUMMYFUNCTION("IMPORTRANGE(""https://docs.google.com/spreadsheets/d/14xp6qUzrGFnUk_qnc1eEmfiaNRd4_grkhpfQH_46fa8/edit?usp=sharing"",""ฉะเชิงเทรา!I271"")"),22)</f>
        <v>22</v>
      </c>
      <c r="S55" s="86">
        <f ca="1">IFERROR(__xludf.DUMMYFUNCTION("IMPORTRANGE(""https://docs.google.com/spreadsheets/d/14xp6qUzrGFnUk_qnc1eEmfiaNRd4_grkhpfQH_46fa8/edit?usp=sharing"",""ฉะเชิงเทรา!J271"")"),0)</f>
        <v>0</v>
      </c>
      <c r="T55" s="87">
        <f t="shared" ca="1" si="16"/>
        <v>0</v>
      </c>
    </row>
    <row r="56" spans="1:20" ht="21" customHeight="1" x14ac:dyDescent="0.2">
      <c r="A56" s="78">
        <v>4</v>
      </c>
      <c r="B56" s="79" t="s">
        <v>78</v>
      </c>
      <c r="C56" s="80">
        <f t="shared" ca="1" si="0"/>
        <v>25000</v>
      </c>
      <c r="D56" s="81">
        <f t="shared" ca="1" si="26"/>
        <v>25000</v>
      </c>
      <c r="E56" s="82">
        <f ca="1">IFERROR(__xludf.DUMMYFUNCTION("IMPORTRANGE(""https://docs.google.com/spreadsheets/d/1MeEWN-I1oV_STSDYn1IFDPWt_1FKiwhDph83XaGc0o0/edit?usp=sharing"",""งบพรบ!CZ56"")"),0)</f>
        <v>0</v>
      </c>
      <c r="F56" s="82">
        <f ca="1">IFERROR(__xludf.DUMMYFUNCTION("IMPORTRANGE(""https://docs.google.com/spreadsheets/d/1MeEWN-I1oV_STSDYn1IFDPWt_1FKiwhDph83XaGc0o0/edit?usp=sharing"",""งบพรบ!DA56"")"),25000)</f>
        <v>25000</v>
      </c>
      <c r="G56" s="82">
        <f ca="1">IFERROR(__xludf.DUMMYFUNCTION("IMPORTRANGE(""https://docs.google.com/spreadsheets/d/1MeEWN-I1oV_STSDYn1IFDPWt_1FKiwhDph83XaGc0o0/edit?usp=sharing"",""งบพรบ!DB56"")"),0)</f>
        <v>0</v>
      </c>
      <c r="H56" s="82">
        <f ca="1">IFERROR(__xludf.DUMMYFUNCTION("IMPORTRANGE(""https://docs.google.com/spreadsheets/d/1MeEWN-I1oV_STSDYn1IFDPWt_1FKiwhDph83XaGc0o0/edit?usp=sharing"",""งบพรบ!DD56"")"),0)</f>
        <v>0</v>
      </c>
      <c r="I56" s="82">
        <f ca="1">IFERROR(__xludf.DUMMYFUNCTION("IMPORTRANGE(""https://docs.google.com/spreadsheets/d/1MeEWN-I1oV_STSDYn1IFDPWt_1FKiwhDph83XaGc0o0/edit?usp=sharing"",""งบพรบ!DE56"")"),0)</f>
        <v>0</v>
      </c>
      <c r="J56" s="82">
        <f t="shared" ca="1" si="3"/>
        <v>0</v>
      </c>
      <c r="K56" s="83">
        <f t="shared" ca="1" si="4"/>
        <v>0</v>
      </c>
      <c r="L56" s="82">
        <f ca="1">IFERROR(__xludf.DUMMYFUNCTION("IMPORTRANGE(""https://docs.google.com/spreadsheets/d/1MeEWN-I1oV_STSDYn1IFDPWt_1FKiwhDph83XaGc0o0/edit?usp=sharing"",""งบพรบ!DF56"")"),0)</f>
        <v>0</v>
      </c>
      <c r="M56" s="84">
        <f t="shared" ca="1" si="5"/>
        <v>0</v>
      </c>
      <c r="N56" s="84">
        <f t="shared" ca="1" si="6"/>
        <v>0</v>
      </c>
      <c r="O56" s="85">
        <f ca="1">IFERROR(__xludf.DUMMYFUNCTION("IMPORTRANGE(""https://docs.google.com/spreadsheets/d/1MeEWN-I1oV_STSDYn1IFDPWt_1FKiwhDph83XaGc0o0/edit?usp=sharing"",""งบพรบ!DG56"")"),0)</f>
        <v>0</v>
      </c>
      <c r="P56" s="85">
        <f t="shared" ca="1" si="18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IFERROR(__xludf.DUMMYFUNCTION("IMPORTRANGE(""https://docs.google.com/spreadsheets/d/1_Zwps30dlVa-pZFsorjVf1Pil6WXwzCsJU0U2whO3NI/edit?usp=sharing"",""ชลบุรี!I271"")"),20)</f>
        <v>20</v>
      </c>
      <c r="S56" s="86">
        <f ca="1">IFERROR(__xludf.DUMMYFUNCTION("IMPORTRANGE(""https://docs.google.com/spreadsheets/d/1_Zwps30dlVa-pZFsorjVf1Pil6WXwzCsJU0U2whO3NI/edit?usp=sharing"",""ชลบุรี!J271"")"),0)</f>
        <v>0</v>
      </c>
      <c r="T56" s="87">
        <f t="shared" ca="1" si="16"/>
        <v>0</v>
      </c>
    </row>
    <row r="57" spans="1:20" ht="21" customHeight="1" x14ac:dyDescent="0.2">
      <c r="A57" s="78">
        <v>5</v>
      </c>
      <c r="B57" s="79" t="s">
        <v>79</v>
      </c>
      <c r="C57" s="80">
        <f t="shared" ca="1" si="0"/>
        <v>26900</v>
      </c>
      <c r="D57" s="81">
        <f t="shared" ca="1" si="26"/>
        <v>26900</v>
      </c>
      <c r="E57" s="82">
        <f ca="1">IFERROR(__xludf.DUMMYFUNCTION("IMPORTRANGE(""https://docs.google.com/spreadsheets/d/1MeEWN-I1oV_STSDYn1IFDPWt_1FKiwhDph83XaGc0o0/edit?usp=sharing"",""งบพรบ!CZ57"")"),0)</f>
        <v>0</v>
      </c>
      <c r="F57" s="82">
        <f ca="1">IFERROR(__xludf.DUMMYFUNCTION("IMPORTRANGE(""https://docs.google.com/spreadsheets/d/1MeEWN-I1oV_STSDYn1IFDPWt_1FKiwhDph83XaGc0o0/edit?usp=sharing"",""งบพรบ!DA57"")"),26900)</f>
        <v>26900</v>
      </c>
      <c r="G57" s="82">
        <f ca="1">IFERROR(__xludf.DUMMYFUNCTION("IMPORTRANGE(""https://docs.google.com/spreadsheets/d/1MeEWN-I1oV_STSDYn1IFDPWt_1FKiwhDph83XaGc0o0/edit?usp=sharing"",""งบพรบ!DB57"")"),0)</f>
        <v>0</v>
      </c>
      <c r="H57" s="82">
        <f ca="1">IFERROR(__xludf.DUMMYFUNCTION("IMPORTRANGE(""https://docs.google.com/spreadsheets/d/1MeEWN-I1oV_STSDYn1IFDPWt_1FKiwhDph83XaGc0o0/edit?usp=sharing"",""งบพรบ!DD57"")"),0)</f>
        <v>0</v>
      </c>
      <c r="I57" s="82">
        <f ca="1">IFERROR(__xludf.DUMMYFUNCTION("IMPORTRANGE(""https://docs.google.com/spreadsheets/d/1MeEWN-I1oV_STSDYn1IFDPWt_1FKiwhDph83XaGc0o0/edit?usp=sharing"",""งบพรบ!DE57"")"),0)</f>
        <v>0</v>
      </c>
      <c r="J57" s="82">
        <f t="shared" ca="1" si="3"/>
        <v>0</v>
      </c>
      <c r="K57" s="83">
        <f t="shared" ca="1" si="4"/>
        <v>0</v>
      </c>
      <c r="L57" s="82">
        <f ca="1">IFERROR(__xludf.DUMMYFUNCTION("IMPORTRANGE(""https://docs.google.com/spreadsheets/d/1MeEWN-I1oV_STSDYn1IFDPWt_1FKiwhDph83XaGc0o0/edit?usp=sharing"",""งบพรบ!DF57"")"),0)</f>
        <v>0</v>
      </c>
      <c r="M57" s="84">
        <f t="shared" ca="1" si="5"/>
        <v>0</v>
      </c>
      <c r="N57" s="84">
        <f t="shared" ca="1" si="6"/>
        <v>0</v>
      </c>
      <c r="O57" s="85">
        <f ca="1">IFERROR(__xludf.DUMMYFUNCTION("IMPORTRANGE(""https://docs.google.com/spreadsheets/d/1MeEWN-I1oV_STSDYn1IFDPWt_1FKiwhDph83XaGc0o0/edit?usp=sharing"",""งบพรบ!DG57"")"),0)</f>
        <v>0</v>
      </c>
      <c r="P57" s="85">
        <f t="shared" ca="1" si="18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IFERROR(__xludf.DUMMYFUNCTION("IMPORTRANGE(""https://docs.google.com/spreadsheets/d/1xAsT4sUbBlom7l0acStESh_15nvjZcXjZM7fK5uZSq8/edit?usp=sharing"",""ชัยนาท!I271"")"),22)</f>
        <v>22</v>
      </c>
      <c r="S57" s="86">
        <f ca="1">IFERROR(__xludf.DUMMYFUNCTION("IMPORTRANGE(""https://docs.google.com/spreadsheets/d/1xAsT4sUbBlom7l0acStESh_15nvjZcXjZM7fK5uZSq8/edit?usp=sharing"",""ชัยนาท!J271"")"),0)</f>
        <v>0</v>
      </c>
      <c r="T57" s="87">
        <f t="shared" ca="1" si="16"/>
        <v>0</v>
      </c>
    </row>
    <row r="58" spans="1:20" ht="21" customHeight="1" x14ac:dyDescent="0.2">
      <c r="A58" s="78">
        <v>6</v>
      </c>
      <c r="B58" s="79" t="s">
        <v>80</v>
      </c>
      <c r="C58" s="80">
        <f t="shared" ca="1" si="0"/>
        <v>26900</v>
      </c>
      <c r="D58" s="81">
        <f t="shared" ca="1" si="26"/>
        <v>26900</v>
      </c>
      <c r="E58" s="82">
        <f ca="1">IFERROR(__xludf.DUMMYFUNCTION("IMPORTRANGE(""https://docs.google.com/spreadsheets/d/1MeEWN-I1oV_STSDYn1IFDPWt_1FKiwhDph83XaGc0o0/edit?usp=sharing"",""งบพรบ!CZ58"")"),0)</f>
        <v>0</v>
      </c>
      <c r="F58" s="82">
        <f ca="1">IFERROR(__xludf.DUMMYFUNCTION("IMPORTRANGE(""https://docs.google.com/spreadsheets/d/1MeEWN-I1oV_STSDYn1IFDPWt_1FKiwhDph83XaGc0o0/edit?usp=sharing"",""งบพรบ!DA58"")"),26900)</f>
        <v>26900</v>
      </c>
      <c r="G58" s="82">
        <f ca="1">IFERROR(__xludf.DUMMYFUNCTION("IMPORTRANGE(""https://docs.google.com/spreadsheets/d/1MeEWN-I1oV_STSDYn1IFDPWt_1FKiwhDph83XaGc0o0/edit?usp=sharing"",""งบพรบ!DB58"")"),0)</f>
        <v>0</v>
      </c>
      <c r="H58" s="82">
        <f ca="1">IFERROR(__xludf.DUMMYFUNCTION("IMPORTRANGE(""https://docs.google.com/spreadsheets/d/1MeEWN-I1oV_STSDYn1IFDPWt_1FKiwhDph83XaGc0o0/edit?usp=sharing"",""งบพรบ!DD58"")"),0)</f>
        <v>0</v>
      </c>
      <c r="I58" s="82">
        <f ca="1">IFERROR(__xludf.DUMMYFUNCTION("IMPORTRANGE(""https://docs.google.com/spreadsheets/d/1MeEWN-I1oV_STSDYn1IFDPWt_1FKiwhDph83XaGc0o0/edit?usp=sharing"",""งบพรบ!DE58"")"),0)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IFERROR(__xludf.DUMMYFUNCTION("IMPORTRANGE(""https://docs.google.com/spreadsheets/d/1MeEWN-I1oV_STSDYn1IFDPWt_1FKiwhDph83XaGc0o0/edit?usp=sharing"",""งบพรบ!DF58"")"),0)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IFERROR(__xludf.DUMMYFUNCTION("IMPORTRANGE(""https://docs.google.com/spreadsheets/d/1MeEWN-I1oV_STSDYn1IFDPWt_1FKiwhDph83XaGc0o0/edit?usp=sharing"",""งบพรบ!DG58"")"),0)</f>
        <v>0</v>
      </c>
      <c r="P58" s="85">
        <f t="shared" ca="1" si="18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IFERROR(__xludf.DUMMYFUNCTION("IMPORTRANGE(""https://docs.google.com/spreadsheets/d/1vWPVBOAaZ6mHSI8yf95DNqHwTJ1cpeFsvqt6cxV34QA/edit?usp=sharing"",""ตราด!I271"")"),22)</f>
        <v>22</v>
      </c>
      <c r="S58" s="86">
        <f ca="1">IFERROR(__xludf.DUMMYFUNCTION("IMPORTRANGE(""https://docs.google.com/spreadsheets/d/1vWPVBOAaZ6mHSI8yf95DNqHwTJ1cpeFsvqt6cxV34QA/edit?usp=sharing"",""ตราด!J271"")"),0)</f>
        <v>0</v>
      </c>
      <c r="T58" s="87">
        <f t="shared" ca="1" si="16"/>
        <v>0</v>
      </c>
    </row>
    <row r="59" spans="1:20" ht="21" customHeight="1" x14ac:dyDescent="0.2">
      <c r="A59" s="78">
        <v>7</v>
      </c>
      <c r="B59" s="79" t="s">
        <v>81</v>
      </c>
      <c r="C59" s="80">
        <f t="shared" ca="1" si="0"/>
        <v>26900</v>
      </c>
      <c r="D59" s="81">
        <f t="shared" ca="1" si="26"/>
        <v>26900</v>
      </c>
      <c r="E59" s="82">
        <f ca="1">IFERROR(__xludf.DUMMYFUNCTION("IMPORTRANGE(""https://docs.google.com/spreadsheets/d/1MeEWN-I1oV_STSDYn1IFDPWt_1FKiwhDph83XaGc0o0/edit?usp=sharing"",""งบพรบ!CZ59"")"),0)</f>
        <v>0</v>
      </c>
      <c r="F59" s="82">
        <f ca="1">IFERROR(__xludf.DUMMYFUNCTION("IMPORTRANGE(""https://docs.google.com/spreadsheets/d/1MeEWN-I1oV_STSDYn1IFDPWt_1FKiwhDph83XaGc0o0/edit?usp=sharing"",""งบพรบ!DA59"")"),26900)</f>
        <v>26900</v>
      </c>
      <c r="G59" s="82">
        <f ca="1">IFERROR(__xludf.DUMMYFUNCTION("IMPORTRANGE(""https://docs.google.com/spreadsheets/d/1MeEWN-I1oV_STSDYn1IFDPWt_1FKiwhDph83XaGc0o0/edit?usp=sharing"",""งบพรบ!DB59"")"),0)</f>
        <v>0</v>
      </c>
      <c r="H59" s="82">
        <f ca="1">IFERROR(__xludf.DUMMYFUNCTION("IMPORTRANGE(""https://docs.google.com/spreadsheets/d/1MeEWN-I1oV_STSDYn1IFDPWt_1FKiwhDph83XaGc0o0/edit?usp=sharing"",""งบพรบ!DD59"")"),0)</f>
        <v>0</v>
      </c>
      <c r="I59" s="82">
        <f ca="1">IFERROR(__xludf.DUMMYFUNCTION("IMPORTRANGE(""https://docs.google.com/spreadsheets/d/1MeEWN-I1oV_STSDYn1IFDPWt_1FKiwhDph83XaGc0o0/edit?usp=sharing"",""งบพรบ!DE59"")"),0)</f>
        <v>0</v>
      </c>
      <c r="J59" s="82">
        <f t="shared" ca="1" si="3"/>
        <v>0</v>
      </c>
      <c r="K59" s="83">
        <f t="shared" ca="1" si="4"/>
        <v>0</v>
      </c>
      <c r="L59" s="82">
        <f ca="1">IFERROR(__xludf.DUMMYFUNCTION("IMPORTRANGE(""https://docs.google.com/spreadsheets/d/1MeEWN-I1oV_STSDYn1IFDPWt_1FKiwhDph83XaGc0o0/edit?usp=sharing"",""งบพรบ!DF59"")"),0)</f>
        <v>0</v>
      </c>
      <c r="M59" s="84">
        <f t="shared" ca="1" si="5"/>
        <v>0</v>
      </c>
      <c r="N59" s="84">
        <f t="shared" ca="1" si="6"/>
        <v>0</v>
      </c>
      <c r="O59" s="85">
        <f ca="1">IFERROR(__xludf.DUMMYFUNCTION("IMPORTRANGE(""https://docs.google.com/spreadsheets/d/1MeEWN-I1oV_STSDYn1IFDPWt_1FKiwhDph83XaGc0o0/edit?usp=sharing"",""งบพรบ!DG59"")"),0)</f>
        <v>0</v>
      </c>
      <c r="P59" s="85">
        <f t="shared" ca="1" si="18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IFERROR(__xludf.DUMMYFUNCTION("IMPORTRANGE(""https://docs.google.com/spreadsheets/d/1phaeSb9lTGgzDpbvVqI9hfmOQQzUom07-HEvpbARzEg/edit?usp=sharing"",""นครนายก!I271"")"),22)</f>
        <v>22</v>
      </c>
      <c r="S59" s="86">
        <f ca="1">IFERROR(__xludf.DUMMYFUNCTION("IMPORTRANGE(""https://docs.google.com/spreadsheets/d/1phaeSb9lTGgzDpbvVqI9hfmOQQzUom07-HEvpbARzEg/edit?usp=sharing"",""นครนายก!J271"")"),0)</f>
        <v>0</v>
      </c>
      <c r="T59" s="87">
        <f t="shared" ca="1" si="16"/>
        <v>0</v>
      </c>
    </row>
    <row r="60" spans="1:20" ht="21" customHeight="1" x14ac:dyDescent="0.2">
      <c r="A60" s="78">
        <v>8</v>
      </c>
      <c r="B60" s="79" t="s">
        <v>82</v>
      </c>
      <c r="C60" s="80">
        <f t="shared" ca="1" si="0"/>
        <v>25000</v>
      </c>
      <c r="D60" s="81">
        <f t="shared" ca="1" si="26"/>
        <v>25000</v>
      </c>
      <c r="E60" s="82">
        <f ca="1">IFERROR(__xludf.DUMMYFUNCTION("IMPORTRANGE(""https://docs.google.com/spreadsheets/d/1MeEWN-I1oV_STSDYn1IFDPWt_1FKiwhDph83XaGc0o0/edit?usp=sharing"",""งบพรบ!CZ60"")"),0)</f>
        <v>0</v>
      </c>
      <c r="F60" s="82">
        <f ca="1">IFERROR(__xludf.DUMMYFUNCTION("IMPORTRANGE(""https://docs.google.com/spreadsheets/d/1MeEWN-I1oV_STSDYn1IFDPWt_1FKiwhDph83XaGc0o0/edit?usp=sharing"",""งบพรบ!DA60"")"),25000)</f>
        <v>25000</v>
      </c>
      <c r="G60" s="82">
        <f ca="1">IFERROR(__xludf.DUMMYFUNCTION("IMPORTRANGE(""https://docs.google.com/spreadsheets/d/1MeEWN-I1oV_STSDYn1IFDPWt_1FKiwhDph83XaGc0o0/edit?usp=sharing"",""งบพรบ!DB60"")"),0)</f>
        <v>0</v>
      </c>
      <c r="H60" s="82">
        <f ca="1">IFERROR(__xludf.DUMMYFUNCTION("IMPORTRANGE(""https://docs.google.com/spreadsheets/d/1MeEWN-I1oV_STSDYn1IFDPWt_1FKiwhDph83XaGc0o0/edit?usp=sharing"",""งบพรบ!DD60"")"),0)</f>
        <v>0</v>
      </c>
      <c r="I60" s="82">
        <f ca="1">IFERROR(__xludf.DUMMYFUNCTION("IMPORTRANGE(""https://docs.google.com/spreadsheets/d/1MeEWN-I1oV_STSDYn1IFDPWt_1FKiwhDph83XaGc0o0/edit?usp=sharing"",""งบพรบ!DE60"")"),0)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IFERROR(__xludf.DUMMYFUNCTION("IMPORTRANGE(""https://docs.google.com/spreadsheets/d/1MeEWN-I1oV_STSDYn1IFDPWt_1FKiwhDph83XaGc0o0/edit?usp=sharing"",""งบพรบ!DF60"")"),0)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IFERROR(__xludf.DUMMYFUNCTION("IMPORTRANGE(""https://docs.google.com/spreadsheets/d/1MeEWN-I1oV_STSDYn1IFDPWt_1FKiwhDph83XaGc0o0/edit?usp=sharing"",""งบพรบ!DG60"")"),0)</f>
        <v>0</v>
      </c>
      <c r="P60" s="85">
        <f t="shared" ca="1" si="18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IFERROR(__xludf.DUMMYFUNCTION("IMPORTRANGE(""https://docs.google.com/spreadsheets/d/1tpwhWwkqkBeiSWCcfB5f2fbwPRbM9hHOEDSDHpl2MIc/edit?usp=sharing"",""นครปฐม!I271"")"),20)</f>
        <v>20</v>
      </c>
      <c r="S60" s="86">
        <f ca="1">IFERROR(__xludf.DUMMYFUNCTION("IMPORTRANGE(""https://docs.google.com/spreadsheets/d/1tpwhWwkqkBeiSWCcfB5f2fbwPRbM9hHOEDSDHpl2MIc/edit?usp=sharing"",""นครปฐม!J271"")"),0)</f>
        <v>0</v>
      </c>
      <c r="T60" s="87">
        <f t="shared" ca="1" si="16"/>
        <v>0</v>
      </c>
    </row>
    <row r="61" spans="1:20" ht="21" customHeight="1" x14ac:dyDescent="0.2">
      <c r="A61" s="78">
        <v>9</v>
      </c>
      <c r="B61" s="79" t="s">
        <v>83</v>
      </c>
      <c r="C61" s="80">
        <f t="shared" ca="1" si="0"/>
        <v>26900</v>
      </c>
      <c r="D61" s="81">
        <f t="shared" ca="1" si="26"/>
        <v>26900</v>
      </c>
      <c r="E61" s="82">
        <f ca="1">IFERROR(__xludf.DUMMYFUNCTION("IMPORTRANGE(""https://docs.google.com/spreadsheets/d/1MeEWN-I1oV_STSDYn1IFDPWt_1FKiwhDph83XaGc0o0/edit?usp=sharing"",""งบพรบ!CZ61"")"),0)</f>
        <v>0</v>
      </c>
      <c r="F61" s="82">
        <f ca="1">IFERROR(__xludf.DUMMYFUNCTION("IMPORTRANGE(""https://docs.google.com/spreadsheets/d/1MeEWN-I1oV_STSDYn1IFDPWt_1FKiwhDph83XaGc0o0/edit?usp=sharing"",""งบพรบ!DA61"")"),26900)</f>
        <v>26900</v>
      </c>
      <c r="G61" s="82">
        <f ca="1">IFERROR(__xludf.DUMMYFUNCTION("IMPORTRANGE(""https://docs.google.com/spreadsheets/d/1MeEWN-I1oV_STSDYn1IFDPWt_1FKiwhDph83XaGc0o0/edit?usp=sharing"",""งบพรบ!DB61"")"),0)</f>
        <v>0</v>
      </c>
      <c r="H61" s="82">
        <f ca="1">IFERROR(__xludf.DUMMYFUNCTION("IMPORTRANGE(""https://docs.google.com/spreadsheets/d/1MeEWN-I1oV_STSDYn1IFDPWt_1FKiwhDph83XaGc0o0/edit?usp=sharing"",""งบพรบ!DD61"")"),0)</f>
        <v>0</v>
      </c>
      <c r="I61" s="82">
        <f ca="1">IFERROR(__xludf.DUMMYFUNCTION("IMPORTRANGE(""https://docs.google.com/spreadsheets/d/1MeEWN-I1oV_STSDYn1IFDPWt_1FKiwhDph83XaGc0o0/edit?usp=sharing"",""งบพรบ!DE61"")"),0)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IFERROR(__xludf.DUMMYFUNCTION("IMPORTRANGE(""https://docs.google.com/spreadsheets/d/1MeEWN-I1oV_STSDYn1IFDPWt_1FKiwhDph83XaGc0o0/edit?usp=sharing"",""งบพรบ!DF61"")"),0)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IFERROR(__xludf.DUMMYFUNCTION("IMPORTRANGE(""https://docs.google.com/spreadsheets/d/1MeEWN-I1oV_STSDYn1IFDPWt_1FKiwhDph83XaGc0o0/edit?usp=sharing"",""งบพรบ!DG61"")"),0)</f>
        <v>0</v>
      </c>
      <c r="P61" s="85">
        <f t="shared" ca="1" si="18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IFERROR(__xludf.DUMMYFUNCTION("IMPORTRANGE(""https://docs.google.com/spreadsheets/d/1fJJCVBkBnhriyv0Cp5ZFMr0I_yrfdEITNpb4zILJgUQ/edit?usp=sharing"",""ปทุมธานี!I271"")"),22)</f>
        <v>22</v>
      </c>
      <c r="S61" s="86">
        <f ca="1">IFERROR(__xludf.DUMMYFUNCTION("IMPORTRANGE(""https://docs.google.com/spreadsheets/d/1fJJCVBkBnhriyv0Cp5ZFMr0I_yrfdEITNpb4zILJgUQ/edit?usp=sharing"",""ปทุมธานี!J271"")"),0)</f>
        <v>0</v>
      </c>
      <c r="T61" s="87">
        <f t="shared" ca="1" si="16"/>
        <v>0</v>
      </c>
    </row>
    <row r="62" spans="1:20" ht="21" customHeight="1" x14ac:dyDescent="0.2">
      <c r="A62" s="78">
        <v>10</v>
      </c>
      <c r="B62" s="79" t="s">
        <v>84</v>
      </c>
      <c r="C62" s="80">
        <f t="shared" ca="1" si="0"/>
        <v>26900</v>
      </c>
      <c r="D62" s="81">
        <f t="shared" ca="1" si="26"/>
        <v>26900</v>
      </c>
      <c r="E62" s="82">
        <f ca="1">IFERROR(__xludf.DUMMYFUNCTION("IMPORTRANGE(""https://docs.google.com/spreadsheets/d/1MeEWN-I1oV_STSDYn1IFDPWt_1FKiwhDph83XaGc0o0/edit?usp=sharing"",""งบพรบ!CZ62"")"),0)</f>
        <v>0</v>
      </c>
      <c r="F62" s="82">
        <f ca="1">IFERROR(__xludf.DUMMYFUNCTION("IMPORTRANGE(""https://docs.google.com/spreadsheets/d/1MeEWN-I1oV_STSDYn1IFDPWt_1FKiwhDph83XaGc0o0/edit?usp=sharing"",""งบพรบ!DA62"")"),26900)</f>
        <v>26900</v>
      </c>
      <c r="G62" s="82">
        <f ca="1">IFERROR(__xludf.DUMMYFUNCTION("IMPORTRANGE(""https://docs.google.com/spreadsheets/d/1MeEWN-I1oV_STSDYn1IFDPWt_1FKiwhDph83XaGc0o0/edit?usp=sharing"",""งบพรบ!DB62"")"),0)</f>
        <v>0</v>
      </c>
      <c r="H62" s="82">
        <f ca="1">IFERROR(__xludf.DUMMYFUNCTION("IMPORTRANGE(""https://docs.google.com/spreadsheets/d/1MeEWN-I1oV_STSDYn1IFDPWt_1FKiwhDph83XaGc0o0/edit?usp=sharing"",""งบพรบ!DD62"")"),0)</f>
        <v>0</v>
      </c>
      <c r="I62" s="82">
        <f ca="1">IFERROR(__xludf.DUMMYFUNCTION("IMPORTRANGE(""https://docs.google.com/spreadsheets/d/1MeEWN-I1oV_STSDYn1IFDPWt_1FKiwhDph83XaGc0o0/edit?usp=sharing"",""งบพรบ!DE62"")"),0)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IFERROR(__xludf.DUMMYFUNCTION("IMPORTRANGE(""https://docs.google.com/spreadsheets/d/1MeEWN-I1oV_STSDYn1IFDPWt_1FKiwhDph83XaGc0o0/edit?usp=sharing"",""งบพรบ!DF62"")"),0)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IFERROR(__xludf.DUMMYFUNCTION("IMPORTRANGE(""https://docs.google.com/spreadsheets/d/1MeEWN-I1oV_STSDYn1IFDPWt_1FKiwhDph83XaGc0o0/edit?usp=sharing"",""งบพรบ!DG62"")"),0)</f>
        <v>0</v>
      </c>
      <c r="P62" s="85">
        <f t="shared" ca="1" si="18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IFERROR(__xludf.DUMMYFUNCTION("IMPORTRANGE(""https://docs.google.com/spreadsheets/d/1W5Jj_S0gYw6wSO7QcMI02YgyOBDKYgmm0NSUk-AQEac/edit?usp=sharing"",""ประจวบคีรีขันธ์!I271"")"),22)</f>
        <v>22</v>
      </c>
      <c r="S62" s="86">
        <f ca="1">IFERROR(__xludf.DUMMYFUNCTION("IMPORTRANGE(""https://docs.google.com/spreadsheets/d/1W5Jj_S0gYw6wSO7QcMI02YgyOBDKYgmm0NSUk-AQEac/edit?usp=sharing"",""ประจวบคีรีขันธ์!J271"")"),0)</f>
        <v>0</v>
      </c>
      <c r="T62" s="87">
        <f t="shared" ca="1" si="16"/>
        <v>0</v>
      </c>
    </row>
    <row r="63" spans="1:20" ht="21" customHeight="1" x14ac:dyDescent="0.2">
      <c r="A63" s="78">
        <v>11</v>
      </c>
      <c r="B63" s="79" t="s">
        <v>85</v>
      </c>
      <c r="C63" s="80">
        <f t="shared" ca="1" si="0"/>
        <v>26900</v>
      </c>
      <c r="D63" s="81">
        <f t="shared" ca="1" si="26"/>
        <v>26900</v>
      </c>
      <c r="E63" s="82">
        <f ca="1">IFERROR(__xludf.DUMMYFUNCTION("IMPORTRANGE(""https://docs.google.com/spreadsheets/d/1MeEWN-I1oV_STSDYn1IFDPWt_1FKiwhDph83XaGc0o0/edit?usp=sharing"",""งบพรบ!CZ63"")"),0)</f>
        <v>0</v>
      </c>
      <c r="F63" s="82">
        <f ca="1">IFERROR(__xludf.DUMMYFUNCTION("IMPORTRANGE(""https://docs.google.com/spreadsheets/d/1MeEWN-I1oV_STSDYn1IFDPWt_1FKiwhDph83XaGc0o0/edit?usp=sharing"",""งบพรบ!DA63"")"),26900)</f>
        <v>26900</v>
      </c>
      <c r="G63" s="82">
        <f ca="1">IFERROR(__xludf.DUMMYFUNCTION("IMPORTRANGE(""https://docs.google.com/spreadsheets/d/1MeEWN-I1oV_STSDYn1IFDPWt_1FKiwhDph83XaGc0o0/edit?usp=sharing"",""งบพรบ!DB63"")"),0)</f>
        <v>0</v>
      </c>
      <c r="H63" s="82">
        <f ca="1">IFERROR(__xludf.DUMMYFUNCTION("IMPORTRANGE(""https://docs.google.com/spreadsheets/d/1MeEWN-I1oV_STSDYn1IFDPWt_1FKiwhDph83XaGc0o0/edit?usp=sharing"",""งบพรบ!DD63"")"),0)</f>
        <v>0</v>
      </c>
      <c r="I63" s="82">
        <f ca="1">IFERROR(__xludf.DUMMYFUNCTION("IMPORTRANGE(""https://docs.google.com/spreadsheets/d/1MeEWN-I1oV_STSDYn1IFDPWt_1FKiwhDph83XaGc0o0/edit?usp=sharing"",""งบพรบ!DE63"")"),0)</f>
        <v>0</v>
      </c>
      <c r="J63" s="82">
        <f t="shared" ca="1" si="3"/>
        <v>0</v>
      </c>
      <c r="K63" s="83">
        <f t="shared" ca="1" si="4"/>
        <v>0</v>
      </c>
      <c r="L63" s="82">
        <f ca="1">IFERROR(__xludf.DUMMYFUNCTION("IMPORTRANGE(""https://docs.google.com/spreadsheets/d/1MeEWN-I1oV_STSDYn1IFDPWt_1FKiwhDph83XaGc0o0/edit?usp=sharing"",""งบพรบ!DF63"")"),0)</f>
        <v>0</v>
      </c>
      <c r="M63" s="84">
        <f t="shared" ca="1" si="5"/>
        <v>0</v>
      </c>
      <c r="N63" s="84">
        <f t="shared" ca="1" si="6"/>
        <v>0</v>
      </c>
      <c r="O63" s="85">
        <f ca="1">IFERROR(__xludf.DUMMYFUNCTION("IMPORTRANGE(""https://docs.google.com/spreadsheets/d/1MeEWN-I1oV_STSDYn1IFDPWt_1FKiwhDph83XaGc0o0/edit?usp=sharing"",""งบพรบ!DG63"")"),0)</f>
        <v>0</v>
      </c>
      <c r="P63" s="85">
        <f t="shared" ca="1" si="18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IFERROR(__xludf.DUMMYFUNCTION("IMPORTRANGE(""https://docs.google.com/spreadsheets/d/1nYxRXgnCfTXtqUY1otYuTlnrzE0Tn-Y0YRsW5pkRVqo/edit?usp=sharing"",""ปราจีนบุรี!I271"")"),22)</f>
        <v>22</v>
      </c>
      <c r="S63" s="86">
        <f ca="1">IFERROR(__xludf.DUMMYFUNCTION("IMPORTRANGE(""https://docs.google.com/spreadsheets/d/1nYxRXgnCfTXtqUY1otYuTlnrzE0Tn-Y0YRsW5pkRVqo/edit?usp=sharing"",""ปราจีนบุรี!J271"")"),0)</f>
        <v>0</v>
      </c>
      <c r="T63" s="87">
        <f t="shared" ca="1" si="16"/>
        <v>0</v>
      </c>
    </row>
    <row r="64" spans="1:20" ht="21" customHeight="1" x14ac:dyDescent="0.2">
      <c r="A64" s="78">
        <v>12</v>
      </c>
      <c r="B64" s="79" t="s">
        <v>86</v>
      </c>
      <c r="C64" s="80">
        <f t="shared" ca="1" si="0"/>
        <v>26900</v>
      </c>
      <c r="D64" s="81">
        <f t="shared" ca="1" si="26"/>
        <v>26900</v>
      </c>
      <c r="E64" s="82">
        <f ca="1">IFERROR(__xludf.DUMMYFUNCTION("IMPORTRANGE(""https://docs.google.com/spreadsheets/d/1MeEWN-I1oV_STSDYn1IFDPWt_1FKiwhDph83XaGc0o0/edit?usp=sharing"",""งบพรบ!CZ64"")"),0)</f>
        <v>0</v>
      </c>
      <c r="F64" s="82">
        <f ca="1">IFERROR(__xludf.DUMMYFUNCTION("IMPORTRANGE(""https://docs.google.com/spreadsheets/d/1MeEWN-I1oV_STSDYn1IFDPWt_1FKiwhDph83XaGc0o0/edit?usp=sharing"",""งบพรบ!DA64"")"),26900)</f>
        <v>26900</v>
      </c>
      <c r="G64" s="82">
        <f ca="1">IFERROR(__xludf.DUMMYFUNCTION("IMPORTRANGE(""https://docs.google.com/spreadsheets/d/1MeEWN-I1oV_STSDYn1IFDPWt_1FKiwhDph83XaGc0o0/edit?usp=sharing"",""งบพรบ!DB64"")"),0)</f>
        <v>0</v>
      </c>
      <c r="H64" s="82">
        <f ca="1">IFERROR(__xludf.DUMMYFUNCTION("IMPORTRANGE(""https://docs.google.com/spreadsheets/d/1MeEWN-I1oV_STSDYn1IFDPWt_1FKiwhDph83XaGc0o0/edit?usp=sharing"",""งบพรบ!DD64"")"),0)</f>
        <v>0</v>
      </c>
      <c r="I64" s="82">
        <f ca="1">IFERROR(__xludf.DUMMYFUNCTION("IMPORTRANGE(""https://docs.google.com/spreadsheets/d/1MeEWN-I1oV_STSDYn1IFDPWt_1FKiwhDph83XaGc0o0/edit?usp=sharing"",""งบพรบ!DE64"")"),0)</f>
        <v>0</v>
      </c>
      <c r="J64" s="82">
        <f t="shared" ca="1" si="3"/>
        <v>0</v>
      </c>
      <c r="K64" s="83">
        <f t="shared" ca="1" si="4"/>
        <v>0</v>
      </c>
      <c r="L64" s="82">
        <f ca="1">IFERROR(__xludf.DUMMYFUNCTION("IMPORTRANGE(""https://docs.google.com/spreadsheets/d/1MeEWN-I1oV_STSDYn1IFDPWt_1FKiwhDph83XaGc0o0/edit?usp=sharing"",""งบพรบ!DF64"")"),0)</f>
        <v>0</v>
      </c>
      <c r="M64" s="84">
        <f t="shared" ca="1" si="5"/>
        <v>0</v>
      </c>
      <c r="N64" s="84">
        <f t="shared" ca="1" si="6"/>
        <v>0</v>
      </c>
      <c r="O64" s="85">
        <f ca="1">IFERROR(__xludf.DUMMYFUNCTION("IMPORTRANGE(""https://docs.google.com/spreadsheets/d/1MeEWN-I1oV_STSDYn1IFDPWt_1FKiwhDph83XaGc0o0/edit?usp=sharing"",""งบพรบ!DG64"")"),0)</f>
        <v>0</v>
      </c>
      <c r="P64" s="85">
        <f t="shared" ca="1" si="18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IFERROR(__xludf.DUMMYFUNCTION("IMPORTRANGE(""https://docs.google.com/spreadsheets/d/1nNHCLO8ZAXOMfQvxux7cf_hrzPAh8FAvaHq_ClKbZNo/edit?usp=sharing"",""พระนครศรีอยุธยา!I271"")"),22)</f>
        <v>22</v>
      </c>
      <c r="S64" s="86">
        <f ca="1">IFERROR(__xludf.DUMMYFUNCTION("IMPORTRANGE(""https://docs.google.com/spreadsheets/d/1nNHCLO8ZAXOMfQvxux7cf_hrzPAh8FAvaHq_ClKbZNo/edit?usp=sharing"",""พระนครศรีอยุธยา!J271"")"),0)</f>
        <v>0</v>
      </c>
      <c r="T64" s="87">
        <f t="shared" ca="1" si="16"/>
        <v>0</v>
      </c>
    </row>
    <row r="65" spans="1:20" ht="21" customHeight="1" x14ac:dyDescent="0.2">
      <c r="A65" s="78">
        <v>13</v>
      </c>
      <c r="B65" s="79" t="s">
        <v>87</v>
      </c>
      <c r="C65" s="80">
        <f t="shared" ca="1" si="0"/>
        <v>26900</v>
      </c>
      <c r="D65" s="81">
        <f t="shared" ca="1" si="26"/>
        <v>26900</v>
      </c>
      <c r="E65" s="82">
        <f ca="1">IFERROR(__xludf.DUMMYFUNCTION("IMPORTRANGE(""https://docs.google.com/spreadsheets/d/1MeEWN-I1oV_STSDYn1IFDPWt_1FKiwhDph83XaGc0o0/edit?usp=sharing"",""งบพรบ!CZ65"")"),0)</f>
        <v>0</v>
      </c>
      <c r="F65" s="82">
        <f ca="1">IFERROR(__xludf.DUMMYFUNCTION("IMPORTRANGE(""https://docs.google.com/spreadsheets/d/1MeEWN-I1oV_STSDYn1IFDPWt_1FKiwhDph83XaGc0o0/edit?usp=sharing"",""งบพรบ!DA65"")"),26900)</f>
        <v>26900</v>
      </c>
      <c r="G65" s="82">
        <f ca="1">IFERROR(__xludf.DUMMYFUNCTION("IMPORTRANGE(""https://docs.google.com/spreadsheets/d/1MeEWN-I1oV_STSDYn1IFDPWt_1FKiwhDph83XaGc0o0/edit?usp=sharing"",""งบพรบ!DB65"")"),0)</f>
        <v>0</v>
      </c>
      <c r="H65" s="82">
        <f ca="1">IFERROR(__xludf.DUMMYFUNCTION("IMPORTRANGE(""https://docs.google.com/spreadsheets/d/1MeEWN-I1oV_STSDYn1IFDPWt_1FKiwhDph83XaGc0o0/edit?usp=sharing"",""งบพรบ!DD65"")"),0)</f>
        <v>0</v>
      </c>
      <c r="I65" s="82">
        <f ca="1">IFERROR(__xludf.DUMMYFUNCTION("IMPORTRANGE(""https://docs.google.com/spreadsheets/d/1MeEWN-I1oV_STSDYn1IFDPWt_1FKiwhDph83XaGc0o0/edit?usp=sharing"",""งบพรบ!DE65"")"),0)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IFERROR(__xludf.DUMMYFUNCTION("IMPORTRANGE(""https://docs.google.com/spreadsheets/d/1MeEWN-I1oV_STSDYn1IFDPWt_1FKiwhDph83XaGc0o0/edit?usp=sharing"",""งบพรบ!DF65"")"),0)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IFERROR(__xludf.DUMMYFUNCTION("IMPORTRANGE(""https://docs.google.com/spreadsheets/d/1MeEWN-I1oV_STSDYn1IFDPWt_1FKiwhDph83XaGc0o0/edit?usp=sharing"",""งบพรบ!DG65"")"),0)</f>
        <v>0</v>
      </c>
      <c r="P65" s="85">
        <f t="shared" ca="1" si="18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IFERROR(__xludf.DUMMYFUNCTION("IMPORTRANGE(""https://docs.google.com/spreadsheets/d/1CdNicvf3i6yt4tJlCePe3V1Va76wYqW0QzMzTsaGRrA/edit?usp=sharing"",""เพชรบุรี!I271"")"),22)</f>
        <v>22</v>
      </c>
      <c r="S65" s="86">
        <f ca="1">IFERROR(__xludf.DUMMYFUNCTION("IMPORTRANGE(""https://docs.google.com/spreadsheets/d/1CdNicvf3i6yt4tJlCePe3V1Va76wYqW0QzMzTsaGRrA/edit?usp=sharing"",""เพชรบุรี!J271"")"),0)</f>
        <v>0</v>
      </c>
      <c r="T65" s="87">
        <f t="shared" ca="1" si="16"/>
        <v>0</v>
      </c>
    </row>
    <row r="66" spans="1:20" ht="21" customHeight="1" x14ac:dyDescent="0.2">
      <c r="A66" s="78">
        <v>14</v>
      </c>
      <c r="B66" s="79" t="s">
        <v>88</v>
      </c>
      <c r="C66" s="80">
        <f t="shared" ca="1" si="0"/>
        <v>26900</v>
      </c>
      <c r="D66" s="81">
        <f t="shared" ca="1" si="26"/>
        <v>26900</v>
      </c>
      <c r="E66" s="82">
        <f ca="1">IFERROR(__xludf.DUMMYFUNCTION("IMPORTRANGE(""https://docs.google.com/spreadsheets/d/1MeEWN-I1oV_STSDYn1IFDPWt_1FKiwhDph83XaGc0o0/edit?usp=sharing"",""งบพรบ!CZ66"")"),0)</f>
        <v>0</v>
      </c>
      <c r="F66" s="82">
        <f ca="1">IFERROR(__xludf.DUMMYFUNCTION("IMPORTRANGE(""https://docs.google.com/spreadsheets/d/1MeEWN-I1oV_STSDYn1IFDPWt_1FKiwhDph83XaGc0o0/edit?usp=sharing"",""งบพรบ!DA66"")"),26900)</f>
        <v>26900</v>
      </c>
      <c r="G66" s="82">
        <f ca="1">IFERROR(__xludf.DUMMYFUNCTION("IMPORTRANGE(""https://docs.google.com/spreadsheets/d/1MeEWN-I1oV_STSDYn1IFDPWt_1FKiwhDph83XaGc0o0/edit?usp=sharing"",""งบพรบ!DB66"")"),0)</f>
        <v>0</v>
      </c>
      <c r="H66" s="82">
        <f ca="1">IFERROR(__xludf.DUMMYFUNCTION("IMPORTRANGE(""https://docs.google.com/spreadsheets/d/1MeEWN-I1oV_STSDYn1IFDPWt_1FKiwhDph83XaGc0o0/edit?usp=sharing"",""งบพรบ!DD66"")"),0)</f>
        <v>0</v>
      </c>
      <c r="I66" s="82">
        <f ca="1">IFERROR(__xludf.DUMMYFUNCTION("IMPORTRANGE(""https://docs.google.com/spreadsheets/d/1MeEWN-I1oV_STSDYn1IFDPWt_1FKiwhDph83XaGc0o0/edit?usp=sharing"",""งบพรบ!DE66"")"),0)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IFERROR(__xludf.DUMMYFUNCTION("IMPORTRANGE(""https://docs.google.com/spreadsheets/d/1MeEWN-I1oV_STSDYn1IFDPWt_1FKiwhDph83XaGc0o0/edit?usp=sharing"",""งบพรบ!DF66"")"),0)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IFERROR(__xludf.DUMMYFUNCTION("IMPORTRANGE(""https://docs.google.com/spreadsheets/d/1MeEWN-I1oV_STSDYn1IFDPWt_1FKiwhDph83XaGc0o0/edit?usp=sharing"",""งบพรบ!DG66"")"),0)</f>
        <v>0</v>
      </c>
      <c r="P66" s="85">
        <f t="shared" ca="1" si="18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IFERROR(__xludf.DUMMYFUNCTION("IMPORTRANGE(""https://docs.google.com/spreadsheets/d/1XiF77UIVHV0Kjc6xbXuOuJ10WgJYxd4p_22ngKVV5oM/edit?usp=sharing"",""ระยอง!I271"")"),22)</f>
        <v>22</v>
      </c>
      <c r="S66" s="86">
        <f ca="1">IFERROR(__xludf.DUMMYFUNCTION("IMPORTRANGE(""https://docs.google.com/spreadsheets/d/1XiF77UIVHV0Kjc6xbXuOuJ10WgJYxd4p_22ngKVV5oM/edit?usp=sharing"",""ระยอง!J271"")"),0)</f>
        <v>0</v>
      </c>
      <c r="T66" s="87">
        <f t="shared" ca="1" si="16"/>
        <v>0</v>
      </c>
    </row>
    <row r="67" spans="1:20" ht="21" customHeight="1" x14ac:dyDescent="0.2">
      <c r="A67" s="78">
        <v>15</v>
      </c>
      <c r="B67" s="79" t="s">
        <v>89</v>
      </c>
      <c r="C67" s="80">
        <f t="shared" ca="1" si="0"/>
        <v>26900</v>
      </c>
      <c r="D67" s="81">
        <f t="shared" ca="1" si="26"/>
        <v>26900</v>
      </c>
      <c r="E67" s="82">
        <f ca="1">IFERROR(__xludf.DUMMYFUNCTION("IMPORTRANGE(""https://docs.google.com/spreadsheets/d/1MeEWN-I1oV_STSDYn1IFDPWt_1FKiwhDph83XaGc0o0/edit?usp=sharing"",""งบพรบ!CZ67"")"),0)</f>
        <v>0</v>
      </c>
      <c r="F67" s="82">
        <f ca="1">IFERROR(__xludf.DUMMYFUNCTION("IMPORTRANGE(""https://docs.google.com/spreadsheets/d/1MeEWN-I1oV_STSDYn1IFDPWt_1FKiwhDph83XaGc0o0/edit?usp=sharing"",""งบพรบ!DA67"")"),26900)</f>
        <v>26900</v>
      </c>
      <c r="G67" s="82">
        <f ca="1">IFERROR(__xludf.DUMMYFUNCTION("IMPORTRANGE(""https://docs.google.com/spreadsheets/d/1MeEWN-I1oV_STSDYn1IFDPWt_1FKiwhDph83XaGc0o0/edit?usp=sharing"",""งบพรบ!DB67"")"),0)</f>
        <v>0</v>
      </c>
      <c r="H67" s="82">
        <f ca="1">IFERROR(__xludf.DUMMYFUNCTION("IMPORTRANGE(""https://docs.google.com/spreadsheets/d/1MeEWN-I1oV_STSDYn1IFDPWt_1FKiwhDph83XaGc0o0/edit?usp=sharing"",""งบพรบ!DD67"")"),0)</f>
        <v>0</v>
      </c>
      <c r="I67" s="82">
        <f ca="1">IFERROR(__xludf.DUMMYFUNCTION("IMPORTRANGE(""https://docs.google.com/spreadsheets/d/1MeEWN-I1oV_STSDYn1IFDPWt_1FKiwhDph83XaGc0o0/edit?usp=sharing"",""งบพรบ!DE67"")"),0)</f>
        <v>0</v>
      </c>
      <c r="J67" s="82">
        <f t="shared" ca="1" si="3"/>
        <v>0</v>
      </c>
      <c r="K67" s="83">
        <f t="shared" ca="1" si="4"/>
        <v>0</v>
      </c>
      <c r="L67" s="82">
        <f ca="1">IFERROR(__xludf.DUMMYFUNCTION("IMPORTRANGE(""https://docs.google.com/spreadsheets/d/1MeEWN-I1oV_STSDYn1IFDPWt_1FKiwhDph83XaGc0o0/edit?usp=sharing"",""งบพรบ!DF67"")"),0)</f>
        <v>0</v>
      </c>
      <c r="M67" s="84">
        <f t="shared" ca="1" si="5"/>
        <v>0</v>
      </c>
      <c r="N67" s="84">
        <f t="shared" ca="1" si="6"/>
        <v>0</v>
      </c>
      <c r="O67" s="85">
        <f ca="1">IFERROR(__xludf.DUMMYFUNCTION("IMPORTRANGE(""https://docs.google.com/spreadsheets/d/1MeEWN-I1oV_STSDYn1IFDPWt_1FKiwhDph83XaGc0o0/edit?usp=sharing"",""งบพรบ!DG67"")"),0)</f>
        <v>0</v>
      </c>
      <c r="P67" s="85">
        <f t="shared" ca="1" si="18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IFERROR(__xludf.DUMMYFUNCTION("IMPORTRANGE(""https://docs.google.com/spreadsheets/d/1qU-W_9MCQD1pgIVXGEOjCFo9QqlmJywuebyGgaN92r8/edit?usp=sharing"",""ราชบุรี!I271"")"),22)</f>
        <v>22</v>
      </c>
      <c r="S67" s="86">
        <f ca="1">IFERROR(__xludf.DUMMYFUNCTION("IMPORTRANGE(""https://docs.google.com/spreadsheets/d/1qU-W_9MCQD1pgIVXGEOjCFo9QqlmJywuebyGgaN92r8/edit?usp=sharing"",""ราชบุรี!J271"")"),0)</f>
        <v>0</v>
      </c>
      <c r="T67" s="87">
        <f t="shared" ca="1" si="16"/>
        <v>0</v>
      </c>
    </row>
    <row r="68" spans="1:20" ht="24" customHeight="1" x14ac:dyDescent="0.2">
      <c r="A68" s="78">
        <v>16</v>
      </c>
      <c r="B68" s="79" t="s">
        <v>90</v>
      </c>
      <c r="C68" s="80">
        <f t="shared" ca="1" si="0"/>
        <v>26900</v>
      </c>
      <c r="D68" s="81">
        <f t="shared" ca="1" si="26"/>
        <v>26900</v>
      </c>
      <c r="E68" s="82">
        <f ca="1">IFERROR(__xludf.DUMMYFUNCTION("IMPORTRANGE(""https://docs.google.com/spreadsheets/d/1MeEWN-I1oV_STSDYn1IFDPWt_1FKiwhDph83XaGc0o0/edit?usp=sharing"",""งบพรบ!CZ68"")"),0)</f>
        <v>0</v>
      </c>
      <c r="F68" s="82">
        <f ca="1">IFERROR(__xludf.DUMMYFUNCTION("IMPORTRANGE(""https://docs.google.com/spreadsheets/d/1MeEWN-I1oV_STSDYn1IFDPWt_1FKiwhDph83XaGc0o0/edit?usp=sharing"",""งบพรบ!DA68"")"),26900)</f>
        <v>26900</v>
      </c>
      <c r="G68" s="82">
        <f ca="1">IFERROR(__xludf.DUMMYFUNCTION("IMPORTRANGE(""https://docs.google.com/spreadsheets/d/1MeEWN-I1oV_STSDYn1IFDPWt_1FKiwhDph83XaGc0o0/edit?usp=sharing"",""งบพรบ!DB68"")"),0)</f>
        <v>0</v>
      </c>
      <c r="H68" s="82">
        <f ca="1">IFERROR(__xludf.DUMMYFUNCTION("IMPORTRANGE(""https://docs.google.com/spreadsheets/d/1MeEWN-I1oV_STSDYn1IFDPWt_1FKiwhDph83XaGc0o0/edit?usp=sharing"",""งบพรบ!DD68"")"),0)</f>
        <v>0</v>
      </c>
      <c r="I68" s="82">
        <f ca="1">IFERROR(__xludf.DUMMYFUNCTION("IMPORTRANGE(""https://docs.google.com/spreadsheets/d/1MeEWN-I1oV_STSDYn1IFDPWt_1FKiwhDph83XaGc0o0/edit?usp=sharing"",""งบพรบ!DE68"")"),0)</f>
        <v>0</v>
      </c>
      <c r="J68" s="82">
        <f t="shared" ca="1" si="3"/>
        <v>0</v>
      </c>
      <c r="K68" s="83">
        <f t="shared" ca="1" si="4"/>
        <v>0</v>
      </c>
      <c r="L68" s="82">
        <f ca="1">IFERROR(__xludf.DUMMYFUNCTION("IMPORTRANGE(""https://docs.google.com/spreadsheets/d/1MeEWN-I1oV_STSDYn1IFDPWt_1FKiwhDph83XaGc0o0/edit?usp=sharing"",""งบพรบ!DF68"")"),0)</f>
        <v>0</v>
      </c>
      <c r="M68" s="84">
        <f t="shared" ca="1" si="5"/>
        <v>0</v>
      </c>
      <c r="N68" s="84">
        <f t="shared" ca="1" si="6"/>
        <v>0</v>
      </c>
      <c r="O68" s="85">
        <f ca="1">IFERROR(__xludf.DUMMYFUNCTION("IMPORTRANGE(""https://docs.google.com/spreadsheets/d/1MeEWN-I1oV_STSDYn1IFDPWt_1FKiwhDph83XaGc0o0/edit?usp=sharing"",""งบพรบ!DG68"")"),0)</f>
        <v>0</v>
      </c>
      <c r="P68" s="85">
        <f t="shared" ca="1" si="18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IFERROR(__xludf.DUMMYFUNCTION("IMPORTRANGE(""https://docs.google.com/spreadsheets/d/1xYFIxIM_CspAP5Q-5Zx_V0T_Ut3cjryrjd2hss28vGk/edit?usp=sharing"",""ลพบุรี!I271"")"),22)</f>
        <v>22</v>
      </c>
      <c r="S68" s="86">
        <f ca="1">IFERROR(__xludf.DUMMYFUNCTION("IMPORTRANGE(""https://docs.google.com/spreadsheets/d/1xYFIxIM_CspAP5Q-5Zx_V0T_Ut3cjryrjd2hss28vGk/edit?usp=sharing"",""ลพบุรี!J271"")"),0)</f>
        <v>0</v>
      </c>
      <c r="T68" s="87">
        <f t="shared" ca="1" si="16"/>
        <v>0</v>
      </c>
    </row>
    <row r="69" spans="1:20" ht="21" customHeight="1" x14ac:dyDescent="0.2">
      <c r="A69" s="78">
        <v>17</v>
      </c>
      <c r="B69" s="79" t="s">
        <v>91</v>
      </c>
      <c r="C69" s="80">
        <f t="shared" ca="1" si="0"/>
        <v>26900</v>
      </c>
      <c r="D69" s="81">
        <f t="shared" ca="1" si="26"/>
        <v>26900</v>
      </c>
      <c r="E69" s="82">
        <f ca="1">IFERROR(__xludf.DUMMYFUNCTION("IMPORTRANGE(""https://docs.google.com/spreadsheets/d/1MeEWN-I1oV_STSDYn1IFDPWt_1FKiwhDph83XaGc0o0/edit?usp=sharing"",""งบพรบ!CZ69"")"),0)</f>
        <v>0</v>
      </c>
      <c r="F69" s="82">
        <f ca="1">IFERROR(__xludf.DUMMYFUNCTION("IMPORTRANGE(""https://docs.google.com/spreadsheets/d/1MeEWN-I1oV_STSDYn1IFDPWt_1FKiwhDph83XaGc0o0/edit?usp=sharing"",""งบพรบ!DA69"")"),26900)</f>
        <v>26900</v>
      </c>
      <c r="G69" s="82">
        <f ca="1">IFERROR(__xludf.DUMMYFUNCTION("IMPORTRANGE(""https://docs.google.com/spreadsheets/d/1MeEWN-I1oV_STSDYn1IFDPWt_1FKiwhDph83XaGc0o0/edit?usp=sharing"",""งบพรบ!DB69"")"),0)</f>
        <v>0</v>
      </c>
      <c r="H69" s="82">
        <f ca="1">IFERROR(__xludf.DUMMYFUNCTION("IMPORTRANGE(""https://docs.google.com/spreadsheets/d/1MeEWN-I1oV_STSDYn1IFDPWt_1FKiwhDph83XaGc0o0/edit?usp=sharing"",""งบพรบ!DD69"")"),0)</f>
        <v>0</v>
      </c>
      <c r="I69" s="82">
        <f ca="1">IFERROR(__xludf.DUMMYFUNCTION("IMPORTRANGE(""https://docs.google.com/spreadsheets/d/1MeEWN-I1oV_STSDYn1IFDPWt_1FKiwhDph83XaGc0o0/edit?usp=sharing"",""งบพรบ!DE69"")"),0)</f>
        <v>0</v>
      </c>
      <c r="J69" s="82">
        <f t="shared" ca="1" si="3"/>
        <v>0</v>
      </c>
      <c r="K69" s="83">
        <f t="shared" ca="1" si="4"/>
        <v>0</v>
      </c>
      <c r="L69" s="82">
        <f ca="1">IFERROR(__xludf.DUMMYFUNCTION("IMPORTRANGE(""https://docs.google.com/spreadsheets/d/1MeEWN-I1oV_STSDYn1IFDPWt_1FKiwhDph83XaGc0o0/edit?usp=sharing"",""งบพรบ!DF69"")"),0)</f>
        <v>0</v>
      </c>
      <c r="M69" s="84">
        <f t="shared" ca="1" si="5"/>
        <v>0</v>
      </c>
      <c r="N69" s="84">
        <f t="shared" ca="1" si="6"/>
        <v>0</v>
      </c>
      <c r="O69" s="85">
        <f ca="1">IFERROR(__xludf.DUMMYFUNCTION("IMPORTRANGE(""https://docs.google.com/spreadsheets/d/1MeEWN-I1oV_STSDYn1IFDPWt_1FKiwhDph83XaGc0o0/edit?usp=sharing"",""งบพรบ!DG69"")"),0)</f>
        <v>0</v>
      </c>
      <c r="P69" s="85">
        <f t="shared" ca="1" si="18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IFERROR(__xludf.DUMMYFUNCTION("IMPORTRANGE(""https://docs.google.com/spreadsheets/d/11s9m3tKsCBdPWq6syhZm27eBGbKneDLZc75co106bio/edit?usp=sharing"",""สระแก้ว!I271"")"),22)</f>
        <v>22</v>
      </c>
      <c r="S69" s="86">
        <f ca="1">IFERROR(__xludf.DUMMYFUNCTION("IMPORTRANGE(""https://docs.google.com/spreadsheets/d/11s9m3tKsCBdPWq6syhZm27eBGbKneDLZc75co106bio/edit?usp=sharing"",""สระแก้ว!J271"")"),0)</f>
        <v>0</v>
      </c>
      <c r="T69" s="87">
        <f t="shared" ca="1" si="16"/>
        <v>0</v>
      </c>
    </row>
    <row r="70" spans="1:20" ht="21" customHeight="1" x14ac:dyDescent="0.2">
      <c r="A70" s="78">
        <v>18</v>
      </c>
      <c r="B70" s="79" t="s">
        <v>92</v>
      </c>
      <c r="C70" s="80">
        <f t="shared" ca="1" si="0"/>
        <v>26900</v>
      </c>
      <c r="D70" s="81">
        <f t="shared" ca="1" si="26"/>
        <v>26900</v>
      </c>
      <c r="E70" s="82">
        <f ca="1">IFERROR(__xludf.DUMMYFUNCTION("IMPORTRANGE(""https://docs.google.com/spreadsheets/d/1MeEWN-I1oV_STSDYn1IFDPWt_1FKiwhDph83XaGc0o0/edit?usp=sharing"",""งบพรบ!CZ70"")"),0)</f>
        <v>0</v>
      </c>
      <c r="F70" s="82">
        <f ca="1">IFERROR(__xludf.DUMMYFUNCTION("IMPORTRANGE(""https://docs.google.com/spreadsheets/d/1MeEWN-I1oV_STSDYn1IFDPWt_1FKiwhDph83XaGc0o0/edit?usp=sharing"",""งบพรบ!DA70"")"),26900)</f>
        <v>26900</v>
      </c>
      <c r="G70" s="82">
        <f ca="1">IFERROR(__xludf.DUMMYFUNCTION("IMPORTRANGE(""https://docs.google.com/spreadsheets/d/1MeEWN-I1oV_STSDYn1IFDPWt_1FKiwhDph83XaGc0o0/edit?usp=sharing"",""งบพรบ!DB70"")"),0)</f>
        <v>0</v>
      </c>
      <c r="H70" s="82">
        <f ca="1">IFERROR(__xludf.DUMMYFUNCTION("IMPORTRANGE(""https://docs.google.com/spreadsheets/d/1MeEWN-I1oV_STSDYn1IFDPWt_1FKiwhDph83XaGc0o0/edit?usp=sharing"",""งบพรบ!DD70"")"),0)</f>
        <v>0</v>
      </c>
      <c r="I70" s="82">
        <f ca="1">IFERROR(__xludf.DUMMYFUNCTION("IMPORTRANGE(""https://docs.google.com/spreadsheets/d/1MeEWN-I1oV_STSDYn1IFDPWt_1FKiwhDph83XaGc0o0/edit?usp=sharing"",""งบพรบ!DE70"")"),0)</f>
        <v>0</v>
      </c>
      <c r="J70" s="82">
        <f t="shared" ca="1" si="3"/>
        <v>0</v>
      </c>
      <c r="K70" s="83">
        <f t="shared" ca="1" si="4"/>
        <v>0</v>
      </c>
      <c r="L70" s="82">
        <f ca="1">IFERROR(__xludf.DUMMYFUNCTION("IMPORTRANGE(""https://docs.google.com/spreadsheets/d/1MeEWN-I1oV_STSDYn1IFDPWt_1FKiwhDph83XaGc0o0/edit?usp=sharing"",""งบพรบ!DF70"")"),0)</f>
        <v>0</v>
      </c>
      <c r="M70" s="84">
        <f t="shared" ca="1" si="5"/>
        <v>0</v>
      </c>
      <c r="N70" s="84">
        <f t="shared" ca="1" si="6"/>
        <v>0</v>
      </c>
      <c r="O70" s="85">
        <f ca="1">IFERROR(__xludf.DUMMYFUNCTION("IMPORTRANGE(""https://docs.google.com/spreadsheets/d/1MeEWN-I1oV_STSDYn1IFDPWt_1FKiwhDph83XaGc0o0/edit?usp=sharing"",""งบพรบ!DG70"")"),0)</f>
        <v>0</v>
      </c>
      <c r="P70" s="85">
        <f t="shared" ca="1" si="18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IFERROR(__xludf.DUMMYFUNCTION("IMPORTRANGE(""https://docs.google.com/spreadsheets/d/1Nn1EvsFPtXldgpgVb3Rcng2K2cls68LFQsBh2FyW0Bg/edit?usp=sharing"",""สระบุรี!I271"")"),22)</f>
        <v>22</v>
      </c>
      <c r="S70" s="86">
        <f ca="1">IFERROR(__xludf.DUMMYFUNCTION("IMPORTRANGE(""https://docs.google.com/spreadsheets/d/1Nn1EvsFPtXldgpgVb3Rcng2K2cls68LFQsBh2FyW0Bg/edit?usp=sharing"",""สระบุรี!J271"")"),0)</f>
        <v>0</v>
      </c>
      <c r="T70" s="87">
        <f t="shared" ca="1" si="16"/>
        <v>0</v>
      </c>
    </row>
    <row r="71" spans="1:20" ht="21" customHeight="1" x14ac:dyDescent="0.2">
      <c r="A71" s="78">
        <v>19</v>
      </c>
      <c r="B71" s="79" t="s">
        <v>93</v>
      </c>
      <c r="C71" s="80">
        <f t="shared" ca="1" si="0"/>
        <v>158500</v>
      </c>
      <c r="D71" s="81">
        <f t="shared" ca="1" si="26"/>
        <v>158500</v>
      </c>
      <c r="E71" s="82">
        <f ca="1">IFERROR(__xludf.DUMMYFUNCTION("IMPORTRANGE(""https://docs.google.com/spreadsheets/d/1MeEWN-I1oV_STSDYn1IFDPWt_1FKiwhDph83XaGc0o0/edit?usp=sharing"",""งบพรบ!CZ71"")"),143000)</f>
        <v>143000</v>
      </c>
      <c r="F71" s="82">
        <f ca="1">IFERROR(__xludf.DUMMYFUNCTION("IMPORTRANGE(""https://docs.google.com/spreadsheets/d/1MeEWN-I1oV_STSDYn1IFDPWt_1FKiwhDph83XaGc0o0/edit?usp=sharing"",""งบพรบ!DA71"")"),15500)</f>
        <v>15500</v>
      </c>
      <c r="G71" s="82">
        <f ca="1">IFERROR(__xludf.DUMMYFUNCTION("IMPORTRANGE(""https://docs.google.com/spreadsheets/d/1MeEWN-I1oV_STSDYn1IFDPWt_1FKiwhDph83XaGc0o0/edit?usp=sharing"",""งบพรบ!DB71"")"),0)</f>
        <v>0</v>
      </c>
      <c r="H71" s="82">
        <f ca="1">IFERROR(__xludf.DUMMYFUNCTION("IMPORTRANGE(""https://docs.google.com/spreadsheets/d/1MeEWN-I1oV_STSDYn1IFDPWt_1FKiwhDph83XaGc0o0/edit?usp=sharing"",""งบพรบ!DD71"")"),104000)</f>
        <v>104000</v>
      </c>
      <c r="I71" s="82">
        <f ca="1">IFERROR(__xludf.DUMMYFUNCTION("IMPORTRANGE(""https://docs.google.com/spreadsheets/d/1MeEWN-I1oV_STSDYn1IFDPWt_1FKiwhDph83XaGc0o0/edit?usp=sharing"",""งบพรบ!DE71"")"),0)</f>
        <v>0</v>
      </c>
      <c r="J71" s="82">
        <f t="shared" ca="1" si="3"/>
        <v>48533.33</v>
      </c>
      <c r="K71" s="83">
        <f t="shared" ca="1" si="4"/>
        <v>30.620397476340695</v>
      </c>
      <c r="L71" s="82">
        <f ca="1">IFERROR(__xludf.DUMMYFUNCTION("IMPORTRANGE(""https://docs.google.com/spreadsheets/d/1MeEWN-I1oV_STSDYn1IFDPWt_1FKiwhDph83XaGc0o0/edit?usp=sharing"",""งบพรบ!DF71"")"),48533.33)</f>
        <v>48533.33</v>
      </c>
      <c r="M71" s="84">
        <f t="shared" ca="1" si="5"/>
        <v>30.620397476340695</v>
      </c>
      <c r="N71" s="84">
        <f t="shared" ca="1" si="6"/>
        <v>46.666663461538462</v>
      </c>
      <c r="O71" s="85">
        <f ca="1">IFERROR(__xludf.DUMMYFUNCTION("IMPORTRANGE(""https://docs.google.com/spreadsheets/d/1MeEWN-I1oV_STSDYn1IFDPWt_1FKiwhDph83XaGc0o0/edit?usp=sharing"",""งบพรบ!DG71"")"),0)</f>
        <v>0</v>
      </c>
      <c r="P71" s="85">
        <f t="shared" ca="1" si="18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IFERROR(__xludf.DUMMYFUNCTION("IMPORTRANGE(""https://docs.google.com/spreadsheets/d/149xufxukrnEciK3WPbNpHwUK8BKEJxp3UcBG3Al6dA4/edit?usp=sharing"",""สิงห์บุรี!I271"")"),10)</f>
        <v>10</v>
      </c>
      <c r="S71" s="86">
        <f ca="1">IFERROR(__xludf.DUMMYFUNCTION("IMPORTRANGE(""https://docs.google.com/spreadsheets/d/149xufxukrnEciK3WPbNpHwUK8BKEJxp3UcBG3Al6dA4/edit?usp=sharing"",""สิงห์บุรี!J271"")"),0)</f>
        <v>0</v>
      </c>
      <c r="T71" s="87">
        <f t="shared" ca="1" si="16"/>
        <v>0</v>
      </c>
    </row>
    <row r="72" spans="1:20" ht="21" customHeight="1" x14ac:dyDescent="0.2">
      <c r="A72" s="78">
        <v>20</v>
      </c>
      <c r="B72" s="79" t="s">
        <v>94</v>
      </c>
      <c r="C72" s="80">
        <f t="shared" ca="1" si="0"/>
        <v>26900</v>
      </c>
      <c r="D72" s="81">
        <f t="shared" ca="1" si="26"/>
        <v>26900</v>
      </c>
      <c r="E72" s="82">
        <f ca="1">IFERROR(__xludf.DUMMYFUNCTION("IMPORTRANGE(""https://docs.google.com/spreadsheets/d/1MeEWN-I1oV_STSDYn1IFDPWt_1FKiwhDph83XaGc0o0/edit?usp=sharing"",""งบพรบ!CZ72"")"),0)</f>
        <v>0</v>
      </c>
      <c r="F72" s="82">
        <f ca="1">IFERROR(__xludf.DUMMYFUNCTION("IMPORTRANGE(""https://docs.google.com/spreadsheets/d/1MeEWN-I1oV_STSDYn1IFDPWt_1FKiwhDph83XaGc0o0/edit?usp=sharing"",""งบพรบ!DA72"")"),26900)</f>
        <v>26900</v>
      </c>
      <c r="G72" s="82">
        <f ca="1">IFERROR(__xludf.DUMMYFUNCTION("IMPORTRANGE(""https://docs.google.com/spreadsheets/d/1MeEWN-I1oV_STSDYn1IFDPWt_1FKiwhDph83XaGc0o0/edit?usp=sharing"",""งบพรบ!DB72"")"),0)</f>
        <v>0</v>
      </c>
      <c r="H72" s="82">
        <f ca="1">IFERROR(__xludf.DUMMYFUNCTION("IMPORTRANGE(""https://docs.google.com/spreadsheets/d/1MeEWN-I1oV_STSDYn1IFDPWt_1FKiwhDph83XaGc0o0/edit?usp=sharing"",""งบพรบ!DD72"")"),0)</f>
        <v>0</v>
      </c>
      <c r="I72" s="82">
        <f ca="1">IFERROR(__xludf.DUMMYFUNCTION("IMPORTRANGE(""https://docs.google.com/spreadsheets/d/1MeEWN-I1oV_STSDYn1IFDPWt_1FKiwhDph83XaGc0o0/edit?usp=sharing"",""งบพรบ!DE72"")"),0)</f>
        <v>0</v>
      </c>
      <c r="J72" s="82">
        <f t="shared" ca="1" si="3"/>
        <v>0</v>
      </c>
      <c r="K72" s="83">
        <f t="shared" ca="1" si="4"/>
        <v>0</v>
      </c>
      <c r="L72" s="82">
        <f ca="1">IFERROR(__xludf.DUMMYFUNCTION("IMPORTRANGE(""https://docs.google.com/spreadsheets/d/1MeEWN-I1oV_STSDYn1IFDPWt_1FKiwhDph83XaGc0o0/edit?usp=sharing"",""งบพรบ!DF72"")"),0)</f>
        <v>0</v>
      </c>
      <c r="M72" s="84">
        <f t="shared" ca="1" si="5"/>
        <v>0</v>
      </c>
      <c r="N72" s="84">
        <f t="shared" ca="1" si="6"/>
        <v>0</v>
      </c>
      <c r="O72" s="85">
        <f ca="1">IFERROR(__xludf.DUMMYFUNCTION("IMPORTRANGE(""https://docs.google.com/spreadsheets/d/1MeEWN-I1oV_STSDYn1IFDPWt_1FKiwhDph83XaGc0o0/edit?usp=sharing"",""งบพรบ!DG72"")"),0)</f>
        <v>0</v>
      </c>
      <c r="P72" s="85">
        <f t="shared" ca="1" si="18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IFERROR(__xludf.DUMMYFUNCTION("IMPORTRANGE(""https://docs.google.com/spreadsheets/d/132g-zJpz2uMKimp17uOIx8A7o3w1Z25zwJyXnwsB56c/edit?usp=sharing"",""สุพรรณบุรี!I271"")"),22)</f>
        <v>22</v>
      </c>
      <c r="S72" s="86">
        <f ca="1">IFERROR(__xludf.DUMMYFUNCTION("IMPORTRANGE(""https://docs.google.com/spreadsheets/d/132g-zJpz2uMKimp17uOIx8A7o3w1Z25zwJyXnwsB56c/edit?usp=sharing"",""สุพรรณบุรี!J271"")"),0)</f>
        <v>0</v>
      </c>
      <c r="T72" s="87">
        <f t="shared" ca="1" si="16"/>
        <v>0</v>
      </c>
    </row>
    <row r="73" spans="1:20" ht="21" customHeight="1" x14ac:dyDescent="0.2">
      <c r="A73" s="89">
        <v>21</v>
      </c>
      <c r="B73" s="90" t="s">
        <v>95</v>
      </c>
      <c r="C73" s="91">
        <f t="shared" ca="1" si="0"/>
        <v>158500</v>
      </c>
      <c r="D73" s="92">
        <f t="shared" ca="1" si="26"/>
        <v>158500</v>
      </c>
      <c r="E73" s="93">
        <f ca="1">IFERROR(__xludf.DUMMYFUNCTION("IMPORTRANGE(""https://docs.google.com/spreadsheets/d/1MeEWN-I1oV_STSDYn1IFDPWt_1FKiwhDph83XaGc0o0/edit?usp=sharing"",""งบพรบ!CZ73"")"),143000)</f>
        <v>143000</v>
      </c>
      <c r="F73" s="93">
        <f ca="1">IFERROR(__xludf.DUMMYFUNCTION("IMPORTRANGE(""https://docs.google.com/spreadsheets/d/1MeEWN-I1oV_STSDYn1IFDPWt_1FKiwhDph83XaGc0o0/edit?usp=sharing"",""งบพรบ!DA73"")"),15500)</f>
        <v>15500</v>
      </c>
      <c r="G73" s="93">
        <f ca="1">IFERROR(__xludf.DUMMYFUNCTION("IMPORTRANGE(""https://docs.google.com/spreadsheets/d/1MeEWN-I1oV_STSDYn1IFDPWt_1FKiwhDph83XaGc0o0/edit?usp=sharing"",""งบพรบ!DB73"")"),0)</f>
        <v>0</v>
      </c>
      <c r="H73" s="93">
        <f ca="1">IFERROR(__xludf.DUMMYFUNCTION("IMPORTRANGE(""https://docs.google.com/spreadsheets/d/1MeEWN-I1oV_STSDYn1IFDPWt_1FKiwhDph83XaGc0o0/edit?usp=sharing"",""งบพรบ!DD73"")"),104000)</f>
        <v>104000</v>
      </c>
      <c r="I73" s="93">
        <f ca="1">IFERROR(__xludf.DUMMYFUNCTION("IMPORTRANGE(""https://docs.google.com/spreadsheets/d/1MeEWN-I1oV_STSDYn1IFDPWt_1FKiwhDph83XaGc0o0/edit?usp=sharing"",""งบพรบ!DE73"")"),0)</f>
        <v>0</v>
      </c>
      <c r="J73" s="93">
        <f t="shared" ca="1" si="3"/>
        <v>37996</v>
      </c>
      <c r="K73" s="94">
        <f t="shared" ca="1" si="4"/>
        <v>23.97223974763407</v>
      </c>
      <c r="L73" s="93">
        <f ca="1">IFERROR(__xludf.DUMMYFUNCTION("IMPORTRANGE(""https://docs.google.com/spreadsheets/d/1MeEWN-I1oV_STSDYn1IFDPWt_1FKiwhDph83XaGc0o0/edit?usp=sharing"",""งบพรบ!DF73"")"),37996)</f>
        <v>37996</v>
      </c>
      <c r="M73" s="95">
        <f t="shared" ca="1" si="5"/>
        <v>23.97223974763407</v>
      </c>
      <c r="N73" s="95">
        <f t="shared" ca="1" si="6"/>
        <v>36.534615384615385</v>
      </c>
      <c r="O73" s="96">
        <f ca="1">IFERROR(__xludf.DUMMYFUNCTION("IMPORTRANGE(""https://docs.google.com/spreadsheets/d/1MeEWN-I1oV_STSDYn1IFDPWt_1FKiwhDph83XaGc0o0/edit?usp=sharing"",""งบพรบ!DG73"")"),0)</f>
        <v>0</v>
      </c>
      <c r="P73" s="96">
        <f t="shared" ca="1" si="18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IFERROR(__xludf.DUMMYFUNCTION("IMPORTRANGE(""https://docs.google.com/spreadsheets/d/12Q_U0nVnFdxDFwa0pej9xvx8ZvLC9Dpi_vRro_aiG5g/edit?usp=sharing"",""อ่างทอง!I271"")"),10)</f>
        <v>10</v>
      </c>
      <c r="S73" s="97">
        <f ca="1">IFERROR(__xludf.DUMMYFUNCTION("IMPORTRANGE(""https://docs.google.com/spreadsheets/d/12Q_U0nVnFdxDFwa0pej9xvx8ZvLC9Dpi_vRro_aiG5g/edit?usp=sharing"",""อ่างทอง!J271"")"),0)</f>
        <v>0</v>
      </c>
      <c r="T73" s="98">
        <f t="shared" ca="1" si="16"/>
        <v>0</v>
      </c>
    </row>
    <row r="74" spans="1:20" ht="21" customHeight="1" x14ac:dyDescent="0.2">
      <c r="A74" s="377" t="s">
        <v>96</v>
      </c>
      <c r="B74" s="357"/>
      <c r="C74" s="104">
        <f t="shared" ca="1" si="0"/>
        <v>641700</v>
      </c>
      <c r="D74" s="62">
        <f t="shared" ref="D74:I74" ca="1" si="27">SUM(D75:D88)</f>
        <v>641700</v>
      </c>
      <c r="E74" s="62">
        <f t="shared" ca="1" si="27"/>
        <v>286000</v>
      </c>
      <c r="F74" s="62">
        <f t="shared" ca="1" si="27"/>
        <v>355700</v>
      </c>
      <c r="G74" s="62">
        <f t="shared" ca="1" si="27"/>
        <v>0</v>
      </c>
      <c r="H74" s="62">
        <f t="shared" ca="1" si="27"/>
        <v>231900</v>
      </c>
      <c r="I74" s="62">
        <f t="shared" ca="1" si="27"/>
        <v>0</v>
      </c>
      <c r="J74" s="62">
        <f t="shared" ca="1" si="3"/>
        <v>83590.3</v>
      </c>
      <c r="K74" s="100">
        <f t="shared" ca="1" si="4"/>
        <v>13.026383045036621</v>
      </c>
      <c r="L74" s="62">
        <f ca="1">SUM(L75:L88)</f>
        <v>83590.3</v>
      </c>
      <c r="M74" s="101">
        <f t="shared" ca="1" si="5"/>
        <v>13.026383045036621</v>
      </c>
      <c r="N74" s="101">
        <f t="shared" ca="1" si="6"/>
        <v>36.045838723587757</v>
      </c>
      <c r="O74" s="102">
        <f ca="1">SUM(O75:O88)</f>
        <v>0</v>
      </c>
      <c r="P74" s="102">
        <f t="shared" ca="1" si="18"/>
        <v>0</v>
      </c>
      <c r="Q74" s="101">
        <f t="shared" ca="1" si="8"/>
        <v>0</v>
      </c>
      <c r="R74" s="62">
        <f t="shared" ref="R74:S74" ca="1" si="28">SUM(R75:R88)</f>
        <v>286</v>
      </c>
      <c r="S74" s="62">
        <f t="shared" ca="1" si="28"/>
        <v>22</v>
      </c>
      <c r="T74" s="101">
        <f t="shared" ca="1" si="16"/>
        <v>7.6923076923076925</v>
      </c>
    </row>
    <row r="75" spans="1:20" ht="21" customHeight="1" x14ac:dyDescent="0.2">
      <c r="A75" s="68">
        <v>1</v>
      </c>
      <c r="B75" s="69" t="s">
        <v>97</v>
      </c>
      <c r="C75" s="103">
        <f t="shared" ca="1" si="0"/>
        <v>26900</v>
      </c>
      <c r="D75" s="71">
        <f t="shared" ref="D75:D88" ca="1" si="29">+E75+F75</f>
        <v>26900</v>
      </c>
      <c r="E75" s="72">
        <f ca="1">IFERROR(__xludf.DUMMYFUNCTION("IMPORTRANGE(""https://docs.google.com/spreadsheets/d/1MeEWN-I1oV_STSDYn1IFDPWt_1FKiwhDph83XaGc0o0/edit?usp=sharing"",""งบพรบ!CZ75"")"),0)</f>
        <v>0</v>
      </c>
      <c r="F75" s="72">
        <f ca="1">IFERROR(__xludf.DUMMYFUNCTION("IMPORTRANGE(""https://docs.google.com/spreadsheets/d/1MeEWN-I1oV_STSDYn1IFDPWt_1FKiwhDph83XaGc0o0/edit?usp=sharing"",""งบพรบ!DA75"")"),26900)</f>
        <v>26900</v>
      </c>
      <c r="G75" s="105">
        <f ca="1">IFERROR(__xludf.DUMMYFUNCTION("IMPORTRANGE(""https://docs.google.com/spreadsheets/d/1MeEWN-I1oV_STSDYn1IFDPWt_1FKiwhDph83XaGc0o0/edit?usp=sharing"",""งบพรบ!DB75"")"),0)</f>
        <v>0</v>
      </c>
      <c r="H75" s="105">
        <f ca="1">IFERROR(__xludf.DUMMYFUNCTION("IMPORTRANGE(""https://docs.google.com/spreadsheets/d/1MeEWN-I1oV_STSDYn1IFDPWt_1FKiwhDph83XaGc0o0/edit?usp=sharing"",""งบพรบ!DD75"")"),0)</f>
        <v>0</v>
      </c>
      <c r="I75" s="105">
        <f ca="1">IFERROR(__xludf.DUMMYFUNCTION("IMPORTRANGE(""https://docs.google.com/spreadsheets/d/1MeEWN-I1oV_STSDYn1IFDPWt_1FKiwhDph83XaGc0o0/edit?usp=sharing"",""งบพรบ!DE75"")"),0)</f>
        <v>0</v>
      </c>
      <c r="J75" s="105">
        <f t="shared" ca="1" si="3"/>
        <v>0</v>
      </c>
      <c r="K75" s="106">
        <f t="shared" ca="1" si="4"/>
        <v>0</v>
      </c>
      <c r="L75" s="82">
        <f ca="1">IFERROR(__xludf.DUMMYFUNCTION("IMPORTRANGE(""https://docs.google.com/spreadsheets/d/1MeEWN-I1oV_STSDYn1IFDPWt_1FKiwhDph83XaGc0o0/edit?usp=sharing"",""งบพรบ!DF75"")"),0)</f>
        <v>0</v>
      </c>
      <c r="M75" s="75">
        <f t="shared" ca="1" si="5"/>
        <v>0</v>
      </c>
      <c r="N75" s="75">
        <f t="shared" ca="1" si="6"/>
        <v>0</v>
      </c>
      <c r="O75" s="76">
        <f ca="1">IFERROR(__xludf.DUMMYFUNCTION("IMPORTRANGE(""https://docs.google.com/spreadsheets/d/1MeEWN-I1oV_STSDYn1IFDPWt_1FKiwhDph83XaGc0o0/edit?usp=sharing"",""งบพรบ!DG75"")"),0)</f>
        <v>0</v>
      </c>
      <c r="P75" s="76">
        <f t="shared" ca="1" si="18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IFERROR(__xludf.DUMMYFUNCTION("IMPORTRANGE(""https://docs.google.com/spreadsheets/d/1kC41EOXpGBFOW658Fs3oD8beYlym0-zO54WY-2Qnp9I/edit?usp=sharing"",""กระบี่!I271"")"),22)</f>
        <v>22</v>
      </c>
      <c r="S75" s="73">
        <f ca="1">IFERROR(__xludf.DUMMYFUNCTION("IMPORTRANGE(""https://docs.google.com/spreadsheets/d/1kC41EOXpGBFOW658Fs3oD8beYlym0-zO54WY-2Qnp9I/edit?usp=sharing"",""กระบี่!J271"")"),0)</f>
        <v>0</v>
      </c>
      <c r="T75" s="77">
        <f t="shared" ca="1" si="16"/>
        <v>0</v>
      </c>
    </row>
    <row r="76" spans="1:20" ht="21" customHeight="1" x14ac:dyDescent="0.2">
      <c r="A76" s="78">
        <v>2</v>
      </c>
      <c r="B76" s="79" t="s">
        <v>98</v>
      </c>
      <c r="C76" s="80">
        <f t="shared" ca="1" si="0"/>
        <v>28800</v>
      </c>
      <c r="D76" s="81">
        <f t="shared" ca="1" si="29"/>
        <v>28800</v>
      </c>
      <c r="E76" s="82">
        <f ca="1">IFERROR(__xludf.DUMMYFUNCTION("IMPORTRANGE(""https://docs.google.com/spreadsheets/d/1MeEWN-I1oV_STSDYn1IFDPWt_1FKiwhDph83XaGc0o0/edit?usp=sharing"",""งบพรบ!CZ76"")"),0)</f>
        <v>0</v>
      </c>
      <c r="F76" s="82">
        <f ca="1">IFERROR(__xludf.DUMMYFUNCTION("IMPORTRANGE(""https://docs.google.com/spreadsheets/d/1MeEWN-I1oV_STSDYn1IFDPWt_1FKiwhDph83XaGc0o0/edit?usp=sharing"",""งบพรบ!DA76"")"),28800)</f>
        <v>28800</v>
      </c>
      <c r="G76" s="82">
        <f ca="1">IFERROR(__xludf.DUMMYFUNCTION("IMPORTRANGE(""https://docs.google.com/spreadsheets/d/1MeEWN-I1oV_STSDYn1IFDPWt_1FKiwhDph83XaGc0o0/edit?usp=sharing"",""งบพรบ!DB76"")"),0)</f>
        <v>0</v>
      </c>
      <c r="H76" s="82">
        <f ca="1">IFERROR(__xludf.DUMMYFUNCTION("IMPORTRANGE(""https://docs.google.com/spreadsheets/d/1MeEWN-I1oV_STSDYn1IFDPWt_1FKiwhDph83XaGc0o0/edit?usp=sharing"",""งบพรบ!DD76"")"),0)</f>
        <v>0</v>
      </c>
      <c r="I76" s="82">
        <f ca="1">IFERROR(__xludf.DUMMYFUNCTION("IMPORTRANGE(""https://docs.google.com/spreadsheets/d/1MeEWN-I1oV_STSDYn1IFDPWt_1FKiwhDph83XaGc0o0/edit?usp=sharing"",""งบพรบ!DE76"")"),0)</f>
        <v>0</v>
      </c>
      <c r="J76" s="82">
        <f t="shared" ca="1" si="3"/>
        <v>0</v>
      </c>
      <c r="K76" s="83">
        <f t="shared" ca="1" si="4"/>
        <v>0</v>
      </c>
      <c r="L76" s="82">
        <f ca="1">IFERROR(__xludf.DUMMYFUNCTION("IMPORTRANGE(""https://docs.google.com/spreadsheets/d/1MeEWN-I1oV_STSDYn1IFDPWt_1FKiwhDph83XaGc0o0/edit?usp=sharing"",""งบพรบ!DF76"")"),0)</f>
        <v>0</v>
      </c>
      <c r="M76" s="84">
        <f t="shared" ca="1" si="5"/>
        <v>0</v>
      </c>
      <c r="N76" s="84">
        <f t="shared" ca="1" si="6"/>
        <v>0</v>
      </c>
      <c r="O76" s="85">
        <f ca="1">IFERROR(__xludf.DUMMYFUNCTION("IMPORTRANGE(""https://docs.google.com/spreadsheets/d/1MeEWN-I1oV_STSDYn1IFDPWt_1FKiwhDph83XaGc0o0/edit?usp=sharing"",""งบพรบ!DG76"")"),0)</f>
        <v>0</v>
      </c>
      <c r="P76" s="85">
        <f t="shared" ca="1" si="18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IFERROR(__xludf.DUMMYFUNCTION("IMPORTRANGE(""https://docs.google.com/spreadsheets/d/1FbzMZY_f3MDiEuK7RpCQKrilJ_kpX0Wm7QBZ1L7EjIU/edit?usp=sharing"",""ชุมพร!I271"")"),24)</f>
        <v>24</v>
      </c>
      <c r="S76" s="86">
        <f ca="1">IFERROR(__xludf.DUMMYFUNCTION("IMPORTRANGE(""https://docs.google.com/spreadsheets/d/1FbzMZY_f3MDiEuK7RpCQKrilJ_kpX0Wm7QBZ1L7EjIU/edit?usp=sharing"",""ชุมพร!J271"")"),0)</f>
        <v>0</v>
      </c>
      <c r="T76" s="87">
        <f t="shared" ca="1" si="16"/>
        <v>0</v>
      </c>
    </row>
    <row r="77" spans="1:20" ht="21" customHeight="1" x14ac:dyDescent="0.2">
      <c r="A77" s="78">
        <v>3</v>
      </c>
      <c r="B77" s="79" t="s">
        <v>99</v>
      </c>
      <c r="C77" s="80">
        <f t="shared" ca="1" si="0"/>
        <v>26900</v>
      </c>
      <c r="D77" s="81">
        <f t="shared" ca="1" si="29"/>
        <v>26900</v>
      </c>
      <c r="E77" s="82">
        <f ca="1">IFERROR(__xludf.DUMMYFUNCTION("IMPORTRANGE(""https://docs.google.com/spreadsheets/d/1MeEWN-I1oV_STSDYn1IFDPWt_1FKiwhDph83XaGc0o0/edit?usp=sharing"",""งบพรบ!CZ77"")"),0)</f>
        <v>0</v>
      </c>
      <c r="F77" s="82">
        <f ca="1">IFERROR(__xludf.DUMMYFUNCTION("IMPORTRANGE(""https://docs.google.com/spreadsheets/d/1MeEWN-I1oV_STSDYn1IFDPWt_1FKiwhDph83XaGc0o0/edit?usp=sharing"",""งบพรบ!DA77"")"),26900)</f>
        <v>26900</v>
      </c>
      <c r="G77" s="82">
        <f ca="1">IFERROR(__xludf.DUMMYFUNCTION("IMPORTRANGE(""https://docs.google.com/spreadsheets/d/1MeEWN-I1oV_STSDYn1IFDPWt_1FKiwhDph83XaGc0o0/edit?usp=sharing"",""งบพรบ!DB77"")"),0)</f>
        <v>0</v>
      </c>
      <c r="H77" s="82">
        <f ca="1">IFERROR(__xludf.DUMMYFUNCTION("IMPORTRANGE(""https://docs.google.com/spreadsheets/d/1MeEWN-I1oV_STSDYn1IFDPWt_1FKiwhDph83XaGc0o0/edit?usp=sharing"",""งบพรบ!DD77"")"),23900)</f>
        <v>23900</v>
      </c>
      <c r="I77" s="82">
        <f ca="1">IFERROR(__xludf.DUMMYFUNCTION("IMPORTRANGE(""https://docs.google.com/spreadsheets/d/1MeEWN-I1oV_STSDYn1IFDPWt_1FKiwhDph83XaGc0o0/edit?usp=sharing"",""งบพรบ!DE77"")"),0)</f>
        <v>0</v>
      </c>
      <c r="J77" s="82">
        <f t="shared" ca="1" si="3"/>
        <v>14300</v>
      </c>
      <c r="K77" s="83">
        <f t="shared" ca="1" si="4"/>
        <v>53.159851301115239</v>
      </c>
      <c r="L77" s="82">
        <f ca="1">IFERROR(__xludf.DUMMYFUNCTION("IMPORTRANGE(""https://docs.google.com/spreadsheets/d/1MeEWN-I1oV_STSDYn1IFDPWt_1FKiwhDph83XaGc0o0/edit?usp=sharing"",""งบพรบ!DF77"")"),14300)</f>
        <v>14300</v>
      </c>
      <c r="M77" s="84">
        <f t="shared" ca="1" si="5"/>
        <v>53.159851301115239</v>
      </c>
      <c r="N77" s="84">
        <f t="shared" ca="1" si="6"/>
        <v>59.8326359832636</v>
      </c>
      <c r="O77" s="85">
        <f ca="1">IFERROR(__xludf.DUMMYFUNCTION("IMPORTRANGE(""https://docs.google.com/spreadsheets/d/1MeEWN-I1oV_STSDYn1IFDPWt_1FKiwhDph83XaGc0o0/edit?usp=sharing"",""งบพรบ!DG77"")"),0)</f>
        <v>0</v>
      </c>
      <c r="P77" s="85">
        <f t="shared" ca="1" si="18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IFERROR(__xludf.DUMMYFUNCTION("IMPORTRANGE(""https://docs.google.com/spreadsheets/d/1v5sN-00LrXuhBxw4dkh2GrG_z4l5oAqOdJRBCsUyMaM/edit?usp=sharing"",""ตรัง!I271"")"),22)</f>
        <v>22</v>
      </c>
      <c r="S77" s="86">
        <f ca="1">IFERROR(__xludf.DUMMYFUNCTION("IMPORTRANGE(""https://docs.google.com/spreadsheets/d/1v5sN-00LrXuhBxw4dkh2GrG_z4l5oAqOdJRBCsUyMaM/edit?usp=sharing"",""ตรัง!J271"")"),22)</f>
        <v>22</v>
      </c>
      <c r="T77" s="87">
        <f t="shared" ca="1" si="16"/>
        <v>100</v>
      </c>
    </row>
    <row r="78" spans="1:20" ht="21" customHeight="1" x14ac:dyDescent="0.2">
      <c r="A78" s="78">
        <v>4</v>
      </c>
      <c r="B78" s="79" t="s">
        <v>100</v>
      </c>
      <c r="C78" s="80">
        <f t="shared" ca="1" si="0"/>
        <v>173700</v>
      </c>
      <c r="D78" s="81">
        <f t="shared" ca="1" si="29"/>
        <v>173700</v>
      </c>
      <c r="E78" s="82">
        <f ca="1">IFERROR(__xludf.DUMMYFUNCTION("IMPORTRANGE(""https://docs.google.com/spreadsheets/d/1MeEWN-I1oV_STSDYn1IFDPWt_1FKiwhDph83XaGc0o0/edit?usp=sharing"",""งบพรบ!CZ78"")"),143000)</f>
        <v>143000</v>
      </c>
      <c r="F78" s="82">
        <f ca="1">IFERROR(__xludf.DUMMYFUNCTION("IMPORTRANGE(""https://docs.google.com/spreadsheets/d/1MeEWN-I1oV_STSDYn1IFDPWt_1FKiwhDph83XaGc0o0/edit?usp=sharing"",""งบพรบ!DA78"")"),30700)</f>
        <v>30700</v>
      </c>
      <c r="G78" s="82">
        <f ca="1">IFERROR(__xludf.DUMMYFUNCTION("IMPORTRANGE(""https://docs.google.com/spreadsheets/d/1MeEWN-I1oV_STSDYn1IFDPWt_1FKiwhDph83XaGc0o0/edit?usp=sharing"",""งบพรบ!DB78"")"),0)</f>
        <v>0</v>
      </c>
      <c r="H78" s="82">
        <f ca="1">IFERROR(__xludf.DUMMYFUNCTION("IMPORTRANGE(""https://docs.google.com/spreadsheets/d/1MeEWN-I1oV_STSDYn1IFDPWt_1FKiwhDph83XaGc0o0/edit?usp=sharing"",""งบพรบ!DD78"")"),104000)</f>
        <v>104000</v>
      </c>
      <c r="I78" s="82">
        <f ca="1">IFERROR(__xludf.DUMMYFUNCTION("IMPORTRANGE(""https://docs.google.com/spreadsheets/d/1MeEWN-I1oV_STSDYn1IFDPWt_1FKiwhDph83XaGc0o0/edit?usp=sharing"",""งบพรบ!DE78"")"),0)</f>
        <v>0</v>
      </c>
      <c r="J78" s="82">
        <f t="shared" ca="1" si="3"/>
        <v>30723.64</v>
      </c>
      <c r="K78" s="83">
        <f t="shared" ca="1" si="4"/>
        <v>17.687760506620609</v>
      </c>
      <c r="L78" s="82">
        <f ca="1">IFERROR(__xludf.DUMMYFUNCTION("IMPORTRANGE(""https://docs.google.com/spreadsheets/d/1MeEWN-I1oV_STSDYn1IFDPWt_1FKiwhDph83XaGc0o0/edit?usp=sharing"",""งบพรบ!DF78"")"),30723.64)</f>
        <v>30723.64</v>
      </c>
      <c r="M78" s="84">
        <f t="shared" ca="1" si="5"/>
        <v>17.687760506620609</v>
      </c>
      <c r="N78" s="84">
        <f t="shared" ca="1" si="6"/>
        <v>29.541961538461539</v>
      </c>
      <c r="O78" s="85">
        <f ca="1">IFERROR(__xludf.DUMMYFUNCTION("IMPORTRANGE(""https://docs.google.com/spreadsheets/d/1MeEWN-I1oV_STSDYn1IFDPWt_1FKiwhDph83XaGc0o0/edit?usp=sharing"",""งบพรบ!DG78"")"),0)</f>
        <v>0</v>
      </c>
      <c r="P78" s="85">
        <f t="shared" ca="1" si="18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IFERROR(__xludf.DUMMYFUNCTION("IMPORTRANGE(""https://docs.google.com/spreadsheets/d/1T5rRTzFc79aSIvqnzkZNvwPstq829QYz_xALlO1Z0s8/edit?usp=sharing"",""นครศรีธรรมราช!I271"")"),26)</f>
        <v>26</v>
      </c>
      <c r="S78" s="86">
        <f ca="1">IFERROR(__xludf.DUMMYFUNCTION("IMPORTRANGE(""https://docs.google.com/spreadsheets/d/1T5rRTzFc79aSIvqnzkZNvwPstq829QYz_xALlO1Z0s8/edit?usp=sharing"",""นครศรีธรรมราช!J271"")"),0)</f>
        <v>0</v>
      </c>
      <c r="T78" s="87">
        <f t="shared" ca="1" si="16"/>
        <v>0</v>
      </c>
    </row>
    <row r="79" spans="1:20" ht="21" customHeight="1" x14ac:dyDescent="0.2">
      <c r="A79" s="78">
        <v>5</v>
      </c>
      <c r="B79" s="79" t="s">
        <v>101</v>
      </c>
      <c r="C79" s="80">
        <f t="shared" ca="1" si="0"/>
        <v>21200</v>
      </c>
      <c r="D79" s="81">
        <f t="shared" ca="1" si="29"/>
        <v>21200</v>
      </c>
      <c r="E79" s="82">
        <f ca="1">IFERROR(__xludf.DUMMYFUNCTION("IMPORTRANGE(""https://docs.google.com/spreadsheets/d/1MeEWN-I1oV_STSDYn1IFDPWt_1FKiwhDph83XaGc0o0/edit?usp=sharing"",""งบพรบ!CZ79"")"),0)</f>
        <v>0</v>
      </c>
      <c r="F79" s="82">
        <f ca="1">IFERROR(__xludf.DUMMYFUNCTION("IMPORTRANGE(""https://docs.google.com/spreadsheets/d/1MeEWN-I1oV_STSDYn1IFDPWt_1FKiwhDph83XaGc0o0/edit?usp=sharing"",""งบพรบ!DA79"")"),21200)</f>
        <v>21200</v>
      </c>
      <c r="G79" s="82">
        <f ca="1">IFERROR(__xludf.DUMMYFUNCTION("IMPORTRANGE(""https://docs.google.com/spreadsheets/d/1MeEWN-I1oV_STSDYn1IFDPWt_1FKiwhDph83XaGc0o0/edit?usp=sharing"",""งบพรบ!DB79"")"),0)</f>
        <v>0</v>
      </c>
      <c r="H79" s="82">
        <f ca="1">IFERROR(__xludf.DUMMYFUNCTION("IMPORTRANGE(""https://docs.google.com/spreadsheets/d/1MeEWN-I1oV_STSDYn1IFDPWt_1FKiwhDph83XaGc0o0/edit?usp=sharing"",""งบพรบ!DD79"")"),0)</f>
        <v>0</v>
      </c>
      <c r="I79" s="82">
        <f ca="1">IFERROR(__xludf.DUMMYFUNCTION("IMPORTRANGE(""https://docs.google.com/spreadsheets/d/1MeEWN-I1oV_STSDYn1IFDPWt_1FKiwhDph83XaGc0o0/edit?usp=sharing"",""งบพรบ!DE79"")"),0)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IFERROR(__xludf.DUMMYFUNCTION("IMPORTRANGE(""https://docs.google.com/spreadsheets/d/1MeEWN-I1oV_STSDYn1IFDPWt_1FKiwhDph83XaGc0o0/edit?usp=sharing"",""งบพรบ!DF79"")"),0)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IFERROR(__xludf.DUMMYFUNCTION("IMPORTRANGE(""https://docs.google.com/spreadsheets/d/1MeEWN-I1oV_STSDYn1IFDPWt_1FKiwhDph83XaGc0o0/edit?usp=sharing"",""งบพรบ!DG79"")"),0)</f>
        <v>0</v>
      </c>
      <c r="P79" s="85">
        <f t="shared" ca="1" si="18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IFERROR(__xludf.DUMMYFUNCTION("IMPORTRANGE(""https://docs.google.com/spreadsheets/d/1BeghqumK0IvCmRd2QOy6_afsZq7ZtAGrSnVJy2u7WmY/edit?usp=sharing"",""นราธิวาส!I271"")"),16)</f>
        <v>16</v>
      </c>
      <c r="S79" s="86">
        <f ca="1">IFERROR(__xludf.DUMMYFUNCTION("IMPORTRANGE(""https://docs.google.com/spreadsheets/d/1BeghqumK0IvCmRd2QOy6_afsZq7ZtAGrSnVJy2u7WmY/edit?usp=sharing"",""นราธิวาส!J271"")"),0)</f>
        <v>0</v>
      </c>
      <c r="T79" s="87">
        <f t="shared" ca="1" si="16"/>
        <v>0</v>
      </c>
    </row>
    <row r="80" spans="1:20" ht="21" customHeight="1" x14ac:dyDescent="0.2">
      <c r="A80" s="78">
        <v>6</v>
      </c>
      <c r="B80" s="79" t="s">
        <v>102</v>
      </c>
      <c r="C80" s="80">
        <f t="shared" ca="1" si="0"/>
        <v>25000</v>
      </c>
      <c r="D80" s="81">
        <f t="shared" ca="1" si="29"/>
        <v>25000</v>
      </c>
      <c r="E80" s="82">
        <f ca="1">IFERROR(__xludf.DUMMYFUNCTION("IMPORTRANGE(""https://docs.google.com/spreadsheets/d/1MeEWN-I1oV_STSDYn1IFDPWt_1FKiwhDph83XaGc0o0/edit?usp=sharing"",""งบพรบ!CZ80"")"),0)</f>
        <v>0</v>
      </c>
      <c r="F80" s="82">
        <f ca="1">IFERROR(__xludf.DUMMYFUNCTION("IMPORTRANGE(""https://docs.google.com/spreadsheets/d/1MeEWN-I1oV_STSDYn1IFDPWt_1FKiwhDph83XaGc0o0/edit?usp=sharing"",""งบพรบ!DA80"")"),25000)</f>
        <v>25000</v>
      </c>
      <c r="G80" s="82">
        <f ca="1">IFERROR(__xludf.DUMMYFUNCTION("IMPORTRANGE(""https://docs.google.com/spreadsheets/d/1MeEWN-I1oV_STSDYn1IFDPWt_1FKiwhDph83XaGc0o0/edit?usp=sharing"",""งบพรบ!DB80"")"),0)</f>
        <v>0</v>
      </c>
      <c r="H80" s="82">
        <f ca="1">IFERROR(__xludf.DUMMYFUNCTION("IMPORTRANGE(""https://docs.google.com/spreadsheets/d/1MeEWN-I1oV_STSDYn1IFDPWt_1FKiwhDph83XaGc0o0/edit?usp=sharing"",""งบพรบ!DD80"")"),0)</f>
        <v>0</v>
      </c>
      <c r="I80" s="82">
        <f ca="1">IFERROR(__xludf.DUMMYFUNCTION("IMPORTRANGE(""https://docs.google.com/spreadsheets/d/1MeEWN-I1oV_STSDYn1IFDPWt_1FKiwhDph83XaGc0o0/edit?usp=sharing"",""งบพรบ!DE80"")"),0)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IFERROR(__xludf.DUMMYFUNCTION("IMPORTRANGE(""https://docs.google.com/spreadsheets/d/1MeEWN-I1oV_STSDYn1IFDPWt_1FKiwhDph83XaGc0o0/edit?usp=sharing"",""งบพรบ!DF80"")"),0)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IFERROR(__xludf.DUMMYFUNCTION("IMPORTRANGE(""https://docs.google.com/spreadsheets/d/1MeEWN-I1oV_STSDYn1IFDPWt_1FKiwhDph83XaGc0o0/edit?usp=sharing"",""งบพรบ!DG80"")"),0)</f>
        <v>0</v>
      </c>
      <c r="P80" s="85">
        <f t="shared" ca="1" si="18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IFERROR(__xludf.DUMMYFUNCTION("IMPORTRANGE(""https://docs.google.com/spreadsheets/d/1IwnW3-jjRf74MCLW-6PiFwMUffRQXZwZA7YM609NmRc/edit?usp=sharing"",""ปัตตานี!I271"")"),20)</f>
        <v>20</v>
      </c>
      <c r="S80" s="86">
        <f ca="1">IFERROR(__xludf.DUMMYFUNCTION("IMPORTRANGE(""https://docs.google.com/spreadsheets/d/1IwnW3-jjRf74MCLW-6PiFwMUffRQXZwZA7YM609NmRc/edit?usp=sharing"",""ปัตตานี!J271"")"),0)</f>
        <v>0</v>
      </c>
      <c r="T80" s="87">
        <f t="shared" ca="1" si="16"/>
        <v>0</v>
      </c>
    </row>
    <row r="81" spans="1:20" ht="21" customHeight="1" x14ac:dyDescent="0.2">
      <c r="A81" s="78">
        <v>7</v>
      </c>
      <c r="B81" s="79" t="s">
        <v>103</v>
      </c>
      <c r="C81" s="80">
        <f t="shared" ca="1" si="0"/>
        <v>26900</v>
      </c>
      <c r="D81" s="81">
        <f t="shared" ca="1" si="29"/>
        <v>26900</v>
      </c>
      <c r="E81" s="82">
        <f ca="1">IFERROR(__xludf.DUMMYFUNCTION("IMPORTRANGE(""https://docs.google.com/spreadsheets/d/1MeEWN-I1oV_STSDYn1IFDPWt_1FKiwhDph83XaGc0o0/edit?usp=sharing"",""งบพรบ!CZ81"")"),0)</f>
        <v>0</v>
      </c>
      <c r="F81" s="82">
        <f ca="1">IFERROR(__xludf.DUMMYFUNCTION("IMPORTRANGE(""https://docs.google.com/spreadsheets/d/1MeEWN-I1oV_STSDYn1IFDPWt_1FKiwhDph83XaGc0o0/edit?usp=sharing"",""งบพรบ!DA81"")"),26900)</f>
        <v>26900</v>
      </c>
      <c r="G81" s="82">
        <f ca="1">IFERROR(__xludf.DUMMYFUNCTION("IMPORTRANGE(""https://docs.google.com/spreadsheets/d/1MeEWN-I1oV_STSDYn1IFDPWt_1FKiwhDph83XaGc0o0/edit?usp=sharing"",""งบพรบ!DB81"")"),0)</f>
        <v>0</v>
      </c>
      <c r="H81" s="82">
        <f ca="1">IFERROR(__xludf.DUMMYFUNCTION("IMPORTRANGE(""https://docs.google.com/spreadsheets/d/1MeEWN-I1oV_STSDYn1IFDPWt_1FKiwhDph83XaGc0o0/edit?usp=sharing"",""งบพรบ!DD81"")"),0)</f>
        <v>0</v>
      </c>
      <c r="I81" s="82">
        <f ca="1">IFERROR(__xludf.DUMMYFUNCTION("IMPORTRANGE(""https://docs.google.com/spreadsheets/d/1MeEWN-I1oV_STSDYn1IFDPWt_1FKiwhDph83XaGc0o0/edit?usp=sharing"",""งบพรบ!DE81"")"),0)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IFERROR(__xludf.DUMMYFUNCTION("IMPORTRANGE(""https://docs.google.com/spreadsheets/d/1MeEWN-I1oV_STSDYn1IFDPWt_1FKiwhDph83XaGc0o0/edit?usp=sharing"",""งบพรบ!DF81"")"),0)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IFERROR(__xludf.DUMMYFUNCTION("IMPORTRANGE(""https://docs.google.com/spreadsheets/d/1MeEWN-I1oV_STSDYn1IFDPWt_1FKiwhDph83XaGc0o0/edit?usp=sharing"",""งบพรบ!DG81"")"),0)</f>
        <v>0</v>
      </c>
      <c r="P81" s="85">
        <f t="shared" ca="1" si="18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IFERROR(__xludf.DUMMYFUNCTION("IMPORTRANGE(""https://docs.google.com/spreadsheets/d/1vl4QWbWdFruual5o_wdo6ZSqXZ_it806oja4CctTLKs/edit?usp=sharing"",""พังงา!I271"")"),22)</f>
        <v>22</v>
      </c>
      <c r="S81" s="86">
        <f ca="1">IFERROR(__xludf.DUMMYFUNCTION("IMPORTRANGE(""https://docs.google.com/spreadsheets/d/1vl4QWbWdFruual5o_wdo6ZSqXZ_it806oja4CctTLKs/edit?usp=sharing"",""พังงา!J271"")"),0)</f>
        <v>0</v>
      </c>
      <c r="T81" s="87">
        <f t="shared" ca="1" si="16"/>
        <v>0</v>
      </c>
    </row>
    <row r="82" spans="1:20" ht="21" customHeight="1" x14ac:dyDescent="0.2">
      <c r="A82" s="78">
        <v>8</v>
      </c>
      <c r="B82" s="79" t="s">
        <v>104</v>
      </c>
      <c r="C82" s="80">
        <f t="shared" ca="1" si="0"/>
        <v>25000</v>
      </c>
      <c r="D82" s="81">
        <f t="shared" ca="1" si="29"/>
        <v>25000</v>
      </c>
      <c r="E82" s="82">
        <f ca="1">IFERROR(__xludf.DUMMYFUNCTION("IMPORTRANGE(""https://docs.google.com/spreadsheets/d/1MeEWN-I1oV_STSDYn1IFDPWt_1FKiwhDph83XaGc0o0/edit?usp=sharing"",""งบพรบ!CZ82"")"),0)</f>
        <v>0</v>
      </c>
      <c r="F82" s="82">
        <f ca="1">IFERROR(__xludf.DUMMYFUNCTION("IMPORTRANGE(""https://docs.google.com/spreadsheets/d/1MeEWN-I1oV_STSDYn1IFDPWt_1FKiwhDph83XaGc0o0/edit?usp=sharing"",""งบพรบ!DA82"")"),25000)</f>
        <v>25000</v>
      </c>
      <c r="G82" s="82">
        <f ca="1">IFERROR(__xludf.DUMMYFUNCTION("IMPORTRANGE(""https://docs.google.com/spreadsheets/d/1MeEWN-I1oV_STSDYn1IFDPWt_1FKiwhDph83XaGc0o0/edit?usp=sharing"",""งบพรบ!DB82"")"),0)</f>
        <v>0</v>
      </c>
      <c r="H82" s="82">
        <f ca="1">IFERROR(__xludf.DUMMYFUNCTION("IMPORTRANGE(""https://docs.google.com/spreadsheets/d/1MeEWN-I1oV_STSDYn1IFDPWt_1FKiwhDph83XaGc0o0/edit?usp=sharing"",""งบพรบ!DD82"")"),0)</f>
        <v>0</v>
      </c>
      <c r="I82" s="82">
        <f ca="1">IFERROR(__xludf.DUMMYFUNCTION("IMPORTRANGE(""https://docs.google.com/spreadsheets/d/1MeEWN-I1oV_STSDYn1IFDPWt_1FKiwhDph83XaGc0o0/edit?usp=sharing"",""งบพรบ!DE82"")"),0)</f>
        <v>0</v>
      </c>
      <c r="J82" s="82">
        <f t="shared" ca="1" si="3"/>
        <v>0</v>
      </c>
      <c r="K82" s="83">
        <f t="shared" ca="1" si="4"/>
        <v>0</v>
      </c>
      <c r="L82" s="82">
        <f ca="1">IFERROR(__xludf.DUMMYFUNCTION("IMPORTRANGE(""https://docs.google.com/spreadsheets/d/1MeEWN-I1oV_STSDYn1IFDPWt_1FKiwhDph83XaGc0o0/edit?usp=sharing"",""งบพรบ!DF82"")"),0)</f>
        <v>0</v>
      </c>
      <c r="M82" s="84">
        <f t="shared" ca="1" si="5"/>
        <v>0</v>
      </c>
      <c r="N82" s="84">
        <f t="shared" ca="1" si="6"/>
        <v>0</v>
      </c>
      <c r="O82" s="85">
        <f ca="1">IFERROR(__xludf.DUMMYFUNCTION("IMPORTRANGE(""https://docs.google.com/spreadsheets/d/1MeEWN-I1oV_STSDYn1IFDPWt_1FKiwhDph83XaGc0o0/edit?usp=sharing"",""งบพรบ!DG82"")"),0)</f>
        <v>0</v>
      </c>
      <c r="P82" s="85">
        <f t="shared" ca="1" si="18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IFERROR(__xludf.DUMMYFUNCTION("IMPORTRANGE(""https://docs.google.com/spreadsheets/d/1b6QssHQp2FoAPSMKHOy273KNzAomaIKhtdlvuZ_zDNE/edit?usp=sharing"",""พัทลุง!I271"")"),20)</f>
        <v>20</v>
      </c>
      <c r="S82" s="86">
        <f ca="1">IFERROR(__xludf.DUMMYFUNCTION("IMPORTRANGE(""https://docs.google.com/spreadsheets/d/1b6QssHQp2FoAPSMKHOy273KNzAomaIKhtdlvuZ_zDNE/edit?usp=sharing"",""พัทลุง!J271"")"),0)</f>
        <v>0</v>
      </c>
      <c r="T82" s="87">
        <f t="shared" ca="1" si="16"/>
        <v>0</v>
      </c>
    </row>
    <row r="83" spans="1:20" ht="21" customHeight="1" x14ac:dyDescent="0.2">
      <c r="A83" s="78">
        <v>9</v>
      </c>
      <c r="B83" s="79" t="s">
        <v>105</v>
      </c>
      <c r="C83" s="80">
        <f t="shared" ca="1" si="0"/>
        <v>25000</v>
      </c>
      <c r="D83" s="81">
        <f t="shared" ca="1" si="29"/>
        <v>25000</v>
      </c>
      <c r="E83" s="82">
        <f ca="1">IFERROR(__xludf.DUMMYFUNCTION("IMPORTRANGE(""https://docs.google.com/spreadsheets/d/1MeEWN-I1oV_STSDYn1IFDPWt_1FKiwhDph83XaGc0o0/edit?usp=sharing"",""งบพรบ!CZ83"")"),0)</f>
        <v>0</v>
      </c>
      <c r="F83" s="82">
        <f ca="1">IFERROR(__xludf.DUMMYFUNCTION("IMPORTRANGE(""https://docs.google.com/spreadsheets/d/1MeEWN-I1oV_STSDYn1IFDPWt_1FKiwhDph83XaGc0o0/edit?usp=sharing"",""งบพรบ!DA83"")"),25000)</f>
        <v>25000</v>
      </c>
      <c r="G83" s="82">
        <f ca="1">IFERROR(__xludf.DUMMYFUNCTION("IMPORTRANGE(""https://docs.google.com/spreadsheets/d/1MeEWN-I1oV_STSDYn1IFDPWt_1FKiwhDph83XaGc0o0/edit?usp=sharing"",""งบพรบ!DB83"")"),0)</f>
        <v>0</v>
      </c>
      <c r="H83" s="82">
        <f ca="1">IFERROR(__xludf.DUMMYFUNCTION("IMPORTRANGE(""https://docs.google.com/spreadsheets/d/1MeEWN-I1oV_STSDYn1IFDPWt_1FKiwhDph83XaGc0o0/edit?usp=sharing"",""งบพรบ!DD83"")"),0)</f>
        <v>0</v>
      </c>
      <c r="I83" s="82">
        <f ca="1">IFERROR(__xludf.DUMMYFUNCTION("IMPORTRANGE(""https://docs.google.com/spreadsheets/d/1MeEWN-I1oV_STSDYn1IFDPWt_1FKiwhDph83XaGc0o0/edit?usp=sharing"",""งบพรบ!DE83"")"),0)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IFERROR(__xludf.DUMMYFUNCTION("IMPORTRANGE(""https://docs.google.com/spreadsheets/d/1MeEWN-I1oV_STSDYn1IFDPWt_1FKiwhDph83XaGc0o0/edit?usp=sharing"",""งบพรบ!DF83"")"),0)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IFERROR(__xludf.DUMMYFUNCTION("IMPORTRANGE(""https://docs.google.com/spreadsheets/d/1MeEWN-I1oV_STSDYn1IFDPWt_1FKiwhDph83XaGc0o0/edit?usp=sharing"",""งบพรบ!DG83"")"),0)</f>
        <v>0</v>
      </c>
      <c r="P83" s="85">
        <f t="shared" ca="1" si="18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IFERROR(__xludf.DUMMYFUNCTION("IMPORTRANGE(""https://docs.google.com/spreadsheets/d/1o7UZe4_OqlqtLDHrj01Z2YFRSZDf1DMy1n3XViHaxRc/edit?usp=sharing"",""ภูเก็ต!I271"")"),20)</f>
        <v>20</v>
      </c>
      <c r="S83" s="86">
        <f ca="1">IFERROR(__xludf.DUMMYFUNCTION("IMPORTRANGE(""https://docs.google.com/spreadsheets/d/1o7UZe4_OqlqtLDHrj01Z2YFRSZDf1DMy1n3XViHaxRc/edit?usp=sharing"",""ภูเก็ต!J271"")"),0)</f>
        <v>0</v>
      </c>
      <c r="T83" s="87">
        <f t="shared" ca="1" si="16"/>
        <v>0</v>
      </c>
    </row>
    <row r="84" spans="1:20" ht="21" customHeight="1" x14ac:dyDescent="0.2">
      <c r="A84" s="78">
        <v>10</v>
      </c>
      <c r="B84" s="79" t="s">
        <v>106</v>
      </c>
      <c r="C84" s="80">
        <f t="shared" ca="1" si="0"/>
        <v>164200</v>
      </c>
      <c r="D84" s="81">
        <f t="shared" ca="1" si="29"/>
        <v>164200</v>
      </c>
      <c r="E84" s="82">
        <f ca="1">IFERROR(__xludf.DUMMYFUNCTION("IMPORTRANGE(""https://docs.google.com/spreadsheets/d/1MeEWN-I1oV_STSDYn1IFDPWt_1FKiwhDph83XaGc0o0/edit?usp=sharing"",""งบพรบ!CZ84"")"),143000)</f>
        <v>143000</v>
      </c>
      <c r="F84" s="82">
        <f ca="1">IFERROR(__xludf.DUMMYFUNCTION("IMPORTRANGE(""https://docs.google.com/spreadsheets/d/1MeEWN-I1oV_STSDYn1IFDPWt_1FKiwhDph83XaGc0o0/edit?usp=sharing"",""งบพรบ!DA84"")"),21200)</f>
        <v>21200</v>
      </c>
      <c r="G84" s="82">
        <f ca="1">IFERROR(__xludf.DUMMYFUNCTION("IMPORTRANGE(""https://docs.google.com/spreadsheets/d/1MeEWN-I1oV_STSDYn1IFDPWt_1FKiwhDph83XaGc0o0/edit?usp=sharing"",""งบพรบ!DB84"")"),0)</f>
        <v>0</v>
      </c>
      <c r="H84" s="82">
        <f ca="1">IFERROR(__xludf.DUMMYFUNCTION("IMPORTRANGE(""https://docs.google.com/spreadsheets/d/1MeEWN-I1oV_STSDYn1IFDPWt_1FKiwhDph83XaGc0o0/edit?usp=sharing"",""งบพรบ!DD84"")"),104000)</f>
        <v>104000</v>
      </c>
      <c r="I84" s="82">
        <f ca="1">IFERROR(__xludf.DUMMYFUNCTION("IMPORTRANGE(""https://docs.google.com/spreadsheets/d/1MeEWN-I1oV_STSDYn1IFDPWt_1FKiwhDph83XaGc0o0/edit?usp=sharing"",""งบพรบ!DE84"")"),0)</f>
        <v>0</v>
      </c>
      <c r="J84" s="82">
        <f t="shared" ca="1" si="3"/>
        <v>38566.660000000003</v>
      </c>
      <c r="K84" s="83">
        <f t="shared" ca="1" si="4"/>
        <v>23.487612667478686</v>
      </c>
      <c r="L84" s="82">
        <f ca="1">IFERROR(__xludf.DUMMYFUNCTION("IMPORTRANGE(""https://docs.google.com/spreadsheets/d/1MeEWN-I1oV_STSDYn1IFDPWt_1FKiwhDph83XaGc0o0/edit?usp=sharing"",""งบพรบ!DF84"")"),38566.66)</f>
        <v>38566.660000000003</v>
      </c>
      <c r="M84" s="84">
        <f t="shared" ca="1" si="5"/>
        <v>23.487612667478686</v>
      </c>
      <c r="N84" s="84">
        <f t="shared" ca="1" si="6"/>
        <v>37.083326923076925</v>
      </c>
      <c r="O84" s="85">
        <f ca="1">IFERROR(__xludf.DUMMYFUNCTION("IMPORTRANGE(""https://docs.google.com/spreadsheets/d/1MeEWN-I1oV_STSDYn1IFDPWt_1FKiwhDph83XaGc0o0/edit?usp=sharing"",""งบพรบ!DG84"")"),0)</f>
        <v>0</v>
      </c>
      <c r="P84" s="85">
        <f t="shared" ca="1" si="18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IFERROR(__xludf.DUMMYFUNCTION("IMPORTRANGE(""https://docs.google.com/spreadsheets/d/1ctPm1vUzcUCPuOj9-eoHUD85PqINFqUB0TjdSWmR5-c/edit?usp=sharing"",""ยะลา!I271"")"),16)</f>
        <v>16</v>
      </c>
      <c r="S84" s="86">
        <f ca="1">IFERROR(__xludf.DUMMYFUNCTION("IMPORTRANGE(""https://docs.google.com/spreadsheets/d/1ctPm1vUzcUCPuOj9-eoHUD85PqINFqUB0TjdSWmR5-c/edit?usp=sharing"",""ยะลา!J271"")"),0)</f>
        <v>0</v>
      </c>
      <c r="T84" s="87">
        <f t="shared" ca="1" si="16"/>
        <v>0</v>
      </c>
    </row>
    <row r="85" spans="1:20" ht="21" customHeight="1" x14ac:dyDescent="0.2">
      <c r="A85" s="78">
        <v>11</v>
      </c>
      <c r="B85" s="79" t="s">
        <v>107</v>
      </c>
      <c r="C85" s="80">
        <f t="shared" ca="1" si="0"/>
        <v>23100</v>
      </c>
      <c r="D85" s="81">
        <f t="shared" ca="1" si="29"/>
        <v>23100</v>
      </c>
      <c r="E85" s="82">
        <f ca="1">IFERROR(__xludf.DUMMYFUNCTION("IMPORTRANGE(""https://docs.google.com/spreadsheets/d/1MeEWN-I1oV_STSDYn1IFDPWt_1FKiwhDph83XaGc0o0/edit?usp=sharing"",""งบพรบ!CZ85"")"),0)</f>
        <v>0</v>
      </c>
      <c r="F85" s="82">
        <f ca="1">IFERROR(__xludf.DUMMYFUNCTION("IMPORTRANGE(""https://docs.google.com/spreadsheets/d/1MeEWN-I1oV_STSDYn1IFDPWt_1FKiwhDph83XaGc0o0/edit?usp=sharing"",""งบพรบ!DA85"")"),23100)</f>
        <v>23100</v>
      </c>
      <c r="G85" s="82">
        <f ca="1">IFERROR(__xludf.DUMMYFUNCTION("IMPORTRANGE(""https://docs.google.com/spreadsheets/d/1MeEWN-I1oV_STSDYn1IFDPWt_1FKiwhDph83XaGc0o0/edit?usp=sharing"",""งบพรบ!DB85"")"),0)</f>
        <v>0</v>
      </c>
      <c r="H85" s="82">
        <f ca="1">IFERROR(__xludf.DUMMYFUNCTION("IMPORTRANGE(""https://docs.google.com/spreadsheets/d/1MeEWN-I1oV_STSDYn1IFDPWt_1FKiwhDph83XaGc0o0/edit?usp=sharing"",""งบพรบ!DD85"")"),0)</f>
        <v>0</v>
      </c>
      <c r="I85" s="82">
        <f ca="1">IFERROR(__xludf.DUMMYFUNCTION("IMPORTRANGE(""https://docs.google.com/spreadsheets/d/1MeEWN-I1oV_STSDYn1IFDPWt_1FKiwhDph83XaGc0o0/edit?usp=sharing"",""งบพรบ!DE85"")"),0)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IFERROR(__xludf.DUMMYFUNCTION("IMPORTRANGE(""https://docs.google.com/spreadsheets/d/1MeEWN-I1oV_STSDYn1IFDPWt_1FKiwhDph83XaGc0o0/edit?usp=sharing"",""งบพรบ!DF85"")"),0)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IFERROR(__xludf.DUMMYFUNCTION("IMPORTRANGE(""https://docs.google.com/spreadsheets/d/1MeEWN-I1oV_STSDYn1IFDPWt_1FKiwhDph83XaGc0o0/edit?usp=sharing"",""งบพรบ!DG85"")"),0)</f>
        <v>0</v>
      </c>
      <c r="P85" s="85">
        <f t="shared" ca="1" si="18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IFERROR(__xludf.DUMMYFUNCTION("IMPORTRANGE(""https://docs.google.com/spreadsheets/d/1YiDIE7Klmt8osgdapRqYWNr7iPGFSsiJqq46S7PYRE0/edit?usp=sharing"",""ระนอง!I271"")"),18)</f>
        <v>18</v>
      </c>
      <c r="S85" s="86">
        <f ca="1">IFERROR(__xludf.DUMMYFUNCTION("IMPORTRANGE(""https://docs.google.com/spreadsheets/d/1YiDIE7Klmt8osgdapRqYWNr7iPGFSsiJqq46S7PYRE0/edit?usp=sharing"",""ระนอง!J271"")"),0)</f>
        <v>0</v>
      </c>
      <c r="T85" s="87">
        <f t="shared" ca="1" si="16"/>
        <v>0</v>
      </c>
    </row>
    <row r="86" spans="1:20" ht="24" customHeight="1" x14ac:dyDescent="0.2">
      <c r="A86" s="78">
        <v>12</v>
      </c>
      <c r="B86" s="79" t="s">
        <v>108</v>
      </c>
      <c r="C86" s="80">
        <f t="shared" ca="1" si="0"/>
        <v>25000</v>
      </c>
      <c r="D86" s="81">
        <f t="shared" ca="1" si="29"/>
        <v>25000</v>
      </c>
      <c r="E86" s="82">
        <f ca="1">IFERROR(__xludf.DUMMYFUNCTION("IMPORTRANGE(""https://docs.google.com/spreadsheets/d/1MeEWN-I1oV_STSDYn1IFDPWt_1FKiwhDph83XaGc0o0/edit?usp=sharing"",""งบพรบ!CZ86"")"),0)</f>
        <v>0</v>
      </c>
      <c r="F86" s="82">
        <f ca="1">IFERROR(__xludf.DUMMYFUNCTION("IMPORTRANGE(""https://docs.google.com/spreadsheets/d/1MeEWN-I1oV_STSDYn1IFDPWt_1FKiwhDph83XaGc0o0/edit?usp=sharing"",""งบพรบ!DA86"")"),25000)</f>
        <v>25000</v>
      </c>
      <c r="G86" s="82">
        <f ca="1">IFERROR(__xludf.DUMMYFUNCTION("IMPORTRANGE(""https://docs.google.com/spreadsheets/d/1MeEWN-I1oV_STSDYn1IFDPWt_1FKiwhDph83XaGc0o0/edit?usp=sharing"",""งบพรบ!DB86"")"),0)</f>
        <v>0</v>
      </c>
      <c r="H86" s="82">
        <f ca="1">IFERROR(__xludf.DUMMYFUNCTION("IMPORTRANGE(""https://docs.google.com/spreadsheets/d/1MeEWN-I1oV_STSDYn1IFDPWt_1FKiwhDph83XaGc0o0/edit?usp=sharing"",""งบพรบ!DD86"")"),0)</f>
        <v>0</v>
      </c>
      <c r="I86" s="82">
        <f ca="1">IFERROR(__xludf.DUMMYFUNCTION("IMPORTRANGE(""https://docs.google.com/spreadsheets/d/1MeEWN-I1oV_STSDYn1IFDPWt_1FKiwhDph83XaGc0o0/edit?usp=sharing"",""งบพรบ!DE86"")"),0)</f>
        <v>0</v>
      </c>
      <c r="J86" s="82">
        <f t="shared" ca="1" si="3"/>
        <v>0</v>
      </c>
      <c r="K86" s="83">
        <f t="shared" ca="1" si="4"/>
        <v>0</v>
      </c>
      <c r="L86" s="82">
        <f ca="1">IFERROR(__xludf.DUMMYFUNCTION("IMPORTRANGE(""https://docs.google.com/spreadsheets/d/1MeEWN-I1oV_STSDYn1IFDPWt_1FKiwhDph83XaGc0o0/edit?usp=sharing"",""งบพรบ!DF86"")"),0)</f>
        <v>0</v>
      </c>
      <c r="M86" s="84">
        <f t="shared" ca="1" si="5"/>
        <v>0</v>
      </c>
      <c r="N86" s="84">
        <f t="shared" ca="1" si="6"/>
        <v>0</v>
      </c>
      <c r="O86" s="85">
        <f ca="1">IFERROR(__xludf.DUMMYFUNCTION("IMPORTRANGE(""https://docs.google.com/spreadsheets/d/1MeEWN-I1oV_STSDYn1IFDPWt_1FKiwhDph83XaGc0o0/edit?usp=sharing"",""งบพรบ!DG86"")"),0)</f>
        <v>0</v>
      </c>
      <c r="P86" s="85">
        <f t="shared" ca="1" si="18"/>
        <v>0</v>
      </c>
      <c r="Q86" s="84">
        <f t="shared" ca="1" si="8"/>
        <v>0</v>
      </c>
      <c r="R86" s="86">
        <f ca="1">IFERROR(__xludf.DUMMYFUNCTION("IMPORTRANGE(""https://docs.google.com/spreadsheets/d/16o_4B-V7AWw_6E93bSpXj_XxVv1oVQctk-B6z1dNEWU/edit?usp=sharing"",""สงขลา!I271"")"),20)</f>
        <v>20</v>
      </c>
      <c r="S86" s="86">
        <f ca="1">IFERROR(__xludf.DUMMYFUNCTION("IMPORTRANGE(""https://docs.google.com/spreadsheets/d/16o_4B-V7AWw_6E93bSpXj_XxVv1oVQctk-B6z1dNEWU/edit?usp=sharing"",""สงขลา!J271"")"),0)</f>
        <v>0</v>
      </c>
      <c r="T86" s="87">
        <f t="shared" ca="1" si="16"/>
        <v>0</v>
      </c>
    </row>
    <row r="87" spans="1:20" ht="24" customHeight="1" x14ac:dyDescent="0.2">
      <c r="A87" s="78">
        <v>13</v>
      </c>
      <c r="B87" s="79" t="s">
        <v>109</v>
      </c>
      <c r="C87" s="80">
        <f t="shared" ca="1" si="0"/>
        <v>25000</v>
      </c>
      <c r="D87" s="81">
        <f t="shared" ca="1" si="29"/>
        <v>25000</v>
      </c>
      <c r="E87" s="82">
        <f ca="1">IFERROR(__xludf.DUMMYFUNCTION("IMPORTRANGE(""https://docs.google.com/spreadsheets/d/1MeEWN-I1oV_STSDYn1IFDPWt_1FKiwhDph83XaGc0o0/edit?usp=sharing"",""งบพรบ!CZ87"")"),0)</f>
        <v>0</v>
      </c>
      <c r="F87" s="82">
        <f ca="1">IFERROR(__xludf.DUMMYFUNCTION("IMPORTRANGE(""https://docs.google.com/spreadsheets/d/1MeEWN-I1oV_STSDYn1IFDPWt_1FKiwhDph83XaGc0o0/edit?usp=sharing"",""งบพรบ!DA87"")"),25000)</f>
        <v>25000</v>
      </c>
      <c r="G87" s="82">
        <f ca="1">IFERROR(__xludf.DUMMYFUNCTION("IMPORTRANGE(""https://docs.google.com/spreadsheets/d/1MeEWN-I1oV_STSDYn1IFDPWt_1FKiwhDph83XaGc0o0/edit?usp=sharing"",""งบพรบ!DB87"")"),0)</f>
        <v>0</v>
      </c>
      <c r="H87" s="82">
        <f ca="1">IFERROR(__xludf.DUMMYFUNCTION("IMPORTRANGE(""https://docs.google.com/spreadsheets/d/1MeEWN-I1oV_STSDYn1IFDPWt_1FKiwhDph83XaGc0o0/edit?usp=sharing"",""งบพรบ!DD87"")"),0)</f>
        <v>0</v>
      </c>
      <c r="I87" s="82">
        <f ca="1">IFERROR(__xludf.DUMMYFUNCTION("IMPORTRANGE(""https://docs.google.com/spreadsheets/d/1MeEWN-I1oV_STSDYn1IFDPWt_1FKiwhDph83XaGc0o0/edit?usp=sharing"",""งบพรบ!DE87"")"),0)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IFERROR(__xludf.DUMMYFUNCTION("IMPORTRANGE(""https://docs.google.com/spreadsheets/d/1MeEWN-I1oV_STSDYn1IFDPWt_1FKiwhDph83XaGc0o0/edit?usp=sharing"",""งบพรบ!DF87"")"),0)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IFERROR(__xludf.DUMMYFUNCTION("IMPORTRANGE(""https://docs.google.com/spreadsheets/d/1MeEWN-I1oV_STSDYn1IFDPWt_1FKiwhDph83XaGc0o0/edit?usp=sharing"",""งบพรบ!DG87"")"),0)</f>
        <v>0</v>
      </c>
      <c r="P87" s="85">
        <f t="shared" ca="1" si="18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IFERROR(__xludf.DUMMYFUNCTION("IMPORTRANGE(""https://docs.google.com/spreadsheets/d/16cywr71Fj4fA5OGRHsZh30ZG2gwJhMAQv69oVBzYHv0/edit?usp=sharing"",""สตูล!I271"")"),20)</f>
        <v>20</v>
      </c>
      <c r="S87" s="86">
        <f ca="1">IFERROR(__xludf.DUMMYFUNCTION("IMPORTRANGE(""https://docs.google.com/spreadsheets/d/16cywr71Fj4fA5OGRHsZh30ZG2gwJhMAQv69oVBzYHv0/edit?usp=sharing"",""สตูล!J271"")"),0)</f>
        <v>0</v>
      </c>
      <c r="T87" s="87">
        <f t="shared" ca="1" si="16"/>
        <v>0</v>
      </c>
    </row>
    <row r="88" spans="1:20" ht="24" customHeight="1" x14ac:dyDescent="0.2">
      <c r="A88" s="89">
        <v>14</v>
      </c>
      <c r="B88" s="90" t="s">
        <v>110</v>
      </c>
      <c r="C88" s="91">
        <f t="shared" ca="1" si="0"/>
        <v>25000</v>
      </c>
      <c r="D88" s="92">
        <f t="shared" ca="1" si="29"/>
        <v>25000</v>
      </c>
      <c r="E88" s="93">
        <f ca="1">IFERROR(__xludf.DUMMYFUNCTION("IMPORTRANGE(""https://docs.google.com/spreadsheets/d/1MeEWN-I1oV_STSDYn1IFDPWt_1FKiwhDph83XaGc0o0/edit?usp=sharing"",""งบพรบ!CZ88"")"),0)</f>
        <v>0</v>
      </c>
      <c r="F88" s="93">
        <f ca="1">IFERROR(__xludf.DUMMYFUNCTION("IMPORTRANGE(""https://docs.google.com/spreadsheets/d/1MeEWN-I1oV_STSDYn1IFDPWt_1FKiwhDph83XaGc0o0/edit?usp=sharing"",""งบพรบ!DA88"")"),25000)</f>
        <v>25000</v>
      </c>
      <c r="G88" s="93">
        <f ca="1">IFERROR(__xludf.DUMMYFUNCTION("IMPORTRANGE(""https://docs.google.com/spreadsheets/d/1MeEWN-I1oV_STSDYn1IFDPWt_1FKiwhDph83XaGc0o0/edit?usp=sharing"",""งบพรบ!DB88"")"),0)</f>
        <v>0</v>
      </c>
      <c r="H88" s="93">
        <f ca="1">IFERROR(__xludf.DUMMYFUNCTION("IMPORTRANGE(""https://docs.google.com/spreadsheets/d/1MeEWN-I1oV_STSDYn1IFDPWt_1FKiwhDph83XaGc0o0/edit?usp=sharing"",""งบพรบ!DD88"")"),0)</f>
        <v>0</v>
      </c>
      <c r="I88" s="93">
        <f ca="1">IFERROR(__xludf.DUMMYFUNCTION("IMPORTRANGE(""https://docs.google.com/spreadsheets/d/1MeEWN-I1oV_STSDYn1IFDPWt_1FKiwhDph83XaGc0o0/edit?usp=sharing"",""งบพรบ!DE88"")"),0)</f>
        <v>0</v>
      </c>
      <c r="J88" s="93">
        <f t="shared" ca="1" si="3"/>
        <v>0</v>
      </c>
      <c r="K88" s="94">
        <f t="shared" ca="1" si="4"/>
        <v>0</v>
      </c>
      <c r="L88" s="93">
        <f ca="1">IFERROR(__xludf.DUMMYFUNCTION("IMPORTRANGE(""https://docs.google.com/spreadsheets/d/1MeEWN-I1oV_STSDYn1IFDPWt_1FKiwhDph83XaGc0o0/edit?usp=sharing"",""งบพรบ!DF88"")"),0)</f>
        <v>0</v>
      </c>
      <c r="M88" s="95">
        <f t="shared" ca="1" si="5"/>
        <v>0</v>
      </c>
      <c r="N88" s="95">
        <f t="shared" ca="1" si="6"/>
        <v>0</v>
      </c>
      <c r="O88" s="96">
        <f ca="1">IFERROR(__xludf.DUMMYFUNCTION("IMPORTRANGE(""https://docs.google.com/spreadsheets/d/1MeEWN-I1oV_STSDYn1IFDPWt_1FKiwhDph83XaGc0o0/edit?usp=sharing"",""งบพรบ!DG88"")"),0)</f>
        <v>0</v>
      </c>
      <c r="P88" s="96">
        <f t="shared" ca="1" si="18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IFERROR(__xludf.DUMMYFUNCTION("IMPORTRANGE(""https://docs.google.com/spreadsheets/d/1vO9Sws6kMtrVtyvrAJptINXjK8TFBoX9xLYOVK_C8bQ/edit?usp=sharing"",""สุราษฎร์ธานี!I271"")"),20)</f>
        <v>20</v>
      </c>
      <c r="S88" s="97">
        <f ca="1">IFERROR(__xludf.DUMMYFUNCTION("IMPORTRANGE(""https://docs.google.com/spreadsheets/d/1vO9Sws6kMtrVtyvrAJptINXjK8TFBoX9xLYOVK_C8bQ/edit?usp=sharing"",""สุราษฎร์ธานี!J271"")"),0)</f>
        <v>0</v>
      </c>
      <c r="T88" s="98">
        <f t="shared" ca="1" si="16"/>
        <v>0</v>
      </c>
    </row>
    <row r="89" spans="1:20" ht="21" hidden="1" customHeight="1" x14ac:dyDescent="0.2">
      <c r="A89" s="381" t="s">
        <v>111</v>
      </c>
      <c r="B89" s="357"/>
      <c r="C89" s="107">
        <f t="shared" ca="1" si="0"/>
        <v>372200</v>
      </c>
      <c r="D89" s="46">
        <f t="shared" ref="D89:I89" ca="1" si="30">+D90+D91+D92+D93+D94+D95+D96+D97+D98+D99+D100+D101+D102+D103</f>
        <v>372200</v>
      </c>
      <c r="E89" s="46">
        <f t="shared" ca="1" si="30"/>
        <v>100000</v>
      </c>
      <c r="F89" s="46">
        <f t="shared" ca="1" si="30"/>
        <v>272200</v>
      </c>
      <c r="G89" s="46">
        <f t="shared" ca="1" si="30"/>
        <v>0</v>
      </c>
      <c r="H89" s="46">
        <f t="shared" ca="1" si="30"/>
        <v>895400</v>
      </c>
      <c r="I89" s="46">
        <f t="shared" ca="1" si="30"/>
        <v>0</v>
      </c>
      <c r="J89" s="46">
        <f t="shared" ca="1" si="3"/>
        <v>59800.04</v>
      </c>
      <c r="K89" s="48">
        <f t="shared" ca="1" si="4"/>
        <v>16.066641590542719</v>
      </c>
      <c r="L89" s="46">
        <f ca="1">+L90+L91+L92+L93+L94+L95+L96+L97+L98+L99+L100+L101+L102+L103</f>
        <v>59800.04</v>
      </c>
      <c r="M89" s="49">
        <f t="shared" ca="1" si="5"/>
        <v>16.066641590542719</v>
      </c>
      <c r="N89" s="49">
        <f t="shared" ca="1" si="6"/>
        <v>6.6785838731293277</v>
      </c>
      <c r="O89" s="50">
        <f ca="1">+O90+O91+O92+O93+O94+O95+O96+O97+O98+O99+O100+O101+O102+O103</f>
        <v>0</v>
      </c>
      <c r="P89" s="50">
        <f t="shared" ca="1" si="18"/>
        <v>0</v>
      </c>
      <c r="Q89" s="49">
        <f t="shared" ca="1" si="8"/>
        <v>0</v>
      </c>
      <c r="R89" s="46"/>
      <c r="S89" s="46"/>
      <c r="T89" s="49"/>
    </row>
    <row r="90" spans="1:20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31">+E90+F90</f>
        <v>0</v>
      </c>
      <c r="E90" s="72">
        <f ca="1">IFERROR(__xludf.DUMMYFUNCTION("IMPORTRANGE(""https://docs.google.com/spreadsheets/d/1MeEWN-I1oV_STSDYn1IFDPWt_1FKiwhDph83XaGc0o0/edit?usp=sharing"",""งบพรบ!CZ90"")"),0)</f>
        <v>0</v>
      </c>
      <c r="F90" s="72">
        <f ca="1">IFERROR(__xludf.DUMMYFUNCTION("IMPORTRANGE(""https://docs.google.com/spreadsheets/d/1MeEWN-I1oV_STSDYn1IFDPWt_1FKiwhDph83XaGc0o0/edit?usp=sharing"",""งบพรบ!DA90"")"),0)</f>
        <v>0</v>
      </c>
      <c r="G90" s="72">
        <f ca="1">IFERROR(__xludf.DUMMYFUNCTION("IMPORTRANGE(""https://docs.google.com/spreadsheets/d/1MeEWN-I1oV_STSDYn1IFDPWt_1FKiwhDph83XaGc0o0/edit?usp=sharing"",""งบพรบ!DB90"")"),0)</f>
        <v>0</v>
      </c>
      <c r="H90" s="72">
        <f ca="1">IFERROR(__xludf.DUMMYFUNCTION("IMPORTRANGE(""https://docs.google.com/spreadsheets/d/1MeEWN-I1oV_STSDYn1IFDPWt_1FKiwhDph83XaGc0o0/edit?usp=sharing"",""งบพรบ!DD90"")"),0)</f>
        <v>0</v>
      </c>
      <c r="I90" s="72">
        <f ca="1">IFERROR(__xludf.DUMMYFUNCTION("IMPORTRANGE(""https://docs.google.com/spreadsheets/d/1MeEWN-I1oV_STSDYn1IFDPWt_1FKiwhDph83XaGc0o0/edit?usp=sharing"",""งบพรบ!DE90"")"),0)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IFERROR(__xludf.DUMMYFUNCTION("IMPORTRANGE(""https://docs.google.com/spreadsheets/d/1MeEWN-I1oV_STSDYn1IFDPWt_1FKiwhDph83XaGc0o0/edit?usp=sharing"",""งบพรบ!DF90"")"),0)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IFERROR(__xludf.DUMMYFUNCTION("IMPORTRANGE(""https://docs.google.com/spreadsheets/d/1MeEWN-I1oV_STSDYn1IFDPWt_1FKiwhDph83XaGc0o0/edit?usp=sharing"",""งบพรบ!DG90"")"),0)</f>
        <v>0</v>
      </c>
      <c r="P90" s="76">
        <f t="shared" ca="1" si="18"/>
        <v>0</v>
      </c>
      <c r="Q90" s="75">
        <f t="shared" ca="1" si="8"/>
        <v>0</v>
      </c>
      <c r="R90" s="72"/>
      <c r="S90" s="72"/>
      <c r="T90" s="75"/>
    </row>
    <row r="91" spans="1:20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31"/>
        <v>0</v>
      </c>
      <c r="E91" s="82">
        <f ca="1">IFERROR(__xludf.DUMMYFUNCTION("IMPORTRANGE(""https://docs.google.com/spreadsheets/d/1MeEWN-I1oV_STSDYn1IFDPWt_1FKiwhDph83XaGc0o0/edit?usp=sharing"",""งบพรบ!CZ91"")"),0)</f>
        <v>0</v>
      </c>
      <c r="F91" s="82">
        <f ca="1">IFERROR(__xludf.DUMMYFUNCTION("IMPORTRANGE(""https://docs.google.com/spreadsheets/d/1MeEWN-I1oV_STSDYn1IFDPWt_1FKiwhDph83XaGc0o0/edit?usp=sharing"",""งบพรบ!DA91"")"),0)</f>
        <v>0</v>
      </c>
      <c r="G91" s="82">
        <f ca="1">IFERROR(__xludf.DUMMYFUNCTION("IMPORTRANGE(""https://docs.google.com/spreadsheets/d/1MeEWN-I1oV_STSDYn1IFDPWt_1FKiwhDph83XaGc0o0/edit?usp=sharing"",""งบพรบ!DB91"")"),0)</f>
        <v>0</v>
      </c>
      <c r="H91" s="82">
        <f ca="1">IFERROR(__xludf.DUMMYFUNCTION("IMPORTRANGE(""https://docs.google.com/spreadsheets/d/1MeEWN-I1oV_STSDYn1IFDPWt_1FKiwhDph83XaGc0o0/edit?usp=sharing"",""งบพรบ!DD91"")"),0)</f>
        <v>0</v>
      </c>
      <c r="I91" s="82">
        <f ca="1">IFERROR(__xludf.DUMMYFUNCTION("IMPORTRANGE(""https://docs.google.com/spreadsheets/d/1MeEWN-I1oV_STSDYn1IFDPWt_1FKiwhDph83XaGc0o0/edit?usp=sharing"",""งบพรบ!DE91"")"),0)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IFERROR(__xludf.DUMMYFUNCTION("IMPORTRANGE(""https://docs.google.com/spreadsheets/d/1MeEWN-I1oV_STSDYn1IFDPWt_1FKiwhDph83XaGc0o0/edit?usp=sharing"",""งบพรบ!DF91"")"),0)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IFERROR(__xludf.DUMMYFUNCTION("IMPORTRANGE(""https://docs.google.com/spreadsheets/d/1MeEWN-I1oV_STSDYn1IFDPWt_1FKiwhDph83XaGc0o0/edit?usp=sharing"",""งบพรบ!DG91"")"),0)</f>
        <v>0</v>
      </c>
      <c r="P91" s="85">
        <f t="shared" ca="1" si="18"/>
        <v>0</v>
      </c>
      <c r="Q91" s="84">
        <f t="shared" ca="1" si="8"/>
        <v>0</v>
      </c>
      <c r="R91" s="82"/>
      <c r="S91" s="82"/>
      <c r="T91" s="84"/>
    </row>
    <row r="92" spans="1:20" ht="24" hidden="1" customHeight="1" x14ac:dyDescent="0.2">
      <c r="A92" s="111">
        <v>3</v>
      </c>
      <c r="B92" s="112" t="s">
        <v>114</v>
      </c>
      <c r="C92" s="80">
        <f t="shared" ca="1" si="0"/>
        <v>100000</v>
      </c>
      <c r="D92" s="81">
        <f t="shared" ca="1" si="31"/>
        <v>100000</v>
      </c>
      <c r="E92" s="82">
        <f ca="1">IFERROR(__xludf.DUMMYFUNCTION("IMPORTRANGE(""https://docs.google.com/spreadsheets/d/1MeEWN-I1oV_STSDYn1IFDPWt_1FKiwhDph83XaGc0o0/edit?usp=sharing"",""งบพรบ!CZ92"")"),100000)</f>
        <v>100000</v>
      </c>
      <c r="F92" s="82">
        <f ca="1">IFERROR(__xludf.DUMMYFUNCTION("IMPORTRANGE(""https://docs.google.com/spreadsheets/d/1MeEWN-I1oV_STSDYn1IFDPWt_1FKiwhDph83XaGc0o0/edit?usp=sharing"",""งบพรบ!DA92"")"),0)</f>
        <v>0</v>
      </c>
      <c r="G92" s="82">
        <f ca="1">IFERROR(__xludf.DUMMYFUNCTION("IMPORTRANGE(""https://docs.google.com/spreadsheets/d/1MeEWN-I1oV_STSDYn1IFDPWt_1FKiwhDph83XaGc0o0/edit?usp=sharing"",""งบพรบ!DB92"")"),0)</f>
        <v>0</v>
      </c>
      <c r="H92" s="82">
        <f ca="1">IFERROR(__xludf.DUMMYFUNCTION("IMPORTRANGE(""https://docs.google.com/spreadsheets/d/1MeEWN-I1oV_STSDYn1IFDPWt_1FKiwhDph83XaGc0o0/edit?usp=sharing"",""งบพรบ!DD92"")"),188700)</f>
        <v>188700</v>
      </c>
      <c r="I92" s="82">
        <f ca="1">IFERROR(__xludf.DUMMYFUNCTION("IMPORTRANGE(""https://docs.google.com/spreadsheets/d/1MeEWN-I1oV_STSDYn1IFDPWt_1FKiwhDph83XaGc0o0/edit?usp=sharing"",""งบพรบ!DE92"")"),0)</f>
        <v>0</v>
      </c>
      <c r="J92" s="82">
        <f t="shared" ca="1" si="3"/>
        <v>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IFERROR(__xludf.DUMMYFUNCTION("IMPORTRANGE(""https://docs.google.com/spreadsheets/d/1MeEWN-I1oV_STSDYn1IFDPWt_1FKiwhDph83XaGc0o0/edit?usp=sharing"",""งบพรบ!DF92"")"),0)</f>
        <v>0</v>
      </c>
      <c r="M92" s="84">
        <f t="shared" ca="1" si="5"/>
        <v>0</v>
      </c>
      <c r="N92" s="84">
        <f t="shared" ca="1" si="6"/>
        <v>0</v>
      </c>
      <c r="O92" s="85">
        <f ca="1">IFERROR(__xludf.DUMMYFUNCTION("IMPORTRANGE(""https://docs.google.com/spreadsheets/d/1MeEWN-I1oV_STSDYn1IFDPWt_1FKiwhDph83XaGc0o0/edit?usp=sharing"",""งบพรบ!DG92"")"),0)</f>
        <v>0</v>
      </c>
      <c r="P92" s="85">
        <f t="shared" ca="1" si="18"/>
        <v>0</v>
      </c>
      <c r="Q92" s="84">
        <f t="shared" ca="1" si="8"/>
        <v>0</v>
      </c>
      <c r="R92" s="82"/>
      <c r="S92" s="82"/>
      <c r="T92" s="84"/>
    </row>
    <row r="93" spans="1:20" ht="24" hidden="1" customHeight="1" x14ac:dyDescent="0.2">
      <c r="A93" s="111">
        <f t="shared" ref="A93:A103" si="32">+A92+1</f>
        <v>4</v>
      </c>
      <c r="B93" s="112" t="s">
        <v>115</v>
      </c>
      <c r="C93" s="80">
        <f t="shared" ca="1" si="0"/>
        <v>0</v>
      </c>
      <c r="D93" s="81">
        <f t="shared" ca="1" si="31"/>
        <v>0</v>
      </c>
      <c r="E93" s="82">
        <f ca="1">IFERROR(__xludf.DUMMYFUNCTION("IMPORTRANGE(""https://docs.google.com/spreadsheets/d/1MeEWN-I1oV_STSDYn1IFDPWt_1FKiwhDph83XaGc0o0/edit?usp=sharing"",""งบพรบ!CZ93"")"),0)</f>
        <v>0</v>
      </c>
      <c r="F93" s="82">
        <f ca="1">IFERROR(__xludf.DUMMYFUNCTION("IMPORTRANGE(""https://docs.google.com/spreadsheets/d/1MeEWN-I1oV_STSDYn1IFDPWt_1FKiwhDph83XaGc0o0/edit?usp=sharing"",""งบพรบ!DA93"")"),0)</f>
        <v>0</v>
      </c>
      <c r="G93" s="82">
        <f ca="1">IFERROR(__xludf.DUMMYFUNCTION("IMPORTRANGE(""https://docs.google.com/spreadsheets/d/1MeEWN-I1oV_STSDYn1IFDPWt_1FKiwhDph83XaGc0o0/edit?usp=sharing"",""งบพรบ!DB93"")"),0)</f>
        <v>0</v>
      </c>
      <c r="H93" s="82">
        <f ca="1">IFERROR(__xludf.DUMMYFUNCTION("IMPORTRANGE(""https://docs.google.com/spreadsheets/d/1MeEWN-I1oV_STSDYn1IFDPWt_1FKiwhDph83XaGc0o0/edit?usp=sharing"",""งบพรบ!DD93"")"),0)</f>
        <v>0</v>
      </c>
      <c r="I93" s="82">
        <f ca="1">IFERROR(__xludf.DUMMYFUNCTION("IMPORTRANGE(""https://docs.google.com/spreadsheets/d/1MeEWN-I1oV_STSDYn1IFDPWt_1FKiwhDph83XaGc0o0/edit?usp=sharing"",""งบพรบ!DE93"")"),0)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IFERROR(__xludf.DUMMYFUNCTION("IMPORTRANGE(""https://docs.google.com/spreadsheets/d/1MeEWN-I1oV_STSDYn1IFDPWt_1FKiwhDph83XaGc0o0/edit?usp=sharing"",""งบพรบ!DF93"")"),0)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IFERROR(__xludf.DUMMYFUNCTION("IMPORTRANGE(""https://docs.google.com/spreadsheets/d/1MeEWN-I1oV_STSDYn1IFDPWt_1FKiwhDph83XaGc0o0/edit?usp=sharing"",""งบพรบ!DG93"")"),0)</f>
        <v>0</v>
      </c>
      <c r="P93" s="85">
        <f t="shared" ca="1" si="18"/>
        <v>0</v>
      </c>
      <c r="Q93" s="84">
        <f t="shared" ca="1" si="8"/>
        <v>0</v>
      </c>
      <c r="R93" s="82"/>
      <c r="S93" s="82"/>
      <c r="T93" s="84"/>
    </row>
    <row r="94" spans="1:20" ht="24" hidden="1" customHeight="1" x14ac:dyDescent="0.2">
      <c r="A94" s="111">
        <f t="shared" si="32"/>
        <v>5</v>
      </c>
      <c r="B94" s="112" t="s">
        <v>116</v>
      </c>
      <c r="C94" s="80">
        <f t="shared" ca="1" si="0"/>
        <v>0</v>
      </c>
      <c r="D94" s="81">
        <f t="shared" ca="1" si="31"/>
        <v>0</v>
      </c>
      <c r="E94" s="82">
        <f ca="1">IFERROR(__xludf.DUMMYFUNCTION("IMPORTRANGE(""https://docs.google.com/spreadsheets/d/1MeEWN-I1oV_STSDYn1IFDPWt_1FKiwhDph83XaGc0o0/edit?usp=sharing"",""งบพรบ!CZ94"")"),0)</f>
        <v>0</v>
      </c>
      <c r="F94" s="82">
        <f ca="1">IFERROR(__xludf.DUMMYFUNCTION("IMPORTRANGE(""https://docs.google.com/spreadsheets/d/1MeEWN-I1oV_STSDYn1IFDPWt_1FKiwhDph83XaGc0o0/edit?usp=sharing"",""งบพรบ!DA94"")"),0)</f>
        <v>0</v>
      </c>
      <c r="G94" s="82">
        <f ca="1">IFERROR(__xludf.DUMMYFUNCTION("IMPORTRANGE(""https://docs.google.com/spreadsheets/d/1MeEWN-I1oV_STSDYn1IFDPWt_1FKiwhDph83XaGc0o0/edit?usp=sharing"",""งบพรบ!DB94"")"),0)</f>
        <v>0</v>
      </c>
      <c r="H94" s="82">
        <f ca="1">IFERROR(__xludf.DUMMYFUNCTION("IMPORTRANGE(""https://docs.google.com/spreadsheets/d/1MeEWN-I1oV_STSDYn1IFDPWt_1FKiwhDph83XaGc0o0/edit?usp=sharing"",""งบพรบ!DD94"")"),0)</f>
        <v>0</v>
      </c>
      <c r="I94" s="82">
        <f ca="1">IFERROR(__xludf.DUMMYFUNCTION("IMPORTRANGE(""https://docs.google.com/spreadsheets/d/1MeEWN-I1oV_STSDYn1IFDPWt_1FKiwhDph83XaGc0o0/edit?usp=sharing"",""งบพรบ!DE94"")"),0)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IFERROR(__xludf.DUMMYFUNCTION("IMPORTRANGE(""https://docs.google.com/spreadsheets/d/1MeEWN-I1oV_STSDYn1IFDPWt_1FKiwhDph83XaGc0o0/edit?usp=sharing"",""งบพรบ!DF94"")"),0)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IFERROR(__xludf.DUMMYFUNCTION("IMPORTRANGE(""https://docs.google.com/spreadsheets/d/1MeEWN-I1oV_STSDYn1IFDPWt_1FKiwhDph83XaGc0o0/edit?usp=sharing"",""งบพรบ!DG94"")"),0)</f>
        <v>0</v>
      </c>
      <c r="P94" s="85">
        <f t="shared" ca="1" si="18"/>
        <v>0</v>
      </c>
      <c r="Q94" s="84">
        <f t="shared" ca="1" si="8"/>
        <v>0</v>
      </c>
      <c r="R94" s="82"/>
      <c r="S94" s="82"/>
      <c r="T94" s="84"/>
    </row>
    <row r="95" spans="1:20" ht="24" hidden="1" customHeight="1" x14ac:dyDescent="0.2">
      <c r="A95" s="111">
        <f t="shared" si="32"/>
        <v>6</v>
      </c>
      <c r="B95" s="112" t="s">
        <v>117</v>
      </c>
      <c r="C95" s="80">
        <f t="shared" ca="1" si="0"/>
        <v>0</v>
      </c>
      <c r="D95" s="81">
        <f t="shared" ca="1" si="31"/>
        <v>0</v>
      </c>
      <c r="E95" s="82">
        <f ca="1">IFERROR(__xludf.DUMMYFUNCTION("IMPORTRANGE(""https://docs.google.com/spreadsheets/d/1MeEWN-I1oV_STSDYn1IFDPWt_1FKiwhDph83XaGc0o0/edit?usp=sharing"",""งบพรบ!CZ95"")"),0)</f>
        <v>0</v>
      </c>
      <c r="F95" s="82">
        <f ca="1">IFERROR(__xludf.DUMMYFUNCTION("IMPORTRANGE(""https://docs.google.com/spreadsheets/d/1MeEWN-I1oV_STSDYn1IFDPWt_1FKiwhDph83XaGc0o0/edit?usp=sharing"",""งบพรบ!DA95"")"),0)</f>
        <v>0</v>
      </c>
      <c r="G95" s="82">
        <f ca="1">IFERROR(__xludf.DUMMYFUNCTION("IMPORTRANGE(""https://docs.google.com/spreadsheets/d/1MeEWN-I1oV_STSDYn1IFDPWt_1FKiwhDph83XaGc0o0/edit?usp=sharing"",""งบพรบ!DB95"")"),0)</f>
        <v>0</v>
      </c>
      <c r="H95" s="82">
        <f ca="1">IFERROR(__xludf.DUMMYFUNCTION("IMPORTRANGE(""https://docs.google.com/spreadsheets/d/1MeEWN-I1oV_STSDYn1IFDPWt_1FKiwhDph83XaGc0o0/edit?usp=sharing"",""งบพรบ!DD95"")"),0)</f>
        <v>0</v>
      </c>
      <c r="I95" s="82">
        <f ca="1">IFERROR(__xludf.DUMMYFUNCTION("IMPORTRANGE(""https://docs.google.com/spreadsheets/d/1MeEWN-I1oV_STSDYn1IFDPWt_1FKiwhDph83XaGc0o0/edit?usp=sharing"",""งบพรบ!DE95"")"),0)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IFERROR(__xludf.DUMMYFUNCTION("IMPORTRANGE(""https://docs.google.com/spreadsheets/d/1MeEWN-I1oV_STSDYn1IFDPWt_1FKiwhDph83XaGc0o0/edit?usp=sharing"",""งบพรบ!DF95"")"),0)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IFERROR(__xludf.DUMMYFUNCTION("IMPORTRANGE(""https://docs.google.com/spreadsheets/d/1MeEWN-I1oV_STSDYn1IFDPWt_1FKiwhDph83XaGc0o0/edit?usp=sharing"",""งบพรบ!DG95"")"),0)</f>
        <v>0</v>
      </c>
      <c r="P95" s="85">
        <f t="shared" ca="1" si="18"/>
        <v>0</v>
      </c>
      <c r="Q95" s="84">
        <f t="shared" ca="1" si="8"/>
        <v>0</v>
      </c>
      <c r="R95" s="82"/>
      <c r="S95" s="82"/>
      <c r="T95" s="84"/>
    </row>
    <row r="96" spans="1:20" ht="24" hidden="1" customHeight="1" x14ac:dyDescent="0.2">
      <c r="A96" s="111">
        <f t="shared" si="32"/>
        <v>7</v>
      </c>
      <c r="B96" s="112" t="s">
        <v>118</v>
      </c>
      <c r="C96" s="80">
        <f t="shared" ca="1" si="0"/>
        <v>272200</v>
      </c>
      <c r="D96" s="81">
        <f t="shared" ca="1" si="31"/>
        <v>272200</v>
      </c>
      <c r="E96" s="82">
        <f ca="1">IFERROR(__xludf.DUMMYFUNCTION("IMPORTRANGE(""https://docs.google.com/spreadsheets/d/1MeEWN-I1oV_STSDYn1IFDPWt_1FKiwhDph83XaGc0o0/edit?usp=sharing"",""งบพรบ!CZ96"")"),0)</f>
        <v>0</v>
      </c>
      <c r="F96" s="82">
        <f ca="1">IFERROR(__xludf.DUMMYFUNCTION("IMPORTRANGE(""https://docs.google.com/spreadsheets/d/1MeEWN-I1oV_STSDYn1IFDPWt_1FKiwhDph83XaGc0o0/edit?usp=sharing"",""งบพรบ!DA96"")"),272200)</f>
        <v>272200</v>
      </c>
      <c r="G96" s="82">
        <f ca="1">IFERROR(__xludf.DUMMYFUNCTION("IMPORTRANGE(""https://docs.google.com/spreadsheets/d/1MeEWN-I1oV_STSDYn1IFDPWt_1FKiwhDph83XaGc0o0/edit?usp=sharing"",""งบพรบ!DB96"")"),0)</f>
        <v>0</v>
      </c>
      <c r="H96" s="82">
        <f ca="1">IFERROR(__xludf.DUMMYFUNCTION("IMPORTRANGE(""https://docs.google.com/spreadsheets/d/1MeEWN-I1oV_STSDYn1IFDPWt_1FKiwhDph83XaGc0o0/edit?usp=sharing"",""งบพรบ!DD96"")"),706700)</f>
        <v>706700</v>
      </c>
      <c r="I96" s="82">
        <f ca="1">IFERROR(__xludf.DUMMYFUNCTION("IMPORTRANGE(""https://docs.google.com/spreadsheets/d/1MeEWN-I1oV_STSDYn1IFDPWt_1FKiwhDph83XaGc0o0/edit?usp=sharing"",""งบพรบ!DE96"")"),0)</f>
        <v>0</v>
      </c>
      <c r="J96" s="82">
        <f t="shared" ca="1" si="3"/>
        <v>59800.04</v>
      </c>
      <c r="K96" s="83">
        <f t="shared" ca="1" si="4"/>
        <v>21.969155033063924</v>
      </c>
      <c r="L96" s="82">
        <f ca="1">IFERROR(__xludf.DUMMYFUNCTION("IMPORTRANGE(""https://docs.google.com/spreadsheets/d/1MeEWN-I1oV_STSDYn1IFDPWt_1FKiwhDph83XaGc0o0/edit?usp=sharing"",""งบพรบ!DF96"")"),59800.04)</f>
        <v>59800.04</v>
      </c>
      <c r="M96" s="84">
        <f t="shared" ca="1" si="5"/>
        <v>21.969155033063924</v>
      </c>
      <c r="N96" s="84">
        <f t="shared" ca="1" si="6"/>
        <v>8.4618706664779957</v>
      </c>
      <c r="O96" s="85">
        <f ca="1">IFERROR(__xludf.DUMMYFUNCTION("IMPORTRANGE(""https://docs.google.com/spreadsheets/d/1MeEWN-I1oV_STSDYn1IFDPWt_1FKiwhDph83XaGc0o0/edit?usp=sharing"",""งบพรบ!DG96"")"),0)</f>
        <v>0</v>
      </c>
      <c r="P96" s="85">
        <f t="shared" ca="1" si="18"/>
        <v>0</v>
      </c>
      <c r="Q96" s="84">
        <f t="shared" ca="1" si="8"/>
        <v>0</v>
      </c>
      <c r="R96" s="82"/>
      <c r="S96" s="82"/>
      <c r="T96" s="84"/>
    </row>
    <row r="97" spans="1:20" ht="24" hidden="1" customHeight="1" x14ac:dyDescent="0.2">
      <c r="A97" s="111">
        <f t="shared" si="32"/>
        <v>8</v>
      </c>
      <c r="B97" s="112" t="s">
        <v>119</v>
      </c>
      <c r="C97" s="80">
        <f t="shared" ca="1" si="0"/>
        <v>0</v>
      </c>
      <c r="D97" s="81">
        <f t="shared" ca="1" si="31"/>
        <v>0</v>
      </c>
      <c r="E97" s="82">
        <f ca="1">IFERROR(__xludf.DUMMYFUNCTION("IMPORTRANGE(""https://docs.google.com/spreadsheets/d/1MeEWN-I1oV_STSDYn1IFDPWt_1FKiwhDph83XaGc0o0/edit?usp=sharing"",""งบพรบ!CZ97"")"),0)</f>
        <v>0</v>
      </c>
      <c r="F97" s="82">
        <f ca="1">IFERROR(__xludf.DUMMYFUNCTION("IMPORTRANGE(""https://docs.google.com/spreadsheets/d/1MeEWN-I1oV_STSDYn1IFDPWt_1FKiwhDph83XaGc0o0/edit?usp=sharing"",""งบพรบ!DA97"")"),0)</f>
        <v>0</v>
      </c>
      <c r="G97" s="82">
        <f ca="1">IFERROR(__xludf.DUMMYFUNCTION("IMPORTRANGE(""https://docs.google.com/spreadsheets/d/1MeEWN-I1oV_STSDYn1IFDPWt_1FKiwhDph83XaGc0o0/edit?usp=sharing"",""งบพรบ!DB97"")"),0)</f>
        <v>0</v>
      </c>
      <c r="H97" s="82">
        <f ca="1">IFERROR(__xludf.DUMMYFUNCTION("IMPORTRANGE(""https://docs.google.com/spreadsheets/d/1MeEWN-I1oV_STSDYn1IFDPWt_1FKiwhDph83XaGc0o0/edit?usp=sharing"",""งบพรบ!DD97"")"),0)</f>
        <v>0</v>
      </c>
      <c r="I97" s="82">
        <f ca="1">IFERROR(__xludf.DUMMYFUNCTION("IMPORTRANGE(""https://docs.google.com/spreadsheets/d/1MeEWN-I1oV_STSDYn1IFDPWt_1FKiwhDph83XaGc0o0/edit?usp=sharing"",""งบพรบ!DE97"")"),0)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IFERROR(__xludf.DUMMYFUNCTION("IMPORTRANGE(""https://docs.google.com/spreadsheets/d/1MeEWN-I1oV_STSDYn1IFDPWt_1FKiwhDph83XaGc0o0/edit?usp=sharing"",""งบพรบ!DF97"")"),0)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IFERROR(__xludf.DUMMYFUNCTION("IMPORTRANGE(""https://docs.google.com/spreadsheets/d/1MeEWN-I1oV_STSDYn1IFDPWt_1FKiwhDph83XaGc0o0/edit?usp=sharing"",""งบพรบ!DG97"")"),0)</f>
        <v>0</v>
      </c>
      <c r="P97" s="85">
        <f t="shared" ca="1" si="18"/>
        <v>0</v>
      </c>
      <c r="Q97" s="84">
        <f t="shared" ca="1" si="8"/>
        <v>0</v>
      </c>
      <c r="R97" s="82"/>
      <c r="S97" s="82"/>
      <c r="T97" s="84"/>
    </row>
    <row r="98" spans="1:20" ht="24" hidden="1" customHeight="1" x14ac:dyDescent="0.2">
      <c r="A98" s="111">
        <f t="shared" si="32"/>
        <v>9</v>
      </c>
      <c r="B98" s="112" t="s">
        <v>120</v>
      </c>
      <c r="C98" s="80">
        <f t="shared" ca="1" si="0"/>
        <v>0</v>
      </c>
      <c r="D98" s="81">
        <f t="shared" ca="1" si="31"/>
        <v>0</v>
      </c>
      <c r="E98" s="82">
        <f ca="1">IFERROR(__xludf.DUMMYFUNCTION("IMPORTRANGE(""https://docs.google.com/spreadsheets/d/1MeEWN-I1oV_STSDYn1IFDPWt_1FKiwhDph83XaGc0o0/edit?usp=sharing"",""งบพรบ!CZ98"")"),0)</f>
        <v>0</v>
      </c>
      <c r="F98" s="82">
        <f ca="1">IFERROR(__xludf.DUMMYFUNCTION("IMPORTRANGE(""https://docs.google.com/spreadsheets/d/1MeEWN-I1oV_STSDYn1IFDPWt_1FKiwhDph83XaGc0o0/edit?usp=sharing"",""งบพรบ!DA98"")"),0)</f>
        <v>0</v>
      </c>
      <c r="G98" s="82">
        <f ca="1">IFERROR(__xludf.DUMMYFUNCTION("IMPORTRANGE(""https://docs.google.com/spreadsheets/d/1MeEWN-I1oV_STSDYn1IFDPWt_1FKiwhDph83XaGc0o0/edit?usp=sharing"",""งบพรบ!DB98"")"),0)</f>
        <v>0</v>
      </c>
      <c r="H98" s="82">
        <f ca="1">IFERROR(__xludf.DUMMYFUNCTION("IMPORTRANGE(""https://docs.google.com/spreadsheets/d/1MeEWN-I1oV_STSDYn1IFDPWt_1FKiwhDph83XaGc0o0/edit?usp=sharing"",""งบพรบ!DD98"")"),0)</f>
        <v>0</v>
      </c>
      <c r="I98" s="82">
        <f ca="1">IFERROR(__xludf.DUMMYFUNCTION("IMPORTRANGE(""https://docs.google.com/spreadsheets/d/1MeEWN-I1oV_STSDYn1IFDPWt_1FKiwhDph83XaGc0o0/edit?usp=sharing"",""งบพรบ!DE98"")"),0)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IFERROR(__xludf.DUMMYFUNCTION("IMPORTRANGE(""https://docs.google.com/spreadsheets/d/1MeEWN-I1oV_STSDYn1IFDPWt_1FKiwhDph83XaGc0o0/edit?usp=sharing"",""งบพรบ!DF98"")"),0)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IFERROR(__xludf.DUMMYFUNCTION("IMPORTRANGE(""https://docs.google.com/spreadsheets/d/1MeEWN-I1oV_STSDYn1IFDPWt_1FKiwhDph83XaGc0o0/edit?usp=sharing"",""งบพรบ!DG98"")"),0)</f>
        <v>0</v>
      </c>
      <c r="P98" s="85">
        <f t="shared" ca="1" si="18"/>
        <v>0</v>
      </c>
      <c r="Q98" s="84">
        <f t="shared" ca="1" si="8"/>
        <v>0</v>
      </c>
      <c r="R98" s="82"/>
      <c r="S98" s="82"/>
      <c r="T98" s="84"/>
    </row>
    <row r="99" spans="1:20" ht="24" hidden="1" customHeight="1" x14ac:dyDescent="0.2">
      <c r="A99" s="111">
        <f t="shared" si="32"/>
        <v>10</v>
      </c>
      <c r="B99" s="112" t="s">
        <v>121</v>
      </c>
      <c r="C99" s="80">
        <f t="shared" ca="1" si="0"/>
        <v>0</v>
      </c>
      <c r="D99" s="81">
        <f t="shared" ca="1" si="31"/>
        <v>0</v>
      </c>
      <c r="E99" s="82">
        <f ca="1">IFERROR(__xludf.DUMMYFUNCTION("IMPORTRANGE(""https://docs.google.com/spreadsheets/d/1MeEWN-I1oV_STSDYn1IFDPWt_1FKiwhDph83XaGc0o0/edit?usp=sharing"",""งบพรบ!CZ99"")"),0)</f>
        <v>0</v>
      </c>
      <c r="F99" s="82">
        <f ca="1">IFERROR(__xludf.DUMMYFUNCTION("IMPORTRANGE(""https://docs.google.com/spreadsheets/d/1MeEWN-I1oV_STSDYn1IFDPWt_1FKiwhDph83XaGc0o0/edit?usp=sharing"",""งบพรบ!DA99"")"),0)</f>
        <v>0</v>
      </c>
      <c r="G99" s="82">
        <f ca="1">IFERROR(__xludf.DUMMYFUNCTION("IMPORTRANGE(""https://docs.google.com/spreadsheets/d/1MeEWN-I1oV_STSDYn1IFDPWt_1FKiwhDph83XaGc0o0/edit?usp=sharing"",""งบพรบ!DB99"")"),0)</f>
        <v>0</v>
      </c>
      <c r="H99" s="82">
        <f ca="1">IFERROR(__xludf.DUMMYFUNCTION("IMPORTRANGE(""https://docs.google.com/spreadsheets/d/1MeEWN-I1oV_STSDYn1IFDPWt_1FKiwhDph83XaGc0o0/edit?usp=sharing"",""งบพรบ!DD99"")"),0)</f>
        <v>0</v>
      </c>
      <c r="I99" s="82">
        <f ca="1">IFERROR(__xludf.DUMMYFUNCTION("IMPORTRANGE(""https://docs.google.com/spreadsheets/d/1MeEWN-I1oV_STSDYn1IFDPWt_1FKiwhDph83XaGc0o0/edit?usp=sharing"",""งบพรบ!DE99"")"),0)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IFERROR(__xludf.DUMMYFUNCTION("IMPORTRANGE(""https://docs.google.com/spreadsheets/d/1MeEWN-I1oV_STSDYn1IFDPWt_1FKiwhDph83XaGc0o0/edit?usp=sharing"",""งบพรบ!DF99"")"),0)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IFERROR(__xludf.DUMMYFUNCTION("IMPORTRANGE(""https://docs.google.com/spreadsheets/d/1MeEWN-I1oV_STSDYn1IFDPWt_1FKiwhDph83XaGc0o0/edit?usp=sharing"",""งบพรบ!DG99"")"),0)</f>
        <v>0</v>
      </c>
      <c r="P99" s="85">
        <f t="shared" ca="1" si="18"/>
        <v>0</v>
      </c>
      <c r="Q99" s="84">
        <f t="shared" ca="1" si="8"/>
        <v>0</v>
      </c>
      <c r="R99" s="82"/>
      <c r="S99" s="82"/>
      <c r="T99" s="84"/>
    </row>
    <row r="100" spans="1:20" ht="24" hidden="1" customHeight="1" x14ac:dyDescent="0.2">
      <c r="A100" s="111">
        <f t="shared" si="32"/>
        <v>11</v>
      </c>
      <c r="B100" s="112" t="s">
        <v>122</v>
      </c>
      <c r="C100" s="80">
        <f t="shared" ca="1" si="0"/>
        <v>0</v>
      </c>
      <c r="D100" s="81">
        <f t="shared" ca="1" si="31"/>
        <v>0</v>
      </c>
      <c r="E100" s="82">
        <f ca="1">IFERROR(__xludf.DUMMYFUNCTION("IMPORTRANGE(""https://docs.google.com/spreadsheets/d/1MeEWN-I1oV_STSDYn1IFDPWt_1FKiwhDph83XaGc0o0/edit?usp=sharing"",""งบพรบ!CZ100"")"),0)</f>
        <v>0</v>
      </c>
      <c r="F100" s="82">
        <f ca="1">IFERROR(__xludf.DUMMYFUNCTION("IMPORTRANGE(""https://docs.google.com/spreadsheets/d/1MeEWN-I1oV_STSDYn1IFDPWt_1FKiwhDph83XaGc0o0/edit?usp=sharing"",""งบพรบ!DA100"")"),0)</f>
        <v>0</v>
      </c>
      <c r="G100" s="82">
        <f ca="1">IFERROR(__xludf.DUMMYFUNCTION("IMPORTRANGE(""https://docs.google.com/spreadsheets/d/1MeEWN-I1oV_STSDYn1IFDPWt_1FKiwhDph83XaGc0o0/edit?usp=sharing"",""งบพรบ!DB100"")"),0)</f>
        <v>0</v>
      </c>
      <c r="H100" s="82">
        <f ca="1">IFERROR(__xludf.DUMMYFUNCTION("IMPORTRANGE(""https://docs.google.com/spreadsheets/d/1MeEWN-I1oV_STSDYn1IFDPWt_1FKiwhDph83XaGc0o0/edit?usp=sharing"",""งบพรบ!DD100"")"),0)</f>
        <v>0</v>
      </c>
      <c r="I100" s="82">
        <f ca="1">IFERROR(__xludf.DUMMYFUNCTION("IMPORTRANGE(""https://docs.google.com/spreadsheets/d/1MeEWN-I1oV_STSDYn1IFDPWt_1FKiwhDph83XaGc0o0/edit?usp=sharing"",""งบพรบ!DE100"")"),0)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IFERROR(__xludf.DUMMYFUNCTION("IMPORTRANGE(""https://docs.google.com/spreadsheets/d/1MeEWN-I1oV_STSDYn1IFDPWt_1FKiwhDph83XaGc0o0/edit?usp=sharing"",""งบพรบ!DF100"")"),0)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IFERROR(__xludf.DUMMYFUNCTION("IMPORTRANGE(""https://docs.google.com/spreadsheets/d/1MeEWN-I1oV_STSDYn1IFDPWt_1FKiwhDph83XaGc0o0/edit?usp=sharing"",""งบพรบ!DG100"")"),0)</f>
        <v>0</v>
      </c>
      <c r="P100" s="85">
        <f t="shared" ca="1" si="18"/>
        <v>0</v>
      </c>
      <c r="Q100" s="84">
        <f t="shared" ca="1" si="8"/>
        <v>0</v>
      </c>
      <c r="R100" s="82"/>
      <c r="S100" s="82"/>
      <c r="T100" s="84"/>
    </row>
    <row r="101" spans="1:20" ht="24" hidden="1" customHeight="1" x14ac:dyDescent="0.2">
      <c r="A101" s="111">
        <f t="shared" si="32"/>
        <v>12</v>
      </c>
      <c r="B101" s="112" t="s">
        <v>123</v>
      </c>
      <c r="C101" s="80">
        <f t="shared" ca="1" si="0"/>
        <v>0</v>
      </c>
      <c r="D101" s="81">
        <f t="shared" ca="1" si="31"/>
        <v>0</v>
      </c>
      <c r="E101" s="82">
        <f ca="1">IFERROR(__xludf.DUMMYFUNCTION("IMPORTRANGE(""https://docs.google.com/spreadsheets/d/1MeEWN-I1oV_STSDYn1IFDPWt_1FKiwhDph83XaGc0o0/edit?usp=sharing"",""งบพรบ!CZ101"")"),0)</f>
        <v>0</v>
      </c>
      <c r="F101" s="82">
        <f ca="1">IFERROR(__xludf.DUMMYFUNCTION("IMPORTRANGE(""https://docs.google.com/spreadsheets/d/1MeEWN-I1oV_STSDYn1IFDPWt_1FKiwhDph83XaGc0o0/edit?usp=sharing"",""งบพรบ!DA101"")"),0)</f>
        <v>0</v>
      </c>
      <c r="G101" s="82">
        <f ca="1">IFERROR(__xludf.DUMMYFUNCTION("IMPORTRANGE(""https://docs.google.com/spreadsheets/d/1MeEWN-I1oV_STSDYn1IFDPWt_1FKiwhDph83XaGc0o0/edit?usp=sharing"",""งบพรบ!DB101"")"),0)</f>
        <v>0</v>
      </c>
      <c r="H101" s="82">
        <f ca="1">IFERROR(__xludf.DUMMYFUNCTION("IMPORTRANGE(""https://docs.google.com/spreadsheets/d/1MeEWN-I1oV_STSDYn1IFDPWt_1FKiwhDph83XaGc0o0/edit?usp=sharing"",""งบพรบ!DD101"")"),0)</f>
        <v>0</v>
      </c>
      <c r="I101" s="82">
        <f ca="1">IFERROR(__xludf.DUMMYFUNCTION("IMPORTRANGE(""https://docs.google.com/spreadsheets/d/1MeEWN-I1oV_STSDYn1IFDPWt_1FKiwhDph83XaGc0o0/edit?usp=sharing"",""งบพรบ!DE101"")"),0)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IFERROR(__xludf.DUMMYFUNCTION("IMPORTRANGE(""https://docs.google.com/spreadsheets/d/1MeEWN-I1oV_STSDYn1IFDPWt_1FKiwhDph83XaGc0o0/edit?usp=sharing"",""งบพรบ!DF101"")"),0)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IFERROR(__xludf.DUMMYFUNCTION("IMPORTRANGE(""https://docs.google.com/spreadsheets/d/1MeEWN-I1oV_STSDYn1IFDPWt_1FKiwhDph83XaGc0o0/edit?usp=sharing"",""งบพรบ!DG101"")"),0)</f>
        <v>0</v>
      </c>
      <c r="P101" s="85">
        <f t="shared" ca="1" si="18"/>
        <v>0</v>
      </c>
      <c r="Q101" s="84">
        <f t="shared" ca="1" si="8"/>
        <v>0</v>
      </c>
      <c r="R101" s="82"/>
      <c r="S101" s="82"/>
      <c r="T101" s="84"/>
    </row>
    <row r="102" spans="1:20" ht="24" hidden="1" customHeight="1" x14ac:dyDescent="0.2">
      <c r="A102" s="111">
        <f t="shared" si="32"/>
        <v>13</v>
      </c>
      <c r="B102" s="112" t="s">
        <v>124</v>
      </c>
      <c r="C102" s="80">
        <f t="shared" ca="1" si="0"/>
        <v>0</v>
      </c>
      <c r="D102" s="81">
        <f t="shared" ca="1" si="31"/>
        <v>0</v>
      </c>
      <c r="E102" s="82">
        <f ca="1">IFERROR(__xludf.DUMMYFUNCTION("IMPORTRANGE(""https://docs.google.com/spreadsheets/d/1MeEWN-I1oV_STSDYn1IFDPWt_1FKiwhDph83XaGc0o0/edit?usp=sharing"",""งบพรบ!CZ102"")"),0)</f>
        <v>0</v>
      </c>
      <c r="F102" s="82">
        <f ca="1">IFERROR(__xludf.DUMMYFUNCTION("IMPORTRANGE(""https://docs.google.com/spreadsheets/d/1MeEWN-I1oV_STSDYn1IFDPWt_1FKiwhDph83XaGc0o0/edit?usp=sharing"",""งบพรบ!DA102"")"),0)</f>
        <v>0</v>
      </c>
      <c r="G102" s="82">
        <f ca="1">IFERROR(__xludf.DUMMYFUNCTION("IMPORTRANGE(""https://docs.google.com/spreadsheets/d/1MeEWN-I1oV_STSDYn1IFDPWt_1FKiwhDph83XaGc0o0/edit?usp=sharing"",""งบพรบ!DB102"")"),0)</f>
        <v>0</v>
      </c>
      <c r="H102" s="82">
        <f ca="1">IFERROR(__xludf.DUMMYFUNCTION("IMPORTRANGE(""https://docs.google.com/spreadsheets/d/1MeEWN-I1oV_STSDYn1IFDPWt_1FKiwhDph83XaGc0o0/edit?usp=sharing"",""งบพรบ!DD102"")"),0)</f>
        <v>0</v>
      </c>
      <c r="I102" s="82">
        <f ca="1">IFERROR(__xludf.DUMMYFUNCTION("IMPORTRANGE(""https://docs.google.com/spreadsheets/d/1MeEWN-I1oV_STSDYn1IFDPWt_1FKiwhDph83XaGc0o0/edit?usp=sharing"",""งบพรบ!DE102"")"),0)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IFERROR(__xludf.DUMMYFUNCTION("IMPORTRANGE(""https://docs.google.com/spreadsheets/d/1MeEWN-I1oV_STSDYn1IFDPWt_1FKiwhDph83XaGc0o0/edit?usp=sharing"",""งบพรบ!DF102"")"),0)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IFERROR(__xludf.DUMMYFUNCTION("IMPORTRANGE(""https://docs.google.com/spreadsheets/d/1MeEWN-I1oV_STSDYn1IFDPWt_1FKiwhDph83XaGc0o0/edit?usp=sharing"",""งบพรบ!DG102"")"),0)</f>
        <v>0</v>
      </c>
      <c r="P102" s="85">
        <f t="shared" ca="1" si="18"/>
        <v>0</v>
      </c>
      <c r="Q102" s="84">
        <f t="shared" ca="1" si="8"/>
        <v>0</v>
      </c>
      <c r="R102" s="82"/>
      <c r="S102" s="82"/>
      <c r="T102" s="84"/>
    </row>
    <row r="103" spans="1:20" ht="24" hidden="1" customHeight="1" x14ac:dyDescent="0.2">
      <c r="A103" s="113">
        <f t="shared" si="32"/>
        <v>14</v>
      </c>
      <c r="B103" s="114" t="s">
        <v>125</v>
      </c>
      <c r="C103" s="91">
        <f t="shared" ca="1" si="0"/>
        <v>0</v>
      </c>
      <c r="D103" s="92">
        <f t="shared" ca="1" si="31"/>
        <v>0</v>
      </c>
      <c r="E103" s="93">
        <f ca="1">IFERROR(__xludf.DUMMYFUNCTION("IMPORTRANGE(""https://docs.google.com/spreadsheets/d/1MeEWN-I1oV_STSDYn1IFDPWt_1FKiwhDph83XaGc0o0/edit?usp=sharing"",""งบพรบ!CZ103"")"),0)</f>
        <v>0</v>
      </c>
      <c r="F103" s="93">
        <f ca="1">IFERROR(__xludf.DUMMYFUNCTION("IMPORTRANGE(""https://docs.google.com/spreadsheets/d/1MeEWN-I1oV_STSDYn1IFDPWt_1FKiwhDph83XaGc0o0/edit?usp=sharing"",""งบพรบ!DA103"")"),0)</f>
        <v>0</v>
      </c>
      <c r="G103" s="93">
        <f ca="1">IFERROR(__xludf.DUMMYFUNCTION("IMPORTRANGE(""https://docs.google.com/spreadsheets/d/1MeEWN-I1oV_STSDYn1IFDPWt_1FKiwhDph83XaGc0o0/edit?usp=sharing"",""งบพรบ!DB103"")"),0)</f>
        <v>0</v>
      </c>
      <c r="H103" s="93">
        <f ca="1">IFERROR(__xludf.DUMMYFUNCTION("IMPORTRANGE(""https://docs.google.com/spreadsheets/d/1MeEWN-I1oV_STSDYn1IFDPWt_1FKiwhDph83XaGc0o0/edit?usp=sharing"",""งบพรบ!DD103"")"),0)</f>
        <v>0</v>
      </c>
      <c r="I103" s="93">
        <f ca="1">IFERROR(__xludf.DUMMYFUNCTION("IMPORTRANGE(""https://docs.google.com/spreadsheets/d/1MeEWN-I1oV_STSDYn1IFDPWt_1FKiwhDph83XaGc0o0/edit?usp=sharing"",""งบพรบ!DE103"")"),0)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IFERROR(__xludf.DUMMYFUNCTION("IMPORTRANGE(""https://docs.google.com/spreadsheets/d/1MeEWN-I1oV_STSDYn1IFDPWt_1FKiwhDph83XaGc0o0/edit?usp=sharing"",""งบพรบ!DF103"")"),0)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IFERROR(__xludf.DUMMYFUNCTION("IMPORTRANGE(""https://docs.google.com/spreadsheets/d/1MeEWN-I1oV_STSDYn1IFDPWt_1FKiwhDph83XaGc0o0/edit?usp=sharing"",""งบพรบ!DG103"")"),0)</f>
        <v>0</v>
      </c>
      <c r="P103" s="96">
        <f t="shared" ca="1" si="18"/>
        <v>0</v>
      </c>
      <c r="Q103" s="95">
        <f t="shared" ca="1" si="8"/>
        <v>0</v>
      </c>
      <c r="R103" s="93"/>
      <c r="S103" s="93"/>
      <c r="T103" s="95"/>
    </row>
    <row r="104" spans="1:20" ht="21" hidden="1" customHeight="1" x14ac:dyDescent="0.2">
      <c r="A104" s="381" t="s">
        <v>126</v>
      </c>
      <c r="B104" s="357"/>
      <c r="C104" s="107">
        <f t="shared" ca="1" si="0"/>
        <v>134300</v>
      </c>
      <c r="D104" s="46">
        <f ca="1">SUM(D105:D116)</f>
        <v>134300</v>
      </c>
      <c r="E104" s="46">
        <f ca="1">IFERROR(__xludf.DUMMYFUNCTION("IMPORTRANGE(""https://docs.google.com/spreadsheets/d/1MeEWN-I1oV_STSDYn1IFDPWt_1FKiwhDph83XaGc0o0/edit?usp=sharing"",""งบพรบ!CZ104"")"),134300)</f>
        <v>134300</v>
      </c>
      <c r="F104" s="46">
        <f ca="1">IFERROR(__xludf.DUMMYFUNCTION("IMPORTRANGE(""https://docs.google.com/spreadsheets/d/1MeEWN-I1oV_STSDYn1IFDPWt_1FKiwhDph83XaGc0o0/edit?usp=sharing"",""งบพรบ!DA104"")"),0)</f>
        <v>0</v>
      </c>
      <c r="G104" s="46">
        <f ca="1">IFERROR(__xludf.DUMMYFUNCTION("IMPORTRANGE(""https://docs.google.com/spreadsheets/d/1MeEWN-I1oV_STSDYn1IFDPWt_1FKiwhDph83XaGc0o0/edit?usp=sharing"",""งบพรบ!DB104"")"),0)</f>
        <v>0</v>
      </c>
      <c r="H104" s="46">
        <f ca="1">IFERROR(__xludf.DUMMYFUNCTION("IMPORTRANGE(""https://docs.google.com/spreadsheets/d/1MeEWN-I1oV_STSDYn1IFDPWt_1FKiwhDph83XaGc0o0/edit?usp=sharing"",""งบพรบ!DD104"")"),22800)</f>
        <v>22800</v>
      </c>
      <c r="I104" s="46">
        <f ca="1">IFERROR(__xludf.DUMMYFUNCTION("IMPORTRANGE(""https://docs.google.com/spreadsheets/d/1MeEWN-I1oV_STSDYn1IFDPWt_1FKiwhDph83XaGc0o0/edit?usp=sharing"",""งบพรบ!DE104"")"),0)</f>
        <v>0</v>
      </c>
      <c r="J104" s="46">
        <f t="shared" ca="1" si="3"/>
        <v>0</v>
      </c>
      <c r="K104" s="48">
        <f t="shared" ca="1" si="4"/>
        <v>0</v>
      </c>
      <c r="L104" s="46">
        <f ca="1">IFERROR(__xludf.DUMMYFUNCTION("IMPORTRANGE(""https://docs.google.com/spreadsheets/d/1MeEWN-I1oV_STSDYn1IFDPWt_1FKiwhDph83XaGc0o0/edit?usp=sharing"",""งบพรบ!DF104"")"),0)</f>
        <v>0</v>
      </c>
      <c r="M104" s="48">
        <f t="shared" ca="1" si="5"/>
        <v>0</v>
      </c>
      <c r="N104" s="48">
        <f t="shared" ca="1" si="6"/>
        <v>0</v>
      </c>
      <c r="O104" s="46">
        <f ca="1">IFERROR(__xludf.DUMMYFUNCTION("IMPORTRANGE(""https://docs.google.com/spreadsheets/d/1MeEWN-I1oV_STSDYn1IFDPWt_1FKiwhDph83XaGc0o0/edit?usp=sharing"",""งบพรบ!DG104"")"),0)</f>
        <v>0</v>
      </c>
      <c r="P104" s="46">
        <f t="shared" ca="1" si="18"/>
        <v>0</v>
      </c>
      <c r="Q104" s="46">
        <f t="shared" ca="1" si="8"/>
        <v>0</v>
      </c>
      <c r="R104" s="46"/>
      <c r="S104" s="46"/>
      <c r="T104" s="46"/>
    </row>
    <row r="105" spans="1:20" ht="24" hidden="1" customHeight="1" x14ac:dyDescent="0.2">
      <c r="A105" s="108">
        <v>1</v>
      </c>
      <c r="B105" s="115" t="s">
        <v>127</v>
      </c>
      <c r="C105" s="116">
        <f t="shared" ca="1" si="0"/>
        <v>134300</v>
      </c>
      <c r="D105" s="71">
        <f t="shared" ref="D105:D116" ca="1" si="33">+E105+F105</f>
        <v>134300</v>
      </c>
      <c r="E105" s="72">
        <f ca="1">IFERROR(__xludf.DUMMYFUNCTION("IMPORTRANGE(""https://docs.google.com/spreadsheets/d/1MeEWN-I1oV_STSDYn1IFDPWt_1FKiwhDph83XaGc0o0/edit?usp=sharing"",""งบพรบ!CZ105"")"),134300)</f>
        <v>134300</v>
      </c>
      <c r="F105" s="72">
        <f ca="1">IFERROR(__xludf.DUMMYFUNCTION("IMPORTRANGE(""https://docs.google.com/spreadsheets/d/1MeEWN-I1oV_STSDYn1IFDPWt_1FKiwhDph83XaGc0o0/edit?usp=sharing"",""งบพรบ!DA105"")"),0)</f>
        <v>0</v>
      </c>
      <c r="G105" s="72">
        <f ca="1">IFERROR(__xludf.DUMMYFUNCTION("IMPORTRANGE(""https://docs.google.com/spreadsheets/d/1MeEWN-I1oV_STSDYn1IFDPWt_1FKiwhDph83XaGc0o0/edit?usp=sharing"",""งบพรบ!DB105"")"),0)</f>
        <v>0</v>
      </c>
      <c r="H105" s="72">
        <f ca="1">IFERROR(__xludf.DUMMYFUNCTION("IMPORTRANGE(""https://docs.google.com/spreadsheets/d/1MeEWN-I1oV_STSDYn1IFDPWt_1FKiwhDph83XaGc0o0/edit?usp=sharing"",""งบพรบ!DD105"")"),22800)</f>
        <v>22800</v>
      </c>
      <c r="I105" s="72">
        <f ca="1">IFERROR(__xludf.DUMMYFUNCTION("IMPORTRANGE(""https://docs.google.com/spreadsheets/d/1MeEWN-I1oV_STSDYn1IFDPWt_1FKiwhDph83XaGc0o0/edit?usp=sharing"",""งบพรบ!DE105"")"),0)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IFERROR(__xludf.DUMMYFUNCTION("IMPORTRANGE(""https://docs.google.com/spreadsheets/d/1MeEWN-I1oV_STSDYn1IFDPWt_1FKiwhDph83XaGc0o0/edit?usp=sharing"",""งบพรบ!DF105"")"),0)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IFERROR(__xludf.DUMMYFUNCTION("IMPORTRANGE(""https://docs.google.com/spreadsheets/d/1MeEWN-I1oV_STSDYn1IFDPWt_1FKiwhDph83XaGc0o0/edit?usp=sharing"",""งบพรบ!DG105"")"),0)</f>
        <v>0</v>
      </c>
      <c r="P105" s="76">
        <f t="shared" ca="1" si="18"/>
        <v>0</v>
      </c>
      <c r="Q105" s="75">
        <f t="shared" ca="1" si="8"/>
        <v>0</v>
      </c>
      <c r="R105" s="72"/>
      <c r="S105" s="72"/>
      <c r="T105" s="72"/>
    </row>
    <row r="106" spans="1:20" ht="24" hidden="1" customHeight="1" x14ac:dyDescent="0.2">
      <c r="A106" s="111">
        <v>2</v>
      </c>
      <c r="B106" s="117" t="s">
        <v>128</v>
      </c>
      <c r="C106" s="118">
        <f t="shared" ca="1" si="0"/>
        <v>0</v>
      </c>
      <c r="D106" s="81">
        <f t="shared" ca="1" si="33"/>
        <v>0</v>
      </c>
      <c r="E106" s="82">
        <f ca="1">IFERROR(__xludf.DUMMYFUNCTION("IMPORTRANGE(""https://docs.google.com/spreadsheets/d/1MeEWN-I1oV_STSDYn1IFDPWt_1FKiwhDph83XaGc0o0/edit?usp=sharing"",""งบพรบ!CZ106"")"),0)</f>
        <v>0</v>
      </c>
      <c r="F106" s="82">
        <f ca="1">IFERROR(__xludf.DUMMYFUNCTION("IMPORTRANGE(""https://docs.google.com/spreadsheets/d/1MeEWN-I1oV_STSDYn1IFDPWt_1FKiwhDph83XaGc0o0/edit?usp=sharing"",""งบพรบ!DA106"")"),0)</f>
        <v>0</v>
      </c>
      <c r="G106" s="82">
        <f ca="1">IFERROR(__xludf.DUMMYFUNCTION("IMPORTRANGE(""https://docs.google.com/spreadsheets/d/1MeEWN-I1oV_STSDYn1IFDPWt_1FKiwhDph83XaGc0o0/edit?usp=sharing"",""งบพรบ!DB106"")"),0)</f>
        <v>0</v>
      </c>
      <c r="H106" s="82">
        <f ca="1">IFERROR(__xludf.DUMMYFUNCTION("IMPORTRANGE(""https://docs.google.com/spreadsheets/d/1MeEWN-I1oV_STSDYn1IFDPWt_1FKiwhDph83XaGc0o0/edit?usp=sharing"",""งบพรบ!DD106"")"),0)</f>
        <v>0</v>
      </c>
      <c r="I106" s="82">
        <f ca="1">IFERROR(__xludf.DUMMYFUNCTION("IMPORTRANGE(""https://docs.google.com/spreadsheets/d/1MeEWN-I1oV_STSDYn1IFDPWt_1FKiwhDph83XaGc0o0/edit?usp=sharing"",""งบพรบ!DE106"")"),0)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IFERROR(__xludf.DUMMYFUNCTION("IMPORTRANGE(""https://docs.google.com/spreadsheets/d/1MeEWN-I1oV_STSDYn1IFDPWt_1FKiwhDph83XaGc0o0/edit?usp=sharing"",""งบพรบ!DF106"")"),0)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IFERROR(__xludf.DUMMYFUNCTION("IMPORTRANGE(""https://docs.google.com/spreadsheets/d/1MeEWN-I1oV_STSDYn1IFDPWt_1FKiwhDph83XaGc0o0/edit?usp=sharing"",""งบพรบ!DG106"")"),0)</f>
        <v>0</v>
      </c>
      <c r="P106" s="85">
        <f t="shared" ca="1" si="18"/>
        <v>0</v>
      </c>
      <c r="Q106" s="84">
        <f t="shared" ca="1" si="8"/>
        <v>0</v>
      </c>
      <c r="R106" s="82"/>
      <c r="S106" s="82"/>
      <c r="T106" s="82"/>
    </row>
    <row r="107" spans="1:20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33"/>
        <v>0</v>
      </c>
      <c r="E107" s="82">
        <f ca="1">IFERROR(__xludf.DUMMYFUNCTION("IMPORTRANGE(""https://docs.google.com/spreadsheets/d/1MeEWN-I1oV_STSDYn1IFDPWt_1FKiwhDph83XaGc0o0/edit?usp=sharing"",""งบพรบ!CZ107"")"),0)</f>
        <v>0</v>
      </c>
      <c r="F107" s="82">
        <f ca="1">IFERROR(__xludf.DUMMYFUNCTION("IMPORTRANGE(""https://docs.google.com/spreadsheets/d/1MeEWN-I1oV_STSDYn1IFDPWt_1FKiwhDph83XaGc0o0/edit?usp=sharing"",""งบพรบ!DA107"")"),0)</f>
        <v>0</v>
      </c>
      <c r="G107" s="82">
        <f ca="1">IFERROR(__xludf.DUMMYFUNCTION("IMPORTRANGE(""https://docs.google.com/spreadsheets/d/1MeEWN-I1oV_STSDYn1IFDPWt_1FKiwhDph83XaGc0o0/edit?usp=sharing"",""งบพรบ!DB107"")"),0)</f>
        <v>0</v>
      </c>
      <c r="H107" s="82">
        <f ca="1">IFERROR(__xludf.DUMMYFUNCTION("IMPORTRANGE(""https://docs.google.com/spreadsheets/d/1MeEWN-I1oV_STSDYn1IFDPWt_1FKiwhDph83XaGc0o0/edit?usp=sharing"",""งบพรบ!DD107"")"),0)</f>
        <v>0</v>
      </c>
      <c r="I107" s="82">
        <f ca="1">IFERROR(__xludf.DUMMYFUNCTION("IMPORTRANGE(""https://docs.google.com/spreadsheets/d/1MeEWN-I1oV_STSDYn1IFDPWt_1FKiwhDph83XaGc0o0/edit?usp=sharing"",""งบพรบ!DE107"")"),0)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IFERROR(__xludf.DUMMYFUNCTION("IMPORTRANGE(""https://docs.google.com/spreadsheets/d/1MeEWN-I1oV_STSDYn1IFDPWt_1FKiwhDph83XaGc0o0/edit?usp=sharing"",""งบพรบ!DF107"")"),0)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IFERROR(__xludf.DUMMYFUNCTION("IMPORTRANGE(""https://docs.google.com/spreadsheets/d/1MeEWN-I1oV_STSDYn1IFDPWt_1FKiwhDph83XaGc0o0/edit?usp=sharing"",""งบพรบ!DG107"")"),0)</f>
        <v>0</v>
      </c>
      <c r="P107" s="85">
        <f t="shared" ca="1" si="18"/>
        <v>0</v>
      </c>
      <c r="Q107" s="84">
        <f t="shared" ca="1" si="8"/>
        <v>0</v>
      </c>
      <c r="R107" s="82"/>
      <c r="S107" s="82"/>
      <c r="T107" s="82"/>
    </row>
    <row r="108" spans="1:20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33"/>
        <v>0</v>
      </c>
      <c r="E108" s="82">
        <f ca="1">IFERROR(__xludf.DUMMYFUNCTION("IMPORTRANGE(""https://docs.google.com/spreadsheets/d/1MeEWN-I1oV_STSDYn1IFDPWt_1FKiwhDph83XaGc0o0/edit?usp=sharing"",""งบพรบ!CZ108"")"),0)</f>
        <v>0</v>
      </c>
      <c r="F108" s="82">
        <f ca="1">IFERROR(__xludf.DUMMYFUNCTION("IMPORTRANGE(""https://docs.google.com/spreadsheets/d/1MeEWN-I1oV_STSDYn1IFDPWt_1FKiwhDph83XaGc0o0/edit?usp=sharing"",""งบพรบ!DA108"")"),0)</f>
        <v>0</v>
      </c>
      <c r="G108" s="82">
        <f ca="1">IFERROR(__xludf.DUMMYFUNCTION("IMPORTRANGE(""https://docs.google.com/spreadsheets/d/1MeEWN-I1oV_STSDYn1IFDPWt_1FKiwhDph83XaGc0o0/edit?usp=sharing"",""งบพรบ!DB108"")"),0)</f>
        <v>0</v>
      </c>
      <c r="H108" s="82">
        <f ca="1">IFERROR(__xludf.DUMMYFUNCTION("IMPORTRANGE(""https://docs.google.com/spreadsheets/d/1MeEWN-I1oV_STSDYn1IFDPWt_1FKiwhDph83XaGc0o0/edit?usp=sharing"",""งบพรบ!DD108"")"),0)</f>
        <v>0</v>
      </c>
      <c r="I108" s="82">
        <f ca="1">IFERROR(__xludf.DUMMYFUNCTION("IMPORTRANGE(""https://docs.google.com/spreadsheets/d/1MeEWN-I1oV_STSDYn1IFDPWt_1FKiwhDph83XaGc0o0/edit?usp=sharing"",""งบพรบ!DE108"")"),0)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IFERROR(__xludf.DUMMYFUNCTION("IMPORTRANGE(""https://docs.google.com/spreadsheets/d/1MeEWN-I1oV_STSDYn1IFDPWt_1FKiwhDph83XaGc0o0/edit?usp=sharing"",""งบพรบ!DF108"")"),0)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IFERROR(__xludf.DUMMYFUNCTION("IMPORTRANGE(""https://docs.google.com/spreadsheets/d/1MeEWN-I1oV_STSDYn1IFDPWt_1FKiwhDph83XaGc0o0/edit?usp=sharing"",""งบพรบ!DG108"")"),0)</f>
        <v>0</v>
      </c>
      <c r="P108" s="85">
        <f t="shared" ca="1" si="18"/>
        <v>0</v>
      </c>
      <c r="Q108" s="84">
        <f t="shared" ca="1" si="8"/>
        <v>0</v>
      </c>
      <c r="R108" s="82"/>
      <c r="S108" s="82"/>
      <c r="T108" s="82"/>
    </row>
    <row r="109" spans="1:20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33"/>
        <v>0</v>
      </c>
      <c r="E109" s="82">
        <f ca="1">IFERROR(__xludf.DUMMYFUNCTION("IMPORTRANGE(""https://docs.google.com/spreadsheets/d/1MeEWN-I1oV_STSDYn1IFDPWt_1FKiwhDph83XaGc0o0/edit?usp=sharing"",""งบพรบ!CZ109"")"),0)</f>
        <v>0</v>
      </c>
      <c r="F109" s="82">
        <f ca="1">IFERROR(__xludf.DUMMYFUNCTION("IMPORTRANGE(""https://docs.google.com/spreadsheets/d/1MeEWN-I1oV_STSDYn1IFDPWt_1FKiwhDph83XaGc0o0/edit?usp=sharing"",""งบพรบ!DA109"")"),0)</f>
        <v>0</v>
      </c>
      <c r="G109" s="82">
        <f ca="1">IFERROR(__xludf.DUMMYFUNCTION("IMPORTRANGE(""https://docs.google.com/spreadsheets/d/1MeEWN-I1oV_STSDYn1IFDPWt_1FKiwhDph83XaGc0o0/edit?usp=sharing"",""งบพรบ!DB109"")"),0)</f>
        <v>0</v>
      </c>
      <c r="H109" s="82">
        <f ca="1">IFERROR(__xludf.DUMMYFUNCTION("IMPORTRANGE(""https://docs.google.com/spreadsheets/d/1MeEWN-I1oV_STSDYn1IFDPWt_1FKiwhDph83XaGc0o0/edit?usp=sharing"",""งบพรบ!DD109"")"),0)</f>
        <v>0</v>
      </c>
      <c r="I109" s="82">
        <f ca="1">IFERROR(__xludf.DUMMYFUNCTION("IMPORTRANGE(""https://docs.google.com/spreadsheets/d/1MeEWN-I1oV_STSDYn1IFDPWt_1FKiwhDph83XaGc0o0/edit?usp=sharing"",""งบพรบ!DE109"")"),0)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IFERROR(__xludf.DUMMYFUNCTION("IMPORTRANGE(""https://docs.google.com/spreadsheets/d/1MeEWN-I1oV_STSDYn1IFDPWt_1FKiwhDph83XaGc0o0/edit?usp=sharing"",""งบพรบ!DF109"")"),0)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IFERROR(__xludf.DUMMYFUNCTION("IMPORTRANGE(""https://docs.google.com/spreadsheets/d/1MeEWN-I1oV_STSDYn1IFDPWt_1FKiwhDph83XaGc0o0/edit?usp=sharing"",""งบพรบ!DG109"")"),0)</f>
        <v>0</v>
      </c>
      <c r="P109" s="85">
        <f t="shared" ca="1" si="18"/>
        <v>0</v>
      </c>
      <c r="Q109" s="84">
        <f t="shared" ca="1" si="8"/>
        <v>0</v>
      </c>
      <c r="R109" s="82"/>
      <c r="S109" s="82"/>
      <c r="T109" s="82"/>
    </row>
    <row r="110" spans="1:20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33"/>
        <v>0</v>
      </c>
      <c r="E110" s="82">
        <f ca="1">IFERROR(__xludf.DUMMYFUNCTION("IMPORTRANGE(""https://docs.google.com/spreadsheets/d/1MeEWN-I1oV_STSDYn1IFDPWt_1FKiwhDph83XaGc0o0/edit?usp=sharing"",""งบพรบ!CZ110"")"),0)</f>
        <v>0</v>
      </c>
      <c r="F110" s="82">
        <f ca="1">IFERROR(__xludf.DUMMYFUNCTION("IMPORTRANGE(""https://docs.google.com/spreadsheets/d/1MeEWN-I1oV_STSDYn1IFDPWt_1FKiwhDph83XaGc0o0/edit?usp=sharing"",""งบพรบ!DA110"")"),0)</f>
        <v>0</v>
      </c>
      <c r="G110" s="82">
        <f ca="1">IFERROR(__xludf.DUMMYFUNCTION("IMPORTRANGE(""https://docs.google.com/spreadsheets/d/1MeEWN-I1oV_STSDYn1IFDPWt_1FKiwhDph83XaGc0o0/edit?usp=sharing"",""งบพรบ!DB110"")"),0)</f>
        <v>0</v>
      </c>
      <c r="H110" s="82">
        <f ca="1">IFERROR(__xludf.DUMMYFUNCTION("IMPORTRANGE(""https://docs.google.com/spreadsheets/d/1MeEWN-I1oV_STSDYn1IFDPWt_1FKiwhDph83XaGc0o0/edit?usp=sharing"",""งบพรบ!DD110"")"),0)</f>
        <v>0</v>
      </c>
      <c r="I110" s="82">
        <f ca="1">IFERROR(__xludf.DUMMYFUNCTION("IMPORTRANGE(""https://docs.google.com/spreadsheets/d/1MeEWN-I1oV_STSDYn1IFDPWt_1FKiwhDph83XaGc0o0/edit?usp=sharing"",""งบพรบ!DE110"")"),0)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IFERROR(__xludf.DUMMYFUNCTION("IMPORTRANGE(""https://docs.google.com/spreadsheets/d/1MeEWN-I1oV_STSDYn1IFDPWt_1FKiwhDph83XaGc0o0/edit?usp=sharing"",""งบพรบ!DF110"")"),0)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IFERROR(__xludf.DUMMYFUNCTION("IMPORTRANGE(""https://docs.google.com/spreadsheets/d/1MeEWN-I1oV_STSDYn1IFDPWt_1FKiwhDph83XaGc0o0/edit?usp=sharing"",""งบพรบ!DG110"")"),0)</f>
        <v>0</v>
      </c>
      <c r="P110" s="85">
        <f t="shared" ca="1" si="18"/>
        <v>0</v>
      </c>
      <c r="Q110" s="84">
        <f t="shared" ca="1" si="8"/>
        <v>0</v>
      </c>
      <c r="R110" s="82"/>
      <c r="S110" s="82"/>
      <c r="T110" s="82"/>
    </row>
    <row r="111" spans="1:20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33"/>
        <v>0</v>
      </c>
      <c r="E111" s="82">
        <f ca="1">IFERROR(__xludf.DUMMYFUNCTION("IMPORTRANGE(""https://docs.google.com/spreadsheets/d/1MeEWN-I1oV_STSDYn1IFDPWt_1FKiwhDph83XaGc0o0/edit?usp=sharing"",""งบพรบ!CZ111"")"),0)</f>
        <v>0</v>
      </c>
      <c r="F111" s="82">
        <f ca="1">IFERROR(__xludf.DUMMYFUNCTION("IMPORTRANGE(""https://docs.google.com/spreadsheets/d/1MeEWN-I1oV_STSDYn1IFDPWt_1FKiwhDph83XaGc0o0/edit?usp=sharing"",""งบพรบ!DA111"")"),0)</f>
        <v>0</v>
      </c>
      <c r="G111" s="82">
        <f ca="1">IFERROR(__xludf.DUMMYFUNCTION("IMPORTRANGE(""https://docs.google.com/spreadsheets/d/1MeEWN-I1oV_STSDYn1IFDPWt_1FKiwhDph83XaGc0o0/edit?usp=sharing"",""งบพรบ!DB111"")"),0)</f>
        <v>0</v>
      </c>
      <c r="H111" s="82">
        <f ca="1">IFERROR(__xludf.DUMMYFUNCTION("IMPORTRANGE(""https://docs.google.com/spreadsheets/d/1MeEWN-I1oV_STSDYn1IFDPWt_1FKiwhDph83XaGc0o0/edit?usp=sharing"",""งบพรบ!DD111"")"),0)</f>
        <v>0</v>
      </c>
      <c r="I111" s="82">
        <f ca="1">IFERROR(__xludf.DUMMYFUNCTION("IMPORTRANGE(""https://docs.google.com/spreadsheets/d/1MeEWN-I1oV_STSDYn1IFDPWt_1FKiwhDph83XaGc0o0/edit?usp=sharing"",""งบพรบ!DE111"")"),0)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IFERROR(__xludf.DUMMYFUNCTION("IMPORTRANGE(""https://docs.google.com/spreadsheets/d/1MeEWN-I1oV_STSDYn1IFDPWt_1FKiwhDph83XaGc0o0/edit?usp=sharing"",""งบพรบ!DF111"")"),0)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IFERROR(__xludf.DUMMYFUNCTION("IMPORTRANGE(""https://docs.google.com/spreadsheets/d/1MeEWN-I1oV_STSDYn1IFDPWt_1FKiwhDph83XaGc0o0/edit?usp=sharing"",""งบพรบ!DG111"")"),0)</f>
        <v>0</v>
      </c>
      <c r="P111" s="85">
        <f t="shared" ca="1" si="18"/>
        <v>0</v>
      </c>
      <c r="Q111" s="84">
        <f t="shared" ca="1" si="8"/>
        <v>0</v>
      </c>
      <c r="R111" s="82"/>
      <c r="S111" s="82"/>
      <c r="T111" s="82"/>
    </row>
    <row r="112" spans="1:20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33"/>
        <v>0</v>
      </c>
      <c r="E112" s="82">
        <f ca="1">IFERROR(__xludf.DUMMYFUNCTION("IMPORTRANGE(""https://docs.google.com/spreadsheets/d/1MeEWN-I1oV_STSDYn1IFDPWt_1FKiwhDph83XaGc0o0/edit?usp=sharing"",""งบพรบ!CZ112"")"),0)</f>
        <v>0</v>
      </c>
      <c r="F112" s="82">
        <f ca="1">IFERROR(__xludf.DUMMYFUNCTION("IMPORTRANGE(""https://docs.google.com/spreadsheets/d/1MeEWN-I1oV_STSDYn1IFDPWt_1FKiwhDph83XaGc0o0/edit?usp=sharing"",""งบพรบ!DA112"")"),0)</f>
        <v>0</v>
      </c>
      <c r="G112" s="82">
        <f ca="1">IFERROR(__xludf.DUMMYFUNCTION("IMPORTRANGE(""https://docs.google.com/spreadsheets/d/1MeEWN-I1oV_STSDYn1IFDPWt_1FKiwhDph83XaGc0o0/edit?usp=sharing"",""งบพรบ!DB112"")"),0)</f>
        <v>0</v>
      </c>
      <c r="H112" s="82">
        <f ca="1">IFERROR(__xludf.DUMMYFUNCTION("IMPORTRANGE(""https://docs.google.com/spreadsheets/d/1MeEWN-I1oV_STSDYn1IFDPWt_1FKiwhDph83XaGc0o0/edit?usp=sharing"",""งบพรบ!DD112"")"),0)</f>
        <v>0</v>
      </c>
      <c r="I112" s="82">
        <f ca="1">IFERROR(__xludf.DUMMYFUNCTION("IMPORTRANGE(""https://docs.google.com/spreadsheets/d/1MeEWN-I1oV_STSDYn1IFDPWt_1FKiwhDph83XaGc0o0/edit?usp=sharing"",""งบพรบ!DE112"")"),0)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IFERROR(__xludf.DUMMYFUNCTION("IMPORTRANGE(""https://docs.google.com/spreadsheets/d/1MeEWN-I1oV_STSDYn1IFDPWt_1FKiwhDph83XaGc0o0/edit?usp=sharing"",""งบพรบ!DF112"")"),0)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IFERROR(__xludf.DUMMYFUNCTION("IMPORTRANGE(""https://docs.google.com/spreadsheets/d/1MeEWN-I1oV_STSDYn1IFDPWt_1FKiwhDph83XaGc0o0/edit?usp=sharing"",""งบพรบ!DG112"")"),0)</f>
        <v>0</v>
      </c>
      <c r="P112" s="85">
        <f t="shared" ca="1" si="18"/>
        <v>0</v>
      </c>
      <c r="Q112" s="84">
        <f t="shared" ca="1" si="8"/>
        <v>0</v>
      </c>
      <c r="R112" s="82"/>
      <c r="S112" s="82"/>
      <c r="T112" s="82"/>
    </row>
    <row r="113" spans="1:20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33"/>
        <v>0</v>
      </c>
      <c r="E113" s="82">
        <f ca="1">IFERROR(__xludf.DUMMYFUNCTION("IMPORTRANGE(""https://docs.google.com/spreadsheets/d/1MeEWN-I1oV_STSDYn1IFDPWt_1FKiwhDph83XaGc0o0/edit?usp=sharing"",""งบพรบ!CZ113"")"),0)</f>
        <v>0</v>
      </c>
      <c r="F113" s="82">
        <f ca="1">IFERROR(__xludf.DUMMYFUNCTION("IMPORTRANGE(""https://docs.google.com/spreadsheets/d/1MeEWN-I1oV_STSDYn1IFDPWt_1FKiwhDph83XaGc0o0/edit?usp=sharing"",""งบพรบ!DA113"")"),0)</f>
        <v>0</v>
      </c>
      <c r="G113" s="82">
        <f ca="1">IFERROR(__xludf.DUMMYFUNCTION("IMPORTRANGE(""https://docs.google.com/spreadsheets/d/1MeEWN-I1oV_STSDYn1IFDPWt_1FKiwhDph83XaGc0o0/edit?usp=sharing"",""งบพรบ!DB113"")"),0)</f>
        <v>0</v>
      </c>
      <c r="H113" s="82">
        <f ca="1">IFERROR(__xludf.DUMMYFUNCTION("IMPORTRANGE(""https://docs.google.com/spreadsheets/d/1MeEWN-I1oV_STSDYn1IFDPWt_1FKiwhDph83XaGc0o0/edit?usp=sharing"",""งบพรบ!DD113"")"),0)</f>
        <v>0</v>
      </c>
      <c r="I113" s="82">
        <f ca="1">IFERROR(__xludf.DUMMYFUNCTION("IMPORTRANGE(""https://docs.google.com/spreadsheets/d/1MeEWN-I1oV_STSDYn1IFDPWt_1FKiwhDph83XaGc0o0/edit?usp=sharing"",""งบพรบ!DE113"")"),0)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IFERROR(__xludf.DUMMYFUNCTION("IMPORTRANGE(""https://docs.google.com/spreadsheets/d/1MeEWN-I1oV_STSDYn1IFDPWt_1FKiwhDph83XaGc0o0/edit?usp=sharing"",""งบพรบ!DF113"")"),0)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IFERROR(__xludf.DUMMYFUNCTION("IMPORTRANGE(""https://docs.google.com/spreadsheets/d/1MeEWN-I1oV_STSDYn1IFDPWt_1FKiwhDph83XaGc0o0/edit?usp=sharing"",""งบพรบ!DG113"")"),0)</f>
        <v>0</v>
      </c>
      <c r="P113" s="85">
        <f t="shared" ca="1" si="18"/>
        <v>0</v>
      </c>
      <c r="Q113" s="84">
        <f t="shared" ca="1" si="8"/>
        <v>0</v>
      </c>
      <c r="R113" s="82"/>
      <c r="S113" s="82"/>
      <c r="T113" s="82"/>
    </row>
    <row r="114" spans="1:20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33"/>
        <v>0</v>
      </c>
      <c r="E114" s="82">
        <f ca="1">IFERROR(__xludf.DUMMYFUNCTION("IMPORTRANGE(""https://docs.google.com/spreadsheets/d/1MeEWN-I1oV_STSDYn1IFDPWt_1FKiwhDph83XaGc0o0/edit?usp=sharing"",""งบพรบ!CZ114"")"),0)</f>
        <v>0</v>
      </c>
      <c r="F114" s="82">
        <f ca="1">IFERROR(__xludf.DUMMYFUNCTION("IMPORTRANGE(""https://docs.google.com/spreadsheets/d/1MeEWN-I1oV_STSDYn1IFDPWt_1FKiwhDph83XaGc0o0/edit?usp=sharing"",""งบพรบ!DA114"")"),0)</f>
        <v>0</v>
      </c>
      <c r="G114" s="82">
        <f ca="1">IFERROR(__xludf.DUMMYFUNCTION("IMPORTRANGE(""https://docs.google.com/spreadsheets/d/1MeEWN-I1oV_STSDYn1IFDPWt_1FKiwhDph83XaGc0o0/edit?usp=sharing"",""งบพรบ!DB114"")"),0)</f>
        <v>0</v>
      </c>
      <c r="H114" s="82">
        <f ca="1">IFERROR(__xludf.DUMMYFUNCTION("IMPORTRANGE(""https://docs.google.com/spreadsheets/d/1MeEWN-I1oV_STSDYn1IFDPWt_1FKiwhDph83XaGc0o0/edit?usp=sharing"",""งบพรบ!DD114"")"),0)</f>
        <v>0</v>
      </c>
      <c r="I114" s="82">
        <f ca="1">IFERROR(__xludf.DUMMYFUNCTION("IMPORTRANGE(""https://docs.google.com/spreadsheets/d/1MeEWN-I1oV_STSDYn1IFDPWt_1FKiwhDph83XaGc0o0/edit?usp=sharing"",""งบพรบ!DE114"")"),0)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IFERROR(__xludf.DUMMYFUNCTION("IMPORTRANGE(""https://docs.google.com/spreadsheets/d/1MeEWN-I1oV_STSDYn1IFDPWt_1FKiwhDph83XaGc0o0/edit?usp=sharing"",""งบพรบ!DF114"")"),0)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IFERROR(__xludf.DUMMYFUNCTION("IMPORTRANGE(""https://docs.google.com/spreadsheets/d/1MeEWN-I1oV_STSDYn1IFDPWt_1FKiwhDph83XaGc0o0/edit?usp=sharing"",""งบพรบ!DG114"")"),0)</f>
        <v>0</v>
      </c>
      <c r="P114" s="85">
        <f t="shared" ca="1" si="18"/>
        <v>0</v>
      </c>
      <c r="Q114" s="84">
        <f t="shared" ca="1" si="8"/>
        <v>0</v>
      </c>
      <c r="R114" s="82"/>
      <c r="S114" s="82"/>
      <c r="T114" s="82"/>
    </row>
    <row r="115" spans="1:20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33"/>
        <v>0</v>
      </c>
      <c r="E115" s="82">
        <f ca="1">IFERROR(__xludf.DUMMYFUNCTION("IMPORTRANGE(""https://docs.google.com/spreadsheets/d/1MeEWN-I1oV_STSDYn1IFDPWt_1FKiwhDph83XaGc0o0/edit?usp=sharing"",""งบพรบ!CZ115"")"),0)</f>
        <v>0</v>
      </c>
      <c r="F115" s="82">
        <f ca="1">IFERROR(__xludf.DUMMYFUNCTION("IMPORTRANGE(""https://docs.google.com/spreadsheets/d/1MeEWN-I1oV_STSDYn1IFDPWt_1FKiwhDph83XaGc0o0/edit?usp=sharing"",""งบพรบ!DA115"")"),0)</f>
        <v>0</v>
      </c>
      <c r="G115" s="82">
        <f ca="1">IFERROR(__xludf.DUMMYFUNCTION("IMPORTRANGE(""https://docs.google.com/spreadsheets/d/1MeEWN-I1oV_STSDYn1IFDPWt_1FKiwhDph83XaGc0o0/edit?usp=sharing"",""งบพรบ!DB115"")"),0)</f>
        <v>0</v>
      </c>
      <c r="H115" s="82">
        <f ca="1">IFERROR(__xludf.DUMMYFUNCTION("IMPORTRANGE(""https://docs.google.com/spreadsheets/d/1MeEWN-I1oV_STSDYn1IFDPWt_1FKiwhDph83XaGc0o0/edit?usp=sharing"",""งบพรบ!DD115"")"),0)</f>
        <v>0</v>
      </c>
      <c r="I115" s="82">
        <f ca="1">IFERROR(__xludf.DUMMYFUNCTION("IMPORTRANGE(""https://docs.google.com/spreadsheets/d/1MeEWN-I1oV_STSDYn1IFDPWt_1FKiwhDph83XaGc0o0/edit?usp=sharing"",""งบพรบ!DE115"")"),0)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IFERROR(__xludf.DUMMYFUNCTION("IMPORTRANGE(""https://docs.google.com/spreadsheets/d/1MeEWN-I1oV_STSDYn1IFDPWt_1FKiwhDph83XaGc0o0/edit?usp=sharing"",""งบพรบ!DF115"")"),0)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IFERROR(__xludf.DUMMYFUNCTION("IMPORTRANGE(""https://docs.google.com/spreadsheets/d/1MeEWN-I1oV_STSDYn1IFDPWt_1FKiwhDph83XaGc0o0/edit?usp=sharing"",""งบพรบ!DG115"")"),0)</f>
        <v>0</v>
      </c>
      <c r="P115" s="85">
        <f t="shared" ca="1" si="18"/>
        <v>0</v>
      </c>
      <c r="Q115" s="84">
        <f t="shared" ca="1" si="8"/>
        <v>0</v>
      </c>
      <c r="R115" s="82"/>
      <c r="S115" s="82"/>
      <c r="T115" s="82"/>
    </row>
    <row r="116" spans="1:20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33"/>
        <v>0</v>
      </c>
      <c r="E116" s="82">
        <f ca="1">IFERROR(__xludf.DUMMYFUNCTION("IMPORTRANGE(""https://docs.google.com/spreadsheets/d/1MeEWN-I1oV_STSDYn1IFDPWt_1FKiwhDph83XaGc0o0/edit?usp=sharing"",""งบพรบ!CZ116"")"),0)</f>
        <v>0</v>
      </c>
      <c r="F116" s="82">
        <f ca="1">IFERROR(__xludf.DUMMYFUNCTION("IMPORTRANGE(""https://docs.google.com/spreadsheets/d/1MeEWN-I1oV_STSDYn1IFDPWt_1FKiwhDph83XaGc0o0/edit?usp=sharing"",""งบพรบ!DA116"")"),0)</f>
        <v>0</v>
      </c>
      <c r="G116" s="82">
        <f ca="1">IFERROR(__xludf.DUMMYFUNCTION("IMPORTRANGE(""https://docs.google.com/spreadsheets/d/1MeEWN-I1oV_STSDYn1IFDPWt_1FKiwhDph83XaGc0o0/edit?usp=sharing"",""งบพรบ!DB116"")"),0)</f>
        <v>0</v>
      </c>
      <c r="H116" s="82">
        <f ca="1">IFERROR(__xludf.DUMMYFUNCTION("IMPORTRANGE(""https://docs.google.com/spreadsheets/d/1MeEWN-I1oV_STSDYn1IFDPWt_1FKiwhDph83XaGc0o0/edit?usp=sharing"",""งบพรบ!DD116"")"),0)</f>
        <v>0</v>
      </c>
      <c r="I116" s="82">
        <f ca="1">IFERROR(__xludf.DUMMYFUNCTION("IMPORTRANGE(""https://docs.google.com/spreadsheets/d/1MeEWN-I1oV_STSDYn1IFDPWt_1FKiwhDph83XaGc0o0/edit?usp=sharing"",""งบพรบ!DE116"")"),0)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IFERROR(__xludf.DUMMYFUNCTION("IMPORTRANGE(""https://docs.google.com/spreadsheets/d/1MeEWN-I1oV_STSDYn1IFDPWt_1FKiwhDph83XaGc0o0/edit?usp=sharing"",""งบพรบ!DF116"")"),0)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IFERROR(__xludf.DUMMYFUNCTION("IMPORTRANGE(""https://docs.google.com/spreadsheets/d/1MeEWN-I1oV_STSDYn1IFDPWt_1FKiwhDph83XaGc0o0/edit?usp=sharing"",""งบพรบ!DG116"")"),0)</f>
        <v>0</v>
      </c>
      <c r="P116" s="85">
        <f t="shared" ca="1" si="18"/>
        <v>0</v>
      </c>
      <c r="Q116" s="84">
        <f t="shared" ca="1" si="8"/>
        <v>0</v>
      </c>
      <c r="R116" s="82"/>
      <c r="S116" s="82"/>
      <c r="T116" s="82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1"/>
    </row>
    <row r="315" spans="1:20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1"/>
    </row>
    <row r="316" spans="1:20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1"/>
    </row>
    <row r="317" spans="1:20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1"/>
    </row>
    <row r="318" spans="1:20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1"/>
    </row>
    <row r="319" spans="1:20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1"/>
    </row>
    <row r="320" spans="1:20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1"/>
    </row>
    <row r="321" spans="1:20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1"/>
    </row>
    <row r="322" spans="1:20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1"/>
    </row>
    <row r="323" spans="1:20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1"/>
    </row>
    <row r="324" spans="1:20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1"/>
    </row>
    <row r="325" spans="1:20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1"/>
    </row>
    <row r="326" spans="1:20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1"/>
    </row>
    <row r="327" spans="1:20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1"/>
    </row>
    <row r="328" spans="1:20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1"/>
    </row>
    <row r="329" spans="1:20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1"/>
    </row>
    <row r="330" spans="1:20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1"/>
    </row>
    <row r="331" spans="1:20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1"/>
    </row>
    <row r="332" spans="1:20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1"/>
    </row>
    <row r="333" spans="1:20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1"/>
    </row>
    <row r="334" spans="1:20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1"/>
    </row>
    <row r="335" spans="1:20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1"/>
    </row>
    <row r="336" spans="1:20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1"/>
    </row>
    <row r="337" spans="1:20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1"/>
    </row>
    <row r="338" spans="1:20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1"/>
    </row>
    <row r="339" spans="1:20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1"/>
    </row>
    <row r="340" spans="1:20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1"/>
    </row>
    <row r="341" spans="1:20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1"/>
    </row>
    <row r="342" spans="1:20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1"/>
    </row>
    <row r="343" spans="1:20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1"/>
    </row>
    <row r="344" spans="1:20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1"/>
    </row>
    <row r="345" spans="1:20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1"/>
    </row>
    <row r="346" spans="1:20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1"/>
    </row>
    <row r="347" spans="1:20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1"/>
    </row>
    <row r="348" spans="1:20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1"/>
    </row>
    <row r="349" spans="1:20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1"/>
    </row>
    <row r="350" spans="1:20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1"/>
    </row>
    <row r="351" spans="1:20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1"/>
    </row>
    <row r="352" spans="1:20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1"/>
    </row>
    <row r="353" spans="1:20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1"/>
    </row>
    <row r="354" spans="1:20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1"/>
    </row>
    <row r="355" spans="1:20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1"/>
    </row>
    <row r="356" spans="1:20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1"/>
    </row>
    <row r="357" spans="1:20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1"/>
    </row>
    <row r="358" spans="1:20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1"/>
    </row>
    <row r="359" spans="1:20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1"/>
    </row>
    <row r="360" spans="1:20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1"/>
    </row>
    <row r="361" spans="1:20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1"/>
    </row>
    <row r="362" spans="1:20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1"/>
    </row>
    <row r="363" spans="1:20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1"/>
    </row>
    <row r="364" spans="1:20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1"/>
    </row>
    <row r="365" spans="1:20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1"/>
    </row>
    <row r="366" spans="1:20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1"/>
    </row>
    <row r="367" spans="1:20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1"/>
    </row>
    <row r="368" spans="1:20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1"/>
    </row>
    <row r="369" spans="1:20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1"/>
    </row>
    <row r="370" spans="1:20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1"/>
    </row>
    <row r="371" spans="1:20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1"/>
    </row>
    <row r="372" spans="1:20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1"/>
    </row>
    <row r="373" spans="1:20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1"/>
    </row>
    <row r="374" spans="1:20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1"/>
    </row>
    <row r="375" spans="1:20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1"/>
    </row>
    <row r="376" spans="1:20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1"/>
    </row>
    <row r="377" spans="1:20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1"/>
    </row>
    <row r="378" spans="1:20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1"/>
    </row>
    <row r="379" spans="1:20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1"/>
    </row>
    <row r="380" spans="1:20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1"/>
    </row>
    <row r="381" spans="1:20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1"/>
    </row>
    <row r="382" spans="1:20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1"/>
    </row>
    <row r="383" spans="1:20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1"/>
    </row>
    <row r="384" spans="1:20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1"/>
    </row>
    <row r="385" spans="1:20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1"/>
    </row>
    <row r="386" spans="1:20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1"/>
    </row>
    <row r="387" spans="1:20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1"/>
    </row>
    <row r="388" spans="1:20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1"/>
    </row>
    <row r="389" spans="1:20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1"/>
    </row>
    <row r="390" spans="1:20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1"/>
    </row>
    <row r="391" spans="1:20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1"/>
    </row>
    <row r="392" spans="1:20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1"/>
    </row>
    <row r="393" spans="1:20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1"/>
    </row>
    <row r="394" spans="1:20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1"/>
    </row>
    <row r="395" spans="1:20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1"/>
    </row>
    <row r="396" spans="1:20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1"/>
    </row>
    <row r="397" spans="1:20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1"/>
    </row>
    <row r="398" spans="1:20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1"/>
    </row>
    <row r="399" spans="1:20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1"/>
    </row>
    <row r="400" spans="1:20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1"/>
    </row>
    <row r="401" spans="1:20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1"/>
    </row>
    <row r="402" spans="1:20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1"/>
    </row>
    <row r="403" spans="1:20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1"/>
    </row>
    <row r="404" spans="1:20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1"/>
    </row>
    <row r="405" spans="1:20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1"/>
    </row>
    <row r="406" spans="1:20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1"/>
    </row>
    <row r="407" spans="1:20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1"/>
    </row>
    <row r="408" spans="1:20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1"/>
    </row>
    <row r="409" spans="1:20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1"/>
    </row>
    <row r="410" spans="1:20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1"/>
    </row>
    <row r="411" spans="1:20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1"/>
    </row>
    <row r="412" spans="1:20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1"/>
    </row>
    <row r="413" spans="1:20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1"/>
    </row>
    <row r="414" spans="1:20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1"/>
    </row>
    <row r="415" spans="1:20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1"/>
    </row>
    <row r="416" spans="1:20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1"/>
    </row>
    <row r="417" spans="1:20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1"/>
    </row>
    <row r="418" spans="1:20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1"/>
    </row>
    <row r="419" spans="1:20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1"/>
    </row>
    <row r="420" spans="1:20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1"/>
    </row>
    <row r="421" spans="1:20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1"/>
    </row>
    <row r="422" spans="1:20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1"/>
    </row>
    <row r="423" spans="1:20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1"/>
    </row>
    <row r="424" spans="1:20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1"/>
    </row>
    <row r="425" spans="1:20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1"/>
    </row>
    <row r="426" spans="1:20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1"/>
    </row>
    <row r="427" spans="1:20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1"/>
    </row>
    <row r="428" spans="1:20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1"/>
    </row>
    <row r="429" spans="1:20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1"/>
    </row>
    <row r="430" spans="1:20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1"/>
    </row>
    <row r="431" spans="1:20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1"/>
    </row>
    <row r="432" spans="1:20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1"/>
    </row>
    <row r="433" spans="1:20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1"/>
    </row>
    <row r="434" spans="1:20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1"/>
    </row>
    <row r="435" spans="1:20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1"/>
    </row>
    <row r="436" spans="1:20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1"/>
    </row>
    <row r="437" spans="1:20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1"/>
    </row>
    <row r="438" spans="1:20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1"/>
    </row>
    <row r="439" spans="1:20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1"/>
    </row>
    <row r="440" spans="1:20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1"/>
    </row>
    <row r="441" spans="1:20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1"/>
    </row>
    <row r="442" spans="1:20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1"/>
    </row>
    <row r="443" spans="1:20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1"/>
    </row>
    <row r="444" spans="1:20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1"/>
    </row>
    <row r="445" spans="1:20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1"/>
    </row>
    <row r="446" spans="1:20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1"/>
    </row>
    <row r="447" spans="1:20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1"/>
    </row>
    <row r="448" spans="1:20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1"/>
    </row>
    <row r="449" spans="1:20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1"/>
    </row>
    <row r="450" spans="1:20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1"/>
    </row>
    <row r="451" spans="1:20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1"/>
    </row>
    <row r="452" spans="1:20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1"/>
    </row>
    <row r="453" spans="1:20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1"/>
    </row>
    <row r="454" spans="1:20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1"/>
    </row>
    <row r="455" spans="1:20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1"/>
    </row>
    <row r="456" spans="1:20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1"/>
    </row>
    <row r="457" spans="1:20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1"/>
    </row>
    <row r="458" spans="1:20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1"/>
    </row>
    <row r="459" spans="1:20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1"/>
    </row>
    <row r="460" spans="1:20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1"/>
    </row>
    <row r="461" spans="1:20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1"/>
    </row>
    <row r="462" spans="1:20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1"/>
    </row>
    <row r="463" spans="1:20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1"/>
    </row>
    <row r="464" spans="1:20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1"/>
    </row>
    <row r="465" spans="1:20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1"/>
    </row>
    <row r="466" spans="1:20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1"/>
    </row>
    <row r="467" spans="1:20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1"/>
    </row>
    <row r="468" spans="1:20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1"/>
    </row>
    <row r="469" spans="1:20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1"/>
    </row>
    <row r="470" spans="1:20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1"/>
    </row>
    <row r="471" spans="1:20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1"/>
    </row>
    <row r="472" spans="1:20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1"/>
    </row>
    <row r="473" spans="1:20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1"/>
    </row>
    <row r="474" spans="1:20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1"/>
    </row>
    <row r="475" spans="1:20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1"/>
    </row>
    <row r="476" spans="1:20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1"/>
    </row>
    <row r="477" spans="1:20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1"/>
    </row>
    <row r="478" spans="1:20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1"/>
    </row>
    <row r="479" spans="1:20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1"/>
    </row>
    <row r="480" spans="1:20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1"/>
    </row>
    <row r="481" spans="1:20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1"/>
    </row>
    <row r="482" spans="1:20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1"/>
    </row>
    <row r="483" spans="1:20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1"/>
    </row>
    <row r="484" spans="1:20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1"/>
    </row>
    <row r="485" spans="1:20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1"/>
    </row>
    <row r="486" spans="1:20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1"/>
    </row>
    <row r="487" spans="1:20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1"/>
    </row>
    <row r="488" spans="1:20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1"/>
    </row>
    <row r="489" spans="1:20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1"/>
    </row>
    <row r="490" spans="1:20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1"/>
    </row>
    <row r="491" spans="1:20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1"/>
    </row>
    <row r="492" spans="1:20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1"/>
    </row>
    <row r="493" spans="1:20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1"/>
    </row>
    <row r="494" spans="1:20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1"/>
    </row>
    <row r="495" spans="1:20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1"/>
    </row>
    <row r="496" spans="1:20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1"/>
    </row>
    <row r="497" spans="1:20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1"/>
    </row>
    <row r="498" spans="1:20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1"/>
    </row>
    <row r="499" spans="1:20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1"/>
    </row>
    <row r="500" spans="1:20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1"/>
    </row>
    <row r="501" spans="1:20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1"/>
    </row>
    <row r="502" spans="1:20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1"/>
    </row>
    <row r="503" spans="1:20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1"/>
    </row>
    <row r="504" spans="1:20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1"/>
    </row>
    <row r="505" spans="1:20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1"/>
    </row>
    <row r="506" spans="1:20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1"/>
    </row>
    <row r="507" spans="1:20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1"/>
    </row>
    <row r="508" spans="1:20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1"/>
    </row>
    <row r="509" spans="1:20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1"/>
    </row>
    <row r="510" spans="1:20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1"/>
    </row>
    <row r="511" spans="1:20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1"/>
    </row>
    <row r="512" spans="1:20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1"/>
    </row>
    <row r="513" spans="1:20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1"/>
    </row>
    <row r="514" spans="1:20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1"/>
    </row>
    <row r="515" spans="1:20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1"/>
    </row>
    <row r="516" spans="1:20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1"/>
    </row>
    <row r="517" spans="1:20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1"/>
    </row>
    <row r="518" spans="1:20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1"/>
    </row>
    <row r="519" spans="1:20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1"/>
    </row>
    <row r="520" spans="1:20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1"/>
    </row>
    <row r="521" spans="1:20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1"/>
    </row>
    <row r="522" spans="1:20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1"/>
    </row>
    <row r="523" spans="1:20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1"/>
    </row>
    <row r="524" spans="1:20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1"/>
    </row>
    <row r="525" spans="1:20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1"/>
    </row>
    <row r="526" spans="1:20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1"/>
    </row>
    <row r="527" spans="1:20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1"/>
    </row>
    <row r="528" spans="1:20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1"/>
    </row>
    <row r="529" spans="1:20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1"/>
    </row>
    <row r="530" spans="1:20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1"/>
    </row>
    <row r="531" spans="1:20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1"/>
    </row>
    <row r="532" spans="1:20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1"/>
    </row>
    <row r="533" spans="1:20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1"/>
    </row>
    <row r="534" spans="1:20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1"/>
    </row>
    <row r="535" spans="1:20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1"/>
    </row>
    <row r="536" spans="1:20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1"/>
    </row>
    <row r="537" spans="1:20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1"/>
    </row>
    <row r="538" spans="1:20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1"/>
    </row>
    <row r="539" spans="1:20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1"/>
    </row>
    <row r="540" spans="1:20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1"/>
    </row>
    <row r="541" spans="1:20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1"/>
    </row>
    <row r="542" spans="1:20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1"/>
    </row>
    <row r="543" spans="1:20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1"/>
    </row>
    <row r="544" spans="1:20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1"/>
    </row>
    <row r="545" spans="1:20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1"/>
    </row>
    <row r="546" spans="1:20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1"/>
    </row>
    <row r="547" spans="1:20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1"/>
    </row>
    <row r="548" spans="1:20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1"/>
    </row>
    <row r="549" spans="1:20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1"/>
    </row>
    <row r="550" spans="1:20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1"/>
    </row>
    <row r="551" spans="1:20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1"/>
    </row>
    <row r="552" spans="1:20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1"/>
    </row>
    <row r="553" spans="1:20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1"/>
    </row>
    <row r="554" spans="1:20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1"/>
    </row>
    <row r="555" spans="1:20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1"/>
    </row>
    <row r="556" spans="1:20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1"/>
    </row>
    <row r="557" spans="1:20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1"/>
    </row>
    <row r="558" spans="1:20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1"/>
    </row>
    <row r="559" spans="1:20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1"/>
    </row>
    <row r="560" spans="1:20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1"/>
    </row>
    <row r="561" spans="1:20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1"/>
    </row>
    <row r="562" spans="1:20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1"/>
    </row>
    <row r="563" spans="1:20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1"/>
    </row>
    <row r="564" spans="1:20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1"/>
    </row>
    <row r="565" spans="1:20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1"/>
    </row>
    <row r="566" spans="1:20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1"/>
    </row>
    <row r="567" spans="1:20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1"/>
    </row>
    <row r="568" spans="1:20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1"/>
    </row>
    <row r="569" spans="1:20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1"/>
    </row>
    <row r="570" spans="1:20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1"/>
    </row>
    <row r="571" spans="1:20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1"/>
    </row>
    <row r="572" spans="1:20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1"/>
    </row>
    <row r="573" spans="1:20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1"/>
    </row>
    <row r="574" spans="1:20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1"/>
    </row>
    <row r="575" spans="1:20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1"/>
    </row>
    <row r="576" spans="1:20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1"/>
    </row>
    <row r="577" spans="1:20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1"/>
    </row>
    <row r="578" spans="1:20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1"/>
    </row>
    <row r="579" spans="1:20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1"/>
    </row>
    <row r="580" spans="1:20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1"/>
    </row>
    <row r="581" spans="1:20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1"/>
    </row>
    <row r="582" spans="1:20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1"/>
    </row>
    <row r="583" spans="1:20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1"/>
    </row>
    <row r="584" spans="1:20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1"/>
    </row>
    <row r="585" spans="1:20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1"/>
    </row>
    <row r="586" spans="1:20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1"/>
    </row>
    <row r="587" spans="1:20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1"/>
    </row>
    <row r="588" spans="1:20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1"/>
    </row>
    <row r="589" spans="1:20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1"/>
    </row>
    <row r="590" spans="1:20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1"/>
    </row>
    <row r="591" spans="1:20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1"/>
    </row>
    <row r="592" spans="1:20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1"/>
    </row>
    <row r="593" spans="1:20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1"/>
    </row>
    <row r="594" spans="1:20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1"/>
    </row>
    <row r="595" spans="1:20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1"/>
    </row>
    <row r="596" spans="1:20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1"/>
    </row>
    <row r="597" spans="1:20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1"/>
    </row>
    <row r="598" spans="1:20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1"/>
    </row>
    <row r="599" spans="1:20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1"/>
    </row>
    <row r="600" spans="1:20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1"/>
    </row>
    <row r="601" spans="1:20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1"/>
    </row>
    <row r="602" spans="1:20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1"/>
    </row>
    <row r="603" spans="1:20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1"/>
    </row>
    <row r="604" spans="1:20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1"/>
    </row>
    <row r="605" spans="1:20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1"/>
    </row>
    <row r="606" spans="1:20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1"/>
    </row>
    <row r="607" spans="1:20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1"/>
    </row>
    <row r="608" spans="1:20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1"/>
    </row>
    <row r="609" spans="1:20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1"/>
    </row>
    <row r="610" spans="1:20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1"/>
    </row>
    <row r="611" spans="1:20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1"/>
    </row>
    <row r="612" spans="1:20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1"/>
    </row>
    <row r="613" spans="1:20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1"/>
    </row>
    <row r="614" spans="1:20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1"/>
    </row>
    <row r="615" spans="1:20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1"/>
    </row>
    <row r="616" spans="1:20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1"/>
    </row>
    <row r="617" spans="1:20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1"/>
    </row>
    <row r="618" spans="1:20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1"/>
    </row>
    <row r="619" spans="1:20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1"/>
    </row>
    <row r="620" spans="1:20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1"/>
    </row>
    <row r="621" spans="1:20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1"/>
    </row>
    <row r="622" spans="1:20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1"/>
    </row>
    <row r="623" spans="1:20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1"/>
    </row>
    <row r="624" spans="1:20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1"/>
    </row>
    <row r="625" spans="1:20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1"/>
    </row>
    <row r="626" spans="1:20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1"/>
    </row>
    <row r="627" spans="1:20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1"/>
    </row>
    <row r="628" spans="1:20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1"/>
    </row>
    <row r="629" spans="1:20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1"/>
    </row>
    <row r="630" spans="1:20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1"/>
    </row>
    <row r="631" spans="1:20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1"/>
    </row>
    <row r="632" spans="1:20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1"/>
    </row>
    <row r="633" spans="1:20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1"/>
    </row>
    <row r="634" spans="1:20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1"/>
    </row>
    <row r="635" spans="1:20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1"/>
    </row>
    <row r="636" spans="1:20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1"/>
    </row>
    <row r="637" spans="1:20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1"/>
    </row>
    <row r="638" spans="1:20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1"/>
    </row>
    <row r="639" spans="1:20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1"/>
    </row>
    <row r="640" spans="1:20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1"/>
    </row>
    <row r="641" spans="1:20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1"/>
    </row>
    <row r="642" spans="1:20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1"/>
    </row>
    <row r="643" spans="1:20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1"/>
    </row>
    <row r="644" spans="1:20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1"/>
    </row>
    <row r="645" spans="1:20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1"/>
    </row>
    <row r="646" spans="1:20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1"/>
    </row>
    <row r="647" spans="1:20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1"/>
    </row>
    <row r="648" spans="1:20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1"/>
    </row>
    <row r="649" spans="1:20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1"/>
    </row>
    <row r="650" spans="1:20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1"/>
    </row>
    <row r="651" spans="1:20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1"/>
    </row>
    <row r="652" spans="1:20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1"/>
    </row>
    <row r="653" spans="1:20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1"/>
    </row>
    <row r="654" spans="1:20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1"/>
    </row>
    <row r="655" spans="1:20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1"/>
    </row>
    <row r="656" spans="1:20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1"/>
    </row>
    <row r="657" spans="1:20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1"/>
    </row>
    <row r="658" spans="1:20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1"/>
    </row>
    <row r="659" spans="1:20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1"/>
    </row>
    <row r="660" spans="1:20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1"/>
    </row>
    <row r="661" spans="1:20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1"/>
    </row>
    <row r="662" spans="1:20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1"/>
    </row>
    <row r="663" spans="1:20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1"/>
    </row>
    <row r="664" spans="1:20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1"/>
    </row>
    <row r="665" spans="1:20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1"/>
    </row>
    <row r="666" spans="1:20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1"/>
    </row>
    <row r="667" spans="1:20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1"/>
    </row>
    <row r="668" spans="1:20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1"/>
    </row>
    <row r="669" spans="1:20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1"/>
    </row>
    <row r="670" spans="1:20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1"/>
    </row>
    <row r="671" spans="1:20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1"/>
    </row>
    <row r="672" spans="1:20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1"/>
    </row>
    <row r="673" spans="1:20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1"/>
    </row>
    <row r="674" spans="1:20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1"/>
    </row>
    <row r="675" spans="1:20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1"/>
    </row>
    <row r="676" spans="1:20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1"/>
    </row>
    <row r="677" spans="1:20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1"/>
    </row>
    <row r="678" spans="1:20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1"/>
    </row>
    <row r="679" spans="1:20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1"/>
    </row>
    <row r="680" spans="1:20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1"/>
    </row>
    <row r="681" spans="1:20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1"/>
    </row>
    <row r="682" spans="1:20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1"/>
    </row>
    <row r="683" spans="1:20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1"/>
    </row>
    <row r="684" spans="1:20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1"/>
    </row>
    <row r="685" spans="1:20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1"/>
    </row>
    <row r="686" spans="1:20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1"/>
    </row>
    <row r="687" spans="1:20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1"/>
    </row>
    <row r="688" spans="1:20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1"/>
    </row>
    <row r="689" spans="1:20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1"/>
    </row>
    <row r="690" spans="1:20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1"/>
    </row>
    <row r="691" spans="1:20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1"/>
    </row>
    <row r="692" spans="1:20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1"/>
    </row>
    <row r="693" spans="1:20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1"/>
    </row>
    <row r="694" spans="1:20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1"/>
    </row>
    <row r="695" spans="1:20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1"/>
    </row>
    <row r="696" spans="1:20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1"/>
    </row>
    <row r="697" spans="1:20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1"/>
    </row>
    <row r="698" spans="1:20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1"/>
    </row>
    <row r="699" spans="1:20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1"/>
    </row>
    <row r="700" spans="1:20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1"/>
    </row>
    <row r="701" spans="1:20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1"/>
    </row>
    <row r="702" spans="1:20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1"/>
    </row>
    <row r="703" spans="1:20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1"/>
    </row>
    <row r="704" spans="1:20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1"/>
    </row>
    <row r="705" spans="1:20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1"/>
    </row>
    <row r="706" spans="1:20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1"/>
    </row>
    <row r="707" spans="1:20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1"/>
    </row>
    <row r="708" spans="1:20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1"/>
    </row>
    <row r="709" spans="1:20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1"/>
    </row>
    <row r="710" spans="1:20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1"/>
    </row>
    <row r="711" spans="1:20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1"/>
    </row>
    <row r="712" spans="1:20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1"/>
    </row>
    <row r="713" spans="1:20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1"/>
    </row>
    <row r="714" spans="1:20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1"/>
    </row>
    <row r="715" spans="1:20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1"/>
    </row>
    <row r="716" spans="1:20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1"/>
    </row>
    <row r="717" spans="1:20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1"/>
    </row>
    <row r="718" spans="1:20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1"/>
    </row>
    <row r="719" spans="1:20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1"/>
    </row>
    <row r="720" spans="1:20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1"/>
    </row>
    <row r="721" spans="1:20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1"/>
    </row>
    <row r="722" spans="1:20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1"/>
    </row>
    <row r="723" spans="1:20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1"/>
    </row>
    <row r="724" spans="1:20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1"/>
    </row>
    <row r="725" spans="1:20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1"/>
    </row>
    <row r="726" spans="1:20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1"/>
    </row>
    <row r="727" spans="1:20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1"/>
    </row>
    <row r="728" spans="1:20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1"/>
    </row>
    <row r="729" spans="1:20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1"/>
    </row>
    <row r="730" spans="1:20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1"/>
    </row>
    <row r="731" spans="1:20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1"/>
    </row>
    <row r="732" spans="1:20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1"/>
    </row>
    <row r="733" spans="1:20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1"/>
    </row>
    <row r="734" spans="1:20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1"/>
    </row>
    <row r="735" spans="1:20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1"/>
    </row>
    <row r="736" spans="1:20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1"/>
    </row>
    <row r="737" spans="1:20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1"/>
    </row>
    <row r="738" spans="1:20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1"/>
    </row>
    <row r="739" spans="1:20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1"/>
    </row>
    <row r="740" spans="1:20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1"/>
    </row>
    <row r="741" spans="1:20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1"/>
    </row>
    <row r="742" spans="1:20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1"/>
    </row>
    <row r="743" spans="1:20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1"/>
    </row>
    <row r="744" spans="1:20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1"/>
    </row>
    <row r="745" spans="1:20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1"/>
    </row>
    <row r="746" spans="1:20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1"/>
    </row>
    <row r="747" spans="1:20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1"/>
    </row>
    <row r="748" spans="1:20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1"/>
    </row>
    <row r="749" spans="1:20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1"/>
    </row>
    <row r="750" spans="1:20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1"/>
    </row>
    <row r="751" spans="1:20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1"/>
    </row>
    <row r="752" spans="1:20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1"/>
    </row>
    <row r="753" spans="1:20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1"/>
    </row>
    <row r="754" spans="1:20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1"/>
    </row>
    <row r="755" spans="1:20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1"/>
    </row>
    <row r="756" spans="1:20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1"/>
    </row>
    <row r="757" spans="1:20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1"/>
    </row>
    <row r="758" spans="1:20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1"/>
    </row>
    <row r="759" spans="1:20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1"/>
    </row>
    <row r="760" spans="1:20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1"/>
    </row>
    <row r="761" spans="1:20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1"/>
    </row>
    <row r="762" spans="1:20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1"/>
    </row>
    <row r="763" spans="1:20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1"/>
    </row>
    <row r="764" spans="1:20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1"/>
    </row>
    <row r="765" spans="1:20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1"/>
    </row>
    <row r="766" spans="1:20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1"/>
    </row>
    <row r="767" spans="1:20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1"/>
    </row>
    <row r="768" spans="1:20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1"/>
    </row>
    <row r="769" spans="1:20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1"/>
    </row>
    <row r="770" spans="1:20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1"/>
    </row>
    <row r="771" spans="1:20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1"/>
    </row>
    <row r="772" spans="1:20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1"/>
    </row>
    <row r="773" spans="1:20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1"/>
    </row>
    <row r="774" spans="1:20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1"/>
    </row>
    <row r="775" spans="1:20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1"/>
    </row>
    <row r="776" spans="1:20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1"/>
    </row>
    <row r="777" spans="1:20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1"/>
    </row>
    <row r="778" spans="1:20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1"/>
    </row>
    <row r="779" spans="1:20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1"/>
    </row>
    <row r="780" spans="1:20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1"/>
    </row>
    <row r="781" spans="1:20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1"/>
    </row>
    <row r="782" spans="1:20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1"/>
    </row>
    <row r="783" spans="1:20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1"/>
    </row>
    <row r="784" spans="1:20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1"/>
    </row>
    <row r="785" spans="1:20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1"/>
    </row>
    <row r="786" spans="1:20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1"/>
    </row>
    <row r="787" spans="1:20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1"/>
    </row>
    <row r="788" spans="1:20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1"/>
    </row>
    <row r="789" spans="1:20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1"/>
    </row>
    <row r="790" spans="1:20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1"/>
    </row>
    <row r="791" spans="1:20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1"/>
    </row>
    <row r="792" spans="1:20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1"/>
    </row>
    <row r="793" spans="1:20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1"/>
    </row>
    <row r="794" spans="1:20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1"/>
    </row>
    <row r="795" spans="1:20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1"/>
    </row>
    <row r="796" spans="1:20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1"/>
    </row>
    <row r="797" spans="1:20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1"/>
    </row>
    <row r="798" spans="1:20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1"/>
    </row>
    <row r="799" spans="1:20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1"/>
    </row>
    <row r="800" spans="1:20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1"/>
    </row>
    <row r="801" spans="1:20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1"/>
    </row>
    <row r="802" spans="1:20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1"/>
    </row>
    <row r="803" spans="1:20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1"/>
    </row>
    <row r="804" spans="1:20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1"/>
    </row>
    <row r="805" spans="1:20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1"/>
    </row>
    <row r="806" spans="1:20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1"/>
    </row>
    <row r="807" spans="1:20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1"/>
    </row>
    <row r="808" spans="1:20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1"/>
    </row>
    <row r="809" spans="1:20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1"/>
    </row>
    <row r="810" spans="1:20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1"/>
    </row>
    <row r="811" spans="1:20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1"/>
    </row>
    <row r="812" spans="1:20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1"/>
    </row>
    <row r="813" spans="1:20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1"/>
    </row>
    <row r="814" spans="1:20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1"/>
    </row>
    <row r="815" spans="1:20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1"/>
    </row>
    <row r="816" spans="1:20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1"/>
    </row>
    <row r="817" spans="1:20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1"/>
    </row>
    <row r="818" spans="1:20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1"/>
    </row>
    <row r="819" spans="1:20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1"/>
    </row>
    <row r="820" spans="1:20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1"/>
    </row>
    <row r="821" spans="1:20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1"/>
    </row>
    <row r="822" spans="1:20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1"/>
    </row>
    <row r="823" spans="1:20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1"/>
    </row>
    <row r="824" spans="1:20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1"/>
    </row>
    <row r="825" spans="1:20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1"/>
    </row>
    <row r="826" spans="1:20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1"/>
    </row>
    <row r="827" spans="1:20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1"/>
    </row>
    <row r="828" spans="1:20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1"/>
    </row>
    <row r="829" spans="1:20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1"/>
    </row>
    <row r="830" spans="1:20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1"/>
    </row>
    <row r="831" spans="1:20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1"/>
    </row>
    <row r="832" spans="1:20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1"/>
    </row>
    <row r="833" spans="1:20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1"/>
    </row>
    <row r="834" spans="1:20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1"/>
    </row>
    <row r="835" spans="1:20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1"/>
    </row>
    <row r="836" spans="1:20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1"/>
    </row>
    <row r="837" spans="1:20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1"/>
    </row>
    <row r="838" spans="1:20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1"/>
    </row>
    <row r="839" spans="1:20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1"/>
    </row>
    <row r="840" spans="1:20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1"/>
    </row>
    <row r="841" spans="1:20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1"/>
    </row>
    <row r="842" spans="1:20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1"/>
    </row>
    <row r="843" spans="1:20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1"/>
    </row>
    <row r="844" spans="1:20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1"/>
    </row>
    <row r="845" spans="1:20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1"/>
    </row>
    <row r="846" spans="1:20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1"/>
    </row>
    <row r="847" spans="1:20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1"/>
    </row>
    <row r="848" spans="1:20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1"/>
    </row>
    <row r="849" spans="1:20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1"/>
    </row>
    <row r="850" spans="1:20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1"/>
    </row>
    <row r="851" spans="1:20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1"/>
    </row>
    <row r="852" spans="1:20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1"/>
    </row>
    <row r="853" spans="1:20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1"/>
    </row>
    <row r="854" spans="1:20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1"/>
    </row>
    <row r="855" spans="1:20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1"/>
    </row>
    <row r="856" spans="1:20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1"/>
    </row>
    <row r="857" spans="1:20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1"/>
    </row>
    <row r="858" spans="1:20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1"/>
    </row>
    <row r="859" spans="1:20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1"/>
    </row>
    <row r="860" spans="1:20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1"/>
    </row>
    <row r="861" spans="1:20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1"/>
    </row>
    <row r="862" spans="1:20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1"/>
    </row>
    <row r="863" spans="1:20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1"/>
    </row>
    <row r="864" spans="1:20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1"/>
    </row>
    <row r="865" spans="1:20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1"/>
    </row>
    <row r="866" spans="1:20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1"/>
    </row>
    <row r="867" spans="1:20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1"/>
    </row>
    <row r="868" spans="1:20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1"/>
    </row>
    <row r="869" spans="1:20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1"/>
    </row>
    <row r="870" spans="1:20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1"/>
    </row>
    <row r="871" spans="1:20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1"/>
    </row>
    <row r="872" spans="1:20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1"/>
    </row>
    <row r="873" spans="1:20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1"/>
    </row>
    <row r="874" spans="1:20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1"/>
    </row>
    <row r="875" spans="1:20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1"/>
    </row>
    <row r="876" spans="1:20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1"/>
    </row>
    <row r="877" spans="1:20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1"/>
    </row>
    <row r="878" spans="1:20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1"/>
    </row>
    <row r="879" spans="1:20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1"/>
    </row>
    <row r="880" spans="1:20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1"/>
    </row>
    <row r="881" spans="1:20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1"/>
    </row>
    <row r="882" spans="1:20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1"/>
    </row>
    <row r="883" spans="1:20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1"/>
    </row>
    <row r="884" spans="1:20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1"/>
    </row>
    <row r="885" spans="1:20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1"/>
    </row>
    <row r="886" spans="1:20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1"/>
    </row>
    <row r="887" spans="1:20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1"/>
    </row>
    <row r="888" spans="1:20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1"/>
    </row>
    <row r="889" spans="1:20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1"/>
    </row>
    <row r="890" spans="1:20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1"/>
    </row>
    <row r="891" spans="1:20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1"/>
    </row>
    <row r="892" spans="1:20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1"/>
    </row>
    <row r="893" spans="1:20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1"/>
    </row>
    <row r="894" spans="1:20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1"/>
    </row>
    <row r="895" spans="1:20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1"/>
    </row>
    <row r="896" spans="1:20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1"/>
    </row>
    <row r="897" spans="1:20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1"/>
    </row>
    <row r="898" spans="1:20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1"/>
    </row>
    <row r="899" spans="1:20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1"/>
    </row>
    <row r="900" spans="1:20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1"/>
    </row>
    <row r="901" spans="1:20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1"/>
    </row>
    <row r="902" spans="1:20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1"/>
    </row>
    <row r="903" spans="1:20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1"/>
    </row>
    <row r="904" spans="1:20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1"/>
    </row>
    <row r="905" spans="1:20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1"/>
    </row>
    <row r="906" spans="1:20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1"/>
    </row>
    <row r="907" spans="1:20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1"/>
    </row>
    <row r="908" spans="1:20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1"/>
    </row>
    <row r="909" spans="1:20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1"/>
    </row>
    <row r="910" spans="1:20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1"/>
    </row>
    <row r="911" spans="1:20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1"/>
    </row>
    <row r="912" spans="1:20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1"/>
    </row>
    <row r="913" spans="1:20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1"/>
    </row>
    <row r="914" spans="1:20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1"/>
    </row>
    <row r="915" spans="1:20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1"/>
    </row>
    <row r="916" spans="1:20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1"/>
    </row>
    <row r="917" spans="1:20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1"/>
    </row>
    <row r="918" spans="1:20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1"/>
    </row>
    <row r="919" spans="1:20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1"/>
    </row>
    <row r="920" spans="1:20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1"/>
    </row>
    <row r="921" spans="1:20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1"/>
    </row>
    <row r="922" spans="1:20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1"/>
    </row>
    <row r="923" spans="1:20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1"/>
    </row>
    <row r="924" spans="1:20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1"/>
    </row>
    <row r="925" spans="1:20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1"/>
    </row>
    <row r="926" spans="1:20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1"/>
    </row>
    <row r="927" spans="1:20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1"/>
    </row>
    <row r="928" spans="1:20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1"/>
    </row>
    <row r="929" spans="1:20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1"/>
    </row>
    <row r="930" spans="1:20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1"/>
    </row>
    <row r="931" spans="1:20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1"/>
    </row>
    <row r="932" spans="1:20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1"/>
    </row>
    <row r="933" spans="1:20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1"/>
    </row>
    <row r="934" spans="1:20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1"/>
    </row>
    <row r="935" spans="1:20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1"/>
    </row>
    <row r="936" spans="1:20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1"/>
    </row>
    <row r="937" spans="1:20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1"/>
    </row>
    <row r="938" spans="1:20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1"/>
    </row>
    <row r="939" spans="1:20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1"/>
    </row>
    <row r="940" spans="1:20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1"/>
    </row>
    <row r="941" spans="1:20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1"/>
    </row>
    <row r="942" spans="1:20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1"/>
    </row>
    <row r="943" spans="1:20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1"/>
    </row>
    <row r="944" spans="1:20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1"/>
    </row>
    <row r="945" spans="1:20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1"/>
    </row>
    <row r="946" spans="1:20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1"/>
    </row>
    <row r="947" spans="1:20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1"/>
    </row>
    <row r="948" spans="1:20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1"/>
    </row>
    <row r="949" spans="1:20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1"/>
    </row>
    <row r="950" spans="1:20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1"/>
    </row>
    <row r="951" spans="1:20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1"/>
    </row>
    <row r="952" spans="1:20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1"/>
    </row>
    <row r="953" spans="1:20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1"/>
    </row>
    <row r="954" spans="1:20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1"/>
    </row>
    <row r="955" spans="1:20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1"/>
    </row>
    <row r="956" spans="1:20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1"/>
    </row>
    <row r="957" spans="1:20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1"/>
    </row>
    <row r="958" spans="1:20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1"/>
    </row>
    <row r="959" spans="1:20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1"/>
    </row>
    <row r="960" spans="1:20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1"/>
    </row>
    <row r="961" spans="1:20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1"/>
    </row>
    <row r="962" spans="1:20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1"/>
    </row>
    <row r="963" spans="1:20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1"/>
    </row>
    <row r="964" spans="1:20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1"/>
    </row>
    <row r="965" spans="1:20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1"/>
    </row>
    <row r="966" spans="1:20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1"/>
    </row>
    <row r="967" spans="1:20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1"/>
    </row>
    <row r="968" spans="1:20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1"/>
    </row>
    <row r="969" spans="1:20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1"/>
    </row>
    <row r="970" spans="1:20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1"/>
    </row>
    <row r="971" spans="1:20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1"/>
    </row>
    <row r="972" spans="1:20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1"/>
    </row>
    <row r="973" spans="1:20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1"/>
    </row>
    <row r="974" spans="1:20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1"/>
    </row>
    <row r="975" spans="1:20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1"/>
    </row>
    <row r="976" spans="1:20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1"/>
    </row>
    <row r="977" spans="1:20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1"/>
    </row>
    <row r="978" spans="1:20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1"/>
    </row>
    <row r="979" spans="1:20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1"/>
    </row>
    <row r="980" spans="1:20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1"/>
    </row>
    <row r="981" spans="1:20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1"/>
    </row>
    <row r="982" spans="1:20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1"/>
    </row>
    <row r="983" spans="1:20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1"/>
    </row>
    <row r="984" spans="1:20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1"/>
    </row>
    <row r="985" spans="1:20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1"/>
    </row>
    <row r="986" spans="1:20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1"/>
    </row>
    <row r="987" spans="1:20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1"/>
    </row>
    <row r="988" spans="1:20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1"/>
    </row>
    <row r="989" spans="1:20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1"/>
    </row>
    <row r="990" spans="1:20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1"/>
    </row>
    <row r="991" spans="1:20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1"/>
    </row>
    <row r="992" spans="1:20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1"/>
    </row>
    <row r="993" spans="1:20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1"/>
    </row>
    <row r="994" spans="1:20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1"/>
    </row>
    <row r="995" spans="1:20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1"/>
    </row>
    <row r="996" spans="1:20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1"/>
    </row>
    <row r="997" spans="1:20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1"/>
    </row>
    <row r="998" spans="1:20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1"/>
    </row>
    <row r="999" spans="1:20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1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23622047244094491" right="0.23622047244094491" top="0.74803149606299213" bottom="0.74803149606299213" header="0" footer="0"/>
  <pageSetup paperSize="9" scale="52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G1000"/>
  <sheetViews>
    <sheetView view="pageBreakPreview" zoomScale="60" zoomScaleNormal="100" workbookViewId="0">
      <pane xSplit="2" ySplit="7" topLeftCell="C8" activePane="bottomRight" state="frozen"/>
      <selection activeCell="J17" sqref="J17"/>
      <selection pane="topRight" activeCell="J17" sqref="J17"/>
      <selection pane="bottomLeft" activeCell="J17" sqref="J17"/>
      <selection pane="bottomRight" activeCell="Y28" sqref="Y2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6.425781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302"/>
      <c r="S1" s="302"/>
      <c r="T1" s="302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</row>
    <row r="2" spans="1:33" ht="24" customHeight="1" x14ac:dyDescent="0.2">
      <c r="A2" s="382" t="s">
        <v>1</v>
      </c>
      <c r="B2" s="383"/>
      <c r="C2" s="352" t="s">
        <v>198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4"/>
    </row>
    <row r="3" spans="1:33" ht="30" customHeight="1" x14ac:dyDescent="0.2">
      <c r="A3" s="384"/>
      <c r="B3" s="385"/>
      <c r="C3" s="355" t="s">
        <v>3</v>
      </c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421" t="s">
        <v>199</v>
      </c>
      <c r="S3" s="361"/>
      <c r="T3" s="362"/>
      <c r="U3" s="421" t="s">
        <v>200</v>
      </c>
      <c r="V3" s="361"/>
      <c r="W3" s="362"/>
      <c r="X3" s="421" t="s">
        <v>201</v>
      </c>
      <c r="Y3" s="361"/>
      <c r="Z3" s="361"/>
      <c r="AA3" s="361"/>
      <c r="AB3" s="362"/>
      <c r="AC3" s="421" t="s">
        <v>202</v>
      </c>
      <c r="AD3" s="361"/>
      <c r="AE3" s="361"/>
      <c r="AF3" s="361"/>
      <c r="AG3" s="362"/>
    </row>
    <row r="4" spans="1:33" ht="30" customHeight="1" x14ac:dyDescent="0.2">
      <c r="A4" s="384"/>
      <c r="B4" s="385"/>
      <c r="C4" s="366" t="s">
        <v>6</v>
      </c>
      <c r="D4" s="356"/>
      <c r="E4" s="356"/>
      <c r="F4" s="356"/>
      <c r="G4" s="359"/>
      <c r="H4" s="367" t="s">
        <v>7</v>
      </c>
      <c r="I4" s="359"/>
      <c r="J4" s="371" t="s">
        <v>8</v>
      </c>
      <c r="K4" s="356"/>
      <c r="L4" s="356"/>
      <c r="M4" s="356"/>
      <c r="N4" s="356"/>
      <c r="O4" s="356"/>
      <c r="P4" s="356"/>
      <c r="Q4" s="359"/>
      <c r="R4" s="422"/>
      <c r="S4" s="404"/>
      <c r="T4" s="373"/>
      <c r="U4" s="415"/>
      <c r="V4" s="364"/>
      <c r="W4" s="365"/>
      <c r="X4" s="415"/>
      <c r="Y4" s="364"/>
      <c r="Z4" s="364"/>
      <c r="AA4" s="364"/>
      <c r="AB4" s="365"/>
      <c r="AC4" s="415"/>
      <c r="AD4" s="364"/>
      <c r="AE4" s="364"/>
      <c r="AF4" s="364"/>
      <c r="AG4" s="365"/>
    </row>
    <row r="5" spans="1:33" ht="45" customHeight="1" x14ac:dyDescent="0.2">
      <c r="A5" s="384"/>
      <c r="B5" s="385"/>
      <c r="C5" s="437" t="s">
        <v>13</v>
      </c>
      <c r="D5" s="438" t="s">
        <v>14</v>
      </c>
      <c r="E5" s="439" t="s">
        <v>15</v>
      </c>
      <c r="F5" s="440" t="s">
        <v>16</v>
      </c>
      <c r="G5" s="441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64"/>
      <c r="N5" s="365"/>
      <c r="O5" s="375" t="s">
        <v>19</v>
      </c>
      <c r="P5" s="364"/>
      <c r="Q5" s="365"/>
      <c r="R5" s="304" t="s">
        <v>21</v>
      </c>
      <c r="S5" s="425" t="s">
        <v>22</v>
      </c>
      <c r="T5" s="359"/>
      <c r="U5" s="304" t="s">
        <v>21</v>
      </c>
      <c r="V5" s="426" t="s">
        <v>22</v>
      </c>
      <c r="W5" s="359"/>
      <c r="X5" s="304" t="s">
        <v>21</v>
      </c>
      <c r="Y5" s="423" t="s">
        <v>203</v>
      </c>
      <c r="Z5" s="359"/>
      <c r="AA5" s="424" t="s">
        <v>204</v>
      </c>
      <c r="AB5" s="404"/>
      <c r="AC5" s="304" t="s">
        <v>21</v>
      </c>
      <c r="AD5" s="423" t="s">
        <v>205</v>
      </c>
      <c r="AE5" s="359"/>
      <c r="AF5" s="424" t="s">
        <v>206</v>
      </c>
      <c r="AG5" s="404"/>
    </row>
    <row r="6" spans="1:33" ht="36" customHeight="1" x14ac:dyDescent="0.2">
      <c r="A6" s="386"/>
      <c r="B6" s="387"/>
      <c r="C6" s="442"/>
      <c r="D6" s="443"/>
      <c r="E6" s="443"/>
      <c r="F6" s="443"/>
      <c r="G6" s="443"/>
      <c r="H6" s="6"/>
      <c r="I6" s="6"/>
      <c r="J6" s="8" t="s">
        <v>23</v>
      </c>
      <c r="K6" s="9" t="s">
        <v>24</v>
      </c>
      <c r="L6" s="8" t="s">
        <v>23</v>
      </c>
      <c r="M6" s="450" t="s">
        <v>25</v>
      </c>
      <c r="N6" s="451" t="s">
        <v>26</v>
      </c>
      <c r="O6" s="452" t="s">
        <v>23</v>
      </c>
      <c r="P6" s="450" t="s">
        <v>25</v>
      </c>
      <c r="Q6" s="451" t="s">
        <v>26</v>
      </c>
      <c r="R6" s="305" t="s">
        <v>28</v>
      </c>
      <c r="S6" s="306" t="s">
        <v>146</v>
      </c>
      <c r="T6" s="307" t="s">
        <v>24</v>
      </c>
      <c r="U6" s="305" t="s">
        <v>28</v>
      </c>
      <c r="V6" s="308" t="s">
        <v>28</v>
      </c>
      <c r="W6" s="309" t="s">
        <v>24</v>
      </c>
      <c r="X6" s="305" t="s">
        <v>28</v>
      </c>
      <c r="Y6" s="308" t="s">
        <v>28</v>
      </c>
      <c r="Z6" s="309" t="s">
        <v>24</v>
      </c>
      <c r="AA6" s="308" t="s">
        <v>28</v>
      </c>
      <c r="AB6" s="309" t="s">
        <v>24</v>
      </c>
      <c r="AC6" s="305" t="s">
        <v>28</v>
      </c>
      <c r="AD6" s="308" t="s">
        <v>28</v>
      </c>
      <c r="AE6" s="309" t="s">
        <v>24</v>
      </c>
      <c r="AF6" s="308" t="s">
        <v>28</v>
      </c>
      <c r="AG6" s="309" t="s">
        <v>24</v>
      </c>
    </row>
    <row r="7" spans="1:33" ht="24" customHeight="1" x14ac:dyDescent="0.2">
      <c r="A7" s="389" t="s">
        <v>233</v>
      </c>
      <c r="B7" s="390"/>
      <c r="C7" s="210">
        <f t="shared" ref="C7:C116" ca="1" si="0">D7+G7</f>
        <v>7094200</v>
      </c>
      <c r="D7" s="211">
        <f t="shared" ref="D7:E7" ca="1" si="1">D8+D9+D12</f>
        <v>7094200</v>
      </c>
      <c r="E7" s="23">
        <f t="shared" ca="1" si="1"/>
        <v>3192400</v>
      </c>
      <c r="F7" s="24">
        <f ca="1">F8+F9</f>
        <v>3901800</v>
      </c>
      <c r="G7" s="25">
        <f t="shared" ref="G7:I7" ca="1" si="2">G8+G9+G12</f>
        <v>0</v>
      </c>
      <c r="H7" s="26">
        <f t="shared" ca="1" si="2"/>
        <v>5320600</v>
      </c>
      <c r="I7" s="26">
        <f t="shared" ca="1" si="2"/>
        <v>0</v>
      </c>
      <c r="J7" s="27">
        <f t="shared" ref="J7:J116" ca="1" si="3">L7+O7</f>
        <v>2173360.96</v>
      </c>
      <c r="K7" s="28">
        <f t="shared" ref="K7:K116" ca="1" si="4">IF(C7&gt;0,J7*100/C7,0)</f>
        <v>30.635744129006795</v>
      </c>
      <c r="L7" s="27">
        <f ca="1">L8+L9+L12</f>
        <v>2173360.96</v>
      </c>
      <c r="M7" s="29">
        <f t="shared" ref="M7:M116" ca="1" si="5">IF(D7&gt;0,L7*100/D7,0)</f>
        <v>30.635744129006795</v>
      </c>
      <c r="N7" s="29">
        <f t="shared" ref="N7:N116" ca="1" si="6">IF(H7&gt;0,L7*100/H7,0)</f>
        <v>40.848042701950909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10">
        <f t="shared" ref="R7:S7" ca="1" si="9">R8</f>
        <v>10000</v>
      </c>
      <c r="S7" s="311">
        <f t="shared" ca="1" si="9"/>
        <v>5000</v>
      </c>
      <c r="T7" s="312">
        <f t="shared" ref="T7:T8" ca="1" si="10">IF(R7&gt;0,S7*100/R7,0)</f>
        <v>50</v>
      </c>
      <c r="U7" s="310">
        <f t="shared" ref="U7:V7" ca="1" si="11">U8</f>
        <v>1000</v>
      </c>
      <c r="V7" s="311">
        <f t="shared" ca="1" si="11"/>
        <v>110</v>
      </c>
      <c r="W7" s="312">
        <f t="shared" ref="W7:W8" ca="1" si="12">IF(U7&gt;0,V7*100/U7,0)</f>
        <v>11</v>
      </c>
      <c r="X7" s="310">
        <f t="shared" ref="X7:Y7" ca="1" si="13">X8</f>
        <v>1000</v>
      </c>
      <c r="Y7" s="311">
        <f t="shared" ca="1" si="13"/>
        <v>725</v>
      </c>
      <c r="Z7" s="312">
        <f t="shared" ref="Z7:Z8" ca="1" si="14">IF(X7&gt;0,Y7*100/X7,0)</f>
        <v>72.5</v>
      </c>
      <c r="AA7" s="311">
        <f ca="1">AA8</f>
        <v>690</v>
      </c>
      <c r="AB7" s="312">
        <f t="shared" ref="AB7:AB88" ca="1" si="15">IF(X7&gt;0,AA7*100/X7,0)</f>
        <v>69</v>
      </c>
      <c r="AC7" s="310">
        <f t="shared" ref="AC7:AD7" ca="1" si="16">AC8</f>
        <v>1000</v>
      </c>
      <c r="AD7" s="311">
        <f t="shared" ca="1" si="16"/>
        <v>120</v>
      </c>
      <c r="AE7" s="312">
        <f t="shared" ref="AE7:AE8" ca="1" si="17">IF(AC7&gt;0,AD7*100/AC7,0)</f>
        <v>12</v>
      </c>
      <c r="AF7" s="311">
        <f ca="1">AF8</f>
        <v>120</v>
      </c>
      <c r="AG7" s="312">
        <f t="shared" ref="AG7:AG88" ca="1" si="18">IF(AC7&gt;0,AF7*100/AC7,0)</f>
        <v>12</v>
      </c>
    </row>
    <row r="8" spans="1:33" ht="28.5" customHeight="1" x14ac:dyDescent="0.2">
      <c r="A8" s="34" t="s">
        <v>31</v>
      </c>
      <c r="B8" s="35"/>
      <c r="C8" s="36">
        <f t="shared" ca="1" si="0"/>
        <v>6678950</v>
      </c>
      <c r="D8" s="37">
        <f t="shared" ref="D8:I8" ca="1" si="19">+D13+D31+D52+D74</f>
        <v>6678950</v>
      </c>
      <c r="E8" s="38">
        <f t="shared" ca="1" si="19"/>
        <v>2910300</v>
      </c>
      <c r="F8" s="38">
        <f t="shared" ca="1" si="19"/>
        <v>3768650</v>
      </c>
      <c r="G8" s="38">
        <f t="shared" ca="1" si="19"/>
        <v>0</v>
      </c>
      <c r="H8" s="38">
        <f t="shared" ca="1" si="19"/>
        <v>4092780</v>
      </c>
      <c r="I8" s="38">
        <f t="shared" ca="1" si="19"/>
        <v>0</v>
      </c>
      <c r="J8" s="38">
        <f t="shared" ca="1" si="3"/>
        <v>2141525.09</v>
      </c>
      <c r="K8" s="39">
        <f t="shared" ca="1" si="4"/>
        <v>32.063798800709691</v>
      </c>
      <c r="L8" s="38">
        <f ca="1">+L13+L31+L52+L74</f>
        <v>2141525.09</v>
      </c>
      <c r="M8" s="40">
        <f t="shared" ca="1" si="5"/>
        <v>32.063798800709691</v>
      </c>
      <c r="N8" s="40">
        <f t="shared" ca="1" si="6"/>
        <v>52.324461368556335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13">
        <f t="shared" ref="R8:S8" ca="1" si="20">+R13+R31+R52+R74</f>
        <v>10000</v>
      </c>
      <c r="S8" s="313">
        <f t="shared" ca="1" si="20"/>
        <v>5000</v>
      </c>
      <c r="T8" s="314">
        <f t="shared" ca="1" si="10"/>
        <v>50</v>
      </c>
      <c r="U8" s="313">
        <f t="shared" ref="U8:V8" ca="1" si="21">+U13+U31+U52+U74</f>
        <v>1000</v>
      </c>
      <c r="V8" s="313">
        <f t="shared" ca="1" si="21"/>
        <v>110</v>
      </c>
      <c r="W8" s="314">
        <f t="shared" ca="1" si="12"/>
        <v>11</v>
      </c>
      <c r="X8" s="313">
        <f t="shared" ref="X8:Y8" ca="1" si="22">+X13+X31+X52+X74</f>
        <v>1000</v>
      </c>
      <c r="Y8" s="313">
        <f t="shared" ca="1" si="22"/>
        <v>725</v>
      </c>
      <c r="Z8" s="314">
        <f t="shared" ca="1" si="14"/>
        <v>72.5</v>
      </c>
      <c r="AA8" s="313">
        <f ca="1">+AA13+AA31+AA52+AA74</f>
        <v>690</v>
      </c>
      <c r="AB8" s="314">
        <f t="shared" ca="1" si="15"/>
        <v>69</v>
      </c>
      <c r="AC8" s="313">
        <f t="shared" ref="AC8:AD8" ca="1" si="23">+AC13+AC31+AC52+AC74</f>
        <v>1000</v>
      </c>
      <c r="AD8" s="313">
        <f t="shared" ca="1" si="23"/>
        <v>120</v>
      </c>
      <c r="AE8" s="314">
        <f t="shared" ca="1" si="17"/>
        <v>12</v>
      </c>
      <c r="AF8" s="313">
        <f ca="1">+AF13+AF31+AF52+AF74</f>
        <v>120</v>
      </c>
      <c r="AG8" s="314">
        <f t="shared" ca="1" si="18"/>
        <v>12</v>
      </c>
    </row>
    <row r="9" spans="1:33" ht="28.5" customHeight="1" x14ac:dyDescent="0.2">
      <c r="A9" s="44" t="s">
        <v>234</v>
      </c>
      <c r="B9" s="45"/>
      <c r="C9" s="46">
        <f t="shared" ca="1" si="0"/>
        <v>415250</v>
      </c>
      <c r="D9" s="47">
        <f t="shared" ref="D9:I9" ca="1" si="24">+D10+D11</f>
        <v>415250</v>
      </c>
      <c r="E9" s="46">
        <f t="shared" ca="1" si="24"/>
        <v>282100</v>
      </c>
      <c r="F9" s="46">
        <f t="shared" ca="1" si="24"/>
        <v>133150</v>
      </c>
      <c r="G9" s="46">
        <f t="shared" ca="1" si="24"/>
        <v>0</v>
      </c>
      <c r="H9" s="46">
        <f t="shared" ca="1" si="24"/>
        <v>1227820</v>
      </c>
      <c r="I9" s="46">
        <f t="shared" ca="1" si="24"/>
        <v>0</v>
      </c>
      <c r="J9" s="46">
        <f t="shared" ca="1" si="3"/>
        <v>31835.87</v>
      </c>
      <c r="K9" s="48">
        <f t="shared" ca="1" si="4"/>
        <v>7.6666754966887414</v>
      </c>
      <c r="L9" s="46">
        <f ca="1">+L10+L11</f>
        <v>31835.87</v>
      </c>
      <c r="M9" s="49">
        <f t="shared" ca="1" si="5"/>
        <v>7.6666754966887414</v>
      </c>
      <c r="N9" s="49">
        <f t="shared" ca="1" si="6"/>
        <v>2.5928776204981188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315"/>
      <c r="S9" s="315"/>
      <c r="T9" s="316"/>
      <c r="U9" s="315"/>
      <c r="V9" s="315"/>
      <c r="W9" s="316"/>
      <c r="X9" s="315"/>
      <c r="Y9" s="315"/>
      <c r="Z9" s="316"/>
      <c r="AA9" s="315"/>
      <c r="AB9" s="316">
        <f t="shared" si="15"/>
        <v>0</v>
      </c>
      <c r="AC9" s="315"/>
      <c r="AD9" s="315"/>
      <c r="AE9" s="316"/>
      <c r="AF9" s="315"/>
      <c r="AG9" s="316">
        <f t="shared" si="18"/>
        <v>0</v>
      </c>
    </row>
    <row r="10" spans="1:33" ht="28.5" hidden="1" customHeight="1" x14ac:dyDescent="0.2">
      <c r="A10" s="44" t="s">
        <v>32</v>
      </c>
      <c r="B10" s="45"/>
      <c r="C10" s="46">
        <f t="shared" ca="1" si="0"/>
        <v>333950</v>
      </c>
      <c r="D10" s="47">
        <f t="shared" ref="D10:I10" ca="1" si="25">+D89</f>
        <v>333950</v>
      </c>
      <c r="E10" s="46">
        <f t="shared" ca="1" si="25"/>
        <v>200800</v>
      </c>
      <c r="F10" s="46">
        <f t="shared" ca="1" si="25"/>
        <v>133150</v>
      </c>
      <c r="G10" s="46">
        <f t="shared" ca="1" si="25"/>
        <v>0</v>
      </c>
      <c r="H10" s="46">
        <f t="shared" ca="1" si="25"/>
        <v>1192320</v>
      </c>
      <c r="I10" s="46">
        <f t="shared" ca="1" si="25"/>
        <v>0</v>
      </c>
      <c r="J10" s="46">
        <f t="shared" ca="1" si="3"/>
        <v>31835.87</v>
      </c>
      <c r="K10" s="48">
        <f t="shared" ca="1" si="4"/>
        <v>9.5331247192693525</v>
      </c>
      <c r="L10" s="46">
        <f ca="1">+L89</f>
        <v>31835.87</v>
      </c>
      <c r="M10" s="49">
        <f t="shared" ca="1" si="5"/>
        <v>9.5331247192693525</v>
      </c>
      <c r="N10" s="49">
        <f t="shared" ca="1" si="6"/>
        <v>2.670077663714439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315"/>
      <c r="S10" s="315"/>
      <c r="T10" s="316"/>
      <c r="U10" s="315"/>
      <c r="V10" s="315"/>
      <c r="W10" s="316"/>
      <c r="X10" s="315"/>
      <c r="Y10" s="315"/>
      <c r="Z10" s="316"/>
      <c r="AA10" s="315"/>
      <c r="AB10" s="316">
        <f t="shared" si="15"/>
        <v>0</v>
      </c>
      <c r="AC10" s="315"/>
      <c r="AD10" s="315"/>
      <c r="AE10" s="316"/>
      <c r="AF10" s="315"/>
      <c r="AG10" s="316">
        <f t="shared" si="18"/>
        <v>0</v>
      </c>
    </row>
    <row r="11" spans="1:33" ht="28.5" hidden="1" customHeight="1" x14ac:dyDescent="0.2">
      <c r="A11" s="53" t="s">
        <v>33</v>
      </c>
      <c r="B11" s="45"/>
      <c r="C11" s="46">
        <f t="shared" ca="1" si="0"/>
        <v>81300</v>
      </c>
      <c r="D11" s="47">
        <f t="shared" ref="D11:I11" ca="1" si="26">+D104</f>
        <v>81300</v>
      </c>
      <c r="E11" s="46">
        <f t="shared" ca="1" si="26"/>
        <v>81300</v>
      </c>
      <c r="F11" s="46">
        <f t="shared" ca="1" si="26"/>
        <v>0</v>
      </c>
      <c r="G11" s="46">
        <f t="shared" ca="1" si="26"/>
        <v>0</v>
      </c>
      <c r="H11" s="46">
        <f t="shared" ca="1" si="26"/>
        <v>35500</v>
      </c>
      <c r="I11" s="46">
        <f t="shared" ca="1" si="26"/>
        <v>0</v>
      </c>
      <c r="J11" s="46">
        <f t="shared" ca="1" si="3"/>
        <v>0</v>
      </c>
      <c r="K11" s="48">
        <f t="shared" ca="1" si="4"/>
        <v>0</v>
      </c>
      <c r="L11" s="46">
        <f ca="1">+L104</f>
        <v>0</v>
      </c>
      <c r="M11" s="49">
        <f t="shared" ca="1" si="5"/>
        <v>0</v>
      </c>
      <c r="N11" s="49">
        <f t="shared" ca="1" si="6"/>
        <v>0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315"/>
      <c r="S11" s="315"/>
      <c r="T11" s="316"/>
      <c r="U11" s="315"/>
      <c r="V11" s="315"/>
      <c r="W11" s="316"/>
      <c r="X11" s="315"/>
      <c r="Y11" s="315"/>
      <c r="Z11" s="316"/>
      <c r="AA11" s="315"/>
      <c r="AB11" s="316">
        <f t="shared" si="15"/>
        <v>0</v>
      </c>
      <c r="AC11" s="315"/>
      <c r="AD11" s="315"/>
      <c r="AE11" s="316"/>
      <c r="AF11" s="315"/>
      <c r="AG11" s="316">
        <f t="shared" si="18"/>
        <v>0</v>
      </c>
    </row>
    <row r="12" spans="1:33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317">
        <v>0</v>
      </c>
      <c r="S12" s="317">
        <v>0</v>
      </c>
      <c r="T12" s="318">
        <f t="shared" ref="T12:T88" si="27">IF(R12&gt;0,S12*100/R12,0)</f>
        <v>0</v>
      </c>
      <c r="U12" s="317">
        <v>0</v>
      </c>
      <c r="V12" s="317">
        <v>0</v>
      </c>
      <c r="W12" s="318">
        <f t="shared" ref="W12:W88" si="28">IF(U12&gt;0,V12*100/U12,0)</f>
        <v>0</v>
      </c>
      <c r="X12" s="317">
        <v>0</v>
      </c>
      <c r="Y12" s="317">
        <v>0</v>
      </c>
      <c r="Z12" s="318">
        <f t="shared" ref="Z12:Z88" si="29">IF(X12&gt;0,Y12*100/X12,0)</f>
        <v>0</v>
      </c>
      <c r="AA12" s="317">
        <v>0</v>
      </c>
      <c r="AB12" s="318">
        <f t="shared" si="15"/>
        <v>0</v>
      </c>
      <c r="AC12" s="317">
        <v>0</v>
      </c>
      <c r="AD12" s="317">
        <v>0</v>
      </c>
      <c r="AE12" s="318">
        <f t="shared" ref="AE12:AE88" si="30">IF(AC12&gt;0,AD12*100/AC12,0)</f>
        <v>0</v>
      </c>
      <c r="AF12" s="317">
        <v>0</v>
      </c>
      <c r="AG12" s="318">
        <f t="shared" si="18"/>
        <v>0</v>
      </c>
    </row>
    <row r="13" spans="1:33" ht="28.5" customHeight="1" x14ac:dyDescent="0.2">
      <c r="A13" s="377" t="s">
        <v>35</v>
      </c>
      <c r="B13" s="359"/>
      <c r="C13" s="62">
        <f t="shared" ca="1" si="0"/>
        <v>2886050</v>
      </c>
      <c r="D13" s="63">
        <f t="shared" ref="D13:I13" ca="1" si="31">SUM(D14:D30)</f>
        <v>2886050</v>
      </c>
      <c r="E13" s="64">
        <f t="shared" ca="1" si="31"/>
        <v>1409500</v>
      </c>
      <c r="F13" s="64">
        <f t="shared" ca="1" si="31"/>
        <v>1476550</v>
      </c>
      <c r="G13" s="64">
        <f t="shared" ca="1" si="31"/>
        <v>0</v>
      </c>
      <c r="H13" s="64">
        <f t="shared" ca="1" si="31"/>
        <v>1796540</v>
      </c>
      <c r="I13" s="64">
        <f t="shared" ca="1" si="31"/>
        <v>0</v>
      </c>
      <c r="J13" s="64">
        <f t="shared" ca="1" si="3"/>
        <v>872229.46</v>
      </c>
      <c r="K13" s="65">
        <f t="shared" ca="1" si="4"/>
        <v>30.222257410647771</v>
      </c>
      <c r="L13" s="64">
        <f ca="1">SUM(L14:L30)</f>
        <v>872229.46</v>
      </c>
      <c r="M13" s="66">
        <f t="shared" ca="1" si="5"/>
        <v>30.222257410647771</v>
      </c>
      <c r="N13" s="66">
        <f t="shared" ca="1" si="6"/>
        <v>48.550517105102031</v>
      </c>
      <c r="O13" s="67">
        <f ca="1">SUM(O14:O30)</f>
        <v>0</v>
      </c>
      <c r="P13" s="67">
        <f t="shared" ref="P13:P116" ca="1" si="32">IF(G13&gt;0,O13*100/G13,0)</f>
        <v>0</v>
      </c>
      <c r="Q13" s="66">
        <f t="shared" ca="1" si="8"/>
        <v>0</v>
      </c>
      <c r="R13" s="319">
        <f t="shared" ref="R13:S13" ca="1" si="33">SUM(R14:R30)</f>
        <v>3950</v>
      </c>
      <c r="S13" s="319">
        <f t="shared" ca="1" si="33"/>
        <v>1700</v>
      </c>
      <c r="T13" s="320">
        <f t="shared" ca="1" si="27"/>
        <v>43.037974683544306</v>
      </c>
      <c r="U13" s="319">
        <f t="shared" ref="U13:V13" ca="1" si="34">SUM(U14:U30)</f>
        <v>395</v>
      </c>
      <c r="V13" s="319">
        <f t="shared" ca="1" si="34"/>
        <v>20</v>
      </c>
      <c r="W13" s="320">
        <f t="shared" ca="1" si="28"/>
        <v>5.0632911392405067</v>
      </c>
      <c r="X13" s="319">
        <f t="shared" ref="X13:Y13" ca="1" si="35">SUM(X14:X30)</f>
        <v>395</v>
      </c>
      <c r="Y13" s="319">
        <f t="shared" ca="1" si="35"/>
        <v>295</v>
      </c>
      <c r="Z13" s="320">
        <f t="shared" ca="1" si="29"/>
        <v>74.683544303797461</v>
      </c>
      <c r="AA13" s="319">
        <f ca="1">SUM(AA14:AA30)</f>
        <v>295</v>
      </c>
      <c r="AB13" s="320">
        <f t="shared" ca="1" si="15"/>
        <v>74.683544303797461</v>
      </c>
      <c r="AC13" s="319">
        <f t="shared" ref="AC13:AD13" ca="1" si="36">SUM(AC14:AC30)</f>
        <v>395</v>
      </c>
      <c r="AD13" s="319">
        <f t="shared" ca="1" si="36"/>
        <v>30</v>
      </c>
      <c r="AE13" s="320">
        <f t="shared" ca="1" si="30"/>
        <v>7.5949367088607591</v>
      </c>
      <c r="AF13" s="319">
        <f ca="1">SUM(AF14:AF30)</f>
        <v>30</v>
      </c>
      <c r="AG13" s="320">
        <f t="shared" ca="1" si="18"/>
        <v>7.5949367088607591</v>
      </c>
    </row>
    <row r="14" spans="1:33" ht="24" customHeight="1" x14ac:dyDescent="0.2">
      <c r="A14" s="68">
        <v>1</v>
      </c>
      <c r="B14" s="69" t="s">
        <v>36</v>
      </c>
      <c r="C14" s="70">
        <f t="shared" ca="1" si="0"/>
        <v>343610</v>
      </c>
      <c r="D14" s="71">
        <f t="shared" ref="D14:D30" ca="1" si="37">+E14+F14</f>
        <v>343610</v>
      </c>
      <c r="E14" s="72">
        <f ca="1">IFERROR(__xludf.DUMMYFUNCTION("IMPORTRANGE(""https://docs.google.com/spreadsheets/d/1MeEWN-I1oV_STSDYn1IFDPWt_1FKiwhDph83XaGc0o0/edit?usp=sharing"",""งบพรบ!DJ14"")"),162200)</f>
        <v>162200</v>
      </c>
      <c r="F14" s="72">
        <f ca="1">IFERROR(__xludf.DUMMYFUNCTION("IMPORTRANGE(""https://docs.google.com/spreadsheets/d/1MeEWN-I1oV_STSDYn1IFDPWt_1FKiwhDph83XaGc0o0/edit?usp=sharing"",""งบพรบ!DK14"")"),181410)</f>
        <v>181410</v>
      </c>
      <c r="G14" s="73">
        <f ca="1">IFERROR(__xludf.DUMMYFUNCTION("IMPORTRANGE(""https://docs.google.com/spreadsheets/d/1MeEWN-I1oV_STSDYn1IFDPWt_1FKiwhDph83XaGc0o0/edit?usp=sharing"",""งบพรบ!DL14"")"),0)</f>
        <v>0</v>
      </c>
      <c r="H14" s="73">
        <f ca="1">IFERROR(__xludf.DUMMYFUNCTION("IMPORTRANGE(""https://docs.google.com/spreadsheets/d/1MeEWN-I1oV_STSDYn1IFDPWt_1FKiwhDph83XaGc0o0/edit?usp=sharing"",""งบพรบ!DN14"")"),207760)</f>
        <v>207760</v>
      </c>
      <c r="I14" s="73">
        <f ca="1">IFERROR(__xludf.DUMMYFUNCTION("IMPORTRANGE(""https://docs.google.com/spreadsheets/d/1MeEWN-I1oV_STSDYn1IFDPWt_1FKiwhDph83XaGc0o0/edit?usp=sharing"",""งบพรบ!DO14"")"),0)</f>
        <v>0</v>
      </c>
      <c r="J14" s="73">
        <f t="shared" ca="1" si="3"/>
        <v>56109</v>
      </c>
      <c r="K14" s="74">
        <f t="shared" ca="1" si="4"/>
        <v>16.329268647594656</v>
      </c>
      <c r="L14" s="73">
        <f ca="1">IFERROR(__xludf.DUMMYFUNCTION("IMPORTRANGE(""https://docs.google.com/spreadsheets/d/1MeEWN-I1oV_STSDYn1IFDPWt_1FKiwhDph83XaGc0o0/edit?usp=sharing"",""งบพรบ!DP14"")"),56109)</f>
        <v>56109</v>
      </c>
      <c r="M14" s="75">
        <f t="shared" ca="1" si="5"/>
        <v>16.329268647594656</v>
      </c>
      <c r="N14" s="75">
        <f t="shared" ca="1" si="6"/>
        <v>27.006642279553329</v>
      </c>
      <c r="O14" s="76">
        <f ca="1">IFERROR(__xludf.DUMMYFUNCTION("IMPORTRANGE(""https://docs.google.com/spreadsheets/d/1MeEWN-I1oV_STSDYn1IFDPWt_1FKiwhDph83XaGc0o0/edit?usp=sharing"",""งบพรบ!DQ14"")"),0)</f>
        <v>0</v>
      </c>
      <c r="P14" s="76">
        <f t="shared" ca="1" si="32"/>
        <v>0</v>
      </c>
      <c r="Q14" s="75">
        <f t="shared" ca="1" si="8"/>
        <v>0</v>
      </c>
      <c r="R14" s="321">
        <f ca="1">IFERROR(__xludf.DUMMYFUNCTION("IMPORTRANGE(""https://docs.google.com/spreadsheets/d/1KxicF4apzSqm0-jIpmueT4kyZtE-Cwn5zskl7GD4loQ/edit?usp=sharing"",""กำแพงเพชร!I287"")"),500)</f>
        <v>500</v>
      </c>
      <c r="S14" s="321">
        <f ca="1">IFERROR(__xludf.DUMMYFUNCTION("IMPORTRANGE(""https://docs.google.com/spreadsheets/d/1KxicF4apzSqm0-jIpmueT4kyZtE-Cwn5zskl7GD4loQ/edit?usp=sharing"",""กำแพงเพชร!J287"")"),0)</f>
        <v>0</v>
      </c>
      <c r="T14" s="322">
        <f t="shared" ca="1" si="27"/>
        <v>0</v>
      </c>
      <c r="U14" s="321">
        <f ca="1">IFERROR(__xludf.DUMMYFUNCTION("IMPORTRANGE(""https://docs.google.com/spreadsheets/d/1KxicF4apzSqm0-jIpmueT4kyZtE-Cwn5zskl7GD4loQ/edit?usp=sharing"",""กำแพงเพชร!I288"")"),50)</f>
        <v>50</v>
      </c>
      <c r="V14" s="321">
        <f ca="1">IFERROR(__xludf.DUMMYFUNCTION("IMPORTRANGE(""https://docs.google.com/spreadsheets/d/1KxicF4apzSqm0-jIpmueT4kyZtE-Cwn5zskl7GD4loQ/edit?usp=sharing"",""กำแพงเพชร!J288"")"),0)</f>
        <v>0</v>
      </c>
      <c r="W14" s="322">
        <f t="shared" ca="1" si="28"/>
        <v>0</v>
      </c>
      <c r="X14" s="321">
        <f ca="1">IFERROR(__xludf.DUMMYFUNCTION("IMPORTRANGE(""https://docs.google.com/spreadsheets/d/1KxicF4apzSqm0-jIpmueT4kyZtE-Cwn5zskl7GD4loQ/edit?usp=sharing"",""กำแพงเพชร!I290"")"),50)</f>
        <v>50</v>
      </c>
      <c r="Y14" s="321">
        <f ca="1">IFERROR(__xludf.DUMMYFUNCTION("IMPORTRANGE(""https://docs.google.com/spreadsheets/d/1KxicF4apzSqm0-jIpmueT4kyZtE-Cwn5zskl7GD4loQ/edit?usp=sharing"",""กำแพงเพชร!J290"")"),50)</f>
        <v>50</v>
      </c>
      <c r="Z14" s="322">
        <f t="shared" ca="1" si="29"/>
        <v>100</v>
      </c>
      <c r="AA14" s="321">
        <f ca="1">IFERROR(__xludf.DUMMYFUNCTION("IMPORTRANGE(""https://docs.google.com/spreadsheets/d/1KxicF4apzSqm0-jIpmueT4kyZtE-Cwn5zskl7GD4loQ/edit?usp=sharing"",""กำแพงเพชร!J291"")"),50)</f>
        <v>50</v>
      </c>
      <c r="AB14" s="322">
        <f t="shared" ca="1" si="15"/>
        <v>100</v>
      </c>
      <c r="AC14" s="321">
        <f ca="1">IFERROR(__xludf.DUMMYFUNCTION("IMPORTRANGE(""https://docs.google.com/spreadsheets/d/1KxicF4apzSqm0-jIpmueT4kyZtE-Cwn5zskl7GD4loQ/edit?usp=sharing"",""กำแพงเพชร!I293"")"),50)</f>
        <v>50</v>
      </c>
      <c r="AD14" s="321">
        <f ca="1">IFERROR(__xludf.DUMMYFUNCTION("IMPORTRANGE(""https://docs.google.com/spreadsheets/d/1KxicF4apzSqm0-jIpmueT4kyZtE-Cwn5zskl7GD4loQ/edit?usp=sharing"",""กำแพงเพชร!J293"")"),0)</f>
        <v>0</v>
      </c>
      <c r="AE14" s="322">
        <f t="shared" ca="1" si="30"/>
        <v>0</v>
      </c>
      <c r="AF14" s="321">
        <f ca="1">IFERROR(__xludf.DUMMYFUNCTION("IMPORTRANGE(""https://docs.google.com/spreadsheets/d/1KxicF4apzSqm0-jIpmueT4kyZtE-Cwn5zskl7GD4loQ/edit?usp=sharing"",""กำแพงเพชร!J294"")"),0)</f>
        <v>0</v>
      </c>
      <c r="AG14" s="322">
        <f t="shared" ca="1" si="18"/>
        <v>0</v>
      </c>
    </row>
    <row r="15" spans="1:33" ht="24" customHeight="1" x14ac:dyDescent="0.2">
      <c r="A15" s="78">
        <v>2</v>
      </c>
      <c r="B15" s="79" t="s">
        <v>37</v>
      </c>
      <c r="C15" s="80">
        <f t="shared" ca="1" si="0"/>
        <v>75640</v>
      </c>
      <c r="D15" s="81">
        <f t="shared" ca="1" si="37"/>
        <v>75640</v>
      </c>
      <c r="E15" s="82">
        <f ca="1">IFERROR(__xludf.DUMMYFUNCTION("IMPORTRANGE(""https://docs.google.com/spreadsheets/d/1MeEWN-I1oV_STSDYn1IFDPWt_1FKiwhDph83XaGc0o0/edit?usp=sharing"",""งบพรบ!DJ15"")"),0)</f>
        <v>0</v>
      </c>
      <c r="F15" s="82">
        <f ca="1">IFERROR(__xludf.DUMMYFUNCTION("IMPORTRANGE(""https://docs.google.com/spreadsheets/d/1MeEWN-I1oV_STSDYn1IFDPWt_1FKiwhDph83XaGc0o0/edit?usp=sharing"",""งบพรบ!DK15"")"),75640)</f>
        <v>75640</v>
      </c>
      <c r="G15" s="82">
        <f ca="1">IFERROR(__xludf.DUMMYFUNCTION("IMPORTRANGE(""https://docs.google.com/spreadsheets/d/1MeEWN-I1oV_STSDYn1IFDPWt_1FKiwhDph83XaGc0o0/edit?usp=sharing"",""งบพรบ!DL15"")"),0)</f>
        <v>0</v>
      </c>
      <c r="H15" s="82">
        <f ca="1">IFERROR(__xludf.DUMMYFUNCTION("IMPORTRANGE(""https://docs.google.com/spreadsheets/d/1MeEWN-I1oV_STSDYn1IFDPWt_1FKiwhDph83XaGc0o0/edit?usp=sharing"",""งบพรบ!DN15"")"),37520)</f>
        <v>37520</v>
      </c>
      <c r="I15" s="82">
        <f ca="1">IFERROR(__xludf.DUMMYFUNCTION("IMPORTRANGE(""https://docs.google.com/spreadsheets/d/1MeEWN-I1oV_STSDYn1IFDPWt_1FKiwhDph83XaGc0o0/edit?usp=sharing"",""งบพรบ!DO15"")"),0)</f>
        <v>0</v>
      </c>
      <c r="J15" s="82">
        <f t="shared" ca="1" si="3"/>
        <v>30877</v>
      </c>
      <c r="K15" s="83">
        <f t="shared" ca="1" si="4"/>
        <v>40.820994182971972</v>
      </c>
      <c r="L15" s="82">
        <f ca="1">IFERROR(__xludf.DUMMYFUNCTION("IMPORTRANGE(""https://docs.google.com/spreadsheets/d/1MeEWN-I1oV_STSDYn1IFDPWt_1FKiwhDph83XaGc0o0/edit?usp=sharing"",""งบพรบ!DP15"")"),30877)</f>
        <v>30877</v>
      </c>
      <c r="M15" s="84">
        <f t="shared" ca="1" si="5"/>
        <v>40.820994182971972</v>
      </c>
      <c r="N15" s="84">
        <f t="shared" ca="1" si="6"/>
        <v>82.294776119402982</v>
      </c>
      <c r="O15" s="85">
        <f ca="1">IFERROR(__xludf.DUMMYFUNCTION("IMPORTRANGE(""https://docs.google.com/spreadsheets/d/1MeEWN-I1oV_STSDYn1IFDPWt_1FKiwhDph83XaGc0o0/edit?usp=sharing"",""งบพรบ!DQ15"")"),0)</f>
        <v>0</v>
      </c>
      <c r="P15" s="85">
        <f t="shared" ca="1" si="32"/>
        <v>0</v>
      </c>
      <c r="Q15" s="84">
        <f t="shared" ca="1" si="8"/>
        <v>0</v>
      </c>
      <c r="R15" s="323">
        <f ca="1">IFERROR(__xludf.DUMMYFUNCTION("IMPORTRANGE(""https://docs.google.com/spreadsheets/d/1ZNYWeiFoFA1K1U4xKWqRX29MBvEyRHXORjo734Gnq_c/edit?usp=sharing"",""เชียงราย!I287"")"),200)</f>
        <v>200</v>
      </c>
      <c r="S15" s="323">
        <f ca="1">IFERROR(__xludf.DUMMYFUNCTION("IMPORTRANGE(""https://docs.google.com/spreadsheets/d/1ZNYWeiFoFA1K1U4xKWqRX29MBvEyRHXORjo734Gnq_c/edit?usp=sharing"",""เชียงราย!J287"")"),200)</f>
        <v>200</v>
      </c>
      <c r="T15" s="324">
        <f t="shared" ca="1" si="27"/>
        <v>100</v>
      </c>
      <c r="U15" s="323">
        <f ca="1">IFERROR(__xludf.DUMMYFUNCTION("IMPORTRANGE(""https://docs.google.com/spreadsheets/d/1ZNYWeiFoFA1K1U4xKWqRX29MBvEyRHXORjo734Gnq_c/edit?usp=sharing"",""เชียงราย!I288"")"),20)</f>
        <v>20</v>
      </c>
      <c r="V15" s="323">
        <f ca="1">IFERROR(__xludf.DUMMYFUNCTION("IMPORTRANGE(""https://docs.google.com/spreadsheets/d/1ZNYWeiFoFA1K1U4xKWqRX29MBvEyRHXORjo734Gnq_c/edit?usp=sharing"",""เชียงราย!J288"")"),0)</f>
        <v>0</v>
      </c>
      <c r="W15" s="324">
        <f t="shared" ca="1" si="28"/>
        <v>0</v>
      </c>
      <c r="X15" s="323">
        <f ca="1">IFERROR(__xludf.DUMMYFUNCTION("IMPORTRANGE(""https://docs.google.com/spreadsheets/d/1ZNYWeiFoFA1K1U4xKWqRX29MBvEyRHXORjo734Gnq_c/edit?usp=sharing"",""เชียงราย!I290"")"),20)</f>
        <v>20</v>
      </c>
      <c r="Y15" s="323">
        <f ca="1">IFERROR(__xludf.DUMMYFUNCTION("IMPORTRANGE(""https://docs.google.com/spreadsheets/d/1ZNYWeiFoFA1K1U4xKWqRX29MBvEyRHXORjo734Gnq_c/edit?usp=sharing"",""เชียงราย!J290"")"),20)</f>
        <v>20</v>
      </c>
      <c r="Z15" s="324">
        <f t="shared" ca="1" si="29"/>
        <v>100</v>
      </c>
      <c r="AA15" s="323">
        <f ca="1">IFERROR(__xludf.DUMMYFUNCTION("IMPORTRANGE(""https://docs.google.com/spreadsheets/d/1ZNYWeiFoFA1K1U4xKWqRX29MBvEyRHXORjo734Gnq_c/edit?usp=sharing"",""เชียงราย!J291"")"),20)</f>
        <v>20</v>
      </c>
      <c r="AB15" s="324">
        <f t="shared" ca="1" si="15"/>
        <v>100</v>
      </c>
      <c r="AC15" s="323">
        <f ca="1">IFERROR(__xludf.DUMMYFUNCTION("IMPORTRANGE(""https://docs.google.com/spreadsheets/d/1ZNYWeiFoFA1K1U4xKWqRX29MBvEyRHXORjo734Gnq_c/edit?usp=sharing"",""เชียงราย!I293"")"),20)</f>
        <v>20</v>
      </c>
      <c r="AD15" s="323">
        <f ca="1">IFERROR(__xludf.DUMMYFUNCTION("IMPORTRANGE(""https://docs.google.com/spreadsheets/d/1ZNYWeiFoFA1K1U4xKWqRX29MBvEyRHXORjo734Gnq_c/edit?usp=sharing"",""เชียงราย!J293"")"),0)</f>
        <v>0</v>
      </c>
      <c r="AE15" s="324">
        <f t="shared" ca="1" si="30"/>
        <v>0</v>
      </c>
      <c r="AF15" s="323">
        <f ca="1">IFERROR(__xludf.DUMMYFUNCTION("IMPORTRANGE(""https://docs.google.com/spreadsheets/d/1ZNYWeiFoFA1K1U4xKWqRX29MBvEyRHXORjo734Gnq_c/edit?usp=sharing"",""เชียงราย!J294"")"),0)</f>
        <v>0</v>
      </c>
      <c r="AG15" s="324">
        <f t="shared" ca="1" si="18"/>
        <v>0</v>
      </c>
    </row>
    <row r="16" spans="1:33" ht="24" customHeight="1" x14ac:dyDescent="0.2">
      <c r="A16" s="78">
        <v>3</v>
      </c>
      <c r="B16" s="79" t="s">
        <v>38</v>
      </c>
      <c r="C16" s="80">
        <f t="shared" ca="1" si="0"/>
        <v>111710</v>
      </c>
      <c r="D16" s="81">
        <f t="shared" ca="1" si="37"/>
        <v>111710</v>
      </c>
      <c r="E16" s="82">
        <f ca="1">IFERROR(__xludf.DUMMYFUNCTION("IMPORTRANGE(""https://docs.google.com/spreadsheets/d/1MeEWN-I1oV_STSDYn1IFDPWt_1FKiwhDph83XaGc0o0/edit?usp=sharing"",""งบพรบ!DJ16"")"),0)</f>
        <v>0</v>
      </c>
      <c r="F16" s="82">
        <f ca="1">IFERROR(__xludf.DUMMYFUNCTION("IMPORTRANGE(""https://docs.google.com/spreadsheets/d/1MeEWN-I1oV_STSDYn1IFDPWt_1FKiwhDph83XaGc0o0/edit?usp=sharing"",""งบพรบ!DK16"")"),111710)</f>
        <v>111710</v>
      </c>
      <c r="G16" s="82">
        <f ca="1">IFERROR(__xludf.DUMMYFUNCTION("IMPORTRANGE(""https://docs.google.com/spreadsheets/d/1MeEWN-I1oV_STSDYn1IFDPWt_1FKiwhDph83XaGc0o0/edit?usp=sharing"",""งบพรบ!DL16"")"),0)</f>
        <v>0</v>
      </c>
      <c r="H16" s="82">
        <f ca="1">IFERROR(__xludf.DUMMYFUNCTION("IMPORTRANGE(""https://docs.google.com/spreadsheets/d/1MeEWN-I1oV_STSDYn1IFDPWt_1FKiwhDph83XaGc0o0/edit?usp=sharing"",""งบพรบ!DN16"")"),54530)</f>
        <v>54530</v>
      </c>
      <c r="I16" s="82">
        <f ca="1">IFERROR(__xludf.DUMMYFUNCTION("IMPORTRANGE(""https://docs.google.com/spreadsheets/d/1MeEWN-I1oV_STSDYn1IFDPWt_1FKiwhDph83XaGc0o0/edit?usp=sharing"",""งบพรบ!DO16"")"),0)</f>
        <v>0</v>
      </c>
      <c r="J16" s="82">
        <f t="shared" ca="1" si="3"/>
        <v>41818</v>
      </c>
      <c r="K16" s="83">
        <f t="shared" ca="1" si="4"/>
        <v>37.43442843075821</v>
      </c>
      <c r="L16" s="82">
        <f ca="1">IFERROR(__xludf.DUMMYFUNCTION("IMPORTRANGE(""https://docs.google.com/spreadsheets/d/1MeEWN-I1oV_STSDYn1IFDPWt_1FKiwhDph83XaGc0o0/edit?usp=sharing"",""งบพรบ!DP16"")"),41818)</f>
        <v>41818</v>
      </c>
      <c r="M16" s="84">
        <f t="shared" ca="1" si="5"/>
        <v>37.43442843075821</v>
      </c>
      <c r="N16" s="84">
        <f t="shared" ca="1" si="6"/>
        <v>76.688061617458274</v>
      </c>
      <c r="O16" s="85">
        <f ca="1">IFERROR(__xludf.DUMMYFUNCTION("IMPORTRANGE(""https://docs.google.com/spreadsheets/d/1MeEWN-I1oV_STSDYn1IFDPWt_1FKiwhDph83XaGc0o0/edit?usp=sharing"",""งบพรบ!DQ16"")"),0)</f>
        <v>0</v>
      </c>
      <c r="P16" s="85">
        <f t="shared" ca="1" si="32"/>
        <v>0</v>
      </c>
      <c r="Q16" s="84">
        <f t="shared" ca="1" si="8"/>
        <v>0</v>
      </c>
      <c r="R16" s="323">
        <f ca="1">IFERROR(__xludf.DUMMYFUNCTION("IMPORTRANGE(""https://docs.google.com/spreadsheets/d/1Jgv0Y7YlHDtsiDawwp-uvifEJ8HVaSn0k2aGHG8-hwM/edit?usp=sharing"",""เชียงใหม่!I287"")"),300)</f>
        <v>300</v>
      </c>
      <c r="S16" s="323">
        <f ca="1">IFERROR(__xludf.DUMMYFUNCTION("IMPORTRANGE(""https://docs.google.com/spreadsheets/d/1Jgv0Y7YlHDtsiDawwp-uvifEJ8HVaSn0k2aGHG8-hwM/edit?usp=sharing"",""เชียงใหม่!J287"")"),0)</f>
        <v>0</v>
      </c>
      <c r="T16" s="324">
        <f t="shared" ca="1" si="27"/>
        <v>0</v>
      </c>
      <c r="U16" s="323">
        <f ca="1">IFERROR(__xludf.DUMMYFUNCTION("IMPORTRANGE(""https://docs.google.com/spreadsheets/d/1Jgv0Y7YlHDtsiDawwp-uvifEJ8HVaSn0k2aGHG8-hwM/edit?usp=sharing"",""เชียงใหม่!I288"")"),30)</f>
        <v>30</v>
      </c>
      <c r="V16" s="323">
        <f ca="1">IFERROR(__xludf.DUMMYFUNCTION("IMPORTRANGE(""https://docs.google.com/spreadsheets/d/1Jgv0Y7YlHDtsiDawwp-uvifEJ8HVaSn0k2aGHG8-hwM/edit?usp=sharing"",""เชียงใหม่!J288"")"),0)</f>
        <v>0</v>
      </c>
      <c r="W16" s="324">
        <f t="shared" ca="1" si="28"/>
        <v>0</v>
      </c>
      <c r="X16" s="323">
        <f ca="1">IFERROR(__xludf.DUMMYFUNCTION("IMPORTRANGE(""https://docs.google.com/spreadsheets/d/1Jgv0Y7YlHDtsiDawwp-uvifEJ8HVaSn0k2aGHG8-hwM/edit?usp=sharing"",""เชียงใหม่!I290"")"),30)</f>
        <v>30</v>
      </c>
      <c r="Y16" s="323">
        <f ca="1">IFERROR(__xludf.DUMMYFUNCTION("IMPORTRANGE(""https://docs.google.com/spreadsheets/d/1Jgv0Y7YlHDtsiDawwp-uvifEJ8HVaSn0k2aGHG8-hwM/edit?usp=sharing"",""เชียงใหม่!J290"")"),30)</f>
        <v>30</v>
      </c>
      <c r="Z16" s="324">
        <f t="shared" ca="1" si="29"/>
        <v>100</v>
      </c>
      <c r="AA16" s="323">
        <f ca="1">IFERROR(__xludf.DUMMYFUNCTION("IMPORTRANGE(""https://docs.google.com/spreadsheets/d/1Jgv0Y7YlHDtsiDawwp-uvifEJ8HVaSn0k2aGHG8-hwM/edit?usp=sharing"",""เชียงใหม่!J291"")"),30)</f>
        <v>30</v>
      </c>
      <c r="AB16" s="324">
        <f t="shared" ca="1" si="15"/>
        <v>100</v>
      </c>
      <c r="AC16" s="323">
        <f ca="1">IFERROR(__xludf.DUMMYFUNCTION("IMPORTRANGE(""https://docs.google.com/spreadsheets/d/1Jgv0Y7YlHDtsiDawwp-uvifEJ8HVaSn0k2aGHG8-hwM/edit?usp=sharing"",""เชียงใหม่!I293"")"),30)</f>
        <v>30</v>
      </c>
      <c r="AD16" s="323">
        <f ca="1">IFERROR(__xludf.DUMMYFUNCTION("IMPORTRANGE(""https://docs.google.com/spreadsheets/d/1Jgv0Y7YlHDtsiDawwp-uvifEJ8HVaSn0k2aGHG8-hwM/edit?usp=sharing"",""เชียงใหม่!J293"")"),0)</f>
        <v>0</v>
      </c>
      <c r="AE16" s="324">
        <f t="shared" ca="1" si="30"/>
        <v>0</v>
      </c>
      <c r="AF16" s="323">
        <f ca="1">IFERROR(__xludf.DUMMYFUNCTION("IMPORTRANGE(""https://docs.google.com/spreadsheets/d/1Jgv0Y7YlHDtsiDawwp-uvifEJ8HVaSn0k2aGHG8-hwM/edit?usp=sharing"",""เชียงใหม่!J294"")"),0)</f>
        <v>0</v>
      </c>
      <c r="AG16" s="324">
        <f t="shared" ca="1" si="18"/>
        <v>0</v>
      </c>
    </row>
    <row r="17" spans="1:33" ht="24" customHeight="1" x14ac:dyDescent="0.2">
      <c r="A17" s="78">
        <v>4</v>
      </c>
      <c r="B17" s="79" t="s">
        <v>39</v>
      </c>
      <c r="C17" s="80">
        <f t="shared" ca="1" si="0"/>
        <v>257420</v>
      </c>
      <c r="D17" s="81">
        <f t="shared" ca="1" si="37"/>
        <v>257420</v>
      </c>
      <c r="E17" s="82">
        <f ca="1">IFERROR(__xludf.DUMMYFUNCTION("IMPORTRANGE(""https://docs.google.com/spreadsheets/d/1MeEWN-I1oV_STSDYn1IFDPWt_1FKiwhDph83XaGc0o0/edit?usp=sharing"",""งบพรบ!DJ17"")"),163400)</f>
        <v>163400</v>
      </c>
      <c r="F17" s="82">
        <f ca="1">IFERROR(__xludf.DUMMYFUNCTION("IMPORTRANGE(""https://docs.google.com/spreadsheets/d/1MeEWN-I1oV_STSDYn1IFDPWt_1FKiwhDph83XaGc0o0/edit?usp=sharing"",""งบพรบ!DK17"")"),94020)</f>
        <v>94020</v>
      </c>
      <c r="G17" s="82">
        <f ca="1">IFERROR(__xludf.DUMMYFUNCTION("IMPORTRANGE(""https://docs.google.com/spreadsheets/d/1MeEWN-I1oV_STSDYn1IFDPWt_1FKiwhDph83XaGc0o0/edit?usp=sharing"",""งบพรบ!DL17"")"),0)</f>
        <v>0</v>
      </c>
      <c r="H17" s="82">
        <f ca="1">IFERROR(__xludf.DUMMYFUNCTION("IMPORTRANGE(""https://docs.google.com/spreadsheets/d/1MeEWN-I1oV_STSDYn1IFDPWt_1FKiwhDph83XaGc0o0/edit?usp=sharing"",""งบพรบ!DN17"")"),168920)</f>
        <v>168920</v>
      </c>
      <c r="I17" s="82">
        <f ca="1">IFERROR(__xludf.DUMMYFUNCTION("IMPORTRANGE(""https://docs.google.com/spreadsheets/d/1MeEWN-I1oV_STSDYn1IFDPWt_1FKiwhDph83XaGc0o0/edit?usp=sharing"",""งบพรบ!DO17"")"),0)</f>
        <v>0</v>
      </c>
      <c r="J17" s="82">
        <f t="shared" ca="1" si="3"/>
        <v>68199</v>
      </c>
      <c r="K17" s="83">
        <f t="shared" ca="1" si="4"/>
        <v>26.493279465464997</v>
      </c>
      <c r="L17" s="82">
        <f ca="1">IFERROR(__xludf.DUMMYFUNCTION("IMPORTRANGE(""https://docs.google.com/spreadsheets/d/1MeEWN-I1oV_STSDYn1IFDPWt_1FKiwhDph83XaGc0o0/edit?usp=sharing"",""งบพรบ!DP17"")"),68199)</f>
        <v>68199</v>
      </c>
      <c r="M17" s="84">
        <f t="shared" ca="1" si="5"/>
        <v>26.493279465464997</v>
      </c>
      <c r="N17" s="84">
        <f t="shared" ca="1" si="6"/>
        <v>40.373549609282499</v>
      </c>
      <c r="O17" s="85">
        <f ca="1">IFERROR(__xludf.DUMMYFUNCTION("IMPORTRANGE(""https://docs.google.com/spreadsheets/d/1MeEWN-I1oV_STSDYn1IFDPWt_1FKiwhDph83XaGc0o0/edit?usp=sharing"",""งบพรบ!DQ17"")"),0)</f>
        <v>0</v>
      </c>
      <c r="P17" s="85">
        <f t="shared" ca="1" si="32"/>
        <v>0</v>
      </c>
      <c r="Q17" s="84">
        <f t="shared" ca="1" si="8"/>
        <v>0</v>
      </c>
      <c r="R17" s="323">
        <f ca="1">IFERROR(__xludf.DUMMYFUNCTION("IMPORTRANGE(""https://docs.google.com/spreadsheets/d/1JWG2rZePOz9pe-f-ObA-yDr0VoOX2kSb0qIix2mTUo8/edit?usp=sharing"",""ตาก!I287"")"),250)</f>
        <v>250</v>
      </c>
      <c r="S17" s="323">
        <f ca="1">IFERROR(__xludf.DUMMYFUNCTION("IMPORTRANGE(""https://docs.google.com/spreadsheets/d/1JWG2rZePOz9pe-f-ObA-yDr0VoOX2kSb0qIix2mTUo8/edit?usp=sharing"",""ตาก!J287"")"),0)</f>
        <v>0</v>
      </c>
      <c r="T17" s="324">
        <f t="shared" ca="1" si="27"/>
        <v>0</v>
      </c>
      <c r="U17" s="323">
        <f ca="1">IFERROR(__xludf.DUMMYFUNCTION("IMPORTRANGE(""https://docs.google.com/spreadsheets/d/1JWG2rZePOz9pe-f-ObA-yDr0VoOX2kSb0qIix2mTUo8/edit?usp=sharing"",""ตาก!I288"")"),25)</f>
        <v>25</v>
      </c>
      <c r="V17" s="323">
        <f ca="1">IFERROR(__xludf.DUMMYFUNCTION("IMPORTRANGE(""https://docs.google.com/spreadsheets/d/1JWG2rZePOz9pe-f-ObA-yDr0VoOX2kSb0qIix2mTUo8/edit?usp=sharing"",""ตาก!J288"")"),0)</f>
        <v>0</v>
      </c>
      <c r="W17" s="324">
        <f t="shared" ca="1" si="28"/>
        <v>0</v>
      </c>
      <c r="X17" s="323">
        <f ca="1">IFERROR(__xludf.DUMMYFUNCTION("IMPORTRANGE(""https://docs.google.com/spreadsheets/d/1JWG2rZePOz9pe-f-ObA-yDr0VoOX2kSb0qIix2mTUo8/edit?usp=sharing"",""ตาก!I290"")"),25)</f>
        <v>25</v>
      </c>
      <c r="Y17" s="323">
        <f ca="1">IFERROR(__xludf.DUMMYFUNCTION("IMPORTRANGE(""https://docs.google.com/spreadsheets/d/1JWG2rZePOz9pe-f-ObA-yDr0VoOX2kSb0qIix2mTUo8/edit?usp=sharing"",""ตาก!J290"")"),0)</f>
        <v>0</v>
      </c>
      <c r="Z17" s="324">
        <f t="shared" ca="1" si="29"/>
        <v>0</v>
      </c>
      <c r="AA17" s="323">
        <f ca="1">IFERROR(__xludf.DUMMYFUNCTION("IMPORTRANGE(""https://docs.google.com/spreadsheets/d/1JWG2rZePOz9pe-f-ObA-yDr0VoOX2kSb0qIix2mTUo8/edit?usp=sharing"",""ตาก!J291"")"),0)</f>
        <v>0</v>
      </c>
      <c r="AB17" s="324">
        <f t="shared" ca="1" si="15"/>
        <v>0</v>
      </c>
      <c r="AC17" s="323">
        <f ca="1">IFERROR(__xludf.DUMMYFUNCTION("IMPORTRANGE(""https://docs.google.com/spreadsheets/d/1JWG2rZePOz9pe-f-ObA-yDr0VoOX2kSb0qIix2mTUo8/edit?usp=sharing"",""ตาก!I293"")"),25)</f>
        <v>25</v>
      </c>
      <c r="AD17" s="323">
        <f ca="1">IFERROR(__xludf.DUMMYFUNCTION("IMPORTRANGE(""https://docs.google.com/spreadsheets/d/1JWG2rZePOz9pe-f-ObA-yDr0VoOX2kSb0qIix2mTUo8/edit?usp=sharing"",""ตาก!J293"")"),0)</f>
        <v>0</v>
      </c>
      <c r="AE17" s="324">
        <f t="shared" ca="1" si="30"/>
        <v>0</v>
      </c>
      <c r="AF17" s="323">
        <f ca="1">IFERROR(__xludf.DUMMYFUNCTION("IMPORTRANGE(""https://docs.google.com/spreadsheets/d/1JWG2rZePOz9pe-f-ObA-yDr0VoOX2kSb0qIix2mTUo8/edit?usp=sharing"",""ตาก!J294"")"),0)</f>
        <v>0</v>
      </c>
      <c r="AG17" s="324">
        <f t="shared" ca="1" si="18"/>
        <v>0</v>
      </c>
    </row>
    <row r="18" spans="1:33" ht="24" customHeight="1" x14ac:dyDescent="0.2">
      <c r="A18" s="78">
        <v>5</v>
      </c>
      <c r="B18" s="79" t="s">
        <v>40</v>
      </c>
      <c r="C18" s="80">
        <f t="shared" ca="1" si="0"/>
        <v>335110</v>
      </c>
      <c r="D18" s="81">
        <f t="shared" ca="1" si="37"/>
        <v>335110</v>
      </c>
      <c r="E18" s="82">
        <f ca="1">IFERROR(__xludf.DUMMYFUNCTION("IMPORTRANGE(""https://docs.google.com/spreadsheets/d/1MeEWN-I1oV_STSDYn1IFDPWt_1FKiwhDph83XaGc0o0/edit?usp=sharing"",""งบพรบ!DJ18"")"),153700)</f>
        <v>153700</v>
      </c>
      <c r="F18" s="82">
        <f ca="1">IFERROR(__xludf.DUMMYFUNCTION("IMPORTRANGE(""https://docs.google.com/spreadsheets/d/1MeEWN-I1oV_STSDYn1IFDPWt_1FKiwhDph83XaGc0o0/edit?usp=sharing"",""งบพรบ!DK18"")"),181410)</f>
        <v>181410</v>
      </c>
      <c r="G18" s="82">
        <f ca="1">IFERROR(__xludf.DUMMYFUNCTION("IMPORTRANGE(""https://docs.google.com/spreadsheets/d/1MeEWN-I1oV_STSDYn1IFDPWt_1FKiwhDph83XaGc0o0/edit?usp=sharing"",""งบพรบ!DL18"")"),0)</f>
        <v>0</v>
      </c>
      <c r="H18" s="82">
        <f ca="1">IFERROR(__xludf.DUMMYFUNCTION("IMPORTRANGE(""https://docs.google.com/spreadsheets/d/1MeEWN-I1oV_STSDYn1IFDPWt_1FKiwhDph83XaGc0o0/edit?usp=sharing"",""งบพรบ!DN18"")"),201360)</f>
        <v>201360</v>
      </c>
      <c r="I18" s="82">
        <f ca="1">IFERROR(__xludf.DUMMYFUNCTION("IMPORTRANGE(""https://docs.google.com/spreadsheets/d/1MeEWN-I1oV_STSDYn1IFDPWt_1FKiwhDph83XaGc0o0/edit?usp=sharing"",""งบพรบ!DO18"")"),0)</f>
        <v>0</v>
      </c>
      <c r="J18" s="82">
        <f t="shared" ca="1" si="3"/>
        <v>49063.3</v>
      </c>
      <c r="K18" s="83">
        <f t="shared" ca="1" si="4"/>
        <v>14.640953716690042</v>
      </c>
      <c r="L18" s="82">
        <f ca="1">IFERROR(__xludf.DUMMYFUNCTION("IMPORTRANGE(""https://docs.google.com/spreadsheets/d/1MeEWN-I1oV_STSDYn1IFDPWt_1FKiwhDph83XaGc0o0/edit?usp=sharing"",""งบพรบ!DP18"")"),49063.3)</f>
        <v>49063.3</v>
      </c>
      <c r="M18" s="84">
        <f t="shared" ca="1" si="5"/>
        <v>14.640953716690042</v>
      </c>
      <c r="N18" s="84">
        <f t="shared" ca="1" si="6"/>
        <v>24.365961462058007</v>
      </c>
      <c r="O18" s="85">
        <f ca="1">IFERROR(__xludf.DUMMYFUNCTION("IMPORTRANGE(""https://docs.google.com/spreadsheets/d/1MeEWN-I1oV_STSDYn1IFDPWt_1FKiwhDph83XaGc0o0/edit?usp=sharing"",""งบพรบ!DQ18"")"),0)</f>
        <v>0</v>
      </c>
      <c r="P18" s="85">
        <f t="shared" ca="1" si="32"/>
        <v>0</v>
      </c>
      <c r="Q18" s="84">
        <f t="shared" ca="1" si="8"/>
        <v>0</v>
      </c>
      <c r="R18" s="323">
        <f ca="1">IFERROR(__xludf.DUMMYFUNCTION("IMPORTRANGE(""https://docs.google.com/spreadsheets/d/10nSRjK08hx8Y6HgSOQKNw81lyY46Zc7U_Cj72hBMp9U/edit?usp=sharing"",""นครสวรรค์!I287"")"),500)</f>
        <v>500</v>
      </c>
      <c r="S18" s="323">
        <f ca="1">IFERROR(__xludf.DUMMYFUNCTION("IMPORTRANGE(""https://docs.google.com/spreadsheets/d/10nSRjK08hx8Y6HgSOQKNw81lyY46Zc7U_Cj72hBMp9U/edit?usp=sharing"",""นครสวรรค์!J287"")"),0)</f>
        <v>0</v>
      </c>
      <c r="T18" s="324">
        <f t="shared" ca="1" si="27"/>
        <v>0</v>
      </c>
      <c r="U18" s="323">
        <f ca="1">IFERROR(__xludf.DUMMYFUNCTION("IMPORTRANGE(""https://docs.google.com/spreadsheets/d/10nSRjK08hx8Y6HgSOQKNw81lyY46Zc7U_Cj72hBMp9U/edit?usp=sharing"",""นครสวรรค์!I288"")"),50)</f>
        <v>50</v>
      </c>
      <c r="V18" s="323">
        <f ca="1">IFERROR(__xludf.DUMMYFUNCTION("IMPORTRANGE(""https://docs.google.com/spreadsheets/d/10nSRjK08hx8Y6HgSOQKNw81lyY46Zc7U_Cj72hBMp9U/edit?usp=sharing"",""นครสวรรค์!J288"")"),0)</f>
        <v>0</v>
      </c>
      <c r="W18" s="324">
        <f t="shared" ca="1" si="28"/>
        <v>0</v>
      </c>
      <c r="X18" s="323">
        <f ca="1">IFERROR(__xludf.DUMMYFUNCTION("IMPORTRANGE(""https://docs.google.com/spreadsheets/d/10nSRjK08hx8Y6HgSOQKNw81lyY46Zc7U_Cj72hBMp9U/edit?usp=sharing"",""นครสวรรค์!I290"")"),50)</f>
        <v>50</v>
      </c>
      <c r="Y18" s="323">
        <f ca="1">IFERROR(__xludf.DUMMYFUNCTION("IMPORTRANGE(""https://docs.google.com/spreadsheets/d/10nSRjK08hx8Y6HgSOQKNw81lyY46Zc7U_Cj72hBMp9U/edit?usp=sharing"",""นครสวรรค์!J290"")"),0)</f>
        <v>0</v>
      </c>
      <c r="Z18" s="324">
        <f t="shared" ca="1" si="29"/>
        <v>0</v>
      </c>
      <c r="AA18" s="323">
        <f ca="1">IFERROR(__xludf.DUMMYFUNCTION("IMPORTRANGE(""https://docs.google.com/spreadsheets/d/10nSRjK08hx8Y6HgSOQKNw81lyY46Zc7U_Cj72hBMp9U/edit?usp=sharing"",""นครสวรรค์!J291"")"),0)</f>
        <v>0</v>
      </c>
      <c r="AB18" s="324">
        <f t="shared" ca="1" si="15"/>
        <v>0</v>
      </c>
      <c r="AC18" s="323">
        <f ca="1">IFERROR(__xludf.DUMMYFUNCTION("IMPORTRANGE(""https://docs.google.com/spreadsheets/d/10nSRjK08hx8Y6HgSOQKNw81lyY46Zc7U_Cj72hBMp9U/edit?usp=sharing"",""นครสวรรค์!I293"")"),50)</f>
        <v>50</v>
      </c>
      <c r="AD18" s="323">
        <f ca="1">IFERROR(__xludf.DUMMYFUNCTION("IMPORTRANGE(""https://docs.google.com/spreadsheets/d/10nSRjK08hx8Y6HgSOQKNw81lyY46Zc7U_Cj72hBMp9U/edit?usp=sharing"",""นครสวรรค์!J293"")"),0)</f>
        <v>0</v>
      </c>
      <c r="AE18" s="324">
        <f t="shared" ca="1" si="30"/>
        <v>0</v>
      </c>
      <c r="AF18" s="323">
        <f ca="1">IFERROR(__xludf.DUMMYFUNCTION("IMPORTRANGE(""https://docs.google.com/spreadsheets/d/10nSRjK08hx8Y6HgSOQKNw81lyY46Zc7U_Cj72hBMp9U/edit?usp=sharing"",""นครสวรรค์!J294"")"),0)</f>
        <v>0</v>
      </c>
      <c r="AG18" s="324">
        <f t="shared" ca="1" si="18"/>
        <v>0</v>
      </c>
    </row>
    <row r="19" spans="1:33" ht="24" customHeight="1" x14ac:dyDescent="0.2">
      <c r="A19" s="78">
        <v>6</v>
      </c>
      <c r="B19" s="79" t="s">
        <v>41</v>
      </c>
      <c r="C19" s="80">
        <f t="shared" ca="1" si="0"/>
        <v>24630</v>
      </c>
      <c r="D19" s="81">
        <f t="shared" ca="1" si="37"/>
        <v>24630</v>
      </c>
      <c r="E19" s="82">
        <f ca="1">IFERROR(__xludf.DUMMYFUNCTION("IMPORTRANGE(""https://docs.google.com/spreadsheets/d/1MeEWN-I1oV_STSDYn1IFDPWt_1FKiwhDph83XaGc0o0/edit?usp=sharing"",""งบพรบ!DJ19"")"),0)</f>
        <v>0</v>
      </c>
      <c r="F19" s="82">
        <f ca="1">IFERROR(__xludf.DUMMYFUNCTION("IMPORTRANGE(""https://docs.google.com/spreadsheets/d/1MeEWN-I1oV_STSDYn1IFDPWt_1FKiwhDph83XaGc0o0/edit?usp=sharing"",""งบพรบ!DK19"")"),24630)</f>
        <v>24630</v>
      </c>
      <c r="G19" s="82">
        <f ca="1">IFERROR(__xludf.DUMMYFUNCTION("IMPORTRANGE(""https://docs.google.com/spreadsheets/d/1MeEWN-I1oV_STSDYn1IFDPWt_1FKiwhDph83XaGc0o0/edit?usp=sharing"",""งบพรบ!DL19"")"),0)</f>
        <v>0</v>
      </c>
      <c r="H19" s="82">
        <f ca="1">IFERROR(__xludf.DUMMYFUNCTION("IMPORTRANGE(""https://docs.google.com/spreadsheets/d/1MeEWN-I1oV_STSDYn1IFDPWt_1FKiwhDph83XaGc0o0/edit?usp=sharing"",""งบพรบ!DN19"")"),15100)</f>
        <v>15100</v>
      </c>
      <c r="I19" s="82">
        <f ca="1">IFERROR(__xludf.DUMMYFUNCTION("IMPORTRANGE(""https://docs.google.com/spreadsheets/d/1MeEWN-I1oV_STSDYn1IFDPWt_1FKiwhDph83XaGc0o0/edit?usp=sharing"",""งบพรบ!DO19"")"),0)</f>
        <v>0</v>
      </c>
      <c r="J19" s="82">
        <f t="shared" ca="1" si="3"/>
        <v>2000</v>
      </c>
      <c r="K19" s="83">
        <f t="shared" ca="1" si="4"/>
        <v>8.1201786439301671</v>
      </c>
      <c r="L19" s="82">
        <f ca="1">IFERROR(__xludf.DUMMYFUNCTION("IMPORTRANGE(""https://docs.google.com/spreadsheets/d/1MeEWN-I1oV_STSDYn1IFDPWt_1FKiwhDph83XaGc0o0/edit?usp=sharing"",""งบพรบ!DP19"")"),2000)</f>
        <v>2000</v>
      </c>
      <c r="M19" s="84">
        <f t="shared" ca="1" si="5"/>
        <v>8.1201786439301671</v>
      </c>
      <c r="N19" s="84">
        <f t="shared" ca="1" si="6"/>
        <v>13.245033112582782</v>
      </c>
      <c r="O19" s="85">
        <f ca="1">IFERROR(__xludf.DUMMYFUNCTION("IMPORTRANGE(""https://docs.google.com/spreadsheets/d/1MeEWN-I1oV_STSDYn1IFDPWt_1FKiwhDph83XaGc0o0/edit?usp=sharing"",""งบพรบ!DQ19"")"),0)</f>
        <v>0</v>
      </c>
      <c r="P19" s="85">
        <f t="shared" ca="1" si="32"/>
        <v>0</v>
      </c>
      <c r="Q19" s="84">
        <f t="shared" ca="1" si="8"/>
        <v>0</v>
      </c>
      <c r="R19" s="323">
        <f ca="1">IFERROR(__xludf.DUMMYFUNCTION("IMPORTRANGE(""https://docs.google.com/spreadsheets/d/1gFVb7qd7amutrIxAAoM7lcy35hllxznovot8lyOfvDo/edit?usp=sharing"",""น่าน!I287"")"),50)</f>
        <v>50</v>
      </c>
      <c r="S19" s="323">
        <f ca="1">IFERROR(__xludf.DUMMYFUNCTION("IMPORTRANGE(""https://docs.google.com/spreadsheets/d/1gFVb7qd7amutrIxAAoM7lcy35hllxznovot8lyOfvDo/edit?usp=sharing"",""น่าน!J287"")"),0)</f>
        <v>0</v>
      </c>
      <c r="T19" s="324">
        <f t="shared" ca="1" si="27"/>
        <v>0</v>
      </c>
      <c r="U19" s="323">
        <f ca="1">IFERROR(__xludf.DUMMYFUNCTION("IMPORTRANGE(""https://docs.google.com/spreadsheets/d/1gFVb7qd7amutrIxAAoM7lcy35hllxznovot8lyOfvDo/edit?usp=sharing"",""น่าน!I288"")"),5)</f>
        <v>5</v>
      </c>
      <c r="V19" s="323">
        <f ca="1">IFERROR(__xludf.DUMMYFUNCTION("IMPORTRANGE(""https://docs.google.com/spreadsheets/d/1gFVb7qd7amutrIxAAoM7lcy35hllxznovot8lyOfvDo/edit?usp=sharing"",""น่าน!J288"")"),0)</f>
        <v>0</v>
      </c>
      <c r="W19" s="324">
        <f t="shared" ca="1" si="28"/>
        <v>0</v>
      </c>
      <c r="X19" s="323">
        <f ca="1">IFERROR(__xludf.DUMMYFUNCTION("IMPORTRANGE(""https://docs.google.com/spreadsheets/d/1gFVb7qd7amutrIxAAoM7lcy35hllxznovot8lyOfvDo/edit?usp=sharing"",""น่าน!I290"")"),5)</f>
        <v>5</v>
      </c>
      <c r="Y19" s="323">
        <f ca="1">IFERROR(__xludf.DUMMYFUNCTION("IMPORTRANGE(""https://docs.google.com/spreadsheets/d/1gFVb7qd7amutrIxAAoM7lcy35hllxznovot8lyOfvDo/edit?usp=sharing"",""น่าน!J290"")"),0)</f>
        <v>0</v>
      </c>
      <c r="Z19" s="324">
        <f t="shared" ca="1" si="29"/>
        <v>0</v>
      </c>
      <c r="AA19" s="323">
        <f ca="1">IFERROR(__xludf.DUMMYFUNCTION("IMPORTRANGE(""https://docs.google.com/spreadsheets/d/1gFVb7qd7amutrIxAAoM7lcy35hllxznovot8lyOfvDo/edit?usp=sharing"",""น่าน!J291"")"),0)</f>
        <v>0</v>
      </c>
      <c r="AB19" s="324">
        <f t="shared" ca="1" si="15"/>
        <v>0</v>
      </c>
      <c r="AC19" s="323">
        <f ca="1">IFERROR(__xludf.DUMMYFUNCTION("IMPORTRANGE(""https://docs.google.com/spreadsheets/d/1gFVb7qd7amutrIxAAoM7lcy35hllxznovot8lyOfvDo/edit?usp=sharing"",""น่าน!I293"")"),5)</f>
        <v>5</v>
      </c>
      <c r="AD19" s="323">
        <f ca="1">IFERROR(__xludf.DUMMYFUNCTION("IMPORTRANGE(""https://docs.google.com/spreadsheets/d/1gFVb7qd7amutrIxAAoM7lcy35hllxznovot8lyOfvDo/edit?usp=sharing"",""น่าน!J293"")"),0)</f>
        <v>0</v>
      </c>
      <c r="AE19" s="324">
        <f t="shared" ca="1" si="30"/>
        <v>0</v>
      </c>
      <c r="AF19" s="323">
        <f ca="1">IFERROR(__xludf.DUMMYFUNCTION("IMPORTRANGE(""https://docs.google.com/spreadsheets/d/1gFVb7qd7amutrIxAAoM7lcy35hllxznovot8lyOfvDo/edit?usp=sharing"",""น่าน!J294"")"),0)</f>
        <v>0</v>
      </c>
      <c r="AG19" s="324">
        <f t="shared" ca="1" si="18"/>
        <v>0</v>
      </c>
    </row>
    <row r="20" spans="1:33" ht="24" customHeight="1" x14ac:dyDescent="0.2">
      <c r="A20" s="78">
        <v>7</v>
      </c>
      <c r="B20" s="79" t="s">
        <v>42</v>
      </c>
      <c r="C20" s="80">
        <f t="shared" ca="1" si="0"/>
        <v>41010</v>
      </c>
      <c r="D20" s="81">
        <f t="shared" ca="1" si="37"/>
        <v>41010</v>
      </c>
      <c r="E20" s="82">
        <f ca="1">IFERROR(__xludf.DUMMYFUNCTION("IMPORTRANGE(""https://docs.google.com/spreadsheets/d/1MeEWN-I1oV_STSDYn1IFDPWt_1FKiwhDph83XaGc0o0/edit?usp=sharing"",""งบพรบ!DJ20"")"),0)</f>
        <v>0</v>
      </c>
      <c r="F20" s="82">
        <f ca="1">IFERROR(__xludf.DUMMYFUNCTION("IMPORTRANGE(""https://docs.google.com/spreadsheets/d/1MeEWN-I1oV_STSDYn1IFDPWt_1FKiwhDph83XaGc0o0/edit?usp=sharing"",""งบพรบ!DK20"")"),41010)</f>
        <v>41010</v>
      </c>
      <c r="G20" s="82">
        <f ca="1">IFERROR(__xludf.DUMMYFUNCTION("IMPORTRANGE(""https://docs.google.com/spreadsheets/d/1MeEWN-I1oV_STSDYn1IFDPWt_1FKiwhDph83XaGc0o0/edit?usp=sharing"",""งบพรบ!DL20"")"),0)</f>
        <v>0</v>
      </c>
      <c r="H20" s="82">
        <f ca="1">IFERROR(__xludf.DUMMYFUNCTION("IMPORTRANGE(""https://docs.google.com/spreadsheets/d/1MeEWN-I1oV_STSDYn1IFDPWt_1FKiwhDph83XaGc0o0/edit?usp=sharing"",""งบพรบ!DN20"")"),21950)</f>
        <v>21950</v>
      </c>
      <c r="I20" s="82">
        <f ca="1">IFERROR(__xludf.DUMMYFUNCTION("IMPORTRANGE(""https://docs.google.com/spreadsheets/d/1MeEWN-I1oV_STSDYn1IFDPWt_1FKiwhDph83XaGc0o0/edit?usp=sharing"",""งบพรบ!DO20"")"),0)</f>
        <v>0</v>
      </c>
      <c r="J20" s="82">
        <f t="shared" ca="1" si="3"/>
        <v>11020</v>
      </c>
      <c r="K20" s="83">
        <f t="shared" ca="1" si="4"/>
        <v>26.871494757376251</v>
      </c>
      <c r="L20" s="82">
        <f ca="1">IFERROR(__xludf.DUMMYFUNCTION("IMPORTRANGE(""https://docs.google.com/spreadsheets/d/1MeEWN-I1oV_STSDYn1IFDPWt_1FKiwhDph83XaGc0o0/edit?usp=sharing"",""งบพรบ!DP20"")"),11020)</f>
        <v>11020</v>
      </c>
      <c r="M20" s="84">
        <f t="shared" ca="1" si="5"/>
        <v>26.871494757376251</v>
      </c>
      <c r="N20" s="84">
        <f t="shared" ca="1" si="6"/>
        <v>50.205011389521637</v>
      </c>
      <c r="O20" s="85">
        <f ca="1">IFERROR(__xludf.DUMMYFUNCTION("IMPORTRANGE(""https://docs.google.com/spreadsheets/d/1MeEWN-I1oV_STSDYn1IFDPWt_1FKiwhDph83XaGc0o0/edit?usp=sharing"",""งบพรบ!DQ20"")"),0)</f>
        <v>0</v>
      </c>
      <c r="P20" s="85">
        <f t="shared" ca="1" si="32"/>
        <v>0</v>
      </c>
      <c r="Q20" s="84">
        <f t="shared" ca="1" si="8"/>
        <v>0</v>
      </c>
      <c r="R20" s="323">
        <f ca="1">IFERROR(__xludf.DUMMYFUNCTION("IMPORTRANGE(""https://docs.google.com/spreadsheets/d/1K0Aa9s-6EuHE5M0FG1F9aHLXRCOV917xvycTdLdct0w/edit?usp=sharing"",""พะเยา!I287"")"),100)</f>
        <v>100</v>
      </c>
      <c r="S20" s="323">
        <f ca="1">IFERROR(__xludf.DUMMYFUNCTION("IMPORTRANGE(""https://docs.google.com/spreadsheets/d/1K0Aa9s-6EuHE5M0FG1F9aHLXRCOV917xvycTdLdct0w/edit?usp=sharing"",""พะเยา!J287"")"),0)</f>
        <v>0</v>
      </c>
      <c r="T20" s="324">
        <f t="shared" ca="1" si="27"/>
        <v>0</v>
      </c>
      <c r="U20" s="323">
        <f ca="1">IFERROR(__xludf.DUMMYFUNCTION("IMPORTRANGE(""https://docs.google.com/spreadsheets/d/1K0Aa9s-6EuHE5M0FG1F9aHLXRCOV917xvycTdLdct0w/edit?usp=sharing"",""พะเยา!I288"")"),10)</f>
        <v>10</v>
      </c>
      <c r="V20" s="323">
        <f ca="1">IFERROR(__xludf.DUMMYFUNCTION("IMPORTRANGE(""https://docs.google.com/spreadsheets/d/1K0Aa9s-6EuHE5M0FG1F9aHLXRCOV917xvycTdLdct0w/edit?usp=sharing"",""พะเยา!J288"")"),0)</f>
        <v>0</v>
      </c>
      <c r="W20" s="324">
        <f t="shared" ca="1" si="28"/>
        <v>0</v>
      </c>
      <c r="X20" s="323">
        <f ca="1">IFERROR(__xludf.DUMMYFUNCTION("IMPORTRANGE(""https://docs.google.com/spreadsheets/d/1K0Aa9s-6EuHE5M0FG1F9aHLXRCOV917xvycTdLdct0w/edit?usp=sharing"",""พะเยา!I290"")"),10)</f>
        <v>10</v>
      </c>
      <c r="Y20" s="323">
        <f ca="1">IFERROR(__xludf.DUMMYFUNCTION("IMPORTRANGE(""https://docs.google.com/spreadsheets/d/1K0Aa9s-6EuHE5M0FG1F9aHLXRCOV917xvycTdLdct0w/edit?usp=sharing"",""พะเยา!J290"")"),10)</f>
        <v>10</v>
      </c>
      <c r="Z20" s="324">
        <f t="shared" ca="1" si="29"/>
        <v>100</v>
      </c>
      <c r="AA20" s="323">
        <f ca="1">IFERROR(__xludf.DUMMYFUNCTION("IMPORTRANGE(""https://docs.google.com/spreadsheets/d/1K0Aa9s-6EuHE5M0FG1F9aHLXRCOV917xvycTdLdct0w/edit?usp=sharing"",""พะเยา!J291"")"),10)</f>
        <v>10</v>
      </c>
      <c r="AB20" s="324">
        <f t="shared" ca="1" si="15"/>
        <v>100</v>
      </c>
      <c r="AC20" s="323">
        <f ca="1">IFERROR(__xludf.DUMMYFUNCTION("IMPORTRANGE(""https://docs.google.com/spreadsheets/d/1K0Aa9s-6EuHE5M0FG1F9aHLXRCOV917xvycTdLdct0w/edit?usp=sharing"",""พะเยา!I293"")"),10)</f>
        <v>10</v>
      </c>
      <c r="AD20" s="323">
        <f ca="1">IFERROR(__xludf.DUMMYFUNCTION("IMPORTRANGE(""https://docs.google.com/spreadsheets/d/1K0Aa9s-6EuHE5M0FG1F9aHLXRCOV917xvycTdLdct0w/edit?usp=sharing"",""พะเยา!J293"")"),0)</f>
        <v>0</v>
      </c>
      <c r="AE20" s="324">
        <f t="shared" ca="1" si="30"/>
        <v>0</v>
      </c>
      <c r="AF20" s="323">
        <f ca="1">IFERROR(__xludf.DUMMYFUNCTION("IMPORTRANGE(""https://docs.google.com/spreadsheets/d/1K0Aa9s-6EuHE5M0FG1F9aHLXRCOV917xvycTdLdct0w/edit?usp=sharing"",""พะเยา!J294"")"),0)</f>
        <v>0</v>
      </c>
      <c r="AG20" s="324">
        <f t="shared" ca="1" si="18"/>
        <v>0</v>
      </c>
    </row>
    <row r="21" spans="1:33" ht="24" customHeight="1" x14ac:dyDescent="0.2">
      <c r="A21" s="78">
        <v>8</v>
      </c>
      <c r="B21" s="79" t="s">
        <v>43</v>
      </c>
      <c r="C21" s="80">
        <f t="shared" ca="1" si="0"/>
        <v>189110</v>
      </c>
      <c r="D21" s="81">
        <f t="shared" ca="1" si="37"/>
        <v>189110</v>
      </c>
      <c r="E21" s="82">
        <f ca="1">IFERROR(__xludf.DUMMYFUNCTION("IMPORTRANGE(""https://docs.google.com/spreadsheets/d/1MeEWN-I1oV_STSDYn1IFDPWt_1FKiwhDph83XaGc0o0/edit?usp=sharing"",""งบพรบ!DJ21"")"),148100)</f>
        <v>148100</v>
      </c>
      <c r="F21" s="82">
        <f ca="1">IFERROR(__xludf.DUMMYFUNCTION("IMPORTRANGE(""https://docs.google.com/spreadsheets/d/1MeEWN-I1oV_STSDYn1IFDPWt_1FKiwhDph83XaGc0o0/edit?usp=sharing"",""งบพรบ!DK21"")"),41010)</f>
        <v>41010</v>
      </c>
      <c r="G21" s="82">
        <f ca="1">IFERROR(__xludf.DUMMYFUNCTION("IMPORTRANGE(""https://docs.google.com/spreadsheets/d/1MeEWN-I1oV_STSDYn1IFDPWt_1FKiwhDph83XaGc0o0/edit?usp=sharing"",""งบพรบ!DL21"")"),0)</f>
        <v>0</v>
      </c>
      <c r="H21" s="82">
        <f ca="1">IFERROR(__xludf.DUMMYFUNCTION("IMPORTRANGE(""https://docs.google.com/spreadsheets/d/1MeEWN-I1oV_STSDYn1IFDPWt_1FKiwhDph83XaGc0o0/edit?usp=sharing"",""งบพรบ!DN21"")"),152060)</f>
        <v>152060</v>
      </c>
      <c r="I21" s="82">
        <f ca="1">IFERROR(__xludf.DUMMYFUNCTION("IMPORTRANGE(""https://docs.google.com/spreadsheets/d/1MeEWN-I1oV_STSDYn1IFDPWt_1FKiwhDph83XaGc0o0/edit?usp=sharing"",""งบพรบ!DO21"")"),0)</f>
        <v>0</v>
      </c>
      <c r="J21" s="82">
        <f t="shared" ca="1" si="3"/>
        <v>87184.1</v>
      </c>
      <c r="K21" s="83">
        <f t="shared" ca="1" si="4"/>
        <v>46.102321400243248</v>
      </c>
      <c r="L21" s="82">
        <f ca="1">IFERROR(__xludf.DUMMYFUNCTION("IMPORTRANGE(""https://docs.google.com/spreadsheets/d/1MeEWN-I1oV_STSDYn1IFDPWt_1FKiwhDph83XaGc0o0/edit?usp=sharing"",""งบพรบ!DP21"")"),87184.1)</f>
        <v>87184.1</v>
      </c>
      <c r="M21" s="84">
        <f t="shared" ca="1" si="5"/>
        <v>46.102321400243248</v>
      </c>
      <c r="N21" s="84">
        <f t="shared" ca="1" si="6"/>
        <v>57.335328159936864</v>
      </c>
      <c r="O21" s="85">
        <f ca="1">IFERROR(__xludf.DUMMYFUNCTION("IMPORTRANGE(""https://docs.google.com/spreadsheets/d/1MeEWN-I1oV_STSDYn1IFDPWt_1FKiwhDph83XaGc0o0/edit?usp=sharing"",""งบพรบ!DQ21"")"),0)</f>
        <v>0</v>
      </c>
      <c r="P21" s="85">
        <f t="shared" ca="1" si="32"/>
        <v>0</v>
      </c>
      <c r="Q21" s="84">
        <f t="shared" ca="1" si="8"/>
        <v>0</v>
      </c>
      <c r="R21" s="323">
        <f ca="1">IFERROR(__xludf.DUMMYFUNCTION("IMPORTRANGE(""https://docs.google.com/spreadsheets/d/1Y9LPKx95PyL5OKy09d-KbKJSuuEZCFdkhYjwC0XQjBA/edit?usp=sharing"",""พิจิตร!I287"")"),100)</f>
        <v>100</v>
      </c>
      <c r="S21" s="323">
        <f ca="1">IFERROR(__xludf.DUMMYFUNCTION("IMPORTRANGE(""https://docs.google.com/spreadsheets/d/1Y9LPKx95PyL5OKy09d-KbKJSuuEZCFdkhYjwC0XQjBA/edit?usp=sharing"",""พิจิตร!J287"")"),100)</f>
        <v>100</v>
      </c>
      <c r="T21" s="324">
        <f t="shared" ca="1" si="27"/>
        <v>100</v>
      </c>
      <c r="U21" s="323">
        <f ca="1">IFERROR(__xludf.DUMMYFUNCTION("IMPORTRANGE(""https://docs.google.com/spreadsheets/d/1Y9LPKx95PyL5OKy09d-KbKJSuuEZCFdkhYjwC0XQjBA/edit?usp=sharing"",""พิจิตร!I288"")"),10)</f>
        <v>10</v>
      </c>
      <c r="V21" s="323">
        <f ca="1">IFERROR(__xludf.DUMMYFUNCTION("IMPORTRANGE(""https://docs.google.com/spreadsheets/d/1Y9LPKx95PyL5OKy09d-KbKJSuuEZCFdkhYjwC0XQjBA/edit?usp=sharing"",""พิจิตร!J288"")"),0)</f>
        <v>0</v>
      </c>
      <c r="W21" s="324">
        <f t="shared" ca="1" si="28"/>
        <v>0</v>
      </c>
      <c r="X21" s="323">
        <f ca="1">IFERROR(__xludf.DUMMYFUNCTION("IMPORTRANGE(""https://docs.google.com/spreadsheets/d/1Y9LPKx95PyL5OKy09d-KbKJSuuEZCFdkhYjwC0XQjBA/edit?usp=sharing"",""พิจิตร!I290"")"),10)</f>
        <v>10</v>
      </c>
      <c r="Y21" s="323">
        <f ca="1">IFERROR(__xludf.DUMMYFUNCTION("IMPORTRANGE(""https://docs.google.com/spreadsheets/d/1Y9LPKx95PyL5OKy09d-KbKJSuuEZCFdkhYjwC0XQjBA/edit?usp=sharing"",""พิจิตร!J290"")"),10)</f>
        <v>10</v>
      </c>
      <c r="Z21" s="324">
        <f t="shared" ca="1" si="29"/>
        <v>100</v>
      </c>
      <c r="AA21" s="323">
        <f ca="1">IFERROR(__xludf.DUMMYFUNCTION("IMPORTRANGE(""https://docs.google.com/spreadsheets/d/1Y9LPKx95PyL5OKy09d-KbKJSuuEZCFdkhYjwC0XQjBA/edit?usp=sharing"",""พิจิตร!J291"")"),10)</f>
        <v>10</v>
      </c>
      <c r="AB21" s="324">
        <f t="shared" ca="1" si="15"/>
        <v>100</v>
      </c>
      <c r="AC21" s="323">
        <f ca="1">IFERROR(__xludf.DUMMYFUNCTION("IMPORTRANGE(""https://docs.google.com/spreadsheets/d/1Y9LPKx95PyL5OKy09d-KbKJSuuEZCFdkhYjwC0XQjBA/edit?usp=sharing"",""พิจิตร!I293"")"),10)</f>
        <v>10</v>
      </c>
      <c r="AD21" s="323">
        <f ca="1">IFERROR(__xludf.DUMMYFUNCTION("IMPORTRANGE(""https://docs.google.com/spreadsheets/d/1Y9LPKx95PyL5OKy09d-KbKJSuuEZCFdkhYjwC0XQjBA/edit?usp=sharing"",""พิจิตร!J293"")"),0)</f>
        <v>0</v>
      </c>
      <c r="AE21" s="324">
        <f t="shared" ca="1" si="30"/>
        <v>0</v>
      </c>
      <c r="AF21" s="323">
        <f ca="1">IFERROR(__xludf.DUMMYFUNCTION("IMPORTRANGE(""https://docs.google.com/spreadsheets/d/1Y9LPKx95PyL5OKy09d-KbKJSuuEZCFdkhYjwC0XQjBA/edit?usp=sharing"",""พิจิตร!J294"")"),0)</f>
        <v>0</v>
      </c>
      <c r="AG21" s="324">
        <f t="shared" ca="1" si="18"/>
        <v>0</v>
      </c>
    </row>
    <row r="22" spans="1:33" ht="24" customHeight="1" x14ac:dyDescent="0.2">
      <c r="A22" s="78">
        <v>9</v>
      </c>
      <c r="B22" s="79" t="s">
        <v>44</v>
      </c>
      <c r="C22" s="80">
        <f t="shared" ca="1" si="0"/>
        <v>41010</v>
      </c>
      <c r="D22" s="81">
        <f t="shared" ca="1" si="37"/>
        <v>41010</v>
      </c>
      <c r="E22" s="82">
        <f ca="1">IFERROR(__xludf.DUMMYFUNCTION("IMPORTRANGE(""https://docs.google.com/spreadsheets/d/1MeEWN-I1oV_STSDYn1IFDPWt_1FKiwhDph83XaGc0o0/edit?usp=sharing"",""งบพรบ!DJ22"")"),0)</f>
        <v>0</v>
      </c>
      <c r="F22" s="82">
        <f ca="1">IFERROR(__xludf.DUMMYFUNCTION("IMPORTRANGE(""https://docs.google.com/spreadsheets/d/1MeEWN-I1oV_STSDYn1IFDPWt_1FKiwhDph83XaGc0o0/edit?usp=sharing"",""งบพรบ!DK22"")"),41010)</f>
        <v>41010</v>
      </c>
      <c r="G22" s="82">
        <f ca="1">IFERROR(__xludf.DUMMYFUNCTION("IMPORTRANGE(""https://docs.google.com/spreadsheets/d/1MeEWN-I1oV_STSDYn1IFDPWt_1FKiwhDph83XaGc0o0/edit?usp=sharing"",""งบพรบ!DL22"")"),0)</f>
        <v>0</v>
      </c>
      <c r="H22" s="82">
        <f ca="1">IFERROR(__xludf.DUMMYFUNCTION("IMPORTRANGE(""https://docs.google.com/spreadsheets/d/1MeEWN-I1oV_STSDYn1IFDPWt_1FKiwhDph83XaGc0o0/edit?usp=sharing"",""งบพรบ!DN22"")"),21950)</f>
        <v>21950</v>
      </c>
      <c r="I22" s="82">
        <f ca="1">IFERROR(__xludf.DUMMYFUNCTION("IMPORTRANGE(""https://docs.google.com/spreadsheets/d/1MeEWN-I1oV_STSDYn1IFDPWt_1FKiwhDph83XaGc0o0/edit?usp=sharing"",""งบพรบ!DO22"")"),0)</f>
        <v>0</v>
      </c>
      <c r="J22" s="82">
        <f t="shared" ca="1" si="3"/>
        <v>18820</v>
      </c>
      <c r="K22" s="83">
        <f t="shared" ca="1" si="4"/>
        <v>45.891246037551817</v>
      </c>
      <c r="L22" s="82">
        <f ca="1">IFERROR(__xludf.DUMMYFUNCTION("IMPORTRANGE(""https://docs.google.com/spreadsheets/d/1MeEWN-I1oV_STSDYn1IFDPWt_1FKiwhDph83XaGc0o0/edit?usp=sharing"",""งบพรบ!DP22"")"),18820)</f>
        <v>18820</v>
      </c>
      <c r="M22" s="84">
        <f t="shared" ca="1" si="5"/>
        <v>45.891246037551817</v>
      </c>
      <c r="N22" s="84">
        <f t="shared" ca="1" si="6"/>
        <v>85.740318906605921</v>
      </c>
      <c r="O22" s="85">
        <f ca="1">IFERROR(__xludf.DUMMYFUNCTION("IMPORTRANGE(""https://docs.google.com/spreadsheets/d/1MeEWN-I1oV_STSDYn1IFDPWt_1FKiwhDph83XaGc0o0/edit?usp=sharing"",""งบพรบ!DQ22"")"),0)</f>
        <v>0</v>
      </c>
      <c r="P22" s="85">
        <f t="shared" ca="1" si="32"/>
        <v>0</v>
      </c>
      <c r="Q22" s="84">
        <f t="shared" ca="1" si="8"/>
        <v>0</v>
      </c>
      <c r="R22" s="323">
        <f ca="1">IFERROR(__xludf.DUMMYFUNCTION("IMPORTRANGE(""https://docs.google.com/spreadsheets/d/16OMuOwy2eVqZcYWOouQtTpa8X1L23h4660uVHc0C8os/edit?usp=sharing"",""พิษณุโลก!I287"")"),100)</f>
        <v>100</v>
      </c>
      <c r="S22" s="323">
        <f ca="1">IFERROR(__xludf.DUMMYFUNCTION("IMPORTRANGE(""https://docs.google.com/spreadsheets/d/16OMuOwy2eVqZcYWOouQtTpa8X1L23h4660uVHc0C8os/edit?usp=sharing"",""พิษณุโลก!J287"")"),100)</f>
        <v>100</v>
      </c>
      <c r="T22" s="324">
        <f t="shared" ca="1" si="27"/>
        <v>100</v>
      </c>
      <c r="U22" s="323">
        <f ca="1">IFERROR(__xludf.DUMMYFUNCTION("IMPORTRANGE(""https://docs.google.com/spreadsheets/d/16OMuOwy2eVqZcYWOouQtTpa8X1L23h4660uVHc0C8os/edit?usp=sharing"",""พิษณุโลก!I288"")"),10)</f>
        <v>10</v>
      </c>
      <c r="V22" s="323">
        <f ca="1">IFERROR(__xludf.DUMMYFUNCTION("IMPORTRANGE(""https://docs.google.com/spreadsheets/d/16OMuOwy2eVqZcYWOouQtTpa8X1L23h4660uVHc0C8os/edit?usp=sharing"",""พิษณุโลก!J288"")"),0)</f>
        <v>0</v>
      </c>
      <c r="W22" s="324">
        <f t="shared" ca="1" si="28"/>
        <v>0</v>
      </c>
      <c r="X22" s="323">
        <f ca="1">IFERROR(__xludf.DUMMYFUNCTION("IMPORTRANGE(""https://docs.google.com/spreadsheets/d/16OMuOwy2eVqZcYWOouQtTpa8X1L23h4660uVHc0C8os/edit?usp=sharing"",""พิษณุโลก!I290"")"),10)</f>
        <v>10</v>
      </c>
      <c r="Y22" s="323">
        <f ca="1">IFERROR(__xludf.DUMMYFUNCTION("IMPORTRANGE(""https://docs.google.com/spreadsheets/d/16OMuOwy2eVqZcYWOouQtTpa8X1L23h4660uVHc0C8os/edit?usp=sharing"",""พิษณุโลก!J290"")"),0)</f>
        <v>0</v>
      </c>
      <c r="Z22" s="324">
        <f t="shared" ca="1" si="29"/>
        <v>0</v>
      </c>
      <c r="AA22" s="323">
        <f ca="1">IFERROR(__xludf.DUMMYFUNCTION("IMPORTRANGE(""https://docs.google.com/spreadsheets/d/16OMuOwy2eVqZcYWOouQtTpa8X1L23h4660uVHc0C8os/edit?usp=sharing"",""พิษณุโลก!J291"")"),0)</f>
        <v>0</v>
      </c>
      <c r="AB22" s="324">
        <f t="shared" ca="1" si="15"/>
        <v>0</v>
      </c>
      <c r="AC22" s="323">
        <f ca="1">IFERROR(__xludf.DUMMYFUNCTION("IMPORTRANGE(""https://docs.google.com/spreadsheets/d/16OMuOwy2eVqZcYWOouQtTpa8X1L23h4660uVHc0C8os/edit?usp=sharing"",""พิษณุโลก!I293"")"),10)</f>
        <v>10</v>
      </c>
      <c r="AD22" s="323">
        <f ca="1">IFERROR(__xludf.DUMMYFUNCTION("IMPORTRANGE(""https://docs.google.com/spreadsheets/d/16OMuOwy2eVqZcYWOouQtTpa8X1L23h4660uVHc0C8os/edit?usp=sharing"",""พิษณุโลก!J293"")"),10)</f>
        <v>10</v>
      </c>
      <c r="AE22" s="324">
        <f t="shared" ca="1" si="30"/>
        <v>100</v>
      </c>
      <c r="AF22" s="323">
        <f ca="1">IFERROR(__xludf.DUMMYFUNCTION("IMPORTRANGE(""https://docs.google.com/spreadsheets/d/16OMuOwy2eVqZcYWOouQtTpa8X1L23h4660uVHc0C8os/edit?usp=sharing"",""พิษณุโลก!J294"")"),10)</f>
        <v>10</v>
      </c>
      <c r="AG22" s="324">
        <f t="shared" ca="1" si="18"/>
        <v>100</v>
      </c>
    </row>
    <row r="23" spans="1:33" ht="24" customHeight="1" x14ac:dyDescent="0.2">
      <c r="A23" s="78">
        <v>10</v>
      </c>
      <c r="B23" s="79" t="s">
        <v>45</v>
      </c>
      <c r="C23" s="80">
        <f t="shared" ca="1" si="0"/>
        <v>286680</v>
      </c>
      <c r="D23" s="81">
        <f t="shared" ca="1" si="37"/>
        <v>286680</v>
      </c>
      <c r="E23" s="82">
        <f ca="1">IFERROR(__xludf.DUMMYFUNCTION("IMPORTRANGE(""https://docs.google.com/spreadsheets/d/1MeEWN-I1oV_STSDYn1IFDPWt_1FKiwhDph83XaGc0o0/edit?usp=sharing"",""งบพรบ!DJ23"")"),0)</f>
        <v>0</v>
      </c>
      <c r="F23" s="82">
        <f ca="1">IFERROR(__xludf.DUMMYFUNCTION("IMPORTRANGE(""https://docs.google.com/spreadsheets/d/1MeEWN-I1oV_STSDYn1IFDPWt_1FKiwhDph83XaGc0o0/edit?usp=sharing"",""งบพรบ!DK23"")"),286680)</f>
        <v>286680</v>
      </c>
      <c r="G23" s="82">
        <f ca="1">IFERROR(__xludf.DUMMYFUNCTION("IMPORTRANGE(""https://docs.google.com/spreadsheets/d/1MeEWN-I1oV_STSDYn1IFDPWt_1FKiwhDph83XaGc0o0/edit?usp=sharing"",""งบพรบ!DL23"")"),0)</f>
        <v>0</v>
      </c>
      <c r="H23" s="82">
        <f ca="1">IFERROR(__xludf.DUMMYFUNCTION("IMPORTRANGE(""https://docs.google.com/spreadsheets/d/1MeEWN-I1oV_STSDYn1IFDPWt_1FKiwhDph83XaGc0o0/edit?usp=sharing"",""งบพรบ!DN23"")"),134200)</f>
        <v>134200</v>
      </c>
      <c r="I23" s="82">
        <f ca="1">IFERROR(__xludf.DUMMYFUNCTION("IMPORTRANGE(""https://docs.google.com/spreadsheets/d/1MeEWN-I1oV_STSDYn1IFDPWt_1FKiwhDph83XaGc0o0/edit?usp=sharing"",""งบพรบ!DO23"")"),0)</f>
        <v>0</v>
      </c>
      <c r="J23" s="82">
        <f t="shared" ca="1" si="3"/>
        <v>116245</v>
      </c>
      <c r="K23" s="83">
        <f t="shared" ca="1" si="4"/>
        <v>40.548695409515837</v>
      </c>
      <c r="L23" s="82">
        <f ca="1">IFERROR(__xludf.DUMMYFUNCTION("IMPORTRANGE(""https://docs.google.com/spreadsheets/d/1MeEWN-I1oV_STSDYn1IFDPWt_1FKiwhDph83XaGc0o0/edit?usp=sharing"",""งบพรบ!DP23"")"),116245)</f>
        <v>116245</v>
      </c>
      <c r="M23" s="84">
        <f t="shared" ca="1" si="5"/>
        <v>40.548695409515837</v>
      </c>
      <c r="N23" s="84">
        <f t="shared" ca="1" si="6"/>
        <v>86.620715350223549</v>
      </c>
      <c r="O23" s="85">
        <f ca="1">IFERROR(__xludf.DUMMYFUNCTION("IMPORTRANGE(""https://docs.google.com/spreadsheets/d/1MeEWN-I1oV_STSDYn1IFDPWt_1FKiwhDph83XaGc0o0/edit?usp=sharing"",""งบพรบ!DQ23"")"),0)</f>
        <v>0</v>
      </c>
      <c r="P23" s="85">
        <f t="shared" ca="1" si="32"/>
        <v>0</v>
      </c>
      <c r="Q23" s="84">
        <f t="shared" ca="1" si="8"/>
        <v>0</v>
      </c>
      <c r="R23" s="323">
        <f ca="1">IFERROR(__xludf.DUMMYFUNCTION("IMPORTRANGE(""https://docs.google.com/spreadsheets/d/1GfgTldLG6k77HXaMQzaafODklYuucJZQNs_GAPEfZyY/edit?usp=sharing"",""เพชรบูรณ์!I287"")"),800)</f>
        <v>800</v>
      </c>
      <c r="S23" s="323">
        <f ca="1">IFERROR(__xludf.DUMMYFUNCTION("IMPORTRANGE(""https://docs.google.com/spreadsheets/d/1GfgTldLG6k77HXaMQzaafODklYuucJZQNs_GAPEfZyY/edit?usp=sharing"",""เพชรบูรณ์!J287"")"),800)</f>
        <v>800</v>
      </c>
      <c r="T23" s="324">
        <f t="shared" ca="1" si="27"/>
        <v>100</v>
      </c>
      <c r="U23" s="323">
        <f ca="1">IFERROR(__xludf.DUMMYFUNCTION("IMPORTRANGE(""https://docs.google.com/spreadsheets/d/1GfgTldLG6k77HXaMQzaafODklYuucJZQNs_GAPEfZyY/edit?usp=sharing"",""เพชรบูรณ์!I288"")"),80)</f>
        <v>80</v>
      </c>
      <c r="V23" s="323">
        <f ca="1">IFERROR(__xludf.DUMMYFUNCTION("IMPORTRANGE(""https://docs.google.com/spreadsheets/d/1GfgTldLG6k77HXaMQzaafODklYuucJZQNs_GAPEfZyY/edit?usp=sharing"",""เพชรบูรณ์!J288"")"),0)</f>
        <v>0</v>
      </c>
      <c r="W23" s="324">
        <f t="shared" ca="1" si="28"/>
        <v>0</v>
      </c>
      <c r="X23" s="323">
        <f ca="1">IFERROR(__xludf.DUMMYFUNCTION("IMPORTRANGE(""https://docs.google.com/spreadsheets/d/1GfgTldLG6k77HXaMQzaafODklYuucJZQNs_GAPEfZyY/edit?usp=sharing"",""เพชรบูรณ์!I290"")"),80)</f>
        <v>80</v>
      </c>
      <c r="Y23" s="323">
        <f ca="1">IFERROR(__xludf.DUMMYFUNCTION("IMPORTRANGE(""https://docs.google.com/spreadsheets/d/1GfgTldLG6k77HXaMQzaafODklYuucJZQNs_GAPEfZyY/edit?usp=sharing"",""เพชรบูรณ์!J290"")"),80)</f>
        <v>80</v>
      </c>
      <c r="Z23" s="324">
        <f t="shared" ca="1" si="29"/>
        <v>100</v>
      </c>
      <c r="AA23" s="323">
        <f ca="1">IFERROR(__xludf.DUMMYFUNCTION("IMPORTRANGE(""https://docs.google.com/spreadsheets/d/1GfgTldLG6k77HXaMQzaafODklYuucJZQNs_GAPEfZyY/edit?usp=sharing"",""เพชรบูรณ์!J291"")"),80)</f>
        <v>80</v>
      </c>
      <c r="AB23" s="324">
        <f t="shared" ca="1" si="15"/>
        <v>100</v>
      </c>
      <c r="AC23" s="323">
        <f ca="1">IFERROR(__xludf.DUMMYFUNCTION("IMPORTRANGE(""https://docs.google.com/spreadsheets/d/1GfgTldLG6k77HXaMQzaafODklYuucJZQNs_GAPEfZyY/edit?usp=sharing"",""เพชรบูรณ์!I293"")"),80)</f>
        <v>80</v>
      </c>
      <c r="AD23" s="323">
        <f ca="1">IFERROR(__xludf.DUMMYFUNCTION("IMPORTRANGE(""https://docs.google.com/spreadsheets/d/1GfgTldLG6k77HXaMQzaafODklYuucJZQNs_GAPEfZyY/edit?usp=sharing"",""เพชรบูรณ์!J293"")"),0)</f>
        <v>0</v>
      </c>
      <c r="AE23" s="324">
        <f t="shared" ca="1" si="30"/>
        <v>0</v>
      </c>
      <c r="AF23" s="323">
        <f ca="1">IFERROR(__xludf.DUMMYFUNCTION("IMPORTRANGE(""https://docs.google.com/spreadsheets/d/1GfgTldLG6k77HXaMQzaafODklYuucJZQNs_GAPEfZyY/edit?usp=sharing"",""เพชรบูรณ์!J294"")"),0)</f>
        <v>0</v>
      </c>
      <c r="AG23" s="324">
        <f t="shared" ca="1" si="18"/>
        <v>0</v>
      </c>
    </row>
    <row r="24" spans="1:33" ht="24" customHeight="1" x14ac:dyDescent="0.2">
      <c r="A24" s="78">
        <v>11</v>
      </c>
      <c r="B24" s="79" t="s">
        <v>46</v>
      </c>
      <c r="C24" s="80">
        <f t="shared" ca="1" si="0"/>
        <v>199610</v>
      </c>
      <c r="D24" s="81">
        <f t="shared" ca="1" si="37"/>
        <v>199610</v>
      </c>
      <c r="E24" s="82">
        <f ca="1">IFERROR(__xludf.DUMMYFUNCTION("IMPORTRANGE(""https://docs.google.com/spreadsheets/d/1MeEWN-I1oV_STSDYn1IFDPWt_1FKiwhDph83XaGc0o0/edit?usp=sharing"",""งบพรบ!DJ24"")"),158600)</f>
        <v>158600</v>
      </c>
      <c r="F24" s="82">
        <f ca="1">IFERROR(__xludf.DUMMYFUNCTION("IMPORTRANGE(""https://docs.google.com/spreadsheets/d/1MeEWN-I1oV_STSDYn1IFDPWt_1FKiwhDph83XaGc0o0/edit?usp=sharing"",""งบพรบ!DK24"")"),41010)</f>
        <v>41010</v>
      </c>
      <c r="G24" s="82">
        <f ca="1">IFERROR(__xludf.DUMMYFUNCTION("IMPORTRANGE(""https://docs.google.com/spreadsheets/d/1MeEWN-I1oV_STSDYn1IFDPWt_1FKiwhDph83XaGc0o0/edit?usp=sharing"",""งบพรบ!DL24"")"),0)</f>
        <v>0</v>
      </c>
      <c r="H24" s="82">
        <f ca="1">IFERROR(__xludf.DUMMYFUNCTION("IMPORTRANGE(""https://docs.google.com/spreadsheets/d/1MeEWN-I1oV_STSDYn1IFDPWt_1FKiwhDph83XaGc0o0/edit?usp=sharing"",""งบพรบ!DN24"")"),140900)</f>
        <v>140900</v>
      </c>
      <c r="I24" s="82">
        <f ca="1">IFERROR(__xludf.DUMMYFUNCTION("IMPORTRANGE(""https://docs.google.com/spreadsheets/d/1MeEWN-I1oV_STSDYn1IFDPWt_1FKiwhDph83XaGc0o0/edit?usp=sharing"",""งบพรบ!DO24"")"),0)</f>
        <v>0</v>
      </c>
      <c r="J24" s="82">
        <f t="shared" ca="1" si="3"/>
        <v>50252</v>
      </c>
      <c r="K24" s="83">
        <f t="shared" ca="1" si="4"/>
        <v>25.175091428285157</v>
      </c>
      <c r="L24" s="82">
        <f ca="1">IFERROR(__xludf.DUMMYFUNCTION("IMPORTRANGE(""https://docs.google.com/spreadsheets/d/1MeEWN-I1oV_STSDYn1IFDPWt_1FKiwhDph83XaGc0o0/edit?usp=sharing"",""งบพรบ!DP24"")"),50252)</f>
        <v>50252</v>
      </c>
      <c r="M24" s="84">
        <f t="shared" ca="1" si="5"/>
        <v>25.175091428285157</v>
      </c>
      <c r="N24" s="84">
        <f t="shared" ca="1" si="6"/>
        <v>35.66501064584812</v>
      </c>
      <c r="O24" s="85">
        <f ca="1">IFERROR(__xludf.DUMMYFUNCTION("IMPORTRANGE(""https://docs.google.com/spreadsheets/d/1MeEWN-I1oV_STSDYn1IFDPWt_1FKiwhDph83XaGc0o0/edit?usp=sharing"",""งบพรบ!DQ24"")"),0)</f>
        <v>0</v>
      </c>
      <c r="P24" s="85">
        <f t="shared" ca="1" si="32"/>
        <v>0</v>
      </c>
      <c r="Q24" s="84">
        <f t="shared" ca="1" si="8"/>
        <v>0</v>
      </c>
      <c r="R24" s="323">
        <f ca="1">IFERROR(__xludf.DUMMYFUNCTION("IMPORTRANGE(""https://docs.google.com/spreadsheets/d/1gvTMYAnm7v1yG1BKWFtr0DnaTsq59oW9dwWvFgq6hs0/edit?usp=sharing"",""แพร่!I287"")"),100)</f>
        <v>100</v>
      </c>
      <c r="S24" s="323">
        <f ca="1">IFERROR(__xludf.DUMMYFUNCTION("IMPORTRANGE(""https://docs.google.com/spreadsheets/d/1gvTMYAnm7v1yG1BKWFtr0DnaTsq59oW9dwWvFgq6hs0/edit?usp=sharing"",""แพร่!J287"")"),0)</f>
        <v>0</v>
      </c>
      <c r="T24" s="324">
        <f t="shared" ca="1" si="27"/>
        <v>0</v>
      </c>
      <c r="U24" s="323">
        <f ca="1">IFERROR(__xludf.DUMMYFUNCTION("IMPORTRANGE(""https://docs.google.com/spreadsheets/d/1gvTMYAnm7v1yG1BKWFtr0DnaTsq59oW9dwWvFgq6hs0/edit?usp=sharing"",""แพร่!I288"")"),10)</f>
        <v>10</v>
      </c>
      <c r="V24" s="323">
        <f ca="1">IFERROR(__xludf.DUMMYFUNCTION("IMPORTRANGE(""https://docs.google.com/spreadsheets/d/1gvTMYAnm7v1yG1BKWFtr0DnaTsq59oW9dwWvFgq6hs0/edit?usp=sharing"",""แพร่!J288"")"),0)</f>
        <v>0</v>
      </c>
      <c r="W24" s="324">
        <f t="shared" ca="1" si="28"/>
        <v>0</v>
      </c>
      <c r="X24" s="323">
        <f ca="1">IFERROR(__xludf.DUMMYFUNCTION("IMPORTRANGE(""https://docs.google.com/spreadsheets/d/1gvTMYAnm7v1yG1BKWFtr0DnaTsq59oW9dwWvFgq6hs0/edit?usp=sharing"",""แพร่!I290"")"),10)</f>
        <v>10</v>
      </c>
      <c r="Y24" s="323">
        <f ca="1">IFERROR(__xludf.DUMMYFUNCTION("IMPORTRANGE(""https://docs.google.com/spreadsheets/d/1gvTMYAnm7v1yG1BKWFtr0DnaTsq59oW9dwWvFgq6hs0/edit?usp=sharing"",""แพร่!J290"")"),0)</f>
        <v>0</v>
      </c>
      <c r="Z24" s="324">
        <f t="shared" ca="1" si="29"/>
        <v>0</v>
      </c>
      <c r="AA24" s="323">
        <f ca="1">IFERROR(__xludf.DUMMYFUNCTION("IMPORTRANGE(""https://docs.google.com/spreadsheets/d/1gvTMYAnm7v1yG1BKWFtr0DnaTsq59oW9dwWvFgq6hs0/edit?usp=sharing"",""แพร่!J291"")"),0)</f>
        <v>0</v>
      </c>
      <c r="AB24" s="324">
        <f t="shared" ca="1" si="15"/>
        <v>0</v>
      </c>
      <c r="AC24" s="323">
        <f ca="1">IFERROR(__xludf.DUMMYFUNCTION("IMPORTRANGE(""https://docs.google.com/spreadsheets/d/1gvTMYAnm7v1yG1BKWFtr0DnaTsq59oW9dwWvFgq6hs0/edit?usp=sharing"",""แพร่!I293"")"),10)</f>
        <v>10</v>
      </c>
      <c r="AD24" s="323">
        <f ca="1">IFERROR(__xludf.DUMMYFUNCTION("IMPORTRANGE(""https://docs.google.com/spreadsheets/d/1gvTMYAnm7v1yG1BKWFtr0DnaTsq59oW9dwWvFgq6hs0/edit?usp=sharing"",""แพร่!J293"")"),0)</f>
        <v>0</v>
      </c>
      <c r="AE24" s="324">
        <f t="shared" ca="1" si="30"/>
        <v>0</v>
      </c>
      <c r="AF24" s="323">
        <f ca="1">IFERROR(__xludf.DUMMYFUNCTION("IMPORTRANGE(""https://docs.google.com/spreadsheets/d/1gvTMYAnm7v1yG1BKWFtr0DnaTsq59oW9dwWvFgq6hs0/edit?usp=sharing"",""แพร่!J294"")"),0)</f>
        <v>0</v>
      </c>
      <c r="AG24" s="324">
        <f t="shared" ca="1" si="18"/>
        <v>0</v>
      </c>
    </row>
    <row r="25" spans="1:33" ht="24" customHeight="1" x14ac:dyDescent="0.2">
      <c r="A25" s="78">
        <v>12</v>
      </c>
      <c r="B25" s="79" t="s">
        <v>47</v>
      </c>
      <c r="C25" s="80">
        <f t="shared" ca="1" si="0"/>
        <v>0</v>
      </c>
      <c r="D25" s="81">
        <f t="shared" ca="1" si="37"/>
        <v>0</v>
      </c>
      <c r="E25" s="82">
        <f ca="1">IFERROR(__xludf.DUMMYFUNCTION("IMPORTRANGE(""https://docs.google.com/spreadsheets/d/1MeEWN-I1oV_STSDYn1IFDPWt_1FKiwhDph83XaGc0o0/edit?usp=sharing"",""งบพรบ!DJ25"")"),0)</f>
        <v>0</v>
      </c>
      <c r="F25" s="82">
        <f ca="1">IFERROR(__xludf.DUMMYFUNCTION("IMPORTRANGE(""https://docs.google.com/spreadsheets/d/1MeEWN-I1oV_STSDYn1IFDPWt_1FKiwhDph83XaGc0o0/edit?usp=sharing"",""งบพรบ!DK25"")"),0)</f>
        <v>0</v>
      </c>
      <c r="G25" s="82">
        <f ca="1">IFERROR(__xludf.DUMMYFUNCTION("IMPORTRANGE(""https://docs.google.com/spreadsheets/d/1MeEWN-I1oV_STSDYn1IFDPWt_1FKiwhDph83XaGc0o0/edit?usp=sharing"",""งบพรบ!DL25"")"),0)</f>
        <v>0</v>
      </c>
      <c r="H25" s="82">
        <f ca="1">IFERROR(__xludf.DUMMYFUNCTION("IMPORTRANGE(""https://docs.google.com/spreadsheets/d/1MeEWN-I1oV_STSDYn1IFDPWt_1FKiwhDph83XaGc0o0/edit?usp=sharing"",""งบพรบ!DN25"")"),0)</f>
        <v>0</v>
      </c>
      <c r="I25" s="82">
        <f ca="1">IFERROR(__xludf.DUMMYFUNCTION("IMPORTRANGE(""https://docs.google.com/spreadsheets/d/1MeEWN-I1oV_STSDYn1IFDPWt_1FKiwhDph83XaGc0o0/edit?usp=sharing"",""งบพรบ!DO25"")"),0)</f>
        <v>0</v>
      </c>
      <c r="J25" s="82">
        <f t="shared" ca="1" si="3"/>
        <v>0</v>
      </c>
      <c r="K25" s="83">
        <f t="shared" ca="1" si="4"/>
        <v>0</v>
      </c>
      <c r="L25" s="82">
        <f ca="1">IFERROR(__xludf.DUMMYFUNCTION("IMPORTRANGE(""https://docs.google.com/spreadsheets/d/1MeEWN-I1oV_STSDYn1IFDPWt_1FKiwhDph83XaGc0o0/edit?usp=sharing"",""งบพรบ!DP25"")"),0)</f>
        <v>0</v>
      </c>
      <c r="M25" s="84">
        <f t="shared" ca="1" si="5"/>
        <v>0</v>
      </c>
      <c r="N25" s="84">
        <f t="shared" ca="1" si="6"/>
        <v>0</v>
      </c>
      <c r="O25" s="85">
        <f ca="1">IFERROR(__xludf.DUMMYFUNCTION("IMPORTRANGE(""https://docs.google.com/spreadsheets/d/1MeEWN-I1oV_STSDYn1IFDPWt_1FKiwhDph83XaGc0o0/edit?usp=sharing"",""งบพรบ!DQ25"")"),0)</f>
        <v>0</v>
      </c>
      <c r="P25" s="85">
        <f t="shared" ca="1" si="32"/>
        <v>0</v>
      </c>
      <c r="Q25" s="84">
        <f t="shared" ca="1" si="8"/>
        <v>0</v>
      </c>
      <c r="R25" s="323">
        <f ca="1">IFERROR(__xludf.DUMMYFUNCTION("IMPORTRANGE(""https://docs.google.com/spreadsheets/d/1Wbcosgy-Xa1xXUArJSOenub6EfZHUSzc_bpJFWwQUf0/edit?usp=sharing"",""แม่ฮ่องสอน!I287"")"),0)</f>
        <v>0</v>
      </c>
      <c r="S25" s="323">
        <f ca="1">IFERROR(__xludf.DUMMYFUNCTION("IMPORTRANGE(""https://docs.google.com/spreadsheets/d/1Wbcosgy-Xa1xXUArJSOenub6EfZHUSzc_bpJFWwQUf0/edit?usp=sharing"",""แม่ฮ่องสอน!J287"")"),0)</f>
        <v>0</v>
      </c>
      <c r="T25" s="324">
        <f t="shared" ca="1" si="27"/>
        <v>0</v>
      </c>
      <c r="U25" s="323">
        <f ca="1">IFERROR(__xludf.DUMMYFUNCTION("IMPORTRANGE(""https://docs.google.com/spreadsheets/d/1Wbcosgy-Xa1xXUArJSOenub6EfZHUSzc_bpJFWwQUf0/edit?usp=sharing"",""แม่ฮ่องสอน!I288"")"),0)</f>
        <v>0</v>
      </c>
      <c r="V25" s="323">
        <f ca="1">IFERROR(__xludf.DUMMYFUNCTION("IMPORTRANGE(""https://docs.google.com/spreadsheets/d/1Wbcosgy-Xa1xXUArJSOenub6EfZHUSzc_bpJFWwQUf0/edit?usp=sharing"",""แม่ฮ่องสอน!J288"")"),0)</f>
        <v>0</v>
      </c>
      <c r="W25" s="324">
        <f t="shared" ca="1" si="28"/>
        <v>0</v>
      </c>
      <c r="X25" s="323">
        <f ca="1">IFERROR(__xludf.DUMMYFUNCTION("IMPORTRANGE(""https://docs.google.com/spreadsheets/d/1Wbcosgy-Xa1xXUArJSOenub6EfZHUSzc_bpJFWwQUf0/edit?usp=sharing"",""แม่ฮ่องสอน!I290"")"),0)</f>
        <v>0</v>
      </c>
      <c r="Y25" s="323">
        <f ca="1">IFERROR(__xludf.DUMMYFUNCTION("IMPORTRANGE(""https://docs.google.com/spreadsheets/d/1Wbcosgy-Xa1xXUArJSOenub6EfZHUSzc_bpJFWwQUf0/edit?usp=sharing"",""แม่ฮ่องสอน!J290"")"),0)</f>
        <v>0</v>
      </c>
      <c r="Z25" s="324">
        <f t="shared" ca="1" si="29"/>
        <v>0</v>
      </c>
      <c r="AA25" s="323">
        <f ca="1">IFERROR(__xludf.DUMMYFUNCTION("IMPORTRANGE(""https://docs.google.com/spreadsheets/d/1Wbcosgy-Xa1xXUArJSOenub6EfZHUSzc_bpJFWwQUf0/edit?usp=sharing"",""แม่ฮ่องสอน!J291"")"),0)</f>
        <v>0</v>
      </c>
      <c r="AB25" s="324">
        <f t="shared" ca="1" si="15"/>
        <v>0</v>
      </c>
      <c r="AC25" s="323">
        <f ca="1">IFERROR(__xludf.DUMMYFUNCTION("IMPORTRANGE(""https://docs.google.com/spreadsheets/d/1Wbcosgy-Xa1xXUArJSOenub6EfZHUSzc_bpJFWwQUf0/edit?usp=sharing"",""แม่ฮ่องสอน!I293"")"),0)</f>
        <v>0</v>
      </c>
      <c r="AD25" s="323">
        <f ca="1">IFERROR(__xludf.DUMMYFUNCTION("IMPORTRANGE(""https://docs.google.com/spreadsheets/d/1Wbcosgy-Xa1xXUArJSOenub6EfZHUSzc_bpJFWwQUf0/edit?usp=sharing"",""แม่ฮ่องสอน!J293"")"),0)</f>
        <v>0</v>
      </c>
      <c r="AE25" s="324">
        <f t="shared" ca="1" si="30"/>
        <v>0</v>
      </c>
      <c r="AF25" s="323">
        <f ca="1">IFERROR(__xludf.DUMMYFUNCTION("IMPORTRANGE(""https://docs.google.com/spreadsheets/d/1Wbcosgy-Xa1xXUArJSOenub6EfZHUSzc_bpJFWwQUf0/edit?usp=sharing"",""แม่ฮ่องสอน!J294"")"),0)</f>
        <v>0</v>
      </c>
      <c r="AG25" s="324">
        <f t="shared" ca="1" si="18"/>
        <v>0</v>
      </c>
    </row>
    <row r="26" spans="1:33" ht="24" customHeight="1" x14ac:dyDescent="0.2">
      <c r="A26" s="78">
        <v>13</v>
      </c>
      <c r="B26" s="79" t="s">
        <v>48</v>
      </c>
      <c r="C26" s="80">
        <f t="shared" ca="1" si="0"/>
        <v>413310</v>
      </c>
      <c r="D26" s="81">
        <f t="shared" ca="1" si="37"/>
        <v>413310</v>
      </c>
      <c r="E26" s="82">
        <f ca="1">IFERROR(__xludf.DUMMYFUNCTION("IMPORTRANGE(""https://docs.google.com/spreadsheets/d/1MeEWN-I1oV_STSDYn1IFDPWt_1FKiwhDph83XaGc0o0/edit?usp=sharing"",""งบพรบ!DJ26"")"),301600)</f>
        <v>301600</v>
      </c>
      <c r="F26" s="82">
        <f ca="1">IFERROR(__xludf.DUMMYFUNCTION("IMPORTRANGE(""https://docs.google.com/spreadsheets/d/1MeEWN-I1oV_STSDYn1IFDPWt_1FKiwhDph83XaGc0o0/edit?usp=sharing"",""งบพรบ!DK26"")"),111710)</f>
        <v>111710</v>
      </c>
      <c r="G26" s="82">
        <f ca="1">IFERROR(__xludf.DUMMYFUNCTION("IMPORTRANGE(""https://docs.google.com/spreadsheets/d/1MeEWN-I1oV_STSDYn1IFDPWt_1FKiwhDph83XaGc0o0/edit?usp=sharing"",""งบพรบ!DL26"")"),0)</f>
        <v>0</v>
      </c>
      <c r="H26" s="82">
        <f ca="1">IFERROR(__xludf.DUMMYFUNCTION("IMPORTRANGE(""https://docs.google.com/spreadsheets/d/1MeEWN-I1oV_STSDYn1IFDPWt_1FKiwhDph83XaGc0o0/edit?usp=sharing"",""งบพรบ!DN26"")"),277480)</f>
        <v>277480</v>
      </c>
      <c r="I26" s="82">
        <f ca="1">IFERROR(__xludf.DUMMYFUNCTION("IMPORTRANGE(""https://docs.google.com/spreadsheets/d/1MeEWN-I1oV_STSDYn1IFDPWt_1FKiwhDph83XaGc0o0/edit?usp=sharing"",""งบพรบ!DO26"")"),0)</f>
        <v>0</v>
      </c>
      <c r="J26" s="82">
        <f t="shared" ca="1" si="3"/>
        <v>107568.1</v>
      </c>
      <c r="K26" s="83">
        <f t="shared" ca="1" si="4"/>
        <v>26.026009532796206</v>
      </c>
      <c r="L26" s="82">
        <f ca="1">IFERROR(__xludf.DUMMYFUNCTION("IMPORTRANGE(""https://docs.google.com/spreadsheets/d/1MeEWN-I1oV_STSDYn1IFDPWt_1FKiwhDph83XaGc0o0/edit?usp=sharing"",""งบพรบ!DP26"")"),107568.1)</f>
        <v>107568.1</v>
      </c>
      <c r="M26" s="84">
        <f t="shared" ca="1" si="5"/>
        <v>26.026009532796206</v>
      </c>
      <c r="N26" s="84">
        <f t="shared" ca="1" si="6"/>
        <v>38.766073230503096</v>
      </c>
      <c r="O26" s="85">
        <f ca="1">IFERROR(__xludf.DUMMYFUNCTION("IMPORTRANGE(""https://docs.google.com/spreadsheets/d/1MeEWN-I1oV_STSDYn1IFDPWt_1FKiwhDph83XaGc0o0/edit?usp=sharing"",""งบพรบ!DQ26"")"),0)</f>
        <v>0</v>
      </c>
      <c r="P26" s="85">
        <f t="shared" ca="1" si="32"/>
        <v>0</v>
      </c>
      <c r="Q26" s="84">
        <f t="shared" ca="1" si="8"/>
        <v>0</v>
      </c>
      <c r="R26" s="323">
        <f ca="1">IFERROR(__xludf.DUMMYFUNCTION("IMPORTRANGE(""https://docs.google.com/spreadsheets/d/1p7ERhsr0qZeSn-KSOdeHS9r0heI-lHtkcn2OH7hP0jQ/edit?usp=sharing"",""ลำปาง!I287"")"),300)</f>
        <v>300</v>
      </c>
      <c r="S26" s="323">
        <f ca="1">IFERROR(__xludf.DUMMYFUNCTION("IMPORTRANGE(""https://docs.google.com/spreadsheets/d/1p7ERhsr0qZeSn-KSOdeHS9r0heI-lHtkcn2OH7hP0jQ/edit?usp=sharing"",""ลำปาง!J287"")"),300)</f>
        <v>300</v>
      </c>
      <c r="T26" s="324">
        <f t="shared" ca="1" si="27"/>
        <v>100</v>
      </c>
      <c r="U26" s="323">
        <f ca="1">IFERROR(__xludf.DUMMYFUNCTION("IMPORTRANGE(""https://docs.google.com/spreadsheets/d/1p7ERhsr0qZeSn-KSOdeHS9r0heI-lHtkcn2OH7hP0jQ/edit?usp=sharing"",""ลำปาง!I288"")"),30)</f>
        <v>30</v>
      </c>
      <c r="V26" s="323">
        <f ca="1">IFERROR(__xludf.DUMMYFUNCTION("IMPORTRANGE(""https://docs.google.com/spreadsheets/d/1p7ERhsr0qZeSn-KSOdeHS9r0heI-lHtkcn2OH7hP0jQ/edit?usp=sharing"",""ลำปาง!J288"")"),0)</f>
        <v>0</v>
      </c>
      <c r="W26" s="324">
        <f t="shared" ca="1" si="28"/>
        <v>0</v>
      </c>
      <c r="X26" s="323">
        <f ca="1">IFERROR(__xludf.DUMMYFUNCTION("IMPORTRANGE(""https://docs.google.com/spreadsheets/d/1p7ERhsr0qZeSn-KSOdeHS9r0heI-lHtkcn2OH7hP0jQ/edit?usp=sharing"",""ลำปาง!I290"")"),30)</f>
        <v>30</v>
      </c>
      <c r="Y26" s="323">
        <f ca="1">IFERROR(__xludf.DUMMYFUNCTION("IMPORTRANGE(""https://docs.google.com/spreadsheets/d/1p7ERhsr0qZeSn-KSOdeHS9r0heI-lHtkcn2OH7hP0jQ/edit?usp=sharing"",""ลำปาง!J290"")"),30)</f>
        <v>30</v>
      </c>
      <c r="Z26" s="324">
        <f t="shared" ca="1" si="29"/>
        <v>100</v>
      </c>
      <c r="AA26" s="323">
        <f ca="1">IFERROR(__xludf.DUMMYFUNCTION("IMPORTRANGE(""https://docs.google.com/spreadsheets/d/1p7ERhsr0qZeSn-KSOdeHS9r0heI-lHtkcn2OH7hP0jQ/edit?usp=sharing"",""ลำปาง!J291"")"),30)</f>
        <v>30</v>
      </c>
      <c r="AB26" s="324">
        <f t="shared" ca="1" si="15"/>
        <v>100</v>
      </c>
      <c r="AC26" s="323">
        <f ca="1">IFERROR(__xludf.DUMMYFUNCTION("IMPORTRANGE(""https://docs.google.com/spreadsheets/d/1p7ERhsr0qZeSn-KSOdeHS9r0heI-lHtkcn2OH7hP0jQ/edit?usp=sharing"",""ลำปาง!I293"")"),30)</f>
        <v>30</v>
      </c>
      <c r="AD26" s="323">
        <f ca="1">IFERROR(__xludf.DUMMYFUNCTION("IMPORTRANGE(""https://docs.google.com/spreadsheets/d/1p7ERhsr0qZeSn-KSOdeHS9r0heI-lHtkcn2OH7hP0jQ/edit?usp=sharing"",""ลำปาง!J293"")"),0)</f>
        <v>0</v>
      </c>
      <c r="AE26" s="324">
        <f t="shared" ca="1" si="30"/>
        <v>0</v>
      </c>
      <c r="AF26" s="323">
        <f ca="1">IFERROR(__xludf.DUMMYFUNCTION("IMPORTRANGE(""https://docs.google.com/spreadsheets/d/1p7ERhsr0qZeSn-KSOdeHS9r0heI-lHtkcn2OH7hP0jQ/edit?usp=sharing"",""ลำปาง!J294"")"),0)</f>
        <v>0</v>
      </c>
      <c r="AG26" s="324">
        <f t="shared" ca="1" si="18"/>
        <v>0</v>
      </c>
    </row>
    <row r="27" spans="1:33" ht="24" customHeight="1" x14ac:dyDescent="0.2">
      <c r="A27" s="78">
        <v>14</v>
      </c>
      <c r="B27" s="79" t="s">
        <v>49</v>
      </c>
      <c r="C27" s="80">
        <f t="shared" ca="1" si="0"/>
        <v>0</v>
      </c>
      <c r="D27" s="81">
        <f t="shared" ca="1" si="37"/>
        <v>0</v>
      </c>
      <c r="E27" s="82">
        <f ca="1">IFERROR(__xludf.DUMMYFUNCTION("IMPORTRANGE(""https://docs.google.com/spreadsheets/d/1MeEWN-I1oV_STSDYn1IFDPWt_1FKiwhDph83XaGc0o0/edit?usp=sharing"",""งบพรบ!DJ27"")"),0)</f>
        <v>0</v>
      </c>
      <c r="F27" s="82">
        <f ca="1">IFERROR(__xludf.DUMMYFUNCTION("IMPORTRANGE(""https://docs.google.com/spreadsheets/d/1MeEWN-I1oV_STSDYn1IFDPWt_1FKiwhDph83XaGc0o0/edit?usp=sharing"",""งบพรบ!DK27"")"),0)</f>
        <v>0</v>
      </c>
      <c r="G27" s="82">
        <f ca="1">IFERROR(__xludf.DUMMYFUNCTION("IMPORTRANGE(""https://docs.google.com/spreadsheets/d/1MeEWN-I1oV_STSDYn1IFDPWt_1FKiwhDph83XaGc0o0/edit?usp=sharing"",""งบพรบ!DL27"")"),0)</f>
        <v>0</v>
      </c>
      <c r="H27" s="82">
        <f ca="1">IFERROR(__xludf.DUMMYFUNCTION("IMPORTRANGE(""https://docs.google.com/spreadsheets/d/1MeEWN-I1oV_STSDYn1IFDPWt_1FKiwhDph83XaGc0o0/edit?usp=sharing"",""งบพรบ!DN27"")"),0)</f>
        <v>0</v>
      </c>
      <c r="I27" s="82">
        <f ca="1">IFERROR(__xludf.DUMMYFUNCTION("IMPORTRANGE(""https://docs.google.com/spreadsheets/d/1MeEWN-I1oV_STSDYn1IFDPWt_1FKiwhDph83XaGc0o0/edit?usp=sharing"",""งบพรบ!DO27"")"),0)</f>
        <v>0</v>
      </c>
      <c r="J27" s="82">
        <f t="shared" ca="1" si="3"/>
        <v>0</v>
      </c>
      <c r="K27" s="83">
        <f t="shared" ca="1" si="4"/>
        <v>0</v>
      </c>
      <c r="L27" s="82">
        <f ca="1">IFERROR(__xludf.DUMMYFUNCTION("IMPORTRANGE(""https://docs.google.com/spreadsheets/d/1MeEWN-I1oV_STSDYn1IFDPWt_1FKiwhDph83XaGc0o0/edit?usp=sharing"",""งบพรบ!DP27"")"),0)</f>
        <v>0</v>
      </c>
      <c r="M27" s="84">
        <f t="shared" ca="1" si="5"/>
        <v>0</v>
      </c>
      <c r="N27" s="84">
        <f t="shared" ca="1" si="6"/>
        <v>0</v>
      </c>
      <c r="O27" s="85">
        <f ca="1">IFERROR(__xludf.DUMMYFUNCTION("IMPORTRANGE(""https://docs.google.com/spreadsheets/d/1MeEWN-I1oV_STSDYn1IFDPWt_1FKiwhDph83XaGc0o0/edit?usp=sharing"",""งบพรบ!DQ27"")"),0)</f>
        <v>0</v>
      </c>
      <c r="P27" s="85">
        <f t="shared" ca="1" si="32"/>
        <v>0</v>
      </c>
      <c r="Q27" s="84">
        <f t="shared" ca="1" si="8"/>
        <v>0</v>
      </c>
      <c r="R27" s="323">
        <f ca="1">IFERROR(__xludf.DUMMYFUNCTION("IMPORTRANGE(""https://docs.google.com/spreadsheets/d/1-uUXvimVhiU2U0bMN-xi2te0tS4X7DI2GLPnMjzl8cA/edit?usp=sharing"",""ลำพูน!I287"")"),0)</f>
        <v>0</v>
      </c>
      <c r="S27" s="323">
        <f ca="1">IFERROR(__xludf.DUMMYFUNCTION("IMPORTRANGE(""https://docs.google.com/spreadsheets/d/1-uUXvimVhiU2U0bMN-xi2te0tS4X7DI2GLPnMjzl8cA/edit?usp=sharing"",""ลำพูน!J287"")"),0)</f>
        <v>0</v>
      </c>
      <c r="T27" s="324">
        <f t="shared" ca="1" si="27"/>
        <v>0</v>
      </c>
      <c r="U27" s="323">
        <f ca="1">IFERROR(__xludf.DUMMYFUNCTION("IMPORTRANGE(""https://docs.google.com/spreadsheets/d/1-uUXvimVhiU2U0bMN-xi2te0tS4X7DI2GLPnMjzl8cA/edit?usp=sharing"",""ลำพูน!I288"")"),0)</f>
        <v>0</v>
      </c>
      <c r="V27" s="323">
        <f ca="1">IFERROR(__xludf.DUMMYFUNCTION("IMPORTRANGE(""https://docs.google.com/spreadsheets/d/1-uUXvimVhiU2U0bMN-xi2te0tS4X7DI2GLPnMjzl8cA/edit?usp=sharing"",""ลำพูน!J288"")"),0)</f>
        <v>0</v>
      </c>
      <c r="W27" s="324">
        <f t="shared" ca="1" si="28"/>
        <v>0</v>
      </c>
      <c r="X27" s="323">
        <f ca="1">IFERROR(__xludf.DUMMYFUNCTION("IMPORTRANGE(""https://docs.google.com/spreadsheets/d/1-uUXvimVhiU2U0bMN-xi2te0tS4X7DI2GLPnMjzl8cA/edit?usp=sharing"",""ลำพูน!I290"")"),0)</f>
        <v>0</v>
      </c>
      <c r="Y27" s="323">
        <f ca="1">IFERROR(__xludf.DUMMYFUNCTION("IMPORTRANGE(""https://docs.google.com/spreadsheets/d/1-uUXvimVhiU2U0bMN-xi2te0tS4X7DI2GLPnMjzl8cA/edit?usp=sharing"",""ลำพูน!J290"")"),0)</f>
        <v>0</v>
      </c>
      <c r="Z27" s="324">
        <f t="shared" ca="1" si="29"/>
        <v>0</v>
      </c>
      <c r="AA27" s="323">
        <f ca="1">IFERROR(__xludf.DUMMYFUNCTION("IMPORTRANGE(""https://docs.google.com/spreadsheets/d/1-uUXvimVhiU2U0bMN-xi2te0tS4X7DI2GLPnMjzl8cA/edit?usp=sharing"",""ลำพูน!J291"")"),0)</f>
        <v>0</v>
      </c>
      <c r="AB27" s="324">
        <f t="shared" ca="1" si="15"/>
        <v>0</v>
      </c>
      <c r="AC27" s="323">
        <f ca="1">IFERROR(__xludf.DUMMYFUNCTION("IMPORTRANGE(""https://docs.google.com/spreadsheets/d/1-uUXvimVhiU2U0bMN-xi2te0tS4X7DI2GLPnMjzl8cA/edit?usp=sharing"",""ลำพูน!I293"")"),0)</f>
        <v>0</v>
      </c>
      <c r="AD27" s="323">
        <f ca="1">IFERROR(__xludf.DUMMYFUNCTION("IMPORTRANGE(""https://docs.google.com/spreadsheets/d/1-uUXvimVhiU2U0bMN-xi2te0tS4X7DI2GLPnMjzl8cA/edit?usp=sharing"",""ลำพูน!J293"")"),0)</f>
        <v>0</v>
      </c>
      <c r="AE27" s="324">
        <f t="shared" ca="1" si="30"/>
        <v>0</v>
      </c>
      <c r="AF27" s="323">
        <f ca="1">IFERROR(__xludf.DUMMYFUNCTION("IMPORTRANGE(""https://docs.google.com/spreadsheets/d/1-uUXvimVhiU2U0bMN-xi2te0tS4X7DI2GLPnMjzl8cA/edit?usp=sharing"",""ลำพูน!J294"")"),0)</f>
        <v>0</v>
      </c>
      <c r="AG27" s="324">
        <f t="shared" ca="1" si="18"/>
        <v>0</v>
      </c>
    </row>
    <row r="28" spans="1:33" ht="24" customHeight="1" x14ac:dyDescent="0.2">
      <c r="A28" s="78">
        <v>15</v>
      </c>
      <c r="B28" s="79" t="s">
        <v>50</v>
      </c>
      <c r="C28" s="80">
        <f t="shared" ca="1" si="0"/>
        <v>75640</v>
      </c>
      <c r="D28" s="81">
        <f t="shared" ca="1" si="37"/>
        <v>75640</v>
      </c>
      <c r="E28" s="82">
        <f ca="1">IFERROR(__xludf.DUMMYFUNCTION("IMPORTRANGE(""https://docs.google.com/spreadsheets/d/1MeEWN-I1oV_STSDYn1IFDPWt_1FKiwhDph83XaGc0o0/edit?usp=sharing"",""งบพรบ!DJ28"")"),0)</f>
        <v>0</v>
      </c>
      <c r="F28" s="82">
        <f ca="1">IFERROR(__xludf.DUMMYFUNCTION("IMPORTRANGE(""https://docs.google.com/spreadsheets/d/1MeEWN-I1oV_STSDYn1IFDPWt_1FKiwhDph83XaGc0o0/edit?usp=sharing"",""งบพรบ!DK28"")"),75640)</f>
        <v>75640</v>
      </c>
      <c r="G28" s="82">
        <f ca="1">IFERROR(__xludf.DUMMYFUNCTION("IMPORTRANGE(""https://docs.google.com/spreadsheets/d/1MeEWN-I1oV_STSDYn1IFDPWt_1FKiwhDph83XaGc0o0/edit?usp=sharing"",""งบพรบ!DL28"")"),0)</f>
        <v>0</v>
      </c>
      <c r="H28" s="82">
        <f ca="1">IFERROR(__xludf.DUMMYFUNCTION("IMPORTRANGE(""https://docs.google.com/spreadsheets/d/1MeEWN-I1oV_STSDYn1IFDPWt_1FKiwhDph83XaGc0o0/edit?usp=sharing"",""งบพรบ!DN28"")"),37520)</f>
        <v>37520</v>
      </c>
      <c r="I28" s="82">
        <f ca="1">IFERROR(__xludf.DUMMYFUNCTION("IMPORTRANGE(""https://docs.google.com/spreadsheets/d/1MeEWN-I1oV_STSDYn1IFDPWt_1FKiwhDph83XaGc0o0/edit?usp=sharing"",""งบพรบ!DO28"")"),0)</f>
        <v>0</v>
      </c>
      <c r="J28" s="82">
        <f t="shared" ca="1" si="3"/>
        <v>26150</v>
      </c>
      <c r="K28" s="83">
        <f t="shared" ca="1" si="4"/>
        <v>34.571655208884188</v>
      </c>
      <c r="L28" s="82">
        <f ca="1">IFERROR(__xludf.DUMMYFUNCTION("IMPORTRANGE(""https://docs.google.com/spreadsheets/d/1MeEWN-I1oV_STSDYn1IFDPWt_1FKiwhDph83XaGc0o0/edit?usp=sharing"",""งบพรบ!DP28"")"),26150)</f>
        <v>26150</v>
      </c>
      <c r="M28" s="84">
        <f t="shared" ca="1" si="5"/>
        <v>34.571655208884188</v>
      </c>
      <c r="N28" s="84">
        <f t="shared" ca="1" si="6"/>
        <v>69.696162046908313</v>
      </c>
      <c r="O28" s="85">
        <f ca="1">IFERROR(__xludf.DUMMYFUNCTION("IMPORTRANGE(""https://docs.google.com/spreadsheets/d/1MeEWN-I1oV_STSDYn1IFDPWt_1FKiwhDph83XaGc0o0/edit?usp=sharing"",""งบพรบ!DQ28"")"),0)</f>
        <v>0</v>
      </c>
      <c r="P28" s="85">
        <f t="shared" ca="1" si="32"/>
        <v>0</v>
      </c>
      <c r="Q28" s="84">
        <f t="shared" ca="1" si="8"/>
        <v>0</v>
      </c>
      <c r="R28" s="323">
        <f ca="1">IFERROR(__xludf.DUMMYFUNCTION("IMPORTRANGE(""https://docs.google.com/spreadsheets/d/17HrOaa5pBUI1onckFfumXB8xlg35qb2uBAFfF1D-Myo/edit?usp=sharing"",""สุโขทัย!I287"")"),200)</f>
        <v>200</v>
      </c>
      <c r="S28" s="323">
        <f ca="1">IFERROR(__xludf.DUMMYFUNCTION("IMPORTRANGE(""https://docs.google.com/spreadsheets/d/17HrOaa5pBUI1onckFfumXB8xlg35qb2uBAFfF1D-Myo/edit?usp=sharing"",""สุโขทัย!J287"")"),0)</f>
        <v>0</v>
      </c>
      <c r="T28" s="324">
        <f t="shared" ca="1" si="27"/>
        <v>0</v>
      </c>
      <c r="U28" s="323">
        <f ca="1">IFERROR(__xludf.DUMMYFUNCTION("IMPORTRANGE(""https://docs.google.com/spreadsheets/d/17HrOaa5pBUI1onckFfumXB8xlg35qb2uBAFfF1D-Myo/edit?usp=sharing"",""สุโขทัย!I288"")"),20)</f>
        <v>20</v>
      </c>
      <c r="V28" s="323">
        <f ca="1">IFERROR(__xludf.DUMMYFUNCTION("IMPORTRANGE(""https://docs.google.com/spreadsheets/d/17HrOaa5pBUI1onckFfumXB8xlg35qb2uBAFfF1D-Myo/edit?usp=sharing"",""สุโขทัย!J288"")"),20)</f>
        <v>20</v>
      </c>
      <c r="W28" s="324">
        <f t="shared" ca="1" si="28"/>
        <v>100</v>
      </c>
      <c r="X28" s="323">
        <f ca="1">IFERROR(__xludf.DUMMYFUNCTION("IMPORTRANGE(""https://docs.google.com/spreadsheets/d/17HrOaa5pBUI1onckFfumXB8xlg35qb2uBAFfF1D-Myo/edit?usp=sharing"",""สุโขทัย!I290"")"),20)</f>
        <v>20</v>
      </c>
      <c r="Y28" s="323">
        <f ca="1">IFERROR(__xludf.DUMMYFUNCTION("IMPORTRANGE(""https://docs.google.com/spreadsheets/d/17HrOaa5pBUI1onckFfumXB8xlg35qb2uBAFfF1D-Myo/edit?usp=sharing"",""สุโขทัย!J290"")"),20)</f>
        <v>20</v>
      </c>
      <c r="Z28" s="324">
        <f t="shared" ca="1" si="29"/>
        <v>100</v>
      </c>
      <c r="AA28" s="323">
        <f ca="1">IFERROR(__xludf.DUMMYFUNCTION("IMPORTRANGE(""https://docs.google.com/spreadsheets/d/17HrOaa5pBUI1onckFfumXB8xlg35qb2uBAFfF1D-Myo/edit?usp=sharing"",""สุโขทัย!J291"")"),20)</f>
        <v>20</v>
      </c>
      <c r="AB28" s="324">
        <f t="shared" ca="1" si="15"/>
        <v>100</v>
      </c>
      <c r="AC28" s="323">
        <f ca="1">IFERROR(__xludf.DUMMYFUNCTION("IMPORTRANGE(""https://docs.google.com/spreadsheets/d/17HrOaa5pBUI1onckFfumXB8xlg35qb2uBAFfF1D-Myo/edit?usp=sharing"",""สุโขทัย!I293"")"),20)</f>
        <v>20</v>
      </c>
      <c r="AD28" s="323">
        <f ca="1">IFERROR(__xludf.DUMMYFUNCTION("IMPORTRANGE(""https://docs.google.com/spreadsheets/d/17HrOaa5pBUI1onckFfumXB8xlg35qb2uBAFfF1D-Myo/edit?usp=sharing"",""สุโขทัย!J293"")"),20)</f>
        <v>20</v>
      </c>
      <c r="AE28" s="324">
        <f t="shared" ca="1" si="30"/>
        <v>100</v>
      </c>
      <c r="AF28" s="323">
        <f ca="1">IFERROR(__xludf.DUMMYFUNCTION("IMPORTRANGE(""https://docs.google.com/spreadsheets/d/17HrOaa5pBUI1onckFfumXB8xlg35qb2uBAFfF1D-Myo/edit?usp=sharing"",""สุโขทัย!J294"")"),20)</f>
        <v>20</v>
      </c>
      <c r="AG28" s="324">
        <f t="shared" ca="1" si="18"/>
        <v>100</v>
      </c>
    </row>
    <row r="29" spans="1:33" ht="24" customHeight="1" x14ac:dyDescent="0.2">
      <c r="A29" s="78">
        <v>16</v>
      </c>
      <c r="B29" s="79" t="s">
        <v>51</v>
      </c>
      <c r="C29" s="80">
        <f t="shared" ca="1" si="0"/>
        <v>262220</v>
      </c>
      <c r="D29" s="81">
        <f t="shared" ca="1" si="37"/>
        <v>262220</v>
      </c>
      <c r="E29" s="82">
        <f ca="1">IFERROR(__xludf.DUMMYFUNCTION("IMPORTRANGE(""https://docs.google.com/spreadsheets/d/1MeEWN-I1oV_STSDYn1IFDPWt_1FKiwhDph83XaGc0o0/edit?usp=sharing"",""งบพรบ!DJ29"")"),168200)</f>
        <v>168200</v>
      </c>
      <c r="F29" s="82">
        <f ca="1">IFERROR(__xludf.DUMMYFUNCTION("IMPORTRANGE(""https://docs.google.com/spreadsheets/d/1MeEWN-I1oV_STSDYn1IFDPWt_1FKiwhDph83XaGc0o0/edit?usp=sharing"",""งบพรบ!DK29"")"),94020)</f>
        <v>94020</v>
      </c>
      <c r="G29" s="82">
        <f ca="1">IFERROR(__xludf.DUMMYFUNCTION("IMPORTRANGE(""https://docs.google.com/spreadsheets/d/1MeEWN-I1oV_STSDYn1IFDPWt_1FKiwhDph83XaGc0o0/edit?usp=sharing"",""งบพรบ!DL29"")"),0)</f>
        <v>0</v>
      </c>
      <c r="H29" s="82">
        <f ca="1">IFERROR(__xludf.DUMMYFUNCTION("IMPORTRANGE(""https://docs.google.com/spreadsheets/d/1MeEWN-I1oV_STSDYn1IFDPWt_1FKiwhDph83XaGc0o0/edit?usp=sharing"",""งบพรบ!DN29"")"),172520)</f>
        <v>172520</v>
      </c>
      <c r="I29" s="82">
        <f ca="1">IFERROR(__xludf.DUMMYFUNCTION("IMPORTRANGE(""https://docs.google.com/spreadsheets/d/1MeEWN-I1oV_STSDYn1IFDPWt_1FKiwhDph83XaGc0o0/edit?usp=sharing"",""งบพรบ!DO29"")"),0)</f>
        <v>0</v>
      </c>
      <c r="J29" s="82">
        <f t="shared" ca="1" si="3"/>
        <v>123150.7</v>
      </c>
      <c r="K29" s="83">
        <f t="shared" ca="1" si="4"/>
        <v>46.964648005491568</v>
      </c>
      <c r="L29" s="82">
        <f ca="1">IFERROR(__xludf.DUMMYFUNCTION("IMPORTRANGE(""https://docs.google.com/spreadsheets/d/1MeEWN-I1oV_STSDYn1IFDPWt_1FKiwhDph83XaGc0o0/edit?usp=sharing"",""งบพรบ!DP29"")"),123150.7)</f>
        <v>123150.7</v>
      </c>
      <c r="M29" s="84">
        <f t="shared" ca="1" si="5"/>
        <v>46.964648005491568</v>
      </c>
      <c r="N29" s="84">
        <f t="shared" ca="1" si="6"/>
        <v>71.38343380477626</v>
      </c>
      <c r="O29" s="85">
        <f ca="1">IFERROR(__xludf.DUMMYFUNCTION("IMPORTRANGE(""https://docs.google.com/spreadsheets/d/1MeEWN-I1oV_STSDYn1IFDPWt_1FKiwhDph83XaGc0o0/edit?usp=sharing"",""งบพรบ!DQ29"")"),0)</f>
        <v>0</v>
      </c>
      <c r="P29" s="85">
        <f t="shared" ca="1" si="32"/>
        <v>0</v>
      </c>
      <c r="Q29" s="84">
        <f t="shared" ca="1" si="8"/>
        <v>0</v>
      </c>
      <c r="R29" s="323">
        <f ca="1">IFERROR(__xludf.DUMMYFUNCTION("IMPORTRANGE(""https://docs.google.com/spreadsheets/d/1ubs5cl16eYL9gHbdHTJtmtYb9MGzHBs7CAphn8kNCgM/edit?usp=sharing"",""อุตรดิตถ์!I287"")"),250)</f>
        <v>250</v>
      </c>
      <c r="S29" s="323">
        <f ca="1">IFERROR(__xludf.DUMMYFUNCTION("IMPORTRANGE(""https://docs.google.com/spreadsheets/d/1ubs5cl16eYL9gHbdHTJtmtYb9MGzHBs7CAphn8kNCgM/edit?usp=sharing"",""อุตรดิตถ์!J287"")"),0)</f>
        <v>0</v>
      </c>
      <c r="T29" s="324">
        <f t="shared" ca="1" si="27"/>
        <v>0</v>
      </c>
      <c r="U29" s="323">
        <f ca="1">IFERROR(__xludf.DUMMYFUNCTION("IMPORTRANGE(""https://docs.google.com/spreadsheets/d/1ubs5cl16eYL9gHbdHTJtmtYb9MGzHBs7CAphn8kNCgM/edit?usp=sharing"",""อุตรดิตถ์!I288"")"),25)</f>
        <v>25</v>
      </c>
      <c r="V29" s="323">
        <f ca="1">IFERROR(__xludf.DUMMYFUNCTION("IMPORTRANGE(""https://docs.google.com/spreadsheets/d/1ubs5cl16eYL9gHbdHTJtmtYb9MGzHBs7CAphn8kNCgM/edit?usp=sharing"",""อุตรดิตถ์!J288"")"),0)</f>
        <v>0</v>
      </c>
      <c r="W29" s="324">
        <f t="shared" ca="1" si="28"/>
        <v>0</v>
      </c>
      <c r="X29" s="323">
        <f ca="1">IFERROR(__xludf.DUMMYFUNCTION("IMPORTRANGE(""https://docs.google.com/spreadsheets/d/1ubs5cl16eYL9gHbdHTJtmtYb9MGzHBs7CAphn8kNCgM/edit?usp=sharing"",""อุตรดิตถ์!I290"")"),25)</f>
        <v>25</v>
      </c>
      <c r="Y29" s="323">
        <f ca="1">IFERROR(__xludf.DUMMYFUNCTION("IMPORTRANGE(""https://docs.google.com/spreadsheets/d/1ubs5cl16eYL9gHbdHTJtmtYb9MGzHBs7CAphn8kNCgM/edit?usp=sharing"",""อุตรดิตถ์!J290"")"),25)</f>
        <v>25</v>
      </c>
      <c r="Z29" s="324">
        <f t="shared" ca="1" si="29"/>
        <v>100</v>
      </c>
      <c r="AA29" s="323">
        <f ca="1">IFERROR(__xludf.DUMMYFUNCTION("IMPORTRANGE(""https://docs.google.com/spreadsheets/d/1ubs5cl16eYL9gHbdHTJtmtYb9MGzHBs7CAphn8kNCgM/edit?usp=sharing"",""อุตรดิตถ์!J291"")"),25)</f>
        <v>25</v>
      </c>
      <c r="AB29" s="324">
        <f t="shared" ca="1" si="15"/>
        <v>100</v>
      </c>
      <c r="AC29" s="323">
        <f ca="1">IFERROR(__xludf.DUMMYFUNCTION("IMPORTRANGE(""https://docs.google.com/spreadsheets/d/1ubs5cl16eYL9gHbdHTJtmtYb9MGzHBs7CAphn8kNCgM/edit?usp=sharing"",""อุตรดิตถ์!I293"")"),25)</f>
        <v>25</v>
      </c>
      <c r="AD29" s="323">
        <f ca="1">IFERROR(__xludf.DUMMYFUNCTION("IMPORTRANGE(""https://docs.google.com/spreadsheets/d/1ubs5cl16eYL9gHbdHTJtmtYb9MGzHBs7CAphn8kNCgM/edit?usp=sharing"",""อุตรดิตถ์!J293"")"),0)</f>
        <v>0</v>
      </c>
      <c r="AE29" s="324">
        <f t="shared" ca="1" si="30"/>
        <v>0</v>
      </c>
      <c r="AF29" s="323">
        <f ca="1">IFERROR(__xludf.DUMMYFUNCTION("IMPORTRANGE(""https://docs.google.com/spreadsheets/d/1ubs5cl16eYL9gHbdHTJtmtYb9MGzHBs7CAphn8kNCgM/edit?usp=sharing"",""อุตรดิตถ์!J294"")"),0)</f>
        <v>0</v>
      </c>
      <c r="AG29" s="324">
        <f t="shared" ca="1" si="18"/>
        <v>0</v>
      </c>
    </row>
    <row r="30" spans="1:33" ht="24" customHeight="1" x14ac:dyDescent="0.2">
      <c r="A30" s="89">
        <v>17</v>
      </c>
      <c r="B30" s="90" t="s">
        <v>52</v>
      </c>
      <c r="C30" s="91">
        <f t="shared" ca="1" si="0"/>
        <v>229340</v>
      </c>
      <c r="D30" s="92">
        <f t="shared" ca="1" si="37"/>
        <v>229340</v>
      </c>
      <c r="E30" s="93">
        <f ca="1">IFERROR(__xludf.DUMMYFUNCTION("IMPORTRANGE(""https://docs.google.com/spreadsheets/d/1MeEWN-I1oV_STSDYn1IFDPWt_1FKiwhDph83XaGc0o0/edit?usp=sharing"",""งบพรบ!DJ30"")"),153700)</f>
        <v>153700</v>
      </c>
      <c r="F30" s="93">
        <f ca="1">IFERROR(__xludf.DUMMYFUNCTION("IMPORTRANGE(""https://docs.google.com/spreadsheets/d/1MeEWN-I1oV_STSDYn1IFDPWt_1FKiwhDph83XaGc0o0/edit?usp=sharing"",""งบพรบ!DK30"")"),75640)</f>
        <v>75640</v>
      </c>
      <c r="G30" s="93">
        <f ca="1">IFERROR(__xludf.DUMMYFUNCTION("IMPORTRANGE(""https://docs.google.com/spreadsheets/d/1MeEWN-I1oV_STSDYn1IFDPWt_1FKiwhDph83XaGc0o0/edit?usp=sharing"",""งบพรบ!DL30"")"),0)</f>
        <v>0</v>
      </c>
      <c r="H30" s="93">
        <f ca="1">IFERROR(__xludf.DUMMYFUNCTION("IMPORTRANGE(""https://docs.google.com/spreadsheets/d/1MeEWN-I1oV_STSDYn1IFDPWt_1FKiwhDph83XaGc0o0/edit?usp=sharing"",""งบพรบ!DN30"")"),152770)</f>
        <v>152770</v>
      </c>
      <c r="I30" s="93">
        <f ca="1">IFERROR(__xludf.DUMMYFUNCTION("IMPORTRANGE(""https://docs.google.com/spreadsheets/d/1MeEWN-I1oV_STSDYn1IFDPWt_1FKiwhDph83XaGc0o0/edit?usp=sharing"",""งบพรบ!DO30"")"),0)</f>
        <v>0</v>
      </c>
      <c r="J30" s="93">
        <f t="shared" ca="1" si="3"/>
        <v>83773.259999999995</v>
      </c>
      <c r="K30" s="94">
        <f t="shared" ca="1" si="4"/>
        <v>36.527975930932236</v>
      </c>
      <c r="L30" s="93">
        <f ca="1">IFERROR(__xludf.DUMMYFUNCTION("IMPORTRANGE(""https://docs.google.com/spreadsheets/d/1MeEWN-I1oV_STSDYn1IFDPWt_1FKiwhDph83XaGc0o0/edit?usp=sharing"",""งบพรบ!DP30"")"),83773.26)</f>
        <v>83773.259999999995</v>
      </c>
      <c r="M30" s="95">
        <f t="shared" ca="1" si="5"/>
        <v>36.527975930932236</v>
      </c>
      <c r="N30" s="95">
        <f t="shared" ca="1" si="6"/>
        <v>54.836198206454142</v>
      </c>
      <c r="O30" s="96">
        <f ca="1">IFERROR(__xludf.DUMMYFUNCTION("IMPORTRANGE(""https://docs.google.com/spreadsheets/d/1MeEWN-I1oV_STSDYn1IFDPWt_1FKiwhDph83XaGc0o0/edit?usp=sharing"",""งบพรบ!DQ30"")"),0)</f>
        <v>0</v>
      </c>
      <c r="P30" s="96">
        <f t="shared" ca="1" si="32"/>
        <v>0</v>
      </c>
      <c r="Q30" s="95">
        <f t="shared" ca="1" si="8"/>
        <v>0</v>
      </c>
      <c r="R30" s="325">
        <f ca="1">IFERROR(__xludf.DUMMYFUNCTION("IMPORTRANGE(""https://docs.google.com/spreadsheets/d/1kII0BjS6CtVrBvI8IrytgPdxDrlyQDyigzMsohRtDMs/edit?usp=sharing"",""อุทัยธานี!I287"")"),200)</f>
        <v>200</v>
      </c>
      <c r="S30" s="325">
        <f ca="1">IFERROR(__xludf.DUMMYFUNCTION("IMPORTRANGE(""https://docs.google.com/spreadsheets/d/1kII0BjS6CtVrBvI8IrytgPdxDrlyQDyigzMsohRtDMs/edit?usp=sharing"",""อุทัยธานี!J287"")"),200)</f>
        <v>200</v>
      </c>
      <c r="T30" s="326">
        <f t="shared" ca="1" si="27"/>
        <v>100</v>
      </c>
      <c r="U30" s="325">
        <f ca="1">IFERROR(__xludf.DUMMYFUNCTION("IMPORTRANGE(""https://docs.google.com/spreadsheets/d/1kII0BjS6CtVrBvI8IrytgPdxDrlyQDyigzMsohRtDMs/edit?usp=sharing"",""อุทัยธานี!I288"")"),20)</f>
        <v>20</v>
      </c>
      <c r="V30" s="325">
        <f ca="1">IFERROR(__xludf.DUMMYFUNCTION("IMPORTRANGE(""https://docs.google.com/spreadsheets/d/1kII0BjS6CtVrBvI8IrytgPdxDrlyQDyigzMsohRtDMs/edit?usp=sharing"",""อุทัยธานี!J288"")"),0)</f>
        <v>0</v>
      </c>
      <c r="W30" s="326">
        <f t="shared" ca="1" si="28"/>
        <v>0</v>
      </c>
      <c r="X30" s="325">
        <f ca="1">IFERROR(__xludf.DUMMYFUNCTION("IMPORTRANGE(""https://docs.google.com/spreadsheets/d/1kII0BjS6CtVrBvI8IrytgPdxDrlyQDyigzMsohRtDMs/edit?usp=sharing"",""อุทัยธานี!I290"")"),20)</f>
        <v>20</v>
      </c>
      <c r="Y30" s="325">
        <f ca="1">IFERROR(__xludf.DUMMYFUNCTION("IMPORTRANGE(""https://docs.google.com/spreadsheets/d/1kII0BjS6CtVrBvI8IrytgPdxDrlyQDyigzMsohRtDMs/edit?usp=sharing"",""อุทัยธานี!J290"")"),20)</f>
        <v>20</v>
      </c>
      <c r="Z30" s="326">
        <f t="shared" ca="1" si="29"/>
        <v>100</v>
      </c>
      <c r="AA30" s="325">
        <f ca="1">IFERROR(__xludf.DUMMYFUNCTION("IMPORTRANGE(""https://docs.google.com/spreadsheets/d/1kII0BjS6CtVrBvI8IrytgPdxDrlyQDyigzMsohRtDMs/edit?usp=sharing"",""อุทัยธานี!J291"")"),20)</f>
        <v>20</v>
      </c>
      <c r="AB30" s="326">
        <f t="shared" ca="1" si="15"/>
        <v>100</v>
      </c>
      <c r="AC30" s="325">
        <f ca="1">IFERROR(__xludf.DUMMYFUNCTION("IMPORTRANGE(""https://docs.google.com/spreadsheets/d/1kII0BjS6CtVrBvI8IrytgPdxDrlyQDyigzMsohRtDMs/edit?usp=sharing"",""อุทัยธานี!I293"")"),20)</f>
        <v>20</v>
      </c>
      <c r="AD30" s="325">
        <f ca="1">IFERROR(__xludf.DUMMYFUNCTION("IMPORTRANGE(""https://docs.google.com/spreadsheets/d/1kII0BjS6CtVrBvI8IrytgPdxDrlyQDyigzMsohRtDMs/edit?usp=sharing"",""อุทัยธานี!J293"")"),0)</f>
        <v>0</v>
      </c>
      <c r="AE30" s="326">
        <f t="shared" ca="1" si="30"/>
        <v>0</v>
      </c>
      <c r="AF30" s="325">
        <f ca="1">IFERROR(__xludf.DUMMYFUNCTION("IMPORTRANGE(""https://docs.google.com/spreadsheets/d/1kII0BjS6CtVrBvI8IrytgPdxDrlyQDyigzMsohRtDMs/edit?usp=sharing"",""อุทัยธานี!J294"")"),0)</f>
        <v>0</v>
      </c>
      <c r="AG30" s="326">
        <f t="shared" ca="1" si="18"/>
        <v>0</v>
      </c>
    </row>
    <row r="31" spans="1:33" ht="21" customHeight="1" x14ac:dyDescent="0.2">
      <c r="A31" s="378" t="s">
        <v>53</v>
      </c>
      <c r="B31" s="379"/>
      <c r="C31" s="99">
        <f t="shared" ca="1" si="0"/>
        <v>2743610</v>
      </c>
      <c r="D31" s="62">
        <f t="shared" ref="D31:I31" ca="1" si="38">SUM(D32:D51)</f>
        <v>2743610</v>
      </c>
      <c r="E31" s="62">
        <f t="shared" ca="1" si="38"/>
        <v>1110400</v>
      </c>
      <c r="F31" s="62">
        <f t="shared" ca="1" si="38"/>
        <v>1633210</v>
      </c>
      <c r="G31" s="62">
        <f t="shared" ca="1" si="38"/>
        <v>0</v>
      </c>
      <c r="H31" s="62">
        <f t="shared" ca="1" si="38"/>
        <v>1639980</v>
      </c>
      <c r="I31" s="62">
        <f t="shared" ca="1" si="38"/>
        <v>0</v>
      </c>
      <c r="J31" s="62">
        <f t="shared" ca="1" si="3"/>
        <v>923659.57000000007</v>
      </c>
      <c r="K31" s="100">
        <f t="shared" ca="1" si="4"/>
        <v>33.665847915702308</v>
      </c>
      <c r="L31" s="62">
        <f ca="1">SUM(L32:L51)</f>
        <v>923659.57000000007</v>
      </c>
      <c r="M31" s="101">
        <f t="shared" ca="1" si="5"/>
        <v>33.665847915702308</v>
      </c>
      <c r="N31" s="101">
        <f t="shared" ca="1" si="6"/>
        <v>56.321392334052852</v>
      </c>
      <c r="O31" s="102">
        <f ca="1">SUM(O32:O51)</f>
        <v>0</v>
      </c>
      <c r="P31" s="102">
        <f t="shared" ca="1" si="32"/>
        <v>0</v>
      </c>
      <c r="Q31" s="101">
        <f t="shared" ca="1" si="8"/>
        <v>0</v>
      </c>
      <c r="R31" s="327">
        <f t="shared" ref="R31:S31" ca="1" si="39">SUM(R32:R51)</f>
        <v>4350</v>
      </c>
      <c r="S31" s="327">
        <f t="shared" ca="1" si="39"/>
        <v>2200</v>
      </c>
      <c r="T31" s="328">
        <f t="shared" ca="1" si="27"/>
        <v>50.574712643678161</v>
      </c>
      <c r="U31" s="327">
        <f t="shared" ref="U31:V31" ca="1" si="40">SUM(U32:U51)</f>
        <v>435</v>
      </c>
      <c r="V31" s="327">
        <f t="shared" ca="1" si="40"/>
        <v>55</v>
      </c>
      <c r="W31" s="328">
        <f t="shared" ca="1" si="28"/>
        <v>12.64367816091954</v>
      </c>
      <c r="X31" s="327">
        <f t="shared" ref="X31:Y31" ca="1" si="41">SUM(X32:X51)</f>
        <v>435</v>
      </c>
      <c r="Y31" s="327">
        <f t="shared" ca="1" si="41"/>
        <v>340</v>
      </c>
      <c r="Z31" s="328">
        <f t="shared" ca="1" si="29"/>
        <v>78.160919540229884</v>
      </c>
      <c r="AA31" s="327">
        <f ca="1">SUM(AA32:AA51)</f>
        <v>310</v>
      </c>
      <c r="AB31" s="328">
        <f t="shared" ca="1" si="15"/>
        <v>71.264367816091948</v>
      </c>
      <c r="AC31" s="327">
        <f t="shared" ref="AC31:AD31" ca="1" si="42">SUM(AC32:AC51)</f>
        <v>435</v>
      </c>
      <c r="AD31" s="327">
        <f t="shared" ca="1" si="42"/>
        <v>55</v>
      </c>
      <c r="AE31" s="328">
        <f t="shared" ca="1" si="30"/>
        <v>12.64367816091954</v>
      </c>
      <c r="AF31" s="327">
        <f ca="1">SUM(AF32:AF51)</f>
        <v>55</v>
      </c>
      <c r="AG31" s="328">
        <f t="shared" ca="1" si="18"/>
        <v>12.64367816091954</v>
      </c>
    </row>
    <row r="32" spans="1:33" ht="21" customHeight="1" x14ac:dyDescent="0.2">
      <c r="A32" s="68">
        <v>1</v>
      </c>
      <c r="B32" s="69" t="s">
        <v>54</v>
      </c>
      <c r="C32" s="103">
        <f t="shared" ca="1" si="0"/>
        <v>259920</v>
      </c>
      <c r="D32" s="71">
        <f t="shared" ref="D32:D51" ca="1" si="43">+E32+F32</f>
        <v>259920</v>
      </c>
      <c r="E32" s="72">
        <f ca="1">IFERROR(__xludf.DUMMYFUNCTION("IMPORTRANGE(""https://docs.google.com/spreadsheets/d/1MeEWN-I1oV_STSDYn1IFDPWt_1FKiwhDph83XaGc0o0/edit?usp=sharing"",""งบพรบ!DJ32"")"),165900)</f>
        <v>165900</v>
      </c>
      <c r="F32" s="72">
        <f ca="1">IFERROR(__xludf.DUMMYFUNCTION("IMPORTRANGE(""https://docs.google.com/spreadsheets/d/1MeEWN-I1oV_STSDYn1IFDPWt_1FKiwhDph83XaGc0o0/edit?usp=sharing"",""งบพรบ!DK32"")"),94020)</f>
        <v>94020</v>
      </c>
      <c r="G32" s="73">
        <f ca="1">IFERROR(__xludf.DUMMYFUNCTION("IMPORTRANGE(""https://docs.google.com/spreadsheets/d/1MeEWN-I1oV_STSDYn1IFDPWt_1FKiwhDph83XaGc0o0/edit?usp=sharing"",""งบพรบ!DL32"")"),0)</f>
        <v>0</v>
      </c>
      <c r="H32" s="73">
        <f ca="1">IFERROR(__xludf.DUMMYFUNCTION("IMPORTRANGE(""https://docs.google.com/spreadsheets/d/1MeEWN-I1oV_STSDYn1IFDPWt_1FKiwhDph83XaGc0o0/edit?usp=sharing"",""งบพรบ!DN32"")"),170820)</f>
        <v>170820</v>
      </c>
      <c r="I32" s="73">
        <f ca="1">IFERROR(__xludf.DUMMYFUNCTION("IMPORTRANGE(""https://docs.google.com/spreadsheets/d/1MeEWN-I1oV_STSDYn1IFDPWt_1FKiwhDph83XaGc0o0/edit?usp=sharing"",""งบพรบ!DO32"")"),0)</f>
        <v>0</v>
      </c>
      <c r="J32" s="73">
        <f t="shared" ca="1" si="3"/>
        <v>77191.23</v>
      </c>
      <c r="K32" s="74">
        <f t="shared" ca="1" si="4"/>
        <v>29.69807248384118</v>
      </c>
      <c r="L32" s="73">
        <f ca="1">IFERROR(__xludf.DUMMYFUNCTION("IMPORTRANGE(""https://docs.google.com/spreadsheets/d/1MeEWN-I1oV_STSDYn1IFDPWt_1FKiwhDph83XaGc0o0/edit?usp=sharing"",""งบพรบ!DP32"")"),77191.23)</f>
        <v>77191.23</v>
      </c>
      <c r="M32" s="75">
        <f t="shared" ca="1" si="5"/>
        <v>29.69807248384118</v>
      </c>
      <c r="N32" s="75">
        <f t="shared" ca="1" si="6"/>
        <v>45.188637161924831</v>
      </c>
      <c r="O32" s="76">
        <f ca="1">IFERROR(__xludf.DUMMYFUNCTION("IMPORTRANGE(""https://docs.google.com/spreadsheets/d/1MeEWN-I1oV_STSDYn1IFDPWt_1FKiwhDph83XaGc0o0/edit?usp=sharing"",""งบพรบ!DQ32"")"),0)</f>
        <v>0</v>
      </c>
      <c r="P32" s="76">
        <f t="shared" ca="1" si="32"/>
        <v>0</v>
      </c>
      <c r="Q32" s="75">
        <f t="shared" ca="1" si="8"/>
        <v>0</v>
      </c>
      <c r="R32" s="321">
        <f ca="1">IFERROR(__xludf.DUMMYFUNCTION("IMPORTRANGE(""https://docs.google.com/spreadsheets/d/1fb2B9NLcpJgjIieIJvenUTNPn0TimZDUi0OtYeiSQ_s/edit?usp=sharing"",""กาฬสินธุ์!I287"")"),250)</f>
        <v>250</v>
      </c>
      <c r="S32" s="321">
        <f ca="1">IFERROR(__xludf.DUMMYFUNCTION("IMPORTRANGE(""https://docs.google.com/spreadsheets/d/1fb2B9NLcpJgjIieIJvenUTNPn0TimZDUi0OtYeiSQ_s/edit?usp=sharing"",""กาฬสินธุ์!J287"")"),0)</f>
        <v>0</v>
      </c>
      <c r="T32" s="322">
        <f t="shared" ca="1" si="27"/>
        <v>0</v>
      </c>
      <c r="U32" s="321">
        <f ca="1">IFERROR(__xludf.DUMMYFUNCTION("IMPORTRANGE(""https://docs.google.com/spreadsheets/d/1fb2B9NLcpJgjIieIJvenUTNPn0TimZDUi0OtYeiSQ_s/edit?usp=sharing"",""กาฬสินธุ์!I288"")"),25)</f>
        <v>25</v>
      </c>
      <c r="V32" s="321">
        <f ca="1">IFERROR(__xludf.DUMMYFUNCTION("IMPORTRANGE(""https://docs.google.com/spreadsheets/d/1fb2B9NLcpJgjIieIJvenUTNPn0TimZDUi0OtYeiSQ_s/edit?usp=sharing"",""กาฬสินธุ์!J288"")"),0)</f>
        <v>0</v>
      </c>
      <c r="W32" s="322">
        <f t="shared" ca="1" si="28"/>
        <v>0</v>
      </c>
      <c r="X32" s="321">
        <f ca="1">IFERROR(__xludf.DUMMYFUNCTION("IMPORTRANGE(""https://docs.google.com/spreadsheets/d/1fb2B9NLcpJgjIieIJvenUTNPn0TimZDUi0OtYeiSQ_s/edit?usp=sharing"",""กาฬสินธุ์!I290"")"),25)</f>
        <v>25</v>
      </c>
      <c r="Y32" s="321">
        <f ca="1">IFERROR(__xludf.DUMMYFUNCTION("IMPORTRANGE(""https://docs.google.com/spreadsheets/d/1fb2B9NLcpJgjIieIJvenUTNPn0TimZDUi0OtYeiSQ_s/edit?usp=sharing"",""กาฬสินธุ์!J290"")"),0)</f>
        <v>0</v>
      </c>
      <c r="Z32" s="322">
        <f t="shared" ca="1" si="29"/>
        <v>0</v>
      </c>
      <c r="AA32" s="321">
        <f ca="1">IFERROR(__xludf.DUMMYFUNCTION("IMPORTRANGE(""https://docs.google.com/spreadsheets/d/1fb2B9NLcpJgjIieIJvenUTNPn0TimZDUi0OtYeiSQ_s/edit?usp=sharing"",""กาฬสินธุ์!J291"")"),0)</f>
        <v>0</v>
      </c>
      <c r="AB32" s="322">
        <f t="shared" ca="1" si="15"/>
        <v>0</v>
      </c>
      <c r="AC32" s="321">
        <f ca="1">IFERROR(__xludf.DUMMYFUNCTION("IMPORTRANGE(""https://docs.google.com/spreadsheets/d/1fb2B9NLcpJgjIieIJvenUTNPn0TimZDUi0OtYeiSQ_s/edit?usp=sharing"",""กาฬสินธุ์!I293"")"),25)</f>
        <v>25</v>
      </c>
      <c r="AD32" s="321">
        <f ca="1">IFERROR(__xludf.DUMMYFUNCTION("IMPORTRANGE(""https://docs.google.com/spreadsheets/d/1fb2B9NLcpJgjIieIJvenUTNPn0TimZDUi0OtYeiSQ_s/edit?usp=sharing"",""กาฬสินธุ์!J293"")"),0)</f>
        <v>0</v>
      </c>
      <c r="AE32" s="322">
        <f t="shared" ca="1" si="30"/>
        <v>0</v>
      </c>
      <c r="AF32" s="321">
        <f ca="1">IFERROR(__xludf.DUMMYFUNCTION("IMPORTRANGE(""https://docs.google.com/spreadsheets/d/1fb2B9NLcpJgjIieIJvenUTNPn0TimZDUi0OtYeiSQ_s/edit?usp=sharing"",""กาฬสินธุ์!J294"")"),0)</f>
        <v>0</v>
      </c>
      <c r="AG32" s="322">
        <f t="shared" ca="1" si="18"/>
        <v>0</v>
      </c>
    </row>
    <row r="33" spans="1:33" ht="21" customHeight="1" x14ac:dyDescent="0.2">
      <c r="A33" s="78">
        <v>2</v>
      </c>
      <c r="B33" s="79" t="s">
        <v>55</v>
      </c>
      <c r="C33" s="80">
        <f t="shared" ca="1" si="0"/>
        <v>288310</v>
      </c>
      <c r="D33" s="81">
        <f t="shared" ca="1" si="43"/>
        <v>288310</v>
      </c>
      <c r="E33" s="82">
        <f ca="1">IFERROR(__xludf.DUMMYFUNCTION("IMPORTRANGE(""https://docs.google.com/spreadsheets/d/1MeEWN-I1oV_STSDYn1IFDPWt_1FKiwhDph83XaGc0o0/edit?usp=sharing"",""งบพรบ!DJ33"")"),176600)</f>
        <v>176600</v>
      </c>
      <c r="F33" s="82">
        <f ca="1">IFERROR(__xludf.DUMMYFUNCTION("IMPORTRANGE(""https://docs.google.com/spreadsheets/d/1MeEWN-I1oV_STSDYn1IFDPWt_1FKiwhDph83XaGc0o0/edit?usp=sharing"",""งบพรบ!DK33"")"),111710)</f>
        <v>111710</v>
      </c>
      <c r="G33" s="82">
        <f ca="1">IFERROR(__xludf.DUMMYFUNCTION("IMPORTRANGE(""https://docs.google.com/spreadsheets/d/1MeEWN-I1oV_STSDYn1IFDPWt_1FKiwhDph83XaGc0o0/edit?usp=sharing"",""งบพรบ!DL33"")"),0)</f>
        <v>0</v>
      </c>
      <c r="H33" s="82">
        <f ca="1">IFERROR(__xludf.DUMMYFUNCTION("IMPORTRANGE(""https://docs.google.com/spreadsheets/d/1MeEWN-I1oV_STSDYn1IFDPWt_1FKiwhDph83XaGc0o0/edit?usp=sharing"",""งบพรบ!DN33"")"),186980)</f>
        <v>186980</v>
      </c>
      <c r="I33" s="82">
        <f ca="1">IFERROR(__xludf.DUMMYFUNCTION("IMPORTRANGE(""https://docs.google.com/spreadsheets/d/1MeEWN-I1oV_STSDYn1IFDPWt_1FKiwhDph83XaGc0o0/edit?usp=sharing"",""งบพรบ!DO33"")"),0)</f>
        <v>0</v>
      </c>
      <c r="J33" s="82">
        <f t="shared" ca="1" si="3"/>
        <v>145989.4</v>
      </c>
      <c r="K33" s="83">
        <f t="shared" ca="1" si="4"/>
        <v>50.636259581700251</v>
      </c>
      <c r="L33" s="82">
        <f ca="1">IFERROR(__xludf.DUMMYFUNCTION("IMPORTRANGE(""https://docs.google.com/spreadsheets/d/1MeEWN-I1oV_STSDYn1IFDPWt_1FKiwhDph83XaGc0o0/edit?usp=sharing"",""งบพรบ!DP33"")"),145989.4)</f>
        <v>145989.4</v>
      </c>
      <c r="M33" s="84">
        <f t="shared" ca="1" si="5"/>
        <v>50.636259581700251</v>
      </c>
      <c r="N33" s="84">
        <f t="shared" ca="1" si="6"/>
        <v>78.077548400898493</v>
      </c>
      <c r="O33" s="85">
        <f ca="1">IFERROR(__xludf.DUMMYFUNCTION("IMPORTRANGE(""https://docs.google.com/spreadsheets/d/1MeEWN-I1oV_STSDYn1IFDPWt_1FKiwhDph83XaGc0o0/edit?usp=sharing"",""งบพรบ!DQ33"")"),0)</f>
        <v>0</v>
      </c>
      <c r="P33" s="85">
        <f t="shared" ca="1" si="32"/>
        <v>0</v>
      </c>
      <c r="Q33" s="84">
        <f t="shared" ca="1" si="8"/>
        <v>0</v>
      </c>
      <c r="R33" s="323">
        <f ca="1">IFERROR(__xludf.DUMMYFUNCTION("IMPORTRANGE(""https://docs.google.com/spreadsheets/d/1SaMnqrwRGmFYNR0MhpWmHuL5niYUd5E7vDq8X7whAlI/edit?usp=sharing"",""ขอนแก่น!I287"")"),300)</f>
        <v>300</v>
      </c>
      <c r="S33" s="323">
        <f ca="1">IFERROR(__xludf.DUMMYFUNCTION("IMPORTRANGE(""https://docs.google.com/spreadsheets/d/1SaMnqrwRGmFYNR0MhpWmHuL5niYUd5E7vDq8X7whAlI/edit?usp=sharing"",""ขอนแก่น!J287"")"),300)</f>
        <v>300</v>
      </c>
      <c r="T33" s="324">
        <f t="shared" ca="1" si="27"/>
        <v>100</v>
      </c>
      <c r="U33" s="323">
        <f ca="1">IFERROR(__xludf.DUMMYFUNCTION("IMPORTRANGE(""https://docs.google.com/spreadsheets/d/1SaMnqrwRGmFYNR0MhpWmHuL5niYUd5E7vDq8X7whAlI/edit?usp=sharing"",""ขอนแก่น!I288"")"),30)</f>
        <v>30</v>
      </c>
      <c r="V33" s="323">
        <f ca="1">IFERROR(__xludf.DUMMYFUNCTION("IMPORTRANGE(""https://docs.google.com/spreadsheets/d/1SaMnqrwRGmFYNR0MhpWmHuL5niYUd5E7vDq8X7whAlI/edit?usp=sharing"",""ขอนแก่น!J288"")"),30)</f>
        <v>30</v>
      </c>
      <c r="W33" s="324">
        <f t="shared" ca="1" si="28"/>
        <v>100</v>
      </c>
      <c r="X33" s="323">
        <f ca="1">IFERROR(__xludf.DUMMYFUNCTION("IMPORTRANGE(""https://docs.google.com/spreadsheets/d/1SaMnqrwRGmFYNR0MhpWmHuL5niYUd5E7vDq8X7whAlI/edit?usp=sharing"",""ขอนแก่น!I290"")"),30)</f>
        <v>30</v>
      </c>
      <c r="Y33" s="323">
        <f ca="1">IFERROR(__xludf.DUMMYFUNCTION("IMPORTRANGE(""https://docs.google.com/spreadsheets/d/1SaMnqrwRGmFYNR0MhpWmHuL5niYUd5E7vDq8X7whAlI/edit?usp=sharing"",""ขอนแก่น!J290"")"),30)</f>
        <v>30</v>
      </c>
      <c r="Z33" s="324">
        <f t="shared" ca="1" si="29"/>
        <v>100</v>
      </c>
      <c r="AA33" s="323">
        <f ca="1">IFERROR(__xludf.DUMMYFUNCTION("IMPORTRANGE(""https://docs.google.com/spreadsheets/d/1SaMnqrwRGmFYNR0MhpWmHuL5niYUd5E7vDq8X7whAlI/edit?usp=sharing"",""ขอนแก่น!J291"")"),30)</f>
        <v>30</v>
      </c>
      <c r="AB33" s="324">
        <f t="shared" ca="1" si="15"/>
        <v>100</v>
      </c>
      <c r="AC33" s="323">
        <f ca="1">IFERROR(__xludf.DUMMYFUNCTION("IMPORTRANGE(""https://docs.google.com/spreadsheets/d/1SaMnqrwRGmFYNR0MhpWmHuL5niYUd5E7vDq8X7whAlI/edit?usp=sharing"",""ขอนแก่น!I293"")"),30)</f>
        <v>30</v>
      </c>
      <c r="AD33" s="323">
        <f ca="1">IFERROR(__xludf.DUMMYFUNCTION("IMPORTRANGE(""https://docs.google.com/spreadsheets/d/1SaMnqrwRGmFYNR0MhpWmHuL5niYUd5E7vDq8X7whAlI/edit?usp=sharing"",""ขอนแก่น!J293"")"),30)</f>
        <v>30</v>
      </c>
      <c r="AE33" s="324">
        <f t="shared" ca="1" si="30"/>
        <v>100</v>
      </c>
      <c r="AF33" s="323">
        <f ca="1">IFERROR(__xludf.DUMMYFUNCTION("IMPORTRANGE(""https://docs.google.com/spreadsheets/d/1SaMnqrwRGmFYNR0MhpWmHuL5niYUd5E7vDq8X7whAlI/edit?usp=sharing"",""ขอนแก่น!J294"")"),30)</f>
        <v>30</v>
      </c>
      <c r="AG33" s="324">
        <f t="shared" ca="1" si="18"/>
        <v>100</v>
      </c>
    </row>
    <row r="34" spans="1:33" ht="21" customHeight="1" x14ac:dyDescent="0.2">
      <c r="A34" s="78">
        <v>3</v>
      </c>
      <c r="B34" s="79" t="s">
        <v>56</v>
      </c>
      <c r="C34" s="80">
        <f t="shared" ca="1" si="0"/>
        <v>413560</v>
      </c>
      <c r="D34" s="81">
        <f t="shared" ca="1" si="43"/>
        <v>413560</v>
      </c>
      <c r="E34" s="82">
        <f ca="1">IFERROR(__xludf.DUMMYFUNCTION("IMPORTRANGE(""https://docs.google.com/spreadsheets/d/1MeEWN-I1oV_STSDYn1IFDPWt_1FKiwhDph83XaGc0o0/edit?usp=sharing"",""งบพรบ!DJ34"")"),162200)</f>
        <v>162200</v>
      </c>
      <c r="F34" s="82">
        <f ca="1">IFERROR(__xludf.DUMMYFUNCTION("IMPORTRANGE(""https://docs.google.com/spreadsheets/d/1MeEWN-I1oV_STSDYn1IFDPWt_1FKiwhDph83XaGc0o0/edit?usp=sharing"",""งบพรบ!DK34"")"),251360)</f>
        <v>251360</v>
      </c>
      <c r="G34" s="82">
        <f ca="1">IFERROR(__xludf.DUMMYFUNCTION("IMPORTRANGE(""https://docs.google.com/spreadsheets/d/1MeEWN-I1oV_STSDYn1IFDPWt_1FKiwhDph83XaGc0o0/edit?usp=sharing"",""งบพรบ!DL34"")"),0)</f>
        <v>0</v>
      </c>
      <c r="H34" s="82">
        <f ca="1">IFERROR(__xludf.DUMMYFUNCTION("IMPORTRANGE(""https://docs.google.com/spreadsheets/d/1MeEWN-I1oV_STSDYn1IFDPWt_1FKiwhDph83XaGc0o0/edit?usp=sharing"",""งบพรบ!DN34"")"),239590)</f>
        <v>239590</v>
      </c>
      <c r="I34" s="82">
        <f ca="1">IFERROR(__xludf.DUMMYFUNCTION("IMPORTRANGE(""https://docs.google.com/spreadsheets/d/1MeEWN-I1oV_STSDYn1IFDPWt_1FKiwhDph83XaGc0o0/edit?usp=sharing"",""งบพรบ!DO34"")"),0)</f>
        <v>0</v>
      </c>
      <c r="J34" s="82">
        <f t="shared" ca="1" si="3"/>
        <v>57080</v>
      </c>
      <c r="K34" s="83">
        <f t="shared" ca="1" si="4"/>
        <v>13.802108521133572</v>
      </c>
      <c r="L34" s="82">
        <f ca="1">IFERROR(__xludf.DUMMYFUNCTION("IMPORTRANGE(""https://docs.google.com/spreadsheets/d/1MeEWN-I1oV_STSDYn1IFDPWt_1FKiwhDph83XaGc0o0/edit?usp=sharing"",""งบพรบ!DP34"")"),57080)</f>
        <v>57080</v>
      </c>
      <c r="M34" s="84">
        <f t="shared" ca="1" si="5"/>
        <v>13.802108521133572</v>
      </c>
      <c r="N34" s="84">
        <f t="shared" ca="1" si="6"/>
        <v>23.824032722567718</v>
      </c>
      <c r="O34" s="85">
        <f ca="1">IFERROR(__xludf.DUMMYFUNCTION("IMPORTRANGE(""https://docs.google.com/spreadsheets/d/1MeEWN-I1oV_STSDYn1IFDPWt_1FKiwhDph83XaGc0o0/edit?usp=sharing"",""งบพรบ!DQ34"")"),0)</f>
        <v>0</v>
      </c>
      <c r="P34" s="85">
        <f t="shared" ca="1" si="32"/>
        <v>0</v>
      </c>
      <c r="Q34" s="84">
        <f t="shared" ca="1" si="8"/>
        <v>0</v>
      </c>
      <c r="R34" s="323">
        <f ca="1">IFERROR(__xludf.DUMMYFUNCTION("IMPORTRANGE(""https://docs.google.com/spreadsheets/d/1xQzEtGHhTTgxHh6YUkKY1P4dRyjVhS74dGswLfAASA4/edit?usp=sharing"",""ชัยภูมิ!I287"")"),700)</f>
        <v>700</v>
      </c>
      <c r="S34" s="323">
        <f ca="1">IFERROR(__xludf.DUMMYFUNCTION("IMPORTRANGE(""https://docs.google.com/spreadsheets/d/1xQzEtGHhTTgxHh6YUkKY1P4dRyjVhS74dGswLfAASA4/edit?usp=sharing"",""ชัยภูมิ!J287"")"),0)</f>
        <v>0</v>
      </c>
      <c r="T34" s="324">
        <f t="shared" ca="1" si="27"/>
        <v>0</v>
      </c>
      <c r="U34" s="323">
        <f ca="1">IFERROR(__xludf.DUMMYFUNCTION("IMPORTRANGE(""https://docs.google.com/spreadsheets/d/1xQzEtGHhTTgxHh6YUkKY1P4dRyjVhS74dGswLfAASA4/edit?usp=sharing"",""ชัยภูมิ!I288"")"),70)</f>
        <v>70</v>
      </c>
      <c r="V34" s="323">
        <f ca="1">IFERROR(__xludf.DUMMYFUNCTION("IMPORTRANGE(""https://docs.google.com/spreadsheets/d/1xQzEtGHhTTgxHh6YUkKY1P4dRyjVhS74dGswLfAASA4/edit?usp=sharing"",""ชัยภูมิ!J288"")"),0)</f>
        <v>0</v>
      </c>
      <c r="W34" s="324">
        <f t="shared" ca="1" si="28"/>
        <v>0</v>
      </c>
      <c r="X34" s="323">
        <f ca="1">IFERROR(__xludf.DUMMYFUNCTION("IMPORTRANGE(""https://docs.google.com/spreadsheets/d/1xQzEtGHhTTgxHh6YUkKY1P4dRyjVhS74dGswLfAASA4/edit?usp=sharing"",""ชัยภูมิ!I290"")"),70)</f>
        <v>70</v>
      </c>
      <c r="Y34" s="323">
        <f ca="1">IFERROR(__xludf.DUMMYFUNCTION("IMPORTRANGE(""https://docs.google.com/spreadsheets/d/1xQzEtGHhTTgxHh6YUkKY1P4dRyjVhS74dGswLfAASA4/edit?usp=sharing"",""ชัยภูมิ!J290"")"),70)</f>
        <v>70</v>
      </c>
      <c r="Z34" s="324">
        <f t="shared" ca="1" si="29"/>
        <v>100</v>
      </c>
      <c r="AA34" s="323">
        <f ca="1">IFERROR(__xludf.DUMMYFUNCTION("IMPORTRANGE(""https://docs.google.com/spreadsheets/d/1xQzEtGHhTTgxHh6YUkKY1P4dRyjVhS74dGswLfAASA4/edit?usp=sharing"",""ชัยภูมิ!J291"")"),70)</f>
        <v>70</v>
      </c>
      <c r="AB34" s="324">
        <f t="shared" ca="1" si="15"/>
        <v>100</v>
      </c>
      <c r="AC34" s="323">
        <f ca="1">IFERROR(__xludf.DUMMYFUNCTION("IMPORTRANGE(""https://docs.google.com/spreadsheets/d/1xQzEtGHhTTgxHh6YUkKY1P4dRyjVhS74dGswLfAASA4/edit?usp=sharing"",""ชัยภูมิ!I293"")"),70)</f>
        <v>70</v>
      </c>
      <c r="AD34" s="323">
        <f ca="1">IFERROR(__xludf.DUMMYFUNCTION("IMPORTRANGE(""https://docs.google.com/spreadsheets/d/1xQzEtGHhTTgxHh6YUkKY1P4dRyjVhS74dGswLfAASA4/edit?usp=sharing"",""ชัยภูมิ!J293"")"),0)</f>
        <v>0</v>
      </c>
      <c r="AE34" s="324">
        <f t="shared" ca="1" si="30"/>
        <v>0</v>
      </c>
      <c r="AF34" s="323">
        <f ca="1">IFERROR(__xludf.DUMMYFUNCTION("IMPORTRANGE(""https://docs.google.com/spreadsheets/d/1xQzEtGHhTTgxHh6YUkKY1P4dRyjVhS74dGswLfAASA4/edit?usp=sharing"",""ชัยภูมิ!J294"")"),0)</f>
        <v>0</v>
      </c>
      <c r="AG34" s="324">
        <f t="shared" ca="1" si="18"/>
        <v>0</v>
      </c>
    </row>
    <row r="35" spans="1:33" ht="21" customHeight="1" x14ac:dyDescent="0.2">
      <c r="A35" s="78">
        <v>4</v>
      </c>
      <c r="B35" s="79" t="s">
        <v>57</v>
      </c>
      <c r="C35" s="80">
        <f t="shared" ca="1" si="0"/>
        <v>41010</v>
      </c>
      <c r="D35" s="81">
        <f t="shared" ca="1" si="43"/>
        <v>41010</v>
      </c>
      <c r="E35" s="82">
        <f ca="1">IFERROR(__xludf.DUMMYFUNCTION("IMPORTRANGE(""https://docs.google.com/spreadsheets/d/1MeEWN-I1oV_STSDYn1IFDPWt_1FKiwhDph83XaGc0o0/edit?usp=sharing"",""งบพรบ!DJ35"")"),0)</f>
        <v>0</v>
      </c>
      <c r="F35" s="82">
        <f ca="1">IFERROR(__xludf.DUMMYFUNCTION("IMPORTRANGE(""https://docs.google.com/spreadsheets/d/1MeEWN-I1oV_STSDYn1IFDPWt_1FKiwhDph83XaGc0o0/edit?usp=sharing"",""งบพรบ!DK35"")"),41010)</f>
        <v>41010</v>
      </c>
      <c r="G35" s="82">
        <f ca="1">IFERROR(__xludf.DUMMYFUNCTION("IMPORTRANGE(""https://docs.google.com/spreadsheets/d/1MeEWN-I1oV_STSDYn1IFDPWt_1FKiwhDph83XaGc0o0/edit?usp=sharing"",""งบพรบ!DL35"")"),0)</f>
        <v>0</v>
      </c>
      <c r="H35" s="82">
        <f ca="1">IFERROR(__xludf.DUMMYFUNCTION("IMPORTRANGE(""https://docs.google.com/spreadsheets/d/1MeEWN-I1oV_STSDYn1IFDPWt_1FKiwhDph83XaGc0o0/edit?usp=sharing"",""งบพรบ!DN35"")"),21950)</f>
        <v>21950</v>
      </c>
      <c r="I35" s="82">
        <f ca="1">IFERROR(__xludf.DUMMYFUNCTION("IMPORTRANGE(""https://docs.google.com/spreadsheets/d/1MeEWN-I1oV_STSDYn1IFDPWt_1FKiwhDph83XaGc0o0/edit?usp=sharing"",""งบพรบ!DO35"")"),0)</f>
        <v>0</v>
      </c>
      <c r="J35" s="82">
        <f t="shared" ca="1" si="3"/>
        <v>9930</v>
      </c>
      <c r="K35" s="83">
        <f t="shared" ca="1" si="4"/>
        <v>24.213606437454281</v>
      </c>
      <c r="L35" s="82">
        <f ca="1">IFERROR(__xludf.DUMMYFUNCTION("IMPORTRANGE(""https://docs.google.com/spreadsheets/d/1MeEWN-I1oV_STSDYn1IFDPWt_1FKiwhDph83XaGc0o0/edit?usp=sharing"",""งบพรบ!DP35"")"),9930)</f>
        <v>9930</v>
      </c>
      <c r="M35" s="84">
        <f t="shared" ca="1" si="5"/>
        <v>24.213606437454281</v>
      </c>
      <c r="N35" s="84">
        <f t="shared" ca="1" si="6"/>
        <v>45.239179954441916</v>
      </c>
      <c r="O35" s="85">
        <f ca="1">IFERROR(__xludf.DUMMYFUNCTION("IMPORTRANGE(""https://docs.google.com/spreadsheets/d/1MeEWN-I1oV_STSDYn1IFDPWt_1FKiwhDph83XaGc0o0/edit?usp=sharing"",""งบพรบ!DQ35"")"),0)</f>
        <v>0</v>
      </c>
      <c r="P35" s="85">
        <f t="shared" ca="1" si="32"/>
        <v>0</v>
      </c>
      <c r="Q35" s="84">
        <f t="shared" ca="1" si="8"/>
        <v>0</v>
      </c>
      <c r="R35" s="323">
        <f ca="1">IFERROR(__xludf.DUMMYFUNCTION("IMPORTRANGE(""https://docs.google.com/spreadsheets/d/1EXMBoBxU3OFbjT2TRpneM33qFjqDzrKmn9ydcflfI0o/edit?usp=sharing"",""นครพนม!I287"")"),100)</f>
        <v>100</v>
      </c>
      <c r="S35" s="323">
        <f ca="1">IFERROR(__xludf.DUMMYFUNCTION("IMPORTRANGE(""https://docs.google.com/spreadsheets/d/1EXMBoBxU3OFbjT2TRpneM33qFjqDzrKmn9ydcflfI0o/edit?usp=sharing"",""นครพนม!J287"")"),100)</f>
        <v>100</v>
      </c>
      <c r="T35" s="324">
        <f t="shared" ca="1" si="27"/>
        <v>100</v>
      </c>
      <c r="U35" s="323">
        <f ca="1">IFERROR(__xludf.DUMMYFUNCTION("IMPORTRANGE(""https://docs.google.com/spreadsheets/d/1EXMBoBxU3OFbjT2TRpneM33qFjqDzrKmn9ydcflfI0o/edit?usp=sharing"",""นครพนม!I288"")"),10)</f>
        <v>10</v>
      </c>
      <c r="V35" s="323">
        <f ca="1">IFERROR(__xludf.DUMMYFUNCTION("IMPORTRANGE(""https://docs.google.com/spreadsheets/d/1EXMBoBxU3OFbjT2TRpneM33qFjqDzrKmn9ydcflfI0o/edit?usp=sharing"",""นครพนม!J288"")"),0)</f>
        <v>0</v>
      </c>
      <c r="W35" s="324">
        <f t="shared" ca="1" si="28"/>
        <v>0</v>
      </c>
      <c r="X35" s="323">
        <f ca="1">IFERROR(__xludf.DUMMYFUNCTION("IMPORTRANGE(""https://docs.google.com/spreadsheets/d/1EXMBoBxU3OFbjT2TRpneM33qFjqDzrKmn9ydcflfI0o/edit?usp=sharing"",""นครพนม!I290"")"),10)</f>
        <v>10</v>
      </c>
      <c r="Y35" s="323">
        <f ca="1">IFERROR(__xludf.DUMMYFUNCTION("IMPORTRANGE(""https://docs.google.com/spreadsheets/d/1EXMBoBxU3OFbjT2TRpneM33qFjqDzrKmn9ydcflfI0o/edit?usp=sharing"",""นครพนม!J290"")"),10)</f>
        <v>10</v>
      </c>
      <c r="Z35" s="324">
        <f t="shared" ca="1" si="29"/>
        <v>100</v>
      </c>
      <c r="AA35" s="323">
        <f ca="1">IFERROR(__xludf.DUMMYFUNCTION("IMPORTRANGE(""https://docs.google.com/spreadsheets/d/1EXMBoBxU3OFbjT2TRpneM33qFjqDzrKmn9ydcflfI0o/edit?usp=sharing"",""นครพนม!J291"")"),10)</f>
        <v>10</v>
      </c>
      <c r="AB35" s="324">
        <f t="shared" ca="1" si="15"/>
        <v>100</v>
      </c>
      <c r="AC35" s="323">
        <f ca="1">IFERROR(__xludf.DUMMYFUNCTION("IMPORTRANGE(""https://docs.google.com/spreadsheets/d/1EXMBoBxU3OFbjT2TRpneM33qFjqDzrKmn9ydcflfI0o/edit?usp=sharing"",""นครพนม!I293"")"),10)</f>
        <v>10</v>
      </c>
      <c r="AD35" s="323">
        <f ca="1">IFERROR(__xludf.DUMMYFUNCTION("IMPORTRANGE(""https://docs.google.com/spreadsheets/d/1EXMBoBxU3OFbjT2TRpneM33qFjqDzrKmn9ydcflfI0o/edit?usp=sharing"",""นครพนม!J293"")"),0)</f>
        <v>0</v>
      </c>
      <c r="AE35" s="324">
        <f t="shared" ca="1" si="30"/>
        <v>0</v>
      </c>
      <c r="AF35" s="323">
        <f ca="1">IFERROR(__xludf.DUMMYFUNCTION("IMPORTRANGE(""https://docs.google.com/spreadsheets/d/1EXMBoBxU3OFbjT2TRpneM33qFjqDzrKmn9ydcflfI0o/edit?usp=sharing"",""นครพนม!J294"")"),0)</f>
        <v>0</v>
      </c>
      <c r="AG35" s="324">
        <f t="shared" ca="1" si="18"/>
        <v>0</v>
      </c>
    </row>
    <row r="36" spans="1:33" ht="21" customHeight="1" x14ac:dyDescent="0.2">
      <c r="A36" s="78">
        <v>5</v>
      </c>
      <c r="B36" s="79" t="s">
        <v>58</v>
      </c>
      <c r="C36" s="80">
        <f t="shared" ca="1" si="0"/>
        <v>147030</v>
      </c>
      <c r="D36" s="81">
        <f t="shared" ca="1" si="43"/>
        <v>147030</v>
      </c>
      <c r="E36" s="82">
        <f ca="1">IFERROR(__xludf.DUMMYFUNCTION("IMPORTRANGE(""https://docs.google.com/spreadsheets/d/1MeEWN-I1oV_STSDYn1IFDPWt_1FKiwhDph83XaGc0o0/edit?usp=sharing"",""งบพรบ!DJ36"")"),0)</f>
        <v>0</v>
      </c>
      <c r="F36" s="82">
        <f ca="1">IFERROR(__xludf.DUMMYFUNCTION("IMPORTRANGE(""https://docs.google.com/spreadsheets/d/1MeEWN-I1oV_STSDYn1IFDPWt_1FKiwhDph83XaGc0o0/edit?usp=sharing"",""งบพรบ!DK36"")"),147030)</f>
        <v>147030</v>
      </c>
      <c r="G36" s="82">
        <f ca="1">IFERROR(__xludf.DUMMYFUNCTION("IMPORTRANGE(""https://docs.google.com/spreadsheets/d/1MeEWN-I1oV_STSDYn1IFDPWt_1FKiwhDph83XaGc0o0/edit?usp=sharing"",""งบพรบ!DL36"")"),0)</f>
        <v>0</v>
      </c>
      <c r="H36" s="82">
        <f ca="1">IFERROR(__xludf.DUMMYFUNCTION("IMPORTRANGE(""https://docs.google.com/spreadsheets/d/1MeEWN-I1oV_STSDYn1IFDPWt_1FKiwhDph83XaGc0o0/edit?usp=sharing"",""งบพรบ!DN36"")"),70790)</f>
        <v>70790</v>
      </c>
      <c r="I36" s="82">
        <f ca="1">IFERROR(__xludf.DUMMYFUNCTION("IMPORTRANGE(""https://docs.google.com/spreadsheets/d/1MeEWN-I1oV_STSDYn1IFDPWt_1FKiwhDph83XaGc0o0/edit?usp=sharing"",""งบพรบ!DO36"")"),0)</f>
        <v>0</v>
      </c>
      <c r="J36" s="82">
        <f t="shared" ca="1" si="3"/>
        <v>57120</v>
      </c>
      <c r="K36" s="83">
        <f t="shared" ca="1" si="4"/>
        <v>38.849214446031425</v>
      </c>
      <c r="L36" s="82">
        <f ca="1">IFERROR(__xludf.DUMMYFUNCTION("IMPORTRANGE(""https://docs.google.com/spreadsheets/d/1MeEWN-I1oV_STSDYn1IFDPWt_1FKiwhDph83XaGc0o0/edit?usp=sharing"",""งบพรบ!DP36"")"),57120)</f>
        <v>57120</v>
      </c>
      <c r="M36" s="84">
        <f t="shared" ca="1" si="5"/>
        <v>38.849214446031425</v>
      </c>
      <c r="N36" s="84">
        <f t="shared" ca="1" si="6"/>
        <v>80.689362904365026</v>
      </c>
      <c r="O36" s="85">
        <f ca="1">IFERROR(__xludf.DUMMYFUNCTION("IMPORTRANGE(""https://docs.google.com/spreadsheets/d/1MeEWN-I1oV_STSDYn1IFDPWt_1FKiwhDph83XaGc0o0/edit?usp=sharing"",""งบพรบ!DQ36"")"),0)</f>
        <v>0</v>
      </c>
      <c r="P36" s="85">
        <f t="shared" ca="1" si="32"/>
        <v>0</v>
      </c>
      <c r="Q36" s="84">
        <f t="shared" ca="1" si="8"/>
        <v>0</v>
      </c>
      <c r="R36" s="323">
        <f ca="1">IFERROR(__xludf.DUMMYFUNCTION("IMPORTRANGE(""https://docs.google.com/spreadsheets/d/1bDQrolntRWtHumK8W-x-HXKntwxB9S3sF5aDeRS66Ko/edit?usp=sharing"",""นครราชสีมา!I287"")"),400)</f>
        <v>400</v>
      </c>
      <c r="S36" s="323">
        <f ca="1">IFERROR(__xludf.DUMMYFUNCTION("IMPORTRANGE(""https://docs.google.com/spreadsheets/d/1bDQrolntRWtHumK8W-x-HXKntwxB9S3sF5aDeRS66Ko/edit?usp=sharing"",""นครราชสีมา!J287"")"),400)</f>
        <v>400</v>
      </c>
      <c r="T36" s="324">
        <f t="shared" ca="1" si="27"/>
        <v>100</v>
      </c>
      <c r="U36" s="323">
        <f ca="1">IFERROR(__xludf.DUMMYFUNCTION("IMPORTRANGE(""https://docs.google.com/spreadsheets/d/1bDQrolntRWtHumK8W-x-HXKntwxB9S3sF5aDeRS66Ko/edit?usp=sharing"",""นครราชสีมา!I288"")"),40)</f>
        <v>40</v>
      </c>
      <c r="V36" s="323">
        <f ca="1">IFERROR(__xludf.DUMMYFUNCTION("IMPORTRANGE(""https://docs.google.com/spreadsheets/d/1bDQrolntRWtHumK8W-x-HXKntwxB9S3sF5aDeRS66Ko/edit?usp=sharing"",""นครราชสีมา!J288"")"),0)</f>
        <v>0</v>
      </c>
      <c r="W36" s="324">
        <f t="shared" ca="1" si="28"/>
        <v>0</v>
      </c>
      <c r="X36" s="323">
        <f ca="1">IFERROR(__xludf.DUMMYFUNCTION("IMPORTRANGE(""https://docs.google.com/spreadsheets/d/1bDQrolntRWtHumK8W-x-HXKntwxB9S3sF5aDeRS66Ko/edit?usp=sharing"",""นครราชสีมา!I290"")"),40)</f>
        <v>40</v>
      </c>
      <c r="Y36" s="323">
        <f ca="1">IFERROR(__xludf.DUMMYFUNCTION("IMPORTRANGE(""https://docs.google.com/spreadsheets/d/1bDQrolntRWtHumK8W-x-HXKntwxB9S3sF5aDeRS66Ko/edit?usp=sharing"",""นครราชสีมา!J290"")"),40)</f>
        <v>40</v>
      </c>
      <c r="Z36" s="324">
        <f t="shared" ca="1" si="29"/>
        <v>100</v>
      </c>
      <c r="AA36" s="323">
        <f ca="1">IFERROR(__xludf.DUMMYFUNCTION("IMPORTRANGE(""https://docs.google.com/spreadsheets/d/1bDQrolntRWtHumK8W-x-HXKntwxB9S3sF5aDeRS66Ko/edit?usp=sharing"",""นครราชสีมา!J291"")"),40)</f>
        <v>40</v>
      </c>
      <c r="AB36" s="324">
        <f t="shared" ca="1" si="15"/>
        <v>100</v>
      </c>
      <c r="AC36" s="323">
        <f ca="1">IFERROR(__xludf.DUMMYFUNCTION("IMPORTRANGE(""https://docs.google.com/spreadsheets/d/1bDQrolntRWtHumK8W-x-HXKntwxB9S3sF5aDeRS66Ko/edit?usp=sharing"",""นครราชสีมา!I293"")"),40)</f>
        <v>40</v>
      </c>
      <c r="AD36" s="323">
        <f ca="1">IFERROR(__xludf.DUMMYFUNCTION("IMPORTRANGE(""https://docs.google.com/spreadsheets/d/1bDQrolntRWtHumK8W-x-HXKntwxB9S3sF5aDeRS66Ko/edit?usp=sharing"",""นครราชสีมา!J293"")"),0)</f>
        <v>0</v>
      </c>
      <c r="AE36" s="324">
        <f t="shared" ca="1" si="30"/>
        <v>0</v>
      </c>
      <c r="AF36" s="323">
        <f ca="1">IFERROR(__xludf.DUMMYFUNCTION("IMPORTRANGE(""https://docs.google.com/spreadsheets/d/1bDQrolntRWtHumK8W-x-HXKntwxB9S3sF5aDeRS66Ko/edit?usp=sharing"",""นครราชสีมา!J294"")"),0)</f>
        <v>0</v>
      </c>
      <c r="AG36" s="324">
        <f t="shared" ca="1" si="18"/>
        <v>0</v>
      </c>
    </row>
    <row r="37" spans="1:33" ht="21" customHeight="1" x14ac:dyDescent="0.2">
      <c r="A37" s="78">
        <v>6</v>
      </c>
      <c r="B37" s="79" t="s">
        <v>59</v>
      </c>
      <c r="C37" s="80">
        <f t="shared" ca="1" si="0"/>
        <v>198510</v>
      </c>
      <c r="D37" s="81">
        <f t="shared" ca="1" si="43"/>
        <v>198510</v>
      </c>
      <c r="E37" s="82">
        <f ca="1">IFERROR(__xludf.DUMMYFUNCTION("IMPORTRANGE(""https://docs.google.com/spreadsheets/d/1MeEWN-I1oV_STSDYn1IFDPWt_1FKiwhDph83XaGc0o0/edit?usp=sharing"",""งบพรบ!DJ37"")"),157500)</f>
        <v>157500</v>
      </c>
      <c r="F37" s="82">
        <f ca="1">IFERROR(__xludf.DUMMYFUNCTION("IMPORTRANGE(""https://docs.google.com/spreadsheets/d/1MeEWN-I1oV_STSDYn1IFDPWt_1FKiwhDph83XaGc0o0/edit?usp=sharing"",""งบพรบ!DK37"")"),41010)</f>
        <v>41010</v>
      </c>
      <c r="G37" s="82">
        <f ca="1">IFERROR(__xludf.DUMMYFUNCTION("IMPORTRANGE(""https://docs.google.com/spreadsheets/d/1MeEWN-I1oV_STSDYn1IFDPWt_1FKiwhDph83XaGc0o0/edit?usp=sharing"",""งบพรบ!DL37"")"),0)</f>
        <v>0</v>
      </c>
      <c r="H37" s="82">
        <f ca="1">IFERROR(__xludf.DUMMYFUNCTION("IMPORTRANGE(""https://docs.google.com/spreadsheets/d/1MeEWN-I1oV_STSDYn1IFDPWt_1FKiwhDph83XaGc0o0/edit?usp=sharing"",""งบพรบ!DN37"")"),140100)</f>
        <v>140100</v>
      </c>
      <c r="I37" s="82">
        <f ca="1">IFERROR(__xludf.DUMMYFUNCTION("IMPORTRANGE(""https://docs.google.com/spreadsheets/d/1MeEWN-I1oV_STSDYn1IFDPWt_1FKiwhDph83XaGc0o0/edit?usp=sharing"",""งบพรบ!DO37"")"),0)</f>
        <v>0</v>
      </c>
      <c r="J37" s="82">
        <f t="shared" ca="1" si="3"/>
        <v>78583</v>
      </c>
      <c r="K37" s="83">
        <f t="shared" ca="1" si="4"/>
        <v>39.586418820210568</v>
      </c>
      <c r="L37" s="82">
        <f ca="1">IFERROR(__xludf.DUMMYFUNCTION("IMPORTRANGE(""https://docs.google.com/spreadsheets/d/1MeEWN-I1oV_STSDYn1IFDPWt_1FKiwhDph83XaGc0o0/edit?usp=sharing"",""งบพรบ!DP37"")"),78583)</f>
        <v>78583</v>
      </c>
      <c r="M37" s="84">
        <f t="shared" ca="1" si="5"/>
        <v>39.586418820210568</v>
      </c>
      <c r="N37" s="84">
        <f t="shared" ca="1" si="6"/>
        <v>56.090649536045682</v>
      </c>
      <c r="O37" s="85">
        <f ca="1">IFERROR(__xludf.DUMMYFUNCTION("IMPORTRANGE(""https://docs.google.com/spreadsheets/d/1MeEWN-I1oV_STSDYn1IFDPWt_1FKiwhDph83XaGc0o0/edit?usp=sharing"",""งบพรบ!DQ37"")"),0)</f>
        <v>0</v>
      </c>
      <c r="P37" s="85">
        <f t="shared" ca="1" si="32"/>
        <v>0</v>
      </c>
      <c r="Q37" s="84">
        <f t="shared" ca="1" si="8"/>
        <v>0</v>
      </c>
      <c r="R37" s="323">
        <f ca="1">IFERROR(__xludf.DUMMYFUNCTION("IMPORTRANGE(""https://docs.google.com/spreadsheets/d/1_MzZ-2gVPiCW-d2VcafoCmFJQTSrZ6SQyFcMqRRQQ2w/edit?usp=sharing"",""บึงกาฬ!I287"")"),100)</f>
        <v>100</v>
      </c>
      <c r="S37" s="323">
        <f ca="1">IFERROR(__xludf.DUMMYFUNCTION("IMPORTRANGE(""https://docs.google.com/spreadsheets/d/1_MzZ-2gVPiCW-d2VcafoCmFJQTSrZ6SQyFcMqRRQQ2w/edit?usp=sharing"",""บึงกาฬ!J287"")"),0)</f>
        <v>0</v>
      </c>
      <c r="T37" s="324">
        <f t="shared" ca="1" si="27"/>
        <v>0</v>
      </c>
      <c r="U37" s="323">
        <f ca="1">IFERROR(__xludf.DUMMYFUNCTION("IMPORTRANGE(""https://docs.google.com/spreadsheets/d/1_MzZ-2gVPiCW-d2VcafoCmFJQTSrZ6SQyFcMqRRQQ2w/edit?usp=sharing"",""บึงกาฬ!I288"")"),10)</f>
        <v>10</v>
      </c>
      <c r="V37" s="323">
        <f ca="1">IFERROR(__xludf.DUMMYFUNCTION("IMPORTRANGE(""https://docs.google.com/spreadsheets/d/1_MzZ-2gVPiCW-d2VcafoCmFJQTSrZ6SQyFcMqRRQQ2w/edit?usp=sharing"",""บึงกาฬ!J288"")"),0)</f>
        <v>0</v>
      </c>
      <c r="W37" s="324">
        <f t="shared" ca="1" si="28"/>
        <v>0</v>
      </c>
      <c r="X37" s="323">
        <f ca="1">IFERROR(__xludf.DUMMYFUNCTION("IMPORTRANGE(""https://docs.google.com/spreadsheets/d/1_MzZ-2gVPiCW-d2VcafoCmFJQTSrZ6SQyFcMqRRQQ2w/edit?usp=sharing"",""บึงกาฬ!I290"")"),10)</f>
        <v>10</v>
      </c>
      <c r="Y37" s="323">
        <f ca="1">IFERROR(__xludf.DUMMYFUNCTION("IMPORTRANGE(""https://docs.google.com/spreadsheets/d/1_MzZ-2gVPiCW-d2VcafoCmFJQTSrZ6SQyFcMqRRQQ2w/edit?usp=sharing"",""บึงกาฬ!J290"")"),0)</f>
        <v>0</v>
      </c>
      <c r="Z37" s="324">
        <f t="shared" ca="1" si="29"/>
        <v>0</v>
      </c>
      <c r="AA37" s="323">
        <f ca="1">IFERROR(__xludf.DUMMYFUNCTION("IMPORTRANGE(""https://docs.google.com/spreadsheets/d/1_MzZ-2gVPiCW-d2VcafoCmFJQTSrZ6SQyFcMqRRQQ2w/edit?usp=sharing"",""บึงกาฬ!J291"")"),0)</f>
        <v>0</v>
      </c>
      <c r="AB37" s="324">
        <f t="shared" ca="1" si="15"/>
        <v>0</v>
      </c>
      <c r="AC37" s="323">
        <f ca="1">IFERROR(__xludf.DUMMYFUNCTION("IMPORTRANGE(""https://docs.google.com/spreadsheets/d/1_MzZ-2gVPiCW-d2VcafoCmFJQTSrZ6SQyFcMqRRQQ2w/edit?usp=sharing"",""บึงกาฬ!I293"")"),10)</f>
        <v>10</v>
      </c>
      <c r="AD37" s="323">
        <f ca="1">IFERROR(__xludf.DUMMYFUNCTION("IMPORTRANGE(""https://docs.google.com/spreadsheets/d/1_MzZ-2gVPiCW-d2VcafoCmFJQTSrZ6SQyFcMqRRQQ2w/edit?usp=sharing"",""บึงกาฬ!J293"")"),0)</f>
        <v>0</v>
      </c>
      <c r="AE37" s="324">
        <f t="shared" ca="1" si="30"/>
        <v>0</v>
      </c>
      <c r="AF37" s="323">
        <f ca="1">IFERROR(__xludf.DUMMYFUNCTION("IMPORTRANGE(""https://docs.google.com/spreadsheets/d/1_MzZ-2gVPiCW-d2VcafoCmFJQTSrZ6SQyFcMqRRQQ2w/edit?usp=sharing"",""บึงกาฬ!J294"")"),0)</f>
        <v>0</v>
      </c>
      <c r="AG37" s="324">
        <f t="shared" ca="1" si="18"/>
        <v>0</v>
      </c>
    </row>
    <row r="38" spans="1:33" ht="21" customHeight="1" x14ac:dyDescent="0.2">
      <c r="A38" s="78">
        <v>7</v>
      </c>
      <c r="B38" s="79" t="s">
        <v>60</v>
      </c>
      <c r="C38" s="80">
        <f t="shared" ca="1" si="0"/>
        <v>41010</v>
      </c>
      <c r="D38" s="81">
        <f t="shared" ca="1" si="43"/>
        <v>41010</v>
      </c>
      <c r="E38" s="82">
        <f ca="1">IFERROR(__xludf.DUMMYFUNCTION("IMPORTRANGE(""https://docs.google.com/spreadsheets/d/1MeEWN-I1oV_STSDYn1IFDPWt_1FKiwhDph83XaGc0o0/edit?usp=sharing"",""งบพรบ!DJ38"")"),0)</f>
        <v>0</v>
      </c>
      <c r="F38" s="82">
        <f ca="1">IFERROR(__xludf.DUMMYFUNCTION("IMPORTRANGE(""https://docs.google.com/spreadsheets/d/1MeEWN-I1oV_STSDYn1IFDPWt_1FKiwhDph83XaGc0o0/edit?usp=sharing"",""งบพรบ!DK38"")"),41010)</f>
        <v>41010</v>
      </c>
      <c r="G38" s="82">
        <f ca="1">IFERROR(__xludf.DUMMYFUNCTION("IMPORTRANGE(""https://docs.google.com/spreadsheets/d/1MeEWN-I1oV_STSDYn1IFDPWt_1FKiwhDph83XaGc0o0/edit?usp=sharing"",""งบพรบ!DL38"")"),0)</f>
        <v>0</v>
      </c>
      <c r="H38" s="82">
        <f ca="1">IFERROR(__xludf.DUMMYFUNCTION("IMPORTRANGE(""https://docs.google.com/spreadsheets/d/1MeEWN-I1oV_STSDYn1IFDPWt_1FKiwhDph83XaGc0o0/edit?usp=sharing"",""งบพรบ!DN38"")"),21950)</f>
        <v>21950</v>
      </c>
      <c r="I38" s="82">
        <f ca="1">IFERROR(__xludf.DUMMYFUNCTION("IMPORTRANGE(""https://docs.google.com/spreadsheets/d/1MeEWN-I1oV_STSDYn1IFDPWt_1FKiwhDph83XaGc0o0/edit?usp=sharing"",""งบพรบ!DO38"")"),0)</f>
        <v>0</v>
      </c>
      <c r="J38" s="82">
        <f t="shared" ca="1" si="3"/>
        <v>14960</v>
      </c>
      <c r="K38" s="83">
        <f t="shared" ca="1" si="4"/>
        <v>36.478907583516218</v>
      </c>
      <c r="L38" s="82">
        <f ca="1">IFERROR(__xludf.DUMMYFUNCTION("IMPORTRANGE(""https://docs.google.com/spreadsheets/d/1MeEWN-I1oV_STSDYn1IFDPWt_1FKiwhDph83XaGc0o0/edit?usp=sharing"",""งบพรบ!DP38"")"),14960)</f>
        <v>14960</v>
      </c>
      <c r="M38" s="84">
        <f t="shared" ca="1" si="5"/>
        <v>36.478907583516218</v>
      </c>
      <c r="N38" s="84">
        <f t="shared" ca="1" si="6"/>
        <v>68.154897494305246</v>
      </c>
      <c r="O38" s="85">
        <f ca="1">IFERROR(__xludf.DUMMYFUNCTION("IMPORTRANGE(""https://docs.google.com/spreadsheets/d/1MeEWN-I1oV_STSDYn1IFDPWt_1FKiwhDph83XaGc0o0/edit?usp=sharing"",""งบพรบ!DQ38"")"),0)</f>
        <v>0</v>
      </c>
      <c r="P38" s="85">
        <f t="shared" ca="1" si="32"/>
        <v>0</v>
      </c>
      <c r="Q38" s="84">
        <f t="shared" ca="1" si="8"/>
        <v>0</v>
      </c>
      <c r="R38" s="323">
        <f ca="1">IFERROR(__xludf.DUMMYFUNCTION("IMPORTRANGE(""https://docs.google.com/spreadsheets/d/1B3lPpzOuaNwVItLwLEZYl_qEblfcx7dRnbRkAw0l-pE/edit?usp=sharing"",""บุรีรัมย์!I287"")"),100)</f>
        <v>100</v>
      </c>
      <c r="S38" s="323">
        <f ca="1">IFERROR(__xludf.DUMMYFUNCTION("IMPORTRANGE(""https://docs.google.com/spreadsheets/d/1B3lPpzOuaNwVItLwLEZYl_qEblfcx7dRnbRkAw0l-pE/edit?usp=sharing"",""บุรีรัมย์!J287"")"),100)</f>
        <v>100</v>
      </c>
      <c r="T38" s="324">
        <f t="shared" ca="1" si="27"/>
        <v>100</v>
      </c>
      <c r="U38" s="323">
        <f ca="1">IFERROR(__xludf.DUMMYFUNCTION("IMPORTRANGE(""https://docs.google.com/spreadsheets/d/1B3lPpzOuaNwVItLwLEZYl_qEblfcx7dRnbRkAw0l-pE/edit?usp=sharing"",""บุรีรัมย์!I288"")"),10)</f>
        <v>10</v>
      </c>
      <c r="V38" s="323">
        <f ca="1">IFERROR(__xludf.DUMMYFUNCTION("IMPORTRANGE(""https://docs.google.com/spreadsheets/d/1B3lPpzOuaNwVItLwLEZYl_qEblfcx7dRnbRkAw0l-pE/edit?usp=sharing"",""บุรีรัมย์!J288"")"),0)</f>
        <v>0</v>
      </c>
      <c r="W38" s="324">
        <f t="shared" ca="1" si="28"/>
        <v>0</v>
      </c>
      <c r="X38" s="323">
        <f ca="1">IFERROR(__xludf.DUMMYFUNCTION("IMPORTRANGE(""https://docs.google.com/spreadsheets/d/1B3lPpzOuaNwVItLwLEZYl_qEblfcx7dRnbRkAw0l-pE/edit?usp=sharing"",""บุรีรัมย์!I290"")"),10)</f>
        <v>10</v>
      </c>
      <c r="Y38" s="323">
        <f ca="1">IFERROR(__xludf.DUMMYFUNCTION("IMPORTRANGE(""https://docs.google.com/spreadsheets/d/1B3lPpzOuaNwVItLwLEZYl_qEblfcx7dRnbRkAw0l-pE/edit?usp=sharing"",""บุรีรัมย์!J290"")"),10)</f>
        <v>10</v>
      </c>
      <c r="Z38" s="324">
        <f t="shared" ca="1" si="29"/>
        <v>100</v>
      </c>
      <c r="AA38" s="323">
        <f ca="1">IFERROR(__xludf.DUMMYFUNCTION("IMPORTRANGE(""https://docs.google.com/spreadsheets/d/1B3lPpzOuaNwVItLwLEZYl_qEblfcx7dRnbRkAw0l-pE/edit?usp=sharing"",""บุรีรัมย์!J291"")"),10)</f>
        <v>10</v>
      </c>
      <c r="AB38" s="324">
        <f t="shared" ca="1" si="15"/>
        <v>100</v>
      </c>
      <c r="AC38" s="323">
        <f ca="1">IFERROR(__xludf.DUMMYFUNCTION("IMPORTRANGE(""https://docs.google.com/spreadsheets/d/1B3lPpzOuaNwVItLwLEZYl_qEblfcx7dRnbRkAw0l-pE/edit?usp=sharing"",""บุรีรัมย์!I293"")"),10)</f>
        <v>10</v>
      </c>
      <c r="AD38" s="323">
        <f ca="1">IFERROR(__xludf.DUMMYFUNCTION("IMPORTRANGE(""https://docs.google.com/spreadsheets/d/1B3lPpzOuaNwVItLwLEZYl_qEblfcx7dRnbRkAw0l-pE/edit?usp=sharing"",""บุรีรัมย์!J293"")"),0)</f>
        <v>0</v>
      </c>
      <c r="AE38" s="324">
        <f t="shared" ca="1" si="30"/>
        <v>0</v>
      </c>
      <c r="AF38" s="323">
        <f ca="1">IFERROR(__xludf.DUMMYFUNCTION("IMPORTRANGE(""https://docs.google.com/spreadsheets/d/1B3lPpzOuaNwVItLwLEZYl_qEblfcx7dRnbRkAw0l-pE/edit?usp=sharing"",""บุรีรัมย์!J294"")"),0)</f>
        <v>0</v>
      </c>
      <c r="AG38" s="324">
        <f t="shared" ca="1" si="18"/>
        <v>0</v>
      </c>
    </row>
    <row r="39" spans="1:33" ht="21" customHeight="1" x14ac:dyDescent="0.2">
      <c r="A39" s="78">
        <v>8</v>
      </c>
      <c r="B39" s="79" t="s">
        <v>61</v>
      </c>
      <c r="C39" s="80">
        <f t="shared" ca="1" si="0"/>
        <v>0</v>
      </c>
      <c r="D39" s="81">
        <f t="shared" ca="1" si="43"/>
        <v>0</v>
      </c>
      <c r="E39" s="82">
        <f ca="1">IFERROR(__xludf.DUMMYFUNCTION("IMPORTRANGE(""https://docs.google.com/spreadsheets/d/1MeEWN-I1oV_STSDYn1IFDPWt_1FKiwhDph83XaGc0o0/edit?usp=sharing"",""งบพรบ!DJ39"")"),0)</f>
        <v>0</v>
      </c>
      <c r="F39" s="82">
        <f ca="1">IFERROR(__xludf.DUMMYFUNCTION("IMPORTRANGE(""https://docs.google.com/spreadsheets/d/1MeEWN-I1oV_STSDYn1IFDPWt_1FKiwhDph83XaGc0o0/edit?usp=sharing"",""งบพรบ!DK39"")"),0)</f>
        <v>0</v>
      </c>
      <c r="G39" s="82">
        <f ca="1">IFERROR(__xludf.DUMMYFUNCTION("IMPORTRANGE(""https://docs.google.com/spreadsheets/d/1MeEWN-I1oV_STSDYn1IFDPWt_1FKiwhDph83XaGc0o0/edit?usp=sharing"",""งบพรบ!DL39"")"),0)</f>
        <v>0</v>
      </c>
      <c r="H39" s="82">
        <f ca="1">IFERROR(__xludf.DUMMYFUNCTION("IMPORTRANGE(""https://docs.google.com/spreadsheets/d/1MeEWN-I1oV_STSDYn1IFDPWt_1FKiwhDph83XaGc0o0/edit?usp=sharing"",""งบพรบ!DN39"")"),0)</f>
        <v>0</v>
      </c>
      <c r="I39" s="82">
        <f ca="1">IFERROR(__xludf.DUMMYFUNCTION("IMPORTRANGE(""https://docs.google.com/spreadsheets/d/1MeEWN-I1oV_STSDYn1IFDPWt_1FKiwhDph83XaGc0o0/edit?usp=sharing"",""งบพรบ!DO39"")"),0)</f>
        <v>0</v>
      </c>
      <c r="J39" s="82">
        <f t="shared" ca="1" si="3"/>
        <v>0</v>
      </c>
      <c r="K39" s="83">
        <f t="shared" ca="1" si="4"/>
        <v>0</v>
      </c>
      <c r="L39" s="82">
        <f ca="1">IFERROR(__xludf.DUMMYFUNCTION("IMPORTRANGE(""https://docs.google.com/spreadsheets/d/1MeEWN-I1oV_STSDYn1IFDPWt_1FKiwhDph83XaGc0o0/edit?usp=sharing"",""งบพรบ!DP39"")"),0)</f>
        <v>0</v>
      </c>
      <c r="M39" s="84">
        <f t="shared" ca="1" si="5"/>
        <v>0</v>
      </c>
      <c r="N39" s="84">
        <f t="shared" ca="1" si="6"/>
        <v>0</v>
      </c>
      <c r="O39" s="85">
        <f ca="1">IFERROR(__xludf.DUMMYFUNCTION("IMPORTRANGE(""https://docs.google.com/spreadsheets/d/1MeEWN-I1oV_STSDYn1IFDPWt_1FKiwhDph83XaGc0o0/edit?usp=sharing"",""งบพรบ!DQ39"")"),0)</f>
        <v>0</v>
      </c>
      <c r="P39" s="85">
        <f t="shared" ca="1" si="32"/>
        <v>0</v>
      </c>
      <c r="Q39" s="84">
        <f t="shared" ca="1" si="8"/>
        <v>0</v>
      </c>
      <c r="R39" s="323">
        <f ca="1">IFERROR(__xludf.DUMMYFUNCTION("IMPORTRANGE(""https://docs.google.com/spreadsheets/d/19GOkiOqnzYbevLYWrMk4qFOXe3rX14BkSA8X-mq-a40/edit?usp=sharing"",""มหาสารคาม!I287"")"),0)</f>
        <v>0</v>
      </c>
      <c r="S39" s="323">
        <f ca="1">IFERROR(__xludf.DUMMYFUNCTION("IMPORTRANGE(""https://docs.google.com/spreadsheets/d/19GOkiOqnzYbevLYWrMk4qFOXe3rX14BkSA8X-mq-a40/edit?usp=sharing"",""มหาสารคาม!J287"")"),0)</f>
        <v>0</v>
      </c>
      <c r="T39" s="324">
        <f t="shared" ca="1" si="27"/>
        <v>0</v>
      </c>
      <c r="U39" s="323">
        <f ca="1">IFERROR(__xludf.DUMMYFUNCTION("IMPORTRANGE(""https://docs.google.com/spreadsheets/d/19GOkiOqnzYbevLYWrMk4qFOXe3rX14BkSA8X-mq-a40/edit?usp=sharing"",""มหาสารคาม!I288"")"),0)</f>
        <v>0</v>
      </c>
      <c r="V39" s="323">
        <f ca="1">IFERROR(__xludf.DUMMYFUNCTION("IMPORTRANGE(""https://docs.google.com/spreadsheets/d/19GOkiOqnzYbevLYWrMk4qFOXe3rX14BkSA8X-mq-a40/edit?usp=sharing"",""มหาสารคาม!J288"")"),0)</f>
        <v>0</v>
      </c>
      <c r="W39" s="324">
        <f t="shared" ca="1" si="28"/>
        <v>0</v>
      </c>
      <c r="X39" s="323">
        <f ca="1">IFERROR(__xludf.DUMMYFUNCTION("IMPORTRANGE(""https://docs.google.com/spreadsheets/d/19GOkiOqnzYbevLYWrMk4qFOXe3rX14BkSA8X-mq-a40/edit?usp=sharing"",""มหาสารคาม!I290"")"),0)</f>
        <v>0</v>
      </c>
      <c r="Y39" s="323">
        <f ca="1">IFERROR(__xludf.DUMMYFUNCTION("IMPORTRANGE(""https://docs.google.com/spreadsheets/d/19GOkiOqnzYbevLYWrMk4qFOXe3rX14BkSA8X-mq-a40/edit?usp=sharing"",""มหาสารคาม!J290"")"),0)</f>
        <v>0</v>
      </c>
      <c r="Z39" s="324">
        <f t="shared" ca="1" si="29"/>
        <v>0</v>
      </c>
      <c r="AA39" s="323">
        <f ca="1">IFERROR(__xludf.DUMMYFUNCTION("IMPORTRANGE(""https://docs.google.com/spreadsheets/d/19GOkiOqnzYbevLYWrMk4qFOXe3rX14BkSA8X-mq-a40/edit?usp=sharing"",""มหาสารคาม!J291"")"),0)</f>
        <v>0</v>
      </c>
      <c r="AB39" s="324">
        <f t="shared" ca="1" si="15"/>
        <v>0</v>
      </c>
      <c r="AC39" s="323">
        <f ca="1">IFERROR(__xludf.DUMMYFUNCTION("IMPORTRANGE(""https://docs.google.com/spreadsheets/d/19GOkiOqnzYbevLYWrMk4qFOXe3rX14BkSA8X-mq-a40/edit?usp=sharing"",""มหาสารคาม!I293"")"),0)</f>
        <v>0</v>
      </c>
      <c r="AD39" s="323">
        <f ca="1">IFERROR(__xludf.DUMMYFUNCTION("IMPORTRANGE(""https://docs.google.com/spreadsheets/d/19GOkiOqnzYbevLYWrMk4qFOXe3rX14BkSA8X-mq-a40/edit?usp=sharing"",""มหาสารคาม!J293"")"),0)</f>
        <v>0</v>
      </c>
      <c r="AE39" s="324">
        <f t="shared" ca="1" si="30"/>
        <v>0</v>
      </c>
      <c r="AF39" s="323">
        <f ca="1">IFERROR(__xludf.DUMMYFUNCTION("IMPORTRANGE(""https://docs.google.com/spreadsheets/d/19GOkiOqnzYbevLYWrMk4qFOXe3rX14BkSA8X-mq-a40/edit?usp=sharing"",""มหาสารคาม!J294"")"),0)</f>
        <v>0</v>
      </c>
      <c r="AG39" s="324">
        <f t="shared" ca="1" si="18"/>
        <v>0</v>
      </c>
    </row>
    <row r="40" spans="1:33" ht="21" customHeight="1" x14ac:dyDescent="0.2">
      <c r="A40" s="78">
        <v>9</v>
      </c>
      <c r="B40" s="79" t="s">
        <v>62</v>
      </c>
      <c r="C40" s="80">
        <f t="shared" ca="1" si="0"/>
        <v>22630</v>
      </c>
      <c r="D40" s="81">
        <f t="shared" ca="1" si="43"/>
        <v>22630</v>
      </c>
      <c r="E40" s="82">
        <f ca="1">IFERROR(__xludf.DUMMYFUNCTION("IMPORTRANGE(""https://docs.google.com/spreadsheets/d/1MeEWN-I1oV_STSDYn1IFDPWt_1FKiwhDph83XaGc0o0/edit?usp=sharing"",""งบพรบ!DJ40"")"),0)</f>
        <v>0</v>
      </c>
      <c r="F40" s="82">
        <f ca="1">IFERROR(__xludf.DUMMYFUNCTION("IMPORTRANGE(""https://docs.google.com/spreadsheets/d/1MeEWN-I1oV_STSDYn1IFDPWt_1FKiwhDph83XaGc0o0/edit?usp=sharing"",""งบพรบ!DK40"")"),22630)</f>
        <v>22630</v>
      </c>
      <c r="G40" s="82">
        <f ca="1">IFERROR(__xludf.DUMMYFUNCTION("IMPORTRANGE(""https://docs.google.com/spreadsheets/d/1MeEWN-I1oV_STSDYn1IFDPWt_1FKiwhDph83XaGc0o0/edit?usp=sharing"",""งบพรบ!DL40"")"),0)</f>
        <v>0</v>
      </c>
      <c r="H40" s="82">
        <f ca="1">IFERROR(__xludf.DUMMYFUNCTION("IMPORTRANGE(""https://docs.google.com/spreadsheets/d/1MeEWN-I1oV_STSDYn1IFDPWt_1FKiwhDph83XaGc0o0/edit?usp=sharing"",""งบพรบ!DN40"")"),22630)</f>
        <v>22630</v>
      </c>
      <c r="I40" s="82">
        <f ca="1">IFERROR(__xludf.DUMMYFUNCTION("IMPORTRANGE(""https://docs.google.com/spreadsheets/d/1MeEWN-I1oV_STSDYn1IFDPWt_1FKiwhDph83XaGc0o0/edit?usp=sharing"",""งบพรบ!DO40"")"),0)</f>
        <v>0</v>
      </c>
      <c r="J40" s="82">
        <f t="shared" ca="1" si="3"/>
        <v>9510</v>
      </c>
      <c r="K40" s="83">
        <f t="shared" ca="1" si="4"/>
        <v>42.02386212991604</v>
      </c>
      <c r="L40" s="82">
        <f ca="1">IFERROR(__xludf.DUMMYFUNCTION("IMPORTRANGE(""https://docs.google.com/spreadsheets/d/1MeEWN-I1oV_STSDYn1IFDPWt_1FKiwhDph83XaGc0o0/edit?usp=sharing"",""งบพรบ!DP40"")"),9510)</f>
        <v>9510</v>
      </c>
      <c r="M40" s="84">
        <f t="shared" ca="1" si="5"/>
        <v>42.02386212991604</v>
      </c>
      <c r="N40" s="84">
        <f t="shared" ca="1" si="6"/>
        <v>42.02386212991604</v>
      </c>
      <c r="O40" s="85">
        <f ca="1">IFERROR(__xludf.DUMMYFUNCTION("IMPORTRANGE(""https://docs.google.com/spreadsheets/d/1MeEWN-I1oV_STSDYn1IFDPWt_1FKiwhDph83XaGc0o0/edit?usp=sharing"",""งบพรบ!DQ40"")"),0)</f>
        <v>0</v>
      </c>
      <c r="P40" s="85">
        <f t="shared" ca="1" si="32"/>
        <v>0</v>
      </c>
      <c r="Q40" s="84">
        <f t="shared" ca="1" si="8"/>
        <v>0</v>
      </c>
      <c r="R40" s="323">
        <f ca="1">IFERROR(__xludf.DUMMYFUNCTION("IMPORTRANGE(""https://docs.google.com/spreadsheets/d/1uMKqWwuNQ-TCKboGA3Bb1qXb5uj2-faACNUINCz8PN4/edit?usp=sharing"",""มุกดาหาร!I287"")"),50)</f>
        <v>50</v>
      </c>
      <c r="S40" s="323">
        <f ca="1">IFERROR(__xludf.DUMMYFUNCTION("IMPORTRANGE(""https://docs.google.com/spreadsheets/d/1uMKqWwuNQ-TCKboGA3Bb1qXb5uj2-faACNUINCz8PN4/edit?usp=sharing"",""มุกดาหาร!J287"")"),0)</f>
        <v>0</v>
      </c>
      <c r="T40" s="324">
        <f t="shared" ca="1" si="27"/>
        <v>0</v>
      </c>
      <c r="U40" s="323">
        <f ca="1">IFERROR(__xludf.DUMMYFUNCTION("IMPORTRANGE(""https://docs.google.com/spreadsheets/d/1uMKqWwuNQ-TCKboGA3Bb1qXb5uj2-faACNUINCz8PN4/edit?usp=sharing"",""มุกดาหาร!I288"")"),5)</f>
        <v>5</v>
      </c>
      <c r="V40" s="323">
        <f ca="1">IFERROR(__xludf.DUMMYFUNCTION("IMPORTRANGE(""https://docs.google.com/spreadsheets/d/1uMKqWwuNQ-TCKboGA3Bb1qXb5uj2-faACNUINCz8PN4/edit?usp=sharing"",""มุกดาหาร!J288"")"),0)</f>
        <v>0</v>
      </c>
      <c r="W40" s="324">
        <f t="shared" ca="1" si="28"/>
        <v>0</v>
      </c>
      <c r="X40" s="323">
        <f ca="1">IFERROR(__xludf.DUMMYFUNCTION("IMPORTRANGE(""https://docs.google.com/spreadsheets/d/1uMKqWwuNQ-TCKboGA3Bb1qXb5uj2-faACNUINCz8PN4/edit?usp=sharing"",""มุกดาหาร!I290"")"),5)</f>
        <v>5</v>
      </c>
      <c r="Y40" s="323">
        <f ca="1">IFERROR(__xludf.DUMMYFUNCTION("IMPORTRANGE(""https://docs.google.com/spreadsheets/d/1uMKqWwuNQ-TCKboGA3Bb1qXb5uj2-faACNUINCz8PN4/edit?usp=sharing"",""มุกดาหาร!J290"")"),0)</f>
        <v>0</v>
      </c>
      <c r="Z40" s="324">
        <f t="shared" ca="1" si="29"/>
        <v>0</v>
      </c>
      <c r="AA40" s="323">
        <f ca="1">IFERROR(__xludf.DUMMYFUNCTION("IMPORTRANGE(""https://docs.google.com/spreadsheets/d/1uMKqWwuNQ-TCKboGA3Bb1qXb5uj2-faACNUINCz8PN4/edit?usp=sharing"",""มุกดาหาร!J291"")"),0)</f>
        <v>0</v>
      </c>
      <c r="AB40" s="324">
        <f t="shared" ca="1" si="15"/>
        <v>0</v>
      </c>
      <c r="AC40" s="323">
        <f ca="1">IFERROR(__xludf.DUMMYFUNCTION("IMPORTRANGE(""https://docs.google.com/spreadsheets/d/1uMKqWwuNQ-TCKboGA3Bb1qXb5uj2-faACNUINCz8PN4/edit?usp=sharing"",""มุกดาหาร!I293"")"),5)</f>
        <v>5</v>
      </c>
      <c r="AD40" s="323">
        <f ca="1">IFERROR(__xludf.DUMMYFUNCTION("IMPORTRANGE(""https://docs.google.com/spreadsheets/d/1uMKqWwuNQ-TCKboGA3Bb1qXb5uj2-faACNUINCz8PN4/edit?usp=sharing"",""มุกดาหาร!J293"")"),0)</f>
        <v>0</v>
      </c>
      <c r="AE40" s="324">
        <f t="shared" ca="1" si="30"/>
        <v>0</v>
      </c>
      <c r="AF40" s="323">
        <f ca="1">IFERROR(__xludf.DUMMYFUNCTION("IMPORTRANGE(""https://docs.google.com/spreadsheets/d/1uMKqWwuNQ-TCKboGA3Bb1qXb5uj2-faACNUINCz8PN4/edit?usp=sharing"",""มุกดาหาร!J294"")"),0)</f>
        <v>0</v>
      </c>
      <c r="AG40" s="324">
        <f t="shared" ca="1" si="18"/>
        <v>0</v>
      </c>
    </row>
    <row r="41" spans="1:33" ht="21" customHeight="1" x14ac:dyDescent="0.2">
      <c r="A41" s="78">
        <v>10</v>
      </c>
      <c r="B41" s="79" t="s">
        <v>63</v>
      </c>
      <c r="C41" s="80">
        <f t="shared" ca="1" si="0"/>
        <v>22630</v>
      </c>
      <c r="D41" s="81">
        <f t="shared" ca="1" si="43"/>
        <v>22630</v>
      </c>
      <c r="E41" s="82">
        <f ca="1">IFERROR(__xludf.DUMMYFUNCTION("IMPORTRANGE(""https://docs.google.com/spreadsheets/d/1MeEWN-I1oV_STSDYn1IFDPWt_1FKiwhDph83XaGc0o0/edit?usp=sharing"",""งบพรบ!DJ41"")"),0)</f>
        <v>0</v>
      </c>
      <c r="F41" s="82">
        <f ca="1">IFERROR(__xludf.DUMMYFUNCTION("IMPORTRANGE(""https://docs.google.com/spreadsheets/d/1MeEWN-I1oV_STSDYn1IFDPWt_1FKiwhDph83XaGc0o0/edit?usp=sharing"",""งบพรบ!DK41"")"),22630)</f>
        <v>22630</v>
      </c>
      <c r="G41" s="82">
        <f ca="1">IFERROR(__xludf.DUMMYFUNCTION("IMPORTRANGE(""https://docs.google.com/spreadsheets/d/1MeEWN-I1oV_STSDYn1IFDPWt_1FKiwhDph83XaGc0o0/edit?usp=sharing"",""งบพรบ!DL41"")"),0)</f>
        <v>0</v>
      </c>
      <c r="H41" s="82">
        <f ca="1">IFERROR(__xludf.DUMMYFUNCTION("IMPORTRANGE(""https://docs.google.com/spreadsheets/d/1MeEWN-I1oV_STSDYn1IFDPWt_1FKiwhDph83XaGc0o0/edit?usp=sharing"",""งบพรบ!DN41"")"),13100)</f>
        <v>13100</v>
      </c>
      <c r="I41" s="82">
        <f ca="1">IFERROR(__xludf.DUMMYFUNCTION("IMPORTRANGE(""https://docs.google.com/spreadsheets/d/1MeEWN-I1oV_STSDYn1IFDPWt_1FKiwhDph83XaGc0o0/edit?usp=sharing"",""งบพรบ!DO41"")"),0)</f>
        <v>0</v>
      </c>
      <c r="J41" s="82">
        <f t="shared" ca="1" si="3"/>
        <v>5160</v>
      </c>
      <c r="K41" s="83">
        <f t="shared" ca="1" si="4"/>
        <v>22.801590808661068</v>
      </c>
      <c r="L41" s="82">
        <f ca="1">IFERROR(__xludf.DUMMYFUNCTION("IMPORTRANGE(""https://docs.google.com/spreadsheets/d/1MeEWN-I1oV_STSDYn1IFDPWt_1FKiwhDph83XaGc0o0/edit?usp=sharing"",""งบพรบ!DP41"")"),5160)</f>
        <v>5160</v>
      </c>
      <c r="M41" s="84">
        <f t="shared" ca="1" si="5"/>
        <v>22.801590808661068</v>
      </c>
      <c r="N41" s="84">
        <f t="shared" ca="1" si="6"/>
        <v>39.389312977099237</v>
      </c>
      <c r="O41" s="85">
        <f ca="1">IFERROR(__xludf.DUMMYFUNCTION("IMPORTRANGE(""https://docs.google.com/spreadsheets/d/1MeEWN-I1oV_STSDYn1IFDPWt_1FKiwhDph83XaGc0o0/edit?usp=sharing"",""งบพรบ!DQ41"")"),0)</f>
        <v>0</v>
      </c>
      <c r="P41" s="85">
        <f t="shared" ca="1" si="32"/>
        <v>0</v>
      </c>
      <c r="Q41" s="84">
        <f t="shared" ca="1" si="8"/>
        <v>0</v>
      </c>
      <c r="R41" s="323">
        <f ca="1">IFERROR(__xludf.DUMMYFUNCTION("IMPORTRANGE(""https://docs.google.com/spreadsheets/d/1oKaccgDdQABndOzGr688Dbfxb_V3YcF67VqEPBtdzsc/edit?usp=sharing"",""ยโสธร!I287"")"),50)</f>
        <v>50</v>
      </c>
      <c r="S41" s="323">
        <f ca="1">IFERROR(__xludf.DUMMYFUNCTION("IMPORTRANGE(""https://docs.google.com/spreadsheets/d/1oKaccgDdQABndOzGr688Dbfxb_V3YcF67VqEPBtdzsc/edit?usp=sharing"",""ยโสธร!J287"")"),0)</f>
        <v>0</v>
      </c>
      <c r="T41" s="324">
        <f t="shared" ca="1" si="27"/>
        <v>0</v>
      </c>
      <c r="U41" s="323">
        <f ca="1">IFERROR(__xludf.DUMMYFUNCTION("IMPORTRANGE(""https://docs.google.com/spreadsheets/d/1oKaccgDdQABndOzGr688Dbfxb_V3YcF67VqEPBtdzsc/edit?usp=sharing"",""ยโสธร!I288"")"),5)</f>
        <v>5</v>
      </c>
      <c r="V41" s="323">
        <f ca="1">IFERROR(__xludf.DUMMYFUNCTION("IMPORTRANGE(""https://docs.google.com/spreadsheets/d/1oKaccgDdQABndOzGr688Dbfxb_V3YcF67VqEPBtdzsc/edit?usp=sharing"",""ยโสธร!J288"")"),0)</f>
        <v>0</v>
      </c>
      <c r="W41" s="324">
        <f t="shared" ca="1" si="28"/>
        <v>0</v>
      </c>
      <c r="X41" s="323">
        <f ca="1">IFERROR(__xludf.DUMMYFUNCTION("IMPORTRANGE(""https://docs.google.com/spreadsheets/d/1oKaccgDdQABndOzGr688Dbfxb_V3YcF67VqEPBtdzsc/edit?usp=sharing"",""ยโสธร!I290"")"),5)</f>
        <v>5</v>
      </c>
      <c r="Y41" s="323">
        <f ca="1">IFERROR(__xludf.DUMMYFUNCTION("IMPORTRANGE(""https://docs.google.com/spreadsheets/d/1oKaccgDdQABndOzGr688Dbfxb_V3YcF67VqEPBtdzsc/edit?usp=sharing"",""ยโสธร!J290"")"),0)</f>
        <v>0</v>
      </c>
      <c r="Z41" s="324">
        <f t="shared" ca="1" si="29"/>
        <v>0</v>
      </c>
      <c r="AA41" s="323">
        <f ca="1">IFERROR(__xludf.DUMMYFUNCTION("IMPORTRANGE(""https://docs.google.com/spreadsheets/d/1oKaccgDdQABndOzGr688Dbfxb_V3YcF67VqEPBtdzsc/edit?usp=sharing"",""ยโสธร!J291"")"),0)</f>
        <v>0</v>
      </c>
      <c r="AB41" s="324">
        <f t="shared" ca="1" si="15"/>
        <v>0</v>
      </c>
      <c r="AC41" s="323">
        <f ca="1">IFERROR(__xludf.DUMMYFUNCTION("IMPORTRANGE(""https://docs.google.com/spreadsheets/d/1oKaccgDdQABndOzGr688Dbfxb_V3YcF67VqEPBtdzsc/edit?usp=sharing"",""ยโสธร!I293"")"),5)</f>
        <v>5</v>
      </c>
      <c r="AD41" s="323">
        <f ca="1">IFERROR(__xludf.DUMMYFUNCTION("IMPORTRANGE(""https://docs.google.com/spreadsheets/d/1oKaccgDdQABndOzGr688Dbfxb_V3YcF67VqEPBtdzsc/edit?usp=sharing"",""ยโสธร!J293"")"),0)</f>
        <v>0</v>
      </c>
      <c r="AE41" s="324">
        <f t="shared" ca="1" si="30"/>
        <v>0</v>
      </c>
      <c r="AF41" s="323">
        <f ca="1">IFERROR(__xludf.DUMMYFUNCTION("IMPORTRANGE(""https://docs.google.com/spreadsheets/d/1oKaccgDdQABndOzGr688Dbfxb_V3YcF67VqEPBtdzsc/edit?usp=sharing"",""ยโสธร!J294"")"),0)</f>
        <v>0</v>
      </c>
      <c r="AG41" s="324">
        <f t="shared" ca="1" si="18"/>
        <v>0</v>
      </c>
    </row>
    <row r="42" spans="1:33" ht="21" customHeight="1" x14ac:dyDescent="0.2">
      <c r="A42" s="78">
        <v>11</v>
      </c>
      <c r="B42" s="79" t="s">
        <v>64</v>
      </c>
      <c r="C42" s="80">
        <f t="shared" ca="1" si="0"/>
        <v>147030</v>
      </c>
      <c r="D42" s="81">
        <f t="shared" ca="1" si="43"/>
        <v>147030</v>
      </c>
      <c r="E42" s="82">
        <f ca="1">IFERROR(__xludf.DUMMYFUNCTION("IMPORTRANGE(""https://docs.google.com/spreadsheets/d/1MeEWN-I1oV_STSDYn1IFDPWt_1FKiwhDph83XaGc0o0/edit?usp=sharing"",""งบพรบ!DJ42"")"),0)</f>
        <v>0</v>
      </c>
      <c r="F42" s="82">
        <f ca="1">IFERROR(__xludf.DUMMYFUNCTION("IMPORTRANGE(""https://docs.google.com/spreadsheets/d/1MeEWN-I1oV_STSDYn1IFDPWt_1FKiwhDph83XaGc0o0/edit?usp=sharing"",""งบพรบ!DK42"")"),147030)</f>
        <v>147030</v>
      </c>
      <c r="G42" s="82">
        <f ca="1">IFERROR(__xludf.DUMMYFUNCTION("IMPORTRANGE(""https://docs.google.com/spreadsheets/d/1MeEWN-I1oV_STSDYn1IFDPWt_1FKiwhDph83XaGc0o0/edit?usp=sharing"",""งบพรบ!DL42"")"),0)</f>
        <v>0</v>
      </c>
      <c r="H42" s="82">
        <f ca="1">IFERROR(__xludf.DUMMYFUNCTION("IMPORTRANGE(""https://docs.google.com/spreadsheets/d/1MeEWN-I1oV_STSDYn1IFDPWt_1FKiwhDph83XaGc0o0/edit?usp=sharing"",""งบพรบ!DN42"")"),70790)</f>
        <v>70790</v>
      </c>
      <c r="I42" s="82">
        <f ca="1">IFERROR(__xludf.DUMMYFUNCTION("IMPORTRANGE(""https://docs.google.com/spreadsheets/d/1MeEWN-I1oV_STSDYn1IFDPWt_1FKiwhDph83XaGc0o0/edit?usp=sharing"",""งบพรบ!DO42"")"),0)</f>
        <v>0</v>
      </c>
      <c r="J42" s="82">
        <f t="shared" ca="1" si="3"/>
        <v>70355</v>
      </c>
      <c r="K42" s="83">
        <f t="shared" ca="1" si="4"/>
        <v>47.850778752635513</v>
      </c>
      <c r="L42" s="82">
        <f ca="1">IFERROR(__xludf.DUMMYFUNCTION("IMPORTRANGE(""https://docs.google.com/spreadsheets/d/1MeEWN-I1oV_STSDYn1IFDPWt_1FKiwhDph83XaGc0o0/edit?usp=sharing"",""งบพรบ!DP42"")"),70355)</f>
        <v>70355</v>
      </c>
      <c r="M42" s="84">
        <f t="shared" ca="1" si="5"/>
        <v>47.850778752635513</v>
      </c>
      <c r="N42" s="84">
        <f t="shared" ca="1" si="6"/>
        <v>99.385506427461507</v>
      </c>
      <c r="O42" s="85">
        <f ca="1">IFERROR(__xludf.DUMMYFUNCTION("IMPORTRANGE(""https://docs.google.com/spreadsheets/d/1MeEWN-I1oV_STSDYn1IFDPWt_1FKiwhDph83XaGc0o0/edit?usp=sharing"",""งบพรบ!DQ42"")"),0)</f>
        <v>0</v>
      </c>
      <c r="P42" s="85">
        <f t="shared" ca="1" si="32"/>
        <v>0</v>
      </c>
      <c r="Q42" s="84">
        <f t="shared" ca="1" si="8"/>
        <v>0</v>
      </c>
      <c r="R42" s="323">
        <f ca="1">IFERROR(__xludf.DUMMYFUNCTION("IMPORTRANGE(""https://docs.google.com/spreadsheets/d/1BRgc8xKpxZ0PX-gauieMVkV_IOxKSotf0yW8MabGprQ/edit?usp=sharing"",""ร้อยเอ็ด!I287"")"),400)</f>
        <v>400</v>
      </c>
      <c r="S42" s="323">
        <f ca="1">IFERROR(__xludf.DUMMYFUNCTION("IMPORTRANGE(""https://docs.google.com/spreadsheets/d/1BRgc8xKpxZ0PX-gauieMVkV_IOxKSotf0yW8MabGprQ/edit?usp=sharing"",""ร้อยเอ็ด!J287"")"),400)</f>
        <v>400</v>
      </c>
      <c r="T42" s="324">
        <f t="shared" ca="1" si="27"/>
        <v>100</v>
      </c>
      <c r="U42" s="323">
        <f ca="1">IFERROR(__xludf.DUMMYFUNCTION("IMPORTRANGE(""https://docs.google.com/spreadsheets/d/1BRgc8xKpxZ0PX-gauieMVkV_IOxKSotf0yW8MabGprQ/edit?usp=sharing"",""ร้อยเอ็ด!I288"")"),40)</f>
        <v>40</v>
      </c>
      <c r="V42" s="323">
        <f ca="1">IFERROR(__xludf.DUMMYFUNCTION("IMPORTRANGE(""https://docs.google.com/spreadsheets/d/1BRgc8xKpxZ0PX-gauieMVkV_IOxKSotf0yW8MabGprQ/edit?usp=sharing"",""ร้อยเอ็ด!J288"")"),0)</f>
        <v>0</v>
      </c>
      <c r="W42" s="324">
        <f t="shared" ca="1" si="28"/>
        <v>0</v>
      </c>
      <c r="X42" s="323">
        <f ca="1">IFERROR(__xludf.DUMMYFUNCTION("IMPORTRANGE(""https://docs.google.com/spreadsheets/d/1BRgc8xKpxZ0PX-gauieMVkV_IOxKSotf0yW8MabGprQ/edit?usp=sharing"",""ร้อยเอ็ด!I290"")"),40)</f>
        <v>40</v>
      </c>
      <c r="Y42" s="323">
        <f ca="1">IFERROR(__xludf.DUMMYFUNCTION("IMPORTRANGE(""https://docs.google.com/spreadsheets/d/1BRgc8xKpxZ0PX-gauieMVkV_IOxKSotf0yW8MabGprQ/edit?usp=sharing"",""ร้อยเอ็ด!J290"")"),40)</f>
        <v>40</v>
      </c>
      <c r="Z42" s="324">
        <f t="shared" ca="1" si="29"/>
        <v>100</v>
      </c>
      <c r="AA42" s="323">
        <f ca="1">IFERROR(__xludf.DUMMYFUNCTION("IMPORTRANGE(""https://docs.google.com/spreadsheets/d/1BRgc8xKpxZ0PX-gauieMVkV_IOxKSotf0yW8MabGprQ/edit?usp=sharing"",""ร้อยเอ็ด!J291"")"),40)</f>
        <v>40</v>
      </c>
      <c r="AB42" s="324">
        <f t="shared" ca="1" si="15"/>
        <v>100</v>
      </c>
      <c r="AC42" s="323">
        <f ca="1">IFERROR(__xludf.DUMMYFUNCTION("IMPORTRANGE(""https://docs.google.com/spreadsheets/d/1BRgc8xKpxZ0PX-gauieMVkV_IOxKSotf0yW8MabGprQ/edit?usp=sharing"",""ร้อยเอ็ด!I293"")"),40)</f>
        <v>40</v>
      </c>
      <c r="AD42" s="323">
        <f ca="1">IFERROR(__xludf.DUMMYFUNCTION("IMPORTRANGE(""https://docs.google.com/spreadsheets/d/1BRgc8xKpxZ0PX-gauieMVkV_IOxKSotf0yW8MabGprQ/edit?usp=sharing"",""ร้อยเอ็ด!J293"")"),0)</f>
        <v>0</v>
      </c>
      <c r="AE42" s="324">
        <f t="shared" ca="1" si="30"/>
        <v>0</v>
      </c>
      <c r="AF42" s="323">
        <f ca="1">IFERROR(__xludf.DUMMYFUNCTION("IMPORTRANGE(""https://docs.google.com/spreadsheets/d/1BRgc8xKpxZ0PX-gauieMVkV_IOxKSotf0yW8MabGprQ/edit?usp=sharing"",""ร้อยเอ็ด!J294"")"),0)</f>
        <v>0</v>
      </c>
      <c r="AG42" s="324">
        <f t="shared" ca="1" si="18"/>
        <v>0</v>
      </c>
    </row>
    <row r="43" spans="1:33" ht="21" customHeight="1" x14ac:dyDescent="0.2">
      <c r="A43" s="78">
        <v>12</v>
      </c>
      <c r="B43" s="79" t="s">
        <v>65</v>
      </c>
      <c r="C43" s="80">
        <f t="shared" ca="1" si="0"/>
        <v>75640</v>
      </c>
      <c r="D43" s="81">
        <f t="shared" ca="1" si="43"/>
        <v>75640</v>
      </c>
      <c r="E43" s="82">
        <f ca="1">IFERROR(__xludf.DUMMYFUNCTION("IMPORTRANGE(""https://docs.google.com/spreadsheets/d/1MeEWN-I1oV_STSDYn1IFDPWt_1FKiwhDph83XaGc0o0/edit?usp=sharing"",""งบพรบ!DJ43"")"),0)</f>
        <v>0</v>
      </c>
      <c r="F43" s="82">
        <f ca="1">IFERROR(__xludf.DUMMYFUNCTION("IMPORTRANGE(""https://docs.google.com/spreadsheets/d/1MeEWN-I1oV_STSDYn1IFDPWt_1FKiwhDph83XaGc0o0/edit?usp=sharing"",""งบพรบ!DK43"")"),75640)</f>
        <v>75640</v>
      </c>
      <c r="G43" s="82">
        <f ca="1">IFERROR(__xludf.DUMMYFUNCTION("IMPORTRANGE(""https://docs.google.com/spreadsheets/d/1MeEWN-I1oV_STSDYn1IFDPWt_1FKiwhDph83XaGc0o0/edit?usp=sharing"",""งบพรบ!DL43"")"),0)</f>
        <v>0</v>
      </c>
      <c r="H43" s="82">
        <f ca="1">IFERROR(__xludf.DUMMYFUNCTION("IMPORTRANGE(""https://docs.google.com/spreadsheets/d/1MeEWN-I1oV_STSDYn1IFDPWt_1FKiwhDph83XaGc0o0/edit?usp=sharing"",""งบพรบ!DN43"")"),37520)</f>
        <v>37520</v>
      </c>
      <c r="I43" s="82">
        <f ca="1">IFERROR(__xludf.DUMMYFUNCTION("IMPORTRANGE(""https://docs.google.com/spreadsheets/d/1MeEWN-I1oV_STSDYn1IFDPWt_1FKiwhDph83XaGc0o0/edit?usp=sharing"",""งบพรบ!DO43"")"),0)</f>
        <v>0</v>
      </c>
      <c r="J43" s="82">
        <f t="shared" ca="1" si="3"/>
        <v>29640</v>
      </c>
      <c r="K43" s="83">
        <f t="shared" ca="1" si="4"/>
        <v>39.185616076150183</v>
      </c>
      <c r="L43" s="82">
        <f ca="1">IFERROR(__xludf.DUMMYFUNCTION("IMPORTRANGE(""https://docs.google.com/spreadsheets/d/1MeEWN-I1oV_STSDYn1IFDPWt_1FKiwhDph83XaGc0o0/edit?usp=sharing"",""งบพรบ!DP43"")"),29640)</f>
        <v>29640</v>
      </c>
      <c r="M43" s="84">
        <f t="shared" ca="1" si="5"/>
        <v>39.185616076150183</v>
      </c>
      <c r="N43" s="84">
        <f t="shared" ca="1" si="6"/>
        <v>78.997867803837948</v>
      </c>
      <c r="O43" s="85">
        <f ca="1">IFERROR(__xludf.DUMMYFUNCTION("IMPORTRANGE(""https://docs.google.com/spreadsheets/d/1MeEWN-I1oV_STSDYn1IFDPWt_1FKiwhDph83XaGc0o0/edit?usp=sharing"",""งบพรบ!DQ43"")"),0)</f>
        <v>0</v>
      </c>
      <c r="P43" s="85">
        <f t="shared" ca="1" si="32"/>
        <v>0</v>
      </c>
      <c r="Q43" s="84">
        <f t="shared" ca="1" si="8"/>
        <v>0</v>
      </c>
      <c r="R43" s="323">
        <f ca="1">IFERROR(__xludf.DUMMYFUNCTION("IMPORTRANGE(""https://docs.google.com/spreadsheets/d/1IdolZc-dfdgMwAm_KZxYJl1sUOcIgnbGQzbWOlddedo/edit?usp=sharing"",""เลย!I287"")"),200)</f>
        <v>200</v>
      </c>
      <c r="S43" s="323">
        <f ca="1">IFERROR(__xludf.DUMMYFUNCTION("IMPORTRANGE(""https://docs.google.com/spreadsheets/d/1IdolZc-dfdgMwAm_KZxYJl1sUOcIgnbGQzbWOlddedo/edit?usp=sharing"",""เลย!J287"")"),0)</f>
        <v>0</v>
      </c>
      <c r="T43" s="324">
        <f t="shared" ca="1" si="27"/>
        <v>0</v>
      </c>
      <c r="U43" s="323">
        <f ca="1">IFERROR(__xludf.DUMMYFUNCTION("IMPORTRANGE(""https://docs.google.com/spreadsheets/d/1IdolZc-dfdgMwAm_KZxYJl1sUOcIgnbGQzbWOlddedo/edit?usp=sharing"",""เลย!I288"")"),20)</f>
        <v>20</v>
      </c>
      <c r="V43" s="323">
        <f ca="1">IFERROR(__xludf.DUMMYFUNCTION("IMPORTRANGE(""https://docs.google.com/spreadsheets/d/1IdolZc-dfdgMwAm_KZxYJl1sUOcIgnbGQzbWOlddedo/edit?usp=sharing"",""เลย!J288"")"),0)</f>
        <v>0</v>
      </c>
      <c r="W43" s="324">
        <f t="shared" ca="1" si="28"/>
        <v>0</v>
      </c>
      <c r="X43" s="323">
        <f ca="1">IFERROR(__xludf.DUMMYFUNCTION("IMPORTRANGE(""https://docs.google.com/spreadsheets/d/1IdolZc-dfdgMwAm_KZxYJl1sUOcIgnbGQzbWOlddedo/edit?usp=sharing"",""เลย!I290"")"),20)</f>
        <v>20</v>
      </c>
      <c r="Y43" s="323">
        <f ca="1">IFERROR(__xludf.DUMMYFUNCTION("IMPORTRANGE(""https://docs.google.com/spreadsheets/d/1IdolZc-dfdgMwAm_KZxYJl1sUOcIgnbGQzbWOlddedo/edit?usp=sharing"",""เลย!J290"")"),0)</f>
        <v>0</v>
      </c>
      <c r="Z43" s="324">
        <f t="shared" ca="1" si="29"/>
        <v>0</v>
      </c>
      <c r="AA43" s="323">
        <f ca="1">IFERROR(__xludf.DUMMYFUNCTION("IMPORTRANGE(""https://docs.google.com/spreadsheets/d/1IdolZc-dfdgMwAm_KZxYJl1sUOcIgnbGQzbWOlddedo/edit?usp=sharing"",""เลย!J291"")"),0)</f>
        <v>0</v>
      </c>
      <c r="AB43" s="324">
        <f t="shared" ca="1" si="15"/>
        <v>0</v>
      </c>
      <c r="AC43" s="323">
        <f ca="1">IFERROR(__xludf.DUMMYFUNCTION("IMPORTRANGE(""https://docs.google.com/spreadsheets/d/1IdolZc-dfdgMwAm_KZxYJl1sUOcIgnbGQzbWOlddedo/edit?usp=sharing"",""เลย!I293"")"),20)</f>
        <v>20</v>
      </c>
      <c r="AD43" s="323">
        <f ca="1">IFERROR(__xludf.DUMMYFUNCTION("IMPORTRANGE(""https://docs.google.com/spreadsheets/d/1IdolZc-dfdgMwAm_KZxYJl1sUOcIgnbGQzbWOlddedo/edit?usp=sharing"",""เลย!J293"")"),0)</f>
        <v>0</v>
      </c>
      <c r="AE43" s="324">
        <f t="shared" ca="1" si="30"/>
        <v>0</v>
      </c>
      <c r="AF43" s="323">
        <f ca="1">IFERROR(__xludf.DUMMYFUNCTION("IMPORTRANGE(""https://docs.google.com/spreadsheets/d/1IdolZc-dfdgMwAm_KZxYJl1sUOcIgnbGQzbWOlddedo/edit?usp=sharing"",""เลย!J294"")"),0)</f>
        <v>0</v>
      </c>
      <c r="AG43" s="324">
        <f t="shared" ca="1" si="18"/>
        <v>0</v>
      </c>
    </row>
    <row r="44" spans="1:33" ht="21" customHeight="1" x14ac:dyDescent="0.2">
      <c r="A44" s="78">
        <v>13</v>
      </c>
      <c r="B44" s="79" t="s">
        <v>66</v>
      </c>
      <c r="C44" s="80">
        <f t="shared" ca="1" si="0"/>
        <v>41010</v>
      </c>
      <c r="D44" s="81">
        <f t="shared" ca="1" si="43"/>
        <v>41010</v>
      </c>
      <c r="E44" s="82">
        <f ca="1">IFERROR(__xludf.DUMMYFUNCTION("IMPORTRANGE(""https://docs.google.com/spreadsheets/d/1MeEWN-I1oV_STSDYn1IFDPWt_1FKiwhDph83XaGc0o0/edit?usp=sharing"",""งบพรบ!DJ44"")"),0)</f>
        <v>0</v>
      </c>
      <c r="F44" s="82">
        <f ca="1">IFERROR(__xludf.DUMMYFUNCTION("IMPORTRANGE(""https://docs.google.com/spreadsheets/d/1MeEWN-I1oV_STSDYn1IFDPWt_1FKiwhDph83XaGc0o0/edit?usp=sharing"",""งบพรบ!DK44"")"),41010)</f>
        <v>41010</v>
      </c>
      <c r="G44" s="82">
        <f ca="1">IFERROR(__xludf.DUMMYFUNCTION("IMPORTRANGE(""https://docs.google.com/spreadsheets/d/1MeEWN-I1oV_STSDYn1IFDPWt_1FKiwhDph83XaGc0o0/edit?usp=sharing"",""งบพรบ!DL44"")"),0)</f>
        <v>0</v>
      </c>
      <c r="H44" s="82">
        <f ca="1">IFERROR(__xludf.DUMMYFUNCTION("IMPORTRANGE(""https://docs.google.com/spreadsheets/d/1MeEWN-I1oV_STSDYn1IFDPWt_1FKiwhDph83XaGc0o0/edit?usp=sharing"",""งบพรบ!DN44"")"),21950)</f>
        <v>21950</v>
      </c>
      <c r="I44" s="82">
        <f ca="1">IFERROR(__xludf.DUMMYFUNCTION("IMPORTRANGE(""https://docs.google.com/spreadsheets/d/1MeEWN-I1oV_STSDYn1IFDPWt_1FKiwhDph83XaGc0o0/edit?usp=sharing"",""งบพรบ!DO44"")"),0)</f>
        <v>0</v>
      </c>
      <c r="J44" s="82">
        <f t="shared" ca="1" si="3"/>
        <v>12895.14</v>
      </c>
      <c r="K44" s="83">
        <f t="shared" ca="1" si="4"/>
        <v>31.443891733723483</v>
      </c>
      <c r="L44" s="82">
        <f ca="1">IFERROR(__xludf.DUMMYFUNCTION("IMPORTRANGE(""https://docs.google.com/spreadsheets/d/1MeEWN-I1oV_STSDYn1IFDPWt_1FKiwhDph83XaGc0o0/edit?usp=sharing"",""งบพรบ!DP44"")"),12895.14)</f>
        <v>12895.14</v>
      </c>
      <c r="M44" s="84">
        <f t="shared" ca="1" si="5"/>
        <v>31.443891733723483</v>
      </c>
      <c r="N44" s="84">
        <f t="shared" ca="1" si="6"/>
        <v>58.747790432801821</v>
      </c>
      <c r="O44" s="85">
        <f ca="1">IFERROR(__xludf.DUMMYFUNCTION("IMPORTRANGE(""https://docs.google.com/spreadsheets/d/1MeEWN-I1oV_STSDYn1IFDPWt_1FKiwhDph83XaGc0o0/edit?usp=sharing"",""งบพรบ!DQ44"")"),0)</f>
        <v>0</v>
      </c>
      <c r="P44" s="85">
        <f t="shared" ca="1" si="32"/>
        <v>0</v>
      </c>
      <c r="Q44" s="84">
        <f t="shared" ca="1" si="8"/>
        <v>0</v>
      </c>
      <c r="R44" s="323">
        <f ca="1">IFERROR(__xludf.DUMMYFUNCTION("IMPORTRANGE(""https://docs.google.com/spreadsheets/d/1tZ0nmtGuIRCaGAMXHlQU8EpR9LOAJvyKfc4f7EFmE34/edit?usp=sharing"",""ศรีสะเกษ!I287"")"),100)</f>
        <v>100</v>
      </c>
      <c r="S44" s="323">
        <f ca="1">IFERROR(__xludf.DUMMYFUNCTION("IMPORTRANGE(""https://docs.google.com/spreadsheets/d/1tZ0nmtGuIRCaGAMXHlQU8EpR9LOAJvyKfc4f7EFmE34/edit?usp=sharing"",""ศรีสะเกษ!J287"")"),100)</f>
        <v>100</v>
      </c>
      <c r="T44" s="324">
        <f t="shared" ca="1" si="27"/>
        <v>100</v>
      </c>
      <c r="U44" s="323">
        <f ca="1">IFERROR(__xludf.DUMMYFUNCTION("IMPORTRANGE(""https://docs.google.com/spreadsheets/d/1tZ0nmtGuIRCaGAMXHlQU8EpR9LOAJvyKfc4f7EFmE34/edit?usp=sharing"",""ศรีสะเกษ!I288"")"),10)</f>
        <v>10</v>
      </c>
      <c r="V44" s="323">
        <f ca="1">IFERROR(__xludf.DUMMYFUNCTION("IMPORTRANGE(""https://docs.google.com/spreadsheets/d/1tZ0nmtGuIRCaGAMXHlQU8EpR9LOAJvyKfc4f7EFmE34/edit?usp=sharing"",""ศรีสะเกษ!J288"")"),0)</f>
        <v>0</v>
      </c>
      <c r="W44" s="324">
        <f t="shared" ca="1" si="28"/>
        <v>0</v>
      </c>
      <c r="X44" s="323">
        <f ca="1">IFERROR(__xludf.DUMMYFUNCTION("IMPORTRANGE(""https://docs.google.com/spreadsheets/d/1tZ0nmtGuIRCaGAMXHlQU8EpR9LOAJvyKfc4f7EFmE34/edit?usp=sharing"",""ศรีสะเกษ!I290"")"),10)</f>
        <v>10</v>
      </c>
      <c r="Y44" s="323">
        <f ca="1">IFERROR(__xludf.DUMMYFUNCTION("IMPORTRANGE(""https://docs.google.com/spreadsheets/d/1tZ0nmtGuIRCaGAMXHlQU8EpR9LOAJvyKfc4f7EFmE34/edit?usp=sharing"",""ศรีสะเกษ!J290"")"),10)</f>
        <v>10</v>
      </c>
      <c r="Z44" s="324">
        <f t="shared" ca="1" si="29"/>
        <v>100</v>
      </c>
      <c r="AA44" s="323">
        <f ca="1">IFERROR(__xludf.DUMMYFUNCTION("IMPORTRANGE(""https://docs.google.com/spreadsheets/d/1tZ0nmtGuIRCaGAMXHlQU8EpR9LOAJvyKfc4f7EFmE34/edit?usp=sharing"",""ศรีสะเกษ!J291"")"),10)</f>
        <v>10</v>
      </c>
      <c r="AB44" s="324">
        <f t="shared" ca="1" si="15"/>
        <v>100</v>
      </c>
      <c r="AC44" s="323">
        <f ca="1">IFERROR(__xludf.DUMMYFUNCTION("IMPORTRANGE(""https://docs.google.com/spreadsheets/d/1tZ0nmtGuIRCaGAMXHlQU8EpR9LOAJvyKfc4f7EFmE34/edit?usp=sharing"",""ศรีสะเกษ!I293"")"),10)</f>
        <v>10</v>
      </c>
      <c r="AD44" s="323">
        <f ca="1">IFERROR(__xludf.DUMMYFUNCTION("IMPORTRANGE(""https://docs.google.com/spreadsheets/d/1tZ0nmtGuIRCaGAMXHlQU8EpR9LOAJvyKfc4f7EFmE34/edit?usp=sharing"",""ศรีสะเกษ!J293"")"),0)</f>
        <v>0</v>
      </c>
      <c r="AE44" s="324">
        <f t="shared" ca="1" si="30"/>
        <v>0</v>
      </c>
      <c r="AF44" s="323">
        <f ca="1">IFERROR(__xludf.DUMMYFUNCTION("IMPORTRANGE(""https://docs.google.com/spreadsheets/d/1tZ0nmtGuIRCaGAMXHlQU8EpR9LOAJvyKfc4f7EFmE34/edit?usp=sharing"",""ศรีสะเกษ!J294"")"),0)</f>
        <v>0</v>
      </c>
      <c r="AG44" s="324">
        <f t="shared" ca="1" si="18"/>
        <v>0</v>
      </c>
    </row>
    <row r="45" spans="1:33" ht="21" customHeight="1" x14ac:dyDescent="0.2">
      <c r="A45" s="78">
        <v>14</v>
      </c>
      <c r="B45" s="79" t="s">
        <v>67</v>
      </c>
      <c r="C45" s="80">
        <f t="shared" ca="1" si="0"/>
        <v>111710</v>
      </c>
      <c r="D45" s="81">
        <f t="shared" ca="1" si="43"/>
        <v>111710</v>
      </c>
      <c r="E45" s="82">
        <f ca="1">IFERROR(__xludf.DUMMYFUNCTION("IMPORTRANGE(""https://docs.google.com/spreadsheets/d/1MeEWN-I1oV_STSDYn1IFDPWt_1FKiwhDph83XaGc0o0/edit?usp=sharing"",""งบพรบ!DJ45"")"),0)</f>
        <v>0</v>
      </c>
      <c r="F45" s="82">
        <f ca="1">IFERROR(__xludf.DUMMYFUNCTION("IMPORTRANGE(""https://docs.google.com/spreadsheets/d/1MeEWN-I1oV_STSDYn1IFDPWt_1FKiwhDph83XaGc0o0/edit?usp=sharing"",""งบพรบ!DK45"")"),111710)</f>
        <v>111710</v>
      </c>
      <c r="G45" s="82">
        <f ca="1">IFERROR(__xludf.DUMMYFUNCTION("IMPORTRANGE(""https://docs.google.com/spreadsheets/d/1MeEWN-I1oV_STSDYn1IFDPWt_1FKiwhDph83XaGc0o0/edit?usp=sharing"",""งบพรบ!DL45"")"),0)</f>
        <v>0</v>
      </c>
      <c r="H45" s="82">
        <f ca="1">IFERROR(__xludf.DUMMYFUNCTION("IMPORTRANGE(""https://docs.google.com/spreadsheets/d/1MeEWN-I1oV_STSDYn1IFDPWt_1FKiwhDph83XaGc0o0/edit?usp=sharing"",""งบพรบ!DN45"")"),54530)</f>
        <v>54530</v>
      </c>
      <c r="I45" s="82">
        <f ca="1">IFERROR(__xludf.DUMMYFUNCTION("IMPORTRANGE(""https://docs.google.com/spreadsheets/d/1MeEWN-I1oV_STSDYn1IFDPWt_1FKiwhDph83XaGc0o0/edit?usp=sharing"",""งบพรบ!DO45"")"),0)</f>
        <v>0</v>
      </c>
      <c r="J45" s="82">
        <f t="shared" ca="1" si="3"/>
        <v>34435</v>
      </c>
      <c r="K45" s="83">
        <f t="shared" ca="1" si="4"/>
        <v>30.825351356190136</v>
      </c>
      <c r="L45" s="82">
        <f ca="1">IFERROR(__xludf.DUMMYFUNCTION("IMPORTRANGE(""https://docs.google.com/spreadsheets/d/1MeEWN-I1oV_STSDYn1IFDPWt_1FKiwhDph83XaGc0o0/edit?usp=sharing"",""งบพรบ!DP45"")"),34435)</f>
        <v>34435</v>
      </c>
      <c r="M45" s="84">
        <f t="shared" ca="1" si="5"/>
        <v>30.825351356190136</v>
      </c>
      <c r="N45" s="84">
        <f t="shared" ca="1" si="6"/>
        <v>63.14872547221713</v>
      </c>
      <c r="O45" s="85">
        <f ca="1">IFERROR(__xludf.DUMMYFUNCTION("IMPORTRANGE(""https://docs.google.com/spreadsheets/d/1MeEWN-I1oV_STSDYn1IFDPWt_1FKiwhDph83XaGc0o0/edit?usp=sharing"",""งบพรบ!DQ45"")"),0)</f>
        <v>0</v>
      </c>
      <c r="P45" s="85">
        <f t="shared" ca="1" si="32"/>
        <v>0</v>
      </c>
      <c r="Q45" s="84">
        <f t="shared" ca="1" si="8"/>
        <v>0</v>
      </c>
      <c r="R45" s="323">
        <f ca="1">IFERROR(__xludf.DUMMYFUNCTION("IMPORTRANGE(""https://docs.google.com/spreadsheets/d/1QC8psz9w0f9IVE9Xuc2FT_btkaOzZbbUSgYObpBuetM/edit?usp=sharing"",""สกลนคร!I287"")"),300)</f>
        <v>300</v>
      </c>
      <c r="S45" s="323">
        <f ca="1">IFERROR(__xludf.DUMMYFUNCTION("IMPORTRANGE(""https://docs.google.com/spreadsheets/d/1QC8psz9w0f9IVE9Xuc2FT_btkaOzZbbUSgYObpBuetM/edit?usp=sharing"",""สกลนคร!J287"")"),300)</f>
        <v>300</v>
      </c>
      <c r="T45" s="324">
        <f t="shared" ca="1" si="27"/>
        <v>100</v>
      </c>
      <c r="U45" s="323">
        <f ca="1">IFERROR(__xludf.DUMMYFUNCTION("IMPORTRANGE(""https://docs.google.com/spreadsheets/d/1QC8psz9w0f9IVE9Xuc2FT_btkaOzZbbUSgYObpBuetM/edit?usp=sharing"",""สกลนคร!I288"")"),30)</f>
        <v>30</v>
      </c>
      <c r="V45" s="323">
        <f ca="1">IFERROR(__xludf.DUMMYFUNCTION("IMPORTRANGE(""https://docs.google.com/spreadsheets/d/1QC8psz9w0f9IVE9Xuc2FT_btkaOzZbbUSgYObpBuetM/edit?usp=sharing"",""สกลนคร!J288"")"),0)</f>
        <v>0</v>
      </c>
      <c r="W45" s="324">
        <f t="shared" ca="1" si="28"/>
        <v>0</v>
      </c>
      <c r="X45" s="323">
        <f ca="1">IFERROR(__xludf.DUMMYFUNCTION("IMPORTRANGE(""https://docs.google.com/spreadsheets/d/1QC8psz9w0f9IVE9Xuc2FT_btkaOzZbbUSgYObpBuetM/edit?usp=sharing"",""สกลนคร!I290"")"),30)</f>
        <v>30</v>
      </c>
      <c r="Y45" s="323">
        <f ca="1">IFERROR(__xludf.DUMMYFUNCTION("IMPORTRANGE(""https://docs.google.com/spreadsheets/d/1QC8psz9w0f9IVE9Xuc2FT_btkaOzZbbUSgYObpBuetM/edit?usp=sharing"",""สกลนคร!J290"")"),30)</f>
        <v>30</v>
      </c>
      <c r="Z45" s="324">
        <f t="shared" ca="1" si="29"/>
        <v>100</v>
      </c>
      <c r="AA45" s="323" t="str">
        <f ca="1">IFERROR(__xludf.DUMMYFUNCTION("IMPORTRANGE(""https://docs.google.com/spreadsheets/d/1QC8psz9w0f9IVE9Xuc2FT_btkaOzZbbUSgYObpBuetM/edit?usp=sharing"",""สกลนคร!J291"")"),"")</f>
        <v/>
      </c>
      <c r="AB45" s="324" t="e">
        <f t="shared" ca="1" si="15"/>
        <v>#VALUE!</v>
      </c>
      <c r="AC45" s="323">
        <f ca="1">IFERROR(__xludf.DUMMYFUNCTION("IMPORTRANGE(""https://docs.google.com/spreadsheets/d/1QC8psz9w0f9IVE9Xuc2FT_btkaOzZbbUSgYObpBuetM/edit?usp=sharing"",""สกลนคร!I293"")"),30)</f>
        <v>30</v>
      </c>
      <c r="AD45" s="323">
        <f ca="1">IFERROR(__xludf.DUMMYFUNCTION("IMPORTRANGE(""https://docs.google.com/spreadsheets/d/1QC8psz9w0f9IVE9Xuc2FT_btkaOzZbbUSgYObpBuetM/edit?usp=sharing"",""สกลนคร!J293"")"),0)</f>
        <v>0</v>
      </c>
      <c r="AE45" s="324">
        <f t="shared" ca="1" si="30"/>
        <v>0</v>
      </c>
      <c r="AF45" s="323">
        <f ca="1">IFERROR(__xludf.DUMMYFUNCTION("IMPORTRANGE(""https://docs.google.com/spreadsheets/d/1QC8psz9w0f9IVE9Xuc2FT_btkaOzZbbUSgYObpBuetM/edit?usp=sharing"",""สกลนคร!J294"")"),0)</f>
        <v>0</v>
      </c>
      <c r="AG45" s="324">
        <f t="shared" ca="1" si="18"/>
        <v>0</v>
      </c>
    </row>
    <row r="46" spans="1:33" ht="21" customHeight="1" x14ac:dyDescent="0.2">
      <c r="A46" s="78">
        <v>15</v>
      </c>
      <c r="B46" s="79" t="s">
        <v>68</v>
      </c>
      <c r="C46" s="80">
        <f t="shared" ca="1" si="0"/>
        <v>542220</v>
      </c>
      <c r="D46" s="81">
        <f t="shared" ca="1" si="43"/>
        <v>542220</v>
      </c>
      <c r="E46" s="82">
        <f ca="1">IFERROR(__xludf.DUMMYFUNCTION("IMPORTRANGE(""https://docs.google.com/spreadsheets/d/1MeEWN-I1oV_STSDYn1IFDPWt_1FKiwhDph83XaGc0o0/edit?usp=sharing"",""งบพรบ!DJ46"")"),448200)</f>
        <v>448200</v>
      </c>
      <c r="F46" s="82">
        <f ca="1">IFERROR(__xludf.DUMMYFUNCTION("IMPORTRANGE(""https://docs.google.com/spreadsheets/d/1MeEWN-I1oV_STSDYn1IFDPWt_1FKiwhDph83XaGc0o0/edit?usp=sharing"",""งบพรบ!DK46"")"),94020)</f>
        <v>94020</v>
      </c>
      <c r="G46" s="82">
        <f ca="1">IFERROR(__xludf.DUMMYFUNCTION("IMPORTRANGE(""https://docs.google.com/spreadsheets/d/1MeEWN-I1oV_STSDYn1IFDPWt_1FKiwhDph83XaGc0o0/edit?usp=sharing"",""งบพรบ!DL46"")"),0)</f>
        <v>0</v>
      </c>
      <c r="H46" s="82">
        <f ca="1">IFERROR(__xludf.DUMMYFUNCTION("IMPORTRANGE(""https://docs.google.com/spreadsheets/d/1MeEWN-I1oV_STSDYn1IFDPWt_1FKiwhDph83XaGc0o0/edit?usp=sharing"",""งบพรบ!DN46"")"),376020)</f>
        <v>376020</v>
      </c>
      <c r="I46" s="82">
        <f ca="1">IFERROR(__xludf.DUMMYFUNCTION("IMPORTRANGE(""https://docs.google.com/spreadsheets/d/1MeEWN-I1oV_STSDYn1IFDPWt_1FKiwhDph83XaGc0o0/edit?usp=sharing"",""งบพรบ!DO46"")"),0)</f>
        <v>0</v>
      </c>
      <c r="J46" s="82">
        <f t="shared" ca="1" si="3"/>
        <v>199937.9</v>
      </c>
      <c r="K46" s="83">
        <f t="shared" ca="1" si="4"/>
        <v>36.873944155508831</v>
      </c>
      <c r="L46" s="82">
        <f ca="1">IFERROR(__xludf.DUMMYFUNCTION("IMPORTRANGE(""https://docs.google.com/spreadsheets/d/1MeEWN-I1oV_STSDYn1IFDPWt_1FKiwhDph83XaGc0o0/edit?usp=sharing"",""งบพรบ!DP46"")"),199937.9)</f>
        <v>199937.9</v>
      </c>
      <c r="M46" s="84">
        <f t="shared" ca="1" si="5"/>
        <v>36.873944155508831</v>
      </c>
      <c r="N46" s="84">
        <f t="shared" ca="1" si="6"/>
        <v>53.172145098664963</v>
      </c>
      <c r="O46" s="85">
        <f ca="1">IFERROR(__xludf.DUMMYFUNCTION("IMPORTRANGE(""https://docs.google.com/spreadsheets/d/1MeEWN-I1oV_STSDYn1IFDPWt_1FKiwhDph83XaGc0o0/edit?usp=sharing"",""งบพรบ!DQ46"")"),0)</f>
        <v>0</v>
      </c>
      <c r="P46" s="85">
        <f t="shared" ca="1" si="32"/>
        <v>0</v>
      </c>
      <c r="Q46" s="84">
        <f t="shared" ca="1" si="8"/>
        <v>0</v>
      </c>
      <c r="R46" s="323">
        <f ca="1">IFERROR(__xludf.DUMMYFUNCTION("IMPORTRANGE(""https://docs.google.com/spreadsheets/d/1wPdvRbu02d33MYVlbsCnyTiZpefEBs9NNktAnT1HZvw/edit?usp=sharing"",""สุรินทร์!I287"")"),250)</f>
        <v>250</v>
      </c>
      <c r="S46" s="323">
        <f ca="1">IFERROR(__xludf.DUMMYFUNCTION("IMPORTRANGE(""https://docs.google.com/spreadsheets/d/1wPdvRbu02d33MYVlbsCnyTiZpefEBs9NNktAnT1HZvw/edit?usp=sharing"",""สุรินทร์!J287"")"),250)</f>
        <v>250</v>
      </c>
      <c r="T46" s="324">
        <f t="shared" ca="1" si="27"/>
        <v>100</v>
      </c>
      <c r="U46" s="323">
        <f ca="1">IFERROR(__xludf.DUMMYFUNCTION("IMPORTRANGE(""https://docs.google.com/spreadsheets/d/1wPdvRbu02d33MYVlbsCnyTiZpefEBs9NNktAnT1HZvw/edit?usp=sharing"",""สุรินทร์!I288"")"),25)</f>
        <v>25</v>
      </c>
      <c r="V46" s="323">
        <f ca="1">IFERROR(__xludf.DUMMYFUNCTION("IMPORTRANGE(""https://docs.google.com/spreadsheets/d/1wPdvRbu02d33MYVlbsCnyTiZpefEBs9NNktAnT1HZvw/edit?usp=sharing"",""สุรินทร์!J288"")"),25)</f>
        <v>25</v>
      </c>
      <c r="W46" s="324">
        <f t="shared" ca="1" si="28"/>
        <v>100</v>
      </c>
      <c r="X46" s="323">
        <f ca="1">IFERROR(__xludf.DUMMYFUNCTION("IMPORTRANGE(""https://docs.google.com/spreadsheets/d/1wPdvRbu02d33MYVlbsCnyTiZpefEBs9NNktAnT1HZvw/edit?usp=sharing"",""สุรินทร์!I290"")"),25)</f>
        <v>25</v>
      </c>
      <c r="Y46" s="323">
        <f ca="1">IFERROR(__xludf.DUMMYFUNCTION("IMPORTRANGE(""https://docs.google.com/spreadsheets/d/1wPdvRbu02d33MYVlbsCnyTiZpefEBs9NNktAnT1HZvw/edit?usp=sharing"",""สุรินทร์!J290"")"),25)</f>
        <v>25</v>
      </c>
      <c r="Z46" s="324">
        <f t="shared" ca="1" si="29"/>
        <v>100</v>
      </c>
      <c r="AA46" s="323">
        <f ca="1">IFERROR(__xludf.DUMMYFUNCTION("IMPORTRANGE(""https://docs.google.com/spreadsheets/d/1wPdvRbu02d33MYVlbsCnyTiZpefEBs9NNktAnT1HZvw/edit?usp=sharing"",""สุรินทร์!J291"")"),25)</f>
        <v>25</v>
      </c>
      <c r="AB46" s="324">
        <f t="shared" ca="1" si="15"/>
        <v>100</v>
      </c>
      <c r="AC46" s="323">
        <f ca="1">IFERROR(__xludf.DUMMYFUNCTION("IMPORTRANGE(""https://docs.google.com/spreadsheets/d/1wPdvRbu02d33MYVlbsCnyTiZpefEBs9NNktAnT1HZvw/edit?usp=sharing"",""สุรินทร์!I293"")"),25)</f>
        <v>25</v>
      </c>
      <c r="AD46" s="323">
        <f ca="1">IFERROR(__xludf.DUMMYFUNCTION("IMPORTRANGE(""https://docs.google.com/spreadsheets/d/1wPdvRbu02d33MYVlbsCnyTiZpefEBs9NNktAnT1HZvw/edit?usp=sharing"",""สุรินทร์!J293"")"),25)</f>
        <v>25</v>
      </c>
      <c r="AE46" s="324">
        <f t="shared" ca="1" si="30"/>
        <v>100</v>
      </c>
      <c r="AF46" s="323">
        <f ca="1">IFERROR(__xludf.DUMMYFUNCTION("IMPORTRANGE(""https://docs.google.com/spreadsheets/d/1wPdvRbu02d33MYVlbsCnyTiZpefEBs9NNktAnT1HZvw/edit?usp=sharing"",""สุรินทร์!J294"")"),25)</f>
        <v>25</v>
      </c>
      <c r="AG46" s="324">
        <f t="shared" ca="1" si="18"/>
        <v>100</v>
      </c>
    </row>
    <row r="47" spans="1:33" ht="21" customHeight="1" x14ac:dyDescent="0.2">
      <c r="A47" s="78">
        <v>16</v>
      </c>
      <c r="B47" s="79" t="s">
        <v>69</v>
      </c>
      <c r="C47" s="80">
        <f t="shared" ca="1" si="0"/>
        <v>22630</v>
      </c>
      <c r="D47" s="81">
        <f t="shared" ca="1" si="43"/>
        <v>22630</v>
      </c>
      <c r="E47" s="82">
        <f ca="1">IFERROR(__xludf.DUMMYFUNCTION("IMPORTRANGE(""https://docs.google.com/spreadsheets/d/1MeEWN-I1oV_STSDYn1IFDPWt_1FKiwhDph83XaGc0o0/edit?usp=sharing"",""งบพรบ!DJ47"")"),0)</f>
        <v>0</v>
      </c>
      <c r="F47" s="82">
        <f ca="1">IFERROR(__xludf.DUMMYFUNCTION("IMPORTRANGE(""https://docs.google.com/spreadsheets/d/1MeEWN-I1oV_STSDYn1IFDPWt_1FKiwhDph83XaGc0o0/edit?usp=sharing"",""งบพรบ!DK47"")"),22630)</f>
        <v>22630</v>
      </c>
      <c r="G47" s="82">
        <f ca="1">IFERROR(__xludf.DUMMYFUNCTION("IMPORTRANGE(""https://docs.google.com/spreadsheets/d/1MeEWN-I1oV_STSDYn1IFDPWt_1FKiwhDph83XaGc0o0/edit?usp=sharing"",""งบพรบ!DL47"")"),0)</f>
        <v>0</v>
      </c>
      <c r="H47" s="82">
        <f ca="1">IFERROR(__xludf.DUMMYFUNCTION("IMPORTRANGE(""https://docs.google.com/spreadsheets/d/1MeEWN-I1oV_STSDYn1IFDPWt_1FKiwhDph83XaGc0o0/edit?usp=sharing"",""งบพรบ!DN47"")"),13100)</f>
        <v>13100</v>
      </c>
      <c r="I47" s="82">
        <f ca="1">IFERROR(__xludf.DUMMYFUNCTION("IMPORTRANGE(""https://docs.google.com/spreadsheets/d/1MeEWN-I1oV_STSDYn1IFDPWt_1FKiwhDph83XaGc0o0/edit?usp=sharing"",""งบพรบ!DO47"")"),0)</f>
        <v>0</v>
      </c>
      <c r="J47" s="82">
        <f t="shared" ca="1" si="3"/>
        <v>7625</v>
      </c>
      <c r="K47" s="83">
        <f t="shared" ca="1" si="4"/>
        <v>33.694211224038888</v>
      </c>
      <c r="L47" s="82">
        <f ca="1">IFERROR(__xludf.DUMMYFUNCTION("IMPORTRANGE(""https://docs.google.com/spreadsheets/d/1MeEWN-I1oV_STSDYn1IFDPWt_1FKiwhDph83XaGc0o0/edit?usp=sharing"",""งบพรบ!DP47"")"),7625)</f>
        <v>7625</v>
      </c>
      <c r="M47" s="84">
        <f t="shared" ca="1" si="5"/>
        <v>33.694211224038888</v>
      </c>
      <c r="N47" s="84">
        <f t="shared" ca="1" si="6"/>
        <v>58.206106870229007</v>
      </c>
      <c r="O47" s="85">
        <f ca="1">IFERROR(__xludf.DUMMYFUNCTION("IMPORTRANGE(""https://docs.google.com/spreadsheets/d/1MeEWN-I1oV_STSDYn1IFDPWt_1FKiwhDph83XaGc0o0/edit?usp=sharing"",""งบพรบ!DQ47"")"),0)</f>
        <v>0</v>
      </c>
      <c r="P47" s="85">
        <f t="shared" ca="1" si="32"/>
        <v>0</v>
      </c>
      <c r="Q47" s="84">
        <f t="shared" ca="1" si="8"/>
        <v>0</v>
      </c>
      <c r="R47" s="323">
        <f ca="1">IFERROR(__xludf.DUMMYFUNCTION("IMPORTRANGE(""https://docs.google.com/spreadsheets/d/1GVExpf-Exi_2gmuqTYH28fseTB9MoKPXWcXCbSt_YrM/edit?usp=sharing"",""หนองคาย!I287"")"),50)</f>
        <v>50</v>
      </c>
      <c r="S47" s="323">
        <f ca="1">IFERROR(__xludf.DUMMYFUNCTION("IMPORTRANGE(""https://docs.google.com/spreadsheets/d/1GVExpf-Exi_2gmuqTYH28fseTB9MoKPXWcXCbSt_YrM/edit?usp=sharing"",""หนองคาย!J287"")"),50)</f>
        <v>50</v>
      </c>
      <c r="T47" s="324">
        <f t="shared" ca="1" si="27"/>
        <v>100</v>
      </c>
      <c r="U47" s="323">
        <f ca="1">IFERROR(__xludf.DUMMYFUNCTION("IMPORTRANGE(""https://docs.google.com/spreadsheets/d/1GVExpf-Exi_2gmuqTYH28fseTB9MoKPXWcXCbSt_YrM/edit?usp=sharing"",""หนองคาย!I288"")"),5)</f>
        <v>5</v>
      </c>
      <c r="V47" s="323">
        <f ca="1">IFERROR(__xludf.DUMMYFUNCTION("IMPORTRANGE(""https://docs.google.com/spreadsheets/d/1GVExpf-Exi_2gmuqTYH28fseTB9MoKPXWcXCbSt_YrM/edit?usp=sharing"",""หนองคาย!J288"")"),0)</f>
        <v>0</v>
      </c>
      <c r="W47" s="324">
        <f t="shared" ca="1" si="28"/>
        <v>0</v>
      </c>
      <c r="X47" s="323">
        <f ca="1">IFERROR(__xludf.DUMMYFUNCTION("IMPORTRANGE(""https://docs.google.com/spreadsheets/d/1GVExpf-Exi_2gmuqTYH28fseTB9MoKPXWcXCbSt_YrM/edit?usp=sharing"",""หนองคาย!I290"")"),5)</f>
        <v>5</v>
      </c>
      <c r="Y47" s="323">
        <f ca="1">IFERROR(__xludf.DUMMYFUNCTION("IMPORTRANGE(""https://docs.google.com/spreadsheets/d/1GVExpf-Exi_2gmuqTYH28fseTB9MoKPXWcXCbSt_YrM/edit?usp=sharing"",""หนองคาย!J290"")"),5)</f>
        <v>5</v>
      </c>
      <c r="Z47" s="324">
        <f t="shared" ca="1" si="29"/>
        <v>100</v>
      </c>
      <c r="AA47" s="323">
        <f ca="1">IFERROR(__xludf.DUMMYFUNCTION("IMPORTRANGE(""https://docs.google.com/spreadsheets/d/1GVExpf-Exi_2gmuqTYH28fseTB9MoKPXWcXCbSt_YrM/edit?usp=sharing"",""หนองคาย!J291"")"),5)</f>
        <v>5</v>
      </c>
      <c r="AB47" s="324">
        <f t="shared" ca="1" si="15"/>
        <v>100</v>
      </c>
      <c r="AC47" s="323">
        <f ca="1">IFERROR(__xludf.DUMMYFUNCTION("IMPORTRANGE(""https://docs.google.com/spreadsheets/d/1GVExpf-Exi_2gmuqTYH28fseTB9MoKPXWcXCbSt_YrM/edit?usp=sharing"",""หนองคาย!I293"")"),5)</f>
        <v>5</v>
      </c>
      <c r="AD47" s="323">
        <f ca="1">IFERROR(__xludf.DUMMYFUNCTION("IMPORTRANGE(""https://docs.google.com/spreadsheets/d/1GVExpf-Exi_2gmuqTYH28fseTB9MoKPXWcXCbSt_YrM/edit?usp=sharing"",""หนองคาย!J293"")"),0)</f>
        <v>0</v>
      </c>
      <c r="AE47" s="324">
        <f t="shared" ca="1" si="30"/>
        <v>0</v>
      </c>
      <c r="AF47" s="323">
        <f ca="1">IFERROR(__xludf.DUMMYFUNCTION("IMPORTRANGE(""https://docs.google.com/spreadsheets/d/1GVExpf-Exi_2gmuqTYH28fseTB9MoKPXWcXCbSt_YrM/edit?usp=sharing"",""หนองคาย!J294"")"),0)</f>
        <v>0</v>
      </c>
      <c r="AG47" s="324">
        <f t="shared" ca="1" si="18"/>
        <v>0</v>
      </c>
    </row>
    <row r="48" spans="1:33" ht="21" customHeight="1" x14ac:dyDescent="0.2">
      <c r="A48" s="78">
        <v>17</v>
      </c>
      <c r="B48" s="79" t="s">
        <v>70</v>
      </c>
      <c r="C48" s="80">
        <f t="shared" ca="1" si="0"/>
        <v>111710</v>
      </c>
      <c r="D48" s="81">
        <f t="shared" ca="1" si="43"/>
        <v>111710</v>
      </c>
      <c r="E48" s="82">
        <f ca="1">IFERROR(__xludf.DUMMYFUNCTION("IMPORTRANGE(""https://docs.google.com/spreadsheets/d/1MeEWN-I1oV_STSDYn1IFDPWt_1FKiwhDph83XaGc0o0/edit?usp=sharing"",""งบพรบ!DJ48"")"),0)</f>
        <v>0</v>
      </c>
      <c r="F48" s="82">
        <f ca="1">IFERROR(__xludf.DUMMYFUNCTION("IMPORTRANGE(""https://docs.google.com/spreadsheets/d/1MeEWN-I1oV_STSDYn1IFDPWt_1FKiwhDph83XaGc0o0/edit?usp=sharing"",""งบพรบ!DK48"")"),111710)</f>
        <v>111710</v>
      </c>
      <c r="G48" s="82">
        <f ca="1">IFERROR(__xludf.DUMMYFUNCTION("IMPORTRANGE(""https://docs.google.com/spreadsheets/d/1MeEWN-I1oV_STSDYn1IFDPWt_1FKiwhDph83XaGc0o0/edit?usp=sharing"",""งบพรบ!DL48"")"),0)</f>
        <v>0</v>
      </c>
      <c r="H48" s="82">
        <f ca="1">IFERROR(__xludf.DUMMYFUNCTION("IMPORTRANGE(""https://docs.google.com/spreadsheets/d/1MeEWN-I1oV_STSDYn1IFDPWt_1FKiwhDph83XaGc0o0/edit?usp=sharing"",""งบพรบ!DN48"")"),54530)</f>
        <v>54530</v>
      </c>
      <c r="I48" s="82">
        <f ca="1">IFERROR(__xludf.DUMMYFUNCTION("IMPORTRANGE(""https://docs.google.com/spreadsheets/d/1MeEWN-I1oV_STSDYn1IFDPWt_1FKiwhDph83XaGc0o0/edit?usp=sharing"",""งบพรบ!DO48"")"),0)</f>
        <v>0</v>
      </c>
      <c r="J48" s="82">
        <f t="shared" ca="1" si="3"/>
        <v>23355</v>
      </c>
      <c r="K48" s="83">
        <f t="shared" ca="1" si="4"/>
        <v>20.906812281801091</v>
      </c>
      <c r="L48" s="82">
        <f ca="1">IFERROR(__xludf.DUMMYFUNCTION("IMPORTRANGE(""https://docs.google.com/spreadsheets/d/1MeEWN-I1oV_STSDYn1IFDPWt_1FKiwhDph83XaGc0o0/edit?usp=sharing"",""งบพรบ!DP48"")"),23355)</f>
        <v>23355</v>
      </c>
      <c r="M48" s="84">
        <f t="shared" ca="1" si="5"/>
        <v>20.906812281801091</v>
      </c>
      <c r="N48" s="84">
        <f t="shared" ca="1" si="6"/>
        <v>42.829635063267929</v>
      </c>
      <c r="O48" s="85">
        <f ca="1">IFERROR(__xludf.DUMMYFUNCTION("IMPORTRANGE(""https://docs.google.com/spreadsheets/d/1MeEWN-I1oV_STSDYn1IFDPWt_1FKiwhDph83XaGc0o0/edit?usp=sharing"",""งบพรบ!DQ48"")"),0)</f>
        <v>0</v>
      </c>
      <c r="P48" s="85">
        <f t="shared" ca="1" si="32"/>
        <v>0</v>
      </c>
      <c r="Q48" s="84">
        <f t="shared" ca="1" si="8"/>
        <v>0</v>
      </c>
      <c r="R48" s="323">
        <f ca="1">IFERROR(__xludf.DUMMYFUNCTION("IMPORTRANGE(""https://docs.google.com/spreadsheets/d/16UeMz0UgOB5BZcoxP75eYGcLFtGYRn9GoesD4OX9m5U/edit?usp=sharing"",""หนองบัวลำภู!I287"")"),300)</f>
        <v>300</v>
      </c>
      <c r="S48" s="323">
        <f ca="1">IFERROR(__xludf.DUMMYFUNCTION("IMPORTRANGE(""https://docs.google.com/spreadsheets/d/16UeMz0UgOB5BZcoxP75eYGcLFtGYRn9GoesD4OX9m5U/edit?usp=sharing"",""หนองบัวลำภู!J287"")"),0)</f>
        <v>0</v>
      </c>
      <c r="T48" s="324">
        <f t="shared" ca="1" si="27"/>
        <v>0</v>
      </c>
      <c r="U48" s="323">
        <f ca="1">IFERROR(__xludf.DUMMYFUNCTION("IMPORTRANGE(""https://docs.google.com/spreadsheets/d/16UeMz0UgOB5BZcoxP75eYGcLFtGYRn9GoesD4OX9m5U/edit?usp=sharing"",""หนองบัวลำภู!I288"")"),30)</f>
        <v>30</v>
      </c>
      <c r="V48" s="323">
        <f ca="1">IFERROR(__xludf.DUMMYFUNCTION("IMPORTRANGE(""https://docs.google.com/spreadsheets/d/16UeMz0UgOB5BZcoxP75eYGcLFtGYRn9GoesD4OX9m5U/edit?usp=sharing"",""หนองบัวลำภู!J288"")"),0)</f>
        <v>0</v>
      </c>
      <c r="W48" s="324">
        <f t="shared" ca="1" si="28"/>
        <v>0</v>
      </c>
      <c r="X48" s="323">
        <f ca="1">IFERROR(__xludf.DUMMYFUNCTION("IMPORTRANGE(""https://docs.google.com/spreadsheets/d/16UeMz0UgOB5BZcoxP75eYGcLFtGYRn9GoesD4OX9m5U/edit?usp=sharing"",""หนองบัวลำภู!I290"")"),30)</f>
        <v>30</v>
      </c>
      <c r="Y48" s="323">
        <f ca="1">IFERROR(__xludf.DUMMYFUNCTION("IMPORTRANGE(""https://docs.google.com/spreadsheets/d/16UeMz0UgOB5BZcoxP75eYGcLFtGYRn9GoesD4OX9m5U/edit?usp=sharing"",""หนองบัวลำภู!J290"")"),0)</f>
        <v>0</v>
      </c>
      <c r="Z48" s="324">
        <f t="shared" ca="1" si="29"/>
        <v>0</v>
      </c>
      <c r="AA48" s="323">
        <f ca="1">IFERROR(__xludf.DUMMYFUNCTION("IMPORTRANGE(""https://docs.google.com/spreadsheets/d/16UeMz0UgOB5BZcoxP75eYGcLFtGYRn9GoesD4OX9m5U/edit?usp=sharing"",""หนองบัวลำภู!J291"")"),0)</f>
        <v>0</v>
      </c>
      <c r="AB48" s="324">
        <f t="shared" ca="1" si="15"/>
        <v>0</v>
      </c>
      <c r="AC48" s="323">
        <f ca="1">IFERROR(__xludf.DUMMYFUNCTION("IMPORTRANGE(""https://docs.google.com/spreadsheets/d/16UeMz0UgOB5BZcoxP75eYGcLFtGYRn9GoesD4OX9m5U/edit?usp=sharing"",""หนองบัวลำภู!I293"")"),30)</f>
        <v>30</v>
      </c>
      <c r="AD48" s="323">
        <f ca="1">IFERROR(__xludf.DUMMYFUNCTION("IMPORTRANGE(""https://docs.google.com/spreadsheets/d/16UeMz0UgOB5BZcoxP75eYGcLFtGYRn9GoesD4OX9m5U/edit?usp=sharing"",""หนองบัวลำภู!J293"")"),0)</f>
        <v>0</v>
      </c>
      <c r="AE48" s="324">
        <f t="shared" ca="1" si="30"/>
        <v>0</v>
      </c>
      <c r="AF48" s="323">
        <f ca="1">IFERROR(__xludf.DUMMYFUNCTION("IMPORTRANGE(""https://docs.google.com/spreadsheets/d/16UeMz0UgOB5BZcoxP75eYGcLFtGYRn9GoesD4OX9m5U/edit?usp=sharing"",""หนองบัวลำภู!J294"")"),0)</f>
        <v>0</v>
      </c>
      <c r="AG48" s="324">
        <f t="shared" ca="1" si="18"/>
        <v>0</v>
      </c>
    </row>
    <row r="49" spans="1:33" ht="21" customHeight="1" x14ac:dyDescent="0.2">
      <c r="A49" s="78">
        <v>18</v>
      </c>
      <c r="B49" s="79" t="s">
        <v>71</v>
      </c>
      <c r="C49" s="80">
        <f t="shared" ca="1" si="0"/>
        <v>0</v>
      </c>
      <c r="D49" s="81">
        <f t="shared" ca="1" si="43"/>
        <v>0</v>
      </c>
      <c r="E49" s="82">
        <f ca="1">IFERROR(__xludf.DUMMYFUNCTION("IMPORTRANGE(""https://docs.google.com/spreadsheets/d/1MeEWN-I1oV_STSDYn1IFDPWt_1FKiwhDph83XaGc0o0/edit?usp=sharing"",""งบพรบ!DJ49"")"),0)</f>
        <v>0</v>
      </c>
      <c r="F49" s="82">
        <f ca="1">IFERROR(__xludf.DUMMYFUNCTION("IMPORTRANGE(""https://docs.google.com/spreadsheets/d/1MeEWN-I1oV_STSDYn1IFDPWt_1FKiwhDph83XaGc0o0/edit?usp=sharing"",""งบพรบ!DK49"")"),0)</f>
        <v>0</v>
      </c>
      <c r="G49" s="82">
        <f ca="1">IFERROR(__xludf.DUMMYFUNCTION("IMPORTRANGE(""https://docs.google.com/spreadsheets/d/1MeEWN-I1oV_STSDYn1IFDPWt_1FKiwhDph83XaGc0o0/edit?usp=sharing"",""งบพรบ!DL49"")"),0)</f>
        <v>0</v>
      </c>
      <c r="H49" s="82">
        <f ca="1">IFERROR(__xludf.DUMMYFUNCTION("IMPORTRANGE(""https://docs.google.com/spreadsheets/d/1MeEWN-I1oV_STSDYn1IFDPWt_1FKiwhDph83XaGc0o0/edit?usp=sharing"",""งบพรบ!DN49"")"),0)</f>
        <v>0</v>
      </c>
      <c r="I49" s="82">
        <f ca="1">IFERROR(__xludf.DUMMYFUNCTION("IMPORTRANGE(""https://docs.google.com/spreadsheets/d/1MeEWN-I1oV_STSDYn1IFDPWt_1FKiwhDph83XaGc0o0/edit?usp=sharing"",""งบพรบ!DO49"")"),0)</f>
        <v>0</v>
      </c>
      <c r="J49" s="82">
        <f t="shared" ca="1" si="3"/>
        <v>0</v>
      </c>
      <c r="K49" s="83">
        <f t="shared" ca="1" si="4"/>
        <v>0</v>
      </c>
      <c r="L49" s="82">
        <f ca="1">IFERROR(__xludf.DUMMYFUNCTION("IMPORTRANGE(""https://docs.google.com/spreadsheets/d/1MeEWN-I1oV_STSDYn1IFDPWt_1FKiwhDph83XaGc0o0/edit?usp=sharing"",""งบพรบ!DP49"")"),0)</f>
        <v>0</v>
      </c>
      <c r="M49" s="84">
        <f t="shared" ca="1" si="5"/>
        <v>0</v>
      </c>
      <c r="N49" s="84">
        <f t="shared" ca="1" si="6"/>
        <v>0</v>
      </c>
      <c r="O49" s="85">
        <f ca="1">IFERROR(__xludf.DUMMYFUNCTION("IMPORTRANGE(""https://docs.google.com/spreadsheets/d/1MeEWN-I1oV_STSDYn1IFDPWt_1FKiwhDph83XaGc0o0/edit?usp=sharing"",""งบพรบ!DQ49"")"),0)</f>
        <v>0</v>
      </c>
      <c r="P49" s="85">
        <f t="shared" ca="1" si="32"/>
        <v>0</v>
      </c>
      <c r="Q49" s="84">
        <f t="shared" ca="1" si="8"/>
        <v>0</v>
      </c>
      <c r="R49" s="323">
        <f ca="1">IFERROR(__xludf.DUMMYFUNCTION("IMPORTRANGE(""https://docs.google.com/spreadsheets/d/1uUP8Zo1-qaJLuIkRU0qlwLSE3DHkbdrrj2JGJiWBQZE/edit?usp=sharing"",""อำนาจเจริญ!I287"")"),0)</f>
        <v>0</v>
      </c>
      <c r="S49" s="323">
        <f ca="1">IFERROR(__xludf.DUMMYFUNCTION("IMPORTRANGE(""https://docs.google.com/spreadsheets/d/1uUP8Zo1-qaJLuIkRU0qlwLSE3DHkbdrrj2JGJiWBQZE/edit?usp=sharing"",""อำนาจเจริญ!J287"")"),0)</f>
        <v>0</v>
      </c>
      <c r="T49" s="324">
        <f t="shared" ca="1" si="27"/>
        <v>0</v>
      </c>
      <c r="U49" s="323">
        <f ca="1">IFERROR(__xludf.DUMMYFUNCTION("IMPORTRANGE(""https://docs.google.com/spreadsheets/d/1uUP8Zo1-qaJLuIkRU0qlwLSE3DHkbdrrj2JGJiWBQZE/edit?usp=sharing"",""อำนาจเจริญ!I288"")"),0)</f>
        <v>0</v>
      </c>
      <c r="V49" s="323">
        <f ca="1">IFERROR(__xludf.DUMMYFUNCTION("IMPORTRANGE(""https://docs.google.com/spreadsheets/d/1uUP8Zo1-qaJLuIkRU0qlwLSE3DHkbdrrj2JGJiWBQZE/edit?usp=sharing"",""อำนาจเจริญ!J288"")"),0)</f>
        <v>0</v>
      </c>
      <c r="W49" s="324">
        <f t="shared" ca="1" si="28"/>
        <v>0</v>
      </c>
      <c r="X49" s="323">
        <f ca="1">IFERROR(__xludf.DUMMYFUNCTION("IMPORTRANGE(""https://docs.google.com/spreadsheets/d/1uUP8Zo1-qaJLuIkRU0qlwLSE3DHkbdrrj2JGJiWBQZE/edit?usp=sharing"",""อำนาจเจริญ!I290"")"),0)</f>
        <v>0</v>
      </c>
      <c r="Y49" s="323">
        <f ca="1">IFERROR(__xludf.DUMMYFUNCTION("IMPORTRANGE(""https://docs.google.com/spreadsheets/d/1uUP8Zo1-qaJLuIkRU0qlwLSE3DHkbdrrj2JGJiWBQZE/edit?usp=sharing"",""อำนาจเจริญ!J290"")"),0)</f>
        <v>0</v>
      </c>
      <c r="Z49" s="324">
        <f t="shared" ca="1" si="29"/>
        <v>0</v>
      </c>
      <c r="AA49" s="323">
        <f ca="1">IFERROR(__xludf.DUMMYFUNCTION("IMPORTRANGE(""https://docs.google.com/spreadsheets/d/1uUP8Zo1-qaJLuIkRU0qlwLSE3DHkbdrrj2JGJiWBQZE/edit?usp=sharing"",""อำนาจเจริญ!J291"")"),0)</f>
        <v>0</v>
      </c>
      <c r="AB49" s="324">
        <f t="shared" ca="1" si="15"/>
        <v>0</v>
      </c>
      <c r="AC49" s="323">
        <f ca="1">IFERROR(__xludf.DUMMYFUNCTION("IMPORTRANGE(""https://docs.google.com/spreadsheets/d/1uUP8Zo1-qaJLuIkRU0qlwLSE3DHkbdrrj2JGJiWBQZE/edit?usp=sharing"",""อำนาจเจริญ!I293"")"),0)</f>
        <v>0</v>
      </c>
      <c r="AD49" s="323">
        <f ca="1">IFERROR(__xludf.DUMMYFUNCTION("IMPORTRANGE(""https://docs.google.com/spreadsheets/d/1uUP8Zo1-qaJLuIkRU0qlwLSE3DHkbdrrj2JGJiWBQZE/edit?usp=sharing"",""อำนาจเจริญ!J293"")"),0)</f>
        <v>0</v>
      </c>
      <c r="AE49" s="324">
        <f t="shared" ca="1" si="30"/>
        <v>0</v>
      </c>
      <c r="AF49" s="323">
        <f ca="1">IFERROR(__xludf.DUMMYFUNCTION("IMPORTRANGE(""https://docs.google.com/spreadsheets/d/1uUP8Zo1-qaJLuIkRU0qlwLSE3DHkbdrrj2JGJiWBQZE/edit?usp=sharing"",""อำนาจเจริญ!J294"")"),0)</f>
        <v>0</v>
      </c>
      <c r="AG49" s="324">
        <f t="shared" ca="1" si="18"/>
        <v>0</v>
      </c>
    </row>
    <row r="50" spans="1:33" ht="21" customHeight="1" x14ac:dyDescent="0.2">
      <c r="A50" s="78">
        <v>19</v>
      </c>
      <c r="B50" s="79" t="s">
        <v>72</v>
      </c>
      <c r="C50" s="80">
        <f t="shared" ca="1" si="0"/>
        <v>181410</v>
      </c>
      <c r="D50" s="81">
        <f t="shared" ca="1" si="43"/>
        <v>181410</v>
      </c>
      <c r="E50" s="82">
        <f ca="1">IFERROR(__xludf.DUMMYFUNCTION("IMPORTRANGE(""https://docs.google.com/spreadsheets/d/1MeEWN-I1oV_STSDYn1IFDPWt_1FKiwhDph83XaGc0o0/edit?usp=sharing"",""งบพรบ!DJ50"")"),0)</f>
        <v>0</v>
      </c>
      <c r="F50" s="82">
        <f ca="1">IFERROR(__xludf.DUMMYFUNCTION("IMPORTRANGE(""https://docs.google.com/spreadsheets/d/1MeEWN-I1oV_STSDYn1IFDPWt_1FKiwhDph83XaGc0o0/edit?usp=sharing"",""งบพรบ!DK50"")"),181410)</f>
        <v>181410</v>
      </c>
      <c r="G50" s="82">
        <f ca="1">IFERROR(__xludf.DUMMYFUNCTION("IMPORTRANGE(""https://docs.google.com/spreadsheets/d/1MeEWN-I1oV_STSDYn1IFDPWt_1FKiwhDph83XaGc0o0/edit?usp=sharing"",""งบพรบ!DL50"")"),0)</f>
        <v>0</v>
      </c>
      <c r="H50" s="82">
        <f ca="1">IFERROR(__xludf.DUMMYFUNCTION("IMPORTRANGE(""https://docs.google.com/spreadsheets/d/1MeEWN-I1oV_STSDYn1IFDPWt_1FKiwhDph83XaGc0o0/edit?usp=sharing"",""งบพรบ!DN50"")"),86110)</f>
        <v>86110</v>
      </c>
      <c r="I50" s="82">
        <f ca="1">IFERROR(__xludf.DUMMYFUNCTION("IMPORTRANGE(""https://docs.google.com/spreadsheets/d/1MeEWN-I1oV_STSDYn1IFDPWt_1FKiwhDph83XaGc0o0/edit?usp=sharing"",""งบพรบ!DO50"")"),0)</f>
        <v>0</v>
      </c>
      <c r="J50" s="82">
        <f t="shared" ca="1" si="3"/>
        <v>66317</v>
      </c>
      <c r="K50" s="83">
        <f t="shared" ca="1" si="4"/>
        <v>36.556419161016485</v>
      </c>
      <c r="L50" s="82">
        <f ca="1">IFERROR(__xludf.DUMMYFUNCTION("IMPORTRANGE(""https://docs.google.com/spreadsheets/d/1MeEWN-I1oV_STSDYn1IFDPWt_1FKiwhDph83XaGc0o0/edit?usp=sharing"",""งบพรบ!DP50"")"),66317)</f>
        <v>66317</v>
      </c>
      <c r="M50" s="84">
        <f t="shared" ca="1" si="5"/>
        <v>36.556419161016485</v>
      </c>
      <c r="N50" s="84">
        <f t="shared" ca="1" si="6"/>
        <v>77.014284055278139</v>
      </c>
      <c r="O50" s="85">
        <f ca="1">IFERROR(__xludf.DUMMYFUNCTION("IMPORTRANGE(""https://docs.google.com/spreadsheets/d/1MeEWN-I1oV_STSDYn1IFDPWt_1FKiwhDph83XaGc0o0/edit?usp=sharing"",""งบพรบ!DQ50"")"),0)</f>
        <v>0</v>
      </c>
      <c r="P50" s="85">
        <f t="shared" ca="1" si="32"/>
        <v>0</v>
      </c>
      <c r="Q50" s="84">
        <f t="shared" ca="1" si="8"/>
        <v>0</v>
      </c>
      <c r="R50" s="323">
        <f ca="1">IFERROR(__xludf.DUMMYFUNCTION("IMPORTRANGE(""https://docs.google.com/spreadsheets/d/1hb_taSOHanzRjqfzWPiFo8yiT83VV1L7vvUCLhOiHKc/edit?usp=sharing"",""อุดรธานี!I287"")"),500)</f>
        <v>500</v>
      </c>
      <c r="S50" s="323">
        <f ca="1">IFERROR(__xludf.DUMMYFUNCTION("IMPORTRANGE(""https://docs.google.com/spreadsheets/d/1hb_taSOHanzRjqfzWPiFo8yiT83VV1L7vvUCLhOiHKc/edit?usp=sharing"",""อุดรธานี!J287"")"),0)</f>
        <v>0</v>
      </c>
      <c r="T50" s="324">
        <f t="shared" ca="1" si="27"/>
        <v>0</v>
      </c>
      <c r="U50" s="323">
        <f ca="1">IFERROR(__xludf.DUMMYFUNCTION("IMPORTRANGE(""https://docs.google.com/spreadsheets/d/1hb_taSOHanzRjqfzWPiFo8yiT83VV1L7vvUCLhOiHKc/edit?usp=sharing"",""อุดรธานี!I288"")"),50)</f>
        <v>50</v>
      </c>
      <c r="V50" s="323">
        <f ca="1">IFERROR(__xludf.DUMMYFUNCTION("IMPORTRANGE(""https://docs.google.com/spreadsheets/d/1hb_taSOHanzRjqfzWPiFo8yiT83VV1L7vvUCLhOiHKc/edit?usp=sharing"",""อุดรธานี!J288"")"),0)</f>
        <v>0</v>
      </c>
      <c r="W50" s="324">
        <f t="shared" ca="1" si="28"/>
        <v>0</v>
      </c>
      <c r="X50" s="323">
        <f ca="1">IFERROR(__xludf.DUMMYFUNCTION("IMPORTRANGE(""https://docs.google.com/spreadsheets/d/1hb_taSOHanzRjqfzWPiFo8yiT83VV1L7vvUCLhOiHKc/edit?usp=sharing"",""อุดรธานี!I290"")"),50)</f>
        <v>50</v>
      </c>
      <c r="Y50" s="323">
        <f ca="1">IFERROR(__xludf.DUMMYFUNCTION("IMPORTRANGE(""https://docs.google.com/spreadsheets/d/1hb_taSOHanzRjqfzWPiFo8yiT83VV1L7vvUCLhOiHKc/edit?usp=sharing"",""อุดรธานี!J290"")"),50)</f>
        <v>50</v>
      </c>
      <c r="Z50" s="324">
        <f t="shared" ca="1" si="29"/>
        <v>100</v>
      </c>
      <c r="AA50" s="323">
        <f ca="1">IFERROR(__xludf.DUMMYFUNCTION("IMPORTRANGE(""https://docs.google.com/spreadsheets/d/1hb_taSOHanzRjqfzWPiFo8yiT83VV1L7vvUCLhOiHKc/edit?usp=sharing"",""อุดรธานี!J291"")"),50)</f>
        <v>50</v>
      </c>
      <c r="AB50" s="324">
        <f t="shared" ca="1" si="15"/>
        <v>100</v>
      </c>
      <c r="AC50" s="323">
        <f ca="1">IFERROR(__xludf.DUMMYFUNCTION("IMPORTRANGE(""https://docs.google.com/spreadsheets/d/1hb_taSOHanzRjqfzWPiFo8yiT83VV1L7vvUCLhOiHKc/edit?usp=sharing"",""อุดรธานี!I293"")"),50)</f>
        <v>50</v>
      </c>
      <c r="AD50" s="323">
        <f ca="1">IFERROR(__xludf.DUMMYFUNCTION("IMPORTRANGE(""https://docs.google.com/spreadsheets/d/1hb_taSOHanzRjqfzWPiFo8yiT83VV1L7vvUCLhOiHKc/edit?usp=sharing"",""อุดรธานี!J293"")"),0)</f>
        <v>0</v>
      </c>
      <c r="AE50" s="324">
        <f t="shared" ca="1" si="30"/>
        <v>0</v>
      </c>
      <c r="AF50" s="323">
        <f ca="1">IFERROR(__xludf.DUMMYFUNCTION("IMPORTRANGE(""https://docs.google.com/spreadsheets/d/1hb_taSOHanzRjqfzWPiFo8yiT83VV1L7vvUCLhOiHKc/edit?usp=sharing"",""อุดรธานี!J294"")"),0)</f>
        <v>0</v>
      </c>
      <c r="AG50" s="324">
        <f t="shared" ca="1" si="18"/>
        <v>0</v>
      </c>
    </row>
    <row r="51" spans="1:33" ht="21" customHeight="1" x14ac:dyDescent="0.2">
      <c r="A51" s="89">
        <v>20</v>
      </c>
      <c r="B51" s="90" t="s">
        <v>73</v>
      </c>
      <c r="C51" s="91">
        <f t="shared" ca="1" si="0"/>
        <v>75640</v>
      </c>
      <c r="D51" s="92">
        <f t="shared" ca="1" si="43"/>
        <v>75640</v>
      </c>
      <c r="E51" s="93">
        <f ca="1">IFERROR(__xludf.DUMMYFUNCTION("IMPORTRANGE(""https://docs.google.com/spreadsheets/d/1MeEWN-I1oV_STSDYn1IFDPWt_1FKiwhDph83XaGc0o0/edit?usp=sharing"",""งบพรบ!DJ51"")"),0)</f>
        <v>0</v>
      </c>
      <c r="F51" s="93">
        <f ca="1">IFERROR(__xludf.DUMMYFUNCTION("IMPORTRANGE(""https://docs.google.com/spreadsheets/d/1MeEWN-I1oV_STSDYn1IFDPWt_1FKiwhDph83XaGc0o0/edit?usp=sharing"",""งบพรบ!DK51"")"),75640)</f>
        <v>75640</v>
      </c>
      <c r="G51" s="93">
        <f ca="1">IFERROR(__xludf.DUMMYFUNCTION("IMPORTRANGE(""https://docs.google.com/spreadsheets/d/1MeEWN-I1oV_STSDYn1IFDPWt_1FKiwhDph83XaGc0o0/edit?usp=sharing"",""งบพรบ!DL51"")"),0)</f>
        <v>0</v>
      </c>
      <c r="H51" s="93">
        <f ca="1">IFERROR(__xludf.DUMMYFUNCTION("IMPORTRANGE(""https://docs.google.com/spreadsheets/d/1MeEWN-I1oV_STSDYn1IFDPWt_1FKiwhDph83XaGc0o0/edit?usp=sharing"",""งบพรบ!DN51"")"),37520)</f>
        <v>37520</v>
      </c>
      <c r="I51" s="93">
        <f ca="1">IFERROR(__xludf.DUMMYFUNCTION("IMPORTRANGE(""https://docs.google.com/spreadsheets/d/1MeEWN-I1oV_STSDYn1IFDPWt_1FKiwhDph83XaGc0o0/edit?usp=sharing"",""งบพรบ!DO51"")"),0)</f>
        <v>0</v>
      </c>
      <c r="J51" s="93">
        <f t="shared" ca="1" si="3"/>
        <v>23575.9</v>
      </c>
      <c r="K51" s="94">
        <f t="shared" ca="1" si="4"/>
        <v>31.168561607615018</v>
      </c>
      <c r="L51" s="93">
        <f ca="1">IFERROR(__xludf.DUMMYFUNCTION("IMPORTRANGE(""https://docs.google.com/spreadsheets/d/1MeEWN-I1oV_STSDYn1IFDPWt_1FKiwhDph83XaGc0o0/edit?usp=sharing"",""งบพรบ!DP51"")"),23575.9)</f>
        <v>23575.9</v>
      </c>
      <c r="M51" s="95">
        <f t="shared" ca="1" si="5"/>
        <v>31.168561607615018</v>
      </c>
      <c r="N51" s="95">
        <f t="shared" ca="1" si="6"/>
        <v>62.835554371002132</v>
      </c>
      <c r="O51" s="96">
        <f ca="1">IFERROR(__xludf.DUMMYFUNCTION("IMPORTRANGE(""https://docs.google.com/spreadsheets/d/1MeEWN-I1oV_STSDYn1IFDPWt_1FKiwhDph83XaGc0o0/edit?usp=sharing"",""งบพรบ!DQ51"")"),0)</f>
        <v>0</v>
      </c>
      <c r="P51" s="96">
        <f t="shared" ca="1" si="32"/>
        <v>0</v>
      </c>
      <c r="Q51" s="95">
        <f t="shared" ca="1" si="8"/>
        <v>0</v>
      </c>
      <c r="R51" s="325">
        <f ca="1">IFERROR(__xludf.DUMMYFUNCTION("IMPORTRANGE(""https://docs.google.com/spreadsheets/d/17IOkEwkUd63EGNfyNDnM5de9YlZ7rwzTiW6-dokVjKI/edit?usp=sharing"",""อุบลราชธานี!I287"")"),200)</f>
        <v>200</v>
      </c>
      <c r="S51" s="325">
        <f ca="1">IFERROR(__xludf.DUMMYFUNCTION("IMPORTRANGE(""https://docs.google.com/spreadsheets/d/17IOkEwkUd63EGNfyNDnM5de9YlZ7rwzTiW6-dokVjKI/edit?usp=sharing"",""อุบลราชธานี!J287"")"),200)</f>
        <v>200</v>
      </c>
      <c r="T51" s="326">
        <f t="shared" ca="1" si="27"/>
        <v>100</v>
      </c>
      <c r="U51" s="325">
        <f ca="1">IFERROR(__xludf.DUMMYFUNCTION("IMPORTRANGE(""https://docs.google.com/spreadsheets/d/17IOkEwkUd63EGNfyNDnM5de9YlZ7rwzTiW6-dokVjKI/edit?usp=sharing"",""อุบลราชธานี!I288"")"),20)</f>
        <v>20</v>
      </c>
      <c r="V51" s="325">
        <f ca="1">IFERROR(__xludf.DUMMYFUNCTION("IMPORTRANGE(""https://docs.google.com/spreadsheets/d/17IOkEwkUd63EGNfyNDnM5de9YlZ7rwzTiW6-dokVjKI/edit?usp=sharing"",""อุบลราชธานี!J288"")"),0)</f>
        <v>0</v>
      </c>
      <c r="W51" s="326">
        <f t="shared" ca="1" si="28"/>
        <v>0</v>
      </c>
      <c r="X51" s="325">
        <f ca="1">IFERROR(__xludf.DUMMYFUNCTION("IMPORTRANGE(""https://docs.google.com/spreadsheets/d/17IOkEwkUd63EGNfyNDnM5de9YlZ7rwzTiW6-dokVjKI/edit?usp=sharing"",""อุบลราชธานี!I290"")"),20)</f>
        <v>20</v>
      </c>
      <c r="Y51" s="325">
        <f ca="1">IFERROR(__xludf.DUMMYFUNCTION("IMPORTRANGE(""https://docs.google.com/spreadsheets/d/17IOkEwkUd63EGNfyNDnM5de9YlZ7rwzTiW6-dokVjKI/edit?usp=sharing"",""อุบลราชธานี!J290"")"),20)</f>
        <v>20</v>
      </c>
      <c r="Z51" s="326">
        <f t="shared" ca="1" si="29"/>
        <v>100</v>
      </c>
      <c r="AA51" s="325">
        <f ca="1">IFERROR(__xludf.DUMMYFUNCTION("IMPORTRANGE(""https://docs.google.com/spreadsheets/d/17IOkEwkUd63EGNfyNDnM5de9YlZ7rwzTiW6-dokVjKI/edit?usp=sharing"",""อุบลราชธานี!J291"")"),20)</f>
        <v>20</v>
      </c>
      <c r="AB51" s="326">
        <f t="shared" ca="1" si="15"/>
        <v>100</v>
      </c>
      <c r="AC51" s="325">
        <f ca="1">IFERROR(__xludf.DUMMYFUNCTION("IMPORTRANGE(""https://docs.google.com/spreadsheets/d/17IOkEwkUd63EGNfyNDnM5de9YlZ7rwzTiW6-dokVjKI/edit?usp=sharing"",""อุบลราชธานี!I293"")"),20)</f>
        <v>20</v>
      </c>
      <c r="AD51" s="325">
        <f ca="1">IFERROR(__xludf.DUMMYFUNCTION("IMPORTRANGE(""https://docs.google.com/spreadsheets/d/17IOkEwkUd63EGNfyNDnM5de9YlZ7rwzTiW6-dokVjKI/edit?usp=sharing"",""อุบลราชธานี!J293"")"),0)</f>
        <v>0</v>
      </c>
      <c r="AE51" s="326">
        <f t="shared" ca="1" si="30"/>
        <v>0</v>
      </c>
      <c r="AF51" s="325">
        <f ca="1">IFERROR(__xludf.DUMMYFUNCTION("IMPORTRANGE(""https://docs.google.com/spreadsheets/d/17IOkEwkUd63EGNfyNDnM5de9YlZ7rwzTiW6-dokVjKI/edit?usp=sharing"",""อุบลราชธานี!J294"")"),0)</f>
        <v>0</v>
      </c>
      <c r="AG51" s="326">
        <f t="shared" ca="1" si="18"/>
        <v>0</v>
      </c>
    </row>
    <row r="52" spans="1:33" ht="21" customHeight="1" x14ac:dyDescent="0.2">
      <c r="A52" s="380" t="s">
        <v>74</v>
      </c>
      <c r="B52" s="379"/>
      <c r="C52" s="99">
        <f t="shared" ca="1" si="0"/>
        <v>963020</v>
      </c>
      <c r="D52" s="62">
        <f t="shared" ref="D52:I52" ca="1" si="44">SUM(D53:D73)</f>
        <v>963020</v>
      </c>
      <c r="E52" s="62">
        <f t="shared" ca="1" si="44"/>
        <v>390400</v>
      </c>
      <c r="F52" s="62">
        <f t="shared" ca="1" si="44"/>
        <v>572620</v>
      </c>
      <c r="G52" s="62">
        <f t="shared" ca="1" si="44"/>
        <v>0</v>
      </c>
      <c r="H52" s="62">
        <f t="shared" ca="1" si="44"/>
        <v>589050</v>
      </c>
      <c r="I52" s="62">
        <f t="shared" ca="1" si="44"/>
        <v>0</v>
      </c>
      <c r="J52" s="62">
        <f t="shared" ca="1" si="3"/>
        <v>304911.06</v>
      </c>
      <c r="K52" s="100">
        <f t="shared" ca="1" si="4"/>
        <v>31.661965483582897</v>
      </c>
      <c r="L52" s="62">
        <f ca="1">SUM(L53:L73)</f>
        <v>304911.06</v>
      </c>
      <c r="M52" s="101">
        <f t="shared" ca="1" si="5"/>
        <v>31.661965483582897</v>
      </c>
      <c r="N52" s="101">
        <f t="shared" ca="1" si="6"/>
        <v>51.763188184364658</v>
      </c>
      <c r="O52" s="102">
        <f ca="1">SUM(O53:O73)</f>
        <v>0</v>
      </c>
      <c r="P52" s="102">
        <f t="shared" ca="1" si="32"/>
        <v>0</v>
      </c>
      <c r="Q52" s="101">
        <f t="shared" ca="1" si="8"/>
        <v>0</v>
      </c>
      <c r="R52" s="327">
        <f t="shared" ref="R52:S52" ca="1" si="45">SUM(R53:R73)</f>
        <v>1500</v>
      </c>
      <c r="S52" s="327">
        <f t="shared" ca="1" si="45"/>
        <v>1050</v>
      </c>
      <c r="T52" s="328">
        <f t="shared" ca="1" si="27"/>
        <v>70</v>
      </c>
      <c r="U52" s="327">
        <f t="shared" ref="U52:V52" ca="1" si="46">SUM(U53:U73)</f>
        <v>150</v>
      </c>
      <c r="V52" s="327">
        <f t="shared" ca="1" si="46"/>
        <v>30</v>
      </c>
      <c r="W52" s="328">
        <f t="shared" ca="1" si="28"/>
        <v>20</v>
      </c>
      <c r="X52" s="327">
        <f t="shared" ref="X52:Y52" ca="1" si="47">SUM(X53:X73)</f>
        <v>150</v>
      </c>
      <c r="Y52" s="327">
        <f t="shared" ca="1" si="47"/>
        <v>75</v>
      </c>
      <c r="Z52" s="328">
        <f t="shared" ca="1" si="29"/>
        <v>50</v>
      </c>
      <c r="AA52" s="327">
        <f ca="1">SUM(AA53:AA73)</f>
        <v>70</v>
      </c>
      <c r="AB52" s="328">
        <f t="shared" ca="1" si="15"/>
        <v>46.666666666666664</v>
      </c>
      <c r="AC52" s="327">
        <f t="shared" ref="AC52:AD52" ca="1" si="48">SUM(AC53:AC73)</f>
        <v>150</v>
      </c>
      <c r="AD52" s="327">
        <f t="shared" ca="1" si="48"/>
        <v>30</v>
      </c>
      <c r="AE52" s="328">
        <f t="shared" ca="1" si="30"/>
        <v>20</v>
      </c>
      <c r="AF52" s="327">
        <f ca="1">SUM(AF53:AF73)</f>
        <v>30</v>
      </c>
      <c r="AG52" s="328">
        <f t="shared" ca="1" si="18"/>
        <v>20</v>
      </c>
    </row>
    <row r="53" spans="1:33" ht="21" customHeight="1" x14ac:dyDescent="0.2">
      <c r="A53" s="68">
        <v>1</v>
      </c>
      <c r="B53" s="69" t="s">
        <v>75</v>
      </c>
      <c r="C53" s="103">
        <f t="shared" ca="1" si="0"/>
        <v>194020</v>
      </c>
      <c r="D53" s="71">
        <f t="shared" ref="D53:D73" ca="1" si="49">+E53+F53</f>
        <v>194020</v>
      </c>
      <c r="E53" s="72">
        <f ca="1">IFERROR(__xludf.DUMMYFUNCTION("IMPORTRANGE(""https://docs.google.com/spreadsheets/d/1MeEWN-I1oV_STSDYn1IFDPWt_1FKiwhDph83XaGc0o0/edit?usp=sharing"",""งบพรบ!DJ53"")"),100000)</f>
        <v>100000</v>
      </c>
      <c r="F53" s="72">
        <f ca="1">IFERROR(__xludf.DUMMYFUNCTION("IMPORTRANGE(""https://docs.google.com/spreadsheets/d/1MeEWN-I1oV_STSDYn1IFDPWt_1FKiwhDph83XaGc0o0/edit?usp=sharing"",""งบพรบ!DK53"")"),94020)</f>
        <v>94020</v>
      </c>
      <c r="G53" s="73">
        <f ca="1">IFERROR(__xludf.DUMMYFUNCTION("IMPORTRANGE(""https://docs.google.com/spreadsheets/d/1MeEWN-I1oV_STSDYn1IFDPWt_1FKiwhDph83XaGc0o0/edit?usp=sharing"",""งบพรบ!DL53"")"),0)</f>
        <v>0</v>
      </c>
      <c r="H53" s="73">
        <f ca="1">IFERROR(__xludf.DUMMYFUNCTION("IMPORTRANGE(""https://docs.google.com/spreadsheets/d/1MeEWN-I1oV_STSDYn1IFDPWt_1FKiwhDph83XaGc0o0/edit?usp=sharing"",""งบพรบ!DN53"")"),121370)</f>
        <v>121370</v>
      </c>
      <c r="I53" s="73">
        <f ca="1">IFERROR(__xludf.DUMMYFUNCTION("IMPORTRANGE(""https://docs.google.com/spreadsheets/d/1MeEWN-I1oV_STSDYn1IFDPWt_1FKiwhDph83XaGc0o0/edit?usp=sharing"",""งบพรบ!DO53"")"),0)</f>
        <v>0</v>
      </c>
      <c r="J53" s="73">
        <f t="shared" ca="1" si="3"/>
        <v>70596</v>
      </c>
      <c r="K53" s="74">
        <f t="shared" ca="1" si="4"/>
        <v>36.385939593856307</v>
      </c>
      <c r="L53" s="73">
        <f ca="1">IFERROR(__xludf.DUMMYFUNCTION("IMPORTRANGE(""https://docs.google.com/spreadsheets/d/1MeEWN-I1oV_STSDYn1IFDPWt_1FKiwhDph83XaGc0o0/edit?usp=sharing"",""งบพรบ!DP53"")"),70596)</f>
        <v>70596</v>
      </c>
      <c r="M53" s="75">
        <f t="shared" ca="1" si="5"/>
        <v>36.385939593856307</v>
      </c>
      <c r="N53" s="75">
        <f t="shared" ca="1" si="6"/>
        <v>58.165938864628821</v>
      </c>
      <c r="O53" s="76">
        <f ca="1">IFERROR(__xludf.DUMMYFUNCTION("IMPORTRANGE(""https://docs.google.com/spreadsheets/d/1MeEWN-I1oV_STSDYn1IFDPWt_1FKiwhDph83XaGc0o0/edit?usp=sharing"",""งบพรบ!DQ53"")"),0)</f>
        <v>0</v>
      </c>
      <c r="P53" s="76">
        <f t="shared" ca="1" si="32"/>
        <v>0</v>
      </c>
      <c r="Q53" s="75">
        <f t="shared" ca="1" si="8"/>
        <v>0</v>
      </c>
      <c r="R53" s="321">
        <f ca="1">IFERROR(__xludf.DUMMYFUNCTION("IMPORTRANGE(""https://docs.google.com/spreadsheets/d/1hKO5uv94SSRZWOvrh72HRcpyoEQF9TsE_Cvxl77XNU4/edit?usp=sharing"",""กาญจนบุรี!I287"")"),250)</f>
        <v>250</v>
      </c>
      <c r="S53" s="321">
        <f ca="1">IFERROR(__xludf.DUMMYFUNCTION("IMPORTRANGE(""https://docs.google.com/spreadsheets/d/1hKO5uv94SSRZWOvrh72HRcpyoEQF9TsE_Cvxl77XNU4/edit?usp=sharing"",""กาญจนบุรี!J287"")"),250)</f>
        <v>250</v>
      </c>
      <c r="T53" s="322">
        <f t="shared" ca="1" si="27"/>
        <v>100</v>
      </c>
      <c r="U53" s="321">
        <f ca="1">IFERROR(__xludf.DUMMYFUNCTION("IMPORTRANGE(""https://docs.google.com/spreadsheets/d/1hKO5uv94SSRZWOvrh72HRcpyoEQF9TsE_Cvxl77XNU4/edit?usp=sharing"",""กาญจนบุรี!I288"")"),25)</f>
        <v>25</v>
      </c>
      <c r="V53" s="321">
        <f ca="1">IFERROR(__xludf.DUMMYFUNCTION("IMPORTRANGE(""https://docs.google.com/spreadsheets/d/1hKO5uv94SSRZWOvrh72HRcpyoEQF9TsE_Cvxl77XNU4/edit?usp=sharing"",""กาญจนบุรี!J288"")"),25)</f>
        <v>25</v>
      </c>
      <c r="W53" s="322">
        <f t="shared" ca="1" si="28"/>
        <v>100</v>
      </c>
      <c r="X53" s="321">
        <f ca="1">IFERROR(__xludf.DUMMYFUNCTION("IMPORTRANGE(""https://docs.google.com/spreadsheets/d/1hKO5uv94SSRZWOvrh72HRcpyoEQF9TsE_Cvxl77XNU4/edit?usp=sharing"",""กาญจนบุรี!I290"")"),25)</f>
        <v>25</v>
      </c>
      <c r="Y53" s="321">
        <f ca="1">IFERROR(__xludf.DUMMYFUNCTION("IMPORTRANGE(""https://docs.google.com/spreadsheets/d/1hKO5uv94SSRZWOvrh72HRcpyoEQF9TsE_Cvxl77XNU4/edit?usp=sharing"",""กาญจนบุรี!J290"")"),25)</f>
        <v>25</v>
      </c>
      <c r="Z53" s="322">
        <f t="shared" ca="1" si="29"/>
        <v>100</v>
      </c>
      <c r="AA53" s="321">
        <f ca="1">IFERROR(__xludf.DUMMYFUNCTION("IMPORTRANGE(""https://docs.google.com/spreadsheets/d/1hKO5uv94SSRZWOvrh72HRcpyoEQF9TsE_Cvxl77XNU4/edit?usp=sharing"",""กาญจนบุรี!J291"")"),25)</f>
        <v>25</v>
      </c>
      <c r="AB53" s="322">
        <f t="shared" ca="1" si="15"/>
        <v>100</v>
      </c>
      <c r="AC53" s="321">
        <f ca="1">IFERROR(__xludf.DUMMYFUNCTION("IMPORTRANGE(""https://docs.google.com/spreadsheets/d/1hKO5uv94SSRZWOvrh72HRcpyoEQF9TsE_Cvxl77XNU4/edit?usp=sharing"",""กาญจนบุรี!I293"")"),25)</f>
        <v>25</v>
      </c>
      <c r="AD53" s="321">
        <f ca="1">IFERROR(__xludf.DUMMYFUNCTION("IMPORTRANGE(""https://docs.google.com/spreadsheets/d/1hKO5uv94SSRZWOvrh72HRcpyoEQF9TsE_Cvxl77XNU4/edit?usp=sharing"",""กาญจนบุรี!J293"")"),25)</f>
        <v>25</v>
      </c>
      <c r="AE53" s="322">
        <f t="shared" ca="1" si="30"/>
        <v>100</v>
      </c>
      <c r="AF53" s="321">
        <f ca="1">IFERROR(__xludf.DUMMYFUNCTION("IMPORTRANGE(""https://docs.google.com/spreadsheets/d/1hKO5uv94SSRZWOvrh72HRcpyoEQF9TsE_Cvxl77XNU4/edit?usp=sharing"",""กาญจนบุรี!J294"")"),25)</f>
        <v>25</v>
      </c>
      <c r="AG53" s="322">
        <f t="shared" ca="1" si="18"/>
        <v>100</v>
      </c>
    </row>
    <row r="54" spans="1:33" ht="21" customHeight="1" x14ac:dyDescent="0.2">
      <c r="A54" s="78">
        <v>2</v>
      </c>
      <c r="B54" s="79" t="s">
        <v>76</v>
      </c>
      <c r="C54" s="80">
        <f t="shared" ca="1" si="0"/>
        <v>0</v>
      </c>
      <c r="D54" s="81">
        <f t="shared" ca="1" si="49"/>
        <v>0</v>
      </c>
      <c r="E54" s="82">
        <f ca="1">IFERROR(__xludf.DUMMYFUNCTION("IMPORTRANGE(""https://docs.google.com/spreadsheets/d/1MeEWN-I1oV_STSDYn1IFDPWt_1FKiwhDph83XaGc0o0/edit?usp=sharing"",""งบพรบ!DJ54"")"),0)</f>
        <v>0</v>
      </c>
      <c r="F54" s="82">
        <f ca="1">IFERROR(__xludf.DUMMYFUNCTION("IMPORTRANGE(""https://docs.google.com/spreadsheets/d/1MeEWN-I1oV_STSDYn1IFDPWt_1FKiwhDph83XaGc0o0/edit?usp=sharing"",""งบพรบ!DK54"")"),0)</f>
        <v>0</v>
      </c>
      <c r="G54" s="82">
        <f ca="1">IFERROR(__xludf.DUMMYFUNCTION("IMPORTRANGE(""https://docs.google.com/spreadsheets/d/1MeEWN-I1oV_STSDYn1IFDPWt_1FKiwhDph83XaGc0o0/edit?usp=sharing"",""งบพรบ!DL54"")"),0)</f>
        <v>0</v>
      </c>
      <c r="H54" s="82">
        <f ca="1">IFERROR(__xludf.DUMMYFUNCTION("IMPORTRANGE(""https://docs.google.com/spreadsheets/d/1MeEWN-I1oV_STSDYn1IFDPWt_1FKiwhDph83XaGc0o0/edit?usp=sharing"",""งบพรบ!DN54"")"),0)</f>
        <v>0</v>
      </c>
      <c r="I54" s="82">
        <f ca="1">IFERROR(__xludf.DUMMYFUNCTION("IMPORTRANGE(""https://docs.google.com/spreadsheets/d/1MeEWN-I1oV_STSDYn1IFDPWt_1FKiwhDph83XaGc0o0/edit?usp=sharing"",""งบพรบ!DO54"")"),0)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IFERROR(__xludf.DUMMYFUNCTION("IMPORTRANGE(""https://docs.google.com/spreadsheets/d/1MeEWN-I1oV_STSDYn1IFDPWt_1FKiwhDph83XaGc0o0/edit?usp=sharing"",""งบพรบ!DP54"")"),0)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IFERROR(__xludf.DUMMYFUNCTION("IMPORTRANGE(""https://docs.google.com/spreadsheets/d/1MeEWN-I1oV_STSDYn1IFDPWt_1FKiwhDph83XaGc0o0/edit?usp=sharing"",""งบพรบ!DQ54"")"),0)</f>
        <v>0</v>
      </c>
      <c r="P54" s="85">
        <f t="shared" ca="1" si="32"/>
        <v>0</v>
      </c>
      <c r="Q54" s="84">
        <f t="shared" ca="1" si="8"/>
        <v>0</v>
      </c>
      <c r="R54" s="323">
        <f ca="1">IFERROR(__xludf.DUMMYFUNCTION("IMPORTRANGE(""https://docs.google.com/spreadsheets/d/1njBaP_xXd-Uotvo2D9zb01TTCFkLJLDK97Tk1l9Qux0/edit?usp=sharing"",""จันทบุรี!I287"")"),0)</f>
        <v>0</v>
      </c>
      <c r="S54" s="323">
        <f ca="1">IFERROR(__xludf.DUMMYFUNCTION("IMPORTRANGE(""https://docs.google.com/spreadsheets/d/1njBaP_xXd-Uotvo2D9zb01TTCFkLJLDK97Tk1l9Qux0/edit?usp=sharing"",""จันทบุรี!J287"")"),0)</f>
        <v>0</v>
      </c>
      <c r="T54" s="324">
        <f t="shared" ca="1" si="27"/>
        <v>0</v>
      </c>
      <c r="U54" s="323">
        <f ca="1">IFERROR(__xludf.DUMMYFUNCTION("IMPORTRANGE(""https://docs.google.com/spreadsheets/d/1njBaP_xXd-Uotvo2D9zb01TTCFkLJLDK97Tk1l9Qux0/edit?usp=sharing"",""จันทบุรี!I288"")"),0)</f>
        <v>0</v>
      </c>
      <c r="V54" s="323">
        <f ca="1">IFERROR(__xludf.DUMMYFUNCTION("IMPORTRANGE(""https://docs.google.com/spreadsheets/d/1njBaP_xXd-Uotvo2D9zb01TTCFkLJLDK97Tk1l9Qux0/edit?usp=sharing"",""จันทบุรี!J288"")"),0)</f>
        <v>0</v>
      </c>
      <c r="W54" s="324">
        <f t="shared" ca="1" si="28"/>
        <v>0</v>
      </c>
      <c r="X54" s="323">
        <f ca="1">IFERROR(__xludf.DUMMYFUNCTION("IMPORTRANGE(""https://docs.google.com/spreadsheets/d/1njBaP_xXd-Uotvo2D9zb01TTCFkLJLDK97Tk1l9Qux0/edit?usp=sharing"",""จันทบุรี!I290"")"),0)</f>
        <v>0</v>
      </c>
      <c r="Y54" s="323">
        <f ca="1">IFERROR(__xludf.DUMMYFUNCTION("IMPORTRANGE(""https://docs.google.com/spreadsheets/d/1njBaP_xXd-Uotvo2D9zb01TTCFkLJLDK97Tk1l9Qux0/edit?usp=sharing"",""จันทบุรี!J290"")"),0)</f>
        <v>0</v>
      </c>
      <c r="Z54" s="324">
        <f t="shared" ca="1" si="29"/>
        <v>0</v>
      </c>
      <c r="AA54" s="323">
        <f ca="1">IFERROR(__xludf.DUMMYFUNCTION("IMPORTRANGE(""https://docs.google.com/spreadsheets/d/1njBaP_xXd-Uotvo2D9zb01TTCFkLJLDK97Tk1l9Qux0/edit?usp=sharing"",""จันทบุรี!J291"")"),0)</f>
        <v>0</v>
      </c>
      <c r="AB54" s="324">
        <f t="shared" ca="1" si="15"/>
        <v>0</v>
      </c>
      <c r="AC54" s="323">
        <f ca="1">IFERROR(__xludf.DUMMYFUNCTION("IMPORTRANGE(""https://docs.google.com/spreadsheets/d/1njBaP_xXd-Uotvo2D9zb01TTCFkLJLDK97Tk1l9Qux0/edit?usp=sharing"",""จันทบุรี!I293"")"),0)</f>
        <v>0</v>
      </c>
      <c r="AD54" s="323">
        <f ca="1">IFERROR(__xludf.DUMMYFUNCTION("IMPORTRANGE(""https://docs.google.com/spreadsheets/d/1njBaP_xXd-Uotvo2D9zb01TTCFkLJLDK97Tk1l9Qux0/edit?usp=sharing"",""จันทบุรี!J293"")"),0)</f>
        <v>0</v>
      </c>
      <c r="AE54" s="324">
        <f t="shared" ca="1" si="30"/>
        <v>0</v>
      </c>
      <c r="AF54" s="323">
        <f ca="1">IFERROR(__xludf.DUMMYFUNCTION("IMPORTRANGE(""https://docs.google.com/spreadsheets/d/1njBaP_xXd-Uotvo2D9zb01TTCFkLJLDK97Tk1l9Qux0/edit?usp=sharing"",""จันทบุรี!J294"")"),0)</f>
        <v>0</v>
      </c>
      <c r="AG54" s="324">
        <f t="shared" ca="1" si="18"/>
        <v>0</v>
      </c>
    </row>
    <row r="55" spans="1:33" ht="21" customHeight="1" x14ac:dyDescent="0.2">
      <c r="A55" s="78">
        <v>3</v>
      </c>
      <c r="B55" s="79" t="s">
        <v>77</v>
      </c>
      <c r="C55" s="80">
        <f t="shared" ca="1" si="0"/>
        <v>22630</v>
      </c>
      <c r="D55" s="81">
        <f t="shared" ca="1" si="49"/>
        <v>22630</v>
      </c>
      <c r="E55" s="82">
        <f ca="1">IFERROR(__xludf.DUMMYFUNCTION("IMPORTRANGE(""https://docs.google.com/spreadsheets/d/1MeEWN-I1oV_STSDYn1IFDPWt_1FKiwhDph83XaGc0o0/edit?usp=sharing"",""งบพรบ!DJ55"")"),0)</f>
        <v>0</v>
      </c>
      <c r="F55" s="82">
        <f ca="1">IFERROR(__xludf.DUMMYFUNCTION("IMPORTRANGE(""https://docs.google.com/spreadsheets/d/1MeEWN-I1oV_STSDYn1IFDPWt_1FKiwhDph83XaGc0o0/edit?usp=sharing"",""งบพรบ!DK55"")"),22630)</f>
        <v>22630</v>
      </c>
      <c r="G55" s="82">
        <f ca="1">IFERROR(__xludf.DUMMYFUNCTION("IMPORTRANGE(""https://docs.google.com/spreadsheets/d/1MeEWN-I1oV_STSDYn1IFDPWt_1FKiwhDph83XaGc0o0/edit?usp=sharing"",""งบพรบ!DL55"")"),0)</f>
        <v>0</v>
      </c>
      <c r="H55" s="82">
        <f ca="1">IFERROR(__xludf.DUMMYFUNCTION("IMPORTRANGE(""https://docs.google.com/spreadsheets/d/1MeEWN-I1oV_STSDYn1IFDPWt_1FKiwhDph83XaGc0o0/edit?usp=sharing"",""งบพรบ!DN55"")"),22630)</f>
        <v>22630</v>
      </c>
      <c r="I55" s="82">
        <f ca="1">IFERROR(__xludf.DUMMYFUNCTION("IMPORTRANGE(""https://docs.google.com/spreadsheets/d/1MeEWN-I1oV_STSDYn1IFDPWt_1FKiwhDph83XaGc0o0/edit?usp=sharing"",""งบพรบ!DO55"")"),0)</f>
        <v>0</v>
      </c>
      <c r="J55" s="82">
        <f t="shared" ca="1" si="3"/>
        <v>18455</v>
      </c>
      <c r="K55" s="83">
        <f t="shared" ca="1" si="4"/>
        <v>81.551038444542641</v>
      </c>
      <c r="L55" s="82">
        <f ca="1">IFERROR(__xludf.DUMMYFUNCTION("IMPORTRANGE(""https://docs.google.com/spreadsheets/d/1MeEWN-I1oV_STSDYn1IFDPWt_1FKiwhDph83XaGc0o0/edit?usp=sharing"",""งบพรบ!DP55"")"),18455)</f>
        <v>18455</v>
      </c>
      <c r="M55" s="84">
        <f t="shared" ca="1" si="5"/>
        <v>81.551038444542641</v>
      </c>
      <c r="N55" s="84">
        <f t="shared" ca="1" si="6"/>
        <v>81.551038444542641</v>
      </c>
      <c r="O55" s="85">
        <f ca="1">IFERROR(__xludf.DUMMYFUNCTION("IMPORTRANGE(""https://docs.google.com/spreadsheets/d/1MeEWN-I1oV_STSDYn1IFDPWt_1FKiwhDph83XaGc0o0/edit?usp=sharing"",""งบพรบ!DQ55"")"),0)</f>
        <v>0</v>
      </c>
      <c r="P55" s="85">
        <f t="shared" ca="1" si="32"/>
        <v>0</v>
      </c>
      <c r="Q55" s="84">
        <f t="shared" ca="1" si="8"/>
        <v>0</v>
      </c>
      <c r="R55" s="323">
        <f ca="1">IFERROR(__xludf.DUMMYFUNCTION("IMPORTRANGE(""https://docs.google.com/spreadsheets/d/14xp6qUzrGFnUk_qnc1eEmfiaNRd4_grkhpfQH_46fa8/edit?usp=sharing"",""ฉะเชิงเทรา!I287"")"),50)</f>
        <v>50</v>
      </c>
      <c r="S55" s="323">
        <f ca="1">IFERROR(__xludf.DUMMYFUNCTION("IMPORTRANGE(""https://docs.google.com/spreadsheets/d/14xp6qUzrGFnUk_qnc1eEmfiaNRd4_grkhpfQH_46fa8/edit?usp=sharing"",""ฉะเชิงเทรา!J287"")"),50)</f>
        <v>50</v>
      </c>
      <c r="T55" s="324">
        <f t="shared" ca="1" si="27"/>
        <v>100</v>
      </c>
      <c r="U55" s="323">
        <f ca="1">IFERROR(__xludf.DUMMYFUNCTION("IMPORTRANGE(""https://docs.google.com/spreadsheets/d/14xp6qUzrGFnUk_qnc1eEmfiaNRd4_grkhpfQH_46fa8/edit?usp=sharing"",""ฉะเชิงเทรา!I288"")"),5)</f>
        <v>5</v>
      </c>
      <c r="V55" s="323">
        <f ca="1">IFERROR(__xludf.DUMMYFUNCTION("IMPORTRANGE(""https://docs.google.com/spreadsheets/d/14xp6qUzrGFnUk_qnc1eEmfiaNRd4_grkhpfQH_46fa8/edit?usp=sharing"",""ฉะเชิงเทรา!J288"")"),5)</f>
        <v>5</v>
      </c>
      <c r="W55" s="324">
        <f t="shared" ca="1" si="28"/>
        <v>100</v>
      </c>
      <c r="X55" s="323">
        <f ca="1">IFERROR(__xludf.DUMMYFUNCTION("IMPORTRANGE(""https://docs.google.com/spreadsheets/d/14xp6qUzrGFnUk_qnc1eEmfiaNRd4_grkhpfQH_46fa8/edit?usp=sharing"",""ฉะเชิงเทรา!I290"")"),5)</f>
        <v>5</v>
      </c>
      <c r="Y55" s="323">
        <f ca="1">IFERROR(__xludf.DUMMYFUNCTION("IMPORTRANGE(""https://docs.google.com/spreadsheets/d/14xp6qUzrGFnUk_qnc1eEmfiaNRd4_grkhpfQH_46fa8/edit?usp=sharing"",""ฉะเชิงเทรา!J290"")"),5)</f>
        <v>5</v>
      </c>
      <c r="Z55" s="324">
        <f t="shared" ca="1" si="29"/>
        <v>100</v>
      </c>
      <c r="AA55" s="323">
        <f ca="1">IFERROR(__xludf.DUMMYFUNCTION("IMPORTRANGE(""https://docs.google.com/spreadsheets/d/14xp6qUzrGFnUk_qnc1eEmfiaNRd4_grkhpfQH_46fa8/edit?usp=sharing"",""ฉะเชิงเทรา!J291"")"),5)</f>
        <v>5</v>
      </c>
      <c r="AB55" s="324">
        <f t="shared" ca="1" si="15"/>
        <v>100</v>
      </c>
      <c r="AC55" s="323">
        <f ca="1">IFERROR(__xludf.DUMMYFUNCTION("IMPORTRANGE(""https://docs.google.com/spreadsheets/d/14xp6qUzrGFnUk_qnc1eEmfiaNRd4_grkhpfQH_46fa8/edit?usp=sharing"",""ฉะเชิงเทรา!I293"")"),5)</f>
        <v>5</v>
      </c>
      <c r="AD55" s="323">
        <f ca="1">IFERROR(__xludf.DUMMYFUNCTION("IMPORTRANGE(""https://docs.google.com/spreadsheets/d/14xp6qUzrGFnUk_qnc1eEmfiaNRd4_grkhpfQH_46fa8/edit?usp=sharing"",""ฉะเชิงเทรา!J293"")"),5)</f>
        <v>5</v>
      </c>
      <c r="AE55" s="324">
        <f t="shared" ca="1" si="30"/>
        <v>100</v>
      </c>
      <c r="AF55" s="323">
        <f ca="1">IFERROR(__xludf.DUMMYFUNCTION("IMPORTRANGE(""https://docs.google.com/spreadsheets/d/14xp6qUzrGFnUk_qnc1eEmfiaNRd4_grkhpfQH_46fa8/edit?usp=sharing"",""ฉะเชิงเทรา!J294"")"),5)</f>
        <v>5</v>
      </c>
      <c r="AG55" s="324">
        <f t="shared" ca="1" si="18"/>
        <v>100</v>
      </c>
    </row>
    <row r="56" spans="1:33" ht="21" customHeight="1" x14ac:dyDescent="0.2">
      <c r="A56" s="78">
        <v>4</v>
      </c>
      <c r="B56" s="79" t="s">
        <v>78</v>
      </c>
      <c r="C56" s="80">
        <f t="shared" ca="1" si="0"/>
        <v>163030</v>
      </c>
      <c r="D56" s="81">
        <f t="shared" ca="1" si="49"/>
        <v>163030</v>
      </c>
      <c r="E56" s="82">
        <f ca="1">IFERROR(__xludf.DUMMYFUNCTION("IMPORTRANGE(""https://docs.google.com/spreadsheets/d/1MeEWN-I1oV_STSDYn1IFDPWt_1FKiwhDph83XaGc0o0/edit?usp=sharing"",""งบพรบ!DJ56"")"),140400)</f>
        <v>140400</v>
      </c>
      <c r="F56" s="82">
        <f ca="1">IFERROR(__xludf.DUMMYFUNCTION("IMPORTRANGE(""https://docs.google.com/spreadsheets/d/1MeEWN-I1oV_STSDYn1IFDPWt_1FKiwhDph83XaGc0o0/edit?usp=sharing"",""งบพรบ!DK56"")"),22630)</f>
        <v>22630</v>
      </c>
      <c r="G56" s="82">
        <f ca="1">IFERROR(__xludf.DUMMYFUNCTION("IMPORTRANGE(""https://docs.google.com/spreadsheets/d/1MeEWN-I1oV_STSDYn1IFDPWt_1FKiwhDph83XaGc0o0/edit?usp=sharing"",""งบพรบ!DL56"")"),0)</f>
        <v>0</v>
      </c>
      <c r="H56" s="82">
        <f ca="1">IFERROR(__xludf.DUMMYFUNCTION("IMPORTRANGE(""https://docs.google.com/spreadsheets/d/1MeEWN-I1oV_STSDYn1IFDPWt_1FKiwhDph83XaGc0o0/edit?usp=sharing"",""งบพรบ!DN56"")"),118400)</f>
        <v>118400</v>
      </c>
      <c r="I56" s="82">
        <f ca="1">IFERROR(__xludf.DUMMYFUNCTION("IMPORTRANGE(""https://docs.google.com/spreadsheets/d/1MeEWN-I1oV_STSDYn1IFDPWt_1FKiwhDph83XaGc0o0/edit?usp=sharing"",""งบพรบ!DO56"")"),0)</f>
        <v>0</v>
      </c>
      <c r="J56" s="82">
        <f t="shared" ca="1" si="3"/>
        <v>29800</v>
      </c>
      <c r="K56" s="83">
        <f t="shared" ca="1" si="4"/>
        <v>18.278844384469117</v>
      </c>
      <c r="L56" s="82">
        <f ca="1">IFERROR(__xludf.DUMMYFUNCTION("IMPORTRANGE(""https://docs.google.com/spreadsheets/d/1MeEWN-I1oV_STSDYn1IFDPWt_1FKiwhDph83XaGc0o0/edit?usp=sharing"",""งบพรบ!DP56"")"),29800)</f>
        <v>29800</v>
      </c>
      <c r="M56" s="84">
        <f t="shared" ca="1" si="5"/>
        <v>18.278844384469117</v>
      </c>
      <c r="N56" s="84">
        <f t="shared" ca="1" si="6"/>
        <v>25.168918918918919</v>
      </c>
      <c r="O56" s="85">
        <f ca="1">IFERROR(__xludf.DUMMYFUNCTION("IMPORTRANGE(""https://docs.google.com/spreadsheets/d/1MeEWN-I1oV_STSDYn1IFDPWt_1FKiwhDph83XaGc0o0/edit?usp=sharing"",""งบพรบ!DQ56"")"),0)</f>
        <v>0</v>
      </c>
      <c r="P56" s="85">
        <f t="shared" ca="1" si="32"/>
        <v>0</v>
      </c>
      <c r="Q56" s="84">
        <f t="shared" ca="1" si="8"/>
        <v>0</v>
      </c>
      <c r="R56" s="323">
        <f ca="1">IFERROR(__xludf.DUMMYFUNCTION("IMPORTRANGE(""https://docs.google.com/spreadsheets/d/1_Zwps30dlVa-pZFsorjVf1Pil6WXwzCsJU0U2whO3NI/edit?usp=sharing"",""ชลบุรี!I287"")"),50)</f>
        <v>50</v>
      </c>
      <c r="S56" s="323">
        <f ca="1">IFERROR(__xludf.DUMMYFUNCTION("IMPORTRANGE(""https://docs.google.com/spreadsheets/d/1_Zwps30dlVa-pZFsorjVf1Pil6WXwzCsJU0U2whO3NI/edit?usp=sharing"",""ชลบุรี!J287"")"),0)</f>
        <v>0</v>
      </c>
      <c r="T56" s="324">
        <f t="shared" ca="1" si="27"/>
        <v>0</v>
      </c>
      <c r="U56" s="323">
        <f ca="1">IFERROR(__xludf.DUMMYFUNCTION("IMPORTRANGE(""https://docs.google.com/spreadsheets/d/1_Zwps30dlVa-pZFsorjVf1Pil6WXwzCsJU0U2whO3NI/edit?usp=sharing"",""ชลบุรี!I288"")"),5)</f>
        <v>5</v>
      </c>
      <c r="V56" s="323">
        <f ca="1">IFERROR(__xludf.DUMMYFUNCTION("IMPORTRANGE(""https://docs.google.com/spreadsheets/d/1_Zwps30dlVa-pZFsorjVf1Pil6WXwzCsJU0U2whO3NI/edit?usp=sharing"",""ชลบุรี!J288"")"),0)</f>
        <v>0</v>
      </c>
      <c r="W56" s="324">
        <f t="shared" ca="1" si="28"/>
        <v>0</v>
      </c>
      <c r="X56" s="323">
        <f ca="1">IFERROR(__xludf.DUMMYFUNCTION("IMPORTRANGE(""https://docs.google.com/spreadsheets/d/1_Zwps30dlVa-pZFsorjVf1Pil6WXwzCsJU0U2whO3NI/edit?usp=sharing"",""ชลบุรี!I290"")"),5)</f>
        <v>5</v>
      </c>
      <c r="Y56" s="323">
        <f ca="1">IFERROR(__xludf.DUMMYFUNCTION("IMPORTRANGE(""https://docs.google.com/spreadsheets/d/1_Zwps30dlVa-pZFsorjVf1Pil6WXwzCsJU0U2whO3NI/edit?usp=sharing"",""ชลบุรี!J290"")"),0)</f>
        <v>0</v>
      </c>
      <c r="Z56" s="324">
        <f t="shared" ca="1" si="29"/>
        <v>0</v>
      </c>
      <c r="AA56" s="323">
        <f ca="1">IFERROR(__xludf.DUMMYFUNCTION("IMPORTRANGE(""https://docs.google.com/spreadsheets/d/1_Zwps30dlVa-pZFsorjVf1Pil6WXwzCsJU0U2whO3NI/edit?usp=sharing"",""ชลบุรี!J291"")"),0)</f>
        <v>0</v>
      </c>
      <c r="AB56" s="324">
        <f t="shared" ca="1" si="15"/>
        <v>0</v>
      </c>
      <c r="AC56" s="323">
        <f ca="1">IFERROR(__xludf.DUMMYFUNCTION("IMPORTRANGE(""https://docs.google.com/spreadsheets/d/1_Zwps30dlVa-pZFsorjVf1Pil6WXwzCsJU0U2whO3NI/edit?usp=sharing"",""ชลบุรี!I293"")"),5)</f>
        <v>5</v>
      </c>
      <c r="AD56" s="323">
        <f ca="1">IFERROR(__xludf.DUMMYFUNCTION("IMPORTRANGE(""https://docs.google.com/spreadsheets/d/1_Zwps30dlVa-pZFsorjVf1Pil6WXwzCsJU0U2whO3NI/edit?usp=sharing"",""ชลบุรี!J293"")"),0)</f>
        <v>0</v>
      </c>
      <c r="AE56" s="324">
        <f t="shared" ca="1" si="30"/>
        <v>0</v>
      </c>
      <c r="AF56" s="323">
        <f ca="1">IFERROR(__xludf.DUMMYFUNCTION("IMPORTRANGE(""https://docs.google.com/spreadsheets/d/1_Zwps30dlVa-pZFsorjVf1Pil6WXwzCsJU0U2whO3NI/edit?usp=sharing"",""ชลบุรี!J294"")"),0)</f>
        <v>0</v>
      </c>
      <c r="AG56" s="324">
        <f t="shared" ca="1" si="18"/>
        <v>0</v>
      </c>
    </row>
    <row r="57" spans="1:33" ht="21" customHeight="1" x14ac:dyDescent="0.2">
      <c r="A57" s="78">
        <v>5</v>
      </c>
      <c r="B57" s="79" t="s">
        <v>79</v>
      </c>
      <c r="C57" s="80">
        <f t="shared" ca="1" si="0"/>
        <v>0</v>
      </c>
      <c r="D57" s="81">
        <f t="shared" ca="1" si="49"/>
        <v>0</v>
      </c>
      <c r="E57" s="82">
        <f ca="1">IFERROR(__xludf.DUMMYFUNCTION("IMPORTRANGE(""https://docs.google.com/spreadsheets/d/1MeEWN-I1oV_STSDYn1IFDPWt_1FKiwhDph83XaGc0o0/edit?usp=sharing"",""งบพรบ!DJ57"")"),0)</f>
        <v>0</v>
      </c>
      <c r="F57" s="82">
        <f ca="1">IFERROR(__xludf.DUMMYFUNCTION("IMPORTRANGE(""https://docs.google.com/spreadsheets/d/1MeEWN-I1oV_STSDYn1IFDPWt_1FKiwhDph83XaGc0o0/edit?usp=sharing"",""งบพรบ!DK57"")"),0)</f>
        <v>0</v>
      </c>
      <c r="G57" s="82">
        <f ca="1">IFERROR(__xludf.DUMMYFUNCTION("IMPORTRANGE(""https://docs.google.com/spreadsheets/d/1MeEWN-I1oV_STSDYn1IFDPWt_1FKiwhDph83XaGc0o0/edit?usp=sharing"",""งบพรบ!DL57"")"),0)</f>
        <v>0</v>
      </c>
      <c r="H57" s="82">
        <f ca="1">IFERROR(__xludf.DUMMYFUNCTION("IMPORTRANGE(""https://docs.google.com/spreadsheets/d/1MeEWN-I1oV_STSDYn1IFDPWt_1FKiwhDph83XaGc0o0/edit?usp=sharing"",""งบพรบ!DN57"")"),0)</f>
        <v>0</v>
      </c>
      <c r="I57" s="82">
        <f ca="1">IFERROR(__xludf.DUMMYFUNCTION("IMPORTRANGE(""https://docs.google.com/spreadsheets/d/1MeEWN-I1oV_STSDYn1IFDPWt_1FKiwhDph83XaGc0o0/edit?usp=sharing"",""งบพรบ!DO57"")"),0)</f>
        <v>0</v>
      </c>
      <c r="J57" s="82">
        <f t="shared" ca="1" si="3"/>
        <v>0</v>
      </c>
      <c r="K57" s="83">
        <f t="shared" ca="1" si="4"/>
        <v>0</v>
      </c>
      <c r="L57" s="82">
        <f ca="1">IFERROR(__xludf.DUMMYFUNCTION("IMPORTRANGE(""https://docs.google.com/spreadsheets/d/1MeEWN-I1oV_STSDYn1IFDPWt_1FKiwhDph83XaGc0o0/edit?usp=sharing"",""งบพรบ!DP57"")"),0)</f>
        <v>0</v>
      </c>
      <c r="M57" s="84">
        <f t="shared" ca="1" si="5"/>
        <v>0</v>
      </c>
      <c r="N57" s="84">
        <f t="shared" ca="1" si="6"/>
        <v>0</v>
      </c>
      <c r="O57" s="85">
        <f ca="1">IFERROR(__xludf.DUMMYFUNCTION("IMPORTRANGE(""https://docs.google.com/spreadsheets/d/1MeEWN-I1oV_STSDYn1IFDPWt_1FKiwhDph83XaGc0o0/edit?usp=sharing"",""งบพรบ!DQ57"")"),0)</f>
        <v>0</v>
      </c>
      <c r="P57" s="85">
        <f t="shared" ca="1" si="32"/>
        <v>0</v>
      </c>
      <c r="Q57" s="84">
        <f t="shared" ca="1" si="8"/>
        <v>0</v>
      </c>
      <c r="R57" s="323">
        <f ca="1">IFERROR(__xludf.DUMMYFUNCTION("IMPORTRANGE(""https://docs.google.com/spreadsheets/d/1xAsT4sUbBlom7l0acStESh_15nvjZcXjZM7fK5uZSq8/edit?usp=sharing"",""ชัยนาท!I287"")"),0)</f>
        <v>0</v>
      </c>
      <c r="S57" s="323">
        <f ca="1">IFERROR(__xludf.DUMMYFUNCTION("IMPORTRANGE(""https://docs.google.com/spreadsheets/d/1xAsT4sUbBlom7l0acStESh_15nvjZcXjZM7fK5uZSq8/edit?usp=sharing"",""ชัยนาท!J287"")"),0)</f>
        <v>0</v>
      </c>
      <c r="T57" s="324">
        <f t="shared" ca="1" si="27"/>
        <v>0</v>
      </c>
      <c r="U57" s="323">
        <f ca="1">IFERROR(__xludf.DUMMYFUNCTION("IMPORTRANGE(""https://docs.google.com/spreadsheets/d/1xAsT4sUbBlom7l0acStESh_15nvjZcXjZM7fK5uZSq8/edit?usp=sharing"",""ชัยนาท!I288"")"),0)</f>
        <v>0</v>
      </c>
      <c r="V57" s="323">
        <f ca="1">IFERROR(__xludf.DUMMYFUNCTION("IMPORTRANGE(""https://docs.google.com/spreadsheets/d/1xAsT4sUbBlom7l0acStESh_15nvjZcXjZM7fK5uZSq8/edit?usp=sharing"",""ชัยนาท!J288"")"),0)</f>
        <v>0</v>
      </c>
      <c r="W57" s="324">
        <f t="shared" ca="1" si="28"/>
        <v>0</v>
      </c>
      <c r="X57" s="323">
        <f ca="1">IFERROR(__xludf.DUMMYFUNCTION("IMPORTRANGE(""https://docs.google.com/spreadsheets/d/1xAsT4sUbBlom7l0acStESh_15nvjZcXjZM7fK5uZSq8/edit?usp=sharing"",""ชัยนาท!I290"")"),0)</f>
        <v>0</v>
      </c>
      <c r="Y57" s="323">
        <f ca="1">IFERROR(__xludf.DUMMYFUNCTION("IMPORTRANGE(""https://docs.google.com/spreadsheets/d/1xAsT4sUbBlom7l0acStESh_15nvjZcXjZM7fK5uZSq8/edit?usp=sharing"",""ชัยนาท!J290"")"),0)</f>
        <v>0</v>
      </c>
      <c r="Z57" s="324">
        <f t="shared" ca="1" si="29"/>
        <v>0</v>
      </c>
      <c r="AA57" s="323">
        <f ca="1">IFERROR(__xludf.DUMMYFUNCTION("IMPORTRANGE(""https://docs.google.com/spreadsheets/d/1xAsT4sUbBlom7l0acStESh_15nvjZcXjZM7fK5uZSq8/edit?usp=sharing"",""ชัยนาท!J291"")"),0)</f>
        <v>0</v>
      </c>
      <c r="AB57" s="324">
        <f t="shared" ca="1" si="15"/>
        <v>0</v>
      </c>
      <c r="AC57" s="323">
        <f ca="1">IFERROR(__xludf.DUMMYFUNCTION("IMPORTRANGE(""https://docs.google.com/spreadsheets/d/1xAsT4sUbBlom7l0acStESh_15nvjZcXjZM7fK5uZSq8/edit?usp=sharing"",""ชัยนาท!I293"")"),0)</f>
        <v>0</v>
      </c>
      <c r="AD57" s="323">
        <f ca="1">IFERROR(__xludf.DUMMYFUNCTION("IMPORTRANGE(""https://docs.google.com/spreadsheets/d/1xAsT4sUbBlom7l0acStESh_15nvjZcXjZM7fK5uZSq8/edit?usp=sharing"",""ชัยนาท!J293"")"),0)</f>
        <v>0</v>
      </c>
      <c r="AE57" s="324">
        <f t="shared" ca="1" si="30"/>
        <v>0</v>
      </c>
      <c r="AF57" s="323">
        <f ca="1">IFERROR(__xludf.DUMMYFUNCTION("IMPORTRANGE(""https://docs.google.com/spreadsheets/d/1xAsT4sUbBlom7l0acStESh_15nvjZcXjZM7fK5uZSq8/edit?usp=sharing"",""ชัยนาท!J294"")"),0)</f>
        <v>0</v>
      </c>
      <c r="AG57" s="324">
        <f t="shared" ca="1" si="18"/>
        <v>0</v>
      </c>
    </row>
    <row r="58" spans="1:33" ht="21" customHeight="1" x14ac:dyDescent="0.2">
      <c r="A58" s="78">
        <v>6</v>
      </c>
      <c r="B58" s="79" t="s">
        <v>80</v>
      </c>
      <c r="C58" s="80">
        <f t="shared" ca="1" si="0"/>
        <v>0</v>
      </c>
      <c r="D58" s="81">
        <f t="shared" ca="1" si="49"/>
        <v>0</v>
      </c>
      <c r="E58" s="82">
        <f ca="1">IFERROR(__xludf.DUMMYFUNCTION("IMPORTRANGE(""https://docs.google.com/spreadsheets/d/1MeEWN-I1oV_STSDYn1IFDPWt_1FKiwhDph83XaGc0o0/edit?usp=sharing"",""งบพรบ!DJ58"")"),0)</f>
        <v>0</v>
      </c>
      <c r="F58" s="82">
        <f ca="1">IFERROR(__xludf.DUMMYFUNCTION("IMPORTRANGE(""https://docs.google.com/spreadsheets/d/1MeEWN-I1oV_STSDYn1IFDPWt_1FKiwhDph83XaGc0o0/edit?usp=sharing"",""งบพรบ!DK58"")"),0)</f>
        <v>0</v>
      </c>
      <c r="G58" s="82">
        <f ca="1">IFERROR(__xludf.DUMMYFUNCTION("IMPORTRANGE(""https://docs.google.com/spreadsheets/d/1MeEWN-I1oV_STSDYn1IFDPWt_1FKiwhDph83XaGc0o0/edit?usp=sharing"",""งบพรบ!DL58"")"),0)</f>
        <v>0</v>
      </c>
      <c r="H58" s="82">
        <f ca="1">IFERROR(__xludf.DUMMYFUNCTION("IMPORTRANGE(""https://docs.google.com/spreadsheets/d/1MeEWN-I1oV_STSDYn1IFDPWt_1FKiwhDph83XaGc0o0/edit?usp=sharing"",""งบพรบ!DN58"")"),0)</f>
        <v>0</v>
      </c>
      <c r="I58" s="82">
        <f ca="1">IFERROR(__xludf.DUMMYFUNCTION("IMPORTRANGE(""https://docs.google.com/spreadsheets/d/1MeEWN-I1oV_STSDYn1IFDPWt_1FKiwhDph83XaGc0o0/edit?usp=sharing"",""งบพรบ!DO58"")"),0)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IFERROR(__xludf.DUMMYFUNCTION("IMPORTRANGE(""https://docs.google.com/spreadsheets/d/1MeEWN-I1oV_STSDYn1IFDPWt_1FKiwhDph83XaGc0o0/edit?usp=sharing"",""งบพรบ!DP58"")"),0)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IFERROR(__xludf.DUMMYFUNCTION("IMPORTRANGE(""https://docs.google.com/spreadsheets/d/1MeEWN-I1oV_STSDYn1IFDPWt_1FKiwhDph83XaGc0o0/edit?usp=sharing"",""งบพรบ!DQ58"")"),0)</f>
        <v>0</v>
      </c>
      <c r="P58" s="85">
        <f t="shared" ca="1" si="32"/>
        <v>0</v>
      </c>
      <c r="Q58" s="84">
        <f t="shared" ca="1" si="8"/>
        <v>0</v>
      </c>
      <c r="R58" s="323">
        <f ca="1">IFERROR(__xludf.DUMMYFUNCTION("IMPORTRANGE(""https://docs.google.com/spreadsheets/d/1vWPVBOAaZ6mHSI8yf95DNqHwTJ1cpeFsvqt6cxV34QA/edit?usp=sharing"",""ตราด!I287"")"),0)</f>
        <v>0</v>
      </c>
      <c r="S58" s="323">
        <f ca="1">IFERROR(__xludf.DUMMYFUNCTION("IMPORTRANGE(""https://docs.google.com/spreadsheets/d/1vWPVBOAaZ6mHSI8yf95DNqHwTJ1cpeFsvqt6cxV34QA/edit?usp=sharing"",""ตราด!J287"")"),0)</f>
        <v>0</v>
      </c>
      <c r="T58" s="324">
        <f t="shared" ca="1" si="27"/>
        <v>0</v>
      </c>
      <c r="U58" s="323">
        <f ca="1">IFERROR(__xludf.DUMMYFUNCTION("IMPORTRANGE(""https://docs.google.com/spreadsheets/d/1vWPVBOAaZ6mHSI8yf95DNqHwTJ1cpeFsvqt6cxV34QA/edit?usp=sharing"",""ตราด!I288"")"),0)</f>
        <v>0</v>
      </c>
      <c r="V58" s="323">
        <f ca="1">IFERROR(__xludf.DUMMYFUNCTION("IMPORTRANGE(""https://docs.google.com/spreadsheets/d/1vWPVBOAaZ6mHSI8yf95DNqHwTJ1cpeFsvqt6cxV34QA/edit?usp=sharing"",""ตราด!J288"")"),0)</f>
        <v>0</v>
      </c>
      <c r="W58" s="324">
        <f t="shared" ca="1" si="28"/>
        <v>0</v>
      </c>
      <c r="X58" s="323">
        <f ca="1">IFERROR(__xludf.DUMMYFUNCTION("IMPORTRANGE(""https://docs.google.com/spreadsheets/d/1vWPVBOAaZ6mHSI8yf95DNqHwTJ1cpeFsvqt6cxV34QA/edit?usp=sharing"",""ตราด!I290"")"),0)</f>
        <v>0</v>
      </c>
      <c r="Y58" s="323">
        <f ca="1">IFERROR(__xludf.DUMMYFUNCTION("IMPORTRANGE(""https://docs.google.com/spreadsheets/d/1vWPVBOAaZ6mHSI8yf95DNqHwTJ1cpeFsvqt6cxV34QA/edit?usp=sharing"",""ตราด!J290"")"),0)</f>
        <v>0</v>
      </c>
      <c r="Z58" s="324">
        <f t="shared" ca="1" si="29"/>
        <v>0</v>
      </c>
      <c r="AA58" s="323">
        <f ca="1">IFERROR(__xludf.DUMMYFUNCTION("IMPORTRANGE(""https://docs.google.com/spreadsheets/d/1vWPVBOAaZ6mHSI8yf95DNqHwTJ1cpeFsvqt6cxV34QA/edit?usp=sharing"",""ตราด!J291"")"),0)</f>
        <v>0</v>
      </c>
      <c r="AB58" s="324">
        <f t="shared" ca="1" si="15"/>
        <v>0</v>
      </c>
      <c r="AC58" s="323">
        <f ca="1">IFERROR(__xludf.DUMMYFUNCTION("IMPORTRANGE(""https://docs.google.com/spreadsheets/d/1vWPVBOAaZ6mHSI8yf95DNqHwTJ1cpeFsvqt6cxV34QA/edit?usp=sharing"",""ตราด!I293"")"),0)</f>
        <v>0</v>
      </c>
      <c r="AD58" s="323">
        <f ca="1">IFERROR(__xludf.DUMMYFUNCTION("IMPORTRANGE(""https://docs.google.com/spreadsheets/d/1vWPVBOAaZ6mHSI8yf95DNqHwTJ1cpeFsvqt6cxV34QA/edit?usp=sharing"",""ตราด!J293"")"),0)</f>
        <v>0</v>
      </c>
      <c r="AE58" s="324">
        <f t="shared" ca="1" si="30"/>
        <v>0</v>
      </c>
      <c r="AF58" s="323">
        <f ca="1">IFERROR(__xludf.DUMMYFUNCTION("IMPORTRANGE(""https://docs.google.com/spreadsheets/d/1vWPVBOAaZ6mHSI8yf95DNqHwTJ1cpeFsvqt6cxV34QA/edit?usp=sharing"",""ตราด!J294"")"),0)</f>
        <v>0</v>
      </c>
      <c r="AG58" s="324">
        <f t="shared" ca="1" si="18"/>
        <v>0</v>
      </c>
    </row>
    <row r="59" spans="1:33" ht="21" customHeight="1" x14ac:dyDescent="0.2">
      <c r="A59" s="78">
        <v>7</v>
      </c>
      <c r="B59" s="79" t="s">
        <v>81</v>
      </c>
      <c r="C59" s="80">
        <f t="shared" ca="1" si="0"/>
        <v>22630</v>
      </c>
      <c r="D59" s="81">
        <f t="shared" ca="1" si="49"/>
        <v>22630</v>
      </c>
      <c r="E59" s="82">
        <f ca="1">IFERROR(__xludf.DUMMYFUNCTION("IMPORTRANGE(""https://docs.google.com/spreadsheets/d/1MeEWN-I1oV_STSDYn1IFDPWt_1FKiwhDph83XaGc0o0/edit?usp=sharing"",""งบพรบ!DJ59"")"),0)</f>
        <v>0</v>
      </c>
      <c r="F59" s="82">
        <f ca="1">IFERROR(__xludf.DUMMYFUNCTION("IMPORTRANGE(""https://docs.google.com/spreadsheets/d/1MeEWN-I1oV_STSDYn1IFDPWt_1FKiwhDph83XaGc0o0/edit?usp=sharing"",""งบพรบ!DK59"")"),22630)</f>
        <v>22630</v>
      </c>
      <c r="G59" s="82">
        <f ca="1">IFERROR(__xludf.DUMMYFUNCTION("IMPORTRANGE(""https://docs.google.com/spreadsheets/d/1MeEWN-I1oV_STSDYn1IFDPWt_1FKiwhDph83XaGc0o0/edit?usp=sharing"",""งบพรบ!DL59"")"),0)</f>
        <v>0</v>
      </c>
      <c r="H59" s="82">
        <f ca="1">IFERROR(__xludf.DUMMYFUNCTION("IMPORTRANGE(""https://docs.google.com/spreadsheets/d/1MeEWN-I1oV_STSDYn1IFDPWt_1FKiwhDph83XaGc0o0/edit?usp=sharing"",""งบพรบ!DN59"")"),13100)</f>
        <v>13100</v>
      </c>
      <c r="I59" s="82">
        <f ca="1">IFERROR(__xludf.DUMMYFUNCTION("IMPORTRANGE(""https://docs.google.com/spreadsheets/d/1MeEWN-I1oV_STSDYn1IFDPWt_1FKiwhDph83XaGc0o0/edit?usp=sharing"",""งบพรบ!DO59"")"),0)</f>
        <v>0</v>
      </c>
      <c r="J59" s="82">
        <f t="shared" ca="1" si="3"/>
        <v>12210</v>
      </c>
      <c r="K59" s="83">
        <f t="shared" ca="1" si="4"/>
        <v>53.954927087936369</v>
      </c>
      <c r="L59" s="82">
        <f ca="1">IFERROR(__xludf.DUMMYFUNCTION("IMPORTRANGE(""https://docs.google.com/spreadsheets/d/1MeEWN-I1oV_STSDYn1IFDPWt_1FKiwhDph83XaGc0o0/edit?usp=sharing"",""งบพรบ!DP59"")"),12210)</f>
        <v>12210</v>
      </c>
      <c r="M59" s="84">
        <f t="shared" ca="1" si="5"/>
        <v>53.954927087936369</v>
      </c>
      <c r="N59" s="84">
        <f t="shared" ca="1" si="6"/>
        <v>93.206106870229007</v>
      </c>
      <c r="O59" s="85">
        <f ca="1">IFERROR(__xludf.DUMMYFUNCTION("IMPORTRANGE(""https://docs.google.com/spreadsheets/d/1MeEWN-I1oV_STSDYn1IFDPWt_1FKiwhDph83XaGc0o0/edit?usp=sharing"",""งบพรบ!DQ59"")"),0)</f>
        <v>0</v>
      </c>
      <c r="P59" s="85">
        <f t="shared" ca="1" si="32"/>
        <v>0</v>
      </c>
      <c r="Q59" s="84">
        <f t="shared" ca="1" si="8"/>
        <v>0</v>
      </c>
      <c r="R59" s="323">
        <f ca="1">IFERROR(__xludf.DUMMYFUNCTION("IMPORTRANGE(""https://docs.google.com/spreadsheets/d/1phaeSb9lTGgzDpbvVqI9hfmOQQzUom07-HEvpbARzEg/edit?usp=sharing"",""นครนายก!I287"")"),50)</f>
        <v>50</v>
      </c>
      <c r="S59" s="323">
        <f ca="1">IFERROR(__xludf.DUMMYFUNCTION("IMPORTRANGE(""https://docs.google.com/spreadsheets/d/1phaeSb9lTGgzDpbvVqI9hfmOQQzUom07-HEvpbARzEg/edit?usp=sharing"",""นครนายก!J287"")"),50)</f>
        <v>50</v>
      </c>
      <c r="T59" s="324">
        <f t="shared" ca="1" si="27"/>
        <v>100</v>
      </c>
      <c r="U59" s="323">
        <f ca="1">IFERROR(__xludf.DUMMYFUNCTION("IMPORTRANGE(""https://docs.google.com/spreadsheets/d/1phaeSb9lTGgzDpbvVqI9hfmOQQzUom07-HEvpbARzEg/edit?usp=sharing"",""นครนายก!I288"")"),5)</f>
        <v>5</v>
      </c>
      <c r="V59" s="323">
        <f ca="1">IFERROR(__xludf.DUMMYFUNCTION("IMPORTRANGE(""https://docs.google.com/spreadsheets/d/1phaeSb9lTGgzDpbvVqI9hfmOQQzUom07-HEvpbARzEg/edit?usp=sharing"",""นครนายก!J288"")"),0)</f>
        <v>0</v>
      </c>
      <c r="W59" s="324">
        <f t="shared" ca="1" si="28"/>
        <v>0</v>
      </c>
      <c r="X59" s="323">
        <f ca="1">IFERROR(__xludf.DUMMYFUNCTION("IMPORTRANGE(""https://docs.google.com/spreadsheets/d/1phaeSb9lTGgzDpbvVqI9hfmOQQzUom07-HEvpbARzEg/edit?usp=sharing"",""นครนายก!I290"")"),5)</f>
        <v>5</v>
      </c>
      <c r="Y59" s="323">
        <f ca="1">IFERROR(__xludf.DUMMYFUNCTION("IMPORTRANGE(""https://docs.google.com/spreadsheets/d/1phaeSb9lTGgzDpbvVqI9hfmOQQzUom07-HEvpbARzEg/edit?usp=sharing"",""นครนายก!J290"")"),5)</f>
        <v>5</v>
      </c>
      <c r="Z59" s="324">
        <f t="shared" ca="1" si="29"/>
        <v>100</v>
      </c>
      <c r="AA59" s="323">
        <f ca="1">IFERROR(__xludf.DUMMYFUNCTION("IMPORTRANGE(""https://docs.google.com/spreadsheets/d/1phaeSb9lTGgzDpbvVqI9hfmOQQzUom07-HEvpbARzEg/edit?usp=sharing"",""นครนายก!J291"")"),0)</f>
        <v>0</v>
      </c>
      <c r="AB59" s="324">
        <f t="shared" ca="1" si="15"/>
        <v>0</v>
      </c>
      <c r="AC59" s="323">
        <f ca="1">IFERROR(__xludf.DUMMYFUNCTION("IMPORTRANGE(""https://docs.google.com/spreadsheets/d/1phaeSb9lTGgzDpbvVqI9hfmOQQzUom07-HEvpbARzEg/edit?usp=sharing"",""นครนายก!I293"")"),5)</f>
        <v>5</v>
      </c>
      <c r="AD59" s="323">
        <f ca="1">IFERROR(__xludf.DUMMYFUNCTION("IMPORTRANGE(""https://docs.google.com/spreadsheets/d/1phaeSb9lTGgzDpbvVqI9hfmOQQzUom07-HEvpbARzEg/edit?usp=sharing"",""นครนายก!J293"")"),0)</f>
        <v>0</v>
      </c>
      <c r="AE59" s="324">
        <f t="shared" ca="1" si="30"/>
        <v>0</v>
      </c>
      <c r="AF59" s="323">
        <f ca="1">IFERROR(__xludf.DUMMYFUNCTION("IMPORTRANGE(""https://docs.google.com/spreadsheets/d/1phaeSb9lTGgzDpbvVqI9hfmOQQzUom07-HEvpbARzEg/edit?usp=sharing"",""นครนายก!J294"")"),0)</f>
        <v>0</v>
      </c>
      <c r="AG59" s="324">
        <f t="shared" ca="1" si="18"/>
        <v>0</v>
      </c>
    </row>
    <row r="60" spans="1:33" ht="21" customHeight="1" x14ac:dyDescent="0.2">
      <c r="A60" s="78">
        <v>8</v>
      </c>
      <c r="B60" s="79" t="s">
        <v>82</v>
      </c>
      <c r="C60" s="80">
        <f t="shared" ca="1" si="0"/>
        <v>0</v>
      </c>
      <c r="D60" s="81">
        <f t="shared" ca="1" si="49"/>
        <v>0</v>
      </c>
      <c r="E60" s="82">
        <f ca="1">IFERROR(__xludf.DUMMYFUNCTION("IMPORTRANGE(""https://docs.google.com/spreadsheets/d/1MeEWN-I1oV_STSDYn1IFDPWt_1FKiwhDph83XaGc0o0/edit?usp=sharing"",""งบพรบ!DJ60"")"),0)</f>
        <v>0</v>
      </c>
      <c r="F60" s="82">
        <f ca="1">IFERROR(__xludf.DUMMYFUNCTION("IMPORTRANGE(""https://docs.google.com/spreadsheets/d/1MeEWN-I1oV_STSDYn1IFDPWt_1FKiwhDph83XaGc0o0/edit?usp=sharing"",""งบพรบ!DK60"")"),0)</f>
        <v>0</v>
      </c>
      <c r="G60" s="82">
        <f ca="1">IFERROR(__xludf.DUMMYFUNCTION("IMPORTRANGE(""https://docs.google.com/spreadsheets/d/1MeEWN-I1oV_STSDYn1IFDPWt_1FKiwhDph83XaGc0o0/edit?usp=sharing"",""งบพรบ!DL60"")"),0)</f>
        <v>0</v>
      </c>
      <c r="H60" s="82">
        <f ca="1">IFERROR(__xludf.DUMMYFUNCTION("IMPORTRANGE(""https://docs.google.com/spreadsheets/d/1MeEWN-I1oV_STSDYn1IFDPWt_1FKiwhDph83XaGc0o0/edit?usp=sharing"",""งบพรบ!DN60"")"),0)</f>
        <v>0</v>
      </c>
      <c r="I60" s="82">
        <f ca="1">IFERROR(__xludf.DUMMYFUNCTION("IMPORTRANGE(""https://docs.google.com/spreadsheets/d/1MeEWN-I1oV_STSDYn1IFDPWt_1FKiwhDph83XaGc0o0/edit?usp=sharing"",""งบพรบ!DO60"")"),0)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IFERROR(__xludf.DUMMYFUNCTION("IMPORTRANGE(""https://docs.google.com/spreadsheets/d/1MeEWN-I1oV_STSDYn1IFDPWt_1FKiwhDph83XaGc0o0/edit?usp=sharing"",""งบพรบ!DP60"")"),0)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IFERROR(__xludf.DUMMYFUNCTION("IMPORTRANGE(""https://docs.google.com/spreadsheets/d/1MeEWN-I1oV_STSDYn1IFDPWt_1FKiwhDph83XaGc0o0/edit?usp=sharing"",""งบพรบ!DQ60"")"),0)</f>
        <v>0</v>
      </c>
      <c r="P60" s="85">
        <f t="shared" ca="1" si="32"/>
        <v>0</v>
      </c>
      <c r="Q60" s="84">
        <f t="shared" ca="1" si="8"/>
        <v>0</v>
      </c>
      <c r="R60" s="323">
        <f ca="1">IFERROR(__xludf.DUMMYFUNCTION("IMPORTRANGE(""https://docs.google.com/spreadsheets/d/1tpwhWwkqkBeiSWCcfB5f2fbwPRbM9hHOEDSDHpl2MIc/edit?usp=sharing"",""นครปฐม!I287"")"),0)</f>
        <v>0</v>
      </c>
      <c r="S60" s="323">
        <f ca="1">IFERROR(__xludf.DUMMYFUNCTION("IMPORTRANGE(""https://docs.google.com/spreadsheets/d/1tpwhWwkqkBeiSWCcfB5f2fbwPRbM9hHOEDSDHpl2MIc/edit?usp=sharing"",""นครปฐม!J287"")"),0)</f>
        <v>0</v>
      </c>
      <c r="T60" s="324">
        <f t="shared" ca="1" si="27"/>
        <v>0</v>
      </c>
      <c r="U60" s="323">
        <f ca="1">IFERROR(__xludf.DUMMYFUNCTION("IMPORTRANGE(""https://docs.google.com/spreadsheets/d/1tpwhWwkqkBeiSWCcfB5f2fbwPRbM9hHOEDSDHpl2MIc/edit?usp=sharing"",""นครปฐม!I288"")"),0)</f>
        <v>0</v>
      </c>
      <c r="V60" s="323">
        <f ca="1">IFERROR(__xludf.DUMMYFUNCTION("IMPORTRANGE(""https://docs.google.com/spreadsheets/d/1tpwhWwkqkBeiSWCcfB5f2fbwPRbM9hHOEDSDHpl2MIc/edit?usp=sharing"",""นครปฐม!J288"")"),0)</f>
        <v>0</v>
      </c>
      <c r="W60" s="324">
        <f t="shared" ca="1" si="28"/>
        <v>0</v>
      </c>
      <c r="X60" s="323">
        <f ca="1">IFERROR(__xludf.DUMMYFUNCTION("IMPORTRANGE(""https://docs.google.com/spreadsheets/d/1tpwhWwkqkBeiSWCcfB5f2fbwPRbM9hHOEDSDHpl2MIc/edit?usp=sharing"",""นครปฐม!I290"")"),0)</f>
        <v>0</v>
      </c>
      <c r="Y60" s="323">
        <f ca="1">IFERROR(__xludf.DUMMYFUNCTION("IMPORTRANGE(""https://docs.google.com/spreadsheets/d/1tpwhWwkqkBeiSWCcfB5f2fbwPRbM9hHOEDSDHpl2MIc/edit?usp=sharing"",""นครปฐม!J290"")"),0)</f>
        <v>0</v>
      </c>
      <c r="Z60" s="324">
        <f t="shared" ca="1" si="29"/>
        <v>0</v>
      </c>
      <c r="AA60" s="323">
        <f ca="1">IFERROR(__xludf.DUMMYFUNCTION("IMPORTRANGE(""https://docs.google.com/spreadsheets/d/1tpwhWwkqkBeiSWCcfB5f2fbwPRbM9hHOEDSDHpl2MIc/edit?usp=sharing"",""นครปฐม!J291"")"),0)</f>
        <v>0</v>
      </c>
      <c r="AB60" s="324">
        <f t="shared" ca="1" si="15"/>
        <v>0</v>
      </c>
      <c r="AC60" s="323">
        <f ca="1">IFERROR(__xludf.DUMMYFUNCTION("IMPORTRANGE(""https://docs.google.com/spreadsheets/d/1tpwhWwkqkBeiSWCcfB5f2fbwPRbM9hHOEDSDHpl2MIc/edit?usp=sharing"",""นครปฐม!I293"")"),0)</f>
        <v>0</v>
      </c>
      <c r="AD60" s="323">
        <f ca="1">IFERROR(__xludf.DUMMYFUNCTION("IMPORTRANGE(""https://docs.google.com/spreadsheets/d/1tpwhWwkqkBeiSWCcfB5f2fbwPRbM9hHOEDSDHpl2MIc/edit?usp=sharing"",""นครปฐม!J293"")"),0)</f>
        <v>0</v>
      </c>
      <c r="AE60" s="324">
        <f t="shared" ca="1" si="30"/>
        <v>0</v>
      </c>
      <c r="AF60" s="323">
        <f ca="1">IFERROR(__xludf.DUMMYFUNCTION("IMPORTRANGE(""https://docs.google.com/spreadsheets/d/1tpwhWwkqkBeiSWCcfB5f2fbwPRbM9hHOEDSDHpl2MIc/edit?usp=sharing"",""นครปฐม!J294"")"),0)</f>
        <v>0</v>
      </c>
      <c r="AG60" s="324">
        <f t="shared" ca="1" si="18"/>
        <v>0</v>
      </c>
    </row>
    <row r="61" spans="1:33" ht="21" customHeight="1" x14ac:dyDescent="0.2">
      <c r="A61" s="78">
        <v>9</v>
      </c>
      <c r="B61" s="79" t="s">
        <v>83</v>
      </c>
      <c r="C61" s="80">
        <f t="shared" ca="1" si="0"/>
        <v>0</v>
      </c>
      <c r="D61" s="81">
        <f t="shared" ca="1" si="49"/>
        <v>0</v>
      </c>
      <c r="E61" s="82">
        <f ca="1">IFERROR(__xludf.DUMMYFUNCTION("IMPORTRANGE(""https://docs.google.com/spreadsheets/d/1MeEWN-I1oV_STSDYn1IFDPWt_1FKiwhDph83XaGc0o0/edit?usp=sharing"",""งบพรบ!DJ61"")"),0)</f>
        <v>0</v>
      </c>
      <c r="F61" s="82">
        <f ca="1">IFERROR(__xludf.DUMMYFUNCTION("IMPORTRANGE(""https://docs.google.com/spreadsheets/d/1MeEWN-I1oV_STSDYn1IFDPWt_1FKiwhDph83XaGc0o0/edit?usp=sharing"",""งบพรบ!DK61"")"),0)</f>
        <v>0</v>
      </c>
      <c r="G61" s="82">
        <f ca="1">IFERROR(__xludf.DUMMYFUNCTION("IMPORTRANGE(""https://docs.google.com/spreadsheets/d/1MeEWN-I1oV_STSDYn1IFDPWt_1FKiwhDph83XaGc0o0/edit?usp=sharing"",""งบพรบ!DL61"")"),0)</f>
        <v>0</v>
      </c>
      <c r="H61" s="82">
        <f ca="1">IFERROR(__xludf.DUMMYFUNCTION("IMPORTRANGE(""https://docs.google.com/spreadsheets/d/1MeEWN-I1oV_STSDYn1IFDPWt_1FKiwhDph83XaGc0o0/edit?usp=sharing"",""งบพรบ!DN61"")"),0)</f>
        <v>0</v>
      </c>
      <c r="I61" s="82">
        <f ca="1">IFERROR(__xludf.DUMMYFUNCTION("IMPORTRANGE(""https://docs.google.com/spreadsheets/d/1MeEWN-I1oV_STSDYn1IFDPWt_1FKiwhDph83XaGc0o0/edit?usp=sharing"",""งบพรบ!DO61"")"),0)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IFERROR(__xludf.DUMMYFUNCTION("IMPORTRANGE(""https://docs.google.com/spreadsheets/d/1MeEWN-I1oV_STSDYn1IFDPWt_1FKiwhDph83XaGc0o0/edit?usp=sharing"",""งบพรบ!DP61"")"),0)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IFERROR(__xludf.DUMMYFUNCTION("IMPORTRANGE(""https://docs.google.com/spreadsheets/d/1MeEWN-I1oV_STSDYn1IFDPWt_1FKiwhDph83XaGc0o0/edit?usp=sharing"",""งบพรบ!DQ61"")"),0)</f>
        <v>0</v>
      </c>
      <c r="P61" s="85">
        <f t="shared" ca="1" si="32"/>
        <v>0</v>
      </c>
      <c r="Q61" s="84">
        <f t="shared" ca="1" si="8"/>
        <v>0</v>
      </c>
      <c r="R61" s="323">
        <f ca="1">IFERROR(__xludf.DUMMYFUNCTION("IMPORTRANGE(""https://docs.google.com/spreadsheets/d/1fJJCVBkBnhriyv0Cp5ZFMr0I_yrfdEITNpb4zILJgUQ/edit?usp=sharing"",""ปทุมธานี!I287"")"),0)</f>
        <v>0</v>
      </c>
      <c r="S61" s="323">
        <f ca="1">IFERROR(__xludf.DUMMYFUNCTION("IMPORTRANGE(""https://docs.google.com/spreadsheets/d/1fJJCVBkBnhriyv0Cp5ZFMr0I_yrfdEITNpb4zILJgUQ/edit?usp=sharing"",""ปทุมธานี!J287"")"),0)</f>
        <v>0</v>
      </c>
      <c r="T61" s="324">
        <f t="shared" ca="1" si="27"/>
        <v>0</v>
      </c>
      <c r="U61" s="323">
        <f ca="1">IFERROR(__xludf.DUMMYFUNCTION("IMPORTRANGE(""https://docs.google.com/spreadsheets/d/1fJJCVBkBnhriyv0Cp5ZFMr0I_yrfdEITNpb4zILJgUQ/edit?usp=sharing"",""ปทุมธานี!I288"")"),0)</f>
        <v>0</v>
      </c>
      <c r="V61" s="323">
        <f ca="1">IFERROR(__xludf.DUMMYFUNCTION("IMPORTRANGE(""https://docs.google.com/spreadsheets/d/1fJJCVBkBnhriyv0Cp5ZFMr0I_yrfdEITNpb4zILJgUQ/edit?usp=sharing"",""ปทุมธานี!J288"")"),0)</f>
        <v>0</v>
      </c>
      <c r="W61" s="324">
        <f t="shared" ca="1" si="28"/>
        <v>0</v>
      </c>
      <c r="X61" s="323">
        <f ca="1">IFERROR(__xludf.DUMMYFUNCTION("IMPORTRANGE(""https://docs.google.com/spreadsheets/d/1fJJCVBkBnhriyv0Cp5ZFMr0I_yrfdEITNpb4zILJgUQ/edit?usp=sharing"",""ปทุมธานี!I290"")"),0)</f>
        <v>0</v>
      </c>
      <c r="Y61" s="323">
        <f ca="1">IFERROR(__xludf.DUMMYFUNCTION("IMPORTRANGE(""https://docs.google.com/spreadsheets/d/1fJJCVBkBnhriyv0Cp5ZFMr0I_yrfdEITNpb4zILJgUQ/edit?usp=sharing"",""ปทุมธานี!J290"")"),0)</f>
        <v>0</v>
      </c>
      <c r="Z61" s="324">
        <f t="shared" ca="1" si="29"/>
        <v>0</v>
      </c>
      <c r="AA61" s="323">
        <f ca="1">IFERROR(__xludf.DUMMYFUNCTION("IMPORTRANGE(""https://docs.google.com/spreadsheets/d/1fJJCVBkBnhriyv0Cp5ZFMr0I_yrfdEITNpb4zILJgUQ/edit?usp=sharing"",""ปทุมธานี!J291"")"),0)</f>
        <v>0</v>
      </c>
      <c r="AB61" s="324">
        <f t="shared" ca="1" si="15"/>
        <v>0</v>
      </c>
      <c r="AC61" s="323">
        <f ca="1">IFERROR(__xludf.DUMMYFUNCTION("IMPORTRANGE(""https://docs.google.com/spreadsheets/d/1fJJCVBkBnhriyv0Cp5ZFMr0I_yrfdEITNpb4zILJgUQ/edit?usp=sharing"",""ปทุมธานี!I293"")"),0)</f>
        <v>0</v>
      </c>
      <c r="AD61" s="323">
        <f ca="1">IFERROR(__xludf.DUMMYFUNCTION("IMPORTRANGE(""https://docs.google.com/spreadsheets/d/1fJJCVBkBnhriyv0Cp5ZFMr0I_yrfdEITNpb4zILJgUQ/edit?usp=sharing"",""ปทุมธานี!J293"")"),0)</f>
        <v>0</v>
      </c>
      <c r="AE61" s="324">
        <f t="shared" ca="1" si="30"/>
        <v>0</v>
      </c>
      <c r="AF61" s="323">
        <f ca="1">IFERROR(__xludf.DUMMYFUNCTION("IMPORTRANGE(""https://docs.google.com/spreadsheets/d/1fJJCVBkBnhriyv0Cp5ZFMr0I_yrfdEITNpb4zILJgUQ/edit?usp=sharing"",""ปทุมธานี!J294"")"),0)</f>
        <v>0</v>
      </c>
      <c r="AG61" s="324">
        <f t="shared" ca="1" si="18"/>
        <v>0</v>
      </c>
    </row>
    <row r="62" spans="1:33" ht="21" customHeight="1" x14ac:dyDescent="0.2">
      <c r="A62" s="78">
        <v>10</v>
      </c>
      <c r="B62" s="79" t="s">
        <v>84</v>
      </c>
      <c r="C62" s="80">
        <f t="shared" ca="1" si="0"/>
        <v>0</v>
      </c>
      <c r="D62" s="81">
        <f t="shared" ca="1" si="49"/>
        <v>0</v>
      </c>
      <c r="E62" s="82">
        <f ca="1">IFERROR(__xludf.DUMMYFUNCTION("IMPORTRANGE(""https://docs.google.com/spreadsheets/d/1MeEWN-I1oV_STSDYn1IFDPWt_1FKiwhDph83XaGc0o0/edit?usp=sharing"",""งบพรบ!DJ62"")"),0)</f>
        <v>0</v>
      </c>
      <c r="F62" s="82">
        <f ca="1">IFERROR(__xludf.DUMMYFUNCTION("IMPORTRANGE(""https://docs.google.com/spreadsheets/d/1MeEWN-I1oV_STSDYn1IFDPWt_1FKiwhDph83XaGc0o0/edit?usp=sharing"",""งบพรบ!DK62"")"),0)</f>
        <v>0</v>
      </c>
      <c r="G62" s="82">
        <f ca="1">IFERROR(__xludf.DUMMYFUNCTION("IMPORTRANGE(""https://docs.google.com/spreadsheets/d/1MeEWN-I1oV_STSDYn1IFDPWt_1FKiwhDph83XaGc0o0/edit?usp=sharing"",""งบพรบ!DL62"")"),0)</f>
        <v>0</v>
      </c>
      <c r="H62" s="82">
        <f ca="1">IFERROR(__xludf.DUMMYFUNCTION("IMPORTRANGE(""https://docs.google.com/spreadsheets/d/1MeEWN-I1oV_STSDYn1IFDPWt_1FKiwhDph83XaGc0o0/edit?usp=sharing"",""งบพรบ!DN62"")"),0)</f>
        <v>0</v>
      </c>
      <c r="I62" s="82">
        <f ca="1">IFERROR(__xludf.DUMMYFUNCTION("IMPORTRANGE(""https://docs.google.com/spreadsheets/d/1MeEWN-I1oV_STSDYn1IFDPWt_1FKiwhDph83XaGc0o0/edit?usp=sharing"",""งบพรบ!DO62"")"),0)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IFERROR(__xludf.DUMMYFUNCTION("IMPORTRANGE(""https://docs.google.com/spreadsheets/d/1MeEWN-I1oV_STSDYn1IFDPWt_1FKiwhDph83XaGc0o0/edit?usp=sharing"",""งบพรบ!DP62"")"),0)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IFERROR(__xludf.DUMMYFUNCTION("IMPORTRANGE(""https://docs.google.com/spreadsheets/d/1MeEWN-I1oV_STSDYn1IFDPWt_1FKiwhDph83XaGc0o0/edit?usp=sharing"",""งบพรบ!DQ62"")"),0)</f>
        <v>0</v>
      </c>
      <c r="P62" s="85">
        <f t="shared" ca="1" si="32"/>
        <v>0</v>
      </c>
      <c r="Q62" s="84">
        <f t="shared" ca="1" si="8"/>
        <v>0</v>
      </c>
      <c r="R62" s="323">
        <f ca="1">IFERROR(__xludf.DUMMYFUNCTION("IMPORTRANGE(""https://docs.google.com/spreadsheets/d/1W5Jj_S0gYw6wSO7QcMI02YgyOBDKYgmm0NSUk-AQEac/edit?usp=sharing"",""ประจวบคีรีขันธ์!I287"")"),0)</f>
        <v>0</v>
      </c>
      <c r="S62" s="323">
        <f ca="1">IFERROR(__xludf.DUMMYFUNCTION("IMPORTRANGE(""https://docs.google.com/spreadsheets/d/1W5Jj_S0gYw6wSO7QcMI02YgyOBDKYgmm0NSUk-AQEac/edit?usp=sharing"",""ประจวบคีรีขันธ์!J287"")"),0)</f>
        <v>0</v>
      </c>
      <c r="T62" s="324">
        <f t="shared" ca="1" si="27"/>
        <v>0</v>
      </c>
      <c r="U62" s="323">
        <f ca="1">IFERROR(__xludf.DUMMYFUNCTION("IMPORTRANGE(""https://docs.google.com/spreadsheets/d/1W5Jj_S0gYw6wSO7QcMI02YgyOBDKYgmm0NSUk-AQEac/edit?usp=sharing"",""ประจวบคีรีขันธ์!I288"")"),0)</f>
        <v>0</v>
      </c>
      <c r="V62" s="323">
        <f ca="1">IFERROR(__xludf.DUMMYFUNCTION("IMPORTRANGE(""https://docs.google.com/spreadsheets/d/1W5Jj_S0gYw6wSO7QcMI02YgyOBDKYgmm0NSUk-AQEac/edit?usp=sharing"",""ประจวบคีรีขันธ์!J288"")"),0)</f>
        <v>0</v>
      </c>
      <c r="W62" s="324">
        <f t="shared" ca="1" si="28"/>
        <v>0</v>
      </c>
      <c r="X62" s="323">
        <f ca="1">IFERROR(__xludf.DUMMYFUNCTION("IMPORTRANGE(""https://docs.google.com/spreadsheets/d/1W5Jj_S0gYw6wSO7QcMI02YgyOBDKYgmm0NSUk-AQEac/edit?usp=sharing"",""ประจวบคีรีขันธ์!I290"")"),0)</f>
        <v>0</v>
      </c>
      <c r="Y62" s="323">
        <f ca="1">IFERROR(__xludf.DUMMYFUNCTION("IMPORTRANGE(""https://docs.google.com/spreadsheets/d/1W5Jj_S0gYw6wSO7QcMI02YgyOBDKYgmm0NSUk-AQEac/edit?usp=sharing"",""ประจวบคีรีขันธ์!J290"")"),0)</f>
        <v>0</v>
      </c>
      <c r="Z62" s="324">
        <f t="shared" ca="1" si="29"/>
        <v>0</v>
      </c>
      <c r="AA62" s="323">
        <f ca="1">IFERROR(__xludf.DUMMYFUNCTION("IMPORTRANGE(""https://docs.google.com/spreadsheets/d/1W5Jj_S0gYw6wSO7QcMI02YgyOBDKYgmm0NSUk-AQEac/edit?usp=sharing"",""ประจวบคีรีขันธ์!J291"")"),0)</f>
        <v>0</v>
      </c>
      <c r="AB62" s="324">
        <f t="shared" ca="1" si="15"/>
        <v>0</v>
      </c>
      <c r="AC62" s="323">
        <f ca="1">IFERROR(__xludf.DUMMYFUNCTION("IMPORTRANGE(""https://docs.google.com/spreadsheets/d/1W5Jj_S0gYw6wSO7QcMI02YgyOBDKYgmm0NSUk-AQEac/edit?usp=sharing"",""ประจวบคีรีขันธ์!I293"")"),0)</f>
        <v>0</v>
      </c>
      <c r="AD62" s="323">
        <f ca="1">IFERROR(__xludf.DUMMYFUNCTION("IMPORTRANGE(""https://docs.google.com/spreadsheets/d/1W5Jj_S0gYw6wSO7QcMI02YgyOBDKYgmm0NSUk-AQEac/edit?usp=sharing"",""ประจวบคีรีขันธ์!J293"")"),0)</f>
        <v>0</v>
      </c>
      <c r="AE62" s="324">
        <f t="shared" ca="1" si="30"/>
        <v>0</v>
      </c>
      <c r="AF62" s="323">
        <f ca="1">IFERROR(__xludf.DUMMYFUNCTION("IMPORTRANGE(""https://docs.google.com/spreadsheets/d/1W5Jj_S0gYw6wSO7QcMI02YgyOBDKYgmm0NSUk-AQEac/edit?usp=sharing"",""ประจวบคีรีขันธ์!J294"")"),0)</f>
        <v>0</v>
      </c>
      <c r="AG62" s="324">
        <f t="shared" ca="1" si="18"/>
        <v>0</v>
      </c>
    </row>
    <row r="63" spans="1:33" ht="21" customHeight="1" x14ac:dyDescent="0.2">
      <c r="A63" s="78">
        <v>11</v>
      </c>
      <c r="B63" s="79" t="s">
        <v>85</v>
      </c>
      <c r="C63" s="80">
        <f t="shared" ca="1" si="0"/>
        <v>0</v>
      </c>
      <c r="D63" s="81">
        <f t="shared" ca="1" si="49"/>
        <v>0</v>
      </c>
      <c r="E63" s="82">
        <f ca="1">IFERROR(__xludf.DUMMYFUNCTION("IMPORTRANGE(""https://docs.google.com/spreadsheets/d/1MeEWN-I1oV_STSDYn1IFDPWt_1FKiwhDph83XaGc0o0/edit?usp=sharing"",""งบพรบ!DJ63"")"),0)</f>
        <v>0</v>
      </c>
      <c r="F63" s="82">
        <f ca="1">IFERROR(__xludf.DUMMYFUNCTION("IMPORTRANGE(""https://docs.google.com/spreadsheets/d/1MeEWN-I1oV_STSDYn1IFDPWt_1FKiwhDph83XaGc0o0/edit?usp=sharing"",""งบพรบ!DK63"")"),0)</f>
        <v>0</v>
      </c>
      <c r="G63" s="82">
        <f ca="1">IFERROR(__xludf.DUMMYFUNCTION("IMPORTRANGE(""https://docs.google.com/spreadsheets/d/1MeEWN-I1oV_STSDYn1IFDPWt_1FKiwhDph83XaGc0o0/edit?usp=sharing"",""งบพรบ!DL63"")"),0)</f>
        <v>0</v>
      </c>
      <c r="H63" s="82">
        <f ca="1">IFERROR(__xludf.DUMMYFUNCTION("IMPORTRANGE(""https://docs.google.com/spreadsheets/d/1MeEWN-I1oV_STSDYn1IFDPWt_1FKiwhDph83XaGc0o0/edit?usp=sharing"",""งบพรบ!DN63"")"),0)</f>
        <v>0</v>
      </c>
      <c r="I63" s="82">
        <f ca="1">IFERROR(__xludf.DUMMYFUNCTION("IMPORTRANGE(""https://docs.google.com/spreadsheets/d/1MeEWN-I1oV_STSDYn1IFDPWt_1FKiwhDph83XaGc0o0/edit?usp=sharing"",""งบพรบ!DO63"")"),0)</f>
        <v>0</v>
      </c>
      <c r="J63" s="82">
        <f t="shared" ca="1" si="3"/>
        <v>0</v>
      </c>
      <c r="K63" s="83">
        <f t="shared" ca="1" si="4"/>
        <v>0</v>
      </c>
      <c r="L63" s="82">
        <f ca="1">IFERROR(__xludf.DUMMYFUNCTION("IMPORTRANGE(""https://docs.google.com/spreadsheets/d/1MeEWN-I1oV_STSDYn1IFDPWt_1FKiwhDph83XaGc0o0/edit?usp=sharing"",""งบพรบ!DP63"")"),0)</f>
        <v>0</v>
      </c>
      <c r="M63" s="84">
        <f t="shared" ca="1" si="5"/>
        <v>0</v>
      </c>
      <c r="N63" s="84">
        <f t="shared" ca="1" si="6"/>
        <v>0</v>
      </c>
      <c r="O63" s="85">
        <f ca="1">IFERROR(__xludf.DUMMYFUNCTION("IMPORTRANGE(""https://docs.google.com/spreadsheets/d/1MeEWN-I1oV_STSDYn1IFDPWt_1FKiwhDph83XaGc0o0/edit?usp=sharing"",""งบพรบ!DQ63"")"),0)</f>
        <v>0</v>
      </c>
      <c r="P63" s="85">
        <f t="shared" ca="1" si="32"/>
        <v>0</v>
      </c>
      <c r="Q63" s="84">
        <f t="shared" ca="1" si="8"/>
        <v>0</v>
      </c>
      <c r="R63" s="323">
        <f ca="1">IFERROR(__xludf.DUMMYFUNCTION("IMPORTRANGE(""https://docs.google.com/spreadsheets/d/1nYxRXgnCfTXtqUY1otYuTlnrzE0Tn-Y0YRsW5pkRVqo/edit?usp=sharing"",""ปราจีนบุรี!I287"")"),0)</f>
        <v>0</v>
      </c>
      <c r="S63" s="323">
        <f ca="1">IFERROR(__xludf.DUMMYFUNCTION("IMPORTRANGE(""https://docs.google.com/spreadsheets/d/1nYxRXgnCfTXtqUY1otYuTlnrzE0Tn-Y0YRsW5pkRVqo/edit?usp=sharing"",""ปราจีนบุรี!J287"")"),0)</f>
        <v>0</v>
      </c>
      <c r="T63" s="324">
        <f t="shared" ca="1" si="27"/>
        <v>0</v>
      </c>
      <c r="U63" s="323">
        <f ca="1">IFERROR(__xludf.DUMMYFUNCTION("IMPORTRANGE(""https://docs.google.com/spreadsheets/d/1nYxRXgnCfTXtqUY1otYuTlnrzE0Tn-Y0YRsW5pkRVqo/edit?usp=sharing"",""ปราจีนบุรี!I288"")"),0)</f>
        <v>0</v>
      </c>
      <c r="V63" s="323">
        <f ca="1">IFERROR(__xludf.DUMMYFUNCTION("IMPORTRANGE(""https://docs.google.com/spreadsheets/d/1nYxRXgnCfTXtqUY1otYuTlnrzE0Tn-Y0YRsW5pkRVqo/edit?usp=sharing"",""ปราจีนบุรี!J288"")"),0)</f>
        <v>0</v>
      </c>
      <c r="W63" s="324">
        <f t="shared" ca="1" si="28"/>
        <v>0</v>
      </c>
      <c r="X63" s="323">
        <f ca="1">IFERROR(__xludf.DUMMYFUNCTION("IMPORTRANGE(""https://docs.google.com/spreadsheets/d/1nYxRXgnCfTXtqUY1otYuTlnrzE0Tn-Y0YRsW5pkRVqo/edit?usp=sharing"",""ปราจีนบุรี!I290"")"),0)</f>
        <v>0</v>
      </c>
      <c r="Y63" s="323">
        <f ca="1">IFERROR(__xludf.DUMMYFUNCTION("IMPORTRANGE(""https://docs.google.com/spreadsheets/d/1nYxRXgnCfTXtqUY1otYuTlnrzE0Tn-Y0YRsW5pkRVqo/edit?usp=sharing"",""ปราจีนบุรี!J290"")"),0)</f>
        <v>0</v>
      </c>
      <c r="Z63" s="324">
        <f t="shared" ca="1" si="29"/>
        <v>0</v>
      </c>
      <c r="AA63" s="323">
        <f ca="1">IFERROR(__xludf.DUMMYFUNCTION("IMPORTRANGE(""https://docs.google.com/spreadsheets/d/1nYxRXgnCfTXtqUY1otYuTlnrzE0Tn-Y0YRsW5pkRVqo/edit?usp=sharing"",""ปราจีนบุรี!J291"")"),0)</f>
        <v>0</v>
      </c>
      <c r="AB63" s="324">
        <f t="shared" ca="1" si="15"/>
        <v>0</v>
      </c>
      <c r="AC63" s="323">
        <f ca="1">IFERROR(__xludf.DUMMYFUNCTION("IMPORTRANGE(""https://docs.google.com/spreadsheets/d/1nYxRXgnCfTXtqUY1otYuTlnrzE0Tn-Y0YRsW5pkRVqo/edit?usp=sharing"",""ปราจีนบุรี!I293"")"),0)</f>
        <v>0</v>
      </c>
      <c r="AD63" s="323">
        <f ca="1">IFERROR(__xludf.DUMMYFUNCTION("IMPORTRANGE(""https://docs.google.com/spreadsheets/d/1nYxRXgnCfTXtqUY1otYuTlnrzE0Tn-Y0YRsW5pkRVqo/edit?usp=sharing"",""ปราจีนบุรี!J293"")"),0)</f>
        <v>0</v>
      </c>
      <c r="AE63" s="324">
        <f t="shared" ca="1" si="30"/>
        <v>0</v>
      </c>
      <c r="AF63" s="323">
        <f ca="1">IFERROR(__xludf.DUMMYFUNCTION("IMPORTRANGE(""https://docs.google.com/spreadsheets/d/1nYxRXgnCfTXtqUY1otYuTlnrzE0Tn-Y0YRsW5pkRVqo/edit?usp=sharing"",""ปราจีนบุรี!J294"")"),0)</f>
        <v>0</v>
      </c>
      <c r="AG63" s="324">
        <f t="shared" ca="1" si="18"/>
        <v>0</v>
      </c>
    </row>
    <row r="64" spans="1:33" ht="21" customHeight="1" x14ac:dyDescent="0.2">
      <c r="A64" s="78">
        <v>12</v>
      </c>
      <c r="B64" s="79" t="s">
        <v>86</v>
      </c>
      <c r="C64" s="80">
        <f t="shared" ca="1" si="0"/>
        <v>0</v>
      </c>
      <c r="D64" s="81">
        <f t="shared" ca="1" si="49"/>
        <v>0</v>
      </c>
      <c r="E64" s="82">
        <f ca="1">IFERROR(__xludf.DUMMYFUNCTION("IMPORTRANGE(""https://docs.google.com/spreadsheets/d/1MeEWN-I1oV_STSDYn1IFDPWt_1FKiwhDph83XaGc0o0/edit?usp=sharing"",""งบพรบ!DJ64"")"),0)</f>
        <v>0</v>
      </c>
      <c r="F64" s="82">
        <f ca="1">IFERROR(__xludf.DUMMYFUNCTION("IMPORTRANGE(""https://docs.google.com/spreadsheets/d/1MeEWN-I1oV_STSDYn1IFDPWt_1FKiwhDph83XaGc0o0/edit?usp=sharing"",""งบพรบ!DK64"")"),0)</f>
        <v>0</v>
      </c>
      <c r="G64" s="82">
        <f ca="1">IFERROR(__xludf.DUMMYFUNCTION("IMPORTRANGE(""https://docs.google.com/spreadsheets/d/1MeEWN-I1oV_STSDYn1IFDPWt_1FKiwhDph83XaGc0o0/edit?usp=sharing"",""งบพรบ!DL64"")"),0)</f>
        <v>0</v>
      </c>
      <c r="H64" s="82">
        <f ca="1">IFERROR(__xludf.DUMMYFUNCTION("IMPORTRANGE(""https://docs.google.com/spreadsheets/d/1MeEWN-I1oV_STSDYn1IFDPWt_1FKiwhDph83XaGc0o0/edit?usp=sharing"",""งบพรบ!DN64"")"),0)</f>
        <v>0</v>
      </c>
      <c r="I64" s="82">
        <f ca="1">IFERROR(__xludf.DUMMYFUNCTION("IMPORTRANGE(""https://docs.google.com/spreadsheets/d/1MeEWN-I1oV_STSDYn1IFDPWt_1FKiwhDph83XaGc0o0/edit?usp=sharing"",""งบพรบ!DO64"")"),0)</f>
        <v>0</v>
      </c>
      <c r="J64" s="82">
        <f t="shared" ca="1" si="3"/>
        <v>0</v>
      </c>
      <c r="K64" s="83">
        <f t="shared" ca="1" si="4"/>
        <v>0</v>
      </c>
      <c r="L64" s="82">
        <f ca="1">IFERROR(__xludf.DUMMYFUNCTION("IMPORTRANGE(""https://docs.google.com/spreadsheets/d/1MeEWN-I1oV_STSDYn1IFDPWt_1FKiwhDph83XaGc0o0/edit?usp=sharing"",""งบพรบ!DP64"")"),0)</f>
        <v>0</v>
      </c>
      <c r="M64" s="84">
        <f t="shared" ca="1" si="5"/>
        <v>0</v>
      </c>
      <c r="N64" s="84">
        <f t="shared" ca="1" si="6"/>
        <v>0</v>
      </c>
      <c r="O64" s="85">
        <f ca="1">IFERROR(__xludf.DUMMYFUNCTION("IMPORTRANGE(""https://docs.google.com/spreadsheets/d/1MeEWN-I1oV_STSDYn1IFDPWt_1FKiwhDph83XaGc0o0/edit?usp=sharing"",""งบพรบ!DQ64"")"),0)</f>
        <v>0</v>
      </c>
      <c r="P64" s="85">
        <f t="shared" ca="1" si="32"/>
        <v>0</v>
      </c>
      <c r="Q64" s="84">
        <f t="shared" ca="1" si="8"/>
        <v>0</v>
      </c>
      <c r="R64" s="323">
        <f ca="1">IFERROR(__xludf.DUMMYFUNCTION("IMPORTRANGE(""https://docs.google.com/spreadsheets/d/1nNHCLO8ZAXOMfQvxux7cf_hrzPAh8FAvaHq_ClKbZNo/edit?usp=sharing"",""พระนครศรีอยุธยา!I287"")"),0)</f>
        <v>0</v>
      </c>
      <c r="S64" s="323">
        <f ca="1">IFERROR(__xludf.DUMMYFUNCTION("IMPORTRANGE(""https://docs.google.com/spreadsheets/d/1nNHCLO8ZAXOMfQvxux7cf_hrzPAh8FAvaHq_ClKbZNo/edit?usp=sharing"",""พระนครศรีอยุธยา!J287"")"),0)</f>
        <v>0</v>
      </c>
      <c r="T64" s="324">
        <f t="shared" ca="1" si="27"/>
        <v>0</v>
      </c>
      <c r="U64" s="323">
        <f ca="1">IFERROR(__xludf.DUMMYFUNCTION("IMPORTRANGE(""https://docs.google.com/spreadsheets/d/1nNHCLO8ZAXOMfQvxux7cf_hrzPAh8FAvaHq_ClKbZNo/edit?usp=sharing"",""พระนครศรีอยุธยา!I288"")"),0)</f>
        <v>0</v>
      </c>
      <c r="V64" s="323">
        <f ca="1">IFERROR(__xludf.DUMMYFUNCTION("IMPORTRANGE(""https://docs.google.com/spreadsheets/d/1nNHCLO8ZAXOMfQvxux7cf_hrzPAh8FAvaHq_ClKbZNo/edit?usp=sharing"",""พระนครศรีอยุธยา!J288"")"),0)</f>
        <v>0</v>
      </c>
      <c r="W64" s="324">
        <f t="shared" ca="1" si="28"/>
        <v>0</v>
      </c>
      <c r="X64" s="323">
        <f ca="1">IFERROR(__xludf.DUMMYFUNCTION("IMPORTRANGE(""https://docs.google.com/spreadsheets/d/1nNHCLO8ZAXOMfQvxux7cf_hrzPAh8FAvaHq_ClKbZNo/edit?usp=sharing"",""พระนครศรีอยุธยา!I290"")"),0)</f>
        <v>0</v>
      </c>
      <c r="Y64" s="323">
        <f ca="1">IFERROR(__xludf.DUMMYFUNCTION("IMPORTRANGE(""https://docs.google.com/spreadsheets/d/1nNHCLO8ZAXOMfQvxux7cf_hrzPAh8FAvaHq_ClKbZNo/edit?usp=sharing"",""พระนครศรีอยุธยา!J290"")"),0)</f>
        <v>0</v>
      </c>
      <c r="Z64" s="324">
        <f t="shared" ca="1" si="29"/>
        <v>0</v>
      </c>
      <c r="AA64" s="323">
        <f ca="1">IFERROR(__xludf.DUMMYFUNCTION("IMPORTRANGE(""https://docs.google.com/spreadsheets/d/1nNHCLO8ZAXOMfQvxux7cf_hrzPAh8FAvaHq_ClKbZNo/edit?usp=sharing"",""พระนครศรีอยุธยา!J291"")"),0)</f>
        <v>0</v>
      </c>
      <c r="AB64" s="324">
        <f t="shared" ca="1" si="15"/>
        <v>0</v>
      </c>
      <c r="AC64" s="323">
        <f ca="1">IFERROR(__xludf.DUMMYFUNCTION("IMPORTRANGE(""https://docs.google.com/spreadsheets/d/1nNHCLO8ZAXOMfQvxux7cf_hrzPAh8FAvaHq_ClKbZNo/edit?usp=sharing"",""พระนครศรีอยุธยา!I293"")"),0)</f>
        <v>0</v>
      </c>
      <c r="AD64" s="323">
        <f ca="1">IFERROR(__xludf.DUMMYFUNCTION("IMPORTRANGE(""https://docs.google.com/spreadsheets/d/1nNHCLO8ZAXOMfQvxux7cf_hrzPAh8FAvaHq_ClKbZNo/edit?usp=sharing"",""พระนครศรีอยุธยา!J293"")"),0)</f>
        <v>0</v>
      </c>
      <c r="AE64" s="324">
        <f t="shared" ca="1" si="30"/>
        <v>0</v>
      </c>
      <c r="AF64" s="323">
        <f ca="1">IFERROR(__xludf.DUMMYFUNCTION("IMPORTRANGE(""https://docs.google.com/spreadsheets/d/1nNHCLO8ZAXOMfQvxux7cf_hrzPAh8FAvaHq_ClKbZNo/edit?usp=sharing"",""พระนครศรีอยุธยา!J294"")"),0)</f>
        <v>0</v>
      </c>
      <c r="AG64" s="324">
        <f t="shared" ca="1" si="18"/>
        <v>0</v>
      </c>
    </row>
    <row r="65" spans="1:33" ht="21" customHeight="1" x14ac:dyDescent="0.2">
      <c r="A65" s="78">
        <v>13</v>
      </c>
      <c r="B65" s="79" t="s">
        <v>87</v>
      </c>
      <c r="C65" s="80">
        <f t="shared" ca="1" si="0"/>
        <v>0</v>
      </c>
      <c r="D65" s="81">
        <f t="shared" ca="1" si="49"/>
        <v>0</v>
      </c>
      <c r="E65" s="82">
        <f ca="1">IFERROR(__xludf.DUMMYFUNCTION("IMPORTRANGE(""https://docs.google.com/spreadsheets/d/1MeEWN-I1oV_STSDYn1IFDPWt_1FKiwhDph83XaGc0o0/edit?usp=sharing"",""งบพรบ!DJ65"")"),0)</f>
        <v>0</v>
      </c>
      <c r="F65" s="82">
        <f ca="1">IFERROR(__xludf.DUMMYFUNCTION("IMPORTRANGE(""https://docs.google.com/spreadsheets/d/1MeEWN-I1oV_STSDYn1IFDPWt_1FKiwhDph83XaGc0o0/edit?usp=sharing"",""งบพรบ!DK65"")"),0)</f>
        <v>0</v>
      </c>
      <c r="G65" s="82">
        <f ca="1">IFERROR(__xludf.DUMMYFUNCTION("IMPORTRANGE(""https://docs.google.com/spreadsheets/d/1MeEWN-I1oV_STSDYn1IFDPWt_1FKiwhDph83XaGc0o0/edit?usp=sharing"",""งบพรบ!DL65"")"),0)</f>
        <v>0</v>
      </c>
      <c r="H65" s="82">
        <f ca="1">IFERROR(__xludf.DUMMYFUNCTION("IMPORTRANGE(""https://docs.google.com/spreadsheets/d/1MeEWN-I1oV_STSDYn1IFDPWt_1FKiwhDph83XaGc0o0/edit?usp=sharing"",""งบพรบ!DN65"")"),0)</f>
        <v>0</v>
      </c>
      <c r="I65" s="82">
        <f ca="1">IFERROR(__xludf.DUMMYFUNCTION("IMPORTRANGE(""https://docs.google.com/spreadsheets/d/1MeEWN-I1oV_STSDYn1IFDPWt_1FKiwhDph83XaGc0o0/edit?usp=sharing"",""งบพรบ!DO65"")"),0)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IFERROR(__xludf.DUMMYFUNCTION("IMPORTRANGE(""https://docs.google.com/spreadsheets/d/1MeEWN-I1oV_STSDYn1IFDPWt_1FKiwhDph83XaGc0o0/edit?usp=sharing"",""งบพรบ!DP65"")"),0)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IFERROR(__xludf.DUMMYFUNCTION("IMPORTRANGE(""https://docs.google.com/spreadsheets/d/1MeEWN-I1oV_STSDYn1IFDPWt_1FKiwhDph83XaGc0o0/edit?usp=sharing"",""งบพรบ!DQ65"")"),0)</f>
        <v>0</v>
      </c>
      <c r="P65" s="85">
        <f t="shared" ca="1" si="32"/>
        <v>0</v>
      </c>
      <c r="Q65" s="84">
        <f t="shared" ca="1" si="8"/>
        <v>0</v>
      </c>
      <c r="R65" s="323">
        <f ca="1">IFERROR(__xludf.DUMMYFUNCTION("IMPORTRANGE(""https://docs.google.com/spreadsheets/d/1CdNicvf3i6yt4tJlCePe3V1Va76wYqW0QzMzTsaGRrA/edit?usp=sharing"",""เพชรบุรี!I287"")"),0)</f>
        <v>0</v>
      </c>
      <c r="S65" s="323">
        <f ca="1">IFERROR(__xludf.DUMMYFUNCTION("IMPORTRANGE(""https://docs.google.com/spreadsheets/d/1CdNicvf3i6yt4tJlCePe3V1Va76wYqW0QzMzTsaGRrA/edit?usp=sharing"",""เพชรบุรี!J287"")"),0)</f>
        <v>0</v>
      </c>
      <c r="T65" s="324">
        <f t="shared" ca="1" si="27"/>
        <v>0</v>
      </c>
      <c r="U65" s="323">
        <f ca="1">IFERROR(__xludf.DUMMYFUNCTION("IMPORTRANGE(""https://docs.google.com/spreadsheets/d/1CdNicvf3i6yt4tJlCePe3V1Va76wYqW0QzMzTsaGRrA/edit?usp=sharing"",""เพชรบุรี!I288"")"),0)</f>
        <v>0</v>
      </c>
      <c r="V65" s="323">
        <f ca="1">IFERROR(__xludf.DUMMYFUNCTION("IMPORTRANGE(""https://docs.google.com/spreadsheets/d/1CdNicvf3i6yt4tJlCePe3V1Va76wYqW0QzMzTsaGRrA/edit?usp=sharing"",""เพชรบุรี!J288"")"),0)</f>
        <v>0</v>
      </c>
      <c r="W65" s="324">
        <f t="shared" ca="1" si="28"/>
        <v>0</v>
      </c>
      <c r="X65" s="323">
        <f ca="1">IFERROR(__xludf.DUMMYFUNCTION("IMPORTRANGE(""https://docs.google.com/spreadsheets/d/1CdNicvf3i6yt4tJlCePe3V1Va76wYqW0QzMzTsaGRrA/edit?usp=sharing"",""เพชรบุรี!I290"")"),0)</f>
        <v>0</v>
      </c>
      <c r="Y65" s="323">
        <f ca="1">IFERROR(__xludf.DUMMYFUNCTION("IMPORTRANGE(""https://docs.google.com/spreadsheets/d/1CdNicvf3i6yt4tJlCePe3V1Va76wYqW0QzMzTsaGRrA/edit?usp=sharing"",""เพชรบุรี!J290"")"),0)</f>
        <v>0</v>
      </c>
      <c r="Z65" s="324">
        <f t="shared" ca="1" si="29"/>
        <v>0</v>
      </c>
      <c r="AA65" s="323">
        <f ca="1">IFERROR(__xludf.DUMMYFUNCTION("IMPORTRANGE(""https://docs.google.com/spreadsheets/d/1CdNicvf3i6yt4tJlCePe3V1Va76wYqW0QzMzTsaGRrA/edit?usp=sharing"",""เพชรบุรี!J291"")"),0)</f>
        <v>0</v>
      </c>
      <c r="AB65" s="324">
        <f t="shared" ca="1" si="15"/>
        <v>0</v>
      </c>
      <c r="AC65" s="323">
        <f ca="1">IFERROR(__xludf.DUMMYFUNCTION("IMPORTRANGE(""https://docs.google.com/spreadsheets/d/1CdNicvf3i6yt4tJlCePe3V1Va76wYqW0QzMzTsaGRrA/edit?usp=sharing"",""เพชรบุรี!I293"")"),0)</f>
        <v>0</v>
      </c>
      <c r="AD65" s="323">
        <f ca="1">IFERROR(__xludf.DUMMYFUNCTION("IMPORTRANGE(""https://docs.google.com/spreadsheets/d/1CdNicvf3i6yt4tJlCePe3V1Va76wYqW0QzMzTsaGRrA/edit?usp=sharing"",""เพชรบุรี!J293"")"),0)</f>
        <v>0</v>
      </c>
      <c r="AE65" s="324">
        <f t="shared" ca="1" si="30"/>
        <v>0</v>
      </c>
      <c r="AF65" s="323">
        <f ca="1">IFERROR(__xludf.DUMMYFUNCTION("IMPORTRANGE(""https://docs.google.com/spreadsheets/d/1CdNicvf3i6yt4tJlCePe3V1Va76wYqW0QzMzTsaGRrA/edit?usp=sharing"",""เพชรบุรี!J294"")"),0)</f>
        <v>0</v>
      </c>
      <c r="AG65" s="324">
        <f t="shared" ca="1" si="18"/>
        <v>0</v>
      </c>
    </row>
    <row r="66" spans="1:33" ht="21" customHeight="1" x14ac:dyDescent="0.2">
      <c r="A66" s="78">
        <v>14</v>
      </c>
      <c r="B66" s="79" t="s">
        <v>88</v>
      </c>
      <c r="C66" s="80">
        <f t="shared" ca="1" si="0"/>
        <v>0</v>
      </c>
      <c r="D66" s="81">
        <f t="shared" ca="1" si="49"/>
        <v>0</v>
      </c>
      <c r="E66" s="82">
        <f ca="1">IFERROR(__xludf.DUMMYFUNCTION("IMPORTRANGE(""https://docs.google.com/spreadsheets/d/1MeEWN-I1oV_STSDYn1IFDPWt_1FKiwhDph83XaGc0o0/edit?usp=sharing"",""งบพรบ!DJ66"")"),0)</f>
        <v>0</v>
      </c>
      <c r="F66" s="82">
        <f ca="1">IFERROR(__xludf.DUMMYFUNCTION("IMPORTRANGE(""https://docs.google.com/spreadsheets/d/1MeEWN-I1oV_STSDYn1IFDPWt_1FKiwhDph83XaGc0o0/edit?usp=sharing"",""งบพรบ!DK66"")"),0)</f>
        <v>0</v>
      </c>
      <c r="G66" s="82">
        <f ca="1">IFERROR(__xludf.DUMMYFUNCTION("IMPORTRANGE(""https://docs.google.com/spreadsheets/d/1MeEWN-I1oV_STSDYn1IFDPWt_1FKiwhDph83XaGc0o0/edit?usp=sharing"",""งบพรบ!DL66"")"),0)</f>
        <v>0</v>
      </c>
      <c r="H66" s="82">
        <f ca="1">IFERROR(__xludf.DUMMYFUNCTION("IMPORTRANGE(""https://docs.google.com/spreadsheets/d/1MeEWN-I1oV_STSDYn1IFDPWt_1FKiwhDph83XaGc0o0/edit?usp=sharing"",""งบพรบ!DN66"")"),0)</f>
        <v>0</v>
      </c>
      <c r="I66" s="82">
        <f ca="1">IFERROR(__xludf.DUMMYFUNCTION("IMPORTRANGE(""https://docs.google.com/spreadsheets/d/1MeEWN-I1oV_STSDYn1IFDPWt_1FKiwhDph83XaGc0o0/edit?usp=sharing"",""งบพรบ!DO66"")"),0)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IFERROR(__xludf.DUMMYFUNCTION("IMPORTRANGE(""https://docs.google.com/spreadsheets/d/1MeEWN-I1oV_STSDYn1IFDPWt_1FKiwhDph83XaGc0o0/edit?usp=sharing"",""งบพรบ!DP66"")"),0)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IFERROR(__xludf.DUMMYFUNCTION("IMPORTRANGE(""https://docs.google.com/spreadsheets/d/1MeEWN-I1oV_STSDYn1IFDPWt_1FKiwhDph83XaGc0o0/edit?usp=sharing"",""งบพรบ!DQ66"")"),0)</f>
        <v>0</v>
      </c>
      <c r="P66" s="85">
        <f t="shared" ca="1" si="32"/>
        <v>0</v>
      </c>
      <c r="Q66" s="84">
        <f t="shared" ca="1" si="8"/>
        <v>0</v>
      </c>
      <c r="R66" s="323">
        <f ca="1">IFERROR(__xludf.DUMMYFUNCTION("IMPORTRANGE(""https://docs.google.com/spreadsheets/d/1XiF77UIVHV0Kjc6xbXuOuJ10WgJYxd4p_22ngKVV5oM/edit?usp=sharing"",""ระยอง!I287"")"),0)</f>
        <v>0</v>
      </c>
      <c r="S66" s="323">
        <f ca="1">IFERROR(__xludf.DUMMYFUNCTION("IMPORTRANGE(""https://docs.google.com/spreadsheets/d/1XiF77UIVHV0Kjc6xbXuOuJ10WgJYxd4p_22ngKVV5oM/edit?usp=sharing"",""ระยอง!J287"")"),0)</f>
        <v>0</v>
      </c>
      <c r="T66" s="324">
        <f t="shared" ca="1" si="27"/>
        <v>0</v>
      </c>
      <c r="U66" s="323">
        <f ca="1">IFERROR(__xludf.DUMMYFUNCTION("IMPORTRANGE(""https://docs.google.com/spreadsheets/d/1XiF77UIVHV0Kjc6xbXuOuJ10WgJYxd4p_22ngKVV5oM/edit?usp=sharing"",""ระยอง!I288"")"),0)</f>
        <v>0</v>
      </c>
      <c r="V66" s="323">
        <f ca="1">IFERROR(__xludf.DUMMYFUNCTION("IMPORTRANGE(""https://docs.google.com/spreadsheets/d/1XiF77UIVHV0Kjc6xbXuOuJ10WgJYxd4p_22ngKVV5oM/edit?usp=sharing"",""ระยอง!J288"")"),0)</f>
        <v>0</v>
      </c>
      <c r="W66" s="324">
        <f t="shared" ca="1" si="28"/>
        <v>0</v>
      </c>
      <c r="X66" s="323">
        <f ca="1">IFERROR(__xludf.DUMMYFUNCTION("IMPORTRANGE(""https://docs.google.com/spreadsheets/d/1XiF77UIVHV0Kjc6xbXuOuJ10WgJYxd4p_22ngKVV5oM/edit?usp=sharing"",""ระยอง!I290"")"),0)</f>
        <v>0</v>
      </c>
      <c r="Y66" s="323">
        <f ca="1">IFERROR(__xludf.DUMMYFUNCTION("IMPORTRANGE(""https://docs.google.com/spreadsheets/d/1XiF77UIVHV0Kjc6xbXuOuJ10WgJYxd4p_22ngKVV5oM/edit?usp=sharing"",""ระยอง!J290"")"),0)</f>
        <v>0</v>
      </c>
      <c r="Z66" s="324">
        <f t="shared" ca="1" si="29"/>
        <v>0</v>
      </c>
      <c r="AA66" s="323">
        <f ca="1">IFERROR(__xludf.DUMMYFUNCTION("IMPORTRANGE(""https://docs.google.com/spreadsheets/d/1XiF77UIVHV0Kjc6xbXuOuJ10WgJYxd4p_22ngKVV5oM/edit?usp=sharing"",""ระยอง!J291"")"),0)</f>
        <v>0</v>
      </c>
      <c r="AB66" s="324">
        <f t="shared" ca="1" si="15"/>
        <v>0</v>
      </c>
      <c r="AC66" s="323">
        <f ca="1">IFERROR(__xludf.DUMMYFUNCTION("IMPORTRANGE(""https://docs.google.com/spreadsheets/d/1XiF77UIVHV0Kjc6xbXuOuJ10WgJYxd4p_22ngKVV5oM/edit?usp=sharing"",""ระยอง!I293"")"),0)</f>
        <v>0</v>
      </c>
      <c r="AD66" s="323">
        <f ca="1">IFERROR(__xludf.DUMMYFUNCTION("IMPORTRANGE(""https://docs.google.com/spreadsheets/d/1XiF77UIVHV0Kjc6xbXuOuJ10WgJYxd4p_22ngKVV5oM/edit?usp=sharing"",""ระยอง!J293"")"),0)</f>
        <v>0</v>
      </c>
      <c r="AE66" s="324">
        <f t="shared" ca="1" si="30"/>
        <v>0</v>
      </c>
      <c r="AF66" s="323">
        <f ca="1">IFERROR(__xludf.DUMMYFUNCTION("IMPORTRANGE(""https://docs.google.com/spreadsheets/d/1XiF77UIVHV0Kjc6xbXuOuJ10WgJYxd4p_22ngKVV5oM/edit?usp=sharing"",""ระยอง!J294"")"),0)</f>
        <v>0</v>
      </c>
      <c r="AG66" s="324">
        <f t="shared" ca="1" si="18"/>
        <v>0</v>
      </c>
    </row>
    <row r="67" spans="1:33" ht="21" customHeight="1" x14ac:dyDescent="0.2">
      <c r="A67" s="78">
        <v>15</v>
      </c>
      <c r="B67" s="79" t="s">
        <v>89</v>
      </c>
      <c r="C67" s="80">
        <f t="shared" ca="1" si="0"/>
        <v>191010</v>
      </c>
      <c r="D67" s="81">
        <f t="shared" ca="1" si="49"/>
        <v>191010</v>
      </c>
      <c r="E67" s="82">
        <f ca="1">IFERROR(__xludf.DUMMYFUNCTION("IMPORTRANGE(""https://docs.google.com/spreadsheets/d/1MeEWN-I1oV_STSDYn1IFDPWt_1FKiwhDph83XaGc0o0/edit?usp=sharing"",""งบพรบ!DJ67"")"),150000)</f>
        <v>150000</v>
      </c>
      <c r="F67" s="82">
        <f ca="1">IFERROR(__xludf.DUMMYFUNCTION("IMPORTRANGE(""https://docs.google.com/spreadsheets/d/1MeEWN-I1oV_STSDYn1IFDPWt_1FKiwhDph83XaGc0o0/edit?usp=sharing"",""งบพรบ!DK67"")"),41010)</f>
        <v>41010</v>
      </c>
      <c r="G67" s="82">
        <f ca="1">IFERROR(__xludf.DUMMYFUNCTION("IMPORTRANGE(""https://docs.google.com/spreadsheets/d/1MeEWN-I1oV_STSDYn1IFDPWt_1FKiwhDph83XaGc0o0/edit?usp=sharing"",""งบพรบ!DL67"")"),0)</f>
        <v>0</v>
      </c>
      <c r="H67" s="82">
        <f ca="1">IFERROR(__xludf.DUMMYFUNCTION("IMPORTRANGE(""https://docs.google.com/spreadsheets/d/1MeEWN-I1oV_STSDYn1IFDPWt_1FKiwhDph83XaGc0o0/edit?usp=sharing"",""งบพรบ!DN67"")"),134450)</f>
        <v>134450</v>
      </c>
      <c r="I67" s="82">
        <f ca="1">IFERROR(__xludf.DUMMYFUNCTION("IMPORTRANGE(""https://docs.google.com/spreadsheets/d/1MeEWN-I1oV_STSDYn1IFDPWt_1FKiwhDph83XaGc0o0/edit?usp=sharing"",""งบพรบ!DO67"")"),0)</f>
        <v>0</v>
      </c>
      <c r="J67" s="82">
        <f t="shared" ca="1" si="3"/>
        <v>92750.06</v>
      </c>
      <c r="K67" s="83">
        <f t="shared" ca="1" si="4"/>
        <v>48.557698549814148</v>
      </c>
      <c r="L67" s="82">
        <f ca="1">IFERROR(__xludf.DUMMYFUNCTION("IMPORTRANGE(""https://docs.google.com/spreadsheets/d/1MeEWN-I1oV_STSDYn1IFDPWt_1FKiwhDph83XaGc0o0/edit?usp=sharing"",""งบพรบ!DP67"")"),92750.06)</f>
        <v>92750.06</v>
      </c>
      <c r="M67" s="84">
        <f t="shared" ca="1" si="5"/>
        <v>48.557698549814148</v>
      </c>
      <c r="N67" s="84">
        <f t="shared" ca="1" si="6"/>
        <v>68.984797322424697</v>
      </c>
      <c r="O67" s="85">
        <f ca="1">IFERROR(__xludf.DUMMYFUNCTION("IMPORTRANGE(""https://docs.google.com/spreadsheets/d/1MeEWN-I1oV_STSDYn1IFDPWt_1FKiwhDph83XaGc0o0/edit?usp=sharing"",""งบพรบ!DQ67"")"),0)</f>
        <v>0</v>
      </c>
      <c r="P67" s="85">
        <f t="shared" ca="1" si="32"/>
        <v>0</v>
      </c>
      <c r="Q67" s="84">
        <f t="shared" ca="1" si="8"/>
        <v>0</v>
      </c>
      <c r="R67" s="323">
        <f ca="1">IFERROR(__xludf.DUMMYFUNCTION("IMPORTRANGE(""https://docs.google.com/spreadsheets/d/1qU-W_9MCQD1pgIVXGEOjCFo9QqlmJywuebyGgaN92r8/edit?usp=sharing"",""ราชบุรี!I287"")"),100)</f>
        <v>100</v>
      </c>
      <c r="S67" s="323">
        <f ca="1">IFERROR(__xludf.DUMMYFUNCTION("IMPORTRANGE(""https://docs.google.com/spreadsheets/d/1qU-W_9MCQD1pgIVXGEOjCFo9QqlmJywuebyGgaN92r8/edit?usp=sharing"",""ราชบุรี!J287"")"),100)</f>
        <v>100</v>
      </c>
      <c r="T67" s="324">
        <f t="shared" ca="1" si="27"/>
        <v>100</v>
      </c>
      <c r="U67" s="323">
        <f ca="1">IFERROR(__xludf.DUMMYFUNCTION("IMPORTRANGE(""https://docs.google.com/spreadsheets/d/1qU-W_9MCQD1pgIVXGEOjCFo9QqlmJywuebyGgaN92r8/edit?usp=sharing"",""ราชบุรี!I288"")"),10)</f>
        <v>10</v>
      </c>
      <c r="V67" s="323">
        <f ca="1">IFERROR(__xludf.DUMMYFUNCTION("IMPORTRANGE(""https://docs.google.com/spreadsheets/d/1qU-W_9MCQD1pgIVXGEOjCFo9QqlmJywuebyGgaN92r8/edit?usp=sharing"",""ราชบุรี!J288"")"),0)</f>
        <v>0</v>
      </c>
      <c r="W67" s="324">
        <f t="shared" ca="1" si="28"/>
        <v>0</v>
      </c>
      <c r="X67" s="323">
        <f ca="1">IFERROR(__xludf.DUMMYFUNCTION("IMPORTRANGE(""https://docs.google.com/spreadsheets/d/1qU-W_9MCQD1pgIVXGEOjCFo9QqlmJywuebyGgaN92r8/edit?usp=sharing"",""ราชบุรี!I290"")"),10)</f>
        <v>10</v>
      </c>
      <c r="Y67" s="323">
        <f ca="1">IFERROR(__xludf.DUMMYFUNCTION("IMPORTRANGE(""https://docs.google.com/spreadsheets/d/1qU-W_9MCQD1pgIVXGEOjCFo9QqlmJywuebyGgaN92r8/edit?usp=sharing"",""ราชบุรี!J290"")"),10)</f>
        <v>10</v>
      </c>
      <c r="Z67" s="324">
        <f t="shared" ca="1" si="29"/>
        <v>100</v>
      </c>
      <c r="AA67" s="323">
        <f ca="1">IFERROR(__xludf.DUMMYFUNCTION("IMPORTRANGE(""https://docs.google.com/spreadsheets/d/1qU-W_9MCQD1pgIVXGEOjCFo9QqlmJywuebyGgaN92r8/edit?usp=sharing"",""ราชบุรี!J291"")"),10)</f>
        <v>10</v>
      </c>
      <c r="AB67" s="324">
        <f t="shared" ca="1" si="15"/>
        <v>100</v>
      </c>
      <c r="AC67" s="323">
        <f ca="1">IFERROR(__xludf.DUMMYFUNCTION("IMPORTRANGE(""https://docs.google.com/spreadsheets/d/1qU-W_9MCQD1pgIVXGEOjCFo9QqlmJywuebyGgaN92r8/edit?usp=sharing"",""ราชบุรี!I293"")"),10)</f>
        <v>10</v>
      </c>
      <c r="AD67" s="323">
        <f ca="1">IFERROR(__xludf.DUMMYFUNCTION("IMPORTRANGE(""https://docs.google.com/spreadsheets/d/1qU-W_9MCQD1pgIVXGEOjCFo9QqlmJywuebyGgaN92r8/edit?usp=sharing"",""ราชบุรี!J293"")"),0)</f>
        <v>0</v>
      </c>
      <c r="AE67" s="324">
        <f t="shared" ca="1" si="30"/>
        <v>0</v>
      </c>
      <c r="AF67" s="323">
        <f ca="1">IFERROR(__xludf.DUMMYFUNCTION("IMPORTRANGE(""https://docs.google.com/spreadsheets/d/1qU-W_9MCQD1pgIVXGEOjCFo9QqlmJywuebyGgaN92r8/edit?usp=sharing"",""ราชบุรี!J294"")"),0)</f>
        <v>0</v>
      </c>
      <c r="AG67" s="324">
        <f t="shared" ca="1" si="18"/>
        <v>0</v>
      </c>
    </row>
    <row r="68" spans="1:33" ht="24" customHeight="1" x14ac:dyDescent="0.2">
      <c r="A68" s="78">
        <v>16</v>
      </c>
      <c r="B68" s="79" t="s">
        <v>90</v>
      </c>
      <c r="C68" s="80">
        <f t="shared" ca="1" si="0"/>
        <v>216980</v>
      </c>
      <c r="D68" s="81">
        <f t="shared" ca="1" si="49"/>
        <v>216980</v>
      </c>
      <c r="E68" s="82">
        <f ca="1">IFERROR(__xludf.DUMMYFUNCTION("IMPORTRANGE(""https://docs.google.com/spreadsheets/d/1MeEWN-I1oV_STSDYn1IFDPWt_1FKiwhDph83XaGc0o0/edit?usp=sharing"",""งบพรบ!DJ68"")"),0)</f>
        <v>0</v>
      </c>
      <c r="F68" s="82">
        <f ca="1">IFERROR(__xludf.DUMMYFUNCTION("IMPORTRANGE(""https://docs.google.com/spreadsheets/d/1MeEWN-I1oV_STSDYn1IFDPWt_1FKiwhDph83XaGc0o0/edit?usp=sharing"",""งบพรบ!DK68"")"),216980)</f>
        <v>216980</v>
      </c>
      <c r="G68" s="82">
        <f ca="1">IFERROR(__xludf.DUMMYFUNCTION("IMPORTRANGE(""https://docs.google.com/spreadsheets/d/1MeEWN-I1oV_STSDYn1IFDPWt_1FKiwhDph83XaGc0o0/edit?usp=sharing"",""งบพรบ!DL68"")"),0)</f>
        <v>0</v>
      </c>
      <c r="H68" s="82">
        <f ca="1">IFERROR(__xludf.DUMMYFUNCTION("IMPORTRANGE(""https://docs.google.com/spreadsheets/d/1MeEWN-I1oV_STSDYn1IFDPWt_1FKiwhDph83XaGc0o0/edit?usp=sharing"",""งบพรบ!DN68"")"),102620)</f>
        <v>102620</v>
      </c>
      <c r="I68" s="82">
        <f ca="1">IFERROR(__xludf.DUMMYFUNCTION("IMPORTRANGE(""https://docs.google.com/spreadsheets/d/1MeEWN-I1oV_STSDYn1IFDPWt_1FKiwhDph83XaGc0o0/edit?usp=sharing"",""งบพรบ!DO68"")"),0)</f>
        <v>0</v>
      </c>
      <c r="J68" s="82">
        <f t="shared" ca="1" si="3"/>
        <v>27240</v>
      </c>
      <c r="K68" s="83">
        <f t="shared" ca="1" si="4"/>
        <v>12.554152456447598</v>
      </c>
      <c r="L68" s="82">
        <f ca="1">IFERROR(__xludf.DUMMYFUNCTION("IMPORTRANGE(""https://docs.google.com/spreadsheets/d/1MeEWN-I1oV_STSDYn1IFDPWt_1FKiwhDph83XaGc0o0/edit?usp=sharing"",""งบพรบ!DP68"")"),27240)</f>
        <v>27240</v>
      </c>
      <c r="M68" s="84">
        <f t="shared" ca="1" si="5"/>
        <v>12.554152456447598</v>
      </c>
      <c r="N68" s="84">
        <f t="shared" ca="1" si="6"/>
        <v>26.544533229389984</v>
      </c>
      <c r="O68" s="85">
        <f ca="1">IFERROR(__xludf.DUMMYFUNCTION("IMPORTRANGE(""https://docs.google.com/spreadsheets/d/1MeEWN-I1oV_STSDYn1IFDPWt_1FKiwhDph83XaGc0o0/edit?usp=sharing"",""งบพรบ!DQ68"")"),0)</f>
        <v>0</v>
      </c>
      <c r="P68" s="85">
        <f t="shared" ca="1" si="32"/>
        <v>0</v>
      </c>
      <c r="Q68" s="84">
        <f t="shared" ca="1" si="8"/>
        <v>0</v>
      </c>
      <c r="R68" s="323">
        <f ca="1">IFERROR(__xludf.DUMMYFUNCTION("IMPORTRANGE(""https://docs.google.com/spreadsheets/d/1xYFIxIM_CspAP5Q-5Zx_V0T_Ut3cjryrjd2hss28vGk/edit?usp=sharing"",""ลพบุรี!I287"")"),600)</f>
        <v>600</v>
      </c>
      <c r="S68" s="323">
        <f ca="1">IFERROR(__xludf.DUMMYFUNCTION("IMPORTRANGE(""https://docs.google.com/spreadsheets/d/1xYFIxIM_CspAP5Q-5Zx_V0T_Ut3cjryrjd2hss28vGk/edit?usp=sharing"",""ลพบุรี!J287"")"),600)</f>
        <v>600</v>
      </c>
      <c r="T68" s="324">
        <f t="shared" ca="1" si="27"/>
        <v>100</v>
      </c>
      <c r="U68" s="323">
        <f ca="1">IFERROR(__xludf.DUMMYFUNCTION("IMPORTRANGE(""https://docs.google.com/spreadsheets/d/1xYFIxIM_CspAP5Q-5Zx_V0T_Ut3cjryrjd2hss28vGk/edit?usp=sharing"",""ลพบุรี!I288"")"),60)</f>
        <v>60</v>
      </c>
      <c r="V68" s="323">
        <f ca="1">IFERROR(__xludf.DUMMYFUNCTION("IMPORTRANGE(""https://docs.google.com/spreadsheets/d/1xYFIxIM_CspAP5Q-5Zx_V0T_Ut3cjryrjd2hss28vGk/edit?usp=sharing"",""ลพบุรี!J288"")"),0)</f>
        <v>0</v>
      </c>
      <c r="W68" s="324">
        <f t="shared" ca="1" si="28"/>
        <v>0</v>
      </c>
      <c r="X68" s="323">
        <f ca="1">IFERROR(__xludf.DUMMYFUNCTION("IMPORTRANGE(""https://docs.google.com/spreadsheets/d/1xYFIxIM_CspAP5Q-5Zx_V0T_Ut3cjryrjd2hss28vGk/edit?usp=sharing"",""ลพบุรี!I290"")"),60)</f>
        <v>60</v>
      </c>
      <c r="Y68" s="323">
        <f ca="1">IFERROR(__xludf.DUMMYFUNCTION("IMPORTRANGE(""https://docs.google.com/spreadsheets/d/1xYFIxIM_CspAP5Q-5Zx_V0T_Ut3cjryrjd2hss28vGk/edit?usp=sharing"",""ลพบุรี!J290"")"),0)</f>
        <v>0</v>
      </c>
      <c r="Z68" s="324">
        <f t="shared" ca="1" si="29"/>
        <v>0</v>
      </c>
      <c r="AA68" s="323">
        <f ca="1">IFERROR(__xludf.DUMMYFUNCTION("IMPORTRANGE(""https://docs.google.com/spreadsheets/d/1xYFIxIM_CspAP5Q-5Zx_V0T_Ut3cjryrjd2hss28vGk/edit?usp=sharing"",""ลพบุรี!J291"")"),0)</f>
        <v>0</v>
      </c>
      <c r="AB68" s="324">
        <f t="shared" ca="1" si="15"/>
        <v>0</v>
      </c>
      <c r="AC68" s="323">
        <f ca="1">IFERROR(__xludf.DUMMYFUNCTION("IMPORTRANGE(""https://docs.google.com/spreadsheets/d/1xYFIxIM_CspAP5Q-5Zx_V0T_Ut3cjryrjd2hss28vGk/edit?usp=sharing"",""ลพบุรี!I293"")"),60)</f>
        <v>60</v>
      </c>
      <c r="AD68" s="323">
        <f ca="1">IFERROR(__xludf.DUMMYFUNCTION("IMPORTRANGE(""https://docs.google.com/spreadsheets/d/1xYFIxIM_CspAP5Q-5Zx_V0T_Ut3cjryrjd2hss28vGk/edit?usp=sharing"",""ลพบุรี!J293"")"),0)</f>
        <v>0</v>
      </c>
      <c r="AE68" s="324">
        <f t="shared" ca="1" si="30"/>
        <v>0</v>
      </c>
      <c r="AF68" s="323">
        <f ca="1">IFERROR(__xludf.DUMMYFUNCTION("IMPORTRANGE(""https://docs.google.com/spreadsheets/d/1xYFIxIM_CspAP5Q-5Zx_V0T_Ut3cjryrjd2hss28vGk/edit?usp=sharing"",""ลพบุรี!J294"")"),0)</f>
        <v>0</v>
      </c>
      <c r="AG68" s="324">
        <f t="shared" ca="1" si="18"/>
        <v>0</v>
      </c>
    </row>
    <row r="69" spans="1:33" ht="21" customHeight="1" x14ac:dyDescent="0.2">
      <c r="A69" s="78">
        <v>17</v>
      </c>
      <c r="B69" s="79" t="s">
        <v>91</v>
      </c>
      <c r="C69" s="80">
        <f t="shared" ca="1" si="0"/>
        <v>111710</v>
      </c>
      <c r="D69" s="81">
        <f t="shared" ca="1" si="49"/>
        <v>111710</v>
      </c>
      <c r="E69" s="82">
        <f ca="1">IFERROR(__xludf.DUMMYFUNCTION("IMPORTRANGE(""https://docs.google.com/spreadsheets/d/1MeEWN-I1oV_STSDYn1IFDPWt_1FKiwhDph83XaGc0o0/edit?usp=sharing"",""งบพรบ!DJ69"")"),0)</f>
        <v>0</v>
      </c>
      <c r="F69" s="82">
        <f ca="1">IFERROR(__xludf.DUMMYFUNCTION("IMPORTRANGE(""https://docs.google.com/spreadsheets/d/1MeEWN-I1oV_STSDYn1IFDPWt_1FKiwhDph83XaGc0o0/edit?usp=sharing"",""งบพรบ!DK69"")"),111710)</f>
        <v>111710</v>
      </c>
      <c r="G69" s="82">
        <f ca="1">IFERROR(__xludf.DUMMYFUNCTION("IMPORTRANGE(""https://docs.google.com/spreadsheets/d/1MeEWN-I1oV_STSDYn1IFDPWt_1FKiwhDph83XaGc0o0/edit?usp=sharing"",""งบพรบ!DL69"")"),0)</f>
        <v>0</v>
      </c>
      <c r="H69" s="82">
        <f ca="1">IFERROR(__xludf.DUMMYFUNCTION("IMPORTRANGE(""https://docs.google.com/spreadsheets/d/1MeEWN-I1oV_STSDYn1IFDPWt_1FKiwhDph83XaGc0o0/edit?usp=sharing"",""งบพรบ!DN69"")"),54530)</f>
        <v>54530</v>
      </c>
      <c r="I69" s="82">
        <f ca="1">IFERROR(__xludf.DUMMYFUNCTION("IMPORTRANGE(""https://docs.google.com/spreadsheets/d/1MeEWN-I1oV_STSDYn1IFDPWt_1FKiwhDph83XaGc0o0/edit?usp=sharing"",""งบพรบ!DO69"")"),0)</f>
        <v>0</v>
      </c>
      <c r="J69" s="82">
        <f t="shared" ca="1" si="3"/>
        <v>45200</v>
      </c>
      <c r="K69" s="83">
        <f t="shared" ca="1" si="4"/>
        <v>40.461910303464329</v>
      </c>
      <c r="L69" s="82">
        <f ca="1">IFERROR(__xludf.DUMMYFUNCTION("IMPORTRANGE(""https://docs.google.com/spreadsheets/d/1MeEWN-I1oV_STSDYn1IFDPWt_1FKiwhDph83XaGc0o0/edit?usp=sharing"",""งบพรบ!DP69"")"),45200)</f>
        <v>45200</v>
      </c>
      <c r="M69" s="84">
        <f t="shared" ca="1" si="5"/>
        <v>40.461910303464329</v>
      </c>
      <c r="N69" s="84">
        <f t="shared" ca="1" si="6"/>
        <v>82.890152209792774</v>
      </c>
      <c r="O69" s="85">
        <f ca="1">IFERROR(__xludf.DUMMYFUNCTION("IMPORTRANGE(""https://docs.google.com/spreadsheets/d/1MeEWN-I1oV_STSDYn1IFDPWt_1FKiwhDph83XaGc0o0/edit?usp=sharing"",""งบพรบ!DQ69"")"),0)</f>
        <v>0</v>
      </c>
      <c r="P69" s="85">
        <f t="shared" ca="1" si="32"/>
        <v>0</v>
      </c>
      <c r="Q69" s="84">
        <f t="shared" ca="1" si="8"/>
        <v>0</v>
      </c>
      <c r="R69" s="323">
        <f ca="1">IFERROR(__xludf.DUMMYFUNCTION("IMPORTRANGE(""https://docs.google.com/spreadsheets/d/11s9m3tKsCBdPWq6syhZm27eBGbKneDLZc75co106bio/edit?usp=sharing"",""สระแก้ว!I287"")"),300)</f>
        <v>300</v>
      </c>
      <c r="S69" s="323">
        <f ca="1">IFERROR(__xludf.DUMMYFUNCTION("IMPORTRANGE(""https://docs.google.com/spreadsheets/d/11s9m3tKsCBdPWq6syhZm27eBGbKneDLZc75co106bio/edit?usp=sharing"",""สระแก้ว!J287"")"),0)</f>
        <v>0</v>
      </c>
      <c r="T69" s="324">
        <f t="shared" ca="1" si="27"/>
        <v>0</v>
      </c>
      <c r="U69" s="323">
        <f ca="1">IFERROR(__xludf.DUMMYFUNCTION("IMPORTRANGE(""https://docs.google.com/spreadsheets/d/11s9m3tKsCBdPWq6syhZm27eBGbKneDLZc75co106bio/edit?usp=sharing"",""สระแก้ว!I288"")"),30)</f>
        <v>30</v>
      </c>
      <c r="V69" s="323">
        <f ca="1">IFERROR(__xludf.DUMMYFUNCTION("IMPORTRANGE(""https://docs.google.com/spreadsheets/d/11s9m3tKsCBdPWq6syhZm27eBGbKneDLZc75co106bio/edit?usp=sharing"",""สระแก้ว!J288"")"),0)</f>
        <v>0</v>
      </c>
      <c r="W69" s="324">
        <f t="shared" ca="1" si="28"/>
        <v>0</v>
      </c>
      <c r="X69" s="323">
        <f ca="1">IFERROR(__xludf.DUMMYFUNCTION("IMPORTRANGE(""https://docs.google.com/spreadsheets/d/11s9m3tKsCBdPWq6syhZm27eBGbKneDLZc75co106bio/edit?usp=sharing"",""สระแก้ว!I290"")"),30)</f>
        <v>30</v>
      </c>
      <c r="Y69" s="323">
        <f ca="1">IFERROR(__xludf.DUMMYFUNCTION("IMPORTRANGE(""https://docs.google.com/spreadsheets/d/11s9m3tKsCBdPWq6syhZm27eBGbKneDLZc75co106bio/edit?usp=sharing"",""สระแก้ว!J290"")"),30)</f>
        <v>30</v>
      </c>
      <c r="Z69" s="324">
        <f t="shared" ca="1" si="29"/>
        <v>100</v>
      </c>
      <c r="AA69" s="323">
        <f ca="1">IFERROR(__xludf.DUMMYFUNCTION("IMPORTRANGE(""https://docs.google.com/spreadsheets/d/11s9m3tKsCBdPWq6syhZm27eBGbKneDLZc75co106bio/edit?usp=sharing"",""สระแก้ว!J291"")"),30)</f>
        <v>30</v>
      </c>
      <c r="AB69" s="324">
        <f t="shared" ca="1" si="15"/>
        <v>100</v>
      </c>
      <c r="AC69" s="323">
        <f ca="1">IFERROR(__xludf.DUMMYFUNCTION("IMPORTRANGE(""https://docs.google.com/spreadsheets/d/11s9m3tKsCBdPWq6syhZm27eBGbKneDLZc75co106bio/edit?usp=sharing"",""สระแก้ว!I293"")"),30)</f>
        <v>30</v>
      </c>
      <c r="AD69" s="323">
        <f ca="1">IFERROR(__xludf.DUMMYFUNCTION("IMPORTRANGE(""https://docs.google.com/spreadsheets/d/11s9m3tKsCBdPWq6syhZm27eBGbKneDLZc75co106bio/edit?usp=sharing"",""สระแก้ว!J293"")"),0)</f>
        <v>0</v>
      </c>
      <c r="AE69" s="324">
        <f t="shared" ca="1" si="30"/>
        <v>0</v>
      </c>
      <c r="AF69" s="323">
        <f ca="1">IFERROR(__xludf.DUMMYFUNCTION("IMPORTRANGE(""https://docs.google.com/spreadsheets/d/11s9m3tKsCBdPWq6syhZm27eBGbKneDLZc75co106bio/edit?usp=sharing"",""สระแก้ว!J294"")"),0)</f>
        <v>0</v>
      </c>
      <c r="AG69" s="324">
        <f t="shared" ca="1" si="18"/>
        <v>0</v>
      </c>
    </row>
    <row r="70" spans="1:33" ht="21" customHeight="1" x14ac:dyDescent="0.2">
      <c r="A70" s="78">
        <v>18</v>
      </c>
      <c r="B70" s="79" t="s">
        <v>92</v>
      </c>
      <c r="C70" s="80">
        <f t="shared" ca="1" si="0"/>
        <v>0</v>
      </c>
      <c r="D70" s="81">
        <f t="shared" ca="1" si="49"/>
        <v>0</v>
      </c>
      <c r="E70" s="82">
        <f ca="1">IFERROR(__xludf.DUMMYFUNCTION("IMPORTRANGE(""https://docs.google.com/spreadsheets/d/1MeEWN-I1oV_STSDYn1IFDPWt_1FKiwhDph83XaGc0o0/edit?usp=sharing"",""งบพรบ!DJ70"")"),0)</f>
        <v>0</v>
      </c>
      <c r="F70" s="82">
        <f ca="1">IFERROR(__xludf.DUMMYFUNCTION("IMPORTRANGE(""https://docs.google.com/spreadsheets/d/1MeEWN-I1oV_STSDYn1IFDPWt_1FKiwhDph83XaGc0o0/edit?usp=sharing"",""งบพรบ!DK70"")"),0)</f>
        <v>0</v>
      </c>
      <c r="G70" s="82">
        <f ca="1">IFERROR(__xludf.DUMMYFUNCTION("IMPORTRANGE(""https://docs.google.com/spreadsheets/d/1MeEWN-I1oV_STSDYn1IFDPWt_1FKiwhDph83XaGc0o0/edit?usp=sharing"",""งบพรบ!DL70"")"),0)</f>
        <v>0</v>
      </c>
      <c r="H70" s="82">
        <f ca="1">IFERROR(__xludf.DUMMYFUNCTION("IMPORTRANGE(""https://docs.google.com/spreadsheets/d/1MeEWN-I1oV_STSDYn1IFDPWt_1FKiwhDph83XaGc0o0/edit?usp=sharing"",""งบพรบ!DN70"")"),0)</f>
        <v>0</v>
      </c>
      <c r="I70" s="82">
        <f ca="1">IFERROR(__xludf.DUMMYFUNCTION("IMPORTRANGE(""https://docs.google.com/spreadsheets/d/1MeEWN-I1oV_STSDYn1IFDPWt_1FKiwhDph83XaGc0o0/edit?usp=sharing"",""งบพรบ!DO70"")"),0)</f>
        <v>0</v>
      </c>
      <c r="J70" s="82">
        <f t="shared" ca="1" si="3"/>
        <v>0</v>
      </c>
      <c r="K70" s="83">
        <f t="shared" ca="1" si="4"/>
        <v>0</v>
      </c>
      <c r="L70" s="82">
        <f ca="1">IFERROR(__xludf.DUMMYFUNCTION("IMPORTRANGE(""https://docs.google.com/spreadsheets/d/1MeEWN-I1oV_STSDYn1IFDPWt_1FKiwhDph83XaGc0o0/edit?usp=sharing"",""งบพรบ!DP70"")"),0)</f>
        <v>0</v>
      </c>
      <c r="M70" s="84">
        <f t="shared" ca="1" si="5"/>
        <v>0</v>
      </c>
      <c r="N70" s="84">
        <f t="shared" ca="1" si="6"/>
        <v>0</v>
      </c>
      <c r="O70" s="85">
        <f ca="1">IFERROR(__xludf.DUMMYFUNCTION("IMPORTRANGE(""https://docs.google.com/spreadsheets/d/1MeEWN-I1oV_STSDYn1IFDPWt_1FKiwhDph83XaGc0o0/edit?usp=sharing"",""งบพรบ!DQ70"")"),0)</f>
        <v>0</v>
      </c>
      <c r="P70" s="85">
        <f t="shared" ca="1" si="32"/>
        <v>0</v>
      </c>
      <c r="Q70" s="84">
        <f t="shared" ca="1" si="8"/>
        <v>0</v>
      </c>
      <c r="R70" s="323">
        <f ca="1">IFERROR(__xludf.DUMMYFUNCTION("IMPORTRANGE(""https://docs.google.com/spreadsheets/d/1Nn1EvsFPtXldgpgVb3Rcng2K2cls68LFQsBh2FyW0Bg/edit?usp=sharing"",""สระบุรี!I287"")"),0)</f>
        <v>0</v>
      </c>
      <c r="S70" s="323">
        <f ca="1">IFERROR(__xludf.DUMMYFUNCTION("IMPORTRANGE(""https://docs.google.com/spreadsheets/d/1Nn1EvsFPtXldgpgVb3Rcng2K2cls68LFQsBh2FyW0Bg/edit?usp=sharing"",""สระบุรี!J287"")"),0)</f>
        <v>0</v>
      </c>
      <c r="T70" s="324">
        <f t="shared" ca="1" si="27"/>
        <v>0</v>
      </c>
      <c r="U70" s="323">
        <f ca="1">IFERROR(__xludf.DUMMYFUNCTION("IMPORTRANGE(""https://docs.google.com/spreadsheets/d/1Nn1EvsFPtXldgpgVb3Rcng2K2cls68LFQsBh2FyW0Bg/edit?usp=sharing"",""สระบุรี!I288"")"),0)</f>
        <v>0</v>
      </c>
      <c r="V70" s="323">
        <f ca="1">IFERROR(__xludf.DUMMYFUNCTION("IMPORTRANGE(""https://docs.google.com/spreadsheets/d/1Nn1EvsFPtXldgpgVb3Rcng2K2cls68LFQsBh2FyW0Bg/edit?usp=sharing"",""สระบุรี!J288"")"),0)</f>
        <v>0</v>
      </c>
      <c r="W70" s="324">
        <f t="shared" ca="1" si="28"/>
        <v>0</v>
      </c>
      <c r="X70" s="323">
        <f ca="1">IFERROR(__xludf.DUMMYFUNCTION("IMPORTRANGE(""https://docs.google.com/spreadsheets/d/1Nn1EvsFPtXldgpgVb3Rcng2K2cls68LFQsBh2FyW0Bg/edit?usp=sharing"",""สระบุรี!I290"")"),0)</f>
        <v>0</v>
      </c>
      <c r="Y70" s="323">
        <f ca="1">IFERROR(__xludf.DUMMYFUNCTION("IMPORTRANGE(""https://docs.google.com/spreadsheets/d/1Nn1EvsFPtXldgpgVb3Rcng2K2cls68LFQsBh2FyW0Bg/edit?usp=sharing"",""สระบุรี!J290"")"),0)</f>
        <v>0</v>
      </c>
      <c r="Z70" s="324">
        <f t="shared" ca="1" si="29"/>
        <v>0</v>
      </c>
      <c r="AA70" s="323">
        <f ca="1">IFERROR(__xludf.DUMMYFUNCTION("IMPORTRANGE(""https://docs.google.com/spreadsheets/d/1Nn1EvsFPtXldgpgVb3Rcng2K2cls68LFQsBh2FyW0Bg/edit?usp=sharing"",""สระบุรี!J291"")"),0)</f>
        <v>0</v>
      </c>
      <c r="AB70" s="324">
        <f t="shared" ca="1" si="15"/>
        <v>0</v>
      </c>
      <c r="AC70" s="323">
        <f ca="1">IFERROR(__xludf.DUMMYFUNCTION("IMPORTRANGE(""https://docs.google.com/spreadsheets/d/1Nn1EvsFPtXldgpgVb3Rcng2K2cls68LFQsBh2FyW0Bg/edit?usp=sharing"",""สระบุรี!I293"")"),0)</f>
        <v>0</v>
      </c>
      <c r="AD70" s="323">
        <f ca="1">IFERROR(__xludf.DUMMYFUNCTION("IMPORTRANGE(""https://docs.google.com/spreadsheets/d/1Nn1EvsFPtXldgpgVb3Rcng2K2cls68LFQsBh2FyW0Bg/edit?usp=sharing"",""สระบุรี!J293"")"),0)</f>
        <v>0</v>
      </c>
      <c r="AE70" s="324">
        <f t="shared" ca="1" si="30"/>
        <v>0</v>
      </c>
      <c r="AF70" s="323">
        <f ca="1">IFERROR(__xludf.DUMMYFUNCTION("IMPORTRANGE(""https://docs.google.com/spreadsheets/d/1Nn1EvsFPtXldgpgVb3Rcng2K2cls68LFQsBh2FyW0Bg/edit?usp=sharing"",""สระบุรี!J294"")"),0)</f>
        <v>0</v>
      </c>
      <c r="AG70" s="324">
        <f t="shared" ca="1" si="18"/>
        <v>0</v>
      </c>
    </row>
    <row r="71" spans="1:33" ht="21" customHeight="1" x14ac:dyDescent="0.2">
      <c r="A71" s="78">
        <v>19</v>
      </c>
      <c r="B71" s="79" t="s">
        <v>93</v>
      </c>
      <c r="C71" s="80">
        <f t="shared" ca="1" si="0"/>
        <v>0</v>
      </c>
      <c r="D71" s="81">
        <f t="shared" ca="1" si="49"/>
        <v>0</v>
      </c>
      <c r="E71" s="82">
        <f ca="1">IFERROR(__xludf.DUMMYFUNCTION("IMPORTRANGE(""https://docs.google.com/spreadsheets/d/1MeEWN-I1oV_STSDYn1IFDPWt_1FKiwhDph83XaGc0o0/edit?usp=sharing"",""งบพรบ!DJ71"")"),0)</f>
        <v>0</v>
      </c>
      <c r="F71" s="82">
        <f ca="1">IFERROR(__xludf.DUMMYFUNCTION("IMPORTRANGE(""https://docs.google.com/spreadsheets/d/1MeEWN-I1oV_STSDYn1IFDPWt_1FKiwhDph83XaGc0o0/edit?usp=sharing"",""งบพรบ!DK71"")"),0)</f>
        <v>0</v>
      </c>
      <c r="G71" s="82">
        <f ca="1">IFERROR(__xludf.DUMMYFUNCTION("IMPORTRANGE(""https://docs.google.com/spreadsheets/d/1MeEWN-I1oV_STSDYn1IFDPWt_1FKiwhDph83XaGc0o0/edit?usp=sharing"",""งบพรบ!DL71"")"),0)</f>
        <v>0</v>
      </c>
      <c r="H71" s="82">
        <f ca="1">IFERROR(__xludf.DUMMYFUNCTION("IMPORTRANGE(""https://docs.google.com/spreadsheets/d/1MeEWN-I1oV_STSDYn1IFDPWt_1FKiwhDph83XaGc0o0/edit?usp=sharing"",""งบพรบ!DN71"")"),0)</f>
        <v>0</v>
      </c>
      <c r="I71" s="82">
        <f ca="1">IFERROR(__xludf.DUMMYFUNCTION("IMPORTRANGE(""https://docs.google.com/spreadsheets/d/1MeEWN-I1oV_STSDYn1IFDPWt_1FKiwhDph83XaGc0o0/edit?usp=sharing"",""งบพรบ!DO71"")"),0)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IFERROR(__xludf.DUMMYFUNCTION("IMPORTRANGE(""https://docs.google.com/spreadsheets/d/1MeEWN-I1oV_STSDYn1IFDPWt_1FKiwhDph83XaGc0o0/edit?usp=sharing"",""งบพรบ!DP71"")"),0)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IFERROR(__xludf.DUMMYFUNCTION("IMPORTRANGE(""https://docs.google.com/spreadsheets/d/1MeEWN-I1oV_STSDYn1IFDPWt_1FKiwhDph83XaGc0o0/edit?usp=sharing"",""งบพรบ!DQ71"")"),0)</f>
        <v>0</v>
      </c>
      <c r="P71" s="85">
        <f t="shared" ca="1" si="32"/>
        <v>0</v>
      </c>
      <c r="Q71" s="84">
        <f t="shared" ca="1" si="8"/>
        <v>0</v>
      </c>
      <c r="R71" s="323">
        <f ca="1">IFERROR(__xludf.DUMMYFUNCTION("IMPORTRANGE(""https://docs.google.com/spreadsheets/d/149xufxukrnEciK3WPbNpHwUK8BKEJxp3UcBG3Al6dA4/edit?usp=sharing"",""สิงห์บุรี!I287"")"),0)</f>
        <v>0</v>
      </c>
      <c r="S71" s="323">
        <f ca="1">IFERROR(__xludf.DUMMYFUNCTION("IMPORTRANGE(""https://docs.google.com/spreadsheets/d/149xufxukrnEciK3WPbNpHwUK8BKEJxp3UcBG3Al6dA4/edit?usp=sharing"",""สิงห์บุรี!J287"")"),0)</f>
        <v>0</v>
      </c>
      <c r="T71" s="324">
        <f t="shared" ca="1" si="27"/>
        <v>0</v>
      </c>
      <c r="U71" s="323">
        <f ca="1">IFERROR(__xludf.DUMMYFUNCTION("IMPORTRANGE(""https://docs.google.com/spreadsheets/d/149xufxukrnEciK3WPbNpHwUK8BKEJxp3UcBG3Al6dA4/edit?usp=sharing"",""สิงห์บุรี!I288"")"),0)</f>
        <v>0</v>
      </c>
      <c r="V71" s="323">
        <f ca="1">IFERROR(__xludf.DUMMYFUNCTION("IMPORTRANGE(""https://docs.google.com/spreadsheets/d/149xufxukrnEciK3WPbNpHwUK8BKEJxp3UcBG3Al6dA4/edit?usp=sharing"",""สิงห์บุรี!J288"")"),0)</f>
        <v>0</v>
      </c>
      <c r="W71" s="324">
        <f t="shared" ca="1" si="28"/>
        <v>0</v>
      </c>
      <c r="X71" s="323">
        <f ca="1">IFERROR(__xludf.DUMMYFUNCTION("IMPORTRANGE(""https://docs.google.com/spreadsheets/d/149xufxukrnEciK3WPbNpHwUK8BKEJxp3UcBG3Al6dA4/edit?usp=sharing"",""สิงห์บุรี!I290"")"),0)</f>
        <v>0</v>
      </c>
      <c r="Y71" s="323">
        <f ca="1">IFERROR(__xludf.DUMMYFUNCTION("IMPORTRANGE(""https://docs.google.com/spreadsheets/d/149xufxukrnEciK3WPbNpHwUK8BKEJxp3UcBG3Al6dA4/edit?usp=sharing"",""สิงห์บุรี!J290"")"),0)</f>
        <v>0</v>
      </c>
      <c r="Z71" s="324">
        <f t="shared" ca="1" si="29"/>
        <v>0</v>
      </c>
      <c r="AA71" s="323">
        <f ca="1">IFERROR(__xludf.DUMMYFUNCTION("IMPORTRANGE(""https://docs.google.com/spreadsheets/d/149xufxukrnEciK3WPbNpHwUK8BKEJxp3UcBG3Al6dA4/edit?usp=sharing"",""สิงห์บุรี!J291"")"),0)</f>
        <v>0</v>
      </c>
      <c r="AB71" s="324">
        <f t="shared" ca="1" si="15"/>
        <v>0</v>
      </c>
      <c r="AC71" s="323">
        <f ca="1">IFERROR(__xludf.DUMMYFUNCTION("IMPORTRANGE(""https://docs.google.com/spreadsheets/d/149xufxukrnEciK3WPbNpHwUK8BKEJxp3UcBG3Al6dA4/edit?usp=sharing"",""สิงห์บุรี!I293"")"),0)</f>
        <v>0</v>
      </c>
      <c r="AD71" s="323">
        <f ca="1">IFERROR(__xludf.DUMMYFUNCTION("IMPORTRANGE(""https://docs.google.com/spreadsheets/d/149xufxukrnEciK3WPbNpHwUK8BKEJxp3UcBG3Al6dA4/edit?usp=sharing"",""สิงห์บุรี!J293"")"),0)</f>
        <v>0</v>
      </c>
      <c r="AE71" s="324">
        <f t="shared" ca="1" si="30"/>
        <v>0</v>
      </c>
      <c r="AF71" s="323">
        <f ca="1">IFERROR(__xludf.DUMMYFUNCTION("IMPORTRANGE(""https://docs.google.com/spreadsheets/d/149xufxukrnEciK3WPbNpHwUK8BKEJxp3UcBG3Al6dA4/edit?usp=sharing"",""สิงห์บุรี!J294"")"),0)</f>
        <v>0</v>
      </c>
      <c r="AG71" s="324">
        <f t="shared" ca="1" si="18"/>
        <v>0</v>
      </c>
    </row>
    <row r="72" spans="1:33" ht="21" customHeight="1" x14ac:dyDescent="0.2">
      <c r="A72" s="78">
        <v>20</v>
      </c>
      <c r="B72" s="79" t="s">
        <v>94</v>
      </c>
      <c r="C72" s="80">
        <f t="shared" ca="1" si="0"/>
        <v>41010</v>
      </c>
      <c r="D72" s="81">
        <f t="shared" ca="1" si="49"/>
        <v>41010</v>
      </c>
      <c r="E72" s="82">
        <f ca="1">IFERROR(__xludf.DUMMYFUNCTION("IMPORTRANGE(""https://docs.google.com/spreadsheets/d/1MeEWN-I1oV_STSDYn1IFDPWt_1FKiwhDph83XaGc0o0/edit?usp=sharing"",""งบพรบ!DJ72"")"),0)</f>
        <v>0</v>
      </c>
      <c r="F72" s="82">
        <f ca="1">IFERROR(__xludf.DUMMYFUNCTION("IMPORTRANGE(""https://docs.google.com/spreadsheets/d/1MeEWN-I1oV_STSDYn1IFDPWt_1FKiwhDph83XaGc0o0/edit?usp=sharing"",""งบพรบ!DK72"")"),41010)</f>
        <v>41010</v>
      </c>
      <c r="G72" s="82">
        <f ca="1">IFERROR(__xludf.DUMMYFUNCTION("IMPORTRANGE(""https://docs.google.com/spreadsheets/d/1MeEWN-I1oV_STSDYn1IFDPWt_1FKiwhDph83XaGc0o0/edit?usp=sharing"",""งบพรบ!DL72"")"),0)</f>
        <v>0</v>
      </c>
      <c r="H72" s="82">
        <f ca="1">IFERROR(__xludf.DUMMYFUNCTION("IMPORTRANGE(""https://docs.google.com/spreadsheets/d/1MeEWN-I1oV_STSDYn1IFDPWt_1FKiwhDph83XaGc0o0/edit?usp=sharing"",""งบพรบ!DN72"")"),21950)</f>
        <v>21950</v>
      </c>
      <c r="I72" s="82">
        <f ca="1">IFERROR(__xludf.DUMMYFUNCTION("IMPORTRANGE(""https://docs.google.com/spreadsheets/d/1MeEWN-I1oV_STSDYn1IFDPWt_1FKiwhDph83XaGc0o0/edit?usp=sharing"",""งบพรบ!DO72"")"),0)</f>
        <v>0</v>
      </c>
      <c r="J72" s="82">
        <f t="shared" ca="1" si="3"/>
        <v>8660</v>
      </c>
      <c r="K72" s="83">
        <f t="shared" ca="1" si="4"/>
        <v>21.116800780297488</v>
      </c>
      <c r="L72" s="82">
        <f ca="1">IFERROR(__xludf.DUMMYFUNCTION("IMPORTRANGE(""https://docs.google.com/spreadsheets/d/1MeEWN-I1oV_STSDYn1IFDPWt_1FKiwhDph83XaGc0o0/edit?usp=sharing"",""งบพรบ!DP72"")"),8660)</f>
        <v>8660</v>
      </c>
      <c r="M72" s="84">
        <f t="shared" ca="1" si="5"/>
        <v>21.116800780297488</v>
      </c>
      <c r="N72" s="84">
        <f t="shared" ca="1" si="6"/>
        <v>39.453302961275625</v>
      </c>
      <c r="O72" s="85">
        <f ca="1">IFERROR(__xludf.DUMMYFUNCTION("IMPORTRANGE(""https://docs.google.com/spreadsheets/d/1MeEWN-I1oV_STSDYn1IFDPWt_1FKiwhDph83XaGc0o0/edit?usp=sharing"",""งบพรบ!DQ72"")"),0)</f>
        <v>0</v>
      </c>
      <c r="P72" s="85">
        <f t="shared" ca="1" si="32"/>
        <v>0</v>
      </c>
      <c r="Q72" s="84">
        <f t="shared" ca="1" si="8"/>
        <v>0</v>
      </c>
      <c r="R72" s="323">
        <f ca="1">IFERROR(__xludf.DUMMYFUNCTION("IMPORTRANGE(""https://docs.google.com/spreadsheets/d/132g-zJpz2uMKimp17uOIx8A7o3w1Z25zwJyXnwsB56c/edit?usp=sharing"",""สุพรรณบุรี!I287"")"),100)</f>
        <v>100</v>
      </c>
      <c r="S72" s="323">
        <f ca="1">IFERROR(__xludf.DUMMYFUNCTION("IMPORTRANGE(""https://docs.google.com/spreadsheets/d/132g-zJpz2uMKimp17uOIx8A7o3w1Z25zwJyXnwsB56c/edit?usp=sharing"",""สุพรรณบุรี!J287"")"),0)</f>
        <v>0</v>
      </c>
      <c r="T72" s="324">
        <f t="shared" ca="1" si="27"/>
        <v>0</v>
      </c>
      <c r="U72" s="323">
        <f ca="1">IFERROR(__xludf.DUMMYFUNCTION("IMPORTRANGE(""https://docs.google.com/spreadsheets/d/132g-zJpz2uMKimp17uOIx8A7o3w1Z25zwJyXnwsB56c/edit?usp=sharing"",""สุพรรณบุรี!I288"")"),10)</f>
        <v>10</v>
      </c>
      <c r="V72" s="323">
        <f ca="1">IFERROR(__xludf.DUMMYFUNCTION("IMPORTRANGE(""https://docs.google.com/spreadsheets/d/132g-zJpz2uMKimp17uOIx8A7o3w1Z25zwJyXnwsB56c/edit?usp=sharing"",""สุพรรณบุรี!J288"")"),0)</f>
        <v>0</v>
      </c>
      <c r="W72" s="324">
        <f t="shared" ca="1" si="28"/>
        <v>0</v>
      </c>
      <c r="X72" s="323">
        <f ca="1">IFERROR(__xludf.DUMMYFUNCTION("IMPORTRANGE(""https://docs.google.com/spreadsheets/d/132g-zJpz2uMKimp17uOIx8A7o3w1Z25zwJyXnwsB56c/edit?usp=sharing"",""สุพรรณบุรี!I290"")"),10)</f>
        <v>10</v>
      </c>
      <c r="Y72" s="323">
        <f ca="1">IFERROR(__xludf.DUMMYFUNCTION("IMPORTRANGE(""https://docs.google.com/spreadsheets/d/132g-zJpz2uMKimp17uOIx8A7o3w1Z25zwJyXnwsB56c/edit?usp=sharing"",""สุพรรณบุรี!J290"")"),0)</f>
        <v>0</v>
      </c>
      <c r="Z72" s="324">
        <f t="shared" ca="1" si="29"/>
        <v>0</v>
      </c>
      <c r="AA72" s="323">
        <f ca="1">IFERROR(__xludf.DUMMYFUNCTION("IMPORTRANGE(""https://docs.google.com/spreadsheets/d/132g-zJpz2uMKimp17uOIx8A7o3w1Z25zwJyXnwsB56c/edit?usp=sharing"",""สุพรรณบุรี!J291"")"),0)</f>
        <v>0</v>
      </c>
      <c r="AB72" s="324">
        <f t="shared" ca="1" si="15"/>
        <v>0</v>
      </c>
      <c r="AC72" s="323">
        <f ca="1">IFERROR(__xludf.DUMMYFUNCTION("IMPORTRANGE(""https://docs.google.com/spreadsheets/d/132g-zJpz2uMKimp17uOIx8A7o3w1Z25zwJyXnwsB56c/edit?usp=sharing"",""สุพรรณบุรี!I293"")"),10)</f>
        <v>10</v>
      </c>
      <c r="AD72" s="323">
        <f ca="1">IFERROR(__xludf.DUMMYFUNCTION("IMPORTRANGE(""https://docs.google.com/spreadsheets/d/132g-zJpz2uMKimp17uOIx8A7o3w1Z25zwJyXnwsB56c/edit?usp=sharing"",""สุพรรณบุรี!J293"")"),0)</f>
        <v>0</v>
      </c>
      <c r="AE72" s="324">
        <f t="shared" ca="1" si="30"/>
        <v>0</v>
      </c>
      <c r="AF72" s="323">
        <f ca="1">IFERROR(__xludf.DUMMYFUNCTION("IMPORTRANGE(""https://docs.google.com/spreadsheets/d/132g-zJpz2uMKimp17uOIx8A7o3w1Z25zwJyXnwsB56c/edit?usp=sharing"",""สุพรรณบุรี!J294"")"),0)</f>
        <v>0</v>
      </c>
      <c r="AG72" s="324">
        <f t="shared" ca="1" si="18"/>
        <v>0</v>
      </c>
    </row>
    <row r="73" spans="1:33" ht="21" customHeight="1" x14ac:dyDescent="0.2">
      <c r="A73" s="89">
        <v>21</v>
      </c>
      <c r="B73" s="90" t="s">
        <v>95</v>
      </c>
      <c r="C73" s="91">
        <f t="shared" ca="1" si="0"/>
        <v>0</v>
      </c>
      <c r="D73" s="92">
        <f t="shared" ca="1" si="49"/>
        <v>0</v>
      </c>
      <c r="E73" s="93">
        <f ca="1">IFERROR(__xludf.DUMMYFUNCTION("IMPORTRANGE(""https://docs.google.com/spreadsheets/d/1MeEWN-I1oV_STSDYn1IFDPWt_1FKiwhDph83XaGc0o0/edit?usp=sharing"",""งบพรบ!DJ73"")"),0)</f>
        <v>0</v>
      </c>
      <c r="F73" s="93">
        <f ca="1">IFERROR(__xludf.DUMMYFUNCTION("IMPORTRANGE(""https://docs.google.com/spreadsheets/d/1MeEWN-I1oV_STSDYn1IFDPWt_1FKiwhDph83XaGc0o0/edit?usp=sharing"",""งบพรบ!DK73"")"),0)</f>
        <v>0</v>
      </c>
      <c r="G73" s="93">
        <f ca="1">IFERROR(__xludf.DUMMYFUNCTION("IMPORTRANGE(""https://docs.google.com/spreadsheets/d/1MeEWN-I1oV_STSDYn1IFDPWt_1FKiwhDph83XaGc0o0/edit?usp=sharing"",""งบพรบ!DL73"")"),0)</f>
        <v>0</v>
      </c>
      <c r="H73" s="93">
        <f ca="1">IFERROR(__xludf.DUMMYFUNCTION("IMPORTRANGE(""https://docs.google.com/spreadsheets/d/1MeEWN-I1oV_STSDYn1IFDPWt_1FKiwhDph83XaGc0o0/edit?usp=sharing"",""งบพรบ!DN73"")"),0)</f>
        <v>0</v>
      </c>
      <c r="I73" s="93">
        <f ca="1">IFERROR(__xludf.DUMMYFUNCTION("IMPORTRANGE(""https://docs.google.com/spreadsheets/d/1MeEWN-I1oV_STSDYn1IFDPWt_1FKiwhDph83XaGc0o0/edit?usp=sharing"",""งบพรบ!DO73"")"),0)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IFERROR(__xludf.DUMMYFUNCTION("IMPORTRANGE(""https://docs.google.com/spreadsheets/d/1MeEWN-I1oV_STSDYn1IFDPWt_1FKiwhDph83XaGc0o0/edit?usp=sharing"",""งบพรบ!DP73"")"),0)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IFERROR(__xludf.DUMMYFUNCTION("IMPORTRANGE(""https://docs.google.com/spreadsheets/d/1MeEWN-I1oV_STSDYn1IFDPWt_1FKiwhDph83XaGc0o0/edit?usp=sharing"",""งบพรบ!DQ73"")"),0)</f>
        <v>0</v>
      </c>
      <c r="P73" s="96">
        <f t="shared" ca="1" si="32"/>
        <v>0</v>
      </c>
      <c r="Q73" s="95">
        <f t="shared" ca="1" si="8"/>
        <v>0</v>
      </c>
      <c r="R73" s="325">
        <f ca="1">IFERROR(__xludf.DUMMYFUNCTION("IMPORTRANGE(""https://docs.google.com/spreadsheets/d/12Q_U0nVnFdxDFwa0pej9xvx8ZvLC9Dpi_vRro_aiG5g/edit?usp=sharing"",""อ่างทอง!I287"")"),0)</f>
        <v>0</v>
      </c>
      <c r="S73" s="325">
        <f ca="1">IFERROR(__xludf.DUMMYFUNCTION("IMPORTRANGE(""https://docs.google.com/spreadsheets/d/12Q_U0nVnFdxDFwa0pej9xvx8ZvLC9Dpi_vRro_aiG5g/edit?usp=sharing"",""อ่างทอง!J287"")"),0)</f>
        <v>0</v>
      </c>
      <c r="T73" s="326">
        <f t="shared" ca="1" si="27"/>
        <v>0</v>
      </c>
      <c r="U73" s="325">
        <f ca="1">IFERROR(__xludf.DUMMYFUNCTION("IMPORTRANGE(""https://docs.google.com/spreadsheets/d/12Q_U0nVnFdxDFwa0pej9xvx8ZvLC9Dpi_vRro_aiG5g/edit?usp=sharing"",""อ่างทอง!I288"")"),0)</f>
        <v>0</v>
      </c>
      <c r="V73" s="325">
        <f ca="1">IFERROR(__xludf.DUMMYFUNCTION("IMPORTRANGE(""https://docs.google.com/spreadsheets/d/12Q_U0nVnFdxDFwa0pej9xvx8ZvLC9Dpi_vRro_aiG5g/edit?usp=sharing"",""อ่างทอง!J288"")"),0)</f>
        <v>0</v>
      </c>
      <c r="W73" s="326">
        <f t="shared" ca="1" si="28"/>
        <v>0</v>
      </c>
      <c r="X73" s="325">
        <f ca="1">IFERROR(__xludf.DUMMYFUNCTION("IMPORTRANGE(""https://docs.google.com/spreadsheets/d/12Q_U0nVnFdxDFwa0pej9xvx8ZvLC9Dpi_vRro_aiG5g/edit?usp=sharing"",""อ่างทอง!I290"")"),0)</f>
        <v>0</v>
      </c>
      <c r="Y73" s="325">
        <f ca="1">IFERROR(__xludf.DUMMYFUNCTION("IMPORTRANGE(""https://docs.google.com/spreadsheets/d/12Q_U0nVnFdxDFwa0pej9xvx8ZvLC9Dpi_vRro_aiG5g/edit?usp=sharing"",""อ่างทอง!J290"")"),0)</f>
        <v>0</v>
      </c>
      <c r="Z73" s="326">
        <f t="shared" ca="1" si="29"/>
        <v>0</v>
      </c>
      <c r="AA73" s="325">
        <f ca="1">IFERROR(__xludf.DUMMYFUNCTION("IMPORTRANGE(""https://docs.google.com/spreadsheets/d/12Q_U0nVnFdxDFwa0pej9xvx8ZvLC9Dpi_vRro_aiG5g/edit?usp=sharing"",""อ่างทอง!J291"")"),0)</f>
        <v>0</v>
      </c>
      <c r="AB73" s="326">
        <f t="shared" ca="1" si="15"/>
        <v>0</v>
      </c>
      <c r="AC73" s="325">
        <f ca="1">IFERROR(__xludf.DUMMYFUNCTION("IMPORTRANGE(""https://docs.google.com/spreadsheets/d/12Q_U0nVnFdxDFwa0pej9xvx8ZvLC9Dpi_vRro_aiG5g/edit?usp=sharing"",""อ่างทอง!I293"")"),0)</f>
        <v>0</v>
      </c>
      <c r="AD73" s="325">
        <f ca="1">IFERROR(__xludf.DUMMYFUNCTION("IMPORTRANGE(""https://docs.google.com/spreadsheets/d/12Q_U0nVnFdxDFwa0pej9xvx8ZvLC9Dpi_vRro_aiG5g/edit?usp=sharing"",""อ่างทอง!J293"")"),0)</f>
        <v>0</v>
      </c>
      <c r="AE73" s="326">
        <f t="shared" ca="1" si="30"/>
        <v>0</v>
      </c>
      <c r="AF73" s="325">
        <f ca="1">IFERROR(__xludf.DUMMYFUNCTION("IMPORTRANGE(""https://docs.google.com/spreadsheets/d/12Q_U0nVnFdxDFwa0pej9xvx8ZvLC9Dpi_vRro_aiG5g/edit?usp=sharing"",""อ่างทอง!J294"")"),0)</f>
        <v>0</v>
      </c>
      <c r="AG73" s="326">
        <f t="shared" ca="1" si="18"/>
        <v>0</v>
      </c>
    </row>
    <row r="74" spans="1:33" ht="21" customHeight="1" x14ac:dyDescent="0.2">
      <c r="A74" s="377" t="s">
        <v>96</v>
      </c>
      <c r="B74" s="357"/>
      <c r="C74" s="104">
        <f t="shared" ca="1" si="0"/>
        <v>86270</v>
      </c>
      <c r="D74" s="62">
        <f t="shared" ref="D74:I74" ca="1" si="50">SUM(D75:D88)</f>
        <v>86270</v>
      </c>
      <c r="E74" s="62">
        <f t="shared" ca="1" si="50"/>
        <v>0</v>
      </c>
      <c r="F74" s="62">
        <f t="shared" ca="1" si="50"/>
        <v>86270</v>
      </c>
      <c r="G74" s="62">
        <f t="shared" ca="1" si="50"/>
        <v>0</v>
      </c>
      <c r="H74" s="62">
        <f t="shared" ca="1" si="50"/>
        <v>67210</v>
      </c>
      <c r="I74" s="62">
        <f t="shared" ca="1" si="50"/>
        <v>0</v>
      </c>
      <c r="J74" s="62">
        <f t="shared" ca="1" si="3"/>
        <v>40725</v>
      </c>
      <c r="K74" s="100">
        <f t="shared" ca="1" si="4"/>
        <v>47.206444882346119</v>
      </c>
      <c r="L74" s="62">
        <f ca="1">SUM(L75:L88)</f>
        <v>40725</v>
      </c>
      <c r="M74" s="101">
        <f t="shared" ca="1" si="5"/>
        <v>47.206444882346119</v>
      </c>
      <c r="N74" s="101">
        <f t="shared" ca="1" si="6"/>
        <v>60.593661657491445</v>
      </c>
      <c r="O74" s="102">
        <f ca="1">SUM(O75:O88)</f>
        <v>0</v>
      </c>
      <c r="P74" s="102">
        <f t="shared" ca="1" si="32"/>
        <v>0</v>
      </c>
      <c r="Q74" s="101">
        <f t="shared" ca="1" si="8"/>
        <v>0</v>
      </c>
      <c r="R74" s="327">
        <f t="shared" ref="R74:S74" ca="1" si="51">SUM(R75:R88)</f>
        <v>200</v>
      </c>
      <c r="S74" s="327">
        <f t="shared" ca="1" si="51"/>
        <v>50</v>
      </c>
      <c r="T74" s="328">
        <f t="shared" ca="1" si="27"/>
        <v>25</v>
      </c>
      <c r="U74" s="327">
        <f t="shared" ref="U74:V74" ca="1" si="52">SUM(U75:U88)</f>
        <v>20</v>
      </c>
      <c r="V74" s="327">
        <f t="shared" ca="1" si="52"/>
        <v>5</v>
      </c>
      <c r="W74" s="328">
        <f t="shared" ca="1" si="28"/>
        <v>25</v>
      </c>
      <c r="X74" s="327">
        <f t="shared" ref="X74:Y74" ca="1" si="53">SUM(X75:X88)</f>
        <v>20</v>
      </c>
      <c r="Y74" s="327">
        <f t="shared" ca="1" si="53"/>
        <v>15</v>
      </c>
      <c r="Z74" s="328">
        <f t="shared" ca="1" si="29"/>
        <v>75</v>
      </c>
      <c r="AA74" s="327">
        <f ca="1">SUM(AA75:AA88)</f>
        <v>15</v>
      </c>
      <c r="AB74" s="328">
        <f t="shared" ca="1" si="15"/>
        <v>75</v>
      </c>
      <c r="AC74" s="327">
        <f t="shared" ref="AC74:AD74" ca="1" si="54">SUM(AC75:AC88)</f>
        <v>20</v>
      </c>
      <c r="AD74" s="327">
        <f t="shared" ca="1" si="54"/>
        <v>5</v>
      </c>
      <c r="AE74" s="328">
        <f t="shared" ca="1" si="30"/>
        <v>25</v>
      </c>
      <c r="AF74" s="327">
        <f ca="1">SUM(AF75:AF88)</f>
        <v>5</v>
      </c>
      <c r="AG74" s="328">
        <f t="shared" ca="1" si="18"/>
        <v>25</v>
      </c>
    </row>
    <row r="75" spans="1:33" ht="21" customHeight="1" x14ac:dyDescent="0.2">
      <c r="A75" s="68">
        <v>1</v>
      </c>
      <c r="B75" s="69" t="s">
        <v>97</v>
      </c>
      <c r="C75" s="103">
        <f t="shared" ca="1" si="0"/>
        <v>22630</v>
      </c>
      <c r="D75" s="71">
        <f t="shared" ref="D75:D88" ca="1" si="55">+E75+F75</f>
        <v>22630</v>
      </c>
      <c r="E75" s="72">
        <f ca="1">IFERROR(__xludf.DUMMYFUNCTION("IMPORTRANGE(""https://docs.google.com/spreadsheets/d/1MeEWN-I1oV_STSDYn1IFDPWt_1FKiwhDph83XaGc0o0/edit?usp=sharing"",""งบพรบ!DJ75"")"),0)</f>
        <v>0</v>
      </c>
      <c r="F75" s="72">
        <f ca="1">IFERROR(__xludf.DUMMYFUNCTION("IMPORTRANGE(""https://docs.google.com/spreadsheets/d/1MeEWN-I1oV_STSDYn1IFDPWt_1FKiwhDph83XaGc0o0/edit?usp=sharing"",""งบพรบ!DK75"")"),22630)</f>
        <v>22630</v>
      </c>
      <c r="G75" s="105">
        <f ca="1">IFERROR(__xludf.DUMMYFUNCTION("IMPORTRANGE(""https://docs.google.com/spreadsheets/d/1MeEWN-I1oV_STSDYn1IFDPWt_1FKiwhDph83XaGc0o0/edit?usp=sharing"",""งบพรบ!DL75"")"),0)</f>
        <v>0</v>
      </c>
      <c r="H75" s="105">
        <f ca="1">IFERROR(__xludf.DUMMYFUNCTION("IMPORTRANGE(""https://docs.google.com/spreadsheets/d/1MeEWN-I1oV_STSDYn1IFDPWt_1FKiwhDph83XaGc0o0/edit?usp=sharing"",""งบพรบ!DN75"")"),22630)</f>
        <v>22630</v>
      </c>
      <c r="I75" s="105">
        <f ca="1">IFERROR(__xludf.DUMMYFUNCTION("IMPORTRANGE(""https://docs.google.com/spreadsheets/d/1MeEWN-I1oV_STSDYn1IFDPWt_1FKiwhDph83XaGc0o0/edit?usp=sharing"",""งบพรบ!DO75"")"),0)</f>
        <v>0</v>
      </c>
      <c r="J75" s="105">
        <f t="shared" ca="1" si="3"/>
        <v>19725</v>
      </c>
      <c r="K75" s="106">
        <f t="shared" ca="1" si="4"/>
        <v>87.163057887759607</v>
      </c>
      <c r="L75" s="82">
        <f ca="1">IFERROR(__xludf.DUMMYFUNCTION("IMPORTRANGE(""https://docs.google.com/spreadsheets/d/1MeEWN-I1oV_STSDYn1IFDPWt_1FKiwhDph83XaGc0o0/edit?usp=sharing"",""งบพรบ!DP75"")"),19725)</f>
        <v>19725</v>
      </c>
      <c r="M75" s="75">
        <f t="shared" ca="1" si="5"/>
        <v>87.163057887759607</v>
      </c>
      <c r="N75" s="75">
        <f t="shared" ca="1" si="6"/>
        <v>87.163057887759607</v>
      </c>
      <c r="O75" s="76">
        <f ca="1">IFERROR(__xludf.DUMMYFUNCTION("IMPORTRANGE(""https://docs.google.com/spreadsheets/d/1MeEWN-I1oV_STSDYn1IFDPWt_1FKiwhDph83XaGc0o0/edit?usp=sharing"",""งบพรบ!DQ75"")"),0)</f>
        <v>0</v>
      </c>
      <c r="P75" s="76">
        <f t="shared" ca="1" si="32"/>
        <v>0</v>
      </c>
      <c r="Q75" s="75">
        <f t="shared" ca="1" si="8"/>
        <v>0</v>
      </c>
      <c r="R75" s="321">
        <f ca="1">IFERROR(__xludf.DUMMYFUNCTION("IMPORTRANGE(""https://docs.google.com/spreadsheets/d/1kC41EOXpGBFOW658Fs3oD8beYlym0-zO54WY-2Qnp9I/edit?usp=sharing"",""กระบี่!I287"")"),50)</f>
        <v>50</v>
      </c>
      <c r="S75" s="321">
        <f ca="1">IFERROR(__xludf.DUMMYFUNCTION("IMPORTRANGE(""https://docs.google.com/spreadsheets/d/1kC41EOXpGBFOW658Fs3oD8beYlym0-zO54WY-2Qnp9I/edit?usp=sharing"",""กระบี่!J287"")"),50)</f>
        <v>50</v>
      </c>
      <c r="T75" s="322">
        <f t="shared" ca="1" si="27"/>
        <v>100</v>
      </c>
      <c r="U75" s="321">
        <f ca="1">IFERROR(__xludf.DUMMYFUNCTION("IMPORTRANGE(""https://docs.google.com/spreadsheets/d/1kC41EOXpGBFOW658Fs3oD8beYlym0-zO54WY-2Qnp9I/edit?usp=sharing"",""กระบี่!I288"")"),5)</f>
        <v>5</v>
      </c>
      <c r="V75" s="321">
        <f ca="1">IFERROR(__xludf.DUMMYFUNCTION("IMPORTRANGE(""https://docs.google.com/spreadsheets/d/1kC41EOXpGBFOW658Fs3oD8beYlym0-zO54WY-2Qnp9I/edit?usp=sharing"",""กระบี่!J288"")"),5)</f>
        <v>5</v>
      </c>
      <c r="W75" s="322">
        <f t="shared" ca="1" si="28"/>
        <v>100</v>
      </c>
      <c r="X75" s="321">
        <f ca="1">IFERROR(__xludf.DUMMYFUNCTION("IMPORTRANGE(""https://docs.google.com/spreadsheets/d/1kC41EOXpGBFOW658Fs3oD8beYlym0-zO54WY-2Qnp9I/edit?usp=sharing"",""กระบี่!I290"")"),5)</f>
        <v>5</v>
      </c>
      <c r="Y75" s="321">
        <f ca="1">IFERROR(__xludf.DUMMYFUNCTION("IMPORTRANGE(""https://docs.google.com/spreadsheets/d/1kC41EOXpGBFOW658Fs3oD8beYlym0-zO54WY-2Qnp9I/edit?usp=sharing"",""กระบี่!J290"")"),5)</f>
        <v>5</v>
      </c>
      <c r="Z75" s="322">
        <f t="shared" ca="1" si="29"/>
        <v>100</v>
      </c>
      <c r="AA75" s="321">
        <f ca="1">IFERROR(__xludf.DUMMYFUNCTION("IMPORTRANGE(""https://docs.google.com/spreadsheets/d/1kC41EOXpGBFOW658Fs3oD8beYlym0-zO54WY-2Qnp9I/edit?usp=sharing"",""กระบี่!J291"")"),5)</f>
        <v>5</v>
      </c>
      <c r="AB75" s="322">
        <f t="shared" ca="1" si="15"/>
        <v>100</v>
      </c>
      <c r="AC75" s="321">
        <f ca="1">IFERROR(__xludf.DUMMYFUNCTION("IMPORTRANGE(""https://docs.google.com/spreadsheets/d/1kC41EOXpGBFOW658Fs3oD8beYlym0-zO54WY-2Qnp9I/edit?usp=sharing"",""กระบี่!I293"")"),5)</f>
        <v>5</v>
      </c>
      <c r="AD75" s="321">
        <f ca="1">IFERROR(__xludf.DUMMYFUNCTION("IMPORTRANGE(""https://docs.google.com/spreadsheets/d/1kC41EOXpGBFOW658Fs3oD8beYlym0-zO54WY-2Qnp9I/edit?usp=sharing"",""กระบี่!J293"")"),5)</f>
        <v>5</v>
      </c>
      <c r="AE75" s="322">
        <f t="shared" ca="1" si="30"/>
        <v>100</v>
      </c>
      <c r="AF75" s="321">
        <f ca="1">IFERROR(__xludf.DUMMYFUNCTION("IMPORTRANGE(""https://docs.google.com/spreadsheets/d/1kC41EOXpGBFOW658Fs3oD8beYlym0-zO54WY-2Qnp9I/edit?usp=sharing"",""กระบี่!J294"")"),5)</f>
        <v>5</v>
      </c>
      <c r="AG75" s="322">
        <f t="shared" ca="1" si="18"/>
        <v>100</v>
      </c>
    </row>
    <row r="76" spans="1:33" ht="21" customHeight="1" x14ac:dyDescent="0.2">
      <c r="A76" s="78">
        <v>2</v>
      </c>
      <c r="B76" s="79" t="s">
        <v>98</v>
      </c>
      <c r="C76" s="80">
        <f t="shared" ca="1" si="0"/>
        <v>22630</v>
      </c>
      <c r="D76" s="81">
        <f t="shared" ca="1" si="55"/>
        <v>22630</v>
      </c>
      <c r="E76" s="82">
        <f ca="1">IFERROR(__xludf.DUMMYFUNCTION("IMPORTRANGE(""https://docs.google.com/spreadsheets/d/1MeEWN-I1oV_STSDYn1IFDPWt_1FKiwhDph83XaGc0o0/edit?usp=sharing"",""งบพรบ!DJ76"")"),0)</f>
        <v>0</v>
      </c>
      <c r="F76" s="82">
        <f ca="1">IFERROR(__xludf.DUMMYFUNCTION("IMPORTRANGE(""https://docs.google.com/spreadsheets/d/1MeEWN-I1oV_STSDYn1IFDPWt_1FKiwhDph83XaGc0o0/edit?usp=sharing"",""งบพรบ!DK76"")"),22630)</f>
        <v>22630</v>
      </c>
      <c r="G76" s="82">
        <f ca="1">IFERROR(__xludf.DUMMYFUNCTION("IMPORTRANGE(""https://docs.google.com/spreadsheets/d/1MeEWN-I1oV_STSDYn1IFDPWt_1FKiwhDph83XaGc0o0/edit?usp=sharing"",""งบพรบ!DL76"")"),0)</f>
        <v>0</v>
      </c>
      <c r="H76" s="82">
        <f ca="1">IFERROR(__xludf.DUMMYFUNCTION("IMPORTRANGE(""https://docs.google.com/spreadsheets/d/1MeEWN-I1oV_STSDYn1IFDPWt_1FKiwhDph83XaGc0o0/edit?usp=sharing"",""งบพรบ!DN76"")"),22630)</f>
        <v>22630</v>
      </c>
      <c r="I76" s="82">
        <f ca="1">IFERROR(__xludf.DUMMYFUNCTION("IMPORTRANGE(""https://docs.google.com/spreadsheets/d/1MeEWN-I1oV_STSDYn1IFDPWt_1FKiwhDph83XaGc0o0/edit?usp=sharing"",""งบพรบ!DO76"")"),0)</f>
        <v>0</v>
      </c>
      <c r="J76" s="82">
        <f t="shared" ca="1" si="3"/>
        <v>0</v>
      </c>
      <c r="K76" s="83">
        <f t="shared" ca="1" si="4"/>
        <v>0</v>
      </c>
      <c r="L76" s="82">
        <f ca="1">IFERROR(__xludf.DUMMYFUNCTION("IMPORTRANGE(""https://docs.google.com/spreadsheets/d/1MeEWN-I1oV_STSDYn1IFDPWt_1FKiwhDph83XaGc0o0/edit?usp=sharing"",""งบพรบ!DP76"")"),0)</f>
        <v>0</v>
      </c>
      <c r="M76" s="84">
        <f t="shared" ca="1" si="5"/>
        <v>0</v>
      </c>
      <c r="N76" s="84">
        <f t="shared" ca="1" si="6"/>
        <v>0</v>
      </c>
      <c r="O76" s="85">
        <f ca="1">IFERROR(__xludf.DUMMYFUNCTION("IMPORTRANGE(""https://docs.google.com/spreadsheets/d/1MeEWN-I1oV_STSDYn1IFDPWt_1FKiwhDph83XaGc0o0/edit?usp=sharing"",""งบพรบ!DQ76"")"),0)</f>
        <v>0</v>
      </c>
      <c r="P76" s="85">
        <f t="shared" ca="1" si="32"/>
        <v>0</v>
      </c>
      <c r="Q76" s="84">
        <f t="shared" ca="1" si="8"/>
        <v>0</v>
      </c>
      <c r="R76" s="323">
        <f ca="1">IFERROR(__xludf.DUMMYFUNCTION("IMPORTRANGE(""https://docs.google.com/spreadsheets/d/1FbzMZY_f3MDiEuK7RpCQKrilJ_kpX0Wm7QBZ1L7EjIU/edit?usp=sharing"",""ชุมพร!I287"")"),50)</f>
        <v>50</v>
      </c>
      <c r="S76" s="323">
        <f ca="1">IFERROR(__xludf.DUMMYFUNCTION("IMPORTRANGE(""https://docs.google.com/spreadsheets/d/1FbzMZY_f3MDiEuK7RpCQKrilJ_kpX0Wm7QBZ1L7EjIU/edit?usp=sharing"",""ชุมพร!J287"")"),0)</f>
        <v>0</v>
      </c>
      <c r="T76" s="324">
        <f t="shared" ca="1" si="27"/>
        <v>0</v>
      </c>
      <c r="U76" s="323">
        <f ca="1">IFERROR(__xludf.DUMMYFUNCTION("IMPORTRANGE(""https://docs.google.com/spreadsheets/d/1FbzMZY_f3MDiEuK7RpCQKrilJ_kpX0Wm7QBZ1L7EjIU/edit?usp=sharing"",""ชุมพร!I288"")"),5)</f>
        <v>5</v>
      </c>
      <c r="V76" s="323">
        <f ca="1">IFERROR(__xludf.DUMMYFUNCTION("IMPORTRANGE(""https://docs.google.com/spreadsheets/d/1FbzMZY_f3MDiEuK7RpCQKrilJ_kpX0Wm7QBZ1L7EjIU/edit?usp=sharing"",""ชุมพร!J288"")"),0)</f>
        <v>0</v>
      </c>
      <c r="W76" s="324">
        <f t="shared" ca="1" si="28"/>
        <v>0</v>
      </c>
      <c r="X76" s="323">
        <f ca="1">IFERROR(__xludf.DUMMYFUNCTION("IMPORTRANGE(""https://docs.google.com/spreadsheets/d/1FbzMZY_f3MDiEuK7RpCQKrilJ_kpX0Wm7QBZ1L7EjIU/edit?usp=sharing"",""ชุมพร!I290"")"),5)</f>
        <v>5</v>
      </c>
      <c r="Y76" s="323">
        <f ca="1">IFERROR(__xludf.DUMMYFUNCTION("IMPORTRANGE(""https://docs.google.com/spreadsheets/d/1FbzMZY_f3MDiEuK7RpCQKrilJ_kpX0Wm7QBZ1L7EjIU/edit?usp=sharing"",""ชุมพร!J290"")"),0)</f>
        <v>0</v>
      </c>
      <c r="Z76" s="324">
        <f t="shared" ca="1" si="29"/>
        <v>0</v>
      </c>
      <c r="AA76" s="323">
        <f ca="1">IFERROR(__xludf.DUMMYFUNCTION("IMPORTRANGE(""https://docs.google.com/spreadsheets/d/1FbzMZY_f3MDiEuK7RpCQKrilJ_kpX0Wm7QBZ1L7EjIU/edit?usp=sharing"",""ชุมพร!J291"")"),0)</f>
        <v>0</v>
      </c>
      <c r="AB76" s="324">
        <f t="shared" ca="1" si="15"/>
        <v>0</v>
      </c>
      <c r="AC76" s="323">
        <f ca="1">IFERROR(__xludf.DUMMYFUNCTION("IMPORTRANGE(""https://docs.google.com/spreadsheets/d/1FbzMZY_f3MDiEuK7RpCQKrilJ_kpX0Wm7QBZ1L7EjIU/edit?usp=sharing"",""ชุมพร!I293"")"),5)</f>
        <v>5</v>
      </c>
      <c r="AD76" s="323">
        <f ca="1">IFERROR(__xludf.DUMMYFUNCTION("IMPORTRANGE(""https://docs.google.com/spreadsheets/d/1FbzMZY_f3MDiEuK7RpCQKrilJ_kpX0Wm7QBZ1L7EjIU/edit?usp=sharing"",""ชุมพร!J293"")"),0)</f>
        <v>0</v>
      </c>
      <c r="AE76" s="324">
        <f t="shared" ca="1" si="30"/>
        <v>0</v>
      </c>
      <c r="AF76" s="323">
        <f ca="1">IFERROR(__xludf.DUMMYFUNCTION("IMPORTRANGE(""https://docs.google.com/spreadsheets/d/1FbzMZY_f3MDiEuK7RpCQKrilJ_kpX0Wm7QBZ1L7EjIU/edit?usp=sharing"",""ชุมพร!J294"")"),0)</f>
        <v>0</v>
      </c>
      <c r="AG76" s="324">
        <f t="shared" ca="1" si="18"/>
        <v>0</v>
      </c>
    </row>
    <row r="77" spans="1:33" ht="21" customHeight="1" x14ac:dyDescent="0.2">
      <c r="A77" s="78">
        <v>3</v>
      </c>
      <c r="B77" s="79" t="s">
        <v>99</v>
      </c>
      <c r="C77" s="80">
        <f t="shared" ca="1" si="0"/>
        <v>0</v>
      </c>
      <c r="D77" s="81">
        <f t="shared" ca="1" si="55"/>
        <v>0</v>
      </c>
      <c r="E77" s="82">
        <f ca="1">IFERROR(__xludf.DUMMYFUNCTION("IMPORTRANGE(""https://docs.google.com/spreadsheets/d/1MeEWN-I1oV_STSDYn1IFDPWt_1FKiwhDph83XaGc0o0/edit?usp=sharing"",""งบพรบ!DJ77"")"),0)</f>
        <v>0</v>
      </c>
      <c r="F77" s="82">
        <f ca="1">IFERROR(__xludf.DUMMYFUNCTION("IMPORTRANGE(""https://docs.google.com/spreadsheets/d/1MeEWN-I1oV_STSDYn1IFDPWt_1FKiwhDph83XaGc0o0/edit?usp=sharing"",""งบพรบ!DK77"")"),0)</f>
        <v>0</v>
      </c>
      <c r="G77" s="82">
        <f ca="1">IFERROR(__xludf.DUMMYFUNCTION("IMPORTRANGE(""https://docs.google.com/spreadsheets/d/1MeEWN-I1oV_STSDYn1IFDPWt_1FKiwhDph83XaGc0o0/edit?usp=sharing"",""งบพรบ!DL77"")"),0)</f>
        <v>0</v>
      </c>
      <c r="H77" s="82">
        <f ca="1">IFERROR(__xludf.DUMMYFUNCTION("IMPORTRANGE(""https://docs.google.com/spreadsheets/d/1MeEWN-I1oV_STSDYn1IFDPWt_1FKiwhDph83XaGc0o0/edit?usp=sharing"",""งบพรบ!DN77"")"),0)</f>
        <v>0</v>
      </c>
      <c r="I77" s="82">
        <f ca="1">IFERROR(__xludf.DUMMYFUNCTION("IMPORTRANGE(""https://docs.google.com/spreadsheets/d/1MeEWN-I1oV_STSDYn1IFDPWt_1FKiwhDph83XaGc0o0/edit?usp=sharing"",""งบพรบ!DO77"")"),0)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IFERROR(__xludf.DUMMYFUNCTION("IMPORTRANGE(""https://docs.google.com/spreadsheets/d/1MeEWN-I1oV_STSDYn1IFDPWt_1FKiwhDph83XaGc0o0/edit?usp=sharing"",""งบพรบ!DP77"")"),0)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IFERROR(__xludf.DUMMYFUNCTION("IMPORTRANGE(""https://docs.google.com/spreadsheets/d/1MeEWN-I1oV_STSDYn1IFDPWt_1FKiwhDph83XaGc0o0/edit?usp=sharing"",""งบพรบ!DQ77"")"),0)</f>
        <v>0</v>
      </c>
      <c r="P77" s="85">
        <f t="shared" ca="1" si="32"/>
        <v>0</v>
      </c>
      <c r="Q77" s="84">
        <f t="shared" ca="1" si="8"/>
        <v>0</v>
      </c>
      <c r="R77" s="323">
        <f ca="1">IFERROR(__xludf.DUMMYFUNCTION("IMPORTRANGE(""https://docs.google.com/spreadsheets/d/1v5sN-00LrXuhBxw4dkh2GrG_z4l5oAqOdJRBCsUyMaM/edit?usp=sharing"",""ตรัง!I287"")"),0)</f>
        <v>0</v>
      </c>
      <c r="S77" s="323">
        <f ca="1">IFERROR(__xludf.DUMMYFUNCTION("IMPORTRANGE(""https://docs.google.com/spreadsheets/d/1v5sN-00LrXuhBxw4dkh2GrG_z4l5oAqOdJRBCsUyMaM/edit?usp=sharing"",""ตรัง!J287"")"),0)</f>
        <v>0</v>
      </c>
      <c r="T77" s="324">
        <f t="shared" ca="1" si="27"/>
        <v>0</v>
      </c>
      <c r="U77" s="323">
        <f ca="1">IFERROR(__xludf.DUMMYFUNCTION("IMPORTRANGE(""https://docs.google.com/spreadsheets/d/1v5sN-00LrXuhBxw4dkh2GrG_z4l5oAqOdJRBCsUyMaM/edit?usp=sharing"",""ตรัง!I288"")"),0)</f>
        <v>0</v>
      </c>
      <c r="V77" s="323">
        <f ca="1">IFERROR(__xludf.DUMMYFUNCTION("IMPORTRANGE(""https://docs.google.com/spreadsheets/d/1v5sN-00LrXuhBxw4dkh2GrG_z4l5oAqOdJRBCsUyMaM/edit?usp=sharing"",""ตรัง!J288"")"),0)</f>
        <v>0</v>
      </c>
      <c r="W77" s="324">
        <f t="shared" ca="1" si="28"/>
        <v>0</v>
      </c>
      <c r="X77" s="323">
        <f ca="1">IFERROR(__xludf.DUMMYFUNCTION("IMPORTRANGE(""https://docs.google.com/spreadsheets/d/1v5sN-00LrXuhBxw4dkh2GrG_z4l5oAqOdJRBCsUyMaM/edit?usp=sharing"",""ตรัง!I290"")"),0)</f>
        <v>0</v>
      </c>
      <c r="Y77" s="323">
        <f ca="1">IFERROR(__xludf.DUMMYFUNCTION("IMPORTRANGE(""https://docs.google.com/spreadsheets/d/1v5sN-00LrXuhBxw4dkh2GrG_z4l5oAqOdJRBCsUyMaM/edit?usp=sharing"",""ตรัง!J290"")"),0)</f>
        <v>0</v>
      </c>
      <c r="Z77" s="324">
        <f t="shared" ca="1" si="29"/>
        <v>0</v>
      </c>
      <c r="AA77" s="323">
        <f ca="1">IFERROR(__xludf.DUMMYFUNCTION("IMPORTRANGE(""https://docs.google.com/spreadsheets/d/1v5sN-00LrXuhBxw4dkh2GrG_z4l5oAqOdJRBCsUyMaM/edit?usp=sharing"",""ตรัง!J291"")"),0)</f>
        <v>0</v>
      </c>
      <c r="AB77" s="324">
        <f t="shared" ca="1" si="15"/>
        <v>0</v>
      </c>
      <c r="AC77" s="323">
        <f ca="1">IFERROR(__xludf.DUMMYFUNCTION("IMPORTRANGE(""https://docs.google.com/spreadsheets/d/1v5sN-00LrXuhBxw4dkh2GrG_z4l5oAqOdJRBCsUyMaM/edit?usp=sharing"",""ตรัง!I293"")"),0)</f>
        <v>0</v>
      </c>
      <c r="AD77" s="323">
        <f ca="1">IFERROR(__xludf.DUMMYFUNCTION("IMPORTRANGE(""https://docs.google.com/spreadsheets/d/1v5sN-00LrXuhBxw4dkh2GrG_z4l5oAqOdJRBCsUyMaM/edit?usp=sharing"",""ตรัง!J293"")"),0)</f>
        <v>0</v>
      </c>
      <c r="AE77" s="324">
        <f t="shared" ca="1" si="30"/>
        <v>0</v>
      </c>
      <c r="AF77" s="323">
        <f ca="1">IFERROR(__xludf.DUMMYFUNCTION("IMPORTRANGE(""https://docs.google.com/spreadsheets/d/1v5sN-00LrXuhBxw4dkh2GrG_z4l5oAqOdJRBCsUyMaM/edit?usp=sharing"",""ตรัง!J294"")"),0)</f>
        <v>0</v>
      </c>
      <c r="AG77" s="324">
        <f t="shared" ca="1" si="18"/>
        <v>0</v>
      </c>
    </row>
    <row r="78" spans="1:33" ht="21" customHeight="1" x14ac:dyDescent="0.2">
      <c r="A78" s="78">
        <v>4</v>
      </c>
      <c r="B78" s="79" t="s">
        <v>100</v>
      </c>
      <c r="C78" s="80">
        <f t="shared" ca="1" si="0"/>
        <v>0</v>
      </c>
      <c r="D78" s="81">
        <f t="shared" ca="1" si="55"/>
        <v>0</v>
      </c>
      <c r="E78" s="82">
        <f ca="1">IFERROR(__xludf.DUMMYFUNCTION("IMPORTRANGE(""https://docs.google.com/spreadsheets/d/1MeEWN-I1oV_STSDYn1IFDPWt_1FKiwhDph83XaGc0o0/edit?usp=sharing"",""งบพรบ!DJ78"")"),0)</f>
        <v>0</v>
      </c>
      <c r="F78" s="82">
        <f ca="1">IFERROR(__xludf.DUMMYFUNCTION("IMPORTRANGE(""https://docs.google.com/spreadsheets/d/1MeEWN-I1oV_STSDYn1IFDPWt_1FKiwhDph83XaGc0o0/edit?usp=sharing"",""งบพรบ!DK78"")"),0)</f>
        <v>0</v>
      </c>
      <c r="G78" s="82">
        <f ca="1">IFERROR(__xludf.DUMMYFUNCTION("IMPORTRANGE(""https://docs.google.com/spreadsheets/d/1MeEWN-I1oV_STSDYn1IFDPWt_1FKiwhDph83XaGc0o0/edit?usp=sharing"",""งบพรบ!DL78"")"),0)</f>
        <v>0</v>
      </c>
      <c r="H78" s="82">
        <f ca="1">IFERROR(__xludf.DUMMYFUNCTION("IMPORTRANGE(""https://docs.google.com/spreadsheets/d/1MeEWN-I1oV_STSDYn1IFDPWt_1FKiwhDph83XaGc0o0/edit?usp=sharing"",""งบพรบ!DN78"")"),0)</f>
        <v>0</v>
      </c>
      <c r="I78" s="82">
        <f ca="1">IFERROR(__xludf.DUMMYFUNCTION("IMPORTRANGE(""https://docs.google.com/spreadsheets/d/1MeEWN-I1oV_STSDYn1IFDPWt_1FKiwhDph83XaGc0o0/edit?usp=sharing"",""งบพรบ!DO78"")"),0)</f>
        <v>0</v>
      </c>
      <c r="J78" s="82">
        <f t="shared" ca="1" si="3"/>
        <v>0</v>
      </c>
      <c r="K78" s="83">
        <f t="shared" ca="1" si="4"/>
        <v>0</v>
      </c>
      <c r="L78" s="82">
        <f ca="1">IFERROR(__xludf.DUMMYFUNCTION("IMPORTRANGE(""https://docs.google.com/spreadsheets/d/1MeEWN-I1oV_STSDYn1IFDPWt_1FKiwhDph83XaGc0o0/edit?usp=sharing"",""งบพรบ!DP78"")"),0)</f>
        <v>0</v>
      </c>
      <c r="M78" s="84">
        <f t="shared" ca="1" si="5"/>
        <v>0</v>
      </c>
      <c r="N78" s="84">
        <f t="shared" ca="1" si="6"/>
        <v>0</v>
      </c>
      <c r="O78" s="85">
        <f ca="1">IFERROR(__xludf.DUMMYFUNCTION("IMPORTRANGE(""https://docs.google.com/spreadsheets/d/1MeEWN-I1oV_STSDYn1IFDPWt_1FKiwhDph83XaGc0o0/edit?usp=sharing"",""งบพรบ!DQ78"")"),0)</f>
        <v>0</v>
      </c>
      <c r="P78" s="85">
        <f t="shared" ca="1" si="32"/>
        <v>0</v>
      </c>
      <c r="Q78" s="84">
        <f t="shared" ca="1" si="8"/>
        <v>0</v>
      </c>
      <c r="R78" s="323">
        <f ca="1">IFERROR(__xludf.DUMMYFUNCTION("IMPORTRANGE(""https://docs.google.com/spreadsheets/d/1T5rRTzFc79aSIvqnzkZNvwPstq829QYz_xALlO1Z0s8/edit?usp=sharing"",""นครศรีธรรมราช!I287"")"),0)</f>
        <v>0</v>
      </c>
      <c r="S78" s="323">
        <f ca="1">IFERROR(__xludf.DUMMYFUNCTION("IMPORTRANGE(""https://docs.google.com/spreadsheets/d/1T5rRTzFc79aSIvqnzkZNvwPstq829QYz_xALlO1Z0s8/edit?usp=sharing"",""นครศรีธรรมราช!J287"")"),0)</f>
        <v>0</v>
      </c>
      <c r="T78" s="324">
        <f t="shared" ca="1" si="27"/>
        <v>0</v>
      </c>
      <c r="U78" s="323">
        <f ca="1">IFERROR(__xludf.DUMMYFUNCTION("IMPORTRANGE(""https://docs.google.com/spreadsheets/d/1T5rRTzFc79aSIvqnzkZNvwPstq829QYz_xALlO1Z0s8/edit?usp=sharing"",""นครศรีธรรมราช!I288"")"),0)</f>
        <v>0</v>
      </c>
      <c r="V78" s="323">
        <f ca="1">IFERROR(__xludf.DUMMYFUNCTION("IMPORTRANGE(""https://docs.google.com/spreadsheets/d/1T5rRTzFc79aSIvqnzkZNvwPstq829QYz_xALlO1Z0s8/edit?usp=sharing"",""นครศรีธรรมราช!J288"")"),0)</f>
        <v>0</v>
      </c>
      <c r="W78" s="324">
        <f t="shared" ca="1" si="28"/>
        <v>0</v>
      </c>
      <c r="X78" s="323">
        <f ca="1">IFERROR(__xludf.DUMMYFUNCTION("IMPORTRANGE(""https://docs.google.com/spreadsheets/d/1T5rRTzFc79aSIvqnzkZNvwPstq829QYz_xALlO1Z0s8/edit?usp=sharing"",""นครศรีธรรมราช!I290"")"),0)</f>
        <v>0</v>
      </c>
      <c r="Y78" s="323">
        <f ca="1">IFERROR(__xludf.DUMMYFUNCTION("IMPORTRANGE(""https://docs.google.com/spreadsheets/d/1T5rRTzFc79aSIvqnzkZNvwPstq829QYz_xALlO1Z0s8/edit?usp=sharing"",""นครศรีธรรมราช!J290"")"),0)</f>
        <v>0</v>
      </c>
      <c r="Z78" s="324">
        <f t="shared" ca="1" si="29"/>
        <v>0</v>
      </c>
      <c r="AA78" s="323">
        <f ca="1">IFERROR(__xludf.DUMMYFUNCTION("IMPORTRANGE(""https://docs.google.com/spreadsheets/d/1T5rRTzFc79aSIvqnzkZNvwPstq829QYz_xALlO1Z0s8/edit?usp=sharing"",""นครศรีธรรมราช!J291"")"),0)</f>
        <v>0</v>
      </c>
      <c r="AB78" s="324">
        <f t="shared" ca="1" si="15"/>
        <v>0</v>
      </c>
      <c r="AC78" s="323">
        <f ca="1">IFERROR(__xludf.DUMMYFUNCTION("IMPORTRANGE(""https://docs.google.com/spreadsheets/d/1T5rRTzFc79aSIvqnzkZNvwPstq829QYz_xALlO1Z0s8/edit?usp=sharing"",""นครศรีธรรมราช!I293"")"),0)</f>
        <v>0</v>
      </c>
      <c r="AD78" s="323">
        <f ca="1">IFERROR(__xludf.DUMMYFUNCTION("IMPORTRANGE(""https://docs.google.com/spreadsheets/d/1T5rRTzFc79aSIvqnzkZNvwPstq829QYz_xALlO1Z0s8/edit?usp=sharing"",""นครศรีธรรมราช!J293"")"),0)</f>
        <v>0</v>
      </c>
      <c r="AE78" s="324">
        <f t="shared" ca="1" si="30"/>
        <v>0</v>
      </c>
      <c r="AF78" s="323">
        <f ca="1">IFERROR(__xludf.DUMMYFUNCTION("IMPORTRANGE(""https://docs.google.com/spreadsheets/d/1T5rRTzFc79aSIvqnzkZNvwPstq829QYz_xALlO1Z0s8/edit?usp=sharing"",""นครศรีธรรมราช!J294"")"),0)</f>
        <v>0</v>
      </c>
      <c r="AG78" s="324">
        <f t="shared" ca="1" si="18"/>
        <v>0</v>
      </c>
    </row>
    <row r="79" spans="1:33" ht="21" customHeight="1" x14ac:dyDescent="0.2">
      <c r="A79" s="78">
        <v>5</v>
      </c>
      <c r="B79" s="79" t="s">
        <v>101</v>
      </c>
      <c r="C79" s="80">
        <f t="shared" ca="1" si="0"/>
        <v>0</v>
      </c>
      <c r="D79" s="81">
        <f t="shared" ca="1" si="55"/>
        <v>0</v>
      </c>
      <c r="E79" s="82">
        <f ca="1">IFERROR(__xludf.DUMMYFUNCTION("IMPORTRANGE(""https://docs.google.com/spreadsheets/d/1MeEWN-I1oV_STSDYn1IFDPWt_1FKiwhDph83XaGc0o0/edit?usp=sharing"",""งบพรบ!DJ79"")"),0)</f>
        <v>0</v>
      </c>
      <c r="F79" s="82">
        <f ca="1">IFERROR(__xludf.DUMMYFUNCTION("IMPORTRANGE(""https://docs.google.com/spreadsheets/d/1MeEWN-I1oV_STSDYn1IFDPWt_1FKiwhDph83XaGc0o0/edit?usp=sharing"",""งบพรบ!DK79"")"),0)</f>
        <v>0</v>
      </c>
      <c r="G79" s="82">
        <f ca="1">IFERROR(__xludf.DUMMYFUNCTION("IMPORTRANGE(""https://docs.google.com/spreadsheets/d/1MeEWN-I1oV_STSDYn1IFDPWt_1FKiwhDph83XaGc0o0/edit?usp=sharing"",""งบพรบ!DL79"")"),0)</f>
        <v>0</v>
      </c>
      <c r="H79" s="82">
        <f ca="1">IFERROR(__xludf.DUMMYFUNCTION("IMPORTRANGE(""https://docs.google.com/spreadsheets/d/1MeEWN-I1oV_STSDYn1IFDPWt_1FKiwhDph83XaGc0o0/edit?usp=sharing"",""งบพรบ!DN79"")"),0)</f>
        <v>0</v>
      </c>
      <c r="I79" s="82">
        <f ca="1">IFERROR(__xludf.DUMMYFUNCTION("IMPORTRANGE(""https://docs.google.com/spreadsheets/d/1MeEWN-I1oV_STSDYn1IFDPWt_1FKiwhDph83XaGc0o0/edit?usp=sharing"",""งบพรบ!DO79"")"),0)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IFERROR(__xludf.DUMMYFUNCTION("IMPORTRANGE(""https://docs.google.com/spreadsheets/d/1MeEWN-I1oV_STSDYn1IFDPWt_1FKiwhDph83XaGc0o0/edit?usp=sharing"",""งบพรบ!DP79"")"),0)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IFERROR(__xludf.DUMMYFUNCTION("IMPORTRANGE(""https://docs.google.com/spreadsheets/d/1MeEWN-I1oV_STSDYn1IFDPWt_1FKiwhDph83XaGc0o0/edit?usp=sharing"",""งบพรบ!DQ79"")"),0)</f>
        <v>0</v>
      </c>
      <c r="P79" s="85">
        <f t="shared" ca="1" si="32"/>
        <v>0</v>
      </c>
      <c r="Q79" s="84">
        <f t="shared" ca="1" si="8"/>
        <v>0</v>
      </c>
      <c r="R79" s="323">
        <f ca="1">IFERROR(__xludf.DUMMYFUNCTION("IMPORTRANGE(""https://docs.google.com/spreadsheets/d/1BeghqumK0IvCmRd2QOy6_afsZq7ZtAGrSnVJy2u7WmY/edit?usp=sharing"",""นราธิวาส!I287"")"),0)</f>
        <v>0</v>
      </c>
      <c r="S79" s="323">
        <f ca="1">IFERROR(__xludf.DUMMYFUNCTION("IMPORTRANGE(""https://docs.google.com/spreadsheets/d/1BeghqumK0IvCmRd2QOy6_afsZq7ZtAGrSnVJy2u7WmY/edit?usp=sharing"",""นราธิวาส!J287"")"),0)</f>
        <v>0</v>
      </c>
      <c r="T79" s="324">
        <f t="shared" ca="1" si="27"/>
        <v>0</v>
      </c>
      <c r="U79" s="323">
        <f ca="1">IFERROR(__xludf.DUMMYFUNCTION("IMPORTRANGE(""https://docs.google.com/spreadsheets/d/1BeghqumK0IvCmRd2QOy6_afsZq7ZtAGrSnVJy2u7WmY/edit?usp=sharing"",""นราธิวาส!I288"")"),0)</f>
        <v>0</v>
      </c>
      <c r="V79" s="323">
        <f ca="1">IFERROR(__xludf.DUMMYFUNCTION("IMPORTRANGE(""https://docs.google.com/spreadsheets/d/1BeghqumK0IvCmRd2QOy6_afsZq7ZtAGrSnVJy2u7WmY/edit?usp=sharing"",""นราธิวาส!J288"")"),0)</f>
        <v>0</v>
      </c>
      <c r="W79" s="324">
        <f t="shared" ca="1" si="28"/>
        <v>0</v>
      </c>
      <c r="X79" s="323">
        <f ca="1">IFERROR(__xludf.DUMMYFUNCTION("IMPORTRANGE(""https://docs.google.com/spreadsheets/d/1BeghqumK0IvCmRd2QOy6_afsZq7ZtAGrSnVJy2u7WmY/edit?usp=sharing"",""นราธิวาส!I290"")"),0)</f>
        <v>0</v>
      </c>
      <c r="Y79" s="323">
        <f ca="1">IFERROR(__xludf.DUMMYFUNCTION("IMPORTRANGE(""https://docs.google.com/spreadsheets/d/1BeghqumK0IvCmRd2QOy6_afsZq7ZtAGrSnVJy2u7WmY/edit?usp=sharing"",""นราธิวาส!J290"")"),0)</f>
        <v>0</v>
      </c>
      <c r="Z79" s="324">
        <f t="shared" ca="1" si="29"/>
        <v>0</v>
      </c>
      <c r="AA79" s="323">
        <f ca="1">IFERROR(__xludf.DUMMYFUNCTION("IMPORTRANGE(""https://docs.google.com/spreadsheets/d/1BeghqumK0IvCmRd2QOy6_afsZq7ZtAGrSnVJy2u7WmY/edit?usp=sharing"",""นราธิวาส!J291"")"),0)</f>
        <v>0</v>
      </c>
      <c r="AB79" s="324">
        <f t="shared" ca="1" si="15"/>
        <v>0</v>
      </c>
      <c r="AC79" s="323">
        <f ca="1">IFERROR(__xludf.DUMMYFUNCTION("IMPORTRANGE(""https://docs.google.com/spreadsheets/d/1BeghqumK0IvCmRd2QOy6_afsZq7ZtAGrSnVJy2u7WmY/edit?usp=sharing"",""นราธิวาส!I293"")"),0)</f>
        <v>0</v>
      </c>
      <c r="AD79" s="323">
        <f ca="1">IFERROR(__xludf.DUMMYFUNCTION("IMPORTRANGE(""https://docs.google.com/spreadsheets/d/1BeghqumK0IvCmRd2QOy6_afsZq7ZtAGrSnVJy2u7WmY/edit?usp=sharing"",""นราธิวาส!J293"")"),0)</f>
        <v>0</v>
      </c>
      <c r="AE79" s="324">
        <f t="shared" ca="1" si="30"/>
        <v>0</v>
      </c>
      <c r="AF79" s="323">
        <f ca="1">IFERROR(__xludf.DUMMYFUNCTION("IMPORTRANGE(""https://docs.google.com/spreadsheets/d/1BeghqumK0IvCmRd2QOy6_afsZq7ZtAGrSnVJy2u7WmY/edit?usp=sharing"",""นราธิวาส!J294"")"),0)</f>
        <v>0</v>
      </c>
      <c r="AG79" s="324">
        <f t="shared" ca="1" si="18"/>
        <v>0</v>
      </c>
    </row>
    <row r="80" spans="1:33" ht="21" customHeight="1" x14ac:dyDescent="0.2">
      <c r="A80" s="78">
        <v>6</v>
      </c>
      <c r="B80" s="79" t="s">
        <v>102</v>
      </c>
      <c r="C80" s="80">
        <f t="shared" ca="1" si="0"/>
        <v>0</v>
      </c>
      <c r="D80" s="81">
        <f t="shared" ca="1" si="55"/>
        <v>0</v>
      </c>
      <c r="E80" s="82">
        <f ca="1">IFERROR(__xludf.DUMMYFUNCTION("IMPORTRANGE(""https://docs.google.com/spreadsheets/d/1MeEWN-I1oV_STSDYn1IFDPWt_1FKiwhDph83XaGc0o0/edit?usp=sharing"",""งบพรบ!DJ80"")"),0)</f>
        <v>0</v>
      </c>
      <c r="F80" s="82">
        <f ca="1">IFERROR(__xludf.DUMMYFUNCTION("IMPORTRANGE(""https://docs.google.com/spreadsheets/d/1MeEWN-I1oV_STSDYn1IFDPWt_1FKiwhDph83XaGc0o0/edit?usp=sharing"",""งบพรบ!DK80"")"),0)</f>
        <v>0</v>
      </c>
      <c r="G80" s="82">
        <f ca="1">IFERROR(__xludf.DUMMYFUNCTION("IMPORTRANGE(""https://docs.google.com/spreadsheets/d/1MeEWN-I1oV_STSDYn1IFDPWt_1FKiwhDph83XaGc0o0/edit?usp=sharing"",""งบพรบ!DL80"")"),0)</f>
        <v>0</v>
      </c>
      <c r="H80" s="82">
        <f ca="1">IFERROR(__xludf.DUMMYFUNCTION("IMPORTRANGE(""https://docs.google.com/spreadsheets/d/1MeEWN-I1oV_STSDYn1IFDPWt_1FKiwhDph83XaGc0o0/edit?usp=sharing"",""งบพรบ!DN80"")"),0)</f>
        <v>0</v>
      </c>
      <c r="I80" s="82">
        <f ca="1">IFERROR(__xludf.DUMMYFUNCTION("IMPORTRANGE(""https://docs.google.com/spreadsheets/d/1MeEWN-I1oV_STSDYn1IFDPWt_1FKiwhDph83XaGc0o0/edit?usp=sharing"",""งบพรบ!DO80"")"),0)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IFERROR(__xludf.DUMMYFUNCTION("IMPORTRANGE(""https://docs.google.com/spreadsheets/d/1MeEWN-I1oV_STSDYn1IFDPWt_1FKiwhDph83XaGc0o0/edit?usp=sharing"",""งบพรบ!DP80"")"),0)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IFERROR(__xludf.DUMMYFUNCTION("IMPORTRANGE(""https://docs.google.com/spreadsheets/d/1MeEWN-I1oV_STSDYn1IFDPWt_1FKiwhDph83XaGc0o0/edit?usp=sharing"",""งบพรบ!DQ80"")"),0)</f>
        <v>0</v>
      </c>
      <c r="P80" s="85">
        <f t="shared" ca="1" si="32"/>
        <v>0</v>
      </c>
      <c r="Q80" s="84">
        <f t="shared" ca="1" si="8"/>
        <v>0</v>
      </c>
      <c r="R80" s="323">
        <f ca="1">IFERROR(__xludf.DUMMYFUNCTION("IMPORTRANGE(""https://docs.google.com/spreadsheets/d/1IwnW3-jjRf74MCLW-6PiFwMUffRQXZwZA7YM609NmRc/edit?usp=sharing"",""ปัตตานี!I287"")"),0)</f>
        <v>0</v>
      </c>
      <c r="S80" s="323">
        <f ca="1">IFERROR(__xludf.DUMMYFUNCTION("IMPORTRANGE(""https://docs.google.com/spreadsheets/d/1IwnW3-jjRf74MCLW-6PiFwMUffRQXZwZA7YM609NmRc/edit?usp=sharing"",""ปัตตานี!J287"")"),0)</f>
        <v>0</v>
      </c>
      <c r="T80" s="324">
        <f t="shared" ca="1" si="27"/>
        <v>0</v>
      </c>
      <c r="U80" s="323">
        <f ca="1">IFERROR(__xludf.DUMMYFUNCTION("IMPORTRANGE(""https://docs.google.com/spreadsheets/d/1IwnW3-jjRf74MCLW-6PiFwMUffRQXZwZA7YM609NmRc/edit?usp=sharing"",""ปัตตานี!I288"")"),0)</f>
        <v>0</v>
      </c>
      <c r="V80" s="323">
        <f ca="1">IFERROR(__xludf.DUMMYFUNCTION("IMPORTRANGE(""https://docs.google.com/spreadsheets/d/1IwnW3-jjRf74MCLW-6PiFwMUffRQXZwZA7YM609NmRc/edit?usp=sharing"",""ปัตตานี!J288"")"),0)</f>
        <v>0</v>
      </c>
      <c r="W80" s="324">
        <f t="shared" ca="1" si="28"/>
        <v>0</v>
      </c>
      <c r="X80" s="323">
        <f ca="1">IFERROR(__xludf.DUMMYFUNCTION("IMPORTRANGE(""https://docs.google.com/spreadsheets/d/1IwnW3-jjRf74MCLW-6PiFwMUffRQXZwZA7YM609NmRc/edit?usp=sharing"",""ปัตตานี!I290"")"),0)</f>
        <v>0</v>
      </c>
      <c r="Y80" s="323">
        <f ca="1">IFERROR(__xludf.DUMMYFUNCTION("IMPORTRANGE(""https://docs.google.com/spreadsheets/d/1IwnW3-jjRf74MCLW-6PiFwMUffRQXZwZA7YM609NmRc/edit?usp=sharing"",""ปัตตานี!J290"")"),0)</f>
        <v>0</v>
      </c>
      <c r="Z80" s="324">
        <f t="shared" ca="1" si="29"/>
        <v>0</v>
      </c>
      <c r="AA80" s="323">
        <f ca="1">IFERROR(__xludf.DUMMYFUNCTION("IMPORTRANGE(""https://docs.google.com/spreadsheets/d/1IwnW3-jjRf74MCLW-6PiFwMUffRQXZwZA7YM609NmRc/edit?usp=sharing"",""ปัตตานี!J291"")"),0)</f>
        <v>0</v>
      </c>
      <c r="AB80" s="324">
        <f t="shared" ca="1" si="15"/>
        <v>0</v>
      </c>
      <c r="AC80" s="323">
        <f ca="1">IFERROR(__xludf.DUMMYFUNCTION("IMPORTRANGE(""https://docs.google.com/spreadsheets/d/1IwnW3-jjRf74MCLW-6PiFwMUffRQXZwZA7YM609NmRc/edit?usp=sharing"",""ปัตตานี!I293"")"),0)</f>
        <v>0</v>
      </c>
      <c r="AD80" s="323">
        <f ca="1">IFERROR(__xludf.DUMMYFUNCTION("IMPORTRANGE(""https://docs.google.com/spreadsheets/d/1IwnW3-jjRf74MCLW-6PiFwMUffRQXZwZA7YM609NmRc/edit?usp=sharing"",""ปัตตานี!J293"")"),0)</f>
        <v>0</v>
      </c>
      <c r="AE80" s="324">
        <f t="shared" ca="1" si="30"/>
        <v>0</v>
      </c>
      <c r="AF80" s="323">
        <f ca="1">IFERROR(__xludf.DUMMYFUNCTION("IMPORTRANGE(""https://docs.google.com/spreadsheets/d/1IwnW3-jjRf74MCLW-6PiFwMUffRQXZwZA7YM609NmRc/edit?usp=sharing"",""ปัตตานี!J294"")"),0)</f>
        <v>0</v>
      </c>
      <c r="AG80" s="324">
        <f t="shared" ca="1" si="18"/>
        <v>0</v>
      </c>
    </row>
    <row r="81" spans="1:33" ht="21" customHeight="1" x14ac:dyDescent="0.2">
      <c r="A81" s="78">
        <v>7</v>
      </c>
      <c r="B81" s="79" t="s">
        <v>103</v>
      </c>
      <c r="C81" s="80">
        <f t="shared" ca="1" si="0"/>
        <v>0</v>
      </c>
      <c r="D81" s="81">
        <f t="shared" ca="1" si="55"/>
        <v>0</v>
      </c>
      <c r="E81" s="82">
        <f ca="1">IFERROR(__xludf.DUMMYFUNCTION("IMPORTRANGE(""https://docs.google.com/spreadsheets/d/1MeEWN-I1oV_STSDYn1IFDPWt_1FKiwhDph83XaGc0o0/edit?usp=sharing"",""งบพรบ!DJ81"")"),0)</f>
        <v>0</v>
      </c>
      <c r="F81" s="82">
        <f ca="1">IFERROR(__xludf.DUMMYFUNCTION("IMPORTRANGE(""https://docs.google.com/spreadsheets/d/1MeEWN-I1oV_STSDYn1IFDPWt_1FKiwhDph83XaGc0o0/edit?usp=sharing"",""งบพรบ!DK81"")"),0)</f>
        <v>0</v>
      </c>
      <c r="G81" s="82">
        <f ca="1">IFERROR(__xludf.DUMMYFUNCTION("IMPORTRANGE(""https://docs.google.com/spreadsheets/d/1MeEWN-I1oV_STSDYn1IFDPWt_1FKiwhDph83XaGc0o0/edit?usp=sharing"",""งบพรบ!DL81"")"),0)</f>
        <v>0</v>
      </c>
      <c r="H81" s="82">
        <f ca="1">IFERROR(__xludf.DUMMYFUNCTION("IMPORTRANGE(""https://docs.google.com/spreadsheets/d/1MeEWN-I1oV_STSDYn1IFDPWt_1FKiwhDph83XaGc0o0/edit?usp=sharing"",""งบพรบ!DN81"")"),0)</f>
        <v>0</v>
      </c>
      <c r="I81" s="82">
        <f ca="1">IFERROR(__xludf.DUMMYFUNCTION("IMPORTRANGE(""https://docs.google.com/spreadsheets/d/1MeEWN-I1oV_STSDYn1IFDPWt_1FKiwhDph83XaGc0o0/edit?usp=sharing"",""งบพรบ!DO81"")"),0)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IFERROR(__xludf.DUMMYFUNCTION("IMPORTRANGE(""https://docs.google.com/spreadsheets/d/1MeEWN-I1oV_STSDYn1IFDPWt_1FKiwhDph83XaGc0o0/edit?usp=sharing"",""งบพรบ!DP81"")"),0)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IFERROR(__xludf.DUMMYFUNCTION("IMPORTRANGE(""https://docs.google.com/spreadsheets/d/1MeEWN-I1oV_STSDYn1IFDPWt_1FKiwhDph83XaGc0o0/edit?usp=sharing"",""งบพรบ!DQ81"")"),0)</f>
        <v>0</v>
      </c>
      <c r="P81" s="85">
        <f t="shared" ca="1" si="32"/>
        <v>0</v>
      </c>
      <c r="Q81" s="84">
        <f t="shared" ca="1" si="8"/>
        <v>0</v>
      </c>
      <c r="R81" s="323">
        <f ca="1">IFERROR(__xludf.DUMMYFUNCTION("IMPORTRANGE(""https://docs.google.com/spreadsheets/d/1vl4QWbWdFruual5o_wdo6ZSqXZ_it806oja4CctTLKs/edit?usp=sharing"",""พังงา!I287"")"),0)</f>
        <v>0</v>
      </c>
      <c r="S81" s="323">
        <f ca="1">IFERROR(__xludf.DUMMYFUNCTION("IMPORTRANGE(""https://docs.google.com/spreadsheets/d/1vl4QWbWdFruual5o_wdo6ZSqXZ_it806oja4CctTLKs/edit?usp=sharing"",""พังงา!J287"")"),0)</f>
        <v>0</v>
      </c>
      <c r="T81" s="324">
        <f t="shared" ca="1" si="27"/>
        <v>0</v>
      </c>
      <c r="U81" s="323">
        <f ca="1">IFERROR(__xludf.DUMMYFUNCTION("IMPORTRANGE(""https://docs.google.com/spreadsheets/d/1vl4QWbWdFruual5o_wdo6ZSqXZ_it806oja4CctTLKs/edit?usp=sharing"",""พังงา!I288"")"),0)</f>
        <v>0</v>
      </c>
      <c r="V81" s="323">
        <f ca="1">IFERROR(__xludf.DUMMYFUNCTION("IMPORTRANGE(""https://docs.google.com/spreadsheets/d/1vl4QWbWdFruual5o_wdo6ZSqXZ_it806oja4CctTLKs/edit?usp=sharing"",""พังงา!J288"")"),0)</f>
        <v>0</v>
      </c>
      <c r="W81" s="324">
        <f t="shared" ca="1" si="28"/>
        <v>0</v>
      </c>
      <c r="X81" s="323">
        <f ca="1">IFERROR(__xludf.DUMMYFUNCTION("IMPORTRANGE(""https://docs.google.com/spreadsheets/d/1vl4QWbWdFruual5o_wdo6ZSqXZ_it806oja4CctTLKs/edit?usp=sharing"",""พังงา!I290"")"),0)</f>
        <v>0</v>
      </c>
      <c r="Y81" s="323">
        <f ca="1">IFERROR(__xludf.DUMMYFUNCTION("IMPORTRANGE(""https://docs.google.com/spreadsheets/d/1vl4QWbWdFruual5o_wdo6ZSqXZ_it806oja4CctTLKs/edit?usp=sharing"",""พังงา!J290"")"),0)</f>
        <v>0</v>
      </c>
      <c r="Z81" s="324">
        <f t="shared" ca="1" si="29"/>
        <v>0</v>
      </c>
      <c r="AA81" s="323">
        <f ca="1">IFERROR(__xludf.DUMMYFUNCTION("IMPORTRANGE(""https://docs.google.com/spreadsheets/d/1vl4QWbWdFruual5o_wdo6ZSqXZ_it806oja4CctTLKs/edit?usp=sharing"",""พังงา!J291"")"),0)</f>
        <v>0</v>
      </c>
      <c r="AB81" s="324">
        <f t="shared" ca="1" si="15"/>
        <v>0</v>
      </c>
      <c r="AC81" s="323">
        <f ca="1">IFERROR(__xludf.DUMMYFUNCTION("IMPORTRANGE(""https://docs.google.com/spreadsheets/d/1vl4QWbWdFruual5o_wdo6ZSqXZ_it806oja4CctTLKs/edit?usp=sharing"",""พังงา!I293"")"),0)</f>
        <v>0</v>
      </c>
      <c r="AD81" s="323">
        <f ca="1">IFERROR(__xludf.DUMMYFUNCTION("IMPORTRANGE(""https://docs.google.com/spreadsheets/d/1vl4QWbWdFruual5o_wdo6ZSqXZ_it806oja4CctTLKs/edit?usp=sharing"",""พังงา!J293"")"),0)</f>
        <v>0</v>
      </c>
      <c r="AE81" s="324">
        <f t="shared" ca="1" si="30"/>
        <v>0</v>
      </c>
      <c r="AF81" s="323">
        <f ca="1">IFERROR(__xludf.DUMMYFUNCTION("IMPORTRANGE(""https://docs.google.com/spreadsheets/d/1vl4QWbWdFruual5o_wdo6ZSqXZ_it806oja4CctTLKs/edit?usp=sharing"",""พังงา!J294"")"),0)</f>
        <v>0</v>
      </c>
      <c r="AG81" s="324">
        <f t="shared" ca="1" si="18"/>
        <v>0</v>
      </c>
    </row>
    <row r="82" spans="1:33" ht="21" customHeight="1" x14ac:dyDescent="0.2">
      <c r="A82" s="78">
        <v>8</v>
      </c>
      <c r="B82" s="79" t="s">
        <v>104</v>
      </c>
      <c r="C82" s="80">
        <f t="shared" ca="1" si="0"/>
        <v>0</v>
      </c>
      <c r="D82" s="81">
        <f t="shared" ca="1" si="55"/>
        <v>0</v>
      </c>
      <c r="E82" s="82">
        <f ca="1">IFERROR(__xludf.DUMMYFUNCTION("IMPORTRANGE(""https://docs.google.com/spreadsheets/d/1MeEWN-I1oV_STSDYn1IFDPWt_1FKiwhDph83XaGc0o0/edit?usp=sharing"",""งบพรบ!DJ82"")"),0)</f>
        <v>0</v>
      </c>
      <c r="F82" s="82">
        <f ca="1">IFERROR(__xludf.DUMMYFUNCTION("IMPORTRANGE(""https://docs.google.com/spreadsheets/d/1MeEWN-I1oV_STSDYn1IFDPWt_1FKiwhDph83XaGc0o0/edit?usp=sharing"",""งบพรบ!DK82"")"),0)</f>
        <v>0</v>
      </c>
      <c r="G82" s="82">
        <f ca="1">IFERROR(__xludf.DUMMYFUNCTION("IMPORTRANGE(""https://docs.google.com/spreadsheets/d/1MeEWN-I1oV_STSDYn1IFDPWt_1FKiwhDph83XaGc0o0/edit?usp=sharing"",""งบพรบ!DL82"")"),0)</f>
        <v>0</v>
      </c>
      <c r="H82" s="82">
        <f ca="1">IFERROR(__xludf.DUMMYFUNCTION("IMPORTRANGE(""https://docs.google.com/spreadsheets/d/1MeEWN-I1oV_STSDYn1IFDPWt_1FKiwhDph83XaGc0o0/edit?usp=sharing"",""งบพรบ!DN82"")"),0)</f>
        <v>0</v>
      </c>
      <c r="I82" s="82">
        <f ca="1">IFERROR(__xludf.DUMMYFUNCTION("IMPORTRANGE(""https://docs.google.com/spreadsheets/d/1MeEWN-I1oV_STSDYn1IFDPWt_1FKiwhDph83XaGc0o0/edit?usp=sharing"",""งบพรบ!DO82"")"),0)</f>
        <v>0</v>
      </c>
      <c r="J82" s="82">
        <f t="shared" ca="1" si="3"/>
        <v>0</v>
      </c>
      <c r="K82" s="83">
        <f t="shared" ca="1" si="4"/>
        <v>0</v>
      </c>
      <c r="L82" s="82">
        <f ca="1">IFERROR(__xludf.DUMMYFUNCTION("IMPORTRANGE(""https://docs.google.com/spreadsheets/d/1MeEWN-I1oV_STSDYn1IFDPWt_1FKiwhDph83XaGc0o0/edit?usp=sharing"",""งบพรบ!DP82"")"),0)</f>
        <v>0</v>
      </c>
      <c r="M82" s="84">
        <f t="shared" ca="1" si="5"/>
        <v>0</v>
      </c>
      <c r="N82" s="84">
        <f t="shared" ca="1" si="6"/>
        <v>0</v>
      </c>
      <c r="O82" s="85">
        <f ca="1">IFERROR(__xludf.DUMMYFUNCTION("IMPORTRANGE(""https://docs.google.com/spreadsheets/d/1MeEWN-I1oV_STSDYn1IFDPWt_1FKiwhDph83XaGc0o0/edit?usp=sharing"",""งบพรบ!DQ82"")"),0)</f>
        <v>0</v>
      </c>
      <c r="P82" s="85">
        <f t="shared" ca="1" si="32"/>
        <v>0</v>
      </c>
      <c r="Q82" s="84">
        <f t="shared" ca="1" si="8"/>
        <v>0</v>
      </c>
      <c r="R82" s="323">
        <f ca="1">IFERROR(__xludf.DUMMYFUNCTION("IMPORTRANGE(""https://docs.google.com/spreadsheets/d/1b6QssHQp2FoAPSMKHOy273KNzAomaIKhtdlvuZ_zDNE/edit?usp=sharing"",""พัทลุง!I287"")"),0)</f>
        <v>0</v>
      </c>
      <c r="S82" s="323">
        <f ca="1">IFERROR(__xludf.DUMMYFUNCTION("IMPORTRANGE(""https://docs.google.com/spreadsheets/d/1b6QssHQp2FoAPSMKHOy273KNzAomaIKhtdlvuZ_zDNE/edit?usp=sharing"",""พัทลุง!J287"")"),0)</f>
        <v>0</v>
      </c>
      <c r="T82" s="324">
        <f t="shared" ca="1" si="27"/>
        <v>0</v>
      </c>
      <c r="U82" s="323">
        <f ca="1">IFERROR(__xludf.DUMMYFUNCTION("IMPORTRANGE(""https://docs.google.com/spreadsheets/d/1b6QssHQp2FoAPSMKHOy273KNzAomaIKhtdlvuZ_zDNE/edit?usp=sharing"",""พัทลุง!I288"")"),0)</f>
        <v>0</v>
      </c>
      <c r="V82" s="323">
        <f ca="1">IFERROR(__xludf.DUMMYFUNCTION("IMPORTRANGE(""https://docs.google.com/spreadsheets/d/1b6QssHQp2FoAPSMKHOy273KNzAomaIKhtdlvuZ_zDNE/edit?usp=sharing"",""พัทลุง!J288"")"),0)</f>
        <v>0</v>
      </c>
      <c r="W82" s="324">
        <f t="shared" ca="1" si="28"/>
        <v>0</v>
      </c>
      <c r="X82" s="323">
        <f ca="1">IFERROR(__xludf.DUMMYFUNCTION("IMPORTRANGE(""https://docs.google.com/spreadsheets/d/1b6QssHQp2FoAPSMKHOy273KNzAomaIKhtdlvuZ_zDNE/edit?usp=sharing"",""พัทลุง!I290"")"),0)</f>
        <v>0</v>
      </c>
      <c r="Y82" s="323">
        <f ca="1">IFERROR(__xludf.DUMMYFUNCTION("IMPORTRANGE(""https://docs.google.com/spreadsheets/d/1b6QssHQp2FoAPSMKHOy273KNzAomaIKhtdlvuZ_zDNE/edit?usp=sharing"",""พัทลุง!J290"")"),0)</f>
        <v>0</v>
      </c>
      <c r="Z82" s="324">
        <f t="shared" ca="1" si="29"/>
        <v>0</v>
      </c>
      <c r="AA82" s="323">
        <f ca="1">IFERROR(__xludf.DUMMYFUNCTION("IMPORTRANGE(""https://docs.google.com/spreadsheets/d/1b6QssHQp2FoAPSMKHOy273KNzAomaIKhtdlvuZ_zDNE/edit?usp=sharing"",""พัทลุง!J291"")"),0)</f>
        <v>0</v>
      </c>
      <c r="AB82" s="324">
        <f t="shared" ca="1" si="15"/>
        <v>0</v>
      </c>
      <c r="AC82" s="323">
        <f ca="1">IFERROR(__xludf.DUMMYFUNCTION("IMPORTRANGE(""https://docs.google.com/spreadsheets/d/1b6QssHQp2FoAPSMKHOy273KNzAomaIKhtdlvuZ_zDNE/edit?usp=sharing"",""พัทลุง!I293"")"),0)</f>
        <v>0</v>
      </c>
      <c r="AD82" s="323">
        <f ca="1">IFERROR(__xludf.DUMMYFUNCTION("IMPORTRANGE(""https://docs.google.com/spreadsheets/d/1b6QssHQp2FoAPSMKHOy273KNzAomaIKhtdlvuZ_zDNE/edit?usp=sharing"",""พัทลุง!J293"")"),0)</f>
        <v>0</v>
      </c>
      <c r="AE82" s="324">
        <f t="shared" ca="1" si="30"/>
        <v>0</v>
      </c>
      <c r="AF82" s="323">
        <f ca="1">IFERROR(__xludf.DUMMYFUNCTION("IMPORTRANGE(""https://docs.google.com/spreadsheets/d/1b6QssHQp2FoAPSMKHOy273KNzAomaIKhtdlvuZ_zDNE/edit?usp=sharing"",""พัทลุง!J294"")"),0)</f>
        <v>0</v>
      </c>
      <c r="AG82" s="324">
        <f t="shared" ca="1" si="18"/>
        <v>0</v>
      </c>
    </row>
    <row r="83" spans="1:33" ht="21" customHeight="1" x14ac:dyDescent="0.2">
      <c r="A83" s="78">
        <v>9</v>
      </c>
      <c r="B83" s="79" t="s">
        <v>105</v>
      </c>
      <c r="C83" s="80">
        <f t="shared" ca="1" si="0"/>
        <v>0</v>
      </c>
      <c r="D83" s="81">
        <f t="shared" ca="1" si="55"/>
        <v>0</v>
      </c>
      <c r="E83" s="82">
        <f ca="1">IFERROR(__xludf.DUMMYFUNCTION("IMPORTRANGE(""https://docs.google.com/spreadsheets/d/1MeEWN-I1oV_STSDYn1IFDPWt_1FKiwhDph83XaGc0o0/edit?usp=sharing"",""งบพรบ!DJ83"")"),0)</f>
        <v>0</v>
      </c>
      <c r="F83" s="82">
        <f ca="1">IFERROR(__xludf.DUMMYFUNCTION("IMPORTRANGE(""https://docs.google.com/spreadsheets/d/1MeEWN-I1oV_STSDYn1IFDPWt_1FKiwhDph83XaGc0o0/edit?usp=sharing"",""งบพรบ!DK83"")"),0)</f>
        <v>0</v>
      </c>
      <c r="G83" s="82">
        <f ca="1">IFERROR(__xludf.DUMMYFUNCTION("IMPORTRANGE(""https://docs.google.com/spreadsheets/d/1MeEWN-I1oV_STSDYn1IFDPWt_1FKiwhDph83XaGc0o0/edit?usp=sharing"",""งบพรบ!DL83"")"),0)</f>
        <v>0</v>
      </c>
      <c r="H83" s="82">
        <f ca="1">IFERROR(__xludf.DUMMYFUNCTION("IMPORTRANGE(""https://docs.google.com/spreadsheets/d/1MeEWN-I1oV_STSDYn1IFDPWt_1FKiwhDph83XaGc0o0/edit?usp=sharing"",""งบพรบ!DN83"")"),0)</f>
        <v>0</v>
      </c>
      <c r="I83" s="82">
        <f ca="1">IFERROR(__xludf.DUMMYFUNCTION("IMPORTRANGE(""https://docs.google.com/spreadsheets/d/1MeEWN-I1oV_STSDYn1IFDPWt_1FKiwhDph83XaGc0o0/edit?usp=sharing"",""งบพรบ!DO83"")"),0)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IFERROR(__xludf.DUMMYFUNCTION("IMPORTRANGE(""https://docs.google.com/spreadsheets/d/1MeEWN-I1oV_STSDYn1IFDPWt_1FKiwhDph83XaGc0o0/edit?usp=sharing"",""งบพรบ!DP83"")"),0)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IFERROR(__xludf.DUMMYFUNCTION("IMPORTRANGE(""https://docs.google.com/spreadsheets/d/1MeEWN-I1oV_STSDYn1IFDPWt_1FKiwhDph83XaGc0o0/edit?usp=sharing"",""งบพรบ!DQ83"")"),0)</f>
        <v>0</v>
      </c>
      <c r="P83" s="85">
        <f t="shared" ca="1" si="32"/>
        <v>0</v>
      </c>
      <c r="Q83" s="84">
        <f t="shared" ca="1" si="8"/>
        <v>0</v>
      </c>
      <c r="R83" s="323">
        <f ca="1">IFERROR(__xludf.DUMMYFUNCTION("IMPORTRANGE(""https://docs.google.com/spreadsheets/d/1o7UZe4_OqlqtLDHrj01Z2YFRSZDf1DMy1n3XViHaxRc/edit?usp=sharing"",""ภูเก็ต!I287"")"),0)</f>
        <v>0</v>
      </c>
      <c r="S83" s="323">
        <f ca="1">IFERROR(__xludf.DUMMYFUNCTION("IMPORTRANGE(""https://docs.google.com/spreadsheets/d/1o7UZe4_OqlqtLDHrj01Z2YFRSZDf1DMy1n3XViHaxRc/edit?usp=sharing"",""ภูเก็ต!J287"")"),0)</f>
        <v>0</v>
      </c>
      <c r="T83" s="324">
        <f t="shared" ca="1" si="27"/>
        <v>0</v>
      </c>
      <c r="U83" s="323">
        <f ca="1">IFERROR(__xludf.DUMMYFUNCTION("IMPORTRANGE(""https://docs.google.com/spreadsheets/d/1o7UZe4_OqlqtLDHrj01Z2YFRSZDf1DMy1n3XViHaxRc/edit?usp=sharing"",""ภูเก็ต!I288"")"),0)</f>
        <v>0</v>
      </c>
      <c r="V83" s="323">
        <f ca="1">IFERROR(__xludf.DUMMYFUNCTION("IMPORTRANGE(""https://docs.google.com/spreadsheets/d/1o7UZe4_OqlqtLDHrj01Z2YFRSZDf1DMy1n3XViHaxRc/edit?usp=sharing"",""ภูเก็ต!J288"")"),0)</f>
        <v>0</v>
      </c>
      <c r="W83" s="324">
        <f t="shared" ca="1" si="28"/>
        <v>0</v>
      </c>
      <c r="X83" s="323">
        <f ca="1">IFERROR(__xludf.DUMMYFUNCTION("IMPORTRANGE(""https://docs.google.com/spreadsheets/d/1o7UZe4_OqlqtLDHrj01Z2YFRSZDf1DMy1n3XViHaxRc/edit?usp=sharing"",""ภูเก็ต!I290"")"),0)</f>
        <v>0</v>
      </c>
      <c r="Y83" s="323">
        <f ca="1">IFERROR(__xludf.DUMMYFUNCTION("IMPORTRANGE(""https://docs.google.com/spreadsheets/d/1o7UZe4_OqlqtLDHrj01Z2YFRSZDf1DMy1n3XViHaxRc/edit?usp=sharing"",""ภูเก็ต!J290"")"),0)</f>
        <v>0</v>
      </c>
      <c r="Z83" s="324">
        <f t="shared" ca="1" si="29"/>
        <v>0</v>
      </c>
      <c r="AA83" s="323">
        <f ca="1">IFERROR(__xludf.DUMMYFUNCTION("IMPORTRANGE(""https://docs.google.com/spreadsheets/d/1o7UZe4_OqlqtLDHrj01Z2YFRSZDf1DMy1n3XViHaxRc/edit?usp=sharing"",""ภูเก็ต!J291"")"),0)</f>
        <v>0</v>
      </c>
      <c r="AB83" s="324">
        <f t="shared" ca="1" si="15"/>
        <v>0</v>
      </c>
      <c r="AC83" s="323">
        <f ca="1">IFERROR(__xludf.DUMMYFUNCTION("IMPORTRANGE(""https://docs.google.com/spreadsheets/d/1o7UZe4_OqlqtLDHrj01Z2YFRSZDf1DMy1n3XViHaxRc/edit?usp=sharing"",""ภูเก็ต!I293"")"),0)</f>
        <v>0</v>
      </c>
      <c r="AD83" s="323">
        <f ca="1">IFERROR(__xludf.DUMMYFUNCTION("IMPORTRANGE(""https://docs.google.com/spreadsheets/d/1o7UZe4_OqlqtLDHrj01Z2YFRSZDf1DMy1n3XViHaxRc/edit?usp=sharing"",""ภูเก็ต!J293"")"),0)</f>
        <v>0</v>
      </c>
      <c r="AE83" s="324">
        <f t="shared" ca="1" si="30"/>
        <v>0</v>
      </c>
      <c r="AF83" s="323">
        <f ca="1">IFERROR(__xludf.DUMMYFUNCTION("IMPORTRANGE(""https://docs.google.com/spreadsheets/d/1o7UZe4_OqlqtLDHrj01Z2YFRSZDf1DMy1n3XViHaxRc/edit?usp=sharing"",""ภูเก็ต!J294"")"),0)</f>
        <v>0</v>
      </c>
      <c r="AG83" s="324">
        <f t="shared" ca="1" si="18"/>
        <v>0</v>
      </c>
    </row>
    <row r="84" spans="1:33" ht="21" customHeight="1" x14ac:dyDescent="0.2">
      <c r="A84" s="78">
        <v>10</v>
      </c>
      <c r="B84" s="79" t="s">
        <v>106</v>
      </c>
      <c r="C84" s="80">
        <f t="shared" ca="1" si="0"/>
        <v>0</v>
      </c>
      <c r="D84" s="81">
        <f t="shared" ca="1" si="55"/>
        <v>0</v>
      </c>
      <c r="E84" s="82">
        <f ca="1">IFERROR(__xludf.DUMMYFUNCTION("IMPORTRANGE(""https://docs.google.com/spreadsheets/d/1MeEWN-I1oV_STSDYn1IFDPWt_1FKiwhDph83XaGc0o0/edit?usp=sharing"",""งบพรบ!DJ84"")"),0)</f>
        <v>0</v>
      </c>
      <c r="F84" s="82">
        <f ca="1">IFERROR(__xludf.DUMMYFUNCTION("IMPORTRANGE(""https://docs.google.com/spreadsheets/d/1MeEWN-I1oV_STSDYn1IFDPWt_1FKiwhDph83XaGc0o0/edit?usp=sharing"",""งบพรบ!DK84"")"),0)</f>
        <v>0</v>
      </c>
      <c r="G84" s="82">
        <f ca="1">IFERROR(__xludf.DUMMYFUNCTION("IMPORTRANGE(""https://docs.google.com/spreadsheets/d/1MeEWN-I1oV_STSDYn1IFDPWt_1FKiwhDph83XaGc0o0/edit?usp=sharing"",""งบพรบ!DL84"")"),0)</f>
        <v>0</v>
      </c>
      <c r="H84" s="82">
        <f ca="1">IFERROR(__xludf.DUMMYFUNCTION("IMPORTRANGE(""https://docs.google.com/spreadsheets/d/1MeEWN-I1oV_STSDYn1IFDPWt_1FKiwhDph83XaGc0o0/edit?usp=sharing"",""งบพรบ!DN84"")"),0)</f>
        <v>0</v>
      </c>
      <c r="I84" s="82">
        <f ca="1">IFERROR(__xludf.DUMMYFUNCTION("IMPORTRANGE(""https://docs.google.com/spreadsheets/d/1MeEWN-I1oV_STSDYn1IFDPWt_1FKiwhDph83XaGc0o0/edit?usp=sharing"",""งบพรบ!DO84"")"),0)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IFERROR(__xludf.DUMMYFUNCTION("IMPORTRANGE(""https://docs.google.com/spreadsheets/d/1MeEWN-I1oV_STSDYn1IFDPWt_1FKiwhDph83XaGc0o0/edit?usp=sharing"",""งบพรบ!DP84"")"),0)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IFERROR(__xludf.DUMMYFUNCTION("IMPORTRANGE(""https://docs.google.com/spreadsheets/d/1MeEWN-I1oV_STSDYn1IFDPWt_1FKiwhDph83XaGc0o0/edit?usp=sharing"",""งบพรบ!DQ84"")"),0)</f>
        <v>0</v>
      </c>
      <c r="P84" s="85">
        <f t="shared" ca="1" si="32"/>
        <v>0</v>
      </c>
      <c r="Q84" s="84">
        <f t="shared" ca="1" si="8"/>
        <v>0</v>
      </c>
      <c r="R84" s="323">
        <f ca="1">IFERROR(__xludf.DUMMYFUNCTION("IMPORTRANGE(""https://docs.google.com/spreadsheets/d/1ctPm1vUzcUCPuOj9-eoHUD85PqINFqUB0TjdSWmR5-c/edit?usp=sharing"",""ยะลา!I287"")"),0)</f>
        <v>0</v>
      </c>
      <c r="S84" s="323">
        <f ca="1">IFERROR(__xludf.DUMMYFUNCTION("IMPORTRANGE(""https://docs.google.com/spreadsheets/d/1ctPm1vUzcUCPuOj9-eoHUD85PqINFqUB0TjdSWmR5-c/edit?usp=sharing"",""ยะลา!J287"")"),0)</f>
        <v>0</v>
      </c>
      <c r="T84" s="324">
        <f t="shared" ca="1" si="27"/>
        <v>0</v>
      </c>
      <c r="U84" s="323">
        <f ca="1">IFERROR(__xludf.DUMMYFUNCTION("IMPORTRANGE(""https://docs.google.com/spreadsheets/d/1ctPm1vUzcUCPuOj9-eoHUD85PqINFqUB0TjdSWmR5-c/edit?usp=sharing"",""ยะลา!I288"")"),0)</f>
        <v>0</v>
      </c>
      <c r="V84" s="323">
        <f ca="1">IFERROR(__xludf.DUMMYFUNCTION("IMPORTRANGE(""https://docs.google.com/spreadsheets/d/1ctPm1vUzcUCPuOj9-eoHUD85PqINFqUB0TjdSWmR5-c/edit?usp=sharing"",""ยะลา!J288"")"),0)</f>
        <v>0</v>
      </c>
      <c r="W84" s="324">
        <f t="shared" ca="1" si="28"/>
        <v>0</v>
      </c>
      <c r="X84" s="323">
        <f ca="1">IFERROR(__xludf.DUMMYFUNCTION("IMPORTRANGE(""https://docs.google.com/spreadsheets/d/1ctPm1vUzcUCPuOj9-eoHUD85PqINFqUB0TjdSWmR5-c/edit?usp=sharing"",""ยะลา!I290"")"),0)</f>
        <v>0</v>
      </c>
      <c r="Y84" s="323">
        <f ca="1">IFERROR(__xludf.DUMMYFUNCTION("IMPORTRANGE(""https://docs.google.com/spreadsheets/d/1ctPm1vUzcUCPuOj9-eoHUD85PqINFqUB0TjdSWmR5-c/edit?usp=sharing"",""ยะลา!J290"")"),0)</f>
        <v>0</v>
      </c>
      <c r="Z84" s="324">
        <f t="shared" ca="1" si="29"/>
        <v>0</v>
      </c>
      <c r="AA84" s="323">
        <f ca="1">IFERROR(__xludf.DUMMYFUNCTION("IMPORTRANGE(""https://docs.google.com/spreadsheets/d/1ctPm1vUzcUCPuOj9-eoHUD85PqINFqUB0TjdSWmR5-c/edit?usp=sharing"",""ยะลา!J291"")"),0)</f>
        <v>0</v>
      </c>
      <c r="AB84" s="324">
        <f t="shared" ca="1" si="15"/>
        <v>0</v>
      </c>
      <c r="AC84" s="323">
        <f ca="1">IFERROR(__xludf.DUMMYFUNCTION("IMPORTRANGE(""https://docs.google.com/spreadsheets/d/1ctPm1vUzcUCPuOj9-eoHUD85PqINFqUB0TjdSWmR5-c/edit?usp=sharing"",""ยะลา!I293"")"),0)</f>
        <v>0</v>
      </c>
      <c r="AD84" s="323">
        <f ca="1">IFERROR(__xludf.DUMMYFUNCTION("IMPORTRANGE(""https://docs.google.com/spreadsheets/d/1ctPm1vUzcUCPuOj9-eoHUD85PqINFqUB0TjdSWmR5-c/edit?usp=sharing"",""ยะลา!J293"")"),0)</f>
        <v>0</v>
      </c>
      <c r="AE84" s="324">
        <f t="shared" ca="1" si="30"/>
        <v>0</v>
      </c>
      <c r="AF84" s="323">
        <f ca="1">IFERROR(__xludf.DUMMYFUNCTION("IMPORTRANGE(""https://docs.google.com/spreadsheets/d/1ctPm1vUzcUCPuOj9-eoHUD85PqINFqUB0TjdSWmR5-c/edit?usp=sharing"",""ยะลา!J294"")"),0)</f>
        <v>0</v>
      </c>
      <c r="AG84" s="324">
        <f t="shared" ca="1" si="18"/>
        <v>0</v>
      </c>
    </row>
    <row r="85" spans="1:33" ht="21" customHeight="1" x14ac:dyDescent="0.2">
      <c r="A85" s="78">
        <v>11</v>
      </c>
      <c r="B85" s="79" t="s">
        <v>107</v>
      </c>
      <c r="C85" s="80">
        <f t="shared" ca="1" si="0"/>
        <v>0</v>
      </c>
      <c r="D85" s="81">
        <f t="shared" ca="1" si="55"/>
        <v>0</v>
      </c>
      <c r="E85" s="82">
        <f ca="1">IFERROR(__xludf.DUMMYFUNCTION("IMPORTRANGE(""https://docs.google.com/spreadsheets/d/1MeEWN-I1oV_STSDYn1IFDPWt_1FKiwhDph83XaGc0o0/edit?usp=sharing"",""งบพรบ!DJ85"")"),0)</f>
        <v>0</v>
      </c>
      <c r="F85" s="82">
        <f ca="1">IFERROR(__xludf.DUMMYFUNCTION("IMPORTRANGE(""https://docs.google.com/spreadsheets/d/1MeEWN-I1oV_STSDYn1IFDPWt_1FKiwhDph83XaGc0o0/edit?usp=sharing"",""งบพรบ!DK85"")"),0)</f>
        <v>0</v>
      </c>
      <c r="G85" s="82">
        <f ca="1">IFERROR(__xludf.DUMMYFUNCTION("IMPORTRANGE(""https://docs.google.com/spreadsheets/d/1MeEWN-I1oV_STSDYn1IFDPWt_1FKiwhDph83XaGc0o0/edit?usp=sharing"",""งบพรบ!DL85"")"),0)</f>
        <v>0</v>
      </c>
      <c r="H85" s="82">
        <f ca="1">IFERROR(__xludf.DUMMYFUNCTION("IMPORTRANGE(""https://docs.google.com/spreadsheets/d/1MeEWN-I1oV_STSDYn1IFDPWt_1FKiwhDph83XaGc0o0/edit?usp=sharing"",""งบพรบ!DN85"")"),0)</f>
        <v>0</v>
      </c>
      <c r="I85" s="82">
        <f ca="1">IFERROR(__xludf.DUMMYFUNCTION("IMPORTRANGE(""https://docs.google.com/spreadsheets/d/1MeEWN-I1oV_STSDYn1IFDPWt_1FKiwhDph83XaGc0o0/edit?usp=sharing"",""งบพรบ!DO85"")"),0)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IFERROR(__xludf.DUMMYFUNCTION("IMPORTRANGE(""https://docs.google.com/spreadsheets/d/1MeEWN-I1oV_STSDYn1IFDPWt_1FKiwhDph83XaGc0o0/edit?usp=sharing"",""งบพรบ!DP85"")"),0)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IFERROR(__xludf.DUMMYFUNCTION("IMPORTRANGE(""https://docs.google.com/spreadsheets/d/1MeEWN-I1oV_STSDYn1IFDPWt_1FKiwhDph83XaGc0o0/edit?usp=sharing"",""งบพรบ!DQ85"")"),0)</f>
        <v>0</v>
      </c>
      <c r="P85" s="85">
        <f t="shared" ca="1" si="32"/>
        <v>0</v>
      </c>
      <c r="Q85" s="84">
        <f t="shared" ca="1" si="8"/>
        <v>0</v>
      </c>
      <c r="R85" s="323">
        <f ca="1">IFERROR(__xludf.DUMMYFUNCTION("IMPORTRANGE(""https://docs.google.com/spreadsheets/d/1YiDIE7Klmt8osgdapRqYWNr7iPGFSsiJqq46S7PYRE0/edit?usp=sharing"",""ระนอง!I287"")"),0)</f>
        <v>0</v>
      </c>
      <c r="S85" s="323">
        <f ca="1">IFERROR(__xludf.DUMMYFUNCTION("IMPORTRANGE(""https://docs.google.com/spreadsheets/d/1YiDIE7Klmt8osgdapRqYWNr7iPGFSsiJqq46S7PYRE0/edit?usp=sharing"",""ระนอง!J287"")"),0)</f>
        <v>0</v>
      </c>
      <c r="T85" s="324">
        <f t="shared" ca="1" si="27"/>
        <v>0</v>
      </c>
      <c r="U85" s="323">
        <f ca="1">IFERROR(__xludf.DUMMYFUNCTION("IMPORTRANGE(""https://docs.google.com/spreadsheets/d/1YiDIE7Klmt8osgdapRqYWNr7iPGFSsiJqq46S7PYRE0/edit?usp=sharing"",""ระนอง!I288"")"),0)</f>
        <v>0</v>
      </c>
      <c r="V85" s="323">
        <f ca="1">IFERROR(__xludf.DUMMYFUNCTION("IMPORTRANGE(""https://docs.google.com/spreadsheets/d/1YiDIE7Klmt8osgdapRqYWNr7iPGFSsiJqq46S7PYRE0/edit?usp=sharing"",""ระนอง!J288"")"),0)</f>
        <v>0</v>
      </c>
      <c r="W85" s="324">
        <f t="shared" ca="1" si="28"/>
        <v>0</v>
      </c>
      <c r="X85" s="323">
        <f ca="1">IFERROR(__xludf.DUMMYFUNCTION("IMPORTRANGE(""https://docs.google.com/spreadsheets/d/1YiDIE7Klmt8osgdapRqYWNr7iPGFSsiJqq46S7PYRE0/edit?usp=sharing"",""ระนอง!I290"")"),0)</f>
        <v>0</v>
      </c>
      <c r="Y85" s="323">
        <f ca="1">IFERROR(__xludf.DUMMYFUNCTION("IMPORTRANGE(""https://docs.google.com/spreadsheets/d/1YiDIE7Klmt8osgdapRqYWNr7iPGFSsiJqq46S7PYRE0/edit?usp=sharing"",""ระนอง!J290"")"),0)</f>
        <v>0</v>
      </c>
      <c r="Z85" s="324">
        <f t="shared" ca="1" si="29"/>
        <v>0</v>
      </c>
      <c r="AA85" s="323">
        <f ca="1">IFERROR(__xludf.DUMMYFUNCTION("IMPORTRANGE(""https://docs.google.com/spreadsheets/d/1YiDIE7Klmt8osgdapRqYWNr7iPGFSsiJqq46S7PYRE0/edit?usp=sharing"",""ระนอง!J291"")"),0)</f>
        <v>0</v>
      </c>
      <c r="AB85" s="324">
        <f t="shared" ca="1" si="15"/>
        <v>0</v>
      </c>
      <c r="AC85" s="323">
        <f ca="1">IFERROR(__xludf.DUMMYFUNCTION("IMPORTRANGE(""https://docs.google.com/spreadsheets/d/1YiDIE7Klmt8osgdapRqYWNr7iPGFSsiJqq46S7PYRE0/edit?usp=sharing"",""ระนอง!I293"")"),0)</f>
        <v>0</v>
      </c>
      <c r="AD85" s="323">
        <f ca="1">IFERROR(__xludf.DUMMYFUNCTION("IMPORTRANGE(""https://docs.google.com/spreadsheets/d/1YiDIE7Klmt8osgdapRqYWNr7iPGFSsiJqq46S7PYRE0/edit?usp=sharing"",""ระนอง!J293"")"),0)</f>
        <v>0</v>
      </c>
      <c r="AE85" s="324">
        <f t="shared" ca="1" si="30"/>
        <v>0</v>
      </c>
      <c r="AF85" s="323">
        <f ca="1">IFERROR(__xludf.DUMMYFUNCTION("IMPORTRANGE(""https://docs.google.com/spreadsheets/d/1YiDIE7Klmt8osgdapRqYWNr7iPGFSsiJqq46S7PYRE0/edit?usp=sharing"",""ระนอง!J294"")"),0)</f>
        <v>0</v>
      </c>
      <c r="AG85" s="324">
        <f t="shared" ca="1" si="18"/>
        <v>0</v>
      </c>
    </row>
    <row r="86" spans="1:33" ht="24" customHeight="1" x14ac:dyDescent="0.2">
      <c r="A86" s="78">
        <v>12</v>
      </c>
      <c r="B86" s="79" t="s">
        <v>108</v>
      </c>
      <c r="C86" s="80">
        <f t="shared" ca="1" si="0"/>
        <v>0</v>
      </c>
      <c r="D86" s="81">
        <f t="shared" ca="1" si="55"/>
        <v>0</v>
      </c>
      <c r="E86" s="82">
        <f ca="1">IFERROR(__xludf.DUMMYFUNCTION("IMPORTRANGE(""https://docs.google.com/spreadsheets/d/1MeEWN-I1oV_STSDYn1IFDPWt_1FKiwhDph83XaGc0o0/edit?usp=sharing"",""งบพรบ!DJ86"")"),0)</f>
        <v>0</v>
      </c>
      <c r="F86" s="82">
        <f ca="1">IFERROR(__xludf.DUMMYFUNCTION("IMPORTRANGE(""https://docs.google.com/spreadsheets/d/1MeEWN-I1oV_STSDYn1IFDPWt_1FKiwhDph83XaGc0o0/edit?usp=sharing"",""งบพรบ!DK86"")"),0)</f>
        <v>0</v>
      </c>
      <c r="G86" s="82">
        <f ca="1">IFERROR(__xludf.DUMMYFUNCTION("IMPORTRANGE(""https://docs.google.com/spreadsheets/d/1MeEWN-I1oV_STSDYn1IFDPWt_1FKiwhDph83XaGc0o0/edit?usp=sharing"",""งบพรบ!DL86"")"),0)</f>
        <v>0</v>
      </c>
      <c r="H86" s="82">
        <f ca="1">IFERROR(__xludf.DUMMYFUNCTION("IMPORTRANGE(""https://docs.google.com/spreadsheets/d/1MeEWN-I1oV_STSDYn1IFDPWt_1FKiwhDph83XaGc0o0/edit?usp=sharing"",""งบพรบ!DN86"")"),0)</f>
        <v>0</v>
      </c>
      <c r="I86" s="82">
        <f ca="1">IFERROR(__xludf.DUMMYFUNCTION("IMPORTRANGE(""https://docs.google.com/spreadsheets/d/1MeEWN-I1oV_STSDYn1IFDPWt_1FKiwhDph83XaGc0o0/edit?usp=sharing"",""งบพรบ!DO86"")"),0)</f>
        <v>0</v>
      </c>
      <c r="J86" s="82">
        <f t="shared" ca="1" si="3"/>
        <v>0</v>
      </c>
      <c r="K86" s="83">
        <f t="shared" ca="1" si="4"/>
        <v>0</v>
      </c>
      <c r="L86" s="82">
        <f ca="1">IFERROR(__xludf.DUMMYFUNCTION("IMPORTRANGE(""https://docs.google.com/spreadsheets/d/1MeEWN-I1oV_STSDYn1IFDPWt_1FKiwhDph83XaGc0o0/edit?usp=sharing"",""งบพรบ!DP86"")"),0)</f>
        <v>0</v>
      </c>
      <c r="M86" s="84">
        <f t="shared" ca="1" si="5"/>
        <v>0</v>
      </c>
      <c r="N86" s="84">
        <f t="shared" ca="1" si="6"/>
        <v>0</v>
      </c>
      <c r="O86" s="85">
        <f ca="1">IFERROR(__xludf.DUMMYFUNCTION("IMPORTRANGE(""https://docs.google.com/spreadsheets/d/1MeEWN-I1oV_STSDYn1IFDPWt_1FKiwhDph83XaGc0o0/edit?usp=sharing"",""งบพรบ!DQ86"")"),0)</f>
        <v>0</v>
      </c>
      <c r="P86" s="85">
        <f t="shared" ca="1" si="32"/>
        <v>0</v>
      </c>
      <c r="Q86" s="84">
        <f t="shared" ca="1" si="8"/>
        <v>0</v>
      </c>
      <c r="R86" s="323">
        <f ca="1">IFERROR(__xludf.DUMMYFUNCTION("IMPORTRANGE(""https://docs.google.com/spreadsheets/d/16o_4B-V7AWw_6E93bSpXj_XxVv1oVQctk-B6z1dNEWU/edit?usp=sharing"",""สงขลา!I287"")"),0)</f>
        <v>0</v>
      </c>
      <c r="S86" s="323">
        <f ca="1">IFERROR(__xludf.DUMMYFUNCTION("IMPORTRANGE(""https://docs.google.com/spreadsheets/d/16o_4B-V7AWw_6E93bSpXj_XxVv1oVQctk-B6z1dNEWU/edit?usp=sharing"",""สงขลา!J287"")"),0)</f>
        <v>0</v>
      </c>
      <c r="T86" s="324">
        <f t="shared" ca="1" si="27"/>
        <v>0</v>
      </c>
      <c r="U86" s="323">
        <f ca="1">IFERROR(__xludf.DUMMYFUNCTION("IMPORTRANGE(""https://docs.google.com/spreadsheets/d/16o_4B-V7AWw_6E93bSpXj_XxVv1oVQctk-B6z1dNEWU/edit?usp=sharing"",""สงขลา!I288"")"),0)</f>
        <v>0</v>
      </c>
      <c r="V86" s="323">
        <f ca="1">IFERROR(__xludf.DUMMYFUNCTION("IMPORTRANGE(""https://docs.google.com/spreadsheets/d/16o_4B-V7AWw_6E93bSpXj_XxVv1oVQctk-B6z1dNEWU/edit?usp=sharing"",""สงขลา!J288"")"),0)</f>
        <v>0</v>
      </c>
      <c r="W86" s="324">
        <f t="shared" ca="1" si="28"/>
        <v>0</v>
      </c>
      <c r="X86" s="323">
        <f ca="1">IFERROR(__xludf.DUMMYFUNCTION("IMPORTRANGE(""https://docs.google.com/spreadsheets/d/16o_4B-V7AWw_6E93bSpXj_XxVv1oVQctk-B6z1dNEWU/edit?usp=sharing"",""สงขลา!I290"")"),0)</f>
        <v>0</v>
      </c>
      <c r="Y86" s="323">
        <f ca="1">IFERROR(__xludf.DUMMYFUNCTION("IMPORTRANGE(""https://docs.google.com/spreadsheets/d/16o_4B-V7AWw_6E93bSpXj_XxVv1oVQctk-B6z1dNEWU/edit?usp=sharing"",""สงขลา!J290"")"),0)</f>
        <v>0</v>
      </c>
      <c r="Z86" s="324">
        <f t="shared" ca="1" si="29"/>
        <v>0</v>
      </c>
      <c r="AA86" s="323">
        <f ca="1">IFERROR(__xludf.DUMMYFUNCTION("IMPORTRANGE(""https://docs.google.com/spreadsheets/d/16o_4B-V7AWw_6E93bSpXj_XxVv1oVQctk-B6z1dNEWU/edit?usp=sharing"",""สงขลา!J291"")"),0)</f>
        <v>0</v>
      </c>
      <c r="AB86" s="324">
        <f t="shared" ca="1" si="15"/>
        <v>0</v>
      </c>
      <c r="AC86" s="323">
        <f ca="1">IFERROR(__xludf.DUMMYFUNCTION("IMPORTRANGE(""https://docs.google.com/spreadsheets/d/16o_4B-V7AWw_6E93bSpXj_XxVv1oVQctk-B6z1dNEWU/edit?usp=sharing"",""สงขลา!I293"")"),0)</f>
        <v>0</v>
      </c>
      <c r="AD86" s="323">
        <f ca="1">IFERROR(__xludf.DUMMYFUNCTION("IMPORTRANGE(""https://docs.google.com/spreadsheets/d/16o_4B-V7AWw_6E93bSpXj_XxVv1oVQctk-B6z1dNEWU/edit?usp=sharing"",""สงขลา!J293"")"),0)</f>
        <v>0</v>
      </c>
      <c r="AE86" s="324">
        <f t="shared" ca="1" si="30"/>
        <v>0</v>
      </c>
      <c r="AF86" s="323">
        <f ca="1">IFERROR(__xludf.DUMMYFUNCTION("IMPORTRANGE(""https://docs.google.com/spreadsheets/d/16o_4B-V7AWw_6E93bSpXj_XxVv1oVQctk-B6z1dNEWU/edit?usp=sharing"",""สงขลา!J294"")"),0)</f>
        <v>0</v>
      </c>
      <c r="AG86" s="324">
        <f t="shared" ca="1" si="18"/>
        <v>0</v>
      </c>
    </row>
    <row r="87" spans="1:33" ht="24" customHeight="1" x14ac:dyDescent="0.2">
      <c r="A87" s="78">
        <v>13</v>
      </c>
      <c r="B87" s="79" t="s">
        <v>109</v>
      </c>
      <c r="C87" s="80">
        <f t="shared" ca="1" si="0"/>
        <v>0</v>
      </c>
      <c r="D87" s="81">
        <f t="shared" ca="1" si="55"/>
        <v>0</v>
      </c>
      <c r="E87" s="82">
        <f ca="1">IFERROR(__xludf.DUMMYFUNCTION("IMPORTRANGE(""https://docs.google.com/spreadsheets/d/1MeEWN-I1oV_STSDYn1IFDPWt_1FKiwhDph83XaGc0o0/edit?usp=sharing"",""งบพรบ!DJ87"")"),0)</f>
        <v>0</v>
      </c>
      <c r="F87" s="82">
        <f ca="1">IFERROR(__xludf.DUMMYFUNCTION("IMPORTRANGE(""https://docs.google.com/spreadsheets/d/1MeEWN-I1oV_STSDYn1IFDPWt_1FKiwhDph83XaGc0o0/edit?usp=sharing"",""งบพรบ!DK87"")"),0)</f>
        <v>0</v>
      </c>
      <c r="G87" s="82">
        <f ca="1">IFERROR(__xludf.DUMMYFUNCTION("IMPORTRANGE(""https://docs.google.com/spreadsheets/d/1MeEWN-I1oV_STSDYn1IFDPWt_1FKiwhDph83XaGc0o0/edit?usp=sharing"",""งบพรบ!DL87"")"),0)</f>
        <v>0</v>
      </c>
      <c r="H87" s="82">
        <f ca="1">IFERROR(__xludf.DUMMYFUNCTION("IMPORTRANGE(""https://docs.google.com/spreadsheets/d/1MeEWN-I1oV_STSDYn1IFDPWt_1FKiwhDph83XaGc0o0/edit?usp=sharing"",""งบพรบ!DN87"")"),0)</f>
        <v>0</v>
      </c>
      <c r="I87" s="82">
        <f ca="1">IFERROR(__xludf.DUMMYFUNCTION("IMPORTRANGE(""https://docs.google.com/spreadsheets/d/1MeEWN-I1oV_STSDYn1IFDPWt_1FKiwhDph83XaGc0o0/edit?usp=sharing"",""งบพรบ!DO87"")"),0)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IFERROR(__xludf.DUMMYFUNCTION("IMPORTRANGE(""https://docs.google.com/spreadsheets/d/1MeEWN-I1oV_STSDYn1IFDPWt_1FKiwhDph83XaGc0o0/edit?usp=sharing"",""งบพรบ!DP87"")"),0)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IFERROR(__xludf.DUMMYFUNCTION("IMPORTRANGE(""https://docs.google.com/spreadsheets/d/1MeEWN-I1oV_STSDYn1IFDPWt_1FKiwhDph83XaGc0o0/edit?usp=sharing"",""งบพรบ!DQ87"")"),0)</f>
        <v>0</v>
      </c>
      <c r="P87" s="85">
        <f t="shared" ca="1" si="32"/>
        <v>0</v>
      </c>
      <c r="Q87" s="84">
        <f t="shared" ca="1" si="8"/>
        <v>0</v>
      </c>
      <c r="R87" s="323">
        <f ca="1">IFERROR(__xludf.DUMMYFUNCTION("IMPORTRANGE(""https://docs.google.com/spreadsheets/d/16cywr71Fj4fA5OGRHsZh30ZG2gwJhMAQv69oVBzYHv0/edit?usp=sharing"",""สตูล!I287"")"),0)</f>
        <v>0</v>
      </c>
      <c r="S87" s="323">
        <f ca="1">IFERROR(__xludf.DUMMYFUNCTION("IMPORTRANGE(""https://docs.google.com/spreadsheets/d/16cywr71Fj4fA5OGRHsZh30ZG2gwJhMAQv69oVBzYHv0/edit?usp=sharing"",""สตูล!J287"")"),0)</f>
        <v>0</v>
      </c>
      <c r="T87" s="324">
        <f t="shared" ca="1" si="27"/>
        <v>0</v>
      </c>
      <c r="U87" s="323">
        <f ca="1">IFERROR(__xludf.DUMMYFUNCTION("IMPORTRANGE(""https://docs.google.com/spreadsheets/d/16cywr71Fj4fA5OGRHsZh30ZG2gwJhMAQv69oVBzYHv0/edit?usp=sharing"",""สตูล!I288"")"),0)</f>
        <v>0</v>
      </c>
      <c r="V87" s="323">
        <f ca="1">IFERROR(__xludf.DUMMYFUNCTION("IMPORTRANGE(""https://docs.google.com/spreadsheets/d/16cywr71Fj4fA5OGRHsZh30ZG2gwJhMAQv69oVBzYHv0/edit?usp=sharing"",""สตูล!J288"")"),0)</f>
        <v>0</v>
      </c>
      <c r="W87" s="324">
        <f t="shared" ca="1" si="28"/>
        <v>0</v>
      </c>
      <c r="X87" s="323">
        <f ca="1">IFERROR(__xludf.DUMMYFUNCTION("IMPORTRANGE(""https://docs.google.com/spreadsheets/d/16cywr71Fj4fA5OGRHsZh30ZG2gwJhMAQv69oVBzYHv0/edit?usp=sharing"",""สตูล!I290"")"),0)</f>
        <v>0</v>
      </c>
      <c r="Y87" s="323">
        <f ca="1">IFERROR(__xludf.DUMMYFUNCTION("IMPORTRANGE(""https://docs.google.com/spreadsheets/d/16cywr71Fj4fA5OGRHsZh30ZG2gwJhMAQv69oVBzYHv0/edit?usp=sharing"",""สตูล!J290"")"),0)</f>
        <v>0</v>
      </c>
      <c r="Z87" s="324">
        <f t="shared" ca="1" si="29"/>
        <v>0</v>
      </c>
      <c r="AA87" s="323">
        <f ca="1">IFERROR(__xludf.DUMMYFUNCTION("IMPORTRANGE(""https://docs.google.com/spreadsheets/d/16cywr71Fj4fA5OGRHsZh30ZG2gwJhMAQv69oVBzYHv0/edit?usp=sharing"",""สตูล!J291"")"),0)</f>
        <v>0</v>
      </c>
      <c r="AB87" s="324">
        <f t="shared" ca="1" si="15"/>
        <v>0</v>
      </c>
      <c r="AC87" s="323">
        <f ca="1">IFERROR(__xludf.DUMMYFUNCTION("IMPORTRANGE(""https://docs.google.com/spreadsheets/d/16cywr71Fj4fA5OGRHsZh30ZG2gwJhMAQv69oVBzYHv0/edit?usp=sharing"",""สตูล!I293"")"),0)</f>
        <v>0</v>
      </c>
      <c r="AD87" s="323">
        <f ca="1">IFERROR(__xludf.DUMMYFUNCTION("IMPORTRANGE(""https://docs.google.com/spreadsheets/d/16cywr71Fj4fA5OGRHsZh30ZG2gwJhMAQv69oVBzYHv0/edit?usp=sharing"",""สตูล!J293"")"),0)</f>
        <v>0</v>
      </c>
      <c r="AE87" s="324">
        <f t="shared" ca="1" si="30"/>
        <v>0</v>
      </c>
      <c r="AF87" s="323">
        <f ca="1">IFERROR(__xludf.DUMMYFUNCTION("IMPORTRANGE(""https://docs.google.com/spreadsheets/d/16cywr71Fj4fA5OGRHsZh30ZG2gwJhMAQv69oVBzYHv0/edit?usp=sharing"",""สตูล!J294"")"),0)</f>
        <v>0</v>
      </c>
      <c r="AG87" s="324">
        <f t="shared" ca="1" si="18"/>
        <v>0</v>
      </c>
    </row>
    <row r="88" spans="1:33" ht="24" customHeight="1" x14ac:dyDescent="0.2">
      <c r="A88" s="89">
        <v>14</v>
      </c>
      <c r="B88" s="90" t="s">
        <v>110</v>
      </c>
      <c r="C88" s="91">
        <f t="shared" ca="1" si="0"/>
        <v>41010</v>
      </c>
      <c r="D88" s="92">
        <f t="shared" ca="1" si="55"/>
        <v>41010</v>
      </c>
      <c r="E88" s="93">
        <f ca="1">IFERROR(__xludf.DUMMYFUNCTION("IMPORTRANGE(""https://docs.google.com/spreadsheets/d/1MeEWN-I1oV_STSDYn1IFDPWt_1FKiwhDph83XaGc0o0/edit?usp=sharing"",""งบพรบ!DJ88"")"),0)</f>
        <v>0</v>
      </c>
      <c r="F88" s="93">
        <f ca="1">IFERROR(__xludf.DUMMYFUNCTION("IMPORTRANGE(""https://docs.google.com/spreadsheets/d/1MeEWN-I1oV_STSDYn1IFDPWt_1FKiwhDph83XaGc0o0/edit?usp=sharing"",""งบพรบ!DK88"")"),41010)</f>
        <v>41010</v>
      </c>
      <c r="G88" s="93">
        <f ca="1">IFERROR(__xludf.DUMMYFUNCTION("IMPORTRANGE(""https://docs.google.com/spreadsheets/d/1MeEWN-I1oV_STSDYn1IFDPWt_1FKiwhDph83XaGc0o0/edit?usp=sharing"",""งบพรบ!DL88"")"),0)</f>
        <v>0</v>
      </c>
      <c r="H88" s="93">
        <f ca="1">IFERROR(__xludf.DUMMYFUNCTION("IMPORTRANGE(""https://docs.google.com/spreadsheets/d/1MeEWN-I1oV_STSDYn1IFDPWt_1FKiwhDph83XaGc0o0/edit?usp=sharing"",""งบพรบ!DN88"")"),21950)</f>
        <v>21950</v>
      </c>
      <c r="I88" s="93">
        <f ca="1">IFERROR(__xludf.DUMMYFUNCTION("IMPORTRANGE(""https://docs.google.com/spreadsheets/d/1MeEWN-I1oV_STSDYn1IFDPWt_1FKiwhDph83XaGc0o0/edit?usp=sharing"",""งบพรบ!DO88"")"),0)</f>
        <v>0</v>
      </c>
      <c r="J88" s="93">
        <f t="shared" ca="1" si="3"/>
        <v>21000</v>
      </c>
      <c r="K88" s="94">
        <f t="shared" ca="1" si="4"/>
        <v>51.207022677395756</v>
      </c>
      <c r="L88" s="93">
        <f ca="1">IFERROR(__xludf.DUMMYFUNCTION("IMPORTRANGE(""https://docs.google.com/spreadsheets/d/1MeEWN-I1oV_STSDYn1IFDPWt_1FKiwhDph83XaGc0o0/edit?usp=sharing"",""งบพรบ!DP88"")"),21000)</f>
        <v>21000</v>
      </c>
      <c r="M88" s="95">
        <f t="shared" ca="1" si="5"/>
        <v>51.207022677395756</v>
      </c>
      <c r="N88" s="95">
        <f t="shared" ca="1" si="6"/>
        <v>95.671981776765378</v>
      </c>
      <c r="O88" s="96">
        <f ca="1">IFERROR(__xludf.DUMMYFUNCTION("IMPORTRANGE(""https://docs.google.com/spreadsheets/d/1MeEWN-I1oV_STSDYn1IFDPWt_1FKiwhDph83XaGc0o0/edit?usp=sharing"",""งบพรบ!DQ88"")"),0)</f>
        <v>0</v>
      </c>
      <c r="P88" s="96">
        <f t="shared" ca="1" si="32"/>
        <v>0</v>
      </c>
      <c r="Q88" s="95">
        <f t="shared" ca="1" si="8"/>
        <v>0</v>
      </c>
      <c r="R88" s="325">
        <f ca="1">IFERROR(__xludf.DUMMYFUNCTION("IMPORTRANGE(""https://docs.google.com/spreadsheets/d/1vO9Sws6kMtrVtyvrAJptINXjK8TFBoX9xLYOVK_C8bQ/edit?usp=sharing"",""สุราษฎร์ธานี!I287"")"),100)</f>
        <v>100</v>
      </c>
      <c r="S88" s="325">
        <f ca="1">IFERROR(__xludf.DUMMYFUNCTION("IMPORTRANGE(""https://docs.google.com/spreadsheets/d/1vO9Sws6kMtrVtyvrAJptINXjK8TFBoX9xLYOVK_C8bQ/edit?usp=sharing"",""สุราษฎร์ธานี!J287"")"),0)</f>
        <v>0</v>
      </c>
      <c r="T88" s="326">
        <f t="shared" ca="1" si="27"/>
        <v>0</v>
      </c>
      <c r="U88" s="325">
        <f ca="1">IFERROR(__xludf.DUMMYFUNCTION("IMPORTRANGE(""https://docs.google.com/spreadsheets/d/1vO9Sws6kMtrVtyvrAJptINXjK8TFBoX9xLYOVK_C8bQ/edit?usp=sharing"",""สุราษฎร์ธานี!I288"")"),10)</f>
        <v>10</v>
      </c>
      <c r="V88" s="325">
        <f ca="1">IFERROR(__xludf.DUMMYFUNCTION("IMPORTRANGE(""https://docs.google.com/spreadsheets/d/1vO9Sws6kMtrVtyvrAJptINXjK8TFBoX9xLYOVK_C8bQ/edit?usp=sharing"",""สุราษฎร์ธานี!J288"")"),0)</f>
        <v>0</v>
      </c>
      <c r="W88" s="326">
        <f t="shared" ca="1" si="28"/>
        <v>0</v>
      </c>
      <c r="X88" s="325">
        <f ca="1">IFERROR(__xludf.DUMMYFUNCTION("IMPORTRANGE(""https://docs.google.com/spreadsheets/d/1vO9Sws6kMtrVtyvrAJptINXjK8TFBoX9xLYOVK_C8bQ/edit?usp=sharing"",""สุราษฎร์ธานี!I290"")"),10)</f>
        <v>10</v>
      </c>
      <c r="Y88" s="325">
        <f ca="1">IFERROR(__xludf.DUMMYFUNCTION("IMPORTRANGE(""https://docs.google.com/spreadsheets/d/1vO9Sws6kMtrVtyvrAJptINXjK8TFBoX9xLYOVK_C8bQ/edit?usp=sharing"",""สุราษฎร์ธานี!J290"")"),10)</f>
        <v>10</v>
      </c>
      <c r="Z88" s="326">
        <f t="shared" ca="1" si="29"/>
        <v>100</v>
      </c>
      <c r="AA88" s="325">
        <f ca="1">IFERROR(__xludf.DUMMYFUNCTION("IMPORTRANGE(""https://docs.google.com/spreadsheets/d/1vO9Sws6kMtrVtyvrAJptINXjK8TFBoX9xLYOVK_C8bQ/edit?usp=sharing"",""สุราษฎร์ธานี!J291"")"),10)</f>
        <v>10</v>
      </c>
      <c r="AB88" s="326">
        <f t="shared" ca="1" si="15"/>
        <v>100</v>
      </c>
      <c r="AC88" s="325">
        <f ca="1">IFERROR(__xludf.DUMMYFUNCTION("IMPORTRANGE(""https://docs.google.com/spreadsheets/d/1vO9Sws6kMtrVtyvrAJptINXjK8TFBoX9xLYOVK_C8bQ/edit?usp=sharing"",""สุราษฎร์ธานี!I293"")"),10)</f>
        <v>10</v>
      </c>
      <c r="AD88" s="325">
        <f ca="1">IFERROR(__xludf.DUMMYFUNCTION("IMPORTRANGE(""https://docs.google.com/spreadsheets/d/1vO9Sws6kMtrVtyvrAJptINXjK8TFBoX9xLYOVK_C8bQ/edit?usp=sharing"",""สุราษฎร์ธานี!J293"")"),0)</f>
        <v>0</v>
      </c>
      <c r="AE88" s="326">
        <f t="shared" ca="1" si="30"/>
        <v>0</v>
      </c>
      <c r="AF88" s="325">
        <f ca="1">IFERROR(__xludf.DUMMYFUNCTION("IMPORTRANGE(""https://docs.google.com/spreadsheets/d/1vO9Sws6kMtrVtyvrAJptINXjK8TFBoX9xLYOVK_C8bQ/edit?usp=sharing"",""สุราษฎร์ธานี!J294"")"),0)</f>
        <v>0</v>
      </c>
      <c r="AG88" s="326">
        <f t="shared" ca="1" si="18"/>
        <v>0</v>
      </c>
    </row>
    <row r="89" spans="1:33" ht="21" hidden="1" customHeight="1" x14ac:dyDescent="0.2">
      <c r="A89" s="381" t="s">
        <v>111</v>
      </c>
      <c r="B89" s="357"/>
      <c r="C89" s="107">
        <f t="shared" ca="1" si="0"/>
        <v>333950</v>
      </c>
      <c r="D89" s="46">
        <f t="shared" ref="D89:I89" ca="1" si="56">+D90+D91+D92+D93+D94+D95+D96+D97+D98+D99+D100+D101+D102+D103</f>
        <v>333950</v>
      </c>
      <c r="E89" s="46">
        <f t="shared" ca="1" si="56"/>
        <v>200800</v>
      </c>
      <c r="F89" s="46">
        <f t="shared" ca="1" si="56"/>
        <v>133150</v>
      </c>
      <c r="G89" s="46">
        <f t="shared" ca="1" si="56"/>
        <v>0</v>
      </c>
      <c r="H89" s="46">
        <f t="shared" ca="1" si="56"/>
        <v>1192320</v>
      </c>
      <c r="I89" s="46">
        <f t="shared" ca="1" si="56"/>
        <v>0</v>
      </c>
      <c r="J89" s="46">
        <f t="shared" ca="1" si="3"/>
        <v>31835.87</v>
      </c>
      <c r="K89" s="48">
        <f t="shared" ca="1" si="4"/>
        <v>9.5331247192693525</v>
      </c>
      <c r="L89" s="46">
        <f ca="1">+L90+L91+L92+L93+L94+L95+L96+L97+L98+L99+L100+L101+L102+L103</f>
        <v>31835.87</v>
      </c>
      <c r="M89" s="49">
        <f t="shared" ca="1" si="5"/>
        <v>9.5331247192693525</v>
      </c>
      <c r="N89" s="49">
        <f t="shared" ca="1" si="6"/>
        <v>2.670077663714439</v>
      </c>
      <c r="O89" s="50">
        <f ca="1">+O90+O91+O92+O93+O94+O95+O96+O97+O98+O99+O100+O101+O102+O103</f>
        <v>0</v>
      </c>
      <c r="P89" s="50">
        <f t="shared" ca="1" si="32"/>
        <v>0</v>
      </c>
      <c r="Q89" s="49">
        <f t="shared" ca="1" si="8"/>
        <v>0</v>
      </c>
      <c r="R89" s="315"/>
      <c r="S89" s="315"/>
      <c r="T89" s="316"/>
      <c r="U89" s="315"/>
      <c r="V89" s="315"/>
      <c r="W89" s="316"/>
      <c r="X89" s="315"/>
      <c r="Y89" s="315"/>
      <c r="Z89" s="316"/>
      <c r="AA89" s="315"/>
      <c r="AB89" s="316"/>
      <c r="AC89" s="315"/>
      <c r="AD89" s="315"/>
      <c r="AE89" s="316"/>
      <c r="AF89" s="315"/>
      <c r="AG89" s="316"/>
    </row>
    <row r="90" spans="1:33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57">+E90+F90</f>
        <v>0</v>
      </c>
      <c r="E90" s="72">
        <f ca="1">IFERROR(__xludf.DUMMYFUNCTION("IMPORTRANGE(""https://docs.google.com/spreadsheets/d/1MeEWN-I1oV_STSDYn1IFDPWt_1FKiwhDph83XaGc0o0/edit?usp=sharing"",""งบพรบ!DJ90"")"),0)</f>
        <v>0</v>
      </c>
      <c r="F90" s="72">
        <f ca="1">IFERROR(__xludf.DUMMYFUNCTION("IMPORTRANGE(""https://docs.google.com/spreadsheets/d/1MeEWN-I1oV_STSDYn1IFDPWt_1FKiwhDph83XaGc0o0/edit?usp=sharing"",""งบพรบ!DK90"")"),0)</f>
        <v>0</v>
      </c>
      <c r="G90" s="72">
        <f ca="1">IFERROR(__xludf.DUMMYFUNCTION("IMPORTRANGE(""https://docs.google.com/spreadsheets/d/1MeEWN-I1oV_STSDYn1IFDPWt_1FKiwhDph83XaGc0o0/edit?usp=sharing"",""งบพรบ!DL90"")"),0)</f>
        <v>0</v>
      </c>
      <c r="H90" s="72">
        <f ca="1">IFERROR(__xludf.DUMMYFUNCTION("IMPORTRANGE(""https://docs.google.com/spreadsheets/d/1MeEWN-I1oV_STSDYn1IFDPWt_1FKiwhDph83XaGc0o0/edit?usp=sharing"",""งบพรบ!DN90"")"),0)</f>
        <v>0</v>
      </c>
      <c r="I90" s="72">
        <f ca="1">IFERROR(__xludf.DUMMYFUNCTION("IMPORTRANGE(""https://docs.google.com/spreadsheets/d/1MeEWN-I1oV_STSDYn1IFDPWt_1FKiwhDph83XaGc0o0/edit?usp=sharing"",""งบพรบ!DO90"")"),0)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IFERROR(__xludf.DUMMYFUNCTION("IMPORTRANGE(""https://docs.google.com/spreadsheets/d/1MeEWN-I1oV_STSDYn1IFDPWt_1FKiwhDph83XaGc0o0/edit?usp=sharing"",""งบพรบ!DP90"")"),0)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IFERROR(__xludf.DUMMYFUNCTION("IMPORTRANGE(""https://docs.google.com/spreadsheets/d/1MeEWN-I1oV_STSDYn1IFDPWt_1FKiwhDph83XaGc0o0/edit?usp=sharing"",""งบพรบ!DQ90"")"),0)</f>
        <v>0</v>
      </c>
      <c r="P90" s="76">
        <f t="shared" ca="1" si="32"/>
        <v>0</v>
      </c>
      <c r="Q90" s="75">
        <f t="shared" ca="1" si="8"/>
        <v>0</v>
      </c>
      <c r="R90" s="329"/>
      <c r="S90" s="329"/>
      <c r="T90" s="330"/>
      <c r="U90" s="329"/>
      <c r="V90" s="329"/>
      <c r="W90" s="330"/>
      <c r="X90" s="329"/>
      <c r="Y90" s="329"/>
      <c r="Z90" s="330"/>
      <c r="AA90" s="329"/>
      <c r="AB90" s="330"/>
      <c r="AC90" s="329"/>
      <c r="AD90" s="329"/>
      <c r="AE90" s="330"/>
      <c r="AF90" s="329"/>
      <c r="AG90" s="330"/>
    </row>
    <row r="91" spans="1:33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57"/>
        <v>0</v>
      </c>
      <c r="E91" s="82">
        <f ca="1">IFERROR(__xludf.DUMMYFUNCTION("IMPORTRANGE(""https://docs.google.com/spreadsheets/d/1MeEWN-I1oV_STSDYn1IFDPWt_1FKiwhDph83XaGc0o0/edit?usp=sharing"",""งบพรบ!DJ91"")"),0)</f>
        <v>0</v>
      </c>
      <c r="F91" s="82">
        <f ca="1">IFERROR(__xludf.DUMMYFUNCTION("IMPORTRANGE(""https://docs.google.com/spreadsheets/d/1MeEWN-I1oV_STSDYn1IFDPWt_1FKiwhDph83XaGc0o0/edit?usp=sharing"",""งบพรบ!DK91"")"),0)</f>
        <v>0</v>
      </c>
      <c r="G91" s="82">
        <f ca="1">IFERROR(__xludf.DUMMYFUNCTION("IMPORTRANGE(""https://docs.google.com/spreadsheets/d/1MeEWN-I1oV_STSDYn1IFDPWt_1FKiwhDph83XaGc0o0/edit?usp=sharing"",""งบพรบ!DL91"")"),0)</f>
        <v>0</v>
      </c>
      <c r="H91" s="82">
        <f ca="1">IFERROR(__xludf.DUMMYFUNCTION("IMPORTRANGE(""https://docs.google.com/spreadsheets/d/1MeEWN-I1oV_STSDYn1IFDPWt_1FKiwhDph83XaGc0o0/edit?usp=sharing"",""งบพรบ!DN91"")"),0)</f>
        <v>0</v>
      </c>
      <c r="I91" s="82">
        <f ca="1">IFERROR(__xludf.DUMMYFUNCTION("IMPORTRANGE(""https://docs.google.com/spreadsheets/d/1MeEWN-I1oV_STSDYn1IFDPWt_1FKiwhDph83XaGc0o0/edit?usp=sharing"",""งบพรบ!DO91"")"),0)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IFERROR(__xludf.DUMMYFUNCTION("IMPORTRANGE(""https://docs.google.com/spreadsheets/d/1MeEWN-I1oV_STSDYn1IFDPWt_1FKiwhDph83XaGc0o0/edit?usp=sharing"",""งบพรบ!DP91"")"),0)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IFERROR(__xludf.DUMMYFUNCTION("IMPORTRANGE(""https://docs.google.com/spreadsheets/d/1MeEWN-I1oV_STSDYn1IFDPWt_1FKiwhDph83XaGc0o0/edit?usp=sharing"",""งบพรบ!DQ91"")"),0)</f>
        <v>0</v>
      </c>
      <c r="P91" s="85">
        <f t="shared" ca="1" si="32"/>
        <v>0</v>
      </c>
      <c r="Q91" s="84">
        <f t="shared" ca="1" si="8"/>
        <v>0</v>
      </c>
      <c r="R91" s="331"/>
      <c r="S91" s="331"/>
      <c r="T91" s="332"/>
      <c r="U91" s="331"/>
      <c r="V91" s="331"/>
      <c r="W91" s="332"/>
      <c r="X91" s="331"/>
      <c r="Y91" s="331"/>
      <c r="Z91" s="332"/>
      <c r="AA91" s="331"/>
      <c r="AB91" s="332"/>
      <c r="AC91" s="331"/>
      <c r="AD91" s="331"/>
      <c r="AE91" s="332"/>
      <c r="AF91" s="331"/>
      <c r="AG91" s="332"/>
    </row>
    <row r="92" spans="1:33" ht="24" hidden="1" customHeight="1" x14ac:dyDescent="0.2">
      <c r="A92" s="111">
        <v>3</v>
      </c>
      <c r="B92" s="112" t="s">
        <v>114</v>
      </c>
      <c r="C92" s="80">
        <f t="shared" ca="1" si="0"/>
        <v>100000</v>
      </c>
      <c r="D92" s="81">
        <f t="shared" ca="1" si="57"/>
        <v>100000</v>
      </c>
      <c r="E92" s="82">
        <f ca="1">IFERROR(__xludf.DUMMYFUNCTION("IMPORTRANGE(""https://docs.google.com/spreadsheets/d/1MeEWN-I1oV_STSDYn1IFDPWt_1FKiwhDph83XaGc0o0/edit?usp=sharing"",""งบพรบ!DJ92"")"),100000)</f>
        <v>100000</v>
      </c>
      <c r="F92" s="82">
        <f ca="1">IFERROR(__xludf.DUMMYFUNCTION("IMPORTRANGE(""https://docs.google.com/spreadsheets/d/1MeEWN-I1oV_STSDYn1IFDPWt_1FKiwhDph83XaGc0o0/edit?usp=sharing"",""งบพรบ!DK92"")"),0)</f>
        <v>0</v>
      </c>
      <c r="G92" s="82">
        <f ca="1">IFERROR(__xludf.DUMMYFUNCTION("IMPORTRANGE(""https://docs.google.com/spreadsheets/d/1MeEWN-I1oV_STSDYn1IFDPWt_1FKiwhDph83XaGc0o0/edit?usp=sharing"",""งบพรบ!DL92"")"),0)</f>
        <v>0</v>
      </c>
      <c r="H92" s="82">
        <f ca="1">IFERROR(__xludf.DUMMYFUNCTION("IMPORTRANGE(""https://docs.google.com/spreadsheets/d/1MeEWN-I1oV_STSDYn1IFDPWt_1FKiwhDph83XaGc0o0/edit?usp=sharing"",""งบพรบ!DN92"")"),110150)</f>
        <v>110150</v>
      </c>
      <c r="I92" s="82">
        <f ca="1">IFERROR(__xludf.DUMMYFUNCTION("IMPORTRANGE(""https://docs.google.com/spreadsheets/d/1MeEWN-I1oV_STSDYn1IFDPWt_1FKiwhDph83XaGc0o0/edit?usp=sharing"",""งบพรบ!DO92"")"),0)</f>
        <v>0</v>
      </c>
      <c r="J92" s="82">
        <f t="shared" ca="1" si="3"/>
        <v>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IFERROR(__xludf.DUMMYFUNCTION("IMPORTRANGE(""https://docs.google.com/spreadsheets/d/1MeEWN-I1oV_STSDYn1IFDPWt_1FKiwhDph83XaGc0o0/edit?usp=sharing"",""งบพรบ!DP92"")"),0)</f>
        <v>0</v>
      </c>
      <c r="M92" s="84">
        <f t="shared" ca="1" si="5"/>
        <v>0</v>
      </c>
      <c r="N92" s="84">
        <f t="shared" ca="1" si="6"/>
        <v>0</v>
      </c>
      <c r="O92" s="85">
        <f ca="1">IFERROR(__xludf.DUMMYFUNCTION("IMPORTRANGE(""https://docs.google.com/spreadsheets/d/1MeEWN-I1oV_STSDYn1IFDPWt_1FKiwhDph83XaGc0o0/edit?usp=sharing"",""งบพรบ!DQ92"")"),0)</f>
        <v>0</v>
      </c>
      <c r="P92" s="85">
        <f t="shared" ca="1" si="32"/>
        <v>0</v>
      </c>
      <c r="Q92" s="84">
        <f t="shared" ca="1" si="8"/>
        <v>0</v>
      </c>
      <c r="R92" s="331"/>
      <c r="S92" s="331"/>
      <c r="T92" s="332"/>
      <c r="U92" s="331"/>
      <c r="V92" s="331"/>
      <c r="W92" s="332"/>
      <c r="X92" s="331"/>
      <c r="Y92" s="331"/>
      <c r="Z92" s="332"/>
      <c r="AA92" s="331"/>
      <c r="AB92" s="332"/>
      <c r="AC92" s="331"/>
      <c r="AD92" s="331"/>
      <c r="AE92" s="332"/>
      <c r="AF92" s="331"/>
      <c r="AG92" s="332"/>
    </row>
    <row r="93" spans="1:33" ht="24" hidden="1" customHeight="1" x14ac:dyDescent="0.2">
      <c r="A93" s="111">
        <f t="shared" ref="A93:A103" si="58">+A92+1</f>
        <v>4</v>
      </c>
      <c r="B93" s="112" t="s">
        <v>115</v>
      </c>
      <c r="C93" s="80">
        <f t="shared" ca="1" si="0"/>
        <v>100800</v>
      </c>
      <c r="D93" s="81">
        <f t="shared" ca="1" si="57"/>
        <v>100800</v>
      </c>
      <c r="E93" s="82">
        <f ca="1">IFERROR(__xludf.DUMMYFUNCTION("IMPORTRANGE(""https://docs.google.com/spreadsheets/d/1MeEWN-I1oV_STSDYn1IFDPWt_1FKiwhDph83XaGc0o0/edit?usp=sharing"",""งบพรบ!DJ93"")"),100800)</f>
        <v>100800</v>
      </c>
      <c r="F93" s="82">
        <f ca="1">IFERROR(__xludf.DUMMYFUNCTION("IMPORTRANGE(""https://docs.google.com/spreadsheets/d/1MeEWN-I1oV_STSDYn1IFDPWt_1FKiwhDph83XaGc0o0/edit?usp=sharing"",""งบพรบ!DK93"")"),0)</f>
        <v>0</v>
      </c>
      <c r="G93" s="82">
        <f ca="1">IFERROR(__xludf.DUMMYFUNCTION("IMPORTRANGE(""https://docs.google.com/spreadsheets/d/1MeEWN-I1oV_STSDYn1IFDPWt_1FKiwhDph83XaGc0o0/edit?usp=sharing"",""งบพรบ!DL93"")"),0)</f>
        <v>0</v>
      </c>
      <c r="H93" s="82">
        <f ca="1">IFERROR(__xludf.DUMMYFUNCTION("IMPORTRANGE(""https://docs.google.com/spreadsheets/d/1MeEWN-I1oV_STSDYn1IFDPWt_1FKiwhDph83XaGc0o0/edit?usp=sharing"",""งบพรบ!DN93"")"),75600)</f>
        <v>75600</v>
      </c>
      <c r="I93" s="82">
        <f ca="1">IFERROR(__xludf.DUMMYFUNCTION("IMPORTRANGE(""https://docs.google.com/spreadsheets/d/1MeEWN-I1oV_STSDYn1IFDPWt_1FKiwhDph83XaGc0o0/edit?usp=sharing"",""งบพรบ!DO93"")"),0)</f>
        <v>0</v>
      </c>
      <c r="J93" s="82">
        <f t="shared" ca="1" si="3"/>
        <v>25800</v>
      </c>
      <c r="K93" s="83">
        <f t="shared" ca="1" si="4"/>
        <v>25.595238095238095</v>
      </c>
      <c r="L93" s="82">
        <f ca="1">IFERROR(__xludf.DUMMYFUNCTION("IMPORTRANGE(""https://docs.google.com/spreadsheets/d/1MeEWN-I1oV_STSDYn1IFDPWt_1FKiwhDph83XaGc0o0/edit?usp=sharing"",""งบพรบ!DP93"")"),25800)</f>
        <v>25800</v>
      </c>
      <c r="M93" s="84">
        <f t="shared" ca="1" si="5"/>
        <v>25.595238095238095</v>
      </c>
      <c r="N93" s="84">
        <f t="shared" ca="1" si="6"/>
        <v>34.126984126984127</v>
      </c>
      <c r="O93" s="85">
        <f ca="1">IFERROR(__xludf.DUMMYFUNCTION("IMPORTRANGE(""https://docs.google.com/spreadsheets/d/1MeEWN-I1oV_STSDYn1IFDPWt_1FKiwhDph83XaGc0o0/edit?usp=sharing"",""งบพรบ!DQ93"")"),0)</f>
        <v>0</v>
      </c>
      <c r="P93" s="85">
        <f t="shared" ca="1" si="32"/>
        <v>0</v>
      </c>
      <c r="Q93" s="84">
        <f t="shared" ca="1" si="8"/>
        <v>0</v>
      </c>
      <c r="R93" s="331"/>
      <c r="S93" s="331"/>
      <c r="T93" s="332"/>
      <c r="U93" s="331"/>
      <c r="V93" s="331"/>
      <c r="W93" s="332"/>
      <c r="X93" s="331"/>
      <c r="Y93" s="331"/>
      <c r="Z93" s="332"/>
      <c r="AA93" s="331"/>
      <c r="AB93" s="332"/>
      <c r="AC93" s="331"/>
      <c r="AD93" s="331"/>
      <c r="AE93" s="332"/>
      <c r="AF93" s="331"/>
      <c r="AG93" s="332"/>
    </row>
    <row r="94" spans="1:33" ht="24" hidden="1" customHeight="1" x14ac:dyDescent="0.2">
      <c r="A94" s="111">
        <f t="shared" si="58"/>
        <v>5</v>
      </c>
      <c r="B94" s="112" t="s">
        <v>116</v>
      </c>
      <c r="C94" s="80">
        <f t="shared" ca="1" si="0"/>
        <v>0</v>
      </c>
      <c r="D94" s="81">
        <f t="shared" ca="1" si="57"/>
        <v>0</v>
      </c>
      <c r="E94" s="82">
        <f ca="1">IFERROR(__xludf.DUMMYFUNCTION("IMPORTRANGE(""https://docs.google.com/spreadsheets/d/1MeEWN-I1oV_STSDYn1IFDPWt_1FKiwhDph83XaGc0o0/edit?usp=sharing"",""งบพรบ!DJ94"")"),0)</f>
        <v>0</v>
      </c>
      <c r="F94" s="82">
        <f ca="1">IFERROR(__xludf.DUMMYFUNCTION("IMPORTRANGE(""https://docs.google.com/spreadsheets/d/1MeEWN-I1oV_STSDYn1IFDPWt_1FKiwhDph83XaGc0o0/edit?usp=sharing"",""งบพรบ!DK94"")"),0)</f>
        <v>0</v>
      </c>
      <c r="G94" s="82">
        <f ca="1">IFERROR(__xludf.DUMMYFUNCTION("IMPORTRANGE(""https://docs.google.com/spreadsheets/d/1MeEWN-I1oV_STSDYn1IFDPWt_1FKiwhDph83XaGc0o0/edit?usp=sharing"",""งบพรบ!DL94"")"),0)</f>
        <v>0</v>
      </c>
      <c r="H94" s="82">
        <f ca="1">IFERROR(__xludf.DUMMYFUNCTION("IMPORTRANGE(""https://docs.google.com/spreadsheets/d/1MeEWN-I1oV_STSDYn1IFDPWt_1FKiwhDph83XaGc0o0/edit?usp=sharing"",""งบพรบ!DN94"")"),0)</f>
        <v>0</v>
      </c>
      <c r="I94" s="82">
        <f ca="1">IFERROR(__xludf.DUMMYFUNCTION("IMPORTRANGE(""https://docs.google.com/spreadsheets/d/1MeEWN-I1oV_STSDYn1IFDPWt_1FKiwhDph83XaGc0o0/edit?usp=sharing"",""งบพรบ!DO94"")"),0)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IFERROR(__xludf.DUMMYFUNCTION("IMPORTRANGE(""https://docs.google.com/spreadsheets/d/1MeEWN-I1oV_STSDYn1IFDPWt_1FKiwhDph83XaGc0o0/edit?usp=sharing"",""งบพรบ!DP94"")"),0)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IFERROR(__xludf.DUMMYFUNCTION("IMPORTRANGE(""https://docs.google.com/spreadsheets/d/1MeEWN-I1oV_STSDYn1IFDPWt_1FKiwhDph83XaGc0o0/edit?usp=sharing"",""งบพรบ!DQ94"")"),0)</f>
        <v>0</v>
      </c>
      <c r="P94" s="85">
        <f t="shared" ca="1" si="32"/>
        <v>0</v>
      </c>
      <c r="Q94" s="84">
        <f t="shared" ca="1" si="8"/>
        <v>0</v>
      </c>
      <c r="R94" s="331"/>
      <c r="S94" s="331"/>
      <c r="T94" s="332"/>
      <c r="U94" s="331"/>
      <c r="V94" s="331"/>
      <c r="W94" s="332"/>
      <c r="X94" s="331"/>
      <c r="Y94" s="331"/>
      <c r="Z94" s="332"/>
      <c r="AA94" s="331"/>
      <c r="AB94" s="332"/>
      <c r="AC94" s="331"/>
      <c r="AD94" s="331"/>
      <c r="AE94" s="332"/>
      <c r="AF94" s="331"/>
      <c r="AG94" s="332"/>
    </row>
    <row r="95" spans="1:33" ht="24" hidden="1" customHeight="1" x14ac:dyDescent="0.2">
      <c r="A95" s="111">
        <f t="shared" si="58"/>
        <v>6</v>
      </c>
      <c r="B95" s="112" t="s">
        <v>117</v>
      </c>
      <c r="C95" s="80">
        <f t="shared" ca="1" si="0"/>
        <v>0</v>
      </c>
      <c r="D95" s="81">
        <f t="shared" ca="1" si="57"/>
        <v>0</v>
      </c>
      <c r="E95" s="82">
        <f ca="1">IFERROR(__xludf.DUMMYFUNCTION("IMPORTRANGE(""https://docs.google.com/spreadsheets/d/1MeEWN-I1oV_STSDYn1IFDPWt_1FKiwhDph83XaGc0o0/edit?usp=sharing"",""งบพรบ!DJ95"")"),0)</f>
        <v>0</v>
      </c>
      <c r="F95" s="82">
        <f ca="1">IFERROR(__xludf.DUMMYFUNCTION("IMPORTRANGE(""https://docs.google.com/spreadsheets/d/1MeEWN-I1oV_STSDYn1IFDPWt_1FKiwhDph83XaGc0o0/edit?usp=sharing"",""งบพรบ!DK95"")"),0)</f>
        <v>0</v>
      </c>
      <c r="G95" s="82">
        <f ca="1">IFERROR(__xludf.DUMMYFUNCTION("IMPORTRANGE(""https://docs.google.com/spreadsheets/d/1MeEWN-I1oV_STSDYn1IFDPWt_1FKiwhDph83XaGc0o0/edit?usp=sharing"",""งบพรบ!DL95"")"),0)</f>
        <v>0</v>
      </c>
      <c r="H95" s="82">
        <f ca="1">IFERROR(__xludf.DUMMYFUNCTION("IMPORTRANGE(""https://docs.google.com/spreadsheets/d/1MeEWN-I1oV_STSDYn1IFDPWt_1FKiwhDph83XaGc0o0/edit?usp=sharing"",""งบพรบ!DN95"")"),0)</f>
        <v>0</v>
      </c>
      <c r="I95" s="82">
        <f ca="1">IFERROR(__xludf.DUMMYFUNCTION("IMPORTRANGE(""https://docs.google.com/spreadsheets/d/1MeEWN-I1oV_STSDYn1IFDPWt_1FKiwhDph83XaGc0o0/edit?usp=sharing"",""งบพรบ!DO95"")"),0)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IFERROR(__xludf.DUMMYFUNCTION("IMPORTRANGE(""https://docs.google.com/spreadsheets/d/1MeEWN-I1oV_STSDYn1IFDPWt_1FKiwhDph83XaGc0o0/edit?usp=sharing"",""งบพรบ!DP95"")"),0)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IFERROR(__xludf.DUMMYFUNCTION("IMPORTRANGE(""https://docs.google.com/spreadsheets/d/1MeEWN-I1oV_STSDYn1IFDPWt_1FKiwhDph83XaGc0o0/edit?usp=sharing"",""งบพรบ!DQ95"")"),0)</f>
        <v>0</v>
      </c>
      <c r="P95" s="85">
        <f t="shared" ca="1" si="32"/>
        <v>0</v>
      </c>
      <c r="Q95" s="84">
        <f t="shared" ca="1" si="8"/>
        <v>0</v>
      </c>
      <c r="R95" s="331"/>
      <c r="S95" s="331"/>
      <c r="T95" s="332"/>
      <c r="U95" s="331"/>
      <c r="V95" s="331"/>
      <c r="W95" s="332"/>
      <c r="X95" s="331"/>
      <c r="Y95" s="331"/>
      <c r="Z95" s="332"/>
      <c r="AA95" s="331"/>
      <c r="AB95" s="332"/>
      <c r="AC95" s="331"/>
      <c r="AD95" s="331"/>
      <c r="AE95" s="332"/>
      <c r="AF95" s="331"/>
      <c r="AG95" s="332"/>
    </row>
    <row r="96" spans="1:33" ht="24" hidden="1" customHeight="1" x14ac:dyDescent="0.2">
      <c r="A96" s="111">
        <f t="shared" si="58"/>
        <v>7</v>
      </c>
      <c r="B96" s="112" t="s">
        <v>118</v>
      </c>
      <c r="C96" s="80">
        <f t="shared" ca="1" si="0"/>
        <v>133150</v>
      </c>
      <c r="D96" s="81">
        <f t="shared" ca="1" si="57"/>
        <v>133150</v>
      </c>
      <c r="E96" s="82">
        <f ca="1">IFERROR(__xludf.DUMMYFUNCTION("IMPORTRANGE(""https://docs.google.com/spreadsheets/d/1MeEWN-I1oV_STSDYn1IFDPWt_1FKiwhDph83XaGc0o0/edit?usp=sharing"",""งบพรบ!DJ96"")"),0)</f>
        <v>0</v>
      </c>
      <c r="F96" s="82">
        <f ca="1">IFERROR(__xludf.DUMMYFUNCTION("IMPORTRANGE(""https://docs.google.com/spreadsheets/d/1MeEWN-I1oV_STSDYn1IFDPWt_1FKiwhDph83XaGc0o0/edit?usp=sharing"",""งบพรบ!DK96"")"),133150)</f>
        <v>133150</v>
      </c>
      <c r="G96" s="82">
        <f ca="1">IFERROR(__xludf.DUMMYFUNCTION("IMPORTRANGE(""https://docs.google.com/spreadsheets/d/1MeEWN-I1oV_STSDYn1IFDPWt_1FKiwhDph83XaGc0o0/edit?usp=sharing"",""งบพรบ!DL96"")"),0)</f>
        <v>0</v>
      </c>
      <c r="H96" s="82">
        <f ca="1">IFERROR(__xludf.DUMMYFUNCTION("IMPORTRANGE(""https://docs.google.com/spreadsheets/d/1MeEWN-I1oV_STSDYn1IFDPWt_1FKiwhDph83XaGc0o0/edit?usp=sharing"",""งบพรบ!DN96"")"),1006570)</f>
        <v>1006570</v>
      </c>
      <c r="I96" s="82">
        <f ca="1">IFERROR(__xludf.DUMMYFUNCTION("IMPORTRANGE(""https://docs.google.com/spreadsheets/d/1MeEWN-I1oV_STSDYn1IFDPWt_1FKiwhDph83XaGc0o0/edit?usp=sharing"",""งบพรบ!DO96"")"),0)</f>
        <v>0</v>
      </c>
      <c r="J96" s="82">
        <f t="shared" ca="1" si="3"/>
        <v>6035.87</v>
      </c>
      <c r="K96" s="83">
        <f t="shared" ca="1" si="4"/>
        <v>4.5331355613969206</v>
      </c>
      <c r="L96" s="82">
        <f ca="1">IFERROR(__xludf.DUMMYFUNCTION("IMPORTRANGE(""https://docs.google.com/spreadsheets/d/1MeEWN-I1oV_STSDYn1IFDPWt_1FKiwhDph83XaGc0o0/edit?usp=sharing"",""งบพรบ!DP96"")"),6035.87)</f>
        <v>6035.87</v>
      </c>
      <c r="M96" s="84">
        <f t="shared" ca="1" si="5"/>
        <v>4.5331355613969206</v>
      </c>
      <c r="N96" s="84">
        <f t="shared" ca="1" si="6"/>
        <v>0.59964731712647901</v>
      </c>
      <c r="O96" s="85">
        <f ca="1">IFERROR(__xludf.DUMMYFUNCTION("IMPORTRANGE(""https://docs.google.com/spreadsheets/d/1MeEWN-I1oV_STSDYn1IFDPWt_1FKiwhDph83XaGc0o0/edit?usp=sharing"",""งบพรบ!DQ96"")"),0)</f>
        <v>0</v>
      </c>
      <c r="P96" s="85">
        <f t="shared" ca="1" si="32"/>
        <v>0</v>
      </c>
      <c r="Q96" s="84">
        <f t="shared" ca="1" si="8"/>
        <v>0</v>
      </c>
      <c r="R96" s="331"/>
      <c r="S96" s="331"/>
      <c r="T96" s="332"/>
      <c r="U96" s="331"/>
      <c r="V96" s="331"/>
      <c r="W96" s="332"/>
      <c r="X96" s="331"/>
      <c r="Y96" s="331"/>
      <c r="Z96" s="332"/>
      <c r="AA96" s="331"/>
      <c r="AB96" s="332"/>
      <c r="AC96" s="331"/>
      <c r="AD96" s="331"/>
      <c r="AE96" s="332"/>
      <c r="AF96" s="331"/>
      <c r="AG96" s="332"/>
    </row>
    <row r="97" spans="1:33" ht="24" hidden="1" customHeight="1" x14ac:dyDescent="0.2">
      <c r="A97" s="111">
        <f t="shared" si="58"/>
        <v>8</v>
      </c>
      <c r="B97" s="112" t="s">
        <v>119</v>
      </c>
      <c r="C97" s="80">
        <f t="shared" ca="1" si="0"/>
        <v>0</v>
      </c>
      <c r="D97" s="81">
        <f t="shared" ca="1" si="57"/>
        <v>0</v>
      </c>
      <c r="E97" s="82">
        <f ca="1">IFERROR(__xludf.DUMMYFUNCTION("IMPORTRANGE(""https://docs.google.com/spreadsheets/d/1MeEWN-I1oV_STSDYn1IFDPWt_1FKiwhDph83XaGc0o0/edit?usp=sharing"",""งบพรบ!DJ97"")"),0)</f>
        <v>0</v>
      </c>
      <c r="F97" s="82">
        <f ca="1">IFERROR(__xludf.DUMMYFUNCTION("IMPORTRANGE(""https://docs.google.com/spreadsheets/d/1MeEWN-I1oV_STSDYn1IFDPWt_1FKiwhDph83XaGc0o0/edit?usp=sharing"",""งบพรบ!DK97"")"),0)</f>
        <v>0</v>
      </c>
      <c r="G97" s="82">
        <f ca="1">IFERROR(__xludf.DUMMYFUNCTION("IMPORTRANGE(""https://docs.google.com/spreadsheets/d/1MeEWN-I1oV_STSDYn1IFDPWt_1FKiwhDph83XaGc0o0/edit?usp=sharing"",""งบพรบ!DL97"")"),0)</f>
        <v>0</v>
      </c>
      <c r="H97" s="82">
        <f ca="1">IFERROR(__xludf.DUMMYFUNCTION("IMPORTRANGE(""https://docs.google.com/spreadsheets/d/1MeEWN-I1oV_STSDYn1IFDPWt_1FKiwhDph83XaGc0o0/edit?usp=sharing"",""งบพรบ!DN97"")"),0)</f>
        <v>0</v>
      </c>
      <c r="I97" s="82">
        <f ca="1">IFERROR(__xludf.DUMMYFUNCTION("IMPORTRANGE(""https://docs.google.com/spreadsheets/d/1MeEWN-I1oV_STSDYn1IFDPWt_1FKiwhDph83XaGc0o0/edit?usp=sharing"",""งบพรบ!DO97"")"),0)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IFERROR(__xludf.DUMMYFUNCTION("IMPORTRANGE(""https://docs.google.com/spreadsheets/d/1MeEWN-I1oV_STSDYn1IFDPWt_1FKiwhDph83XaGc0o0/edit?usp=sharing"",""งบพรบ!DP97"")"),0)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IFERROR(__xludf.DUMMYFUNCTION("IMPORTRANGE(""https://docs.google.com/spreadsheets/d/1MeEWN-I1oV_STSDYn1IFDPWt_1FKiwhDph83XaGc0o0/edit?usp=sharing"",""งบพรบ!DQ97"")"),0)</f>
        <v>0</v>
      </c>
      <c r="P97" s="85">
        <f t="shared" ca="1" si="32"/>
        <v>0</v>
      </c>
      <c r="Q97" s="84">
        <f t="shared" ca="1" si="8"/>
        <v>0</v>
      </c>
      <c r="R97" s="331"/>
      <c r="S97" s="331"/>
      <c r="T97" s="332"/>
      <c r="U97" s="331"/>
      <c r="V97" s="331"/>
      <c r="W97" s="332"/>
      <c r="X97" s="331"/>
      <c r="Y97" s="331"/>
      <c r="Z97" s="332"/>
      <c r="AA97" s="331"/>
      <c r="AB97" s="332"/>
      <c r="AC97" s="331"/>
      <c r="AD97" s="331"/>
      <c r="AE97" s="332"/>
      <c r="AF97" s="331"/>
      <c r="AG97" s="332"/>
    </row>
    <row r="98" spans="1:33" ht="24" hidden="1" customHeight="1" x14ac:dyDescent="0.2">
      <c r="A98" s="111">
        <f t="shared" si="58"/>
        <v>9</v>
      </c>
      <c r="B98" s="112" t="s">
        <v>120</v>
      </c>
      <c r="C98" s="80">
        <f t="shared" ca="1" si="0"/>
        <v>0</v>
      </c>
      <c r="D98" s="81">
        <f t="shared" ca="1" si="57"/>
        <v>0</v>
      </c>
      <c r="E98" s="82">
        <f ca="1">IFERROR(__xludf.DUMMYFUNCTION("IMPORTRANGE(""https://docs.google.com/spreadsheets/d/1MeEWN-I1oV_STSDYn1IFDPWt_1FKiwhDph83XaGc0o0/edit?usp=sharing"",""งบพรบ!DJ98"")"),0)</f>
        <v>0</v>
      </c>
      <c r="F98" s="82">
        <f ca="1">IFERROR(__xludf.DUMMYFUNCTION("IMPORTRANGE(""https://docs.google.com/spreadsheets/d/1MeEWN-I1oV_STSDYn1IFDPWt_1FKiwhDph83XaGc0o0/edit?usp=sharing"",""งบพรบ!DK98"")"),0)</f>
        <v>0</v>
      </c>
      <c r="G98" s="82">
        <f ca="1">IFERROR(__xludf.DUMMYFUNCTION("IMPORTRANGE(""https://docs.google.com/spreadsheets/d/1MeEWN-I1oV_STSDYn1IFDPWt_1FKiwhDph83XaGc0o0/edit?usp=sharing"",""งบพรบ!DL98"")"),0)</f>
        <v>0</v>
      </c>
      <c r="H98" s="82">
        <f ca="1">IFERROR(__xludf.DUMMYFUNCTION("IMPORTRANGE(""https://docs.google.com/spreadsheets/d/1MeEWN-I1oV_STSDYn1IFDPWt_1FKiwhDph83XaGc0o0/edit?usp=sharing"",""งบพรบ!DN98"")"),0)</f>
        <v>0</v>
      </c>
      <c r="I98" s="82">
        <f ca="1">IFERROR(__xludf.DUMMYFUNCTION("IMPORTRANGE(""https://docs.google.com/spreadsheets/d/1MeEWN-I1oV_STSDYn1IFDPWt_1FKiwhDph83XaGc0o0/edit?usp=sharing"",""งบพรบ!DO98"")"),0)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IFERROR(__xludf.DUMMYFUNCTION("IMPORTRANGE(""https://docs.google.com/spreadsheets/d/1MeEWN-I1oV_STSDYn1IFDPWt_1FKiwhDph83XaGc0o0/edit?usp=sharing"",""งบพรบ!DP98"")"),0)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IFERROR(__xludf.DUMMYFUNCTION("IMPORTRANGE(""https://docs.google.com/spreadsheets/d/1MeEWN-I1oV_STSDYn1IFDPWt_1FKiwhDph83XaGc0o0/edit?usp=sharing"",""งบพรบ!DQ98"")"),0)</f>
        <v>0</v>
      </c>
      <c r="P98" s="85">
        <f t="shared" ca="1" si="32"/>
        <v>0</v>
      </c>
      <c r="Q98" s="84">
        <f t="shared" ca="1" si="8"/>
        <v>0</v>
      </c>
      <c r="R98" s="331"/>
      <c r="S98" s="331"/>
      <c r="T98" s="332"/>
      <c r="U98" s="331"/>
      <c r="V98" s="331"/>
      <c r="W98" s="332"/>
      <c r="X98" s="331"/>
      <c r="Y98" s="331"/>
      <c r="Z98" s="332"/>
      <c r="AA98" s="331"/>
      <c r="AB98" s="332"/>
      <c r="AC98" s="331"/>
      <c r="AD98" s="331"/>
      <c r="AE98" s="332"/>
      <c r="AF98" s="331"/>
      <c r="AG98" s="332"/>
    </row>
    <row r="99" spans="1:33" ht="24" hidden="1" customHeight="1" x14ac:dyDescent="0.2">
      <c r="A99" s="111">
        <f t="shared" si="58"/>
        <v>10</v>
      </c>
      <c r="B99" s="112" t="s">
        <v>121</v>
      </c>
      <c r="C99" s="80">
        <f t="shared" ca="1" si="0"/>
        <v>0</v>
      </c>
      <c r="D99" s="81">
        <f t="shared" ca="1" si="57"/>
        <v>0</v>
      </c>
      <c r="E99" s="82">
        <f ca="1">IFERROR(__xludf.DUMMYFUNCTION("IMPORTRANGE(""https://docs.google.com/spreadsheets/d/1MeEWN-I1oV_STSDYn1IFDPWt_1FKiwhDph83XaGc0o0/edit?usp=sharing"",""งบพรบ!DJ99"")"),0)</f>
        <v>0</v>
      </c>
      <c r="F99" s="82">
        <f ca="1">IFERROR(__xludf.DUMMYFUNCTION("IMPORTRANGE(""https://docs.google.com/spreadsheets/d/1MeEWN-I1oV_STSDYn1IFDPWt_1FKiwhDph83XaGc0o0/edit?usp=sharing"",""งบพรบ!DK99"")"),0)</f>
        <v>0</v>
      </c>
      <c r="G99" s="82">
        <f ca="1">IFERROR(__xludf.DUMMYFUNCTION("IMPORTRANGE(""https://docs.google.com/spreadsheets/d/1MeEWN-I1oV_STSDYn1IFDPWt_1FKiwhDph83XaGc0o0/edit?usp=sharing"",""งบพรบ!DL99"")"),0)</f>
        <v>0</v>
      </c>
      <c r="H99" s="82">
        <f ca="1">IFERROR(__xludf.DUMMYFUNCTION("IMPORTRANGE(""https://docs.google.com/spreadsheets/d/1MeEWN-I1oV_STSDYn1IFDPWt_1FKiwhDph83XaGc0o0/edit?usp=sharing"",""งบพรบ!DN99"")"),0)</f>
        <v>0</v>
      </c>
      <c r="I99" s="82">
        <f ca="1">IFERROR(__xludf.DUMMYFUNCTION("IMPORTRANGE(""https://docs.google.com/spreadsheets/d/1MeEWN-I1oV_STSDYn1IFDPWt_1FKiwhDph83XaGc0o0/edit?usp=sharing"",""งบพรบ!DO99"")"),0)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IFERROR(__xludf.DUMMYFUNCTION("IMPORTRANGE(""https://docs.google.com/spreadsheets/d/1MeEWN-I1oV_STSDYn1IFDPWt_1FKiwhDph83XaGc0o0/edit?usp=sharing"",""งบพรบ!DP99"")"),0)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IFERROR(__xludf.DUMMYFUNCTION("IMPORTRANGE(""https://docs.google.com/spreadsheets/d/1MeEWN-I1oV_STSDYn1IFDPWt_1FKiwhDph83XaGc0o0/edit?usp=sharing"",""งบพรบ!DQ99"")"),0)</f>
        <v>0</v>
      </c>
      <c r="P99" s="85">
        <f t="shared" ca="1" si="32"/>
        <v>0</v>
      </c>
      <c r="Q99" s="84">
        <f t="shared" ca="1" si="8"/>
        <v>0</v>
      </c>
      <c r="R99" s="331"/>
      <c r="S99" s="331"/>
      <c r="T99" s="332"/>
      <c r="U99" s="331"/>
      <c r="V99" s="331"/>
      <c r="W99" s="332"/>
      <c r="X99" s="331"/>
      <c r="Y99" s="331"/>
      <c r="Z99" s="332"/>
      <c r="AA99" s="331"/>
      <c r="AB99" s="332"/>
      <c r="AC99" s="331"/>
      <c r="AD99" s="331"/>
      <c r="AE99" s="332"/>
      <c r="AF99" s="331"/>
      <c r="AG99" s="332"/>
    </row>
    <row r="100" spans="1:33" ht="24" hidden="1" customHeight="1" x14ac:dyDescent="0.2">
      <c r="A100" s="111">
        <f t="shared" si="58"/>
        <v>11</v>
      </c>
      <c r="B100" s="112" t="s">
        <v>122</v>
      </c>
      <c r="C100" s="80">
        <f t="shared" ca="1" si="0"/>
        <v>0</v>
      </c>
      <c r="D100" s="81">
        <f t="shared" ca="1" si="57"/>
        <v>0</v>
      </c>
      <c r="E100" s="82">
        <f ca="1">IFERROR(__xludf.DUMMYFUNCTION("IMPORTRANGE(""https://docs.google.com/spreadsheets/d/1MeEWN-I1oV_STSDYn1IFDPWt_1FKiwhDph83XaGc0o0/edit?usp=sharing"",""งบพรบ!DJ100"")"),0)</f>
        <v>0</v>
      </c>
      <c r="F100" s="82">
        <f ca="1">IFERROR(__xludf.DUMMYFUNCTION("IMPORTRANGE(""https://docs.google.com/spreadsheets/d/1MeEWN-I1oV_STSDYn1IFDPWt_1FKiwhDph83XaGc0o0/edit?usp=sharing"",""งบพรบ!DK100"")"),0)</f>
        <v>0</v>
      </c>
      <c r="G100" s="82">
        <f ca="1">IFERROR(__xludf.DUMMYFUNCTION("IMPORTRANGE(""https://docs.google.com/spreadsheets/d/1MeEWN-I1oV_STSDYn1IFDPWt_1FKiwhDph83XaGc0o0/edit?usp=sharing"",""งบพรบ!DL100"")"),0)</f>
        <v>0</v>
      </c>
      <c r="H100" s="82">
        <f ca="1">IFERROR(__xludf.DUMMYFUNCTION("IMPORTRANGE(""https://docs.google.com/spreadsheets/d/1MeEWN-I1oV_STSDYn1IFDPWt_1FKiwhDph83XaGc0o0/edit?usp=sharing"",""งบพรบ!DN100"")"),0)</f>
        <v>0</v>
      </c>
      <c r="I100" s="82">
        <f ca="1">IFERROR(__xludf.DUMMYFUNCTION("IMPORTRANGE(""https://docs.google.com/spreadsheets/d/1MeEWN-I1oV_STSDYn1IFDPWt_1FKiwhDph83XaGc0o0/edit?usp=sharing"",""งบพรบ!DO100"")"),0)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IFERROR(__xludf.DUMMYFUNCTION("IMPORTRANGE(""https://docs.google.com/spreadsheets/d/1MeEWN-I1oV_STSDYn1IFDPWt_1FKiwhDph83XaGc0o0/edit?usp=sharing"",""งบพรบ!DP100"")"),0)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IFERROR(__xludf.DUMMYFUNCTION("IMPORTRANGE(""https://docs.google.com/spreadsheets/d/1MeEWN-I1oV_STSDYn1IFDPWt_1FKiwhDph83XaGc0o0/edit?usp=sharing"",""งบพรบ!DQ100"")"),0)</f>
        <v>0</v>
      </c>
      <c r="P100" s="85">
        <f t="shared" ca="1" si="32"/>
        <v>0</v>
      </c>
      <c r="Q100" s="84">
        <f t="shared" ca="1" si="8"/>
        <v>0</v>
      </c>
      <c r="R100" s="331"/>
      <c r="S100" s="331"/>
      <c r="T100" s="332"/>
      <c r="U100" s="331"/>
      <c r="V100" s="331"/>
      <c r="W100" s="332"/>
      <c r="X100" s="331"/>
      <c r="Y100" s="331"/>
      <c r="Z100" s="332"/>
      <c r="AA100" s="331"/>
      <c r="AB100" s="332"/>
      <c r="AC100" s="331"/>
      <c r="AD100" s="331"/>
      <c r="AE100" s="332"/>
      <c r="AF100" s="331"/>
      <c r="AG100" s="332"/>
    </row>
    <row r="101" spans="1:33" ht="24" hidden="1" customHeight="1" x14ac:dyDescent="0.2">
      <c r="A101" s="111">
        <f t="shared" si="58"/>
        <v>12</v>
      </c>
      <c r="B101" s="112" t="s">
        <v>123</v>
      </c>
      <c r="C101" s="80">
        <f t="shared" ca="1" si="0"/>
        <v>0</v>
      </c>
      <c r="D101" s="81">
        <f t="shared" ca="1" si="57"/>
        <v>0</v>
      </c>
      <c r="E101" s="82">
        <f ca="1">IFERROR(__xludf.DUMMYFUNCTION("IMPORTRANGE(""https://docs.google.com/spreadsheets/d/1MeEWN-I1oV_STSDYn1IFDPWt_1FKiwhDph83XaGc0o0/edit?usp=sharing"",""งบพรบ!DJ101"")"),0)</f>
        <v>0</v>
      </c>
      <c r="F101" s="82">
        <f ca="1">IFERROR(__xludf.DUMMYFUNCTION("IMPORTRANGE(""https://docs.google.com/spreadsheets/d/1MeEWN-I1oV_STSDYn1IFDPWt_1FKiwhDph83XaGc0o0/edit?usp=sharing"",""งบพรบ!DK101"")"),0)</f>
        <v>0</v>
      </c>
      <c r="G101" s="82">
        <f ca="1">IFERROR(__xludf.DUMMYFUNCTION("IMPORTRANGE(""https://docs.google.com/spreadsheets/d/1MeEWN-I1oV_STSDYn1IFDPWt_1FKiwhDph83XaGc0o0/edit?usp=sharing"",""งบพรบ!DL101"")"),0)</f>
        <v>0</v>
      </c>
      <c r="H101" s="82">
        <f ca="1">IFERROR(__xludf.DUMMYFUNCTION("IMPORTRANGE(""https://docs.google.com/spreadsheets/d/1MeEWN-I1oV_STSDYn1IFDPWt_1FKiwhDph83XaGc0o0/edit?usp=sharing"",""งบพรบ!DN101"")"),0)</f>
        <v>0</v>
      </c>
      <c r="I101" s="82">
        <f ca="1">IFERROR(__xludf.DUMMYFUNCTION("IMPORTRANGE(""https://docs.google.com/spreadsheets/d/1MeEWN-I1oV_STSDYn1IFDPWt_1FKiwhDph83XaGc0o0/edit?usp=sharing"",""งบพรบ!DO101"")"),0)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IFERROR(__xludf.DUMMYFUNCTION("IMPORTRANGE(""https://docs.google.com/spreadsheets/d/1MeEWN-I1oV_STSDYn1IFDPWt_1FKiwhDph83XaGc0o0/edit?usp=sharing"",""งบพรบ!DP101"")"),0)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IFERROR(__xludf.DUMMYFUNCTION("IMPORTRANGE(""https://docs.google.com/spreadsheets/d/1MeEWN-I1oV_STSDYn1IFDPWt_1FKiwhDph83XaGc0o0/edit?usp=sharing"",""งบพรบ!DQ101"")"),0)</f>
        <v>0</v>
      </c>
      <c r="P101" s="85">
        <f t="shared" ca="1" si="32"/>
        <v>0</v>
      </c>
      <c r="Q101" s="84">
        <f t="shared" ca="1" si="8"/>
        <v>0</v>
      </c>
      <c r="R101" s="331"/>
      <c r="S101" s="331"/>
      <c r="T101" s="332"/>
      <c r="U101" s="331"/>
      <c r="V101" s="331"/>
      <c r="W101" s="332"/>
      <c r="X101" s="331"/>
      <c r="Y101" s="331"/>
      <c r="Z101" s="332"/>
      <c r="AA101" s="331"/>
      <c r="AB101" s="332"/>
      <c r="AC101" s="331"/>
      <c r="AD101" s="331"/>
      <c r="AE101" s="332"/>
      <c r="AF101" s="331"/>
      <c r="AG101" s="332"/>
    </row>
    <row r="102" spans="1:33" ht="24" hidden="1" customHeight="1" x14ac:dyDescent="0.2">
      <c r="A102" s="111">
        <f t="shared" si="58"/>
        <v>13</v>
      </c>
      <c r="B102" s="112" t="s">
        <v>124</v>
      </c>
      <c r="C102" s="80">
        <f t="shared" ca="1" si="0"/>
        <v>0</v>
      </c>
      <c r="D102" s="81">
        <f t="shared" ca="1" si="57"/>
        <v>0</v>
      </c>
      <c r="E102" s="82">
        <f ca="1">IFERROR(__xludf.DUMMYFUNCTION("IMPORTRANGE(""https://docs.google.com/spreadsheets/d/1MeEWN-I1oV_STSDYn1IFDPWt_1FKiwhDph83XaGc0o0/edit?usp=sharing"",""งบพรบ!DJ102"")"),0)</f>
        <v>0</v>
      </c>
      <c r="F102" s="82">
        <f ca="1">IFERROR(__xludf.DUMMYFUNCTION("IMPORTRANGE(""https://docs.google.com/spreadsheets/d/1MeEWN-I1oV_STSDYn1IFDPWt_1FKiwhDph83XaGc0o0/edit?usp=sharing"",""งบพรบ!DK102"")"),0)</f>
        <v>0</v>
      </c>
      <c r="G102" s="82">
        <f ca="1">IFERROR(__xludf.DUMMYFUNCTION("IMPORTRANGE(""https://docs.google.com/spreadsheets/d/1MeEWN-I1oV_STSDYn1IFDPWt_1FKiwhDph83XaGc0o0/edit?usp=sharing"",""งบพรบ!DL102"")"),0)</f>
        <v>0</v>
      </c>
      <c r="H102" s="82">
        <f ca="1">IFERROR(__xludf.DUMMYFUNCTION("IMPORTRANGE(""https://docs.google.com/spreadsheets/d/1MeEWN-I1oV_STSDYn1IFDPWt_1FKiwhDph83XaGc0o0/edit?usp=sharing"",""งบพรบ!DN102"")"),0)</f>
        <v>0</v>
      </c>
      <c r="I102" s="82">
        <f ca="1">IFERROR(__xludf.DUMMYFUNCTION("IMPORTRANGE(""https://docs.google.com/spreadsheets/d/1MeEWN-I1oV_STSDYn1IFDPWt_1FKiwhDph83XaGc0o0/edit?usp=sharing"",""งบพรบ!DO102"")"),0)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IFERROR(__xludf.DUMMYFUNCTION("IMPORTRANGE(""https://docs.google.com/spreadsheets/d/1MeEWN-I1oV_STSDYn1IFDPWt_1FKiwhDph83XaGc0o0/edit?usp=sharing"",""งบพรบ!DP102"")"),0)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IFERROR(__xludf.DUMMYFUNCTION("IMPORTRANGE(""https://docs.google.com/spreadsheets/d/1MeEWN-I1oV_STSDYn1IFDPWt_1FKiwhDph83XaGc0o0/edit?usp=sharing"",""งบพรบ!DQ102"")"),0)</f>
        <v>0</v>
      </c>
      <c r="P102" s="85">
        <f t="shared" ca="1" si="32"/>
        <v>0</v>
      </c>
      <c r="Q102" s="84">
        <f t="shared" ca="1" si="8"/>
        <v>0</v>
      </c>
      <c r="R102" s="331"/>
      <c r="S102" s="331"/>
      <c r="T102" s="332"/>
      <c r="U102" s="331"/>
      <c r="V102" s="331"/>
      <c r="W102" s="332"/>
      <c r="X102" s="331"/>
      <c r="Y102" s="331"/>
      <c r="Z102" s="332"/>
      <c r="AA102" s="331"/>
      <c r="AB102" s="332"/>
      <c r="AC102" s="331"/>
      <c r="AD102" s="331"/>
      <c r="AE102" s="332"/>
      <c r="AF102" s="331"/>
      <c r="AG102" s="332"/>
    </row>
    <row r="103" spans="1:33" ht="24" hidden="1" customHeight="1" x14ac:dyDescent="0.2">
      <c r="A103" s="113">
        <f t="shared" si="58"/>
        <v>14</v>
      </c>
      <c r="B103" s="114" t="s">
        <v>125</v>
      </c>
      <c r="C103" s="91">
        <f t="shared" ca="1" si="0"/>
        <v>0</v>
      </c>
      <c r="D103" s="92">
        <f t="shared" ca="1" si="57"/>
        <v>0</v>
      </c>
      <c r="E103" s="93">
        <f ca="1">IFERROR(__xludf.DUMMYFUNCTION("IMPORTRANGE(""https://docs.google.com/spreadsheets/d/1MeEWN-I1oV_STSDYn1IFDPWt_1FKiwhDph83XaGc0o0/edit?usp=sharing"",""งบพรบ!DJ103"")"),0)</f>
        <v>0</v>
      </c>
      <c r="F103" s="93">
        <f ca="1">IFERROR(__xludf.DUMMYFUNCTION("IMPORTRANGE(""https://docs.google.com/spreadsheets/d/1MeEWN-I1oV_STSDYn1IFDPWt_1FKiwhDph83XaGc0o0/edit?usp=sharing"",""งบพรบ!DK103"")"),0)</f>
        <v>0</v>
      </c>
      <c r="G103" s="93">
        <f ca="1">IFERROR(__xludf.DUMMYFUNCTION("IMPORTRANGE(""https://docs.google.com/spreadsheets/d/1MeEWN-I1oV_STSDYn1IFDPWt_1FKiwhDph83XaGc0o0/edit?usp=sharing"",""งบพรบ!DL103"")"),0)</f>
        <v>0</v>
      </c>
      <c r="H103" s="93">
        <f ca="1">IFERROR(__xludf.DUMMYFUNCTION("IMPORTRANGE(""https://docs.google.com/spreadsheets/d/1MeEWN-I1oV_STSDYn1IFDPWt_1FKiwhDph83XaGc0o0/edit?usp=sharing"",""งบพรบ!DN103"")"),0)</f>
        <v>0</v>
      </c>
      <c r="I103" s="93">
        <f ca="1">IFERROR(__xludf.DUMMYFUNCTION("IMPORTRANGE(""https://docs.google.com/spreadsheets/d/1MeEWN-I1oV_STSDYn1IFDPWt_1FKiwhDph83XaGc0o0/edit?usp=sharing"",""งบพรบ!DO103"")"),0)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IFERROR(__xludf.DUMMYFUNCTION("IMPORTRANGE(""https://docs.google.com/spreadsheets/d/1MeEWN-I1oV_STSDYn1IFDPWt_1FKiwhDph83XaGc0o0/edit?usp=sharing"",""งบพรบ!DP103"")"),0)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IFERROR(__xludf.DUMMYFUNCTION("IMPORTRANGE(""https://docs.google.com/spreadsheets/d/1MeEWN-I1oV_STSDYn1IFDPWt_1FKiwhDph83XaGc0o0/edit?usp=sharing"",""งบพรบ!DQ103"")"),0)</f>
        <v>0</v>
      </c>
      <c r="P103" s="96">
        <f t="shared" ca="1" si="32"/>
        <v>0</v>
      </c>
      <c r="Q103" s="95">
        <f t="shared" ca="1" si="8"/>
        <v>0</v>
      </c>
      <c r="R103" s="333"/>
      <c r="S103" s="333"/>
      <c r="T103" s="334"/>
      <c r="U103" s="333"/>
      <c r="V103" s="333"/>
      <c r="W103" s="334"/>
      <c r="X103" s="333"/>
      <c r="Y103" s="333"/>
      <c r="Z103" s="334"/>
      <c r="AA103" s="333"/>
      <c r="AB103" s="334"/>
      <c r="AC103" s="333"/>
      <c r="AD103" s="333"/>
      <c r="AE103" s="334"/>
      <c r="AF103" s="333"/>
      <c r="AG103" s="334"/>
    </row>
    <row r="104" spans="1:33" ht="21" hidden="1" customHeight="1" x14ac:dyDescent="0.2">
      <c r="A104" s="381" t="s">
        <v>126</v>
      </c>
      <c r="B104" s="357"/>
      <c r="C104" s="107">
        <f t="shared" ca="1" si="0"/>
        <v>81300</v>
      </c>
      <c r="D104" s="46">
        <f ca="1">SUM(D105:D116)</f>
        <v>81300</v>
      </c>
      <c r="E104" s="46">
        <f ca="1">IFERROR(__xludf.DUMMYFUNCTION("IMPORTRANGE(""https://docs.google.com/spreadsheets/d/1MeEWN-I1oV_STSDYn1IFDPWt_1FKiwhDph83XaGc0o0/edit?usp=sharing"",""งบพรบ!DJ104"")"),81300)</f>
        <v>81300</v>
      </c>
      <c r="F104" s="46">
        <f ca="1">IFERROR(__xludf.DUMMYFUNCTION("IMPORTRANGE(""https://docs.google.com/spreadsheets/d/1MeEWN-I1oV_STSDYn1IFDPWt_1FKiwhDph83XaGc0o0/edit?usp=sharing"",""งบพรบ!DK104"")"),0)</f>
        <v>0</v>
      </c>
      <c r="G104" s="46">
        <f ca="1">IFERROR(__xludf.DUMMYFUNCTION("IMPORTRANGE(""https://docs.google.com/spreadsheets/d/1MeEWN-I1oV_STSDYn1IFDPWt_1FKiwhDph83XaGc0o0/edit?usp=sharing"",""งบพรบ!DL104"")"),0)</f>
        <v>0</v>
      </c>
      <c r="H104" s="46">
        <f ca="1">IFERROR(__xludf.DUMMYFUNCTION("IMPORTRANGE(""https://docs.google.com/spreadsheets/d/1MeEWN-I1oV_STSDYn1IFDPWt_1FKiwhDph83XaGc0o0/edit?usp=sharing"",""งบพรบ!DN104"")"),35500)</f>
        <v>35500</v>
      </c>
      <c r="I104" s="46">
        <f ca="1">IFERROR(__xludf.DUMMYFUNCTION("IMPORTRANGE(""https://docs.google.com/spreadsheets/d/1MeEWN-I1oV_STSDYn1IFDPWt_1FKiwhDph83XaGc0o0/edit?usp=sharing"",""งบพรบ!DO104"")"),0)</f>
        <v>0</v>
      </c>
      <c r="J104" s="46">
        <f t="shared" ca="1" si="3"/>
        <v>0</v>
      </c>
      <c r="K104" s="48">
        <f t="shared" ca="1" si="4"/>
        <v>0</v>
      </c>
      <c r="L104" s="46">
        <f ca="1">IFERROR(__xludf.DUMMYFUNCTION("IMPORTRANGE(""https://docs.google.com/spreadsheets/d/1MeEWN-I1oV_STSDYn1IFDPWt_1FKiwhDph83XaGc0o0/edit?usp=sharing"",""งบพรบ!DP104"")"),0)</f>
        <v>0</v>
      </c>
      <c r="M104" s="48">
        <f t="shared" ca="1" si="5"/>
        <v>0</v>
      </c>
      <c r="N104" s="48">
        <f t="shared" ca="1" si="6"/>
        <v>0</v>
      </c>
      <c r="O104" s="46">
        <f ca="1">IFERROR(__xludf.DUMMYFUNCTION("IMPORTRANGE(""https://docs.google.com/spreadsheets/d/1MeEWN-I1oV_STSDYn1IFDPWt_1FKiwhDph83XaGc0o0/edit?usp=sharing"",""งบพรบ!DQ104"")"),0)</f>
        <v>0</v>
      </c>
      <c r="P104" s="46">
        <f t="shared" ca="1" si="32"/>
        <v>0</v>
      </c>
      <c r="Q104" s="46">
        <f t="shared" ca="1" si="8"/>
        <v>0</v>
      </c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</row>
    <row r="105" spans="1:33" ht="24" hidden="1" customHeight="1" x14ac:dyDescent="0.2">
      <c r="A105" s="108">
        <v>1</v>
      </c>
      <c r="B105" s="115" t="s">
        <v>127</v>
      </c>
      <c r="C105" s="116">
        <f t="shared" ca="1" si="0"/>
        <v>81300</v>
      </c>
      <c r="D105" s="71">
        <f t="shared" ref="D105:D116" ca="1" si="59">+E105+F105</f>
        <v>81300</v>
      </c>
      <c r="E105" s="72">
        <f ca="1">IFERROR(__xludf.DUMMYFUNCTION("IMPORTRANGE(""https://docs.google.com/spreadsheets/d/1MeEWN-I1oV_STSDYn1IFDPWt_1FKiwhDph83XaGc0o0/edit?usp=sharing"",""งบพรบ!DJ105"")"),81300)</f>
        <v>81300</v>
      </c>
      <c r="F105" s="72">
        <f ca="1">IFERROR(__xludf.DUMMYFUNCTION("IMPORTRANGE(""https://docs.google.com/spreadsheets/d/1MeEWN-I1oV_STSDYn1IFDPWt_1FKiwhDph83XaGc0o0/edit?usp=sharing"",""งบพรบ!DK105"")"),0)</f>
        <v>0</v>
      </c>
      <c r="G105" s="72">
        <f ca="1">IFERROR(__xludf.DUMMYFUNCTION("IMPORTRANGE(""https://docs.google.com/spreadsheets/d/1MeEWN-I1oV_STSDYn1IFDPWt_1FKiwhDph83XaGc0o0/edit?usp=sharing"",""งบพรบ!DL105"")"),0)</f>
        <v>0</v>
      </c>
      <c r="H105" s="72">
        <f ca="1">IFERROR(__xludf.DUMMYFUNCTION("IMPORTRANGE(""https://docs.google.com/spreadsheets/d/1MeEWN-I1oV_STSDYn1IFDPWt_1FKiwhDph83XaGc0o0/edit?usp=sharing"",""งบพรบ!DN105"")"),35500)</f>
        <v>35500</v>
      </c>
      <c r="I105" s="72">
        <f ca="1">IFERROR(__xludf.DUMMYFUNCTION("IMPORTRANGE(""https://docs.google.com/spreadsheets/d/1MeEWN-I1oV_STSDYn1IFDPWt_1FKiwhDph83XaGc0o0/edit?usp=sharing"",""งบพรบ!DO105"")"),0)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IFERROR(__xludf.DUMMYFUNCTION("IMPORTRANGE(""https://docs.google.com/spreadsheets/d/1MeEWN-I1oV_STSDYn1IFDPWt_1FKiwhDph83XaGc0o0/edit?usp=sharing"",""งบพรบ!DP105"")"),0)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IFERROR(__xludf.DUMMYFUNCTION("IMPORTRANGE(""https://docs.google.com/spreadsheets/d/1MeEWN-I1oV_STSDYn1IFDPWt_1FKiwhDph83XaGc0o0/edit?usp=sharing"",""งบพรบ!DQ105"")"),0)</f>
        <v>0</v>
      </c>
      <c r="P105" s="76">
        <f t="shared" ca="1" si="32"/>
        <v>0</v>
      </c>
      <c r="Q105" s="75">
        <f t="shared" ca="1" si="8"/>
        <v>0</v>
      </c>
      <c r="R105" s="329"/>
      <c r="S105" s="329"/>
      <c r="T105" s="329"/>
      <c r="U105" s="329"/>
      <c r="V105" s="329"/>
      <c r="W105" s="329"/>
      <c r="X105" s="329"/>
      <c r="Y105" s="329"/>
      <c r="Z105" s="329"/>
      <c r="AA105" s="329"/>
      <c r="AB105" s="329"/>
      <c r="AC105" s="329"/>
      <c r="AD105" s="329"/>
      <c r="AE105" s="329"/>
      <c r="AF105" s="329"/>
      <c r="AG105" s="329"/>
    </row>
    <row r="106" spans="1:33" ht="24" hidden="1" customHeight="1" x14ac:dyDescent="0.2">
      <c r="A106" s="111">
        <v>2</v>
      </c>
      <c r="B106" s="117" t="s">
        <v>128</v>
      </c>
      <c r="C106" s="118">
        <f t="shared" ca="1" si="0"/>
        <v>0</v>
      </c>
      <c r="D106" s="81">
        <f t="shared" ca="1" si="59"/>
        <v>0</v>
      </c>
      <c r="E106" s="82">
        <f ca="1">IFERROR(__xludf.DUMMYFUNCTION("IMPORTRANGE(""https://docs.google.com/spreadsheets/d/1MeEWN-I1oV_STSDYn1IFDPWt_1FKiwhDph83XaGc0o0/edit?usp=sharing"",""งบพรบ!DJ106"")"),0)</f>
        <v>0</v>
      </c>
      <c r="F106" s="82">
        <f ca="1">IFERROR(__xludf.DUMMYFUNCTION("IMPORTRANGE(""https://docs.google.com/spreadsheets/d/1MeEWN-I1oV_STSDYn1IFDPWt_1FKiwhDph83XaGc0o0/edit?usp=sharing"",""งบพรบ!DK106"")"),0)</f>
        <v>0</v>
      </c>
      <c r="G106" s="82">
        <f ca="1">IFERROR(__xludf.DUMMYFUNCTION("IMPORTRANGE(""https://docs.google.com/spreadsheets/d/1MeEWN-I1oV_STSDYn1IFDPWt_1FKiwhDph83XaGc0o0/edit?usp=sharing"",""งบพรบ!DL106"")"),0)</f>
        <v>0</v>
      </c>
      <c r="H106" s="82">
        <f ca="1">IFERROR(__xludf.DUMMYFUNCTION("IMPORTRANGE(""https://docs.google.com/spreadsheets/d/1MeEWN-I1oV_STSDYn1IFDPWt_1FKiwhDph83XaGc0o0/edit?usp=sharing"",""งบพรบ!DN106"")"),0)</f>
        <v>0</v>
      </c>
      <c r="I106" s="82">
        <f ca="1">IFERROR(__xludf.DUMMYFUNCTION("IMPORTRANGE(""https://docs.google.com/spreadsheets/d/1MeEWN-I1oV_STSDYn1IFDPWt_1FKiwhDph83XaGc0o0/edit?usp=sharing"",""งบพรบ!DO106"")"),0)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IFERROR(__xludf.DUMMYFUNCTION("IMPORTRANGE(""https://docs.google.com/spreadsheets/d/1MeEWN-I1oV_STSDYn1IFDPWt_1FKiwhDph83XaGc0o0/edit?usp=sharing"",""งบพรบ!DP106"")"),0)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IFERROR(__xludf.DUMMYFUNCTION("IMPORTRANGE(""https://docs.google.com/spreadsheets/d/1MeEWN-I1oV_STSDYn1IFDPWt_1FKiwhDph83XaGc0o0/edit?usp=sharing"",""งบพรบ!DQ106"")"),0)</f>
        <v>0</v>
      </c>
      <c r="P106" s="85">
        <f t="shared" ca="1" si="32"/>
        <v>0</v>
      </c>
      <c r="Q106" s="84">
        <f t="shared" ca="1" si="8"/>
        <v>0</v>
      </c>
      <c r="R106" s="331"/>
      <c r="S106" s="331"/>
      <c r="T106" s="331"/>
      <c r="U106" s="331"/>
      <c r="V106" s="331"/>
      <c r="W106" s="331"/>
      <c r="X106" s="331"/>
      <c r="Y106" s="331"/>
      <c r="Z106" s="331"/>
      <c r="AA106" s="331"/>
      <c r="AB106" s="331"/>
      <c r="AC106" s="331"/>
      <c r="AD106" s="331"/>
      <c r="AE106" s="331"/>
      <c r="AF106" s="331"/>
      <c r="AG106" s="331"/>
    </row>
    <row r="107" spans="1:33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59"/>
        <v>0</v>
      </c>
      <c r="E107" s="82">
        <f ca="1">IFERROR(__xludf.DUMMYFUNCTION("IMPORTRANGE(""https://docs.google.com/spreadsheets/d/1MeEWN-I1oV_STSDYn1IFDPWt_1FKiwhDph83XaGc0o0/edit?usp=sharing"",""งบพรบ!DJ107"")"),0)</f>
        <v>0</v>
      </c>
      <c r="F107" s="82">
        <f ca="1">IFERROR(__xludf.DUMMYFUNCTION("IMPORTRANGE(""https://docs.google.com/spreadsheets/d/1MeEWN-I1oV_STSDYn1IFDPWt_1FKiwhDph83XaGc0o0/edit?usp=sharing"",""งบพรบ!DK107"")"),0)</f>
        <v>0</v>
      </c>
      <c r="G107" s="82">
        <f ca="1">IFERROR(__xludf.DUMMYFUNCTION("IMPORTRANGE(""https://docs.google.com/spreadsheets/d/1MeEWN-I1oV_STSDYn1IFDPWt_1FKiwhDph83XaGc0o0/edit?usp=sharing"",""งบพรบ!DL107"")"),0)</f>
        <v>0</v>
      </c>
      <c r="H107" s="82">
        <f ca="1">IFERROR(__xludf.DUMMYFUNCTION("IMPORTRANGE(""https://docs.google.com/spreadsheets/d/1MeEWN-I1oV_STSDYn1IFDPWt_1FKiwhDph83XaGc0o0/edit?usp=sharing"",""งบพรบ!DN107"")"),0)</f>
        <v>0</v>
      </c>
      <c r="I107" s="82">
        <f ca="1">IFERROR(__xludf.DUMMYFUNCTION("IMPORTRANGE(""https://docs.google.com/spreadsheets/d/1MeEWN-I1oV_STSDYn1IFDPWt_1FKiwhDph83XaGc0o0/edit?usp=sharing"",""งบพรบ!DO107"")"),0)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IFERROR(__xludf.DUMMYFUNCTION("IMPORTRANGE(""https://docs.google.com/spreadsheets/d/1MeEWN-I1oV_STSDYn1IFDPWt_1FKiwhDph83XaGc0o0/edit?usp=sharing"",""งบพรบ!DP107"")"),0)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IFERROR(__xludf.DUMMYFUNCTION("IMPORTRANGE(""https://docs.google.com/spreadsheets/d/1MeEWN-I1oV_STSDYn1IFDPWt_1FKiwhDph83XaGc0o0/edit?usp=sharing"",""งบพรบ!DQ107"")"),0)</f>
        <v>0</v>
      </c>
      <c r="P107" s="85">
        <f t="shared" ca="1" si="32"/>
        <v>0</v>
      </c>
      <c r="Q107" s="84">
        <f t="shared" ca="1" si="8"/>
        <v>0</v>
      </c>
      <c r="R107" s="331"/>
      <c r="S107" s="331"/>
      <c r="T107" s="331"/>
      <c r="U107" s="331"/>
      <c r="V107" s="331"/>
      <c r="W107" s="331"/>
      <c r="X107" s="331"/>
      <c r="Y107" s="331"/>
      <c r="Z107" s="331"/>
      <c r="AA107" s="331"/>
      <c r="AB107" s="331"/>
      <c r="AC107" s="331"/>
      <c r="AD107" s="331"/>
      <c r="AE107" s="331"/>
      <c r="AF107" s="331"/>
      <c r="AG107" s="331"/>
    </row>
    <row r="108" spans="1:33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59"/>
        <v>0</v>
      </c>
      <c r="E108" s="82">
        <f ca="1">IFERROR(__xludf.DUMMYFUNCTION("IMPORTRANGE(""https://docs.google.com/spreadsheets/d/1MeEWN-I1oV_STSDYn1IFDPWt_1FKiwhDph83XaGc0o0/edit?usp=sharing"",""งบพรบ!DJ108"")"),0)</f>
        <v>0</v>
      </c>
      <c r="F108" s="82">
        <f ca="1">IFERROR(__xludf.DUMMYFUNCTION("IMPORTRANGE(""https://docs.google.com/spreadsheets/d/1MeEWN-I1oV_STSDYn1IFDPWt_1FKiwhDph83XaGc0o0/edit?usp=sharing"",""งบพรบ!DK108"")"),0)</f>
        <v>0</v>
      </c>
      <c r="G108" s="82">
        <f ca="1">IFERROR(__xludf.DUMMYFUNCTION("IMPORTRANGE(""https://docs.google.com/spreadsheets/d/1MeEWN-I1oV_STSDYn1IFDPWt_1FKiwhDph83XaGc0o0/edit?usp=sharing"",""งบพรบ!DL108"")"),0)</f>
        <v>0</v>
      </c>
      <c r="H108" s="82">
        <f ca="1">IFERROR(__xludf.DUMMYFUNCTION("IMPORTRANGE(""https://docs.google.com/spreadsheets/d/1MeEWN-I1oV_STSDYn1IFDPWt_1FKiwhDph83XaGc0o0/edit?usp=sharing"",""งบพรบ!DN108"")"),0)</f>
        <v>0</v>
      </c>
      <c r="I108" s="82">
        <f ca="1">IFERROR(__xludf.DUMMYFUNCTION("IMPORTRANGE(""https://docs.google.com/spreadsheets/d/1MeEWN-I1oV_STSDYn1IFDPWt_1FKiwhDph83XaGc0o0/edit?usp=sharing"",""งบพรบ!DO108"")"),0)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IFERROR(__xludf.DUMMYFUNCTION("IMPORTRANGE(""https://docs.google.com/spreadsheets/d/1MeEWN-I1oV_STSDYn1IFDPWt_1FKiwhDph83XaGc0o0/edit?usp=sharing"",""งบพรบ!DP108"")"),0)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IFERROR(__xludf.DUMMYFUNCTION("IMPORTRANGE(""https://docs.google.com/spreadsheets/d/1MeEWN-I1oV_STSDYn1IFDPWt_1FKiwhDph83XaGc0o0/edit?usp=sharing"",""งบพรบ!DQ108"")"),0)</f>
        <v>0</v>
      </c>
      <c r="P108" s="85">
        <f t="shared" ca="1" si="32"/>
        <v>0</v>
      </c>
      <c r="Q108" s="84">
        <f t="shared" ca="1" si="8"/>
        <v>0</v>
      </c>
      <c r="R108" s="331"/>
      <c r="S108" s="331"/>
      <c r="T108" s="331"/>
      <c r="U108" s="331"/>
      <c r="V108" s="331"/>
      <c r="W108" s="331"/>
      <c r="X108" s="331"/>
      <c r="Y108" s="331"/>
      <c r="Z108" s="331"/>
      <c r="AA108" s="331"/>
      <c r="AB108" s="331"/>
      <c r="AC108" s="331"/>
      <c r="AD108" s="331"/>
      <c r="AE108" s="331"/>
      <c r="AF108" s="331"/>
      <c r="AG108" s="331"/>
    </row>
    <row r="109" spans="1:33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59"/>
        <v>0</v>
      </c>
      <c r="E109" s="82">
        <f ca="1">IFERROR(__xludf.DUMMYFUNCTION("IMPORTRANGE(""https://docs.google.com/spreadsheets/d/1MeEWN-I1oV_STSDYn1IFDPWt_1FKiwhDph83XaGc0o0/edit?usp=sharing"",""งบพรบ!DJ109"")"),0)</f>
        <v>0</v>
      </c>
      <c r="F109" s="82">
        <f ca="1">IFERROR(__xludf.DUMMYFUNCTION("IMPORTRANGE(""https://docs.google.com/spreadsheets/d/1MeEWN-I1oV_STSDYn1IFDPWt_1FKiwhDph83XaGc0o0/edit?usp=sharing"",""งบพรบ!DK109"")"),0)</f>
        <v>0</v>
      </c>
      <c r="G109" s="82">
        <f ca="1">IFERROR(__xludf.DUMMYFUNCTION("IMPORTRANGE(""https://docs.google.com/spreadsheets/d/1MeEWN-I1oV_STSDYn1IFDPWt_1FKiwhDph83XaGc0o0/edit?usp=sharing"",""งบพรบ!DL109"")"),0)</f>
        <v>0</v>
      </c>
      <c r="H109" s="82">
        <f ca="1">IFERROR(__xludf.DUMMYFUNCTION("IMPORTRANGE(""https://docs.google.com/spreadsheets/d/1MeEWN-I1oV_STSDYn1IFDPWt_1FKiwhDph83XaGc0o0/edit?usp=sharing"",""งบพรบ!DN109"")"),0)</f>
        <v>0</v>
      </c>
      <c r="I109" s="82">
        <f ca="1">IFERROR(__xludf.DUMMYFUNCTION("IMPORTRANGE(""https://docs.google.com/spreadsheets/d/1MeEWN-I1oV_STSDYn1IFDPWt_1FKiwhDph83XaGc0o0/edit?usp=sharing"",""งบพรบ!DO109"")"),0)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IFERROR(__xludf.DUMMYFUNCTION("IMPORTRANGE(""https://docs.google.com/spreadsheets/d/1MeEWN-I1oV_STSDYn1IFDPWt_1FKiwhDph83XaGc0o0/edit?usp=sharing"",""งบพรบ!DP109"")"),0)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IFERROR(__xludf.DUMMYFUNCTION("IMPORTRANGE(""https://docs.google.com/spreadsheets/d/1MeEWN-I1oV_STSDYn1IFDPWt_1FKiwhDph83XaGc0o0/edit?usp=sharing"",""งบพรบ!DQ109"")"),0)</f>
        <v>0</v>
      </c>
      <c r="P109" s="85">
        <f t="shared" ca="1" si="32"/>
        <v>0</v>
      </c>
      <c r="Q109" s="84">
        <f t="shared" ca="1" si="8"/>
        <v>0</v>
      </c>
      <c r="R109" s="331"/>
      <c r="S109" s="331"/>
      <c r="T109" s="331"/>
      <c r="U109" s="331"/>
      <c r="V109" s="331"/>
      <c r="W109" s="331"/>
      <c r="X109" s="331"/>
      <c r="Y109" s="331"/>
      <c r="Z109" s="331"/>
      <c r="AA109" s="331"/>
      <c r="AB109" s="331"/>
      <c r="AC109" s="331"/>
      <c r="AD109" s="331"/>
      <c r="AE109" s="331"/>
      <c r="AF109" s="331"/>
      <c r="AG109" s="331"/>
    </row>
    <row r="110" spans="1:33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59"/>
        <v>0</v>
      </c>
      <c r="E110" s="82">
        <f ca="1">IFERROR(__xludf.DUMMYFUNCTION("IMPORTRANGE(""https://docs.google.com/spreadsheets/d/1MeEWN-I1oV_STSDYn1IFDPWt_1FKiwhDph83XaGc0o0/edit?usp=sharing"",""งบพรบ!DJ110"")"),0)</f>
        <v>0</v>
      </c>
      <c r="F110" s="82">
        <f ca="1">IFERROR(__xludf.DUMMYFUNCTION("IMPORTRANGE(""https://docs.google.com/spreadsheets/d/1MeEWN-I1oV_STSDYn1IFDPWt_1FKiwhDph83XaGc0o0/edit?usp=sharing"",""งบพรบ!DK110"")"),0)</f>
        <v>0</v>
      </c>
      <c r="G110" s="82">
        <f ca="1">IFERROR(__xludf.DUMMYFUNCTION("IMPORTRANGE(""https://docs.google.com/spreadsheets/d/1MeEWN-I1oV_STSDYn1IFDPWt_1FKiwhDph83XaGc0o0/edit?usp=sharing"",""งบพรบ!DL110"")"),0)</f>
        <v>0</v>
      </c>
      <c r="H110" s="82">
        <f ca="1">IFERROR(__xludf.DUMMYFUNCTION("IMPORTRANGE(""https://docs.google.com/spreadsheets/d/1MeEWN-I1oV_STSDYn1IFDPWt_1FKiwhDph83XaGc0o0/edit?usp=sharing"",""งบพรบ!DN110"")"),0)</f>
        <v>0</v>
      </c>
      <c r="I110" s="82">
        <f ca="1">IFERROR(__xludf.DUMMYFUNCTION("IMPORTRANGE(""https://docs.google.com/spreadsheets/d/1MeEWN-I1oV_STSDYn1IFDPWt_1FKiwhDph83XaGc0o0/edit?usp=sharing"",""งบพรบ!DO110"")"),0)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IFERROR(__xludf.DUMMYFUNCTION("IMPORTRANGE(""https://docs.google.com/spreadsheets/d/1MeEWN-I1oV_STSDYn1IFDPWt_1FKiwhDph83XaGc0o0/edit?usp=sharing"",""งบพรบ!DP110"")"),0)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IFERROR(__xludf.DUMMYFUNCTION("IMPORTRANGE(""https://docs.google.com/spreadsheets/d/1MeEWN-I1oV_STSDYn1IFDPWt_1FKiwhDph83XaGc0o0/edit?usp=sharing"",""งบพรบ!DQ110"")"),0)</f>
        <v>0</v>
      </c>
      <c r="P110" s="85">
        <f t="shared" ca="1" si="32"/>
        <v>0</v>
      </c>
      <c r="Q110" s="84">
        <f t="shared" ca="1" si="8"/>
        <v>0</v>
      </c>
      <c r="R110" s="331"/>
      <c r="S110" s="331"/>
      <c r="T110" s="331"/>
      <c r="U110" s="331"/>
      <c r="V110" s="331"/>
      <c r="W110" s="331"/>
      <c r="X110" s="331"/>
      <c r="Y110" s="331"/>
      <c r="Z110" s="331"/>
      <c r="AA110" s="331"/>
      <c r="AB110" s="331"/>
      <c r="AC110" s="331"/>
      <c r="AD110" s="331"/>
      <c r="AE110" s="331"/>
      <c r="AF110" s="331"/>
      <c r="AG110" s="331"/>
    </row>
    <row r="111" spans="1:33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59"/>
        <v>0</v>
      </c>
      <c r="E111" s="82">
        <f ca="1">IFERROR(__xludf.DUMMYFUNCTION("IMPORTRANGE(""https://docs.google.com/spreadsheets/d/1MeEWN-I1oV_STSDYn1IFDPWt_1FKiwhDph83XaGc0o0/edit?usp=sharing"",""งบพรบ!DJ111"")"),0)</f>
        <v>0</v>
      </c>
      <c r="F111" s="82">
        <f ca="1">IFERROR(__xludf.DUMMYFUNCTION("IMPORTRANGE(""https://docs.google.com/spreadsheets/d/1MeEWN-I1oV_STSDYn1IFDPWt_1FKiwhDph83XaGc0o0/edit?usp=sharing"",""งบพรบ!DK111"")"),0)</f>
        <v>0</v>
      </c>
      <c r="G111" s="82">
        <f ca="1">IFERROR(__xludf.DUMMYFUNCTION("IMPORTRANGE(""https://docs.google.com/spreadsheets/d/1MeEWN-I1oV_STSDYn1IFDPWt_1FKiwhDph83XaGc0o0/edit?usp=sharing"",""งบพรบ!DL111"")"),0)</f>
        <v>0</v>
      </c>
      <c r="H111" s="82">
        <f ca="1">IFERROR(__xludf.DUMMYFUNCTION("IMPORTRANGE(""https://docs.google.com/spreadsheets/d/1MeEWN-I1oV_STSDYn1IFDPWt_1FKiwhDph83XaGc0o0/edit?usp=sharing"",""งบพรบ!DN111"")"),0)</f>
        <v>0</v>
      </c>
      <c r="I111" s="82">
        <f ca="1">IFERROR(__xludf.DUMMYFUNCTION("IMPORTRANGE(""https://docs.google.com/spreadsheets/d/1MeEWN-I1oV_STSDYn1IFDPWt_1FKiwhDph83XaGc0o0/edit?usp=sharing"",""งบพรบ!DO111"")"),0)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IFERROR(__xludf.DUMMYFUNCTION("IMPORTRANGE(""https://docs.google.com/spreadsheets/d/1MeEWN-I1oV_STSDYn1IFDPWt_1FKiwhDph83XaGc0o0/edit?usp=sharing"",""งบพรบ!DP111"")"),0)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IFERROR(__xludf.DUMMYFUNCTION("IMPORTRANGE(""https://docs.google.com/spreadsheets/d/1MeEWN-I1oV_STSDYn1IFDPWt_1FKiwhDph83XaGc0o0/edit?usp=sharing"",""งบพรบ!DQ111"")"),0)</f>
        <v>0</v>
      </c>
      <c r="P111" s="85">
        <f t="shared" ca="1" si="32"/>
        <v>0</v>
      </c>
      <c r="Q111" s="84">
        <f t="shared" ca="1" si="8"/>
        <v>0</v>
      </c>
      <c r="R111" s="331"/>
      <c r="S111" s="331"/>
      <c r="T111" s="331"/>
      <c r="U111" s="331"/>
      <c r="V111" s="331"/>
      <c r="W111" s="331"/>
      <c r="X111" s="331"/>
      <c r="Y111" s="331"/>
      <c r="Z111" s="331"/>
      <c r="AA111" s="331"/>
      <c r="AB111" s="331"/>
      <c r="AC111" s="331"/>
      <c r="AD111" s="331"/>
      <c r="AE111" s="331"/>
      <c r="AF111" s="331"/>
      <c r="AG111" s="331"/>
    </row>
    <row r="112" spans="1:33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59"/>
        <v>0</v>
      </c>
      <c r="E112" s="82">
        <f ca="1">IFERROR(__xludf.DUMMYFUNCTION("IMPORTRANGE(""https://docs.google.com/spreadsheets/d/1MeEWN-I1oV_STSDYn1IFDPWt_1FKiwhDph83XaGc0o0/edit?usp=sharing"",""งบพรบ!DJ112"")"),0)</f>
        <v>0</v>
      </c>
      <c r="F112" s="82">
        <f ca="1">IFERROR(__xludf.DUMMYFUNCTION("IMPORTRANGE(""https://docs.google.com/spreadsheets/d/1MeEWN-I1oV_STSDYn1IFDPWt_1FKiwhDph83XaGc0o0/edit?usp=sharing"",""งบพรบ!DK112"")"),0)</f>
        <v>0</v>
      </c>
      <c r="G112" s="82">
        <f ca="1">IFERROR(__xludf.DUMMYFUNCTION("IMPORTRANGE(""https://docs.google.com/spreadsheets/d/1MeEWN-I1oV_STSDYn1IFDPWt_1FKiwhDph83XaGc0o0/edit?usp=sharing"",""งบพรบ!DL112"")"),0)</f>
        <v>0</v>
      </c>
      <c r="H112" s="82">
        <f ca="1">IFERROR(__xludf.DUMMYFUNCTION("IMPORTRANGE(""https://docs.google.com/spreadsheets/d/1MeEWN-I1oV_STSDYn1IFDPWt_1FKiwhDph83XaGc0o0/edit?usp=sharing"",""งบพรบ!DN112"")"),0)</f>
        <v>0</v>
      </c>
      <c r="I112" s="82">
        <f ca="1">IFERROR(__xludf.DUMMYFUNCTION("IMPORTRANGE(""https://docs.google.com/spreadsheets/d/1MeEWN-I1oV_STSDYn1IFDPWt_1FKiwhDph83XaGc0o0/edit?usp=sharing"",""งบพรบ!DO112"")"),0)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IFERROR(__xludf.DUMMYFUNCTION("IMPORTRANGE(""https://docs.google.com/spreadsheets/d/1MeEWN-I1oV_STSDYn1IFDPWt_1FKiwhDph83XaGc0o0/edit?usp=sharing"",""งบพรบ!DP112"")"),0)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IFERROR(__xludf.DUMMYFUNCTION("IMPORTRANGE(""https://docs.google.com/spreadsheets/d/1MeEWN-I1oV_STSDYn1IFDPWt_1FKiwhDph83XaGc0o0/edit?usp=sharing"",""งบพรบ!DQ112"")"),0)</f>
        <v>0</v>
      </c>
      <c r="P112" s="85">
        <f t="shared" ca="1" si="32"/>
        <v>0</v>
      </c>
      <c r="Q112" s="84">
        <f t="shared" ca="1" si="8"/>
        <v>0</v>
      </c>
      <c r="R112" s="331"/>
      <c r="S112" s="331"/>
      <c r="T112" s="331"/>
      <c r="U112" s="331"/>
      <c r="V112" s="331"/>
      <c r="W112" s="331"/>
      <c r="X112" s="331"/>
      <c r="Y112" s="331"/>
      <c r="Z112" s="331"/>
      <c r="AA112" s="331"/>
      <c r="AB112" s="331"/>
      <c r="AC112" s="331"/>
      <c r="AD112" s="331"/>
      <c r="AE112" s="331"/>
      <c r="AF112" s="331"/>
      <c r="AG112" s="331"/>
    </row>
    <row r="113" spans="1:33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59"/>
        <v>0</v>
      </c>
      <c r="E113" s="82">
        <f ca="1">IFERROR(__xludf.DUMMYFUNCTION("IMPORTRANGE(""https://docs.google.com/spreadsheets/d/1MeEWN-I1oV_STSDYn1IFDPWt_1FKiwhDph83XaGc0o0/edit?usp=sharing"",""งบพรบ!DJ113"")"),0)</f>
        <v>0</v>
      </c>
      <c r="F113" s="82">
        <f ca="1">IFERROR(__xludf.DUMMYFUNCTION("IMPORTRANGE(""https://docs.google.com/spreadsheets/d/1MeEWN-I1oV_STSDYn1IFDPWt_1FKiwhDph83XaGc0o0/edit?usp=sharing"",""งบพรบ!DK113"")"),0)</f>
        <v>0</v>
      </c>
      <c r="G113" s="82">
        <f ca="1">IFERROR(__xludf.DUMMYFUNCTION("IMPORTRANGE(""https://docs.google.com/spreadsheets/d/1MeEWN-I1oV_STSDYn1IFDPWt_1FKiwhDph83XaGc0o0/edit?usp=sharing"",""งบพรบ!DL113"")"),0)</f>
        <v>0</v>
      </c>
      <c r="H113" s="82">
        <f ca="1">IFERROR(__xludf.DUMMYFUNCTION("IMPORTRANGE(""https://docs.google.com/spreadsheets/d/1MeEWN-I1oV_STSDYn1IFDPWt_1FKiwhDph83XaGc0o0/edit?usp=sharing"",""งบพรบ!DN113"")"),0)</f>
        <v>0</v>
      </c>
      <c r="I113" s="82">
        <f ca="1">IFERROR(__xludf.DUMMYFUNCTION("IMPORTRANGE(""https://docs.google.com/spreadsheets/d/1MeEWN-I1oV_STSDYn1IFDPWt_1FKiwhDph83XaGc0o0/edit?usp=sharing"",""งบพรบ!DO113"")"),0)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IFERROR(__xludf.DUMMYFUNCTION("IMPORTRANGE(""https://docs.google.com/spreadsheets/d/1MeEWN-I1oV_STSDYn1IFDPWt_1FKiwhDph83XaGc0o0/edit?usp=sharing"",""งบพรบ!DP113"")"),0)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IFERROR(__xludf.DUMMYFUNCTION("IMPORTRANGE(""https://docs.google.com/spreadsheets/d/1MeEWN-I1oV_STSDYn1IFDPWt_1FKiwhDph83XaGc0o0/edit?usp=sharing"",""งบพรบ!DQ113"")"),0)</f>
        <v>0</v>
      </c>
      <c r="P113" s="85">
        <f t="shared" ca="1" si="32"/>
        <v>0</v>
      </c>
      <c r="Q113" s="84">
        <f t="shared" ca="1" si="8"/>
        <v>0</v>
      </c>
      <c r="R113" s="331"/>
      <c r="S113" s="331"/>
      <c r="T113" s="331"/>
      <c r="U113" s="331"/>
      <c r="V113" s="331"/>
      <c r="W113" s="331"/>
      <c r="X113" s="331"/>
      <c r="Y113" s="331"/>
      <c r="Z113" s="331"/>
      <c r="AA113" s="331"/>
      <c r="AB113" s="331"/>
      <c r="AC113" s="331"/>
      <c r="AD113" s="331"/>
      <c r="AE113" s="331"/>
      <c r="AF113" s="331"/>
      <c r="AG113" s="331"/>
    </row>
    <row r="114" spans="1:33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59"/>
        <v>0</v>
      </c>
      <c r="E114" s="82">
        <f ca="1">IFERROR(__xludf.DUMMYFUNCTION("IMPORTRANGE(""https://docs.google.com/spreadsheets/d/1MeEWN-I1oV_STSDYn1IFDPWt_1FKiwhDph83XaGc0o0/edit?usp=sharing"",""งบพรบ!DJ114"")"),0)</f>
        <v>0</v>
      </c>
      <c r="F114" s="82">
        <f ca="1">IFERROR(__xludf.DUMMYFUNCTION("IMPORTRANGE(""https://docs.google.com/spreadsheets/d/1MeEWN-I1oV_STSDYn1IFDPWt_1FKiwhDph83XaGc0o0/edit?usp=sharing"",""งบพรบ!DK114"")"),0)</f>
        <v>0</v>
      </c>
      <c r="G114" s="82">
        <f ca="1">IFERROR(__xludf.DUMMYFUNCTION("IMPORTRANGE(""https://docs.google.com/spreadsheets/d/1MeEWN-I1oV_STSDYn1IFDPWt_1FKiwhDph83XaGc0o0/edit?usp=sharing"",""งบพรบ!DL114"")"),0)</f>
        <v>0</v>
      </c>
      <c r="H114" s="82">
        <f ca="1">IFERROR(__xludf.DUMMYFUNCTION("IMPORTRANGE(""https://docs.google.com/spreadsheets/d/1MeEWN-I1oV_STSDYn1IFDPWt_1FKiwhDph83XaGc0o0/edit?usp=sharing"",""งบพรบ!DN114"")"),0)</f>
        <v>0</v>
      </c>
      <c r="I114" s="82">
        <f ca="1">IFERROR(__xludf.DUMMYFUNCTION("IMPORTRANGE(""https://docs.google.com/spreadsheets/d/1MeEWN-I1oV_STSDYn1IFDPWt_1FKiwhDph83XaGc0o0/edit?usp=sharing"",""งบพรบ!DO114"")"),0)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IFERROR(__xludf.DUMMYFUNCTION("IMPORTRANGE(""https://docs.google.com/spreadsheets/d/1MeEWN-I1oV_STSDYn1IFDPWt_1FKiwhDph83XaGc0o0/edit?usp=sharing"",""งบพรบ!DP114"")"),0)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IFERROR(__xludf.DUMMYFUNCTION("IMPORTRANGE(""https://docs.google.com/spreadsheets/d/1MeEWN-I1oV_STSDYn1IFDPWt_1FKiwhDph83XaGc0o0/edit?usp=sharing"",""งบพรบ!DQ114"")"),0)</f>
        <v>0</v>
      </c>
      <c r="P114" s="85">
        <f t="shared" ca="1" si="32"/>
        <v>0</v>
      </c>
      <c r="Q114" s="84">
        <f t="shared" ca="1" si="8"/>
        <v>0</v>
      </c>
      <c r="R114" s="331"/>
      <c r="S114" s="331"/>
      <c r="T114" s="331"/>
      <c r="U114" s="331"/>
      <c r="V114" s="331"/>
      <c r="W114" s="331"/>
      <c r="X114" s="331"/>
      <c r="Y114" s="331"/>
      <c r="Z114" s="331"/>
      <c r="AA114" s="331"/>
      <c r="AB114" s="331"/>
      <c r="AC114" s="331"/>
      <c r="AD114" s="331"/>
      <c r="AE114" s="331"/>
      <c r="AF114" s="331"/>
      <c r="AG114" s="331"/>
    </row>
    <row r="115" spans="1:33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59"/>
        <v>0</v>
      </c>
      <c r="E115" s="82">
        <f ca="1">IFERROR(__xludf.DUMMYFUNCTION("IMPORTRANGE(""https://docs.google.com/spreadsheets/d/1MeEWN-I1oV_STSDYn1IFDPWt_1FKiwhDph83XaGc0o0/edit?usp=sharing"",""งบพรบ!DJ115"")"),0)</f>
        <v>0</v>
      </c>
      <c r="F115" s="82">
        <f ca="1">IFERROR(__xludf.DUMMYFUNCTION("IMPORTRANGE(""https://docs.google.com/spreadsheets/d/1MeEWN-I1oV_STSDYn1IFDPWt_1FKiwhDph83XaGc0o0/edit?usp=sharing"",""งบพรบ!DK115"")"),0)</f>
        <v>0</v>
      </c>
      <c r="G115" s="82">
        <f ca="1">IFERROR(__xludf.DUMMYFUNCTION("IMPORTRANGE(""https://docs.google.com/spreadsheets/d/1MeEWN-I1oV_STSDYn1IFDPWt_1FKiwhDph83XaGc0o0/edit?usp=sharing"",""งบพรบ!DL115"")"),0)</f>
        <v>0</v>
      </c>
      <c r="H115" s="82">
        <f ca="1">IFERROR(__xludf.DUMMYFUNCTION("IMPORTRANGE(""https://docs.google.com/spreadsheets/d/1MeEWN-I1oV_STSDYn1IFDPWt_1FKiwhDph83XaGc0o0/edit?usp=sharing"",""งบพรบ!DN115"")"),0)</f>
        <v>0</v>
      </c>
      <c r="I115" s="82">
        <f ca="1">IFERROR(__xludf.DUMMYFUNCTION("IMPORTRANGE(""https://docs.google.com/spreadsheets/d/1MeEWN-I1oV_STSDYn1IFDPWt_1FKiwhDph83XaGc0o0/edit?usp=sharing"",""งบพรบ!DO115"")"),0)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IFERROR(__xludf.DUMMYFUNCTION("IMPORTRANGE(""https://docs.google.com/spreadsheets/d/1MeEWN-I1oV_STSDYn1IFDPWt_1FKiwhDph83XaGc0o0/edit?usp=sharing"",""งบพรบ!DP115"")"),0)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IFERROR(__xludf.DUMMYFUNCTION("IMPORTRANGE(""https://docs.google.com/spreadsheets/d/1MeEWN-I1oV_STSDYn1IFDPWt_1FKiwhDph83XaGc0o0/edit?usp=sharing"",""งบพรบ!DQ115"")"),0)</f>
        <v>0</v>
      </c>
      <c r="P115" s="85">
        <f t="shared" ca="1" si="32"/>
        <v>0</v>
      </c>
      <c r="Q115" s="84">
        <f t="shared" ca="1" si="8"/>
        <v>0</v>
      </c>
      <c r="R115" s="331"/>
      <c r="S115" s="331"/>
      <c r="T115" s="331"/>
      <c r="U115" s="331"/>
      <c r="V115" s="331"/>
      <c r="W115" s="331"/>
      <c r="X115" s="331"/>
      <c r="Y115" s="331"/>
      <c r="Z115" s="331"/>
      <c r="AA115" s="331"/>
      <c r="AB115" s="331"/>
      <c r="AC115" s="331"/>
      <c r="AD115" s="331"/>
      <c r="AE115" s="331"/>
      <c r="AF115" s="331"/>
      <c r="AG115" s="331"/>
    </row>
    <row r="116" spans="1:33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59"/>
        <v>0</v>
      </c>
      <c r="E116" s="82">
        <f ca="1">IFERROR(__xludf.DUMMYFUNCTION("IMPORTRANGE(""https://docs.google.com/spreadsheets/d/1MeEWN-I1oV_STSDYn1IFDPWt_1FKiwhDph83XaGc0o0/edit?usp=sharing"",""งบพรบ!DJ116"")"),0)</f>
        <v>0</v>
      </c>
      <c r="F116" s="82">
        <f ca="1">IFERROR(__xludf.DUMMYFUNCTION("IMPORTRANGE(""https://docs.google.com/spreadsheets/d/1MeEWN-I1oV_STSDYn1IFDPWt_1FKiwhDph83XaGc0o0/edit?usp=sharing"",""งบพรบ!DK116"")"),0)</f>
        <v>0</v>
      </c>
      <c r="G116" s="82">
        <f ca="1">IFERROR(__xludf.DUMMYFUNCTION("IMPORTRANGE(""https://docs.google.com/spreadsheets/d/1MeEWN-I1oV_STSDYn1IFDPWt_1FKiwhDph83XaGc0o0/edit?usp=sharing"",""งบพรบ!DL116"")"),0)</f>
        <v>0</v>
      </c>
      <c r="H116" s="82">
        <f ca="1">IFERROR(__xludf.DUMMYFUNCTION("IMPORTRANGE(""https://docs.google.com/spreadsheets/d/1MeEWN-I1oV_STSDYn1IFDPWt_1FKiwhDph83XaGc0o0/edit?usp=sharing"",""งบพรบ!DN116"")"),0)</f>
        <v>0</v>
      </c>
      <c r="I116" s="82">
        <f ca="1">IFERROR(__xludf.DUMMYFUNCTION("IMPORTRANGE(""https://docs.google.com/spreadsheets/d/1MeEWN-I1oV_STSDYn1IFDPWt_1FKiwhDph83XaGc0o0/edit?usp=sharing"",""งบพรบ!DO116"")"),0)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IFERROR(__xludf.DUMMYFUNCTION("IMPORTRANGE(""https://docs.google.com/spreadsheets/d/1MeEWN-I1oV_STSDYn1IFDPWt_1FKiwhDph83XaGc0o0/edit?usp=sharing"",""งบพรบ!DP116"")"),0)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IFERROR(__xludf.DUMMYFUNCTION("IMPORTRANGE(""https://docs.google.com/spreadsheets/d/1MeEWN-I1oV_STSDYn1IFDPWt_1FKiwhDph83XaGc0o0/edit?usp=sharing"",""งบพรบ!DQ116"")"),0)</f>
        <v>0</v>
      </c>
      <c r="P116" s="85">
        <f t="shared" ca="1" si="32"/>
        <v>0</v>
      </c>
      <c r="Q116" s="84">
        <f t="shared" ca="1" si="8"/>
        <v>0</v>
      </c>
      <c r="R116" s="331"/>
      <c r="S116" s="331"/>
      <c r="T116" s="331"/>
      <c r="U116" s="331"/>
      <c r="V116" s="331"/>
      <c r="W116" s="331"/>
      <c r="X116" s="331"/>
      <c r="Y116" s="331"/>
      <c r="Z116" s="331"/>
      <c r="AA116" s="331"/>
      <c r="AB116" s="331"/>
      <c r="AC116" s="331"/>
      <c r="AD116" s="331"/>
      <c r="AE116" s="331"/>
      <c r="AF116" s="331"/>
      <c r="AG116" s="331"/>
    </row>
    <row r="117" spans="1:3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302"/>
      <c r="S117" s="302"/>
      <c r="T117" s="302"/>
      <c r="U117" s="303"/>
      <c r="V117" s="303"/>
      <c r="W117" s="303"/>
      <c r="X117" s="303"/>
      <c r="Y117" s="303"/>
      <c r="Z117" s="303"/>
      <c r="AA117" s="303"/>
      <c r="AB117" s="303"/>
      <c r="AC117" s="303"/>
      <c r="AD117" s="303"/>
      <c r="AE117" s="303"/>
      <c r="AF117" s="303"/>
      <c r="AG117" s="303"/>
    </row>
    <row r="118" spans="1:3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302"/>
      <c r="S118" s="302"/>
      <c r="T118" s="302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</row>
    <row r="119" spans="1:3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302"/>
      <c r="S119" s="302"/>
      <c r="T119" s="302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</row>
    <row r="120" spans="1:3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302"/>
      <c r="S120" s="302"/>
      <c r="T120" s="302"/>
      <c r="U120" s="303"/>
      <c r="V120" s="303"/>
      <c r="W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</row>
    <row r="121" spans="1:3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302"/>
      <c r="S121" s="302"/>
      <c r="T121" s="302"/>
      <c r="U121" s="303"/>
      <c r="V121" s="303"/>
      <c r="W121" s="303"/>
      <c r="X121" s="303"/>
      <c r="Y121" s="303"/>
      <c r="Z121" s="303"/>
      <c r="AA121" s="303"/>
      <c r="AB121" s="303"/>
      <c r="AC121" s="303"/>
      <c r="AD121" s="303"/>
      <c r="AE121" s="303"/>
      <c r="AF121" s="303"/>
      <c r="AG121" s="303"/>
    </row>
    <row r="122" spans="1:3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302"/>
      <c r="S122" s="302"/>
      <c r="T122" s="302"/>
      <c r="U122" s="303"/>
      <c r="V122" s="303"/>
      <c r="W122" s="303"/>
      <c r="X122" s="303"/>
      <c r="Y122" s="303"/>
      <c r="Z122" s="303"/>
      <c r="AA122" s="303"/>
      <c r="AB122" s="303"/>
      <c r="AC122" s="303"/>
      <c r="AD122" s="303"/>
      <c r="AE122" s="303"/>
      <c r="AF122" s="303"/>
      <c r="AG122" s="303"/>
    </row>
    <row r="123" spans="1:3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302"/>
      <c r="S123" s="302"/>
      <c r="T123" s="302"/>
      <c r="U123" s="303"/>
      <c r="V123" s="303"/>
      <c r="W123" s="303"/>
      <c r="X123" s="303"/>
      <c r="Y123" s="303"/>
      <c r="Z123" s="303"/>
      <c r="AA123" s="303"/>
      <c r="AB123" s="303"/>
      <c r="AC123" s="303"/>
      <c r="AD123" s="303"/>
      <c r="AE123" s="303"/>
      <c r="AF123" s="303"/>
      <c r="AG123" s="303"/>
    </row>
    <row r="124" spans="1:3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302"/>
      <c r="S124" s="302"/>
      <c r="T124" s="302"/>
      <c r="U124" s="303"/>
      <c r="V124" s="303"/>
      <c r="W124" s="303"/>
      <c r="X124" s="303"/>
      <c r="Y124" s="303"/>
      <c r="Z124" s="303"/>
      <c r="AA124" s="303"/>
      <c r="AB124" s="303"/>
      <c r="AC124" s="303"/>
      <c r="AD124" s="303"/>
      <c r="AE124" s="303"/>
      <c r="AF124" s="303"/>
      <c r="AG124" s="303"/>
    </row>
    <row r="125" spans="1:3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302"/>
      <c r="S125" s="302"/>
      <c r="T125" s="302"/>
      <c r="U125" s="303"/>
      <c r="V125" s="303"/>
      <c r="W125" s="303"/>
      <c r="X125" s="303"/>
      <c r="Y125" s="303"/>
      <c r="Z125" s="303"/>
      <c r="AA125" s="303"/>
      <c r="AB125" s="303"/>
      <c r="AC125" s="303"/>
      <c r="AD125" s="303"/>
      <c r="AE125" s="303"/>
      <c r="AF125" s="303"/>
      <c r="AG125" s="303"/>
    </row>
    <row r="126" spans="1:3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302"/>
      <c r="S126" s="302"/>
      <c r="T126" s="302"/>
      <c r="U126" s="303"/>
      <c r="V126" s="303"/>
      <c r="W126" s="303"/>
      <c r="X126" s="303"/>
      <c r="Y126" s="303"/>
      <c r="Z126" s="303"/>
      <c r="AA126" s="303"/>
      <c r="AB126" s="303"/>
      <c r="AC126" s="303"/>
      <c r="AD126" s="303"/>
      <c r="AE126" s="303"/>
      <c r="AF126" s="303"/>
      <c r="AG126" s="303"/>
    </row>
    <row r="127" spans="1:3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302"/>
      <c r="S127" s="302"/>
      <c r="T127" s="302"/>
      <c r="U127" s="303"/>
      <c r="V127" s="303"/>
      <c r="W127" s="303"/>
      <c r="X127" s="303"/>
      <c r="Y127" s="303"/>
      <c r="Z127" s="303"/>
      <c r="AA127" s="303"/>
      <c r="AB127" s="303"/>
      <c r="AC127" s="303"/>
      <c r="AD127" s="303"/>
      <c r="AE127" s="303"/>
      <c r="AF127" s="303"/>
      <c r="AG127" s="303"/>
    </row>
    <row r="128" spans="1:3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302"/>
      <c r="S128" s="302"/>
      <c r="T128" s="302"/>
      <c r="U128" s="303"/>
      <c r="V128" s="303"/>
      <c r="W128" s="303"/>
      <c r="X128" s="303"/>
      <c r="Y128" s="303"/>
      <c r="Z128" s="303"/>
      <c r="AA128" s="303"/>
      <c r="AB128" s="303"/>
      <c r="AC128" s="303"/>
      <c r="AD128" s="303"/>
      <c r="AE128" s="303"/>
      <c r="AF128" s="303"/>
      <c r="AG128" s="303"/>
    </row>
    <row r="129" spans="1:3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302"/>
      <c r="S129" s="302"/>
      <c r="T129" s="302"/>
      <c r="U129" s="303"/>
      <c r="V129" s="303"/>
      <c r="W129" s="303"/>
      <c r="X129" s="303"/>
      <c r="Y129" s="303"/>
      <c r="Z129" s="303"/>
      <c r="AA129" s="303"/>
      <c r="AB129" s="303"/>
      <c r="AC129" s="303"/>
      <c r="AD129" s="303"/>
      <c r="AE129" s="303"/>
      <c r="AF129" s="303"/>
      <c r="AG129" s="303"/>
    </row>
    <row r="130" spans="1:3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302"/>
      <c r="S130" s="302"/>
      <c r="T130" s="302"/>
      <c r="U130" s="303"/>
      <c r="V130" s="303"/>
      <c r="W130" s="303"/>
      <c r="X130" s="303"/>
      <c r="Y130" s="303"/>
      <c r="Z130" s="303"/>
      <c r="AA130" s="303"/>
      <c r="AB130" s="303"/>
      <c r="AC130" s="303"/>
      <c r="AD130" s="303"/>
      <c r="AE130" s="303"/>
      <c r="AF130" s="303"/>
      <c r="AG130" s="303"/>
    </row>
    <row r="131" spans="1:3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302"/>
      <c r="S131" s="302"/>
      <c r="T131" s="302"/>
      <c r="U131" s="303"/>
      <c r="V131" s="303"/>
      <c r="W131" s="303"/>
      <c r="X131" s="303"/>
      <c r="Y131" s="303"/>
      <c r="Z131" s="303"/>
      <c r="AA131" s="303"/>
      <c r="AB131" s="303"/>
      <c r="AC131" s="303"/>
      <c r="AD131" s="303"/>
      <c r="AE131" s="303"/>
      <c r="AF131" s="303"/>
      <c r="AG131" s="303"/>
    </row>
    <row r="132" spans="1:3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302"/>
      <c r="S132" s="302"/>
      <c r="T132" s="302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03"/>
      <c r="AE132" s="303"/>
      <c r="AF132" s="303"/>
      <c r="AG132" s="303"/>
    </row>
    <row r="133" spans="1:3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302"/>
      <c r="S133" s="302"/>
      <c r="T133" s="302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03"/>
      <c r="AE133" s="303"/>
      <c r="AF133" s="303"/>
      <c r="AG133" s="303"/>
    </row>
    <row r="134" spans="1:3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302"/>
      <c r="S134" s="302"/>
      <c r="T134" s="302"/>
      <c r="U134" s="303"/>
      <c r="V134" s="303"/>
      <c r="W134" s="303"/>
      <c r="X134" s="303"/>
      <c r="Y134" s="303"/>
      <c r="Z134" s="303"/>
      <c r="AA134" s="303"/>
      <c r="AB134" s="303"/>
      <c r="AC134" s="303"/>
      <c r="AD134" s="303"/>
      <c r="AE134" s="303"/>
      <c r="AF134" s="303"/>
      <c r="AG134" s="303"/>
    </row>
    <row r="135" spans="1:3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302"/>
      <c r="S135" s="302"/>
      <c r="T135" s="302"/>
      <c r="U135" s="303"/>
      <c r="V135" s="303"/>
      <c r="W135" s="303"/>
      <c r="X135" s="303"/>
      <c r="Y135" s="303"/>
      <c r="Z135" s="303"/>
      <c r="AA135" s="303"/>
      <c r="AB135" s="303"/>
      <c r="AC135" s="303"/>
      <c r="AD135" s="303"/>
      <c r="AE135" s="303"/>
      <c r="AF135" s="303"/>
      <c r="AG135" s="303"/>
    </row>
    <row r="136" spans="1:3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302"/>
      <c r="S136" s="302"/>
      <c r="T136" s="302"/>
      <c r="U136" s="303"/>
      <c r="V136" s="303"/>
      <c r="W136" s="303"/>
      <c r="X136" s="303"/>
      <c r="Y136" s="303"/>
      <c r="Z136" s="303"/>
      <c r="AA136" s="303"/>
      <c r="AB136" s="303"/>
      <c r="AC136" s="303"/>
      <c r="AD136" s="303"/>
      <c r="AE136" s="303"/>
      <c r="AF136" s="303"/>
      <c r="AG136" s="303"/>
    </row>
    <row r="137" spans="1:3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302"/>
      <c r="S137" s="302"/>
      <c r="T137" s="302"/>
      <c r="U137" s="303"/>
      <c r="V137" s="303"/>
      <c r="W137" s="303"/>
      <c r="X137" s="303"/>
      <c r="Y137" s="303"/>
      <c r="Z137" s="303"/>
      <c r="AA137" s="303"/>
      <c r="AB137" s="303"/>
      <c r="AC137" s="303"/>
      <c r="AD137" s="303"/>
      <c r="AE137" s="303"/>
      <c r="AF137" s="303"/>
      <c r="AG137" s="303"/>
    </row>
    <row r="138" spans="1:3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302"/>
      <c r="S138" s="302"/>
      <c r="T138" s="302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</row>
    <row r="139" spans="1:3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302"/>
      <c r="S139" s="302"/>
      <c r="T139" s="302"/>
      <c r="U139" s="303"/>
      <c r="V139" s="303"/>
      <c r="W139" s="303"/>
      <c r="X139" s="303"/>
      <c r="Y139" s="303"/>
      <c r="Z139" s="303"/>
      <c r="AA139" s="303"/>
      <c r="AB139" s="303"/>
      <c r="AC139" s="303"/>
      <c r="AD139" s="303"/>
      <c r="AE139" s="303"/>
      <c r="AF139" s="303"/>
      <c r="AG139" s="303"/>
    </row>
    <row r="140" spans="1:3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302"/>
      <c r="S140" s="302"/>
      <c r="T140" s="302"/>
      <c r="U140" s="303"/>
      <c r="V140" s="303"/>
      <c r="W140" s="303"/>
      <c r="X140" s="303"/>
      <c r="Y140" s="303"/>
      <c r="Z140" s="303"/>
      <c r="AA140" s="303"/>
      <c r="AB140" s="303"/>
      <c r="AC140" s="303"/>
      <c r="AD140" s="303"/>
      <c r="AE140" s="303"/>
      <c r="AF140" s="303"/>
      <c r="AG140" s="303"/>
    </row>
    <row r="141" spans="1:3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302"/>
      <c r="S141" s="302"/>
      <c r="T141" s="302"/>
      <c r="U141" s="303"/>
      <c r="V141" s="303"/>
      <c r="W141" s="303"/>
      <c r="X141" s="303"/>
      <c r="Y141" s="303"/>
      <c r="Z141" s="303"/>
      <c r="AA141" s="303"/>
      <c r="AB141" s="303"/>
      <c r="AC141" s="303"/>
      <c r="AD141" s="303"/>
      <c r="AE141" s="303"/>
      <c r="AF141" s="303"/>
      <c r="AG141" s="303"/>
    </row>
    <row r="142" spans="1:3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302"/>
      <c r="S142" s="302"/>
      <c r="T142" s="302"/>
      <c r="U142" s="303"/>
      <c r="V142" s="303"/>
      <c r="W142" s="303"/>
      <c r="X142" s="303"/>
      <c r="Y142" s="303"/>
      <c r="Z142" s="303"/>
      <c r="AA142" s="303"/>
      <c r="AB142" s="303"/>
      <c r="AC142" s="303"/>
      <c r="AD142" s="303"/>
      <c r="AE142" s="303"/>
      <c r="AF142" s="303"/>
      <c r="AG142" s="303"/>
    </row>
    <row r="143" spans="1:3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302"/>
      <c r="S143" s="302"/>
      <c r="T143" s="302"/>
      <c r="U143" s="303"/>
      <c r="V143" s="303"/>
      <c r="W143" s="303"/>
      <c r="X143" s="303"/>
      <c r="Y143" s="303"/>
      <c r="Z143" s="303"/>
      <c r="AA143" s="303"/>
      <c r="AB143" s="303"/>
      <c r="AC143" s="303"/>
      <c r="AD143" s="303"/>
      <c r="AE143" s="303"/>
      <c r="AF143" s="303"/>
      <c r="AG143" s="303"/>
    </row>
    <row r="144" spans="1:3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302"/>
      <c r="S144" s="302"/>
      <c r="T144" s="302"/>
      <c r="U144" s="303"/>
      <c r="V144" s="303"/>
      <c r="W144" s="303"/>
      <c r="X144" s="303"/>
      <c r="Y144" s="303"/>
      <c r="Z144" s="303"/>
      <c r="AA144" s="303"/>
      <c r="AB144" s="303"/>
      <c r="AC144" s="303"/>
      <c r="AD144" s="303"/>
      <c r="AE144" s="303"/>
      <c r="AF144" s="303"/>
      <c r="AG144" s="303"/>
    </row>
    <row r="145" spans="1:3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302"/>
      <c r="S145" s="302"/>
      <c r="T145" s="302"/>
      <c r="U145" s="303"/>
      <c r="V145" s="303"/>
      <c r="W145" s="303"/>
      <c r="X145" s="303"/>
      <c r="Y145" s="303"/>
      <c r="Z145" s="303"/>
      <c r="AA145" s="303"/>
      <c r="AB145" s="303"/>
      <c r="AC145" s="303"/>
      <c r="AD145" s="303"/>
      <c r="AE145" s="303"/>
      <c r="AF145" s="303"/>
      <c r="AG145" s="303"/>
    </row>
    <row r="146" spans="1:3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302"/>
      <c r="S146" s="302"/>
      <c r="T146" s="302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03"/>
      <c r="AE146" s="303"/>
      <c r="AF146" s="303"/>
      <c r="AG146" s="303"/>
    </row>
    <row r="147" spans="1:3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302"/>
      <c r="S147" s="302"/>
      <c r="T147" s="302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3"/>
      <c r="AF147" s="303"/>
      <c r="AG147" s="303"/>
    </row>
    <row r="148" spans="1:3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302"/>
      <c r="S148" s="302"/>
      <c r="T148" s="302"/>
      <c r="U148" s="303"/>
      <c r="V148" s="303"/>
      <c r="W148" s="303"/>
      <c r="X148" s="303"/>
      <c r="Y148" s="303"/>
      <c r="Z148" s="303"/>
      <c r="AA148" s="303"/>
      <c r="AB148" s="303"/>
      <c r="AC148" s="303"/>
      <c r="AD148" s="303"/>
      <c r="AE148" s="303"/>
      <c r="AF148" s="303"/>
      <c r="AG148" s="303"/>
    </row>
    <row r="149" spans="1:3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302"/>
      <c r="S149" s="302"/>
      <c r="T149" s="302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3"/>
      <c r="AF149" s="303"/>
      <c r="AG149" s="303"/>
    </row>
    <row r="150" spans="1:3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302"/>
      <c r="S150" s="302"/>
      <c r="T150" s="302"/>
      <c r="U150" s="303"/>
      <c r="V150" s="303"/>
      <c r="W150" s="303"/>
      <c r="X150" s="303"/>
      <c r="Y150" s="303"/>
      <c r="Z150" s="303"/>
      <c r="AA150" s="303"/>
      <c r="AB150" s="303"/>
      <c r="AC150" s="303"/>
      <c r="AD150" s="303"/>
      <c r="AE150" s="303"/>
      <c r="AF150" s="303"/>
      <c r="AG150" s="303"/>
    </row>
    <row r="151" spans="1:3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302"/>
      <c r="S151" s="302"/>
      <c r="T151" s="302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3"/>
      <c r="AF151" s="303"/>
      <c r="AG151" s="303"/>
    </row>
    <row r="152" spans="1:3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302"/>
      <c r="S152" s="302"/>
      <c r="T152" s="302"/>
      <c r="U152" s="303"/>
      <c r="V152" s="303"/>
      <c r="W152" s="303"/>
      <c r="X152" s="303"/>
      <c r="Y152" s="303"/>
      <c r="Z152" s="303"/>
      <c r="AA152" s="303"/>
      <c r="AB152" s="303"/>
      <c r="AC152" s="303"/>
      <c r="AD152" s="303"/>
      <c r="AE152" s="303"/>
      <c r="AF152" s="303"/>
      <c r="AG152" s="303"/>
    </row>
    <row r="153" spans="1:3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302"/>
      <c r="S153" s="302"/>
      <c r="T153" s="302"/>
      <c r="U153" s="303"/>
      <c r="V153" s="303"/>
      <c r="W153" s="303"/>
      <c r="X153" s="303"/>
      <c r="Y153" s="303"/>
      <c r="Z153" s="303"/>
      <c r="AA153" s="303"/>
      <c r="AB153" s="303"/>
      <c r="AC153" s="303"/>
      <c r="AD153" s="303"/>
      <c r="AE153" s="303"/>
      <c r="AF153" s="303"/>
      <c r="AG153" s="303"/>
    </row>
    <row r="154" spans="1:3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302"/>
      <c r="S154" s="302"/>
      <c r="T154" s="302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3"/>
      <c r="AF154" s="303"/>
      <c r="AG154" s="303"/>
    </row>
    <row r="155" spans="1:3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302"/>
      <c r="S155" s="302"/>
      <c r="T155" s="302"/>
      <c r="U155" s="303"/>
      <c r="V155" s="303"/>
      <c r="W155" s="303"/>
      <c r="X155" s="303"/>
      <c r="Y155" s="303"/>
      <c r="Z155" s="303"/>
      <c r="AA155" s="303"/>
      <c r="AB155" s="303"/>
      <c r="AC155" s="303"/>
      <c r="AD155" s="303"/>
      <c r="AE155" s="303"/>
      <c r="AF155" s="303"/>
      <c r="AG155" s="303"/>
    </row>
    <row r="156" spans="1:3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302"/>
      <c r="S156" s="302"/>
      <c r="T156" s="302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3"/>
      <c r="AF156" s="303"/>
      <c r="AG156" s="303"/>
    </row>
    <row r="157" spans="1:3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302"/>
      <c r="S157" s="302"/>
      <c r="T157" s="302"/>
      <c r="U157" s="303"/>
      <c r="V157" s="303"/>
      <c r="W157" s="303"/>
      <c r="X157" s="303"/>
      <c r="Y157" s="303"/>
      <c r="Z157" s="303"/>
      <c r="AA157" s="303"/>
      <c r="AB157" s="303"/>
      <c r="AC157" s="303"/>
      <c r="AD157" s="303"/>
      <c r="AE157" s="303"/>
      <c r="AF157" s="303"/>
      <c r="AG157" s="303"/>
    </row>
    <row r="158" spans="1:3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302"/>
      <c r="S158" s="302"/>
      <c r="T158" s="302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03"/>
      <c r="AE158" s="303"/>
      <c r="AF158" s="303"/>
      <c r="AG158" s="303"/>
    </row>
    <row r="159" spans="1:3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302"/>
      <c r="S159" s="302"/>
      <c r="T159" s="302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03"/>
      <c r="AE159" s="303"/>
      <c r="AF159" s="303"/>
      <c r="AG159" s="303"/>
    </row>
    <row r="160" spans="1:3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302"/>
      <c r="S160" s="302"/>
      <c r="T160" s="302"/>
      <c r="U160" s="303"/>
      <c r="V160" s="303"/>
      <c r="W160" s="303"/>
      <c r="X160" s="303"/>
      <c r="Y160" s="303"/>
      <c r="Z160" s="303"/>
      <c r="AA160" s="303"/>
      <c r="AB160" s="303"/>
      <c r="AC160" s="303"/>
      <c r="AD160" s="303"/>
      <c r="AE160" s="303"/>
      <c r="AF160" s="303"/>
      <c r="AG160" s="303"/>
    </row>
    <row r="161" spans="1:3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302"/>
      <c r="S161" s="302"/>
      <c r="T161" s="302"/>
      <c r="U161" s="303"/>
      <c r="V161" s="303"/>
      <c r="W161" s="303"/>
      <c r="X161" s="303"/>
      <c r="Y161" s="303"/>
      <c r="Z161" s="303"/>
      <c r="AA161" s="303"/>
      <c r="AB161" s="303"/>
      <c r="AC161" s="303"/>
      <c r="AD161" s="303"/>
      <c r="AE161" s="303"/>
      <c r="AF161" s="303"/>
      <c r="AG161" s="303"/>
    </row>
    <row r="162" spans="1:3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302"/>
      <c r="S162" s="302"/>
      <c r="T162" s="302"/>
      <c r="U162" s="303"/>
      <c r="V162" s="303"/>
      <c r="W162" s="303"/>
      <c r="X162" s="303"/>
      <c r="Y162" s="303"/>
      <c r="Z162" s="303"/>
      <c r="AA162" s="303"/>
      <c r="AB162" s="303"/>
      <c r="AC162" s="303"/>
      <c r="AD162" s="303"/>
      <c r="AE162" s="303"/>
      <c r="AF162" s="303"/>
      <c r="AG162" s="303"/>
    </row>
    <row r="163" spans="1:3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302"/>
      <c r="S163" s="302"/>
      <c r="T163" s="302"/>
      <c r="U163" s="303"/>
      <c r="V163" s="303"/>
      <c r="W163" s="303"/>
      <c r="X163" s="303"/>
      <c r="Y163" s="303"/>
      <c r="Z163" s="303"/>
      <c r="AA163" s="303"/>
      <c r="AB163" s="303"/>
      <c r="AC163" s="303"/>
      <c r="AD163" s="303"/>
      <c r="AE163" s="303"/>
      <c r="AF163" s="303"/>
      <c r="AG163" s="303"/>
    </row>
    <row r="164" spans="1:3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302"/>
      <c r="S164" s="302"/>
      <c r="T164" s="302"/>
      <c r="U164" s="303"/>
      <c r="V164" s="303"/>
      <c r="W164" s="303"/>
      <c r="X164" s="303"/>
      <c r="Y164" s="303"/>
      <c r="Z164" s="303"/>
      <c r="AA164" s="303"/>
      <c r="AB164" s="303"/>
      <c r="AC164" s="303"/>
      <c r="AD164" s="303"/>
      <c r="AE164" s="303"/>
      <c r="AF164" s="303"/>
      <c r="AG164" s="303"/>
    </row>
    <row r="165" spans="1:3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302"/>
      <c r="S165" s="302"/>
      <c r="T165" s="302"/>
      <c r="U165" s="303"/>
      <c r="V165" s="303"/>
      <c r="W165" s="303"/>
      <c r="X165" s="303"/>
      <c r="Y165" s="303"/>
      <c r="Z165" s="303"/>
      <c r="AA165" s="303"/>
      <c r="AB165" s="303"/>
      <c r="AC165" s="303"/>
      <c r="AD165" s="303"/>
      <c r="AE165" s="303"/>
      <c r="AF165" s="303"/>
      <c r="AG165" s="303"/>
    </row>
    <row r="166" spans="1:3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302"/>
      <c r="S166" s="302"/>
      <c r="T166" s="302"/>
      <c r="U166" s="303"/>
      <c r="V166" s="303"/>
      <c r="W166" s="303"/>
      <c r="X166" s="303"/>
      <c r="Y166" s="303"/>
      <c r="Z166" s="303"/>
      <c r="AA166" s="303"/>
      <c r="AB166" s="303"/>
      <c r="AC166" s="303"/>
      <c r="AD166" s="303"/>
      <c r="AE166" s="303"/>
      <c r="AF166" s="303"/>
      <c r="AG166" s="303"/>
    </row>
    <row r="167" spans="1:3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302"/>
      <c r="S167" s="302"/>
      <c r="T167" s="302"/>
      <c r="U167" s="303"/>
      <c r="V167" s="303"/>
      <c r="W167" s="303"/>
      <c r="X167" s="303"/>
      <c r="Y167" s="303"/>
      <c r="Z167" s="303"/>
      <c r="AA167" s="303"/>
      <c r="AB167" s="303"/>
      <c r="AC167" s="303"/>
      <c r="AD167" s="303"/>
      <c r="AE167" s="303"/>
      <c r="AF167" s="303"/>
      <c r="AG167" s="303"/>
    </row>
    <row r="168" spans="1:3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302"/>
      <c r="S168" s="302"/>
      <c r="T168" s="302"/>
      <c r="U168" s="303"/>
      <c r="V168" s="303"/>
      <c r="W168" s="303"/>
      <c r="X168" s="303"/>
      <c r="Y168" s="303"/>
      <c r="Z168" s="303"/>
      <c r="AA168" s="303"/>
      <c r="AB168" s="303"/>
      <c r="AC168" s="303"/>
      <c r="AD168" s="303"/>
      <c r="AE168" s="303"/>
      <c r="AF168" s="303"/>
      <c r="AG168" s="303"/>
    </row>
    <row r="169" spans="1:3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302"/>
      <c r="S169" s="302"/>
      <c r="T169" s="302"/>
      <c r="U169" s="303"/>
      <c r="V169" s="303"/>
      <c r="W169" s="303"/>
      <c r="X169" s="303"/>
      <c r="Y169" s="303"/>
      <c r="Z169" s="303"/>
      <c r="AA169" s="303"/>
      <c r="AB169" s="303"/>
      <c r="AC169" s="303"/>
      <c r="AD169" s="303"/>
      <c r="AE169" s="303"/>
      <c r="AF169" s="303"/>
      <c r="AG169" s="303"/>
    </row>
    <row r="170" spans="1:3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302"/>
      <c r="S170" s="302"/>
      <c r="T170" s="302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3"/>
      <c r="AF170" s="303"/>
      <c r="AG170" s="303"/>
    </row>
    <row r="171" spans="1:3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302"/>
      <c r="S171" s="302"/>
      <c r="T171" s="302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3"/>
      <c r="AF171" s="303"/>
      <c r="AG171" s="303"/>
    </row>
    <row r="172" spans="1:3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302"/>
      <c r="S172" s="302"/>
      <c r="T172" s="302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03"/>
      <c r="AE172" s="303"/>
      <c r="AF172" s="303"/>
      <c r="AG172" s="303"/>
    </row>
    <row r="173" spans="1:3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302"/>
      <c r="S173" s="302"/>
      <c r="T173" s="302"/>
      <c r="U173" s="303"/>
      <c r="V173" s="303"/>
      <c r="W173" s="303"/>
      <c r="X173" s="303"/>
      <c r="Y173" s="303"/>
      <c r="Z173" s="303"/>
      <c r="AA173" s="303"/>
      <c r="AB173" s="303"/>
      <c r="AC173" s="303"/>
      <c r="AD173" s="303"/>
      <c r="AE173" s="303"/>
      <c r="AF173" s="303"/>
      <c r="AG173" s="303"/>
    </row>
    <row r="174" spans="1:3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302"/>
      <c r="S174" s="302"/>
      <c r="T174" s="302"/>
      <c r="U174" s="303"/>
      <c r="V174" s="303"/>
      <c r="W174" s="303"/>
      <c r="X174" s="303"/>
      <c r="Y174" s="303"/>
      <c r="Z174" s="303"/>
      <c r="AA174" s="303"/>
      <c r="AB174" s="303"/>
      <c r="AC174" s="303"/>
      <c r="AD174" s="303"/>
      <c r="AE174" s="303"/>
      <c r="AF174" s="303"/>
      <c r="AG174" s="303"/>
    </row>
    <row r="175" spans="1:3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302"/>
      <c r="S175" s="302"/>
      <c r="T175" s="302"/>
      <c r="U175" s="303"/>
      <c r="V175" s="303"/>
      <c r="W175" s="303"/>
      <c r="X175" s="303"/>
      <c r="Y175" s="303"/>
      <c r="Z175" s="303"/>
      <c r="AA175" s="303"/>
      <c r="AB175" s="303"/>
      <c r="AC175" s="303"/>
      <c r="AD175" s="303"/>
      <c r="AE175" s="303"/>
      <c r="AF175" s="303"/>
      <c r="AG175" s="303"/>
    </row>
    <row r="176" spans="1:3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302"/>
      <c r="S176" s="302"/>
      <c r="T176" s="302"/>
      <c r="U176" s="303"/>
      <c r="V176" s="303"/>
      <c r="W176" s="303"/>
      <c r="X176" s="303"/>
      <c r="Y176" s="303"/>
      <c r="Z176" s="303"/>
      <c r="AA176" s="303"/>
      <c r="AB176" s="303"/>
      <c r="AC176" s="303"/>
      <c r="AD176" s="303"/>
      <c r="AE176" s="303"/>
      <c r="AF176" s="303"/>
      <c r="AG176" s="303"/>
    </row>
    <row r="177" spans="1:3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302"/>
      <c r="S177" s="302"/>
      <c r="T177" s="302"/>
      <c r="U177" s="303"/>
      <c r="V177" s="303"/>
      <c r="W177" s="303"/>
      <c r="X177" s="303"/>
      <c r="Y177" s="303"/>
      <c r="Z177" s="303"/>
      <c r="AA177" s="303"/>
      <c r="AB177" s="303"/>
      <c r="AC177" s="303"/>
      <c r="AD177" s="303"/>
      <c r="AE177" s="303"/>
      <c r="AF177" s="303"/>
      <c r="AG177" s="303"/>
    </row>
    <row r="178" spans="1:3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302"/>
      <c r="S178" s="302"/>
      <c r="T178" s="302"/>
      <c r="U178" s="303"/>
      <c r="V178" s="303"/>
      <c r="W178" s="303"/>
      <c r="X178" s="303"/>
      <c r="Y178" s="303"/>
      <c r="Z178" s="303"/>
      <c r="AA178" s="303"/>
      <c r="AB178" s="303"/>
      <c r="AC178" s="303"/>
      <c r="AD178" s="303"/>
      <c r="AE178" s="303"/>
      <c r="AF178" s="303"/>
      <c r="AG178" s="303"/>
    </row>
    <row r="179" spans="1:3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302"/>
      <c r="S179" s="302"/>
      <c r="T179" s="302"/>
      <c r="U179" s="303"/>
      <c r="V179" s="303"/>
      <c r="W179" s="303"/>
      <c r="X179" s="303"/>
      <c r="Y179" s="303"/>
      <c r="Z179" s="303"/>
      <c r="AA179" s="303"/>
      <c r="AB179" s="303"/>
      <c r="AC179" s="303"/>
      <c r="AD179" s="303"/>
      <c r="AE179" s="303"/>
      <c r="AF179" s="303"/>
      <c r="AG179" s="303"/>
    </row>
    <row r="180" spans="1:3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302"/>
      <c r="S180" s="302"/>
      <c r="T180" s="302"/>
      <c r="U180" s="303"/>
      <c r="V180" s="303"/>
      <c r="W180" s="303"/>
      <c r="X180" s="303"/>
      <c r="Y180" s="303"/>
      <c r="Z180" s="303"/>
      <c r="AA180" s="303"/>
      <c r="AB180" s="303"/>
      <c r="AC180" s="303"/>
      <c r="AD180" s="303"/>
      <c r="AE180" s="303"/>
      <c r="AF180" s="303"/>
      <c r="AG180" s="303"/>
    </row>
    <row r="181" spans="1:3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302"/>
      <c r="S181" s="302"/>
      <c r="T181" s="302"/>
      <c r="U181" s="303"/>
      <c r="V181" s="303"/>
      <c r="W181" s="303"/>
      <c r="X181" s="303"/>
      <c r="Y181" s="303"/>
      <c r="Z181" s="303"/>
      <c r="AA181" s="303"/>
      <c r="AB181" s="303"/>
      <c r="AC181" s="303"/>
      <c r="AD181" s="303"/>
      <c r="AE181" s="303"/>
      <c r="AF181" s="303"/>
      <c r="AG181" s="303"/>
    </row>
    <row r="182" spans="1:3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302"/>
      <c r="S182" s="302"/>
      <c r="T182" s="302"/>
      <c r="U182" s="303"/>
      <c r="V182" s="303"/>
      <c r="W182" s="303"/>
      <c r="X182" s="303"/>
      <c r="Y182" s="303"/>
      <c r="Z182" s="303"/>
      <c r="AA182" s="303"/>
      <c r="AB182" s="303"/>
      <c r="AC182" s="303"/>
      <c r="AD182" s="303"/>
      <c r="AE182" s="303"/>
      <c r="AF182" s="303"/>
      <c r="AG182" s="303"/>
    </row>
    <row r="183" spans="1:3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302"/>
      <c r="S183" s="302"/>
      <c r="T183" s="302"/>
      <c r="U183" s="303"/>
      <c r="V183" s="303"/>
      <c r="W183" s="303"/>
      <c r="X183" s="303"/>
      <c r="Y183" s="303"/>
      <c r="Z183" s="303"/>
      <c r="AA183" s="303"/>
      <c r="AB183" s="303"/>
      <c r="AC183" s="303"/>
      <c r="AD183" s="303"/>
      <c r="AE183" s="303"/>
      <c r="AF183" s="303"/>
      <c r="AG183" s="303"/>
    </row>
    <row r="184" spans="1:3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302"/>
      <c r="S184" s="302"/>
      <c r="T184" s="302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</row>
    <row r="185" spans="1:3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302"/>
      <c r="S185" s="302"/>
      <c r="T185" s="302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03"/>
      <c r="AE185" s="303"/>
      <c r="AF185" s="303"/>
      <c r="AG185" s="303"/>
    </row>
    <row r="186" spans="1:3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302"/>
      <c r="S186" s="302"/>
      <c r="T186" s="302"/>
      <c r="U186" s="303"/>
      <c r="V186" s="303"/>
      <c r="W186" s="303"/>
      <c r="X186" s="303"/>
      <c r="Y186" s="303"/>
      <c r="Z186" s="303"/>
      <c r="AA186" s="303"/>
      <c r="AB186" s="303"/>
      <c r="AC186" s="303"/>
      <c r="AD186" s="303"/>
      <c r="AE186" s="303"/>
      <c r="AF186" s="303"/>
      <c r="AG186" s="303"/>
    </row>
    <row r="187" spans="1:3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302"/>
      <c r="S187" s="302"/>
      <c r="T187" s="302"/>
      <c r="U187" s="303"/>
      <c r="V187" s="303"/>
      <c r="W187" s="303"/>
      <c r="X187" s="303"/>
      <c r="Y187" s="303"/>
      <c r="Z187" s="303"/>
      <c r="AA187" s="303"/>
      <c r="AB187" s="303"/>
      <c r="AC187" s="303"/>
      <c r="AD187" s="303"/>
      <c r="AE187" s="303"/>
      <c r="AF187" s="303"/>
      <c r="AG187" s="303"/>
    </row>
    <row r="188" spans="1:3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302"/>
      <c r="S188" s="302"/>
      <c r="T188" s="302"/>
      <c r="U188" s="303"/>
      <c r="V188" s="303"/>
      <c r="W188" s="303"/>
      <c r="X188" s="303"/>
      <c r="Y188" s="303"/>
      <c r="Z188" s="303"/>
      <c r="AA188" s="303"/>
      <c r="AB188" s="303"/>
      <c r="AC188" s="303"/>
      <c r="AD188" s="303"/>
      <c r="AE188" s="303"/>
      <c r="AF188" s="303"/>
      <c r="AG188" s="303"/>
    </row>
    <row r="189" spans="1:3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302"/>
      <c r="S189" s="302"/>
      <c r="T189" s="302"/>
      <c r="U189" s="303"/>
      <c r="V189" s="303"/>
      <c r="W189" s="303"/>
      <c r="X189" s="303"/>
      <c r="Y189" s="303"/>
      <c r="Z189" s="303"/>
      <c r="AA189" s="303"/>
      <c r="AB189" s="303"/>
      <c r="AC189" s="303"/>
      <c r="AD189" s="303"/>
      <c r="AE189" s="303"/>
      <c r="AF189" s="303"/>
      <c r="AG189" s="303"/>
    </row>
    <row r="190" spans="1:3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302"/>
      <c r="S190" s="302"/>
      <c r="T190" s="302"/>
      <c r="U190" s="303"/>
      <c r="V190" s="303"/>
      <c r="W190" s="303"/>
      <c r="X190" s="303"/>
      <c r="Y190" s="303"/>
      <c r="Z190" s="303"/>
      <c r="AA190" s="303"/>
      <c r="AB190" s="303"/>
      <c r="AC190" s="303"/>
      <c r="AD190" s="303"/>
      <c r="AE190" s="303"/>
      <c r="AF190" s="303"/>
      <c r="AG190" s="303"/>
    </row>
    <row r="191" spans="1:3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302"/>
      <c r="S191" s="302"/>
      <c r="T191" s="302"/>
      <c r="U191" s="303"/>
      <c r="V191" s="303"/>
      <c r="W191" s="303"/>
      <c r="X191" s="303"/>
      <c r="Y191" s="303"/>
      <c r="Z191" s="303"/>
      <c r="AA191" s="303"/>
      <c r="AB191" s="303"/>
      <c r="AC191" s="303"/>
      <c r="AD191" s="303"/>
      <c r="AE191" s="303"/>
      <c r="AF191" s="303"/>
      <c r="AG191" s="303"/>
    </row>
    <row r="192" spans="1:3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302"/>
      <c r="S192" s="302"/>
      <c r="T192" s="302"/>
      <c r="U192" s="303"/>
      <c r="V192" s="303"/>
      <c r="W192" s="303"/>
      <c r="X192" s="303"/>
      <c r="Y192" s="303"/>
      <c r="Z192" s="303"/>
      <c r="AA192" s="303"/>
      <c r="AB192" s="303"/>
      <c r="AC192" s="303"/>
      <c r="AD192" s="303"/>
      <c r="AE192" s="303"/>
      <c r="AF192" s="303"/>
      <c r="AG192" s="303"/>
    </row>
    <row r="193" spans="1:3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302"/>
      <c r="S193" s="302"/>
      <c r="T193" s="302"/>
      <c r="U193" s="303"/>
      <c r="V193" s="303"/>
      <c r="W193" s="303"/>
      <c r="X193" s="303"/>
      <c r="Y193" s="303"/>
      <c r="Z193" s="303"/>
      <c r="AA193" s="303"/>
      <c r="AB193" s="303"/>
      <c r="AC193" s="303"/>
      <c r="AD193" s="303"/>
      <c r="AE193" s="303"/>
      <c r="AF193" s="303"/>
      <c r="AG193" s="303"/>
    </row>
    <row r="194" spans="1:3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302"/>
      <c r="S194" s="302"/>
      <c r="T194" s="302"/>
      <c r="U194" s="303"/>
      <c r="V194" s="303"/>
      <c r="W194" s="303"/>
      <c r="X194" s="303"/>
      <c r="Y194" s="303"/>
      <c r="Z194" s="303"/>
      <c r="AA194" s="303"/>
      <c r="AB194" s="303"/>
      <c r="AC194" s="303"/>
      <c r="AD194" s="303"/>
      <c r="AE194" s="303"/>
      <c r="AF194" s="303"/>
      <c r="AG194" s="303"/>
    </row>
    <row r="195" spans="1:3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302"/>
      <c r="S195" s="302"/>
      <c r="T195" s="302"/>
      <c r="U195" s="303"/>
      <c r="V195" s="303"/>
      <c r="W195" s="303"/>
      <c r="X195" s="303"/>
      <c r="Y195" s="303"/>
      <c r="Z195" s="303"/>
      <c r="AA195" s="303"/>
      <c r="AB195" s="303"/>
      <c r="AC195" s="303"/>
      <c r="AD195" s="303"/>
      <c r="AE195" s="303"/>
      <c r="AF195" s="303"/>
      <c r="AG195" s="303"/>
    </row>
    <row r="196" spans="1:3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302"/>
      <c r="S196" s="302"/>
      <c r="T196" s="302"/>
      <c r="U196" s="303"/>
      <c r="V196" s="303"/>
      <c r="W196" s="303"/>
      <c r="X196" s="303"/>
      <c r="Y196" s="303"/>
      <c r="Z196" s="303"/>
      <c r="AA196" s="303"/>
      <c r="AB196" s="303"/>
      <c r="AC196" s="303"/>
      <c r="AD196" s="303"/>
      <c r="AE196" s="303"/>
      <c r="AF196" s="303"/>
      <c r="AG196" s="303"/>
    </row>
    <row r="197" spans="1:3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302"/>
      <c r="S197" s="302"/>
      <c r="T197" s="302"/>
      <c r="U197" s="303"/>
      <c r="V197" s="303"/>
      <c r="W197" s="303"/>
      <c r="X197" s="303"/>
      <c r="Y197" s="303"/>
      <c r="Z197" s="303"/>
      <c r="AA197" s="303"/>
      <c r="AB197" s="303"/>
      <c r="AC197" s="303"/>
      <c r="AD197" s="303"/>
      <c r="AE197" s="303"/>
      <c r="AF197" s="303"/>
      <c r="AG197" s="303"/>
    </row>
    <row r="198" spans="1:3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302"/>
      <c r="S198" s="302"/>
      <c r="T198" s="302"/>
      <c r="U198" s="303"/>
      <c r="V198" s="303"/>
      <c r="W198" s="303"/>
      <c r="X198" s="303"/>
      <c r="Y198" s="303"/>
      <c r="Z198" s="303"/>
      <c r="AA198" s="303"/>
      <c r="AB198" s="303"/>
      <c r="AC198" s="303"/>
      <c r="AD198" s="303"/>
      <c r="AE198" s="303"/>
      <c r="AF198" s="303"/>
      <c r="AG198" s="303"/>
    </row>
    <row r="199" spans="1:3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302"/>
      <c r="S199" s="302"/>
      <c r="T199" s="302"/>
      <c r="U199" s="303"/>
      <c r="V199" s="303"/>
      <c r="W199" s="303"/>
      <c r="X199" s="303"/>
      <c r="Y199" s="303"/>
      <c r="Z199" s="303"/>
      <c r="AA199" s="303"/>
      <c r="AB199" s="303"/>
      <c r="AC199" s="303"/>
      <c r="AD199" s="303"/>
      <c r="AE199" s="303"/>
      <c r="AF199" s="303"/>
      <c r="AG199" s="303"/>
    </row>
    <row r="200" spans="1:3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302"/>
      <c r="S200" s="302"/>
      <c r="T200" s="302"/>
      <c r="U200" s="303"/>
      <c r="V200" s="303"/>
      <c r="W200" s="303"/>
      <c r="X200" s="303"/>
      <c r="Y200" s="303"/>
      <c r="Z200" s="303"/>
      <c r="AA200" s="303"/>
      <c r="AB200" s="303"/>
      <c r="AC200" s="303"/>
      <c r="AD200" s="303"/>
      <c r="AE200" s="303"/>
      <c r="AF200" s="303"/>
      <c r="AG200" s="303"/>
    </row>
    <row r="201" spans="1:3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302"/>
      <c r="S201" s="302"/>
      <c r="T201" s="302"/>
      <c r="U201" s="303"/>
      <c r="V201" s="303"/>
      <c r="W201" s="303"/>
      <c r="X201" s="303"/>
      <c r="Y201" s="303"/>
      <c r="Z201" s="303"/>
      <c r="AA201" s="303"/>
      <c r="AB201" s="303"/>
      <c r="AC201" s="303"/>
      <c r="AD201" s="303"/>
      <c r="AE201" s="303"/>
      <c r="AF201" s="303"/>
      <c r="AG201" s="303"/>
    </row>
    <row r="202" spans="1:3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302"/>
      <c r="S202" s="302"/>
      <c r="T202" s="302"/>
      <c r="U202" s="303"/>
      <c r="V202" s="303"/>
      <c r="W202" s="303"/>
      <c r="X202" s="303"/>
      <c r="Y202" s="303"/>
      <c r="Z202" s="303"/>
      <c r="AA202" s="303"/>
      <c r="AB202" s="303"/>
      <c r="AC202" s="303"/>
      <c r="AD202" s="303"/>
      <c r="AE202" s="303"/>
      <c r="AF202" s="303"/>
      <c r="AG202" s="303"/>
    </row>
    <row r="203" spans="1:3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302"/>
      <c r="S203" s="302"/>
      <c r="T203" s="302"/>
      <c r="U203" s="303"/>
      <c r="V203" s="303"/>
      <c r="W203" s="303"/>
      <c r="X203" s="303"/>
      <c r="Y203" s="303"/>
      <c r="Z203" s="303"/>
      <c r="AA203" s="303"/>
      <c r="AB203" s="303"/>
      <c r="AC203" s="303"/>
      <c r="AD203" s="303"/>
      <c r="AE203" s="303"/>
      <c r="AF203" s="303"/>
      <c r="AG203" s="303"/>
    </row>
    <row r="204" spans="1:3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302"/>
      <c r="S204" s="302"/>
      <c r="T204" s="302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3"/>
      <c r="AF204" s="303"/>
      <c r="AG204" s="303"/>
    </row>
    <row r="205" spans="1:3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302"/>
      <c r="S205" s="302"/>
      <c r="T205" s="302"/>
      <c r="U205" s="303"/>
      <c r="V205" s="303"/>
      <c r="W205" s="303"/>
      <c r="X205" s="303"/>
      <c r="Y205" s="303"/>
      <c r="Z205" s="303"/>
      <c r="AA205" s="303"/>
      <c r="AB205" s="303"/>
      <c r="AC205" s="303"/>
      <c r="AD205" s="303"/>
      <c r="AE205" s="303"/>
      <c r="AF205" s="303"/>
      <c r="AG205" s="303"/>
    </row>
    <row r="206" spans="1:3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302"/>
      <c r="S206" s="302"/>
      <c r="T206" s="302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3"/>
      <c r="AF206" s="303"/>
      <c r="AG206" s="303"/>
    </row>
    <row r="207" spans="1:3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302"/>
      <c r="S207" s="302"/>
      <c r="T207" s="302"/>
      <c r="U207" s="303"/>
      <c r="V207" s="303"/>
      <c r="W207" s="303"/>
      <c r="X207" s="303"/>
      <c r="Y207" s="303"/>
      <c r="Z207" s="303"/>
      <c r="AA207" s="303"/>
      <c r="AB207" s="303"/>
      <c r="AC207" s="303"/>
      <c r="AD207" s="303"/>
      <c r="AE207" s="303"/>
      <c r="AF207" s="303"/>
      <c r="AG207" s="303"/>
    </row>
    <row r="208" spans="1:3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302"/>
      <c r="S208" s="302"/>
      <c r="T208" s="302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3"/>
      <c r="AF208" s="303"/>
      <c r="AG208" s="303"/>
    </row>
    <row r="209" spans="1:3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302"/>
      <c r="S209" s="302"/>
      <c r="T209" s="302"/>
      <c r="U209" s="303"/>
      <c r="V209" s="303"/>
      <c r="W209" s="303"/>
      <c r="X209" s="303"/>
      <c r="Y209" s="303"/>
      <c r="Z209" s="303"/>
      <c r="AA209" s="303"/>
      <c r="AB209" s="303"/>
      <c r="AC209" s="303"/>
      <c r="AD209" s="303"/>
      <c r="AE209" s="303"/>
      <c r="AF209" s="303"/>
      <c r="AG209" s="303"/>
    </row>
    <row r="210" spans="1:3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302"/>
      <c r="S210" s="302"/>
      <c r="T210" s="302"/>
      <c r="U210" s="303"/>
      <c r="V210" s="303"/>
      <c r="W210" s="303"/>
      <c r="X210" s="303"/>
      <c r="Y210" s="303"/>
      <c r="Z210" s="303"/>
      <c r="AA210" s="303"/>
      <c r="AB210" s="303"/>
      <c r="AC210" s="303"/>
      <c r="AD210" s="303"/>
      <c r="AE210" s="303"/>
      <c r="AF210" s="303"/>
      <c r="AG210" s="303"/>
    </row>
    <row r="211" spans="1:3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302"/>
      <c r="S211" s="302"/>
      <c r="T211" s="302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3"/>
      <c r="AF211" s="303"/>
      <c r="AG211" s="303"/>
    </row>
    <row r="212" spans="1:3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302"/>
      <c r="S212" s="302"/>
      <c r="T212" s="302"/>
      <c r="U212" s="303"/>
      <c r="V212" s="303"/>
      <c r="W212" s="303"/>
      <c r="X212" s="303"/>
      <c r="Y212" s="303"/>
      <c r="Z212" s="303"/>
      <c r="AA212" s="303"/>
      <c r="AB212" s="303"/>
      <c r="AC212" s="303"/>
      <c r="AD212" s="303"/>
      <c r="AE212" s="303"/>
      <c r="AF212" s="303"/>
      <c r="AG212" s="303"/>
    </row>
    <row r="213" spans="1:3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302"/>
      <c r="S213" s="302"/>
      <c r="T213" s="302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3"/>
      <c r="AF213" s="303"/>
      <c r="AG213" s="303"/>
    </row>
    <row r="214" spans="1:3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302"/>
      <c r="S214" s="302"/>
      <c r="T214" s="302"/>
      <c r="U214" s="303"/>
      <c r="V214" s="303"/>
      <c r="W214" s="303"/>
      <c r="X214" s="303"/>
      <c r="Y214" s="303"/>
      <c r="Z214" s="303"/>
      <c r="AA214" s="303"/>
      <c r="AB214" s="303"/>
      <c r="AC214" s="303"/>
      <c r="AD214" s="303"/>
      <c r="AE214" s="303"/>
      <c r="AF214" s="303"/>
      <c r="AG214" s="303"/>
    </row>
    <row r="215" spans="1:3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302"/>
      <c r="S215" s="302"/>
      <c r="T215" s="302"/>
      <c r="U215" s="303"/>
      <c r="V215" s="303"/>
      <c r="W215" s="303"/>
      <c r="X215" s="303"/>
      <c r="Y215" s="303"/>
      <c r="Z215" s="303"/>
      <c r="AA215" s="303"/>
      <c r="AB215" s="303"/>
      <c r="AC215" s="303"/>
      <c r="AD215" s="303"/>
      <c r="AE215" s="303"/>
      <c r="AF215" s="303"/>
      <c r="AG215" s="303"/>
    </row>
    <row r="216" spans="1:3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302"/>
      <c r="S216" s="302"/>
      <c r="T216" s="302"/>
      <c r="U216" s="303"/>
      <c r="V216" s="303"/>
      <c r="W216" s="303"/>
      <c r="X216" s="303"/>
      <c r="Y216" s="303"/>
      <c r="Z216" s="303"/>
      <c r="AA216" s="303"/>
      <c r="AB216" s="303"/>
      <c r="AC216" s="303"/>
      <c r="AD216" s="303"/>
      <c r="AE216" s="303"/>
      <c r="AF216" s="303"/>
      <c r="AG216" s="303"/>
    </row>
    <row r="217" spans="1:3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302"/>
      <c r="S217" s="302"/>
      <c r="T217" s="302"/>
      <c r="U217" s="303"/>
      <c r="V217" s="303"/>
      <c r="W217" s="303"/>
      <c r="X217" s="303"/>
      <c r="Y217" s="303"/>
      <c r="Z217" s="303"/>
      <c r="AA217" s="303"/>
      <c r="AB217" s="303"/>
      <c r="AC217" s="303"/>
      <c r="AD217" s="303"/>
      <c r="AE217" s="303"/>
      <c r="AF217" s="303"/>
      <c r="AG217" s="303"/>
    </row>
    <row r="218" spans="1:3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302"/>
      <c r="S218" s="302"/>
      <c r="T218" s="302"/>
      <c r="U218" s="303"/>
      <c r="V218" s="303"/>
      <c r="W218" s="303"/>
      <c r="X218" s="303"/>
      <c r="Y218" s="303"/>
      <c r="Z218" s="303"/>
      <c r="AA218" s="303"/>
      <c r="AB218" s="303"/>
      <c r="AC218" s="303"/>
      <c r="AD218" s="303"/>
      <c r="AE218" s="303"/>
      <c r="AF218" s="303"/>
      <c r="AG218" s="303"/>
    </row>
    <row r="219" spans="1:3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302"/>
      <c r="S219" s="302"/>
      <c r="T219" s="302"/>
      <c r="U219" s="303"/>
      <c r="V219" s="303"/>
      <c r="W219" s="303"/>
      <c r="X219" s="303"/>
      <c r="Y219" s="303"/>
      <c r="Z219" s="303"/>
      <c r="AA219" s="303"/>
      <c r="AB219" s="303"/>
      <c r="AC219" s="303"/>
      <c r="AD219" s="303"/>
      <c r="AE219" s="303"/>
      <c r="AF219" s="303"/>
      <c r="AG219" s="303"/>
    </row>
    <row r="220" spans="1:3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302"/>
      <c r="S220" s="302"/>
      <c r="T220" s="302"/>
      <c r="U220" s="303"/>
      <c r="V220" s="303"/>
      <c r="W220" s="303"/>
      <c r="X220" s="303"/>
      <c r="Y220" s="303"/>
      <c r="Z220" s="303"/>
      <c r="AA220" s="303"/>
      <c r="AB220" s="303"/>
      <c r="AC220" s="303"/>
      <c r="AD220" s="303"/>
      <c r="AE220" s="303"/>
      <c r="AF220" s="303"/>
      <c r="AG220" s="303"/>
    </row>
    <row r="221" spans="1:3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302"/>
      <c r="S221" s="302"/>
      <c r="T221" s="302"/>
      <c r="U221" s="303"/>
      <c r="V221" s="303"/>
      <c r="W221" s="303"/>
      <c r="X221" s="303"/>
      <c r="Y221" s="303"/>
      <c r="Z221" s="303"/>
      <c r="AA221" s="303"/>
      <c r="AB221" s="303"/>
      <c r="AC221" s="303"/>
      <c r="AD221" s="303"/>
      <c r="AE221" s="303"/>
      <c r="AF221" s="303"/>
      <c r="AG221" s="303"/>
    </row>
    <row r="222" spans="1:3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302"/>
      <c r="S222" s="302"/>
      <c r="T222" s="302"/>
      <c r="U222" s="303"/>
      <c r="V222" s="303"/>
      <c r="W222" s="303"/>
      <c r="X222" s="303"/>
      <c r="Y222" s="303"/>
      <c r="Z222" s="303"/>
      <c r="AA222" s="303"/>
      <c r="AB222" s="303"/>
      <c r="AC222" s="303"/>
      <c r="AD222" s="303"/>
      <c r="AE222" s="303"/>
      <c r="AF222" s="303"/>
      <c r="AG222" s="303"/>
    </row>
    <row r="223" spans="1:3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302"/>
      <c r="S223" s="302"/>
      <c r="T223" s="302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</row>
    <row r="224" spans="1:3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302"/>
      <c r="S224" s="302"/>
      <c r="T224" s="302"/>
      <c r="U224" s="303"/>
      <c r="V224" s="303"/>
      <c r="W224" s="303"/>
      <c r="X224" s="303"/>
      <c r="Y224" s="303"/>
      <c r="Z224" s="303"/>
      <c r="AA224" s="303"/>
      <c r="AB224" s="303"/>
      <c r="AC224" s="303"/>
      <c r="AD224" s="303"/>
      <c r="AE224" s="303"/>
      <c r="AF224" s="303"/>
      <c r="AG224" s="303"/>
    </row>
    <row r="225" spans="1:3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302"/>
      <c r="S225" s="302"/>
      <c r="T225" s="302"/>
      <c r="U225" s="303"/>
      <c r="V225" s="303"/>
      <c r="W225" s="303"/>
      <c r="X225" s="303"/>
      <c r="Y225" s="303"/>
      <c r="Z225" s="303"/>
      <c r="AA225" s="303"/>
      <c r="AB225" s="303"/>
      <c r="AC225" s="303"/>
      <c r="AD225" s="303"/>
      <c r="AE225" s="303"/>
      <c r="AF225" s="303"/>
      <c r="AG225" s="303"/>
    </row>
    <row r="226" spans="1:3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302"/>
      <c r="S226" s="302"/>
      <c r="T226" s="302"/>
      <c r="U226" s="303"/>
      <c r="V226" s="303"/>
      <c r="W226" s="303"/>
      <c r="X226" s="303"/>
      <c r="Y226" s="303"/>
      <c r="Z226" s="303"/>
      <c r="AA226" s="303"/>
      <c r="AB226" s="303"/>
      <c r="AC226" s="303"/>
      <c r="AD226" s="303"/>
      <c r="AE226" s="303"/>
      <c r="AF226" s="303"/>
      <c r="AG226" s="303"/>
    </row>
    <row r="227" spans="1:3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302"/>
      <c r="S227" s="302"/>
      <c r="T227" s="302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3"/>
      <c r="AF227" s="303"/>
      <c r="AG227" s="303"/>
    </row>
    <row r="228" spans="1:3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302"/>
      <c r="S228" s="302"/>
      <c r="T228" s="302"/>
      <c r="U228" s="303"/>
      <c r="V228" s="303"/>
      <c r="W228" s="303"/>
      <c r="X228" s="303"/>
      <c r="Y228" s="303"/>
      <c r="Z228" s="303"/>
      <c r="AA228" s="303"/>
      <c r="AB228" s="303"/>
      <c r="AC228" s="303"/>
      <c r="AD228" s="303"/>
      <c r="AE228" s="303"/>
      <c r="AF228" s="303"/>
      <c r="AG228" s="303"/>
    </row>
    <row r="229" spans="1:3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302"/>
      <c r="S229" s="302"/>
      <c r="T229" s="302"/>
      <c r="U229" s="303"/>
      <c r="V229" s="303"/>
      <c r="W229" s="303"/>
      <c r="X229" s="303"/>
      <c r="Y229" s="303"/>
      <c r="Z229" s="303"/>
      <c r="AA229" s="303"/>
      <c r="AB229" s="303"/>
      <c r="AC229" s="303"/>
      <c r="AD229" s="303"/>
      <c r="AE229" s="303"/>
      <c r="AF229" s="303"/>
      <c r="AG229" s="303"/>
    </row>
    <row r="230" spans="1:3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302"/>
      <c r="S230" s="302"/>
      <c r="T230" s="302"/>
      <c r="U230" s="303"/>
      <c r="V230" s="303"/>
      <c r="W230" s="303"/>
      <c r="X230" s="303"/>
      <c r="Y230" s="303"/>
      <c r="Z230" s="303"/>
      <c r="AA230" s="303"/>
      <c r="AB230" s="303"/>
      <c r="AC230" s="303"/>
      <c r="AD230" s="303"/>
      <c r="AE230" s="303"/>
      <c r="AF230" s="303"/>
      <c r="AG230" s="303"/>
    </row>
    <row r="231" spans="1:3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302"/>
      <c r="S231" s="302"/>
      <c r="T231" s="302"/>
      <c r="U231" s="303"/>
      <c r="V231" s="303"/>
      <c r="W231" s="303"/>
      <c r="X231" s="303"/>
      <c r="Y231" s="303"/>
      <c r="Z231" s="303"/>
      <c r="AA231" s="303"/>
      <c r="AB231" s="303"/>
      <c r="AC231" s="303"/>
      <c r="AD231" s="303"/>
      <c r="AE231" s="303"/>
      <c r="AF231" s="303"/>
      <c r="AG231" s="303"/>
    </row>
    <row r="232" spans="1:3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302"/>
      <c r="S232" s="302"/>
      <c r="T232" s="302"/>
      <c r="U232" s="303"/>
      <c r="V232" s="303"/>
      <c r="W232" s="303"/>
      <c r="X232" s="303"/>
      <c r="Y232" s="303"/>
      <c r="Z232" s="303"/>
      <c r="AA232" s="303"/>
      <c r="AB232" s="303"/>
      <c r="AC232" s="303"/>
      <c r="AD232" s="303"/>
      <c r="AE232" s="303"/>
      <c r="AF232" s="303"/>
      <c r="AG232" s="303"/>
    </row>
    <row r="233" spans="1:3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302"/>
      <c r="S233" s="302"/>
      <c r="T233" s="302"/>
      <c r="U233" s="303"/>
      <c r="V233" s="303"/>
      <c r="W233" s="303"/>
      <c r="X233" s="303"/>
      <c r="Y233" s="303"/>
      <c r="Z233" s="303"/>
      <c r="AA233" s="303"/>
      <c r="AB233" s="303"/>
      <c r="AC233" s="303"/>
      <c r="AD233" s="303"/>
      <c r="AE233" s="303"/>
      <c r="AF233" s="303"/>
      <c r="AG233" s="303"/>
    </row>
    <row r="234" spans="1:3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302"/>
      <c r="S234" s="302"/>
      <c r="T234" s="302"/>
      <c r="U234" s="303"/>
      <c r="V234" s="303"/>
      <c r="W234" s="303"/>
      <c r="X234" s="303"/>
      <c r="Y234" s="303"/>
      <c r="Z234" s="303"/>
      <c r="AA234" s="303"/>
      <c r="AB234" s="303"/>
      <c r="AC234" s="303"/>
      <c r="AD234" s="303"/>
      <c r="AE234" s="303"/>
      <c r="AF234" s="303"/>
      <c r="AG234" s="303"/>
    </row>
    <row r="235" spans="1:3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302"/>
      <c r="S235" s="302"/>
      <c r="T235" s="302"/>
      <c r="U235" s="303"/>
      <c r="V235" s="303"/>
      <c r="W235" s="303"/>
      <c r="X235" s="303"/>
      <c r="Y235" s="303"/>
      <c r="Z235" s="303"/>
      <c r="AA235" s="303"/>
      <c r="AB235" s="303"/>
      <c r="AC235" s="303"/>
      <c r="AD235" s="303"/>
      <c r="AE235" s="303"/>
      <c r="AF235" s="303"/>
      <c r="AG235" s="303"/>
    </row>
    <row r="236" spans="1:3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302"/>
      <c r="S236" s="302"/>
      <c r="T236" s="302"/>
      <c r="U236" s="303"/>
      <c r="V236" s="303"/>
      <c r="W236" s="303"/>
      <c r="X236" s="303"/>
      <c r="Y236" s="303"/>
      <c r="Z236" s="303"/>
      <c r="AA236" s="303"/>
      <c r="AB236" s="303"/>
      <c r="AC236" s="303"/>
      <c r="AD236" s="303"/>
      <c r="AE236" s="303"/>
      <c r="AF236" s="303"/>
      <c r="AG236" s="303"/>
    </row>
    <row r="237" spans="1:3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302"/>
      <c r="S237" s="302"/>
      <c r="T237" s="302"/>
      <c r="U237" s="303"/>
      <c r="V237" s="303"/>
      <c r="W237" s="303"/>
      <c r="X237" s="303"/>
      <c r="Y237" s="303"/>
      <c r="Z237" s="303"/>
      <c r="AA237" s="303"/>
      <c r="AB237" s="303"/>
      <c r="AC237" s="303"/>
      <c r="AD237" s="303"/>
      <c r="AE237" s="303"/>
      <c r="AF237" s="303"/>
      <c r="AG237" s="303"/>
    </row>
    <row r="238" spans="1:3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302"/>
      <c r="S238" s="302"/>
      <c r="T238" s="302"/>
      <c r="U238" s="303"/>
      <c r="V238" s="303"/>
      <c r="W238" s="303"/>
      <c r="X238" s="303"/>
      <c r="Y238" s="303"/>
      <c r="Z238" s="303"/>
      <c r="AA238" s="303"/>
      <c r="AB238" s="303"/>
      <c r="AC238" s="303"/>
      <c r="AD238" s="303"/>
      <c r="AE238" s="303"/>
      <c r="AF238" s="303"/>
      <c r="AG238" s="303"/>
    </row>
    <row r="239" spans="1:3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302"/>
      <c r="S239" s="302"/>
      <c r="T239" s="302"/>
      <c r="U239" s="303"/>
      <c r="V239" s="303"/>
      <c r="W239" s="303"/>
      <c r="X239" s="303"/>
      <c r="Y239" s="303"/>
      <c r="Z239" s="303"/>
      <c r="AA239" s="303"/>
      <c r="AB239" s="303"/>
      <c r="AC239" s="303"/>
      <c r="AD239" s="303"/>
      <c r="AE239" s="303"/>
      <c r="AF239" s="303"/>
      <c r="AG239" s="303"/>
    </row>
    <row r="240" spans="1:3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302"/>
      <c r="S240" s="302"/>
      <c r="T240" s="302"/>
      <c r="U240" s="303"/>
      <c r="V240" s="303"/>
      <c r="W240" s="303"/>
      <c r="X240" s="303"/>
      <c r="Y240" s="303"/>
      <c r="Z240" s="303"/>
      <c r="AA240" s="303"/>
      <c r="AB240" s="303"/>
      <c r="AC240" s="303"/>
      <c r="AD240" s="303"/>
      <c r="AE240" s="303"/>
      <c r="AF240" s="303"/>
      <c r="AG240" s="303"/>
    </row>
    <row r="241" spans="1:3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302"/>
      <c r="S241" s="302"/>
      <c r="T241" s="302"/>
      <c r="U241" s="303"/>
      <c r="V241" s="303"/>
      <c r="W241" s="303"/>
      <c r="X241" s="303"/>
      <c r="Y241" s="303"/>
      <c r="Z241" s="303"/>
      <c r="AA241" s="303"/>
      <c r="AB241" s="303"/>
      <c r="AC241" s="303"/>
      <c r="AD241" s="303"/>
      <c r="AE241" s="303"/>
      <c r="AF241" s="303"/>
      <c r="AG241" s="303"/>
    </row>
    <row r="242" spans="1:3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302"/>
      <c r="S242" s="302"/>
      <c r="T242" s="302"/>
      <c r="U242" s="303"/>
      <c r="V242" s="303"/>
      <c r="W242" s="303"/>
      <c r="X242" s="303"/>
      <c r="Y242" s="303"/>
      <c r="Z242" s="303"/>
      <c r="AA242" s="303"/>
      <c r="AB242" s="303"/>
      <c r="AC242" s="303"/>
      <c r="AD242" s="303"/>
      <c r="AE242" s="303"/>
      <c r="AF242" s="303"/>
      <c r="AG242" s="303"/>
    </row>
    <row r="243" spans="1:3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302"/>
      <c r="S243" s="302"/>
      <c r="T243" s="302"/>
      <c r="U243" s="303"/>
      <c r="V243" s="303"/>
      <c r="W243" s="303"/>
      <c r="X243" s="303"/>
      <c r="Y243" s="303"/>
      <c r="Z243" s="303"/>
      <c r="AA243" s="303"/>
      <c r="AB243" s="303"/>
      <c r="AC243" s="303"/>
      <c r="AD243" s="303"/>
      <c r="AE243" s="303"/>
      <c r="AF243" s="303"/>
      <c r="AG243" s="303"/>
    </row>
    <row r="244" spans="1:3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302"/>
      <c r="S244" s="302"/>
      <c r="T244" s="302"/>
      <c r="U244" s="303"/>
      <c r="V244" s="303"/>
      <c r="W244" s="303"/>
      <c r="X244" s="303"/>
      <c r="Y244" s="303"/>
      <c r="Z244" s="303"/>
      <c r="AA244" s="303"/>
      <c r="AB244" s="303"/>
      <c r="AC244" s="303"/>
      <c r="AD244" s="303"/>
      <c r="AE244" s="303"/>
      <c r="AF244" s="303"/>
      <c r="AG244" s="303"/>
    </row>
    <row r="245" spans="1:3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302"/>
      <c r="S245" s="302"/>
      <c r="T245" s="302"/>
      <c r="U245" s="303"/>
      <c r="V245" s="303"/>
      <c r="W245" s="303"/>
      <c r="X245" s="303"/>
      <c r="Y245" s="303"/>
      <c r="Z245" s="303"/>
      <c r="AA245" s="303"/>
      <c r="AB245" s="303"/>
      <c r="AC245" s="303"/>
      <c r="AD245" s="303"/>
      <c r="AE245" s="303"/>
      <c r="AF245" s="303"/>
      <c r="AG245" s="303"/>
    </row>
    <row r="246" spans="1:3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302"/>
      <c r="S246" s="302"/>
      <c r="T246" s="302"/>
      <c r="U246" s="303"/>
      <c r="V246" s="303"/>
      <c r="W246" s="303"/>
      <c r="X246" s="303"/>
      <c r="Y246" s="303"/>
      <c r="Z246" s="303"/>
      <c r="AA246" s="303"/>
      <c r="AB246" s="303"/>
      <c r="AC246" s="303"/>
      <c r="AD246" s="303"/>
      <c r="AE246" s="303"/>
      <c r="AF246" s="303"/>
      <c r="AG246" s="303"/>
    </row>
    <row r="247" spans="1:3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302"/>
      <c r="S247" s="302"/>
      <c r="T247" s="302"/>
      <c r="U247" s="303"/>
      <c r="V247" s="303"/>
      <c r="W247" s="303"/>
      <c r="X247" s="303"/>
      <c r="Y247" s="303"/>
      <c r="Z247" s="303"/>
      <c r="AA247" s="303"/>
      <c r="AB247" s="303"/>
      <c r="AC247" s="303"/>
      <c r="AD247" s="303"/>
      <c r="AE247" s="303"/>
      <c r="AF247" s="303"/>
      <c r="AG247" s="303"/>
    </row>
    <row r="248" spans="1:3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302"/>
      <c r="S248" s="302"/>
      <c r="T248" s="302"/>
      <c r="U248" s="303"/>
      <c r="V248" s="303"/>
      <c r="W248" s="303"/>
      <c r="X248" s="303"/>
      <c r="Y248" s="303"/>
      <c r="Z248" s="303"/>
      <c r="AA248" s="303"/>
      <c r="AB248" s="303"/>
      <c r="AC248" s="303"/>
      <c r="AD248" s="303"/>
      <c r="AE248" s="303"/>
      <c r="AF248" s="303"/>
      <c r="AG248" s="303"/>
    </row>
    <row r="249" spans="1:3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302"/>
      <c r="S249" s="302"/>
      <c r="T249" s="302"/>
      <c r="U249" s="303"/>
      <c r="V249" s="303"/>
      <c r="W249" s="303"/>
      <c r="X249" s="303"/>
      <c r="Y249" s="303"/>
      <c r="Z249" s="303"/>
      <c r="AA249" s="303"/>
      <c r="AB249" s="303"/>
      <c r="AC249" s="303"/>
      <c r="AD249" s="303"/>
      <c r="AE249" s="303"/>
      <c r="AF249" s="303"/>
      <c r="AG249" s="303"/>
    </row>
    <row r="250" spans="1:3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302"/>
      <c r="S250" s="302"/>
      <c r="T250" s="302"/>
      <c r="U250" s="303"/>
      <c r="V250" s="303"/>
      <c r="W250" s="303"/>
      <c r="X250" s="303"/>
      <c r="Y250" s="303"/>
      <c r="Z250" s="303"/>
      <c r="AA250" s="303"/>
      <c r="AB250" s="303"/>
      <c r="AC250" s="303"/>
      <c r="AD250" s="303"/>
      <c r="AE250" s="303"/>
      <c r="AF250" s="303"/>
      <c r="AG250" s="303"/>
    </row>
    <row r="251" spans="1:3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302"/>
      <c r="S251" s="302"/>
      <c r="T251" s="302"/>
      <c r="U251" s="303"/>
      <c r="V251" s="303"/>
      <c r="W251" s="303"/>
      <c r="X251" s="303"/>
      <c r="Y251" s="303"/>
      <c r="Z251" s="303"/>
      <c r="AA251" s="303"/>
      <c r="AB251" s="303"/>
      <c r="AC251" s="303"/>
      <c r="AD251" s="303"/>
      <c r="AE251" s="303"/>
      <c r="AF251" s="303"/>
      <c r="AG251" s="303"/>
    </row>
    <row r="252" spans="1:3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302"/>
      <c r="S252" s="302"/>
      <c r="T252" s="302"/>
      <c r="U252" s="303"/>
      <c r="V252" s="303"/>
      <c r="W252" s="303"/>
      <c r="X252" s="303"/>
      <c r="Y252" s="303"/>
      <c r="Z252" s="303"/>
      <c r="AA252" s="303"/>
      <c r="AB252" s="303"/>
      <c r="AC252" s="303"/>
      <c r="AD252" s="303"/>
      <c r="AE252" s="303"/>
      <c r="AF252" s="303"/>
      <c r="AG252" s="303"/>
    </row>
    <row r="253" spans="1:3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302"/>
      <c r="S253" s="302"/>
      <c r="T253" s="302"/>
      <c r="U253" s="303"/>
      <c r="V253" s="303"/>
      <c r="W253" s="303"/>
      <c r="X253" s="303"/>
      <c r="Y253" s="303"/>
      <c r="Z253" s="303"/>
      <c r="AA253" s="303"/>
      <c r="AB253" s="303"/>
      <c r="AC253" s="303"/>
      <c r="AD253" s="303"/>
      <c r="AE253" s="303"/>
      <c r="AF253" s="303"/>
      <c r="AG253" s="303"/>
    </row>
    <row r="254" spans="1:3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302"/>
      <c r="S254" s="302"/>
      <c r="T254" s="302"/>
      <c r="U254" s="303"/>
      <c r="V254" s="303"/>
      <c r="W254" s="303"/>
      <c r="X254" s="303"/>
      <c r="Y254" s="303"/>
      <c r="Z254" s="303"/>
      <c r="AA254" s="303"/>
      <c r="AB254" s="303"/>
      <c r="AC254" s="303"/>
      <c r="AD254" s="303"/>
      <c r="AE254" s="303"/>
      <c r="AF254" s="303"/>
      <c r="AG254" s="303"/>
    </row>
    <row r="255" spans="1:3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302"/>
      <c r="S255" s="302"/>
      <c r="T255" s="302"/>
      <c r="U255" s="303"/>
      <c r="V255" s="303"/>
      <c r="W255" s="303"/>
      <c r="X255" s="303"/>
      <c r="Y255" s="303"/>
      <c r="Z255" s="303"/>
      <c r="AA255" s="303"/>
      <c r="AB255" s="303"/>
      <c r="AC255" s="303"/>
      <c r="AD255" s="303"/>
      <c r="AE255" s="303"/>
      <c r="AF255" s="303"/>
      <c r="AG255" s="303"/>
    </row>
    <row r="256" spans="1:3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302"/>
      <c r="S256" s="302"/>
      <c r="T256" s="302"/>
      <c r="U256" s="303"/>
      <c r="V256" s="303"/>
      <c r="W256" s="303"/>
      <c r="X256" s="303"/>
      <c r="Y256" s="303"/>
      <c r="Z256" s="303"/>
      <c r="AA256" s="303"/>
      <c r="AB256" s="303"/>
      <c r="AC256" s="303"/>
      <c r="AD256" s="303"/>
      <c r="AE256" s="303"/>
      <c r="AF256" s="303"/>
      <c r="AG256" s="303"/>
    </row>
    <row r="257" spans="1:3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302"/>
      <c r="S257" s="302"/>
      <c r="T257" s="302"/>
      <c r="U257" s="303"/>
      <c r="V257" s="303"/>
      <c r="W257" s="303"/>
      <c r="X257" s="303"/>
      <c r="Y257" s="303"/>
      <c r="Z257" s="303"/>
      <c r="AA257" s="303"/>
      <c r="AB257" s="303"/>
      <c r="AC257" s="303"/>
      <c r="AD257" s="303"/>
      <c r="AE257" s="303"/>
      <c r="AF257" s="303"/>
      <c r="AG257" s="303"/>
    </row>
    <row r="258" spans="1:3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302"/>
      <c r="S258" s="302"/>
      <c r="T258" s="302"/>
      <c r="U258" s="303"/>
      <c r="V258" s="303"/>
      <c r="W258" s="303"/>
      <c r="X258" s="303"/>
      <c r="Y258" s="303"/>
      <c r="Z258" s="303"/>
      <c r="AA258" s="303"/>
      <c r="AB258" s="303"/>
      <c r="AC258" s="303"/>
      <c r="AD258" s="303"/>
      <c r="AE258" s="303"/>
      <c r="AF258" s="303"/>
      <c r="AG258" s="303"/>
    </row>
    <row r="259" spans="1:3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302"/>
      <c r="S259" s="302"/>
      <c r="T259" s="302"/>
      <c r="U259" s="303"/>
      <c r="V259" s="303"/>
      <c r="W259" s="303"/>
      <c r="X259" s="303"/>
      <c r="Y259" s="303"/>
      <c r="Z259" s="303"/>
      <c r="AA259" s="303"/>
      <c r="AB259" s="303"/>
      <c r="AC259" s="303"/>
      <c r="AD259" s="303"/>
      <c r="AE259" s="303"/>
      <c r="AF259" s="303"/>
      <c r="AG259" s="303"/>
    </row>
    <row r="260" spans="1:3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302"/>
      <c r="S260" s="302"/>
      <c r="T260" s="302"/>
      <c r="U260" s="303"/>
      <c r="V260" s="303"/>
      <c r="W260" s="303"/>
      <c r="X260" s="303"/>
      <c r="Y260" s="303"/>
      <c r="Z260" s="303"/>
      <c r="AA260" s="303"/>
      <c r="AB260" s="303"/>
      <c r="AC260" s="303"/>
      <c r="AD260" s="303"/>
      <c r="AE260" s="303"/>
      <c r="AF260" s="303"/>
      <c r="AG260" s="303"/>
    </row>
    <row r="261" spans="1:3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302"/>
      <c r="S261" s="302"/>
      <c r="T261" s="302"/>
      <c r="U261" s="303"/>
      <c r="V261" s="303"/>
      <c r="W261" s="303"/>
      <c r="X261" s="303"/>
      <c r="Y261" s="303"/>
      <c r="Z261" s="303"/>
      <c r="AA261" s="303"/>
      <c r="AB261" s="303"/>
      <c r="AC261" s="303"/>
      <c r="AD261" s="303"/>
      <c r="AE261" s="303"/>
      <c r="AF261" s="303"/>
      <c r="AG261" s="303"/>
    </row>
    <row r="262" spans="1:3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302"/>
      <c r="S262" s="302"/>
      <c r="T262" s="302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3"/>
      <c r="AF262" s="303"/>
      <c r="AG262" s="303"/>
    </row>
    <row r="263" spans="1:3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302"/>
      <c r="S263" s="302"/>
      <c r="T263" s="302"/>
      <c r="U263" s="303"/>
      <c r="V263" s="303"/>
      <c r="W263" s="303"/>
      <c r="X263" s="303"/>
      <c r="Y263" s="303"/>
      <c r="Z263" s="303"/>
      <c r="AA263" s="303"/>
      <c r="AB263" s="303"/>
      <c r="AC263" s="303"/>
      <c r="AD263" s="303"/>
      <c r="AE263" s="303"/>
      <c r="AF263" s="303"/>
      <c r="AG263" s="303"/>
    </row>
    <row r="264" spans="1:3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302"/>
      <c r="S264" s="302"/>
      <c r="T264" s="302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3"/>
      <c r="AF264" s="303"/>
      <c r="AG264" s="303"/>
    </row>
    <row r="265" spans="1:3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302"/>
      <c r="S265" s="302"/>
      <c r="T265" s="302"/>
      <c r="U265" s="303"/>
      <c r="V265" s="303"/>
      <c r="W265" s="303"/>
      <c r="X265" s="303"/>
      <c r="Y265" s="303"/>
      <c r="Z265" s="303"/>
      <c r="AA265" s="303"/>
      <c r="AB265" s="303"/>
      <c r="AC265" s="303"/>
      <c r="AD265" s="303"/>
      <c r="AE265" s="303"/>
      <c r="AF265" s="303"/>
      <c r="AG265" s="303"/>
    </row>
    <row r="266" spans="1:3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302"/>
      <c r="S266" s="302"/>
      <c r="T266" s="302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3"/>
      <c r="AF266" s="303"/>
      <c r="AG266" s="303"/>
    </row>
    <row r="267" spans="1:3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302"/>
      <c r="S267" s="302"/>
      <c r="T267" s="302"/>
      <c r="U267" s="303"/>
      <c r="V267" s="303"/>
      <c r="W267" s="303"/>
      <c r="X267" s="303"/>
      <c r="Y267" s="303"/>
      <c r="Z267" s="303"/>
      <c r="AA267" s="303"/>
      <c r="AB267" s="303"/>
      <c r="AC267" s="303"/>
      <c r="AD267" s="303"/>
      <c r="AE267" s="303"/>
      <c r="AF267" s="303"/>
      <c r="AG267" s="303"/>
    </row>
    <row r="268" spans="1:3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302"/>
      <c r="S268" s="302"/>
      <c r="T268" s="302"/>
      <c r="U268" s="303"/>
      <c r="V268" s="303"/>
      <c r="W268" s="303"/>
      <c r="X268" s="303"/>
      <c r="Y268" s="303"/>
      <c r="Z268" s="303"/>
      <c r="AA268" s="303"/>
      <c r="AB268" s="303"/>
      <c r="AC268" s="303"/>
      <c r="AD268" s="303"/>
      <c r="AE268" s="303"/>
      <c r="AF268" s="303"/>
      <c r="AG268" s="303"/>
    </row>
    <row r="269" spans="1:3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302"/>
      <c r="S269" s="302"/>
      <c r="T269" s="302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3"/>
      <c r="AF269" s="303"/>
      <c r="AG269" s="303"/>
    </row>
    <row r="270" spans="1:3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302"/>
      <c r="S270" s="302"/>
      <c r="T270" s="302"/>
      <c r="U270" s="303"/>
      <c r="V270" s="303"/>
      <c r="W270" s="303"/>
      <c r="X270" s="303"/>
      <c r="Y270" s="303"/>
      <c r="Z270" s="303"/>
      <c r="AA270" s="303"/>
      <c r="AB270" s="303"/>
      <c r="AC270" s="303"/>
      <c r="AD270" s="303"/>
      <c r="AE270" s="303"/>
      <c r="AF270" s="303"/>
      <c r="AG270" s="303"/>
    </row>
    <row r="271" spans="1:3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302"/>
      <c r="S271" s="302"/>
      <c r="T271" s="302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3"/>
      <c r="AF271" s="303"/>
      <c r="AG271" s="303"/>
    </row>
    <row r="272" spans="1:3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302"/>
      <c r="S272" s="302"/>
      <c r="T272" s="302"/>
      <c r="U272" s="303"/>
      <c r="V272" s="303"/>
      <c r="W272" s="303"/>
      <c r="X272" s="303"/>
      <c r="Y272" s="303"/>
      <c r="Z272" s="303"/>
      <c r="AA272" s="303"/>
      <c r="AB272" s="303"/>
      <c r="AC272" s="303"/>
      <c r="AD272" s="303"/>
      <c r="AE272" s="303"/>
      <c r="AF272" s="303"/>
      <c r="AG272" s="303"/>
    </row>
    <row r="273" spans="1:3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302"/>
      <c r="S273" s="302"/>
      <c r="T273" s="302"/>
      <c r="U273" s="303"/>
      <c r="V273" s="303"/>
      <c r="W273" s="303"/>
      <c r="X273" s="303"/>
      <c r="Y273" s="303"/>
      <c r="Z273" s="303"/>
      <c r="AA273" s="303"/>
      <c r="AB273" s="303"/>
      <c r="AC273" s="303"/>
      <c r="AD273" s="303"/>
      <c r="AE273" s="303"/>
      <c r="AF273" s="303"/>
      <c r="AG273" s="303"/>
    </row>
    <row r="274" spans="1:3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302"/>
      <c r="S274" s="302"/>
      <c r="T274" s="302"/>
      <c r="U274" s="303"/>
      <c r="V274" s="303"/>
      <c r="W274" s="303"/>
      <c r="X274" s="303"/>
      <c r="Y274" s="303"/>
      <c r="Z274" s="303"/>
      <c r="AA274" s="303"/>
      <c r="AB274" s="303"/>
      <c r="AC274" s="303"/>
      <c r="AD274" s="303"/>
      <c r="AE274" s="303"/>
      <c r="AF274" s="303"/>
      <c r="AG274" s="303"/>
    </row>
    <row r="275" spans="1:3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302"/>
      <c r="S275" s="302"/>
      <c r="T275" s="302"/>
      <c r="U275" s="303"/>
      <c r="V275" s="303"/>
      <c r="W275" s="303"/>
      <c r="X275" s="303"/>
      <c r="Y275" s="303"/>
      <c r="Z275" s="303"/>
      <c r="AA275" s="303"/>
      <c r="AB275" s="303"/>
      <c r="AC275" s="303"/>
      <c r="AD275" s="303"/>
      <c r="AE275" s="303"/>
      <c r="AF275" s="303"/>
      <c r="AG275" s="303"/>
    </row>
    <row r="276" spans="1:3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302"/>
      <c r="S276" s="302"/>
      <c r="T276" s="302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</row>
    <row r="277" spans="1:3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302"/>
      <c r="S277" s="302"/>
      <c r="T277" s="302"/>
      <c r="U277" s="303"/>
      <c r="V277" s="303"/>
      <c r="W277" s="303"/>
      <c r="X277" s="303"/>
      <c r="Y277" s="303"/>
      <c r="Z277" s="303"/>
      <c r="AA277" s="303"/>
      <c r="AB277" s="303"/>
      <c r="AC277" s="303"/>
      <c r="AD277" s="303"/>
      <c r="AE277" s="303"/>
      <c r="AF277" s="303"/>
      <c r="AG277" s="303"/>
    </row>
    <row r="278" spans="1:3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302"/>
      <c r="S278" s="302"/>
      <c r="T278" s="302"/>
      <c r="U278" s="303"/>
      <c r="V278" s="303"/>
      <c r="W278" s="303"/>
      <c r="X278" s="303"/>
      <c r="Y278" s="303"/>
      <c r="Z278" s="303"/>
      <c r="AA278" s="303"/>
      <c r="AB278" s="303"/>
      <c r="AC278" s="303"/>
      <c r="AD278" s="303"/>
      <c r="AE278" s="303"/>
      <c r="AF278" s="303"/>
      <c r="AG278" s="303"/>
    </row>
    <row r="279" spans="1:3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302"/>
      <c r="S279" s="302"/>
      <c r="T279" s="302"/>
      <c r="U279" s="303"/>
      <c r="V279" s="303"/>
      <c r="W279" s="303"/>
      <c r="X279" s="303"/>
      <c r="Y279" s="303"/>
      <c r="Z279" s="303"/>
      <c r="AA279" s="303"/>
      <c r="AB279" s="303"/>
      <c r="AC279" s="303"/>
      <c r="AD279" s="303"/>
      <c r="AE279" s="303"/>
      <c r="AF279" s="303"/>
      <c r="AG279" s="303"/>
    </row>
    <row r="280" spans="1:3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302"/>
      <c r="S280" s="302"/>
      <c r="T280" s="302"/>
      <c r="U280" s="303"/>
      <c r="V280" s="303"/>
      <c r="W280" s="303"/>
      <c r="X280" s="303"/>
      <c r="Y280" s="303"/>
      <c r="Z280" s="303"/>
      <c r="AA280" s="303"/>
      <c r="AB280" s="303"/>
      <c r="AC280" s="303"/>
      <c r="AD280" s="303"/>
      <c r="AE280" s="303"/>
      <c r="AF280" s="303"/>
      <c r="AG280" s="303"/>
    </row>
    <row r="281" spans="1:3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302"/>
      <c r="S281" s="302"/>
      <c r="T281" s="302"/>
      <c r="U281" s="303"/>
      <c r="V281" s="303"/>
      <c r="W281" s="303"/>
      <c r="X281" s="303"/>
      <c r="Y281" s="303"/>
      <c r="Z281" s="303"/>
      <c r="AA281" s="303"/>
      <c r="AB281" s="303"/>
      <c r="AC281" s="303"/>
      <c r="AD281" s="303"/>
      <c r="AE281" s="303"/>
      <c r="AF281" s="303"/>
      <c r="AG281" s="303"/>
    </row>
    <row r="282" spans="1:3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302"/>
      <c r="S282" s="302"/>
      <c r="T282" s="302"/>
      <c r="U282" s="303"/>
      <c r="V282" s="303"/>
      <c r="W282" s="303"/>
      <c r="X282" s="303"/>
      <c r="Y282" s="303"/>
      <c r="Z282" s="303"/>
      <c r="AA282" s="303"/>
      <c r="AB282" s="303"/>
      <c r="AC282" s="303"/>
      <c r="AD282" s="303"/>
      <c r="AE282" s="303"/>
      <c r="AF282" s="303"/>
      <c r="AG282" s="303"/>
    </row>
    <row r="283" spans="1:3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302"/>
      <c r="S283" s="302"/>
      <c r="T283" s="302"/>
      <c r="U283" s="303"/>
      <c r="V283" s="303"/>
      <c r="W283" s="303"/>
      <c r="X283" s="303"/>
      <c r="Y283" s="303"/>
      <c r="Z283" s="303"/>
      <c r="AA283" s="303"/>
      <c r="AB283" s="303"/>
      <c r="AC283" s="303"/>
      <c r="AD283" s="303"/>
      <c r="AE283" s="303"/>
      <c r="AF283" s="303"/>
      <c r="AG283" s="303"/>
    </row>
    <row r="284" spans="1:3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302"/>
      <c r="S284" s="302"/>
      <c r="T284" s="302"/>
      <c r="U284" s="303"/>
      <c r="V284" s="303"/>
      <c r="W284" s="303"/>
      <c r="X284" s="303"/>
      <c r="Y284" s="303"/>
      <c r="Z284" s="303"/>
      <c r="AA284" s="303"/>
      <c r="AB284" s="303"/>
      <c r="AC284" s="303"/>
      <c r="AD284" s="303"/>
      <c r="AE284" s="303"/>
      <c r="AF284" s="303"/>
      <c r="AG284" s="303"/>
    </row>
    <row r="285" spans="1:3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302"/>
      <c r="S285" s="302"/>
      <c r="T285" s="302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3"/>
      <c r="AF285" s="303"/>
      <c r="AG285" s="303"/>
    </row>
    <row r="286" spans="1:3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302"/>
      <c r="S286" s="302"/>
      <c r="T286" s="302"/>
      <c r="U286" s="303"/>
      <c r="V286" s="303"/>
      <c r="W286" s="303"/>
      <c r="X286" s="303"/>
      <c r="Y286" s="303"/>
      <c r="Z286" s="303"/>
      <c r="AA286" s="303"/>
      <c r="AB286" s="303"/>
      <c r="AC286" s="303"/>
      <c r="AD286" s="303"/>
      <c r="AE286" s="303"/>
      <c r="AF286" s="303"/>
      <c r="AG286" s="303"/>
    </row>
    <row r="287" spans="1:3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302"/>
      <c r="S287" s="302"/>
      <c r="T287" s="302"/>
      <c r="U287" s="303"/>
      <c r="V287" s="303"/>
      <c r="W287" s="303"/>
      <c r="X287" s="303"/>
      <c r="Y287" s="303"/>
      <c r="Z287" s="303"/>
      <c r="AA287" s="303"/>
      <c r="AB287" s="303"/>
      <c r="AC287" s="303"/>
      <c r="AD287" s="303"/>
      <c r="AE287" s="303"/>
      <c r="AF287" s="303"/>
      <c r="AG287" s="303"/>
    </row>
    <row r="288" spans="1:3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302"/>
      <c r="S288" s="302"/>
      <c r="T288" s="302"/>
      <c r="U288" s="303"/>
      <c r="V288" s="303"/>
      <c r="W288" s="303"/>
      <c r="X288" s="303"/>
      <c r="Y288" s="303"/>
      <c r="Z288" s="303"/>
      <c r="AA288" s="303"/>
      <c r="AB288" s="303"/>
      <c r="AC288" s="303"/>
      <c r="AD288" s="303"/>
      <c r="AE288" s="303"/>
      <c r="AF288" s="303"/>
      <c r="AG288" s="303"/>
    </row>
    <row r="289" spans="1:3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302"/>
      <c r="S289" s="302"/>
      <c r="T289" s="302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</row>
    <row r="290" spans="1:3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302"/>
      <c r="S290" s="302"/>
      <c r="T290" s="302"/>
      <c r="U290" s="303"/>
      <c r="V290" s="303"/>
      <c r="W290" s="303"/>
      <c r="X290" s="303"/>
      <c r="Y290" s="303"/>
      <c r="Z290" s="303"/>
      <c r="AA290" s="303"/>
      <c r="AB290" s="303"/>
      <c r="AC290" s="303"/>
      <c r="AD290" s="303"/>
      <c r="AE290" s="303"/>
      <c r="AF290" s="303"/>
      <c r="AG290" s="303"/>
    </row>
    <row r="291" spans="1:3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302"/>
      <c r="S291" s="302"/>
      <c r="T291" s="302"/>
      <c r="U291" s="303"/>
      <c r="V291" s="303"/>
      <c r="W291" s="303"/>
      <c r="X291" s="303"/>
      <c r="Y291" s="303"/>
      <c r="Z291" s="303"/>
      <c r="AA291" s="303"/>
      <c r="AB291" s="303"/>
      <c r="AC291" s="303"/>
      <c r="AD291" s="303"/>
      <c r="AE291" s="303"/>
      <c r="AF291" s="303"/>
      <c r="AG291" s="303"/>
    </row>
    <row r="292" spans="1:3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302"/>
      <c r="S292" s="302"/>
      <c r="T292" s="302"/>
      <c r="U292" s="303"/>
      <c r="V292" s="303"/>
      <c r="W292" s="303"/>
      <c r="X292" s="303"/>
      <c r="Y292" s="303"/>
      <c r="Z292" s="303"/>
      <c r="AA292" s="303"/>
      <c r="AB292" s="303"/>
      <c r="AC292" s="303"/>
      <c r="AD292" s="303"/>
      <c r="AE292" s="303"/>
      <c r="AF292" s="303"/>
      <c r="AG292" s="303"/>
    </row>
    <row r="293" spans="1:3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302"/>
      <c r="S293" s="302"/>
      <c r="T293" s="302"/>
      <c r="U293" s="303"/>
      <c r="V293" s="303"/>
      <c r="W293" s="303"/>
      <c r="X293" s="303"/>
      <c r="Y293" s="303"/>
      <c r="Z293" s="303"/>
      <c r="AA293" s="303"/>
      <c r="AB293" s="303"/>
      <c r="AC293" s="303"/>
      <c r="AD293" s="303"/>
      <c r="AE293" s="303"/>
      <c r="AF293" s="303"/>
      <c r="AG293" s="303"/>
    </row>
    <row r="294" spans="1:3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302"/>
      <c r="S294" s="302"/>
      <c r="T294" s="302"/>
      <c r="U294" s="303"/>
      <c r="V294" s="303"/>
      <c r="W294" s="303"/>
      <c r="X294" s="303"/>
      <c r="Y294" s="303"/>
      <c r="Z294" s="303"/>
      <c r="AA294" s="303"/>
      <c r="AB294" s="303"/>
      <c r="AC294" s="303"/>
      <c r="AD294" s="303"/>
      <c r="AE294" s="303"/>
      <c r="AF294" s="303"/>
      <c r="AG294" s="303"/>
    </row>
    <row r="295" spans="1:3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302"/>
      <c r="S295" s="302"/>
      <c r="T295" s="302"/>
      <c r="U295" s="303"/>
      <c r="V295" s="303"/>
      <c r="W295" s="303"/>
      <c r="X295" s="303"/>
      <c r="Y295" s="303"/>
      <c r="Z295" s="303"/>
      <c r="AA295" s="303"/>
      <c r="AB295" s="303"/>
      <c r="AC295" s="303"/>
      <c r="AD295" s="303"/>
      <c r="AE295" s="303"/>
      <c r="AF295" s="303"/>
      <c r="AG295" s="303"/>
    </row>
    <row r="296" spans="1:3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302"/>
      <c r="S296" s="302"/>
      <c r="T296" s="302"/>
      <c r="U296" s="303"/>
      <c r="V296" s="303"/>
      <c r="W296" s="303"/>
      <c r="X296" s="303"/>
      <c r="Y296" s="303"/>
      <c r="Z296" s="303"/>
      <c r="AA296" s="303"/>
      <c r="AB296" s="303"/>
      <c r="AC296" s="303"/>
      <c r="AD296" s="303"/>
      <c r="AE296" s="303"/>
      <c r="AF296" s="303"/>
      <c r="AG296" s="303"/>
    </row>
    <row r="297" spans="1:3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302"/>
      <c r="S297" s="302"/>
      <c r="T297" s="302"/>
      <c r="U297" s="303"/>
      <c r="V297" s="303"/>
      <c r="W297" s="303"/>
      <c r="X297" s="303"/>
      <c r="Y297" s="303"/>
      <c r="Z297" s="303"/>
      <c r="AA297" s="303"/>
      <c r="AB297" s="303"/>
      <c r="AC297" s="303"/>
      <c r="AD297" s="303"/>
      <c r="AE297" s="303"/>
      <c r="AF297" s="303"/>
      <c r="AG297" s="303"/>
    </row>
    <row r="298" spans="1:3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302"/>
      <c r="S298" s="302"/>
      <c r="T298" s="302"/>
      <c r="U298" s="303"/>
      <c r="V298" s="303"/>
      <c r="W298" s="303"/>
      <c r="X298" s="303"/>
      <c r="Y298" s="303"/>
      <c r="Z298" s="303"/>
      <c r="AA298" s="303"/>
      <c r="AB298" s="303"/>
      <c r="AC298" s="303"/>
      <c r="AD298" s="303"/>
      <c r="AE298" s="303"/>
      <c r="AF298" s="303"/>
      <c r="AG298" s="303"/>
    </row>
    <row r="299" spans="1:3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302"/>
      <c r="S299" s="302"/>
      <c r="T299" s="302"/>
      <c r="U299" s="303"/>
      <c r="V299" s="303"/>
      <c r="W299" s="303"/>
      <c r="X299" s="303"/>
      <c r="Y299" s="303"/>
      <c r="Z299" s="303"/>
      <c r="AA299" s="303"/>
      <c r="AB299" s="303"/>
      <c r="AC299" s="303"/>
      <c r="AD299" s="303"/>
      <c r="AE299" s="303"/>
      <c r="AF299" s="303"/>
      <c r="AG299" s="303"/>
    </row>
    <row r="300" spans="1:3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302"/>
      <c r="S300" s="302"/>
      <c r="T300" s="302"/>
      <c r="U300" s="303"/>
      <c r="V300" s="303"/>
      <c r="W300" s="303"/>
      <c r="X300" s="303"/>
      <c r="Y300" s="303"/>
      <c r="Z300" s="303"/>
      <c r="AA300" s="303"/>
      <c r="AB300" s="303"/>
      <c r="AC300" s="303"/>
      <c r="AD300" s="303"/>
      <c r="AE300" s="303"/>
      <c r="AF300" s="303"/>
      <c r="AG300" s="303"/>
    </row>
    <row r="301" spans="1:3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302"/>
      <c r="S301" s="302"/>
      <c r="T301" s="302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03"/>
      <c r="AE301" s="303"/>
      <c r="AF301" s="303"/>
      <c r="AG301" s="303"/>
    </row>
    <row r="302" spans="1:3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302"/>
      <c r="S302" s="302"/>
      <c r="T302" s="302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</row>
    <row r="303" spans="1:3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302"/>
      <c r="S303" s="302"/>
      <c r="T303" s="302"/>
      <c r="U303" s="303"/>
      <c r="V303" s="303"/>
      <c r="W303" s="303"/>
      <c r="X303" s="303"/>
      <c r="Y303" s="303"/>
      <c r="Z303" s="303"/>
      <c r="AA303" s="303"/>
      <c r="AB303" s="303"/>
      <c r="AC303" s="303"/>
      <c r="AD303" s="303"/>
      <c r="AE303" s="303"/>
      <c r="AF303" s="303"/>
      <c r="AG303" s="303"/>
    </row>
    <row r="304" spans="1:3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302"/>
      <c r="S304" s="302"/>
      <c r="T304" s="302"/>
      <c r="U304" s="303"/>
      <c r="V304" s="303"/>
      <c r="W304" s="303"/>
      <c r="X304" s="303"/>
      <c r="Y304" s="303"/>
      <c r="Z304" s="303"/>
      <c r="AA304" s="303"/>
      <c r="AB304" s="303"/>
      <c r="AC304" s="303"/>
      <c r="AD304" s="303"/>
      <c r="AE304" s="303"/>
      <c r="AF304" s="303"/>
      <c r="AG304" s="303"/>
    </row>
    <row r="305" spans="1:3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302"/>
      <c r="S305" s="302"/>
      <c r="T305" s="302"/>
      <c r="U305" s="303"/>
      <c r="V305" s="303"/>
      <c r="W305" s="303"/>
      <c r="X305" s="303"/>
      <c r="Y305" s="303"/>
      <c r="Z305" s="303"/>
      <c r="AA305" s="303"/>
      <c r="AB305" s="303"/>
      <c r="AC305" s="303"/>
      <c r="AD305" s="303"/>
      <c r="AE305" s="303"/>
      <c r="AF305" s="303"/>
      <c r="AG305" s="303"/>
    </row>
    <row r="306" spans="1:3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302"/>
      <c r="S306" s="302"/>
      <c r="T306" s="302"/>
      <c r="U306" s="303"/>
      <c r="V306" s="303"/>
      <c r="W306" s="303"/>
      <c r="X306" s="303"/>
      <c r="Y306" s="303"/>
      <c r="Z306" s="303"/>
      <c r="AA306" s="303"/>
      <c r="AB306" s="303"/>
      <c r="AC306" s="303"/>
      <c r="AD306" s="303"/>
      <c r="AE306" s="303"/>
      <c r="AF306" s="303"/>
      <c r="AG306" s="303"/>
    </row>
    <row r="307" spans="1:3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302"/>
      <c r="S307" s="302"/>
      <c r="T307" s="302"/>
      <c r="U307" s="303"/>
      <c r="V307" s="303"/>
      <c r="W307" s="303"/>
      <c r="X307" s="303"/>
      <c r="Y307" s="303"/>
      <c r="Z307" s="303"/>
      <c r="AA307" s="303"/>
      <c r="AB307" s="303"/>
      <c r="AC307" s="303"/>
      <c r="AD307" s="303"/>
      <c r="AE307" s="303"/>
      <c r="AF307" s="303"/>
      <c r="AG307" s="303"/>
    </row>
    <row r="308" spans="1:3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302"/>
      <c r="S308" s="302"/>
      <c r="T308" s="302"/>
      <c r="U308" s="303"/>
      <c r="V308" s="303"/>
      <c r="W308" s="303"/>
      <c r="X308" s="303"/>
      <c r="Y308" s="303"/>
      <c r="Z308" s="303"/>
      <c r="AA308" s="303"/>
      <c r="AB308" s="303"/>
      <c r="AC308" s="303"/>
      <c r="AD308" s="303"/>
      <c r="AE308" s="303"/>
      <c r="AF308" s="303"/>
      <c r="AG308" s="303"/>
    </row>
    <row r="309" spans="1:3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302"/>
      <c r="S309" s="302"/>
      <c r="T309" s="302"/>
      <c r="U309" s="303"/>
      <c r="V309" s="303"/>
      <c r="W309" s="303"/>
      <c r="X309" s="303"/>
      <c r="Y309" s="303"/>
      <c r="Z309" s="303"/>
      <c r="AA309" s="303"/>
      <c r="AB309" s="303"/>
      <c r="AC309" s="303"/>
      <c r="AD309" s="303"/>
      <c r="AE309" s="303"/>
      <c r="AF309" s="303"/>
      <c r="AG309" s="303"/>
    </row>
    <row r="310" spans="1:3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302"/>
      <c r="S310" s="302"/>
      <c r="T310" s="302"/>
      <c r="U310" s="303"/>
      <c r="V310" s="303"/>
      <c r="W310" s="303"/>
      <c r="X310" s="303"/>
      <c r="Y310" s="303"/>
      <c r="Z310" s="303"/>
      <c r="AA310" s="303"/>
      <c r="AB310" s="303"/>
      <c r="AC310" s="303"/>
      <c r="AD310" s="303"/>
      <c r="AE310" s="303"/>
      <c r="AF310" s="303"/>
      <c r="AG310" s="303"/>
    </row>
    <row r="311" spans="1:3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302"/>
      <c r="S311" s="302"/>
      <c r="T311" s="302"/>
      <c r="U311" s="303"/>
      <c r="V311" s="303"/>
      <c r="W311" s="303"/>
      <c r="X311" s="303"/>
      <c r="Y311" s="303"/>
      <c r="Z311" s="303"/>
      <c r="AA311" s="303"/>
      <c r="AB311" s="303"/>
      <c r="AC311" s="303"/>
      <c r="AD311" s="303"/>
      <c r="AE311" s="303"/>
      <c r="AF311" s="303"/>
      <c r="AG311" s="303"/>
    </row>
    <row r="312" spans="1:3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302"/>
      <c r="S312" s="302"/>
      <c r="T312" s="302"/>
      <c r="U312" s="303"/>
      <c r="V312" s="303"/>
      <c r="W312" s="303"/>
      <c r="X312" s="303"/>
      <c r="Y312" s="303"/>
      <c r="Z312" s="303"/>
      <c r="AA312" s="303"/>
      <c r="AB312" s="303"/>
      <c r="AC312" s="303"/>
      <c r="AD312" s="303"/>
      <c r="AE312" s="303"/>
      <c r="AF312" s="303"/>
      <c r="AG312" s="303"/>
    </row>
    <row r="313" spans="1:3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302"/>
      <c r="S313" s="302"/>
      <c r="T313" s="302"/>
      <c r="U313" s="303"/>
      <c r="V313" s="303"/>
      <c r="W313" s="303"/>
      <c r="X313" s="303"/>
      <c r="Y313" s="303"/>
      <c r="Z313" s="303"/>
      <c r="AA313" s="303"/>
      <c r="AB313" s="303"/>
      <c r="AC313" s="303"/>
      <c r="AD313" s="303"/>
      <c r="AE313" s="303"/>
      <c r="AF313" s="303"/>
      <c r="AG313" s="303"/>
    </row>
    <row r="314" spans="1:33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335"/>
      <c r="S314" s="335"/>
      <c r="T314" s="335"/>
      <c r="U314" s="303"/>
      <c r="V314" s="303"/>
      <c r="W314" s="303"/>
      <c r="X314" s="303"/>
      <c r="Y314" s="303"/>
      <c r="Z314" s="303"/>
      <c r="AA314" s="303"/>
      <c r="AB314" s="303"/>
      <c r="AC314" s="303"/>
      <c r="AD314" s="303"/>
      <c r="AE314" s="303"/>
      <c r="AF314" s="303"/>
      <c r="AG314" s="303"/>
    </row>
    <row r="315" spans="1:33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335"/>
      <c r="S315" s="335"/>
      <c r="T315" s="335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03"/>
      <c r="AE315" s="303"/>
      <c r="AF315" s="303"/>
      <c r="AG315" s="303"/>
    </row>
    <row r="316" spans="1:33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335"/>
      <c r="S316" s="335"/>
      <c r="T316" s="335"/>
      <c r="U316" s="303"/>
      <c r="V316" s="303"/>
      <c r="W316" s="303"/>
      <c r="X316" s="303"/>
      <c r="Y316" s="303"/>
      <c r="Z316" s="303"/>
      <c r="AA316" s="303"/>
      <c r="AB316" s="303"/>
      <c r="AC316" s="303"/>
      <c r="AD316" s="303"/>
      <c r="AE316" s="303"/>
      <c r="AF316" s="303"/>
      <c r="AG316" s="303"/>
    </row>
    <row r="317" spans="1:33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335"/>
      <c r="S317" s="335"/>
      <c r="T317" s="335"/>
      <c r="U317" s="303"/>
      <c r="V317" s="303"/>
      <c r="W317" s="303"/>
      <c r="X317" s="303"/>
      <c r="Y317" s="303"/>
      <c r="Z317" s="303"/>
      <c r="AA317" s="303"/>
      <c r="AB317" s="303"/>
      <c r="AC317" s="303"/>
      <c r="AD317" s="303"/>
      <c r="AE317" s="303"/>
      <c r="AF317" s="303"/>
      <c r="AG317" s="303"/>
    </row>
    <row r="318" spans="1:33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335"/>
      <c r="S318" s="335"/>
      <c r="T318" s="335"/>
      <c r="U318" s="303"/>
      <c r="V318" s="303"/>
      <c r="W318" s="303"/>
      <c r="X318" s="303"/>
      <c r="Y318" s="303"/>
      <c r="Z318" s="303"/>
      <c r="AA318" s="303"/>
      <c r="AB318" s="303"/>
      <c r="AC318" s="303"/>
      <c r="AD318" s="303"/>
      <c r="AE318" s="303"/>
      <c r="AF318" s="303"/>
      <c r="AG318" s="303"/>
    </row>
    <row r="319" spans="1:33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335"/>
      <c r="S319" s="335"/>
      <c r="T319" s="335"/>
      <c r="U319" s="303"/>
      <c r="V319" s="303"/>
      <c r="W319" s="303"/>
      <c r="X319" s="303"/>
      <c r="Y319" s="303"/>
      <c r="Z319" s="303"/>
      <c r="AA319" s="303"/>
      <c r="AB319" s="303"/>
      <c r="AC319" s="303"/>
      <c r="AD319" s="303"/>
      <c r="AE319" s="303"/>
      <c r="AF319" s="303"/>
      <c r="AG319" s="303"/>
    </row>
    <row r="320" spans="1:33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335"/>
      <c r="S320" s="335"/>
      <c r="T320" s="335"/>
      <c r="U320" s="303"/>
      <c r="V320" s="303"/>
      <c r="W320" s="303"/>
      <c r="X320" s="303"/>
      <c r="Y320" s="303"/>
      <c r="Z320" s="303"/>
      <c r="AA320" s="303"/>
      <c r="AB320" s="303"/>
      <c r="AC320" s="303"/>
      <c r="AD320" s="303"/>
      <c r="AE320" s="303"/>
      <c r="AF320" s="303"/>
      <c r="AG320" s="303"/>
    </row>
    <row r="321" spans="1:33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335"/>
      <c r="S321" s="335"/>
      <c r="T321" s="335"/>
      <c r="U321" s="303"/>
      <c r="V321" s="303"/>
      <c r="W321" s="303"/>
      <c r="X321" s="303"/>
      <c r="Y321" s="303"/>
      <c r="Z321" s="303"/>
      <c r="AA321" s="303"/>
      <c r="AB321" s="303"/>
      <c r="AC321" s="303"/>
      <c r="AD321" s="303"/>
      <c r="AE321" s="303"/>
      <c r="AF321" s="303"/>
      <c r="AG321" s="303"/>
    </row>
    <row r="322" spans="1:33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335"/>
      <c r="S322" s="335"/>
      <c r="T322" s="335"/>
      <c r="U322" s="303"/>
      <c r="V322" s="303"/>
      <c r="W322" s="303"/>
      <c r="X322" s="303"/>
      <c r="Y322" s="303"/>
      <c r="Z322" s="303"/>
      <c r="AA322" s="303"/>
      <c r="AB322" s="303"/>
      <c r="AC322" s="303"/>
      <c r="AD322" s="303"/>
      <c r="AE322" s="303"/>
      <c r="AF322" s="303"/>
      <c r="AG322" s="303"/>
    </row>
    <row r="323" spans="1:33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335"/>
      <c r="S323" s="335"/>
      <c r="T323" s="335"/>
      <c r="U323" s="303"/>
      <c r="V323" s="303"/>
      <c r="W323" s="303"/>
      <c r="X323" s="303"/>
      <c r="Y323" s="303"/>
      <c r="Z323" s="303"/>
      <c r="AA323" s="303"/>
      <c r="AB323" s="303"/>
      <c r="AC323" s="303"/>
      <c r="AD323" s="303"/>
      <c r="AE323" s="303"/>
      <c r="AF323" s="303"/>
      <c r="AG323" s="303"/>
    </row>
    <row r="324" spans="1:33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335"/>
      <c r="S324" s="335"/>
      <c r="T324" s="335"/>
      <c r="U324" s="303"/>
      <c r="V324" s="303"/>
      <c r="W324" s="303"/>
      <c r="X324" s="303"/>
      <c r="Y324" s="303"/>
      <c r="Z324" s="303"/>
      <c r="AA324" s="303"/>
      <c r="AB324" s="303"/>
      <c r="AC324" s="303"/>
      <c r="AD324" s="303"/>
      <c r="AE324" s="303"/>
      <c r="AF324" s="303"/>
      <c r="AG324" s="303"/>
    </row>
    <row r="325" spans="1:33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335"/>
      <c r="S325" s="335"/>
      <c r="T325" s="335"/>
      <c r="U325" s="303"/>
      <c r="V325" s="303"/>
      <c r="W325" s="303"/>
      <c r="X325" s="303"/>
      <c r="Y325" s="303"/>
      <c r="Z325" s="303"/>
      <c r="AA325" s="303"/>
      <c r="AB325" s="303"/>
      <c r="AC325" s="303"/>
      <c r="AD325" s="303"/>
      <c r="AE325" s="303"/>
      <c r="AF325" s="303"/>
      <c r="AG325" s="303"/>
    </row>
    <row r="326" spans="1:33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335"/>
      <c r="S326" s="335"/>
      <c r="T326" s="335"/>
      <c r="U326" s="303"/>
      <c r="V326" s="303"/>
      <c r="W326" s="303"/>
      <c r="X326" s="303"/>
      <c r="Y326" s="303"/>
      <c r="Z326" s="303"/>
      <c r="AA326" s="303"/>
      <c r="AB326" s="303"/>
      <c r="AC326" s="303"/>
      <c r="AD326" s="303"/>
      <c r="AE326" s="303"/>
      <c r="AF326" s="303"/>
      <c r="AG326" s="303"/>
    </row>
    <row r="327" spans="1:33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335"/>
      <c r="S327" s="335"/>
      <c r="T327" s="335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03"/>
      <c r="AE327" s="303"/>
      <c r="AF327" s="303"/>
      <c r="AG327" s="303"/>
    </row>
    <row r="328" spans="1:33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335"/>
      <c r="S328" s="335"/>
      <c r="T328" s="335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3"/>
      <c r="AF328" s="303"/>
      <c r="AG328" s="303"/>
    </row>
    <row r="329" spans="1:33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335"/>
      <c r="S329" s="335"/>
      <c r="T329" s="335"/>
      <c r="U329" s="303"/>
      <c r="V329" s="303"/>
      <c r="W329" s="303"/>
      <c r="X329" s="303"/>
      <c r="Y329" s="303"/>
      <c r="Z329" s="303"/>
      <c r="AA329" s="303"/>
      <c r="AB329" s="303"/>
      <c r="AC329" s="303"/>
      <c r="AD329" s="303"/>
      <c r="AE329" s="303"/>
      <c r="AF329" s="303"/>
      <c r="AG329" s="303"/>
    </row>
    <row r="330" spans="1:33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335"/>
      <c r="S330" s="335"/>
      <c r="T330" s="335"/>
      <c r="U330" s="303"/>
      <c r="V330" s="303"/>
      <c r="W330" s="303"/>
      <c r="X330" s="303"/>
      <c r="Y330" s="303"/>
      <c r="Z330" s="303"/>
      <c r="AA330" s="303"/>
      <c r="AB330" s="303"/>
      <c r="AC330" s="303"/>
      <c r="AD330" s="303"/>
      <c r="AE330" s="303"/>
      <c r="AF330" s="303"/>
      <c r="AG330" s="303"/>
    </row>
    <row r="331" spans="1:33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335"/>
      <c r="S331" s="335"/>
      <c r="T331" s="335"/>
      <c r="U331" s="303"/>
      <c r="V331" s="303"/>
      <c r="W331" s="303"/>
      <c r="X331" s="303"/>
      <c r="Y331" s="303"/>
      <c r="Z331" s="303"/>
      <c r="AA331" s="303"/>
      <c r="AB331" s="303"/>
      <c r="AC331" s="303"/>
      <c r="AD331" s="303"/>
      <c r="AE331" s="303"/>
      <c r="AF331" s="303"/>
      <c r="AG331" s="303"/>
    </row>
    <row r="332" spans="1:33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335"/>
      <c r="S332" s="335"/>
      <c r="T332" s="335"/>
      <c r="U332" s="303"/>
      <c r="V332" s="303"/>
      <c r="W332" s="303"/>
      <c r="X332" s="303"/>
      <c r="Y332" s="303"/>
      <c r="Z332" s="303"/>
      <c r="AA332" s="303"/>
      <c r="AB332" s="303"/>
      <c r="AC332" s="303"/>
      <c r="AD332" s="303"/>
      <c r="AE332" s="303"/>
      <c r="AF332" s="303"/>
      <c r="AG332" s="303"/>
    </row>
    <row r="333" spans="1:33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335"/>
      <c r="S333" s="335"/>
      <c r="T333" s="335"/>
      <c r="U333" s="303"/>
      <c r="V333" s="303"/>
      <c r="W333" s="303"/>
      <c r="X333" s="303"/>
      <c r="Y333" s="303"/>
      <c r="Z333" s="303"/>
      <c r="AA333" s="303"/>
      <c r="AB333" s="303"/>
      <c r="AC333" s="303"/>
      <c r="AD333" s="303"/>
      <c r="AE333" s="303"/>
      <c r="AF333" s="303"/>
      <c r="AG333" s="303"/>
    </row>
    <row r="334" spans="1:33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335"/>
      <c r="S334" s="335"/>
      <c r="T334" s="335"/>
      <c r="U334" s="303"/>
      <c r="V334" s="303"/>
      <c r="W334" s="303"/>
      <c r="X334" s="303"/>
      <c r="Y334" s="303"/>
      <c r="Z334" s="303"/>
      <c r="AA334" s="303"/>
      <c r="AB334" s="303"/>
      <c r="AC334" s="303"/>
      <c r="AD334" s="303"/>
      <c r="AE334" s="303"/>
      <c r="AF334" s="303"/>
      <c r="AG334" s="303"/>
    </row>
    <row r="335" spans="1:33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335"/>
      <c r="S335" s="335"/>
      <c r="T335" s="335"/>
      <c r="U335" s="303"/>
      <c r="V335" s="303"/>
      <c r="W335" s="303"/>
      <c r="X335" s="303"/>
      <c r="Y335" s="303"/>
      <c r="Z335" s="303"/>
      <c r="AA335" s="303"/>
      <c r="AB335" s="303"/>
      <c r="AC335" s="303"/>
      <c r="AD335" s="303"/>
      <c r="AE335" s="303"/>
      <c r="AF335" s="303"/>
      <c r="AG335" s="303"/>
    </row>
    <row r="336" spans="1:33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335"/>
      <c r="S336" s="335"/>
      <c r="T336" s="335"/>
      <c r="U336" s="303"/>
      <c r="V336" s="303"/>
      <c r="W336" s="303"/>
      <c r="X336" s="303"/>
      <c r="Y336" s="303"/>
      <c r="Z336" s="303"/>
      <c r="AA336" s="303"/>
      <c r="AB336" s="303"/>
      <c r="AC336" s="303"/>
      <c r="AD336" s="303"/>
      <c r="AE336" s="303"/>
      <c r="AF336" s="303"/>
      <c r="AG336" s="303"/>
    </row>
    <row r="337" spans="1:33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335"/>
      <c r="S337" s="335"/>
      <c r="T337" s="335"/>
      <c r="U337" s="303"/>
      <c r="V337" s="303"/>
      <c r="W337" s="303"/>
      <c r="X337" s="303"/>
      <c r="Y337" s="303"/>
      <c r="Z337" s="303"/>
      <c r="AA337" s="303"/>
      <c r="AB337" s="303"/>
      <c r="AC337" s="303"/>
      <c r="AD337" s="303"/>
      <c r="AE337" s="303"/>
      <c r="AF337" s="303"/>
      <c r="AG337" s="303"/>
    </row>
    <row r="338" spans="1:33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335"/>
      <c r="S338" s="335"/>
      <c r="T338" s="335"/>
      <c r="U338" s="303"/>
      <c r="V338" s="303"/>
      <c r="W338" s="303"/>
      <c r="X338" s="303"/>
      <c r="Y338" s="303"/>
      <c r="Z338" s="303"/>
      <c r="AA338" s="303"/>
      <c r="AB338" s="303"/>
      <c r="AC338" s="303"/>
      <c r="AD338" s="303"/>
      <c r="AE338" s="303"/>
      <c r="AF338" s="303"/>
      <c r="AG338" s="303"/>
    </row>
    <row r="339" spans="1:33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335"/>
      <c r="S339" s="335"/>
      <c r="T339" s="335"/>
      <c r="U339" s="303"/>
      <c r="V339" s="303"/>
      <c r="W339" s="303"/>
      <c r="X339" s="303"/>
      <c r="Y339" s="303"/>
      <c r="Z339" s="303"/>
      <c r="AA339" s="303"/>
      <c r="AB339" s="303"/>
      <c r="AC339" s="303"/>
      <c r="AD339" s="303"/>
      <c r="AE339" s="303"/>
      <c r="AF339" s="303"/>
      <c r="AG339" s="303"/>
    </row>
    <row r="340" spans="1:33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335"/>
      <c r="S340" s="335"/>
      <c r="T340" s="335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03"/>
      <c r="AE340" s="303"/>
      <c r="AF340" s="303"/>
      <c r="AG340" s="303"/>
    </row>
    <row r="341" spans="1:33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335"/>
      <c r="S341" s="335"/>
      <c r="T341" s="335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3"/>
      <c r="AF341" s="303"/>
      <c r="AG341" s="303"/>
    </row>
    <row r="342" spans="1:33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335"/>
      <c r="S342" s="335"/>
      <c r="T342" s="335"/>
      <c r="U342" s="303"/>
      <c r="V342" s="303"/>
      <c r="W342" s="303"/>
      <c r="X342" s="303"/>
      <c r="Y342" s="303"/>
      <c r="Z342" s="303"/>
      <c r="AA342" s="303"/>
      <c r="AB342" s="303"/>
      <c r="AC342" s="303"/>
      <c r="AD342" s="303"/>
      <c r="AE342" s="303"/>
      <c r="AF342" s="303"/>
      <c r="AG342" s="303"/>
    </row>
    <row r="343" spans="1:33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335"/>
      <c r="S343" s="335"/>
      <c r="T343" s="335"/>
      <c r="U343" s="303"/>
      <c r="V343" s="303"/>
      <c r="W343" s="303"/>
      <c r="X343" s="303"/>
      <c r="Y343" s="303"/>
      <c r="Z343" s="303"/>
      <c r="AA343" s="303"/>
      <c r="AB343" s="303"/>
      <c r="AC343" s="303"/>
      <c r="AD343" s="303"/>
      <c r="AE343" s="303"/>
      <c r="AF343" s="303"/>
      <c r="AG343" s="303"/>
    </row>
    <row r="344" spans="1:33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335"/>
      <c r="S344" s="335"/>
      <c r="T344" s="335"/>
      <c r="U344" s="303"/>
      <c r="V344" s="303"/>
      <c r="W344" s="303"/>
      <c r="X344" s="303"/>
      <c r="Y344" s="303"/>
      <c r="Z344" s="303"/>
      <c r="AA344" s="303"/>
      <c r="AB344" s="303"/>
      <c r="AC344" s="303"/>
      <c r="AD344" s="303"/>
      <c r="AE344" s="303"/>
      <c r="AF344" s="303"/>
      <c r="AG344" s="303"/>
    </row>
    <row r="345" spans="1:33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335"/>
      <c r="S345" s="335"/>
      <c r="T345" s="335"/>
      <c r="U345" s="303"/>
      <c r="V345" s="303"/>
      <c r="W345" s="303"/>
      <c r="X345" s="303"/>
      <c r="Y345" s="303"/>
      <c r="Z345" s="303"/>
      <c r="AA345" s="303"/>
      <c r="AB345" s="303"/>
      <c r="AC345" s="303"/>
      <c r="AD345" s="303"/>
      <c r="AE345" s="303"/>
      <c r="AF345" s="303"/>
      <c r="AG345" s="303"/>
    </row>
    <row r="346" spans="1:33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335"/>
      <c r="S346" s="335"/>
      <c r="T346" s="335"/>
      <c r="U346" s="303"/>
      <c r="V346" s="303"/>
      <c r="W346" s="303"/>
      <c r="X346" s="303"/>
      <c r="Y346" s="303"/>
      <c r="Z346" s="303"/>
      <c r="AA346" s="303"/>
      <c r="AB346" s="303"/>
      <c r="AC346" s="303"/>
      <c r="AD346" s="303"/>
      <c r="AE346" s="303"/>
      <c r="AF346" s="303"/>
      <c r="AG346" s="303"/>
    </row>
    <row r="347" spans="1:33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335"/>
      <c r="S347" s="335"/>
      <c r="T347" s="335"/>
      <c r="U347" s="303"/>
      <c r="V347" s="303"/>
      <c r="W347" s="303"/>
      <c r="X347" s="303"/>
      <c r="Y347" s="303"/>
      <c r="Z347" s="303"/>
      <c r="AA347" s="303"/>
      <c r="AB347" s="303"/>
      <c r="AC347" s="303"/>
      <c r="AD347" s="303"/>
      <c r="AE347" s="303"/>
      <c r="AF347" s="303"/>
      <c r="AG347" s="303"/>
    </row>
    <row r="348" spans="1:33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335"/>
      <c r="S348" s="335"/>
      <c r="T348" s="335"/>
      <c r="U348" s="303"/>
      <c r="V348" s="303"/>
      <c r="W348" s="303"/>
      <c r="X348" s="303"/>
      <c r="Y348" s="303"/>
      <c r="Z348" s="303"/>
      <c r="AA348" s="303"/>
      <c r="AB348" s="303"/>
      <c r="AC348" s="303"/>
      <c r="AD348" s="303"/>
      <c r="AE348" s="303"/>
      <c r="AF348" s="303"/>
      <c r="AG348" s="303"/>
    </row>
    <row r="349" spans="1:33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335"/>
      <c r="S349" s="335"/>
      <c r="T349" s="335"/>
      <c r="U349" s="303"/>
      <c r="V349" s="303"/>
      <c r="W349" s="303"/>
      <c r="X349" s="303"/>
      <c r="Y349" s="303"/>
      <c r="Z349" s="303"/>
      <c r="AA349" s="303"/>
      <c r="AB349" s="303"/>
      <c r="AC349" s="303"/>
      <c r="AD349" s="303"/>
      <c r="AE349" s="303"/>
      <c r="AF349" s="303"/>
      <c r="AG349" s="303"/>
    </row>
    <row r="350" spans="1:33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335"/>
      <c r="S350" s="335"/>
      <c r="T350" s="335"/>
      <c r="U350" s="303"/>
      <c r="V350" s="303"/>
      <c r="W350" s="303"/>
      <c r="X350" s="303"/>
      <c r="Y350" s="303"/>
      <c r="Z350" s="303"/>
      <c r="AA350" s="303"/>
      <c r="AB350" s="303"/>
      <c r="AC350" s="303"/>
      <c r="AD350" s="303"/>
      <c r="AE350" s="303"/>
      <c r="AF350" s="303"/>
      <c r="AG350" s="303"/>
    </row>
    <row r="351" spans="1:33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335"/>
      <c r="S351" s="335"/>
      <c r="T351" s="335"/>
      <c r="U351" s="303"/>
      <c r="V351" s="303"/>
      <c r="W351" s="303"/>
      <c r="X351" s="303"/>
      <c r="Y351" s="303"/>
      <c r="Z351" s="303"/>
      <c r="AA351" s="303"/>
      <c r="AB351" s="303"/>
      <c r="AC351" s="303"/>
      <c r="AD351" s="303"/>
      <c r="AE351" s="303"/>
      <c r="AF351" s="303"/>
      <c r="AG351" s="303"/>
    </row>
    <row r="352" spans="1:33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335"/>
      <c r="S352" s="335"/>
      <c r="T352" s="335"/>
      <c r="U352" s="303"/>
      <c r="V352" s="303"/>
      <c r="W352" s="303"/>
      <c r="X352" s="303"/>
      <c r="Y352" s="303"/>
      <c r="Z352" s="303"/>
      <c r="AA352" s="303"/>
      <c r="AB352" s="303"/>
      <c r="AC352" s="303"/>
      <c r="AD352" s="303"/>
      <c r="AE352" s="303"/>
      <c r="AF352" s="303"/>
      <c r="AG352" s="303"/>
    </row>
    <row r="353" spans="1:33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335"/>
      <c r="S353" s="335"/>
      <c r="T353" s="335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03"/>
      <c r="AE353" s="303"/>
      <c r="AF353" s="303"/>
      <c r="AG353" s="303"/>
    </row>
    <row r="354" spans="1:33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335"/>
      <c r="S354" s="335"/>
      <c r="T354" s="335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303"/>
    </row>
    <row r="355" spans="1:33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335"/>
      <c r="S355" s="335"/>
      <c r="T355" s="335"/>
      <c r="U355" s="303"/>
      <c r="V355" s="303"/>
      <c r="W355" s="303"/>
      <c r="X355" s="303"/>
      <c r="Y355" s="303"/>
      <c r="Z355" s="303"/>
      <c r="AA355" s="303"/>
      <c r="AB355" s="303"/>
      <c r="AC355" s="303"/>
      <c r="AD355" s="303"/>
      <c r="AE355" s="303"/>
      <c r="AF355" s="303"/>
      <c r="AG355" s="303"/>
    </row>
    <row r="356" spans="1:33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335"/>
      <c r="S356" s="335"/>
      <c r="T356" s="335"/>
      <c r="U356" s="303"/>
      <c r="V356" s="303"/>
      <c r="W356" s="303"/>
      <c r="X356" s="303"/>
      <c r="Y356" s="303"/>
      <c r="Z356" s="303"/>
      <c r="AA356" s="303"/>
      <c r="AB356" s="303"/>
      <c r="AC356" s="303"/>
      <c r="AD356" s="303"/>
      <c r="AE356" s="303"/>
      <c r="AF356" s="303"/>
      <c r="AG356" s="303"/>
    </row>
    <row r="357" spans="1:33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335"/>
      <c r="S357" s="335"/>
      <c r="T357" s="335"/>
      <c r="U357" s="303"/>
      <c r="V357" s="303"/>
      <c r="W357" s="303"/>
      <c r="X357" s="303"/>
      <c r="Y357" s="303"/>
      <c r="Z357" s="303"/>
      <c r="AA357" s="303"/>
      <c r="AB357" s="303"/>
      <c r="AC357" s="303"/>
      <c r="AD357" s="303"/>
      <c r="AE357" s="303"/>
      <c r="AF357" s="303"/>
      <c r="AG357" s="303"/>
    </row>
    <row r="358" spans="1:33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335"/>
      <c r="S358" s="335"/>
      <c r="T358" s="335"/>
      <c r="U358" s="303"/>
      <c r="V358" s="303"/>
      <c r="W358" s="303"/>
      <c r="X358" s="303"/>
      <c r="Y358" s="303"/>
      <c r="Z358" s="303"/>
      <c r="AA358" s="303"/>
      <c r="AB358" s="303"/>
      <c r="AC358" s="303"/>
      <c r="AD358" s="303"/>
      <c r="AE358" s="303"/>
      <c r="AF358" s="303"/>
      <c r="AG358" s="303"/>
    </row>
    <row r="359" spans="1:33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335"/>
      <c r="S359" s="335"/>
      <c r="T359" s="335"/>
      <c r="U359" s="303"/>
      <c r="V359" s="303"/>
      <c r="W359" s="303"/>
      <c r="X359" s="303"/>
      <c r="Y359" s="303"/>
      <c r="Z359" s="303"/>
      <c r="AA359" s="303"/>
      <c r="AB359" s="303"/>
      <c r="AC359" s="303"/>
      <c r="AD359" s="303"/>
      <c r="AE359" s="303"/>
      <c r="AF359" s="303"/>
      <c r="AG359" s="303"/>
    </row>
    <row r="360" spans="1:33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335"/>
      <c r="S360" s="335"/>
      <c r="T360" s="335"/>
      <c r="U360" s="303"/>
      <c r="V360" s="303"/>
      <c r="W360" s="303"/>
      <c r="X360" s="303"/>
      <c r="Y360" s="303"/>
      <c r="Z360" s="303"/>
      <c r="AA360" s="303"/>
      <c r="AB360" s="303"/>
      <c r="AC360" s="303"/>
      <c r="AD360" s="303"/>
      <c r="AE360" s="303"/>
      <c r="AF360" s="303"/>
      <c r="AG360" s="303"/>
    </row>
    <row r="361" spans="1:33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335"/>
      <c r="S361" s="335"/>
      <c r="T361" s="335"/>
      <c r="U361" s="303"/>
      <c r="V361" s="303"/>
      <c r="W361" s="303"/>
      <c r="X361" s="303"/>
      <c r="Y361" s="303"/>
      <c r="Z361" s="303"/>
      <c r="AA361" s="303"/>
      <c r="AB361" s="303"/>
      <c r="AC361" s="303"/>
      <c r="AD361" s="303"/>
      <c r="AE361" s="303"/>
      <c r="AF361" s="303"/>
      <c r="AG361" s="303"/>
    </row>
    <row r="362" spans="1:33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335"/>
      <c r="S362" s="335"/>
      <c r="T362" s="335"/>
      <c r="U362" s="303"/>
      <c r="V362" s="303"/>
      <c r="W362" s="303"/>
      <c r="X362" s="303"/>
      <c r="Y362" s="303"/>
      <c r="Z362" s="303"/>
      <c r="AA362" s="303"/>
      <c r="AB362" s="303"/>
      <c r="AC362" s="303"/>
      <c r="AD362" s="303"/>
      <c r="AE362" s="303"/>
      <c r="AF362" s="303"/>
      <c r="AG362" s="303"/>
    </row>
    <row r="363" spans="1:33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335"/>
      <c r="S363" s="335"/>
      <c r="T363" s="335"/>
      <c r="U363" s="303"/>
      <c r="V363" s="303"/>
      <c r="W363" s="303"/>
      <c r="X363" s="303"/>
      <c r="Y363" s="303"/>
      <c r="Z363" s="303"/>
      <c r="AA363" s="303"/>
      <c r="AB363" s="303"/>
      <c r="AC363" s="303"/>
      <c r="AD363" s="303"/>
      <c r="AE363" s="303"/>
      <c r="AF363" s="303"/>
      <c r="AG363" s="303"/>
    </row>
    <row r="364" spans="1:33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335"/>
      <c r="S364" s="335"/>
      <c r="T364" s="335"/>
      <c r="U364" s="303"/>
      <c r="V364" s="303"/>
      <c r="W364" s="303"/>
      <c r="X364" s="303"/>
      <c r="Y364" s="303"/>
      <c r="Z364" s="303"/>
      <c r="AA364" s="303"/>
      <c r="AB364" s="303"/>
      <c r="AC364" s="303"/>
      <c r="AD364" s="303"/>
      <c r="AE364" s="303"/>
      <c r="AF364" s="303"/>
      <c r="AG364" s="303"/>
    </row>
    <row r="365" spans="1:33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335"/>
      <c r="S365" s="335"/>
      <c r="T365" s="335"/>
      <c r="U365" s="303"/>
      <c r="V365" s="303"/>
      <c r="W365" s="303"/>
      <c r="X365" s="303"/>
      <c r="Y365" s="303"/>
      <c r="Z365" s="303"/>
      <c r="AA365" s="303"/>
      <c r="AB365" s="303"/>
      <c r="AC365" s="303"/>
      <c r="AD365" s="303"/>
      <c r="AE365" s="303"/>
      <c r="AF365" s="303"/>
      <c r="AG365" s="303"/>
    </row>
    <row r="366" spans="1:33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335"/>
      <c r="S366" s="335"/>
      <c r="T366" s="335"/>
      <c r="U366" s="303"/>
      <c r="V366" s="303"/>
      <c r="W366" s="303"/>
      <c r="X366" s="303"/>
      <c r="Y366" s="303"/>
      <c r="Z366" s="303"/>
      <c r="AA366" s="303"/>
      <c r="AB366" s="303"/>
      <c r="AC366" s="303"/>
      <c r="AD366" s="303"/>
      <c r="AE366" s="303"/>
      <c r="AF366" s="303"/>
      <c r="AG366" s="303"/>
    </row>
    <row r="367" spans="1:33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335"/>
      <c r="S367" s="335"/>
      <c r="T367" s="335"/>
      <c r="U367" s="303"/>
      <c r="V367" s="303"/>
      <c r="W367" s="303"/>
      <c r="X367" s="303"/>
      <c r="Y367" s="303"/>
      <c r="Z367" s="303"/>
      <c r="AA367" s="303"/>
      <c r="AB367" s="303"/>
      <c r="AC367" s="303"/>
      <c r="AD367" s="303"/>
      <c r="AE367" s="303"/>
      <c r="AF367" s="303"/>
      <c r="AG367" s="303"/>
    </row>
    <row r="368" spans="1:33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335"/>
      <c r="S368" s="335"/>
      <c r="T368" s="335"/>
      <c r="U368" s="303"/>
      <c r="V368" s="303"/>
      <c r="W368" s="303"/>
      <c r="X368" s="303"/>
      <c r="Y368" s="303"/>
      <c r="Z368" s="303"/>
      <c r="AA368" s="303"/>
      <c r="AB368" s="303"/>
      <c r="AC368" s="303"/>
      <c r="AD368" s="303"/>
      <c r="AE368" s="303"/>
      <c r="AF368" s="303"/>
      <c r="AG368" s="303"/>
    </row>
    <row r="369" spans="1:33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335"/>
      <c r="S369" s="335"/>
      <c r="T369" s="335"/>
      <c r="U369" s="303"/>
      <c r="V369" s="303"/>
      <c r="W369" s="303"/>
      <c r="X369" s="303"/>
      <c r="Y369" s="303"/>
      <c r="Z369" s="303"/>
      <c r="AA369" s="303"/>
      <c r="AB369" s="303"/>
      <c r="AC369" s="303"/>
      <c r="AD369" s="303"/>
      <c r="AE369" s="303"/>
      <c r="AF369" s="303"/>
      <c r="AG369" s="303"/>
    </row>
    <row r="370" spans="1:33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335"/>
      <c r="S370" s="335"/>
      <c r="T370" s="335"/>
      <c r="U370" s="303"/>
      <c r="V370" s="303"/>
      <c r="W370" s="303"/>
      <c r="X370" s="303"/>
      <c r="Y370" s="303"/>
      <c r="Z370" s="303"/>
      <c r="AA370" s="303"/>
      <c r="AB370" s="303"/>
      <c r="AC370" s="303"/>
      <c r="AD370" s="303"/>
      <c r="AE370" s="303"/>
      <c r="AF370" s="303"/>
      <c r="AG370" s="303"/>
    </row>
    <row r="371" spans="1:33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335"/>
      <c r="S371" s="335"/>
      <c r="T371" s="335"/>
      <c r="U371" s="303"/>
      <c r="V371" s="303"/>
      <c r="W371" s="303"/>
      <c r="X371" s="303"/>
      <c r="Y371" s="303"/>
      <c r="Z371" s="303"/>
      <c r="AA371" s="303"/>
      <c r="AB371" s="303"/>
      <c r="AC371" s="303"/>
      <c r="AD371" s="303"/>
      <c r="AE371" s="303"/>
      <c r="AF371" s="303"/>
      <c r="AG371" s="303"/>
    </row>
    <row r="372" spans="1:33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335"/>
      <c r="S372" s="335"/>
      <c r="T372" s="335"/>
      <c r="U372" s="303"/>
      <c r="V372" s="303"/>
      <c r="W372" s="303"/>
      <c r="X372" s="303"/>
      <c r="Y372" s="303"/>
      <c r="Z372" s="303"/>
      <c r="AA372" s="303"/>
      <c r="AB372" s="303"/>
      <c r="AC372" s="303"/>
      <c r="AD372" s="303"/>
      <c r="AE372" s="303"/>
      <c r="AF372" s="303"/>
      <c r="AG372" s="303"/>
    </row>
    <row r="373" spans="1:33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335"/>
      <c r="S373" s="335"/>
      <c r="T373" s="335"/>
      <c r="U373" s="303"/>
      <c r="V373" s="303"/>
      <c r="W373" s="303"/>
      <c r="X373" s="303"/>
      <c r="Y373" s="303"/>
      <c r="Z373" s="303"/>
      <c r="AA373" s="303"/>
      <c r="AB373" s="303"/>
      <c r="AC373" s="303"/>
      <c r="AD373" s="303"/>
      <c r="AE373" s="303"/>
      <c r="AF373" s="303"/>
      <c r="AG373" s="303"/>
    </row>
    <row r="374" spans="1:33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335"/>
      <c r="S374" s="335"/>
      <c r="T374" s="335"/>
      <c r="U374" s="303"/>
      <c r="V374" s="303"/>
      <c r="W374" s="303"/>
      <c r="X374" s="303"/>
      <c r="Y374" s="303"/>
      <c r="Z374" s="303"/>
      <c r="AA374" s="303"/>
      <c r="AB374" s="303"/>
      <c r="AC374" s="303"/>
      <c r="AD374" s="303"/>
      <c r="AE374" s="303"/>
      <c r="AF374" s="303"/>
      <c r="AG374" s="303"/>
    </row>
    <row r="375" spans="1:33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335"/>
      <c r="S375" s="335"/>
      <c r="T375" s="335"/>
      <c r="U375" s="303"/>
      <c r="V375" s="303"/>
      <c r="W375" s="303"/>
      <c r="X375" s="303"/>
      <c r="Y375" s="303"/>
      <c r="Z375" s="303"/>
      <c r="AA375" s="303"/>
      <c r="AB375" s="303"/>
      <c r="AC375" s="303"/>
      <c r="AD375" s="303"/>
      <c r="AE375" s="303"/>
      <c r="AF375" s="303"/>
      <c r="AG375" s="303"/>
    </row>
    <row r="376" spans="1:33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335"/>
      <c r="S376" s="335"/>
      <c r="T376" s="335"/>
      <c r="U376" s="303"/>
      <c r="V376" s="303"/>
      <c r="W376" s="303"/>
      <c r="X376" s="303"/>
      <c r="Y376" s="303"/>
      <c r="Z376" s="303"/>
      <c r="AA376" s="303"/>
      <c r="AB376" s="303"/>
      <c r="AC376" s="303"/>
      <c r="AD376" s="303"/>
      <c r="AE376" s="303"/>
      <c r="AF376" s="303"/>
      <c r="AG376" s="303"/>
    </row>
    <row r="377" spans="1:33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335"/>
      <c r="S377" s="335"/>
      <c r="T377" s="335"/>
      <c r="U377" s="303"/>
      <c r="V377" s="303"/>
      <c r="W377" s="303"/>
      <c r="X377" s="303"/>
      <c r="Y377" s="303"/>
      <c r="Z377" s="303"/>
      <c r="AA377" s="303"/>
      <c r="AB377" s="303"/>
      <c r="AC377" s="303"/>
      <c r="AD377" s="303"/>
      <c r="AE377" s="303"/>
      <c r="AF377" s="303"/>
      <c r="AG377" s="303"/>
    </row>
    <row r="378" spans="1:33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335"/>
      <c r="S378" s="335"/>
      <c r="T378" s="335"/>
      <c r="U378" s="303"/>
      <c r="V378" s="303"/>
      <c r="W378" s="303"/>
      <c r="X378" s="303"/>
      <c r="Y378" s="303"/>
      <c r="Z378" s="303"/>
      <c r="AA378" s="303"/>
      <c r="AB378" s="303"/>
      <c r="AC378" s="303"/>
      <c r="AD378" s="303"/>
      <c r="AE378" s="303"/>
      <c r="AF378" s="303"/>
      <c r="AG378" s="303"/>
    </row>
    <row r="379" spans="1:33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335"/>
      <c r="S379" s="335"/>
      <c r="T379" s="335"/>
      <c r="U379" s="303"/>
      <c r="V379" s="303"/>
      <c r="W379" s="303"/>
      <c r="X379" s="303"/>
      <c r="Y379" s="303"/>
      <c r="Z379" s="303"/>
      <c r="AA379" s="303"/>
      <c r="AB379" s="303"/>
      <c r="AC379" s="303"/>
      <c r="AD379" s="303"/>
      <c r="AE379" s="303"/>
      <c r="AF379" s="303"/>
      <c r="AG379" s="303"/>
    </row>
    <row r="380" spans="1:33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335"/>
      <c r="S380" s="335"/>
      <c r="T380" s="335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3"/>
      <c r="AE380" s="303"/>
      <c r="AF380" s="303"/>
      <c r="AG380" s="303"/>
    </row>
    <row r="381" spans="1:33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335"/>
      <c r="S381" s="335"/>
      <c r="T381" s="335"/>
      <c r="U381" s="303"/>
      <c r="V381" s="303"/>
      <c r="W381" s="303"/>
      <c r="X381" s="303"/>
      <c r="Y381" s="303"/>
      <c r="Z381" s="303"/>
      <c r="AA381" s="303"/>
      <c r="AB381" s="303"/>
      <c r="AC381" s="303"/>
      <c r="AD381" s="303"/>
      <c r="AE381" s="303"/>
      <c r="AF381" s="303"/>
      <c r="AG381" s="303"/>
    </row>
    <row r="382" spans="1:33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335"/>
      <c r="S382" s="335"/>
      <c r="T382" s="335"/>
      <c r="U382" s="303"/>
      <c r="V382" s="303"/>
      <c r="W382" s="303"/>
      <c r="X382" s="303"/>
      <c r="Y382" s="303"/>
      <c r="Z382" s="303"/>
      <c r="AA382" s="303"/>
      <c r="AB382" s="303"/>
      <c r="AC382" s="303"/>
      <c r="AD382" s="303"/>
      <c r="AE382" s="303"/>
      <c r="AF382" s="303"/>
      <c r="AG382" s="303"/>
    </row>
    <row r="383" spans="1:33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335"/>
      <c r="S383" s="335"/>
      <c r="T383" s="335"/>
      <c r="U383" s="303"/>
      <c r="V383" s="303"/>
      <c r="W383" s="303"/>
      <c r="X383" s="303"/>
      <c r="Y383" s="303"/>
      <c r="Z383" s="303"/>
      <c r="AA383" s="303"/>
      <c r="AB383" s="303"/>
      <c r="AC383" s="303"/>
      <c r="AD383" s="303"/>
      <c r="AE383" s="303"/>
      <c r="AF383" s="303"/>
      <c r="AG383" s="303"/>
    </row>
    <row r="384" spans="1:33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335"/>
      <c r="S384" s="335"/>
      <c r="T384" s="335"/>
      <c r="U384" s="303"/>
      <c r="V384" s="303"/>
      <c r="W384" s="303"/>
      <c r="X384" s="303"/>
      <c r="Y384" s="303"/>
      <c r="Z384" s="303"/>
      <c r="AA384" s="303"/>
      <c r="AB384" s="303"/>
      <c r="AC384" s="303"/>
      <c r="AD384" s="303"/>
      <c r="AE384" s="303"/>
      <c r="AF384" s="303"/>
      <c r="AG384" s="303"/>
    </row>
    <row r="385" spans="1:33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335"/>
      <c r="S385" s="335"/>
      <c r="T385" s="335"/>
      <c r="U385" s="303"/>
      <c r="V385" s="303"/>
      <c r="W385" s="303"/>
      <c r="X385" s="303"/>
      <c r="Y385" s="303"/>
      <c r="Z385" s="303"/>
      <c r="AA385" s="303"/>
      <c r="AB385" s="303"/>
      <c r="AC385" s="303"/>
      <c r="AD385" s="303"/>
      <c r="AE385" s="303"/>
      <c r="AF385" s="303"/>
      <c r="AG385" s="303"/>
    </row>
    <row r="386" spans="1:33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335"/>
      <c r="S386" s="335"/>
      <c r="T386" s="335"/>
      <c r="U386" s="303"/>
      <c r="V386" s="303"/>
      <c r="W386" s="303"/>
      <c r="X386" s="303"/>
      <c r="Y386" s="303"/>
      <c r="Z386" s="303"/>
      <c r="AA386" s="303"/>
      <c r="AB386" s="303"/>
      <c r="AC386" s="303"/>
      <c r="AD386" s="303"/>
      <c r="AE386" s="303"/>
      <c r="AF386" s="303"/>
      <c r="AG386" s="303"/>
    </row>
    <row r="387" spans="1:33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335"/>
      <c r="S387" s="335"/>
      <c r="T387" s="335"/>
      <c r="U387" s="303"/>
      <c r="V387" s="303"/>
      <c r="W387" s="303"/>
      <c r="X387" s="303"/>
      <c r="Y387" s="303"/>
      <c r="Z387" s="303"/>
      <c r="AA387" s="303"/>
      <c r="AB387" s="303"/>
      <c r="AC387" s="303"/>
      <c r="AD387" s="303"/>
      <c r="AE387" s="303"/>
      <c r="AF387" s="303"/>
      <c r="AG387" s="303"/>
    </row>
    <row r="388" spans="1:33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335"/>
      <c r="S388" s="335"/>
      <c r="T388" s="335"/>
      <c r="U388" s="303"/>
      <c r="V388" s="303"/>
      <c r="W388" s="303"/>
      <c r="X388" s="303"/>
      <c r="Y388" s="303"/>
      <c r="Z388" s="303"/>
      <c r="AA388" s="303"/>
      <c r="AB388" s="303"/>
      <c r="AC388" s="303"/>
      <c r="AD388" s="303"/>
      <c r="AE388" s="303"/>
      <c r="AF388" s="303"/>
      <c r="AG388" s="303"/>
    </row>
    <row r="389" spans="1:33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335"/>
      <c r="S389" s="335"/>
      <c r="T389" s="335"/>
      <c r="U389" s="303"/>
      <c r="V389" s="303"/>
      <c r="W389" s="303"/>
      <c r="X389" s="303"/>
      <c r="Y389" s="303"/>
      <c r="Z389" s="303"/>
      <c r="AA389" s="303"/>
      <c r="AB389" s="303"/>
      <c r="AC389" s="303"/>
      <c r="AD389" s="303"/>
      <c r="AE389" s="303"/>
      <c r="AF389" s="303"/>
      <c r="AG389" s="303"/>
    </row>
    <row r="390" spans="1:33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335"/>
      <c r="S390" s="335"/>
      <c r="T390" s="335"/>
      <c r="U390" s="303"/>
      <c r="V390" s="303"/>
      <c r="W390" s="303"/>
      <c r="X390" s="303"/>
      <c r="Y390" s="303"/>
      <c r="Z390" s="303"/>
      <c r="AA390" s="303"/>
      <c r="AB390" s="303"/>
      <c r="AC390" s="303"/>
      <c r="AD390" s="303"/>
      <c r="AE390" s="303"/>
      <c r="AF390" s="303"/>
      <c r="AG390" s="303"/>
    </row>
    <row r="391" spans="1:33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335"/>
      <c r="S391" s="335"/>
      <c r="T391" s="335"/>
      <c r="U391" s="303"/>
      <c r="V391" s="303"/>
      <c r="W391" s="303"/>
      <c r="X391" s="303"/>
      <c r="Y391" s="303"/>
      <c r="Z391" s="303"/>
      <c r="AA391" s="303"/>
      <c r="AB391" s="303"/>
      <c r="AC391" s="303"/>
      <c r="AD391" s="303"/>
      <c r="AE391" s="303"/>
      <c r="AF391" s="303"/>
      <c r="AG391" s="303"/>
    </row>
    <row r="392" spans="1:33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335"/>
      <c r="S392" s="335"/>
      <c r="T392" s="335"/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3"/>
      <c r="AE392" s="303"/>
      <c r="AF392" s="303"/>
      <c r="AG392" s="303"/>
    </row>
    <row r="393" spans="1:33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335"/>
      <c r="S393" s="335"/>
      <c r="T393" s="335"/>
      <c r="U393" s="303"/>
      <c r="V393" s="303"/>
      <c r="W393" s="303"/>
      <c r="X393" s="303"/>
      <c r="Y393" s="303"/>
      <c r="Z393" s="303"/>
      <c r="AA393" s="303"/>
      <c r="AB393" s="303"/>
      <c r="AC393" s="303"/>
      <c r="AD393" s="303"/>
      <c r="AE393" s="303"/>
      <c r="AF393" s="303"/>
      <c r="AG393" s="303"/>
    </row>
    <row r="394" spans="1:33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335"/>
      <c r="S394" s="335"/>
      <c r="T394" s="335"/>
      <c r="U394" s="303"/>
      <c r="V394" s="303"/>
      <c r="W394" s="303"/>
      <c r="X394" s="303"/>
      <c r="Y394" s="303"/>
      <c r="Z394" s="303"/>
      <c r="AA394" s="303"/>
      <c r="AB394" s="303"/>
      <c r="AC394" s="303"/>
      <c r="AD394" s="303"/>
      <c r="AE394" s="303"/>
      <c r="AF394" s="303"/>
      <c r="AG394" s="303"/>
    </row>
    <row r="395" spans="1:33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335"/>
      <c r="S395" s="335"/>
      <c r="T395" s="335"/>
      <c r="U395" s="303"/>
      <c r="V395" s="303"/>
      <c r="W395" s="303"/>
      <c r="X395" s="303"/>
      <c r="Y395" s="303"/>
      <c r="Z395" s="303"/>
      <c r="AA395" s="303"/>
      <c r="AB395" s="303"/>
      <c r="AC395" s="303"/>
      <c r="AD395" s="303"/>
      <c r="AE395" s="303"/>
      <c r="AF395" s="303"/>
      <c r="AG395" s="303"/>
    </row>
    <row r="396" spans="1:33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335"/>
      <c r="S396" s="335"/>
      <c r="T396" s="335"/>
      <c r="U396" s="303"/>
      <c r="V396" s="303"/>
      <c r="W396" s="303"/>
      <c r="X396" s="303"/>
      <c r="Y396" s="303"/>
      <c r="Z396" s="303"/>
      <c r="AA396" s="303"/>
      <c r="AB396" s="303"/>
      <c r="AC396" s="303"/>
      <c r="AD396" s="303"/>
      <c r="AE396" s="303"/>
      <c r="AF396" s="303"/>
      <c r="AG396" s="303"/>
    </row>
    <row r="397" spans="1:33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335"/>
      <c r="S397" s="335"/>
      <c r="T397" s="335"/>
      <c r="U397" s="303"/>
      <c r="V397" s="303"/>
      <c r="W397" s="303"/>
      <c r="X397" s="303"/>
      <c r="Y397" s="303"/>
      <c r="Z397" s="303"/>
      <c r="AA397" s="303"/>
      <c r="AB397" s="303"/>
      <c r="AC397" s="303"/>
      <c r="AD397" s="303"/>
      <c r="AE397" s="303"/>
      <c r="AF397" s="303"/>
      <c r="AG397" s="303"/>
    </row>
    <row r="398" spans="1:33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335"/>
      <c r="S398" s="335"/>
      <c r="T398" s="335"/>
      <c r="U398" s="303"/>
      <c r="V398" s="303"/>
      <c r="W398" s="303"/>
      <c r="X398" s="303"/>
      <c r="Y398" s="303"/>
      <c r="Z398" s="303"/>
      <c r="AA398" s="303"/>
      <c r="AB398" s="303"/>
      <c r="AC398" s="303"/>
      <c r="AD398" s="303"/>
      <c r="AE398" s="303"/>
      <c r="AF398" s="303"/>
      <c r="AG398" s="303"/>
    </row>
    <row r="399" spans="1:33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335"/>
      <c r="S399" s="335"/>
      <c r="T399" s="335"/>
      <c r="U399" s="303"/>
      <c r="V399" s="303"/>
      <c r="W399" s="303"/>
      <c r="X399" s="303"/>
      <c r="Y399" s="303"/>
      <c r="Z399" s="303"/>
      <c r="AA399" s="303"/>
      <c r="AB399" s="303"/>
      <c r="AC399" s="303"/>
      <c r="AD399" s="303"/>
      <c r="AE399" s="303"/>
      <c r="AF399" s="303"/>
      <c r="AG399" s="303"/>
    </row>
    <row r="400" spans="1:33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335"/>
      <c r="S400" s="335"/>
      <c r="T400" s="335"/>
      <c r="U400" s="303"/>
      <c r="V400" s="303"/>
      <c r="W400" s="303"/>
      <c r="X400" s="303"/>
      <c r="Y400" s="303"/>
      <c r="Z400" s="303"/>
      <c r="AA400" s="303"/>
      <c r="AB400" s="303"/>
      <c r="AC400" s="303"/>
      <c r="AD400" s="303"/>
      <c r="AE400" s="303"/>
      <c r="AF400" s="303"/>
      <c r="AG400" s="303"/>
    </row>
    <row r="401" spans="1:33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335"/>
      <c r="S401" s="335"/>
      <c r="T401" s="335"/>
      <c r="U401" s="303"/>
      <c r="V401" s="303"/>
      <c r="W401" s="303"/>
      <c r="X401" s="303"/>
      <c r="Y401" s="303"/>
      <c r="Z401" s="303"/>
      <c r="AA401" s="303"/>
      <c r="AB401" s="303"/>
      <c r="AC401" s="303"/>
      <c r="AD401" s="303"/>
      <c r="AE401" s="303"/>
      <c r="AF401" s="303"/>
      <c r="AG401" s="303"/>
    </row>
    <row r="402" spans="1:33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335"/>
      <c r="S402" s="335"/>
      <c r="T402" s="335"/>
      <c r="U402" s="303"/>
      <c r="V402" s="303"/>
      <c r="W402" s="303"/>
      <c r="X402" s="303"/>
      <c r="Y402" s="303"/>
      <c r="Z402" s="303"/>
      <c r="AA402" s="303"/>
      <c r="AB402" s="303"/>
      <c r="AC402" s="303"/>
      <c r="AD402" s="303"/>
      <c r="AE402" s="303"/>
      <c r="AF402" s="303"/>
      <c r="AG402" s="303"/>
    </row>
    <row r="403" spans="1:33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335"/>
      <c r="S403" s="335"/>
      <c r="T403" s="335"/>
      <c r="U403" s="303"/>
      <c r="V403" s="303"/>
      <c r="W403" s="303"/>
      <c r="X403" s="303"/>
      <c r="Y403" s="303"/>
      <c r="Z403" s="303"/>
      <c r="AA403" s="303"/>
      <c r="AB403" s="303"/>
      <c r="AC403" s="303"/>
      <c r="AD403" s="303"/>
      <c r="AE403" s="303"/>
      <c r="AF403" s="303"/>
      <c r="AG403" s="303"/>
    </row>
    <row r="404" spans="1:33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335"/>
      <c r="S404" s="335"/>
      <c r="T404" s="335"/>
      <c r="U404" s="303"/>
      <c r="V404" s="303"/>
      <c r="W404" s="303"/>
      <c r="X404" s="303"/>
      <c r="Y404" s="303"/>
      <c r="Z404" s="303"/>
      <c r="AA404" s="303"/>
      <c r="AB404" s="303"/>
      <c r="AC404" s="303"/>
      <c r="AD404" s="303"/>
      <c r="AE404" s="303"/>
      <c r="AF404" s="303"/>
      <c r="AG404" s="303"/>
    </row>
    <row r="405" spans="1:33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335"/>
      <c r="S405" s="335"/>
      <c r="T405" s="335"/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3"/>
      <c r="AF405" s="303"/>
      <c r="AG405" s="303"/>
    </row>
    <row r="406" spans="1:33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335"/>
      <c r="S406" s="335"/>
      <c r="T406" s="335"/>
      <c r="U406" s="303"/>
      <c r="V406" s="303"/>
      <c r="W406" s="303"/>
      <c r="X406" s="303"/>
      <c r="Y406" s="303"/>
      <c r="Z406" s="303"/>
      <c r="AA406" s="303"/>
      <c r="AB406" s="303"/>
      <c r="AC406" s="303"/>
      <c r="AD406" s="303"/>
      <c r="AE406" s="303"/>
      <c r="AF406" s="303"/>
      <c r="AG406" s="303"/>
    </row>
    <row r="407" spans="1:33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335"/>
      <c r="S407" s="335"/>
      <c r="T407" s="335"/>
      <c r="U407" s="303"/>
      <c r="V407" s="303"/>
      <c r="W407" s="303"/>
      <c r="X407" s="303"/>
      <c r="Y407" s="303"/>
      <c r="Z407" s="303"/>
      <c r="AA407" s="303"/>
      <c r="AB407" s="303"/>
      <c r="AC407" s="303"/>
      <c r="AD407" s="303"/>
      <c r="AE407" s="303"/>
      <c r="AF407" s="303"/>
      <c r="AG407" s="303"/>
    </row>
    <row r="408" spans="1:33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335"/>
      <c r="S408" s="335"/>
      <c r="T408" s="335"/>
      <c r="U408" s="303"/>
      <c r="V408" s="303"/>
      <c r="W408" s="303"/>
      <c r="X408" s="303"/>
      <c r="Y408" s="303"/>
      <c r="Z408" s="303"/>
      <c r="AA408" s="303"/>
      <c r="AB408" s="303"/>
      <c r="AC408" s="303"/>
      <c r="AD408" s="303"/>
      <c r="AE408" s="303"/>
      <c r="AF408" s="303"/>
      <c r="AG408" s="303"/>
    </row>
    <row r="409" spans="1:33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335"/>
      <c r="S409" s="335"/>
      <c r="T409" s="335"/>
      <c r="U409" s="303"/>
      <c r="V409" s="303"/>
      <c r="W409" s="303"/>
      <c r="X409" s="303"/>
      <c r="Y409" s="303"/>
      <c r="Z409" s="303"/>
      <c r="AA409" s="303"/>
      <c r="AB409" s="303"/>
      <c r="AC409" s="303"/>
      <c r="AD409" s="303"/>
      <c r="AE409" s="303"/>
      <c r="AF409" s="303"/>
      <c r="AG409" s="303"/>
    </row>
    <row r="410" spans="1:33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335"/>
      <c r="S410" s="335"/>
      <c r="T410" s="335"/>
      <c r="U410" s="303"/>
      <c r="V410" s="303"/>
      <c r="W410" s="303"/>
      <c r="X410" s="303"/>
      <c r="Y410" s="303"/>
      <c r="Z410" s="303"/>
      <c r="AA410" s="303"/>
      <c r="AB410" s="303"/>
      <c r="AC410" s="303"/>
      <c r="AD410" s="303"/>
      <c r="AE410" s="303"/>
      <c r="AF410" s="303"/>
      <c r="AG410" s="303"/>
    </row>
    <row r="411" spans="1:33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335"/>
      <c r="S411" s="335"/>
      <c r="T411" s="335"/>
      <c r="U411" s="303"/>
      <c r="V411" s="303"/>
      <c r="W411" s="303"/>
      <c r="X411" s="303"/>
      <c r="Y411" s="303"/>
      <c r="Z411" s="303"/>
      <c r="AA411" s="303"/>
      <c r="AB411" s="303"/>
      <c r="AC411" s="303"/>
      <c r="AD411" s="303"/>
      <c r="AE411" s="303"/>
      <c r="AF411" s="303"/>
      <c r="AG411" s="303"/>
    </row>
    <row r="412" spans="1:33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335"/>
      <c r="S412" s="335"/>
      <c r="T412" s="335"/>
      <c r="U412" s="303"/>
      <c r="V412" s="303"/>
      <c r="W412" s="303"/>
      <c r="X412" s="303"/>
      <c r="Y412" s="303"/>
      <c r="Z412" s="303"/>
      <c r="AA412" s="303"/>
      <c r="AB412" s="303"/>
      <c r="AC412" s="303"/>
      <c r="AD412" s="303"/>
      <c r="AE412" s="303"/>
      <c r="AF412" s="303"/>
      <c r="AG412" s="303"/>
    </row>
    <row r="413" spans="1:33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335"/>
      <c r="S413" s="335"/>
      <c r="T413" s="335"/>
      <c r="U413" s="303"/>
      <c r="V413" s="303"/>
      <c r="W413" s="303"/>
      <c r="X413" s="303"/>
      <c r="Y413" s="303"/>
      <c r="Z413" s="303"/>
      <c r="AA413" s="303"/>
      <c r="AB413" s="303"/>
      <c r="AC413" s="303"/>
      <c r="AD413" s="303"/>
      <c r="AE413" s="303"/>
      <c r="AF413" s="303"/>
      <c r="AG413" s="303"/>
    </row>
    <row r="414" spans="1:33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335"/>
      <c r="S414" s="335"/>
      <c r="T414" s="335"/>
      <c r="U414" s="303"/>
      <c r="V414" s="303"/>
      <c r="W414" s="303"/>
      <c r="X414" s="303"/>
      <c r="Y414" s="303"/>
      <c r="Z414" s="303"/>
      <c r="AA414" s="303"/>
      <c r="AB414" s="303"/>
      <c r="AC414" s="303"/>
      <c r="AD414" s="303"/>
      <c r="AE414" s="303"/>
      <c r="AF414" s="303"/>
      <c r="AG414" s="303"/>
    </row>
    <row r="415" spans="1:33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335"/>
      <c r="S415" s="335"/>
      <c r="T415" s="335"/>
      <c r="U415" s="303"/>
      <c r="V415" s="303"/>
      <c r="W415" s="303"/>
      <c r="X415" s="303"/>
      <c r="Y415" s="303"/>
      <c r="Z415" s="303"/>
      <c r="AA415" s="303"/>
      <c r="AB415" s="303"/>
      <c r="AC415" s="303"/>
      <c r="AD415" s="303"/>
      <c r="AE415" s="303"/>
      <c r="AF415" s="303"/>
      <c r="AG415" s="303"/>
    </row>
    <row r="416" spans="1:33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335"/>
      <c r="S416" s="335"/>
      <c r="T416" s="335"/>
      <c r="U416" s="303"/>
      <c r="V416" s="303"/>
      <c r="W416" s="303"/>
      <c r="X416" s="303"/>
      <c r="Y416" s="303"/>
      <c r="Z416" s="303"/>
      <c r="AA416" s="303"/>
      <c r="AB416" s="303"/>
      <c r="AC416" s="303"/>
      <c r="AD416" s="303"/>
      <c r="AE416" s="303"/>
      <c r="AF416" s="303"/>
      <c r="AG416" s="303"/>
    </row>
    <row r="417" spans="1:33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335"/>
      <c r="S417" s="335"/>
      <c r="T417" s="335"/>
      <c r="U417" s="303"/>
      <c r="V417" s="303"/>
      <c r="W417" s="303"/>
      <c r="X417" s="303"/>
      <c r="Y417" s="303"/>
      <c r="Z417" s="303"/>
      <c r="AA417" s="303"/>
      <c r="AB417" s="303"/>
      <c r="AC417" s="303"/>
      <c r="AD417" s="303"/>
      <c r="AE417" s="303"/>
      <c r="AF417" s="303"/>
      <c r="AG417" s="303"/>
    </row>
    <row r="418" spans="1:33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335"/>
      <c r="S418" s="335"/>
      <c r="T418" s="335"/>
      <c r="U418" s="303"/>
      <c r="V418" s="303"/>
      <c r="W418" s="303"/>
      <c r="X418" s="303"/>
      <c r="Y418" s="303"/>
      <c r="Z418" s="303"/>
      <c r="AA418" s="303"/>
      <c r="AB418" s="303"/>
      <c r="AC418" s="303"/>
      <c r="AD418" s="303"/>
      <c r="AE418" s="303"/>
      <c r="AF418" s="303"/>
      <c r="AG418" s="303"/>
    </row>
    <row r="419" spans="1:33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335"/>
      <c r="S419" s="335"/>
      <c r="T419" s="335"/>
      <c r="U419" s="303"/>
      <c r="V419" s="303"/>
      <c r="W419" s="303"/>
      <c r="X419" s="303"/>
      <c r="Y419" s="303"/>
      <c r="Z419" s="303"/>
      <c r="AA419" s="303"/>
      <c r="AB419" s="303"/>
      <c r="AC419" s="303"/>
      <c r="AD419" s="303"/>
      <c r="AE419" s="303"/>
      <c r="AF419" s="303"/>
      <c r="AG419" s="303"/>
    </row>
    <row r="420" spans="1:33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335"/>
      <c r="S420" s="335"/>
      <c r="T420" s="335"/>
      <c r="U420" s="303"/>
      <c r="V420" s="303"/>
      <c r="W420" s="303"/>
      <c r="X420" s="303"/>
      <c r="Y420" s="303"/>
      <c r="Z420" s="303"/>
      <c r="AA420" s="303"/>
      <c r="AB420" s="303"/>
      <c r="AC420" s="303"/>
      <c r="AD420" s="303"/>
      <c r="AE420" s="303"/>
      <c r="AF420" s="303"/>
      <c r="AG420" s="303"/>
    </row>
    <row r="421" spans="1:33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335"/>
      <c r="S421" s="335"/>
      <c r="T421" s="335"/>
      <c r="U421" s="303"/>
      <c r="V421" s="303"/>
      <c r="W421" s="303"/>
      <c r="X421" s="303"/>
      <c r="Y421" s="303"/>
      <c r="Z421" s="303"/>
      <c r="AA421" s="303"/>
      <c r="AB421" s="303"/>
      <c r="AC421" s="303"/>
      <c r="AD421" s="303"/>
      <c r="AE421" s="303"/>
      <c r="AF421" s="303"/>
      <c r="AG421" s="303"/>
    </row>
    <row r="422" spans="1:33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335"/>
      <c r="S422" s="335"/>
      <c r="T422" s="335"/>
      <c r="U422" s="303"/>
      <c r="V422" s="303"/>
      <c r="W422" s="303"/>
      <c r="X422" s="303"/>
      <c r="Y422" s="303"/>
      <c r="Z422" s="303"/>
      <c r="AA422" s="303"/>
      <c r="AB422" s="303"/>
      <c r="AC422" s="303"/>
      <c r="AD422" s="303"/>
      <c r="AE422" s="303"/>
      <c r="AF422" s="303"/>
      <c r="AG422" s="303"/>
    </row>
    <row r="423" spans="1:33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335"/>
      <c r="S423" s="335"/>
      <c r="T423" s="335"/>
      <c r="U423" s="303"/>
      <c r="V423" s="303"/>
      <c r="W423" s="303"/>
      <c r="X423" s="303"/>
      <c r="Y423" s="303"/>
      <c r="Z423" s="303"/>
      <c r="AA423" s="303"/>
      <c r="AB423" s="303"/>
      <c r="AC423" s="303"/>
      <c r="AD423" s="303"/>
      <c r="AE423" s="303"/>
      <c r="AF423" s="303"/>
      <c r="AG423" s="303"/>
    </row>
    <row r="424" spans="1:33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335"/>
      <c r="S424" s="335"/>
      <c r="T424" s="335"/>
      <c r="U424" s="303"/>
      <c r="V424" s="303"/>
      <c r="W424" s="303"/>
      <c r="X424" s="303"/>
      <c r="Y424" s="303"/>
      <c r="Z424" s="303"/>
      <c r="AA424" s="303"/>
      <c r="AB424" s="303"/>
      <c r="AC424" s="303"/>
      <c r="AD424" s="303"/>
      <c r="AE424" s="303"/>
      <c r="AF424" s="303"/>
      <c r="AG424" s="303"/>
    </row>
    <row r="425" spans="1:33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335"/>
      <c r="S425" s="335"/>
      <c r="T425" s="335"/>
      <c r="U425" s="303"/>
      <c r="V425" s="303"/>
      <c r="W425" s="303"/>
      <c r="X425" s="303"/>
      <c r="Y425" s="303"/>
      <c r="Z425" s="303"/>
      <c r="AA425" s="303"/>
      <c r="AB425" s="303"/>
      <c r="AC425" s="303"/>
      <c r="AD425" s="303"/>
      <c r="AE425" s="303"/>
      <c r="AF425" s="303"/>
      <c r="AG425" s="303"/>
    </row>
    <row r="426" spans="1:33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335"/>
      <c r="S426" s="335"/>
      <c r="T426" s="335"/>
      <c r="U426" s="303"/>
      <c r="V426" s="303"/>
      <c r="W426" s="303"/>
      <c r="X426" s="303"/>
      <c r="Y426" s="303"/>
      <c r="Z426" s="303"/>
      <c r="AA426" s="303"/>
      <c r="AB426" s="303"/>
      <c r="AC426" s="303"/>
      <c r="AD426" s="303"/>
      <c r="AE426" s="303"/>
      <c r="AF426" s="303"/>
      <c r="AG426" s="303"/>
    </row>
    <row r="427" spans="1:33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335"/>
      <c r="S427" s="335"/>
      <c r="T427" s="335"/>
      <c r="U427" s="303"/>
      <c r="V427" s="303"/>
      <c r="W427" s="303"/>
      <c r="X427" s="303"/>
      <c r="Y427" s="303"/>
      <c r="Z427" s="303"/>
      <c r="AA427" s="303"/>
      <c r="AB427" s="303"/>
      <c r="AC427" s="303"/>
      <c r="AD427" s="303"/>
      <c r="AE427" s="303"/>
      <c r="AF427" s="303"/>
      <c r="AG427" s="303"/>
    </row>
    <row r="428" spans="1:33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335"/>
      <c r="S428" s="335"/>
      <c r="T428" s="335"/>
      <c r="U428" s="303"/>
      <c r="V428" s="303"/>
      <c r="W428" s="303"/>
      <c r="X428" s="303"/>
      <c r="Y428" s="303"/>
      <c r="Z428" s="303"/>
      <c r="AA428" s="303"/>
      <c r="AB428" s="303"/>
      <c r="AC428" s="303"/>
      <c r="AD428" s="303"/>
      <c r="AE428" s="303"/>
      <c r="AF428" s="303"/>
      <c r="AG428" s="303"/>
    </row>
    <row r="429" spans="1:33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335"/>
      <c r="S429" s="335"/>
      <c r="T429" s="335"/>
      <c r="U429" s="303"/>
      <c r="V429" s="303"/>
      <c r="W429" s="303"/>
      <c r="X429" s="303"/>
      <c r="Y429" s="303"/>
      <c r="Z429" s="303"/>
      <c r="AA429" s="303"/>
      <c r="AB429" s="303"/>
      <c r="AC429" s="303"/>
      <c r="AD429" s="303"/>
      <c r="AE429" s="303"/>
      <c r="AF429" s="303"/>
      <c r="AG429" s="303"/>
    </row>
    <row r="430" spans="1:33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335"/>
      <c r="S430" s="335"/>
      <c r="T430" s="335"/>
      <c r="U430" s="303"/>
      <c r="V430" s="303"/>
      <c r="W430" s="303"/>
      <c r="X430" s="303"/>
      <c r="Y430" s="303"/>
      <c r="Z430" s="303"/>
      <c r="AA430" s="303"/>
      <c r="AB430" s="303"/>
      <c r="AC430" s="303"/>
      <c r="AD430" s="303"/>
      <c r="AE430" s="303"/>
      <c r="AF430" s="303"/>
      <c r="AG430" s="303"/>
    </row>
    <row r="431" spans="1:33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335"/>
      <c r="S431" s="335"/>
      <c r="T431" s="335"/>
      <c r="U431" s="303"/>
      <c r="V431" s="303"/>
      <c r="W431" s="303"/>
      <c r="X431" s="303"/>
      <c r="Y431" s="303"/>
      <c r="Z431" s="303"/>
      <c r="AA431" s="303"/>
      <c r="AB431" s="303"/>
      <c r="AC431" s="303"/>
      <c r="AD431" s="303"/>
      <c r="AE431" s="303"/>
      <c r="AF431" s="303"/>
      <c r="AG431" s="303"/>
    </row>
    <row r="432" spans="1:33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335"/>
      <c r="S432" s="335"/>
      <c r="T432" s="335"/>
      <c r="U432" s="303"/>
      <c r="V432" s="303"/>
      <c r="W432" s="303"/>
      <c r="X432" s="303"/>
      <c r="Y432" s="303"/>
      <c r="Z432" s="303"/>
      <c r="AA432" s="303"/>
      <c r="AB432" s="303"/>
      <c r="AC432" s="303"/>
      <c r="AD432" s="303"/>
      <c r="AE432" s="303"/>
      <c r="AF432" s="303"/>
      <c r="AG432" s="303"/>
    </row>
    <row r="433" spans="1:33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335"/>
      <c r="S433" s="335"/>
      <c r="T433" s="335"/>
      <c r="U433" s="303"/>
      <c r="V433" s="303"/>
      <c r="W433" s="303"/>
      <c r="X433" s="303"/>
      <c r="Y433" s="303"/>
      <c r="Z433" s="303"/>
      <c r="AA433" s="303"/>
      <c r="AB433" s="303"/>
      <c r="AC433" s="303"/>
      <c r="AD433" s="303"/>
      <c r="AE433" s="303"/>
      <c r="AF433" s="303"/>
      <c r="AG433" s="303"/>
    </row>
    <row r="434" spans="1:33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335"/>
      <c r="S434" s="335"/>
      <c r="T434" s="335"/>
      <c r="U434" s="303"/>
      <c r="V434" s="303"/>
      <c r="W434" s="303"/>
      <c r="X434" s="303"/>
      <c r="Y434" s="303"/>
      <c r="Z434" s="303"/>
      <c r="AA434" s="303"/>
      <c r="AB434" s="303"/>
      <c r="AC434" s="303"/>
      <c r="AD434" s="303"/>
      <c r="AE434" s="303"/>
      <c r="AF434" s="303"/>
      <c r="AG434" s="303"/>
    </row>
    <row r="435" spans="1:33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335"/>
      <c r="S435" s="335"/>
      <c r="T435" s="335"/>
      <c r="U435" s="303"/>
      <c r="V435" s="303"/>
      <c r="W435" s="303"/>
      <c r="X435" s="303"/>
      <c r="Y435" s="303"/>
      <c r="Z435" s="303"/>
      <c r="AA435" s="303"/>
      <c r="AB435" s="303"/>
      <c r="AC435" s="303"/>
      <c r="AD435" s="303"/>
      <c r="AE435" s="303"/>
      <c r="AF435" s="303"/>
      <c r="AG435" s="303"/>
    </row>
    <row r="436" spans="1:33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335"/>
      <c r="S436" s="335"/>
      <c r="T436" s="335"/>
      <c r="U436" s="303"/>
      <c r="V436" s="303"/>
      <c r="W436" s="303"/>
      <c r="X436" s="303"/>
      <c r="Y436" s="303"/>
      <c r="Z436" s="303"/>
      <c r="AA436" s="303"/>
      <c r="AB436" s="303"/>
      <c r="AC436" s="303"/>
      <c r="AD436" s="303"/>
      <c r="AE436" s="303"/>
      <c r="AF436" s="303"/>
      <c r="AG436" s="303"/>
    </row>
    <row r="437" spans="1:33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335"/>
      <c r="S437" s="335"/>
      <c r="T437" s="335"/>
      <c r="U437" s="303"/>
      <c r="V437" s="303"/>
      <c r="W437" s="303"/>
      <c r="X437" s="303"/>
      <c r="Y437" s="303"/>
      <c r="Z437" s="303"/>
      <c r="AA437" s="303"/>
      <c r="AB437" s="303"/>
      <c r="AC437" s="303"/>
      <c r="AD437" s="303"/>
      <c r="AE437" s="303"/>
      <c r="AF437" s="303"/>
      <c r="AG437" s="303"/>
    </row>
    <row r="438" spans="1:33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335"/>
      <c r="S438" s="335"/>
      <c r="T438" s="335"/>
      <c r="U438" s="303"/>
      <c r="V438" s="303"/>
      <c r="W438" s="303"/>
      <c r="X438" s="303"/>
      <c r="Y438" s="303"/>
      <c r="Z438" s="303"/>
      <c r="AA438" s="303"/>
      <c r="AB438" s="303"/>
      <c r="AC438" s="303"/>
      <c r="AD438" s="303"/>
      <c r="AE438" s="303"/>
      <c r="AF438" s="303"/>
      <c r="AG438" s="303"/>
    </row>
    <row r="439" spans="1:33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335"/>
      <c r="S439" s="335"/>
      <c r="T439" s="335"/>
      <c r="U439" s="303"/>
      <c r="V439" s="303"/>
      <c r="W439" s="303"/>
      <c r="X439" s="303"/>
      <c r="Y439" s="303"/>
      <c r="Z439" s="303"/>
      <c r="AA439" s="303"/>
      <c r="AB439" s="303"/>
      <c r="AC439" s="303"/>
      <c r="AD439" s="303"/>
      <c r="AE439" s="303"/>
      <c r="AF439" s="303"/>
      <c r="AG439" s="303"/>
    </row>
    <row r="440" spans="1:33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335"/>
      <c r="S440" s="335"/>
      <c r="T440" s="335"/>
      <c r="U440" s="303"/>
      <c r="V440" s="303"/>
      <c r="W440" s="303"/>
      <c r="X440" s="303"/>
      <c r="Y440" s="303"/>
      <c r="Z440" s="303"/>
      <c r="AA440" s="303"/>
      <c r="AB440" s="303"/>
      <c r="AC440" s="303"/>
      <c r="AD440" s="303"/>
      <c r="AE440" s="303"/>
      <c r="AF440" s="303"/>
      <c r="AG440" s="303"/>
    </row>
    <row r="441" spans="1:33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335"/>
      <c r="S441" s="335"/>
      <c r="T441" s="335"/>
      <c r="U441" s="303"/>
      <c r="V441" s="303"/>
      <c r="W441" s="303"/>
      <c r="X441" s="303"/>
      <c r="Y441" s="303"/>
      <c r="Z441" s="303"/>
      <c r="AA441" s="303"/>
      <c r="AB441" s="303"/>
      <c r="AC441" s="303"/>
      <c r="AD441" s="303"/>
      <c r="AE441" s="303"/>
      <c r="AF441" s="303"/>
      <c r="AG441" s="303"/>
    </row>
    <row r="442" spans="1:33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335"/>
      <c r="S442" s="335"/>
      <c r="T442" s="335"/>
      <c r="U442" s="303"/>
      <c r="V442" s="303"/>
      <c r="W442" s="303"/>
      <c r="X442" s="303"/>
      <c r="Y442" s="303"/>
      <c r="Z442" s="303"/>
      <c r="AA442" s="303"/>
      <c r="AB442" s="303"/>
      <c r="AC442" s="303"/>
      <c r="AD442" s="303"/>
      <c r="AE442" s="303"/>
      <c r="AF442" s="303"/>
      <c r="AG442" s="303"/>
    </row>
    <row r="443" spans="1:33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335"/>
      <c r="S443" s="335"/>
      <c r="T443" s="335"/>
      <c r="U443" s="303"/>
      <c r="V443" s="303"/>
      <c r="W443" s="303"/>
      <c r="X443" s="303"/>
      <c r="Y443" s="303"/>
      <c r="Z443" s="303"/>
      <c r="AA443" s="303"/>
      <c r="AB443" s="303"/>
      <c r="AC443" s="303"/>
      <c r="AD443" s="303"/>
      <c r="AE443" s="303"/>
      <c r="AF443" s="303"/>
      <c r="AG443" s="303"/>
    </row>
    <row r="444" spans="1:33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335"/>
      <c r="S444" s="335"/>
      <c r="T444" s="335"/>
      <c r="U444" s="303"/>
      <c r="V444" s="303"/>
      <c r="W444" s="303"/>
      <c r="X444" s="303"/>
      <c r="Y444" s="303"/>
      <c r="Z444" s="303"/>
      <c r="AA444" s="303"/>
      <c r="AB444" s="303"/>
      <c r="AC444" s="303"/>
      <c r="AD444" s="303"/>
      <c r="AE444" s="303"/>
      <c r="AF444" s="303"/>
      <c r="AG444" s="303"/>
    </row>
    <row r="445" spans="1:33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335"/>
      <c r="S445" s="335"/>
      <c r="T445" s="335"/>
      <c r="U445" s="303"/>
      <c r="V445" s="303"/>
      <c r="W445" s="303"/>
      <c r="X445" s="303"/>
      <c r="Y445" s="303"/>
      <c r="Z445" s="303"/>
      <c r="AA445" s="303"/>
      <c r="AB445" s="303"/>
      <c r="AC445" s="303"/>
      <c r="AD445" s="303"/>
      <c r="AE445" s="303"/>
      <c r="AF445" s="303"/>
      <c r="AG445" s="303"/>
    </row>
    <row r="446" spans="1:33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335"/>
      <c r="S446" s="335"/>
      <c r="T446" s="335"/>
      <c r="U446" s="303"/>
      <c r="V446" s="303"/>
      <c r="W446" s="303"/>
      <c r="X446" s="303"/>
      <c r="Y446" s="303"/>
      <c r="Z446" s="303"/>
      <c r="AA446" s="303"/>
      <c r="AB446" s="303"/>
      <c r="AC446" s="303"/>
      <c r="AD446" s="303"/>
      <c r="AE446" s="303"/>
      <c r="AF446" s="303"/>
      <c r="AG446" s="303"/>
    </row>
    <row r="447" spans="1:33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335"/>
      <c r="S447" s="335"/>
      <c r="T447" s="335"/>
      <c r="U447" s="303"/>
      <c r="V447" s="303"/>
      <c r="W447" s="303"/>
      <c r="X447" s="303"/>
      <c r="Y447" s="303"/>
      <c r="Z447" s="303"/>
      <c r="AA447" s="303"/>
      <c r="AB447" s="303"/>
      <c r="AC447" s="303"/>
      <c r="AD447" s="303"/>
      <c r="AE447" s="303"/>
      <c r="AF447" s="303"/>
      <c r="AG447" s="303"/>
    </row>
    <row r="448" spans="1:33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335"/>
      <c r="S448" s="335"/>
      <c r="T448" s="335"/>
      <c r="U448" s="303"/>
      <c r="V448" s="303"/>
      <c r="W448" s="303"/>
      <c r="X448" s="303"/>
      <c r="Y448" s="303"/>
      <c r="Z448" s="303"/>
      <c r="AA448" s="303"/>
      <c r="AB448" s="303"/>
      <c r="AC448" s="303"/>
      <c r="AD448" s="303"/>
      <c r="AE448" s="303"/>
      <c r="AF448" s="303"/>
      <c r="AG448" s="303"/>
    </row>
    <row r="449" spans="1:33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335"/>
      <c r="S449" s="335"/>
      <c r="T449" s="335"/>
      <c r="U449" s="303"/>
      <c r="V449" s="303"/>
      <c r="W449" s="303"/>
      <c r="X449" s="303"/>
      <c r="Y449" s="303"/>
      <c r="Z449" s="303"/>
      <c r="AA449" s="303"/>
      <c r="AB449" s="303"/>
      <c r="AC449" s="303"/>
      <c r="AD449" s="303"/>
      <c r="AE449" s="303"/>
      <c r="AF449" s="303"/>
      <c r="AG449" s="303"/>
    </row>
    <row r="450" spans="1:33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335"/>
      <c r="S450" s="335"/>
      <c r="T450" s="335"/>
      <c r="U450" s="303"/>
      <c r="V450" s="303"/>
      <c r="W450" s="303"/>
      <c r="X450" s="303"/>
      <c r="Y450" s="303"/>
      <c r="Z450" s="303"/>
      <c r="AA450" s="303"/>
      <c r="AB450" s="303"/>
      <c r="AC450" s="303"/>
      <c r="AD450" s="303"/>
      <c r="AE450" s="303"/>
      <c r="AF450" s="303"/>
      <c r="AG450" s="303"/>
    </row>
    <row r="451" spans="1:33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335"/>
      <c r="S451" s="335"/>
      <c r="T451" s="335"/>
      <c r="U451" s="303"/>
      <c r="V451" s="303"/>
      <c r="W451" s="303"/>
      <c r="X451" s="303"/>
      <c r="Y451" s="303"/>
      <c r="Z451" s="303"/>
      <c r="AA451" s="303"/>
      <c r="AB451" s="303"/>
      <c r="AC451" s="303"/>
      <c r="AD451" s="303"/>
      <c r="AE451" s="303"/>
      <c r="AF451" s="303"/>
      <c r="AG451" s="303"/>
    </row>
    <row r="452" spans="1:33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335"/>
      <c r="S452" s="335"/>
      <c r="T452" s="335"/>
      <c r="U452" s="303"/>
      <c r="V452" s="303"/>
      <c r="W452" s="303"/>
      <c r="X452" s="303"/>
      <c r="Y452" s="303"/>
      <c r="Z452" s="303"/>
      <c r="AA452" s="303"/>
      <c r="AB452" s="303"/>
      <c r="AC452" s="303"/>
      <c r="AD452" s="303"/>
      <c r="AE452" s="303"/>
      <c r="AF452" s="303"/>
      <c r="AG452" s="303"/>
    </row>
    <row r="453" spans="1:33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335"/>
      <c r="S453" s="335"/>
      <c r="T453" s="335"/>
      <c r="U453" s="303"/>
      <c r="V453" s="303"/>
      <c r="W453" s="303"/>
      <c r="X453" s="303"/>
      <c r="Y453" s="303"/>
      <c r="Z453" s="303"/>
      <c r="AA453" s="303"/>
      <c r="AB453" s="303"/>
      <c r="AC453" s="303"/>
      <c r="AD453" s="303"/>
      <c r="AE453" s="303"/>
      <c r="AF453" s="303"/>
      <c r="AG453" s="303"/>
    </row>
    <row r="454" spans="1:33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335"/>
      <c r="S454" s="335"/>
      <c r="T454" s="335"/>
      <c r="U454" s="303"/>
      <c r="V454" s="303"/>
      <c r="W454" s="303"/>
      <c r="X454" s="303"/>
      <c r="Y454" s="303"/>
      <c r="Z454" s="303"/>
      <c r="AA454" s="303"/>
      <c r="AB454" s="303"/>
      <c r="AC454" s="303"/>
      <c r="AD454" s="303"/>
      <c r="AE454" s="303"/>
      <c r="AF454" s="303"/>
      <c r="AG454" s="303"/>
    </row>
    <row r="455" spans="1:33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335"/>
      <c r="S455" s="335"/>
      <c r="T455" s="335"/>
      <c r="U455" s="303"/>
      <c r="V455" s="303"/>
      <c r="W455" s="303"/>
      <c r="X455" s="303"/>
      <c r="Y455" s="303"/>
      <c r="Z455" s="303"/>
      <c r="AA455" s="303"/>
      <c r="AB455" s="303"/>
      <c r="AC455" s="303"/>
      <c r="AD455" s="303"/>
      <c r="AE455" s="303"/>
      <c r="AF455" s="303"/>
      <c r="AG455" s="303"/>
    </row>
    <row r="456" spans="1:33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335"/>
      <c r="S456" s="335"/>
      <c r="T456" s="335"/>
      <c r="U456" s="303"/>
      <c r="V456" s="303"/>
      <c r="W456" s="303"/>
      <c r="X456" s="303"/>
      <c r="Y456" s="303"/>
      <c r="Z456" s="303"/>
      <c r="AA456" s="303"/>
      <c r="AB456" s="303"/>
      <c r="AC456" s="303"/>
      <c r="AD456" s="303"/>
      <c r="AE456" s="303"/>
      <c r="AF456" s="303"/>
      <c r="AG456" s="303"/>
    </row>
    <row r="457" spans="1:33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335"/>
      <c r="S457" s="335"/>
      <c r="T457" s="335"/>
      <c r="U457" s="303"/>
      <c r="V457" s="303"/>
      <c r="W457" s="303"/>
      <c r="X457" s="303"/>
      <c r="Y457" s="303"/>
      <c r="Z457" s="303"/>
      <c r="AA457" s="303"/>
      <c r="AB457" s="303"/>
      <c r="AC457" s="303"/>
      <c r="AD457" s="303"/>
      <c r="AE457" s="303"/>
      <c r="AF457" s="303"/>
      <c r="AG457" s="303"/>
    </row>
    <row r="458" spans="1:33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335"/>
      <c r="S458" s="335"/>
      <c r="T458" s="335"/>
      <c r="U458" s="303"/>
      <c r="V458" s="303"/>
      <c r="W458" s="303"/>
      <c r="X458" s="303"/>
      <c r="Y458" s="303"/>
      <c r="Z458" s="303"/>
      <c r="AA458" s="303"/>
      <c r="AB458" s="303"/>
      <c r="AC458" s="303"/>
      <c r="AD458" s="303"/>
      <c r="AE458" s="303"/>
      <c r="AF458" s="303"/>
      <c r="AG458" s="303"/>
    </row>
    <row r="459" spans="1:33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335"/>
      <c r="S459" s="335"/>
      <c r="T459" s="335"/>
      <c r="U459" s="303"/>
      <c r="V459" s="303"/>
      <c r="W459" s="303"/>
      <c r="X459" s="303"/>
      <c r="Y459" s="303"/>
      <c r="Z459" s="303"/>
      <c r="AA459" s="303"/>
      <c r="AB459" s="303"/>
      <c r="AC459" s="303"/>
      <c r="AD459" s="303"/>
      <c r="AE459" s="303"/>
      <c r="AF459" s="303"/>
      <c r="AG459" s="303"/>
    </row>
    <row r="460" spans="1:33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335"/>
      <c r="S460" s="335"/>
      <c r="T460" s="335"/>
      <c r="U460" s="303"/>
      <c r="V460" s="303"/>
      <c r="W460" s="303"/>
      <c r="X460" s="303"/>
      <c r="Y460" s="303"/>
      <c r="Z460" s="303"/>
      <c r="AA460" s="303"/>
      <c r="AB460" s="303"/>
      <c r="AC460" s="303"/>
      <c r="AD460" s="303"/>
      <c r="AE460" s="303"/>
      <c r="AF460" s="303"/>
      <c r="AG460" s="303"/>
    </row>
    <row r="461" spans="1:33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335"/>
      <c r="S461" s="335"/>
      <c r="T461" s="335"/>
      <c r="U461" s="303"/>
      <c r="V461" s="303"/>
      <c r="W461" s="303"/>
      <c r="X461" s="303"/>
      <c r="Y461" s="303"/>
      <c r="Z461" s="303"/>
      <c r="AA461" s="303"/>
      <c r="AB461" s="303"/>
      <c r="AC461" s="303"/>
      <c r="AD461" s="303"/>
      <c r="AE461" s="303"/>
      <c r="AF461" s="303"/>
      <c r="AG461" s="303"/>
    </row>
    <row r="462" spans="1:33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335"/>
      <c r="S462" s="335"/>
      <c r="T462" s="335"/>
      <c r="U462" s="303"/>
      <c r="V462" s="303"/>
      <c r="W462" s="303"/>
      <c r="X462" s="303"/>
      <c r="Y462" s="303"/>
      <c r="Z462" s="303"/>
      <c r="AA462" s="303"/>
      <c r="AB462" s="303"/>
      <c r="AC462" s="303"/>
      <c r="AD462" s="303"/>
      <c r="AE462" s="303"/>
      <c r="AF462" s="303"/>
      <c r="AG462" s="303"/>
    </row>
    <row r="463" spans="1:33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335"/>
      <c r="S463" s="335"/>
      <c r="T463" s="335"/>
      <c r="U463" s="303"/>
      <c r="V463" s="303"/>
      <c r="W463" s="303"/>
      <c r="X463" s="303"/>
      <c r="Y463" s="303"/>
      <c r="Z463" s="303"/>
      <c r="AA463" s="303"/>
      <c r="AB463" s="303"/>
      <c r="AC463" s="303"/>
      <c r="AD463" s="303"/>
      <c r="AE463" s="303"/>
      <c r="AF463" s="303"/>
      <c r="AG463" s="303"/>
    </row>
    <row r="464" spans="1:33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335"/>
      <c r="S464" s="335"/>
      <c r="T464" s="335"/>
      <c r="U464" s="303"/>
      <c r="V464" s="303"/>
      <c r="W464" s="303"/>
      <c r="X464" s="303"/>
      <c r="Y464" s="303"/>
      <c r="Z464" s="303"/>
      <c r="AA464" s="303"/>
      <c r="AB464" s="303"/>
      <c r="AC464" s="303"/>
      <c r="AD464" s="303"/>
      <c r="AE464" s="303"/>
      <c r="AF464" s="303"/>
      <c r="AG464" s="303"/>
    </row>
    <row r="465" spans="1:33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335"/>
      <c r="S465" s="335"/>
      <c r="T465" s="335"/>
      <c r="U465" s="303"/>
      <c r="V465" s="303"/>
      <c r="W465" s="303"/>
      <c r="X465" s="303"/>
      <c r="Y465" s="303"/>
      <c r="Z465" s="303"/>
      <c r="AA465" s="303"/>
      <c r="AB465" s="303"/>
      <c r="AC465" s="303"/>
      <c r="AD465" s="303"/>
      <c r="AE465" s="303"/>
      <c r="AF465" s="303"/>
      <c r="AG465" s="303"/>
    </row>
    <row r="466" spans="1:33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335"/>
      <c r="S466" s="335"/>
      <c r="T466" s="335"/>
      <c r="U466" s="303"/>
      <c r="V466" s="303"/>
      <c r="W466" s="303"/>
      <c r="X466" s="303"/>
      <c r="Y466" s="303"/>
      <c r="Z466" s="303"/>
      <c r="AA466" s="303"/>
      <c r="AB466" s="303"/>
      <c r="AC466" s="303"/>
      <c r="AD466" s="303"/>
      <c r="AE466" s="303"/>
      <c r="AF466" s="303"/>
      <c r="AG466" s="303"/>
    </row>
    <row r="467" spans="1:33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335"/>
      <c r="S467" s="335"/>
      <c r="T467" s="335"/>
      <c r="U467" s="303"/>
      <c r="V467" s="303"/>
      <c r="W467" s="303"/>
      <c r="X467" s="303"/>
      <c r="Y467" s="303"/>
      <c r="Z467" s="303"/>
      <c r="AA467" s="303"/>
      <c r="AB467" s="303"/>
      <c r="AC467" s="303"/>
      <c r="AD467" s="303"/>
      <c r="AE467" s="303"/>
      <c r="AF467" s="303"/>
      <c r="AG467" s="303"/>
    </row>
    <row r="468" spans="1:33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335"/>
      <c r="S468" s="335"/>
      <c r="T468" s="335"/>
      <c r="U468" s="303"/>
      <c r="V468" s="303"/>
      <c r="W468" s="303"/>
      <c r="X468" s="303"/>
      <c r="Y468" s="303"/>
      <c r="Z468" s="303"/>
      <c r="AA468" s="303"/>
      <c r="AB468" s="303"/>
      <c r="AC468" s="303"/>
      <c r="AD468" s="303"/>
      <c r="AE468" s="303"/>
      <c r="AF468" s="303"/>
      <c r="AG468" s="303"/>
    </row>
    <row r="469" spans="1:33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335"/>
      <c r="S469" s="335"/>
      <c r="T469" s="335"/>
      <c r="U469" s="303"/>
      <c r="V469" s="303"/>
      <c r="W469" s="303"/>
      <c r="X469" s="303"/>
      <c r="Y469" s="303"/>
      <c r="Z469" s="303"/>
      <c r="AA469" s="303"/>
      <c r="AB469" s="303"/>
      <c r="AC469" s="303"/>
      <c r="AD469" s="303"/>
      <c r="AE469" s="303"/>
      <c r="AF469" s="303"/>
      <c r="AG469" s="303"/>
    </row>
    <row r="470" spans="1:33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335"/>
      <c r="S470" s="335"/>
      <c r="T470" s="335"/>
      <c r="U470" s="303"/>
      <c r="V470" s="303"/>
      <c r="W470" s="303"/>
      <c r="X470" s="303"/>
      <c r="Y470" s="303"/>
      <c r="Z470" s="303"/>
      <c r="AA470" s="303"/>
      <c r="AB470" s="303"/>
      <c r="AC470" s="303"/>
      <c r="AD470" s="303"/>
      <c r="AE470" s="303"/>
      <c r="AF470" s="303"/>
      <c r="AG470" s="303"/>
    </row>
    <row r="471" spans="1:33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335"/>
      <c r="S471" s="335"/>
      <c r="T471" s="335"/>
      <c r="U471" s="303"/>
      <c r="V471" s="303"/>
      <c r="W471" s="303"/>
      <c r="X471" s="303"/>
      <c r="Y471" s="303"/>
      <c r="Z471" s="303"/>
      <c r="AA471" s="303"/>
      <c r="AB471" s="303"/>
      <c r="AC471" s="303"/>
      <c r="AD471" s="303"/>
      <c r="AE471" s="303"/>
      <c r="AF471" s="303"/>
      <c r="AG471" s="303"/>
    </row>
    <row r="472" spans="1:33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335"/>
      <c r="S472" s="335"/>
      <c r="T472" s="335"/>
      <c r="U472" s="303"/>
      <c r="V472" s="303"/>
      <c r="W472" s="303"/>
      <c r="X472" s="303"/>
      <c r="Y472" s="303"/>
      <c r="Z472" s="303"/>
      <c r="AA472" s="303"/>
      <c r="AB472" s="303"/>
      <c r="AC472" s="303"/>
      <c r="AD472" s="303"/>
      <c r="AE472" s="303"/>
      <c r="AF472" s="303"/>
      <c r="AG472" s="303"/>
    </row>
    <row r="473" spans="1:33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335"/>
      <c r="S473" s="335"/>
      <c r="T473" s="335"/>
      <c r="U473" s="303"/>
      <c r="V473" s="303"/>
      <c r="W473" s="303"/>
      <c r="X473" s="303"/>
      <c r="Y473" s="303"/>
      <c r="Z473" s="303"/>
      <c r="AA473" s="303"/>
      <c r="AB473" s="303"/>
      <c r="AC473" s="303"/>
      <c r="AD473" s="303"/>
      <c r="AE473" s="303"/>
      <c r="AF473" s="303"/>
      <c r="AG473" s="303"/>
    </row>
    <row r="474" spans="1:33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335"/>
      <c r="S474" s="335"/>
      <c r="T474" s="335"/>
      <c r="U474" s="303"/>
      <c r="V474" s="303"/>
      <c r="W474" s="303"/>
      <c r="X474" s="303"/>
      <c r="Y474" s="303"/>
      <c r="Z474" s="303"/>
      <c r="AA474" s="303"/>
      <c r="AB474" s="303"/>
      <c r="AC474" s="303"/>
      <c r="AD474" s="303"/>
      <c r="AE474" s="303"/>
      <c r="AF474" s="303"/>
      <c r="AG474" s="303"/>
    </row>
    <row r="475" spans="1:33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335"/>
      <c r="S475" s="335"/>
      <c r="T475" s="335"/>
      <c r="U475" s="303"/>
      <c r="V475" s="303"/>
      <c r="W475" s="303"/>
      <c r="X475" s="303"/>
      <c r="Y475" s="303"/>
      <c r="Z475" s="303"/>
      <c r="AA475" s="303"/>
      <c r="AB475" s="303"/>
      <c r="AC475" s="303"/>
      <c r="AD475" s="303"/>
      <c r="AE475" s="303"/>
      <c r="AF475" s="303"/>
      <c r="AG475" s="303"/>
    </row>
    <row r="476" spans="1:33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335"/>
      <c r="S476" s="335"/>
      <c r="T476" s="335"/>
      <c r="U476" s="303"/>
      <c r="V476" s="303"/>
      <c r="W476" s="303"/>
      <c r="X476" s="303"/>
      <c r="Y476" s="303"/>
      <c r="Z476" s="303"/>
      <c r="AA476" s="303"/>
      <c r="AB476" s="303"/>
      <c r="AC476" s="303"/>
      <c r="AD476" s="303"/>
      <c r="AE476" s="303"/>
      <c r="AF476" s="303"/>
      <c r="AG476" s="303"/>
    </row>
    <row r="477" spans="1:33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335"/>
      <c r="S477" s="335"/>
      <c r="T477" s="335"/>
      <c r="U477" s="303"/>
      <c r="V477" s="303"/>
      <c r="W477" s="303"/>
      <c r="X477" s="303"/>
      <c r="Y477" s="303"/>
      <c r="Z477" s="303"/>
      <c r="AA477" s="303"/>
      <c r="AB477" s="303"/>
      <c r="AC477" s="303"/>
      <c r="AD477" s="303"/>
      <c r="AE477" s="303"/>
      <c r="AF477" s="303"/>
      <c r="AG477" s="303"/>
    </row>
    <row r="478" spans="1:33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335"/>
      <c r="S478" s="335"/>
      <c r="T478" s="335"/>
      <c r="U478" s="303"/>
      <c r="V478" s="303"/>
      <c r="W478" s="303"/>
      <c r="X478" s="303"/>
      <c r="Y478" s="303"/>
      <c r="Z478" s="303"/>
      <c r="AA478" s="303"/>
      <c r="AB478" s="303"/>
      <c r="AC478" s="303"/>
      <c r="AD478" s="303"/>
      <c r="AE478" s="303"/>
      <c r="AF478" s="303"/>
      <c r="AG478" s="303"/>
    </row>
    <row r="479" spans="1:33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335"/>
      <c r="S479" s="335"/>
      <c r="T479" s="335"/>
      <c r="U479" s="303"/>
      <c r="V479" s="303"/>
      <c r="W479" s="303"/>
      <c r="X479" s="303"/>
      <c r="Y479" s="303"/>
      <c r="Z479" s="303"/>
      <c r="AA479" s="303"/>
      <c r="AB479" s="303"/>
      <c r="AC479" s="303"/>
      <c r="AD479" s="303"/>
      <c r="AE479" s="303"/>
      <c r="AF479" s="303"/>
      <c r="AG479" s="303"/>
    </row>
    <row r="480" spans="1:33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335"/>
      <c r="S480" s="335"/>
      <c r="T480" s="335"/>
      <c r="U480" s="303"/>
      <c r="V480" s="303"/>
      <c r="W480" s="303"/>
      <c r="X480" s="303"/>
      <c r="Y480" s="303"/>
      <c r="Z480" s="303"/>
      <c r="AA480" s="303"/>
      <c r="AB480" s="303"/>
      <c r="AC480" s="303"/>
      <c r="AD480" s="303"/>
      <c r="AE480" s="303"/>
      <c r="AF480" s="303"/>
      <c r="AG480" s="303"/>
    </row>
    <row r="481" spans="1:33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335"/>
      <c r="S481" s="335"/>
      <c r="T481" s="335"/>
      <c r="U481" s="303"/>
      <c r="V481" s="303"/>
      <c r="W481" s="303"/>
      <c r="X481" s="303"/>
      <c r="Y481" s="303"/>
      <c r="Z481" s="303"/>
      <c r="AA481" s="303"/>
      <c r="AB481" s="303"/>
      <c r="AC481" s="303"/>
      <c r="AD481" s="303"/>
      <c r="AE481" s="303"/>
      <c r="AF481" s="303"/>
      <c r="AG481" s="303"/>
    </row>
    <row r="482" spans="1:33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335"/>
      <c r="S482" s="335"/>
      <c r="T482" s="335"/>
      <c r="U482" s="303"/>
      <c r="V482" s="303"/>
      <c r="W482" s="303"/>
      <c r="X482" s="303"/>
      <c r="Y482" s="303"/>
      <c r="Z482" s="303"/>
      <c r="AA482" s="303"/>
      <c r="AB482" s="303"/>
      <c r="AC482" s="303"/>
      <c r="AD482" s="303"/>
      <c r="AE482" s="303"/>
      <c r="AF482" s="303"/>
      <c r="AG482" s="303"/>
    </row>
    <row r="483" spans="1:33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335"/>
      <c r="S483" s="335"/>
      <c r="T483" s="335"/>
      <c r="U483" s="303"/>
      <c r="V483" s="303"/>
      <c r="W483" s="303"/>
      <c r="X483" s="303"/>
      <c r="Y483" s="303"/>
      <c r="Z483" s="303"/>
      <c r="AA483" s="303"/>
      <c r="AB483" s="303"/>
      <c r="AC483" s="303"/>
      <c r="AD483" s="303"/>
      <c r="AE483" s="303"/>
      <c r="AF483" s="303"/>
      <c r="AG483" s="303"/>
    </row>
    <row r="484" spans="1:33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335"/>
      <c r="S484" s="335"/>
      <c r="T484" s="335"/>
      <c r="U484" s="303"/>
      <c r="V484" s="303"/>
      <c r="W484" s="303"/>
      <c r="X484" s="303"/>
      <c r="Y484" s="303"/>
      <c r="Z484" s="303"/>
      <c r="AA484" s="303"/>
      <c r="AB484" s="303"/>
      <c r="AC484" s="303"/>
      <c r="AD484" s="303"/>
      <c r="AE484" s="303"/>
      <c r="AF484" s="303"/>
      <c r="AG484" s="303"/>
    </row>
    <row r="485" spans="1:33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335"/>
      <c r="S485" s="335"/>
      <c r="T485" s="335"/>
      <c r="U485" s="303"/>
      <c r="V485" s="303"/>
      <c r="W485" s="303"/>
      <c r="X485" s="303"/>
      <c r="Y485" s="303"/>
      <c r="Z485" s="303"/>
      <c r="AA485" s="303"/>
      <c r="AB485" s="303"/>
      <c r="AC485" s="303"/>
      <c r="AD485" s="303"/>
      <c r="AE485" s="303"/>
      <c r="AF485" s="303"/>
      <c r="AG485" s="303"/>
    </row>
    <row r="486" spans="1:33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335"/>
      <c r="S486" s="335"/>
      <c r="T486" s="335"/>
      <c r="U486" s="303"/>
      <c r="V486" s="303"/>
      <c r="W486" s="303"/>
      <c r="X486" s="303"/>
      <c r="Y486" s="303"/>
      <c r="Z486" s="303"/>
      <c r="AA486" s="303"/>
      <c r="AB486" s="303"/>
      <c r="AC486" s="303"/>
      <c r="AD486" s="303"/>
      <c r="AE486" s="303"/>
      <c r="AF486" s="303"/>
      <c r="AG486" s="303"/>
    </row>
    <row r="487" spans="1:33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335"/>
      <c r="S487" s="335"/>
      <c r="T487" s="335"/>
      <c r="U487" s="303"/>
      <c r="V487" s="303"/>
      <c r="W487" s="303"/>
      <c r="X487" s="303"/>
      <c r="Y487" s="303"/>
      <c r="Z487" s="303"/>
      <c r="AA487" s="303"/>
      <c r="AB487" s="303"/>
      <c r="AC487" s="303"/>
      <c r="AD487" s="303"/>
      <c r="AE487" s="303"/>
      <c r="AF487" s="303"/>
      <c r="AG487" s="303"/>
    </row>
    <row r="488" spans="1:33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335"/>
      <c r="S488" s="335"/>
      <c r="T488" s="335"/>
      <c r="U488" s="303"/>
      <c r="V488" s="303"/>
      <c r="W488" s="303"/>
      <c r="X488" s="303"/>
      <c r="Y488" s="303"/>
      <c r="Z488" s="303"/>
      <c r="AA488" s="303"/>
      <c r="AB488" s="303"/>
      <c r="AC488" s="303"/>
      <c r="AD488" s="303"/>
      <c r="AE488" s="303"/>
      <c r="AF488" s="303"/>
      <c r="AG488" s="303"/>
    </row>
    <row r="489" spans="1:33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335"/>
      <c r="S489" s="335"/>
      <c r="T489" s="335"/>
      <c r="U489" s="303"/>
      <c r="V489" s="303"/>
      <c r="W489" s="303"/>
      <c r="X489" s="303"/>
      <c r="Y489" s="303"/>
      <c r="Z489" s="303"/>
      <c r="AA489" s="303"/>
      <c r="AB489" s="303"/>
      <c r="AC489" s="303"/>
      <c r="AD489" s="303"/>
      <c r="AE489" s="303"/>
      <c r="AF489" s="303"/>
      <c r="AG489" s="303"/>
    </row>
    <row r="490" spans="1:33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335"/>
      <c r="S490" s="335"/>
      <c r="T490" s="335"/>
      <c r="U490" s="303"/>
      <c r="V490" s="303"/>
      <c r="W490" s="303"/>
      <c r="X490" s="303"/>
      <c r="Y490" s="303"/>
      <c r="Z490" s="303"/>
      <c r="AA490" s="303"/>
      <c r="AB490" s="303"/>
      <c r="AC490" s="303"/>
      <c r="AD490" s="303"/>
      <c r="AE490" s="303"/>
      <c r="AF490" s="303"/>
      <c r="AG490" s="303"/>
    </row>
    <row r="491" spans="1:33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335"/>
      <c r="S491" s="335"/>
      <c r="T491" s="335"/>
      <c r="U491" s="303"/>
      <c r="V491" s="303"/>
      <c r="W491" s="303"/>
      <c r="X491" s="303"/>
      <c r="Y491" s="303"/>
      <c r="Z491" s="303"/>
      <c r="AA491" s="303"/>
      <c r="AB491" s="303"/>
      <c r="AC491" s="303"/>
      <c r="AD491" s="303"/>
      <c r="AE491" s="303"/>
      <c r="AF491" s="303"/>
      <c r="AG491" s="303"/>
    </row>
    <row r="492" spans="1:33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335"/>
      <c r="S492" s="335"/>
      <c r="T492" s="335"/>
      <c r="U492" s="303"/>
      <c r="V492" s="303"/>
      <c r="W492" s="303"/>
      <c r="X492" s="303"/>
      <c r="Y492" s="303"/>
      <c r="Z492" s="303"/>
      <c r="AA492" s="303"/>
      <c r="AB492" s="303"/>
      <c r="AC492" s="303"/>
      <c r="AD492" s="303"/>
      <c r="AE492" s="303"/>
      <c r="AF492" s="303"/>
      <c r="AG492" s="303"/>
    </row>
    <row r="493" spans="1:33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335"/>
      <c r="S493" s="335"/>
      <c r="T493" s="335"/>
      <c r="U493" s="303"/>
      <c r="V493" s="303"/>
      <c r="W493" s="303"/>
      <c r="X493" s="303"/>
      <c r="Y493" s="303"/>
      <c r="Z493" s="303"/>
      <c r="AA493" s="303"/>
      <c r="AB493" s="303"/>
      <c r="AC493" s="303"/>
      <c r="AD493" s="303"/>
      <c r="AE493" s="303"/>
      <c r="AF493" s="303"/>
      <c r="AG493" s="303"/>
    </row>
    <row r="494" spans="1:33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335"/>
      <c r="S494" s="335"/>
      <c r="T494" s="335"/>
      <c r="U494" s="303"/>
      <c r="V494" s="303"/>
      <c r="W494" s="303"/>
      <c r="X494" s="303"/>
      <c r="Y494" s="303"/>
      <c r="Z494" s="303"/>
      <c r="AA494" s="303"/>
      <c r="AB494" s="303"/>
      <c r="AC494" s="303"/>
      <c r="AD494" s="303"/>
      <c r="AE494" s="303"/>
      <c r="AF494" s="303"/>
      <c r="AG494" s="303"/>
    </row>
    <row r="495" spans="1:33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335"/>
      <c r="S495" s="335"/>
      <c r="T495" s="335"/>
      <c r="U495" s="303"/>
      <c r="V495" s="303"/>
      <c r="W495" s="303"/>
      <c r="X495" s="303"/>
      <c r="Y495" s="303"/>
      <c r="Z495" s="303"/>
      <c r="AA495" s="303"/>
      <c r="AB495" s="303"/>
      <c r="AC495" s="303"/>
      <c r="AD495" s="303"/>
      <c r="AE495" s="303"/>
      <c r="AF495" s="303"/>
      <c r="AG495" s="303"/>
    </row>
    <row r="496" spans="1:33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335"/>
      <c r="S496" s="335"/>
      <c r="T496" s="335"/>
      <c r="U496" s="303"/>
      <c r="V496" s="303"/>
      <c r="W496" s="303"/>
      <c r="X496" s="303"/>
      <c r="Y496" s="303"/>
      <c r="Z496" s="303"/>
      <c r="AA496" s="303"/>
      <c r="AB496" s="303"/>
      <c r="AC496" s="303"/>
      <c r="AD496" s="303"/>
      <c r="AE496" s="303"/>
      <c r="AF496" s="303"/>
      <c r="AG496" s="303"/>
    </row>
    <row r="497" spans="1:33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335"/>
      <c r="S497" s="335"/>
      <c r="T497" s="335"/>
      <c r="U497" s="303"/>
      <c r="V497" s="303"/>
      <c r="W497" s="303"/>
      <c r="X497" s="303"/>
      <c r="Y497" s="303"/>
      <c r="Z497" s="303"/>
      <c r="AA497" s="303"/>
      <c r="AB497" s="303"/>
      <c r="AC497" s="303"/>
      <c r="AD497" s="303"/>
      <c r="AE497" s="303"/>
      <c r="AF497" s="303"/>
      <c r="AG497" s="303"/>
    </row>
    <row r="498" spans="1:33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335"/>
      <c r="S498" s="335"/>
      <c r="T498" s="335"/>
      <c r="U498" s="303"/>
      <c r="V498" s="303"/>
      <c r="W498" s="303"/>
      <c r="X498" s="303"/>
      <c r="Y498" s="303"/>
      <c r="Z498" s="303"/>
      <c r="AA498" s="303"/>
      <c r="AB498" s="303"/>
      <c r="AC498" s="303"/>
      <c r="AD498" s="303"/>
      <c r="AE498" s="303"/>
      <c r="AF498" s="303"/>
      <c r="AG498" s="303"/>
    </row>
    <row r="499" spans="1:33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335"/>
      <c r="S499" s="335"/>
      <c r="T499" s="335"/>
      <c r="U499" s="303"/>
      <c r="V499" s="303"/>
      <c r="W499" s="303"/>
      <c r="X499" s="303"/>
      <c r="Y499" s="303"/>
      <c r="Z499" s="303"/>
      <c r="AA499" s="303"/>
      <c r="AB499" s="303"/>
      <c r="AC499" s="303"/>
      <c r="AD499" s="303"/>
      <c r="AE499" s="303"/>
      <c r="AF499" s="303"/>
      <c r="AG499" s="303"/>
    </row>
    <row r="500" spans="1:33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335"/>
      <c r="S500" s="335"/>
      <c r="T500" s="335"/>
      <c r="U500" s="303"/>
      <c r="V500" s="303"/>
      <c r="W500" s="303"/>
      <c r="X500" s="303"/>
      <c r="Y500" s="303"/>
      <c r="Z500" s="303"/>
      <c r="AA500" s="303"/>
      <c r="AB500" s="303"/>
      <c r="AC500" s="303"/>
      <c r="AD500" s="303"/>
      <c r="AE500" s="303"/>
      <c r="AF500" s="303"/>
      <c r="AG500" s="303"/>
    </row>
    <row r="501" spans="1:33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335"/>
      <c r="S501" s="335"/>
      <c r="T501" s="335"/>
      <c r="U501" s="303"/>
      <c r="V501" s="303"/>
      <c r="W501" s="303"/>
      <c r="X501" s="303"/>
      <c r="Y501" s="303"/>
      <c r="Z501" s="303"/>
      <c r="AA501" s="303"/>
      <c r="AB501" s="303"/>
      <c r="AC501" s="303"/>
      <c r="AD501" s="303"/>
      <c r="AE501" s="303"/>
      <c r="AF501" s="303"/>
      <c r="AG501" s="303"/>
    </row>
    <row r="502" spans="1:33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335"/>
      <c r="S502" s="335"/>
      <c r="T502" s="335"/>
      <c r="U502" s="303"/>
      <c r="V502" s="303"/>
      <c r="W502" s="303"/>
      <c r="X502" s="303"/>
      <c r="Y502" s="303"/>
      <c r="Z502" s="303"/>
      <c r="AA502" s="303"/>
      <c r="AB502" s="303"/>
      <c r="AC502" s="303"/>
      <c r="AD502" s="303"/>
      <c r="AE502" s="303"/>
      <c r="AF502" s="303"/>
      <c r="AG502" s="303"/>
    </row>
    <row r="503" spans="1:33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335"/>
      <c r="S503" s="335"/>
      <c r="T503" s="335"/>
      <c r="U503" s="303"/>
      <c r="V503" s="303"/>
      <c r="W503" s="303"/>
      <c r="X503" s="303"/>
      <c r="Y503" s="303"/>
      <c r="Z503" s="303"/>
      <c r="AA503" s="303"/>
      <c r="AB503" s="303"/>
      <c r="AC503" s="303"/>
      <c r="AD503" s="303"/>
      <c r="AE503" s="303"/>
      <c r="AF503" s="303"/>
      <c r="AG503" s="303"/>
    </row>
    <row r="504" spans="1:33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335"/>
      <c r="S504" s="335"/>
      <c r="T504" s="335"/>
      <c r="U504" s="303"/>
      <c r="V504" s="303"/>
      <c r="W504" s="303"/>
      <c r="X504" s="303"/>
      <c r="Y504" s="303"/>
      <c r="Z504" s="303"/>
      <c r="AA504" s="303"/>
      <c r="AB504" s="303"/>
      <c r="AC504" s="303"/>
      <c r="AD504" s="303"/>
      <c r="AE504" s="303"/>
      <c r="AF504" s="303"/>
      <c r="AG504" s="303"/>
    </row>
    <row r="505" spans="1:33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335"/>
      <c r="S505" s="335"/>
      <c r="T505" s="335"/>
      <c r="U505" s="303"/>
      <c r="V505" s="303"/>
      <c r="W505" s="303"/>
      <c r="X505" s="303"/>
      <c r="Y505" s="303"/>
      <c r="Z505" s="303"/>
      <c r="AA505" s="303"/>
      <c r="AB505" s="303"/>
      <c r="AC505" s="303"/>
      <c r="AD505" s="303"/>
      <c r="AE505" s="303"/>
      <c r="AF505" s="303"/>
      <c r="AG505" s="303"/>
    </row>
    <row r="506" spans="1:33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335"/>
      <c r="S506" s="335"/>
      <c r="T506" s="335"/>
      <c r="U506" s="303"/>
      <c r="V506" s="303"/>
      <c r="W506" s="303"/>
      <c r="X506" s="303"/>
      <c r="Y506" s="303"/>
      <c r="Z506" s="303"/>
      <c r="AA506" s="303"/>
      <c r="AB506" s="303"/>
      <c r="AC506" s="303"/>
      <c r="AD506" s="303"/>
      <c r="AE506" s="303"/>
      <c r="AF506" s="303"/>
      <c r="AG506" s="303"/>
    </row>
    <row r="507" spans="1:33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335"/>
      <c r="S507" s="335"/>
      <c r="T507" s="335"/>
      <c r="U507" s="303"/>
      <c r="V507" s="303"/>
      <c r="W507" s="303"/>
      <c r="X507" s="303"/>
      <c r="Y507" s="303"/>
      <c r="Z507" s="303"/>
      <c r="AA507" s="303"/>
      <c r="AB507" s="303"/>
      <c r="AC507" s="303"/>
      <c r="AD507" s="303"/>
      <c r="AE507" s="303"/>
      <c r="AF507" s="303"/>
      <c r="AG507" s="303"/>
    </row>
    <row r="508" spans="1:33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335"/>
      <c r="S508" s="335"/>
      <c r="T508" s="335"/>
      <c r="U508" s="303"/>
      <c r="V508" s="303"/>
      <c r="W508" s="303"/>
      <c r="X508" s="303"/>
      <c r="Y508" s="303"/>
      <c r="Z508" s="303"/>
      <c r="AA508" s="303"/>
      <c r="AB508" s="303"/>
      <c r="AC508" s="303"/>
      <c r="AD508" s="303"/>
      <c r="AE508" s="303"/>
      <c r="AF508" s="303"/>
      <c r="AG508" s="303"/>
    </row>
    <row r="509" spans="1:33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335"/>
      <c r="S509" s="335"/>
      <c r="T509" s="335"/>
      <c r="U509" s="303"/>
      <c r="V509" s="303"/>
      <c r="W509" s="303"/>
      <c r="X509" s="303"/>
      <c r="Y509" s="303"/>
      <c r="Z509" s="303"/>
      <c r="AA509" s="303"/>
      <c r="AB509" s="303"/>
      <c r="AC509" s="303"/>
      <c r="AD509" s="303"/>
      <c r="AE509" s="303"/>
      <c r="AF509" s="303"/>
      <c r="AG509" s="303"/>
    </row>
    <row r="510" spans="1:33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335"/>
      <c r="S510" s="335"/>
      <c r="T510" s="335"/>
      <c r="U510" s="303"/>
      <c r="V510" s="303"/>
      <c r="W510" s="303"/>
      <c r="X510" s="303"/>
      <c r="Y510" s="303"/>
      <c r="Z510" s="303"/>
      <c r="AA510" s="303"/>
      <c r="AB510" s="303"/>
      <c r="AC510" s="303"/>
      <c r="AD510" s="303"/>
      <c r="AE510" s="303"/>
      <c r="AF510" s="303"/>
      <c r="AG510" s="303"/>
    </row>
    <row r="511" spans="1:33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335"/>
      <c r="S511" s="335"/>
      <c r="T511" s="335"/>
      <c r="U511" s="303"/>
      <c r="V511" s="303"/>
      <c r="W511" s="303"/>
      <c r="X511" s="303"/>
      <c r="Y511" s="303"/>
      <c r="Z511" s="303"/>
      <c r="AA511" s="303"/>
      <c r="AB511" s="303"/>
      <c r="AC511" s="303"/>
      <c r="AD511" s="303"/>
      <c r="AE511" s="303"/>
      <c r="AF511" s="303"/>
      <c r="AG511" s="303"/>
    </row>
    <row r="512" spans="1:33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335"/>
      <c r="S512" s="335"/>
      <c r="T512" s="335"/>
      <c r="U512" s="303"/>
      <c r="V512" s="303"/>
      <c r="W512" s="303"/>
      <c r="X512" s="303"/>
      <c r="Y512" s="303"/>
      <c r="Z512" s="303"/>
      <c r="AA512" s="303"/>
      <c r="AB512" s="303"/>
      <c r="AC512" s="303"/>
      <c r="AD512" s="303"/>
      <c r="AE512" s="303"/>
      <c r="AF512" s="303"/>
      <c r="AG512" s="303"/>
    </row>
    <row r="513" spans="1:33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335"/>
      <c r="S513" s="335"/>
      <c r="T513" s="335"/>
      <c r="U513" s="303"/>
      <c r="V513" s="303"/>
      <c r="W513" s="303"/>
      <c r="X513" s="303"/>
      <c r="Y513" s="303"/>
      <c r="Z513" s="303"/>
      <c r="AA513" s="303"/>
      <c r="AB513" s="303"/>
      <c r="AC513" s="303"/>
      <c r="AD513" s="303"/>
      <c r="AE513" s="303"/>
      <c r="AF513" s="303"/>
      <c r="AG513" s="303"/>
    </row>
    <row r="514" spans="1:33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335"/>
      <c r="S514" s="335"/>
      <c r="T514" s="335"/>
      <c r="U514" s="303"/>
      <c r="V514" s="303"/>
      <c r="W514" s="303"/>
      <c r="X514" s="303"/>
      <c r="Y514" s="303"/>
      <c r="Z514" s="303"/>
      <c r="AA514" s="303"/>
      <c r="AB514" s="303"/>
      <c r="AC514" s="303"/>
      <c r="AD514" s="303"/>
      <c r="AE514" s="303"/>
      <c r="AF514" s="303"/>
      <c r="AG514" s="303"/>
    </row>
    <row r="515" spans="1:33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335"/>
      <c r="S515" s="335"/>
      <c r="T515" s="335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</row>
    <row r="516" spans="1:33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335"/>
      <c r="S516" s="335"/>
      <c r="T516" s="335"/>
      <c r="U516" s="303"/>
      <c r="V516" s="303"/>
      <c r="W516" s="303"/>
      <c r="X516" s="303"/>
      <c r="Y516" s="303"/>
      <c r="Z516" s="303"/>
      <c r="AA516" s="303"/>
      <c r="AB516" s="303"/>
      <c r="AC516" s="303"/>
      <c r="AD516" s="303"/>
      <c r="AE516" s="303"/>
      <c r="AF516" s="303"/>
      <c r="AG516" s="303"/>
    </row>
    <row r="517" spans="1:33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335"/>
      <c r="S517" s="335"/>
      <c r="T517" s="335"/>
      <c r="U517" s="303"/>
      <c r="V517" s="303"/>
      <c r="W517" s="303"/>
      <c r="X517" s="303"/>
      <c r="Y517" s="303"/>
      <c r="Z517" s="303"/>
      <c r="AA517" s="303"/>
      <c r="AB517" s="303"/>
      <c r="AC517" s="303"/>
      <c r="AD517" s="303"/>
      <c r="AE517" s="303"/>
      <c r="AF517" s="303"/>
      <c r="AG517" s="303"/>
    </row>
    <row r="518" spans="1:33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335"/>
      <c r="S518" s="335"/>
      <c r="T518" s="335"/>
      <c r="U518" s="303"/>
      <c r="V518" s="303"/>
      <c r="W518" s="303"/>
      <c r="X518" s="303"/>
      <c r="Y518" s="303"/>
      <c r="Z518" s="303"/>
      <c r="AA518" s="303"/>
      <c r="AB518" s="303"/>
      <c r="AC518" s="303"/>
      <c r="AD518" s="303"/>
      <c r="AE518" s="303"/>
      <c r="AF518" s="303"/>
      <c r="AG518" s="303"/>
    </row>
    <row r="519" spans="1:33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335"/>
      <c r="S519" s="335"/>
      <c r="T519" s="335"/>
      <c r="U519" s="303"/>
      <c r="V519" s="303"/>
      <c r="W519" s="303"/>
      <c r="X519" s="303"/>
      <c r="Y519" s="303"/>
      <c r="Z519" s="303"/>
      <c r="AA519" s="303"/>
      <c r="AB519" s="303"/>
      <c r="AC519" s="303"/>
      <c r="AD519" s="303"/>
      <c r="AE519" s="303"/>
      <c r="AF519" s="303"/>
      <c r="AG519" s="303"/>
    </row>
    <row r="520" spans="1:33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335"/>
      <c r="S520" s="335"/>
      <c r="T520" s="335"/>
      <c r="U520" s="303"/>
      <c r="V520" s="303"/>
      <c r="W520" s="303"/>
      <c r="X520" s="303"/>
      <c r="Y520" s="303"/>
      <c r="Z520" s="303"/>
      <c r="AA520" s="303"/>
      <c r="AB520" s="303"/>
      <c r="AC520" s="303"/>
      <c r="AD520" s="303"/>
      <c r="AE520" s="303"/>
      <c r="AF520" s="303"/>
      <c r="AG520" s="303"/>
    </row>
    <row r="521" spans="1:33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335"/>
      <c r="S521" s="335"/>
      <c r="T521" s="335"/>
      <c r="U521" s="303"/>
      <c r="V521" s="303"/>
      <c r="W521" s="303"/>
      <c r="X521" s="303"/>
      <c r="Y521" s="303"/>
      <c r="Z521" s="303"/>
      <c r="AA521" s="303"/>
      <c r="AB521" s="303"/>
      <c r="AC521" s="303"/>
      <c r="AD521" s="303"/>
      <c r="AE521" s="303"/>
      <c r="AF521" s="303"/>
      <c r="AG521" s="303"/>
    </row>
    <row r="522" spans="1:33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335"/>
      <c r="S522" s="335"/>
      <c r="T522" s="335"/>
      <c r="U522" s="303"/>
      <c r="V522" s="303"/>
      <c r="W522" s="303"/>
      <c r="X522" s="303"/>
      <c r="Y522" s="303"/>
      <c r="Z522" s="303"/>
      <c r="AA522" s="303"/>
      <c r="AB522" s="303"/>
      <c r="AC522" s="303"/>
      <c r="AD522" s="303"/>
      <c r="AE522" s="303"/>
      <c r="AF522" s="303"/>
      <c r="AG522" s="303"/>
    </row>
    <row r="523" spans="1:33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335"/>
      <c r="S523" s="335"/>
      <c r="T523" s="335"/>
      <c r="U523" s="303"/>
      <c r="V523" s="303"/>
      <c r="W523" s="303"/>
      <c r="X523" s="303"/>
      <c r="Y523" s="303"/>
      <c r="Z523" s="303"/>
      <c r="AA523" s="303"/>
      <c r="AB523" s="303"/>
      <c r="AC523" s="303"/>
      <c r="AD523" s="303"/>
      <c r="AE523" s="303"/>
      <c r="AF523" s="303"/>
      <c r="AG523" s="303"/>
    </row>
    <row r="524" spans="1:33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335"/>
      <c r="S524" s="335"/>
      <c r="T524" s="335"/>
      <c r="U524" s="303"/>
      <c r="V524" s="303"/>
      <c r="W524" s="303"/>
      <c r="X524" s="303"/>
      <c r="Y524" s="303"/>
      <c r="Z524" s="303"/>
      <c r="AA524" s="303"/>
      <c r="AB524" s="303"/>
      <c r="AC524" s="303"/>
      <c r="AD524" s="303"/>
      <c r="AE524" s="303"/>
      <c r="AF524" s="303"/>
      <c r="AG524" s="303"/>
    </row>
    <row r="525" spans="1:33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335"/>
      <c r="S525" s="335"/>
      <c r="T525" s="335"/>
      <c r="U525" s="303"/>
      <c r="V525" s="303"/>
      <c r="W525" s="303"/>
      <c r="X525" s="303"/>
      <c r="Y525" s="303"/>
      <c r="Z525" s="303"/>
      <c r="AA525" s="303"/>
      <c r="AB525" s="303"/>
      <c r="AC525" s="303"/>
      <c r="AD525" s="303"/>
      <c r="AE525" s="303"/>
      <c r="AF525" s="303"/>
      <c r="AG525" s="303"/>
    </row>
    <row r="526" spans="1:33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335"/>
      <c r="S526" s="335"/>
      <c r="T526" s="335"/>
      <c r="U526" s="303"/>
      <c r="V526" s="303"/>
      <c r="W526" s="303"/>
      <c r="X526" s="303"/>
      <c r="Y526" s="303"/>
      <c r="Z526" s="303"/>
      <c r="AA526" s="303"/>
      <c r="AB526" s="303"/>
      <c r="AC526" s="303"/>
      <c r="AD526" s="303"/>
      <c r="AE526" s="303"/>
      <c r="AF526" s="303"/>
      <c r="AG526" s="303"/>
    </row>
    <row r="527" spans="1:33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335"/>
      <c r="S527" s="335"/>
      <c r="T527" s="335"/>
      <c r="U527" s="303"/>
      <c r="V527" s="303"/>
      <c r="W527" s="303"/>
      <c r="X527" s="303"/>
      <c r="Y527" s="303"/>
      <c r="Z527" s="303"/>
      <c r="AA527" s="303"/>
      <c r="AB527" s="303"/>
      <c r="AC527" s="303"/>
      <c r="AD527" s="303"/>
      <c r="AE527" s="303"/>
      <c r="AF527" s="303"/>
      <c r="AG527" s="303"/>
    </row>
    <row r="528" spans="1:33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335"/>
      <c r="S528" s="335"/>
      <c r="T528" s="335"/>
      <c r="U528" s="303"/>
      <c r="V528" s="303"/>
      <c r="W528" s="303"/>
      <c r="X528" s="303"/>
      <c r="Y528" s="303"/>
      <c r="Z528" s="303"/>
      <c r="AA528" s="303"/>
      <c r="AB528" s="303"/>
      <c r="AC528" s="303"/>
      <c r="AD528" s="303"/>
      <c r="AE528" s="303"/>
      <c r="AF528" s="303"/>
      <c r="AG528" s="303"/>
    </row>
    <row r="529" spans="1:33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335"/>
      <c r="S529" s="335"/>
      <c r="T529" s="335"/>
      <c r="U529" s="303"/>
      <c r="V529" s="303"/>
      <c r="W529" s="303"/>
      <c r="X529" s="303"/>
      <c r="Y529" s="303"/>
      <c r="Z529" s="303"/>
      <c r="AA529" s="303"/>
      <c r="AB529" s="303"/>
      <c r="AC529" s="303"/>
      <c r="AD529" s="303"/>
      <c r="AE529" s="303"/>
      <c r="AF529" s="303"/>
      <c r="AG529" s="303"/>
    </row>
    <row r="530" spans="1:33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335"/>
      <c r="S530" s="335"/>
      <c r="T530" s="335"/>
      <c r="U530" s="303"/>
      <c r="V530" s="303"/>
      <c r="W530" s="303"/>
      <c r="X530" s="303"/>
      <c r="Y530" s="303"/>
      <c r="Z530" s="303"/>
      <c r="AA530" s="303"/>
      <c r="AB530" s="303"/>
      <c r="AC530" s="303"/>
      <c r="AD530" s="303"/>
      <c r="AE530" s="303"/>
      <c r="AF530" s="303"/>
      <c r="AG530" s="303"/>
    </row>
    <row r="531" spans="1:33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335"/>
      <c r="S531" s="335"/>
      <c r="T531" s="335"/>
      <c r="U531" s="303"/>
      <c r="V531" s="303"/>
      <c r="W531" s="303"/>
      <c r="X531" s="303"/>
      <c r="Y531" s="303"/>
      <c r="Z531" s="303"/>
      <c r="AA531" s="303"/>
      <c r="AB531" s="303"/>
      <c r="AC531" s="303"/>
      <c r="AD531" s="303"/>
      <c r="AE531" s="303"/>
      <c r="AF531" s="303"/>
      <c r="AG531" s="303"/>
    </row>
    <row r="532" spans="1:33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335"/>
      <c r="S532" s="335"/>
      <c r="T532" s="335"/>
      <c r="U532" s="303"/>
      <c r="V532" s="303"/>
      <c r="W532" s="303"/>
      <c r="X532" s="303"/>
      <c r="Y532" s="303"/>
      <c r="Z532" s="303"/>
      <c r="AA532" s="303"/>
      <c r="AB532" s="303"/>
      <c r="AC532" s="303"/>
      <c r="AD532" s="303"/>
      <c r="AE532" s="303"/>
      <c r="AF532" s="303"/>
      <c r="AG532" s="303"/>
    </row>
    <row r="533" spans="1:33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335"/>
      <c r="S533" s="335"/>
      <c r="T533" s="335"/>
      <c r="U533" s="303"/>
      <c r="V533" s="303"/>
      <c r="W533" s="303"/>
      <c r="X533" s="303"/>
      <c r="Y533" s="303"/>
      <c r="Z533" s="303"/>
      <c r="AA533" s="303"/>
      <c r="AB533" s="303"/>
      <c r="AC533" s="303"/>
      <c r="AD533" s="303"/>
      <c r="AE533" s="303"/>
      <c r="AF533" s="303"/>
      <c r="AG533" s="303"/>
    </row>
    <row r="534" spans="1:33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335"/>
      <c r="S534" s="335"/>
      <c r="T534" s="335"/>
      <c r="U534" s="303"/>
      <c r="V534" s="303"/>
      <c r="W534" s="303"/>
      <c r="X534" s="303"/>
      <c r="Y534" s="303"/>
      <c r="Z534" s="303"/>
      <c r="AA534" s="303"/>
      <c r="AB534" s="303"/>
      <c r="AC534" s="303"/>
      <c r="AD534" s="303"/>
      <c r="AE534" s="303"/>
      <c r="AF534" s="303"/>
      <c r="AG534" s="303"/>
    </row>
    <row r="535" spans="1:33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335"/>
      <c r="S535" s="335"/>
      <c r="T535" s="335"/>
      <c r="U535" s="303"/>
      <c r="V535" s="303"/>
      <c r="W535" s="303"/>
      <c r="X535" s="303"/>
      <c r="Y535" s="303"/>
      <c r="Z535" s="303"/>
      <c r="AA535" s="303"/>
      <c r="AB535" s="303"/>
      <c r="AC535" s="303"/>
      <c r="AD535" s="303"/>
      <c r="AE535" s="303"/>
      <c r="AF535" s="303"/>
      <c r="AG535" s="303"/>
    </row>
    <row r="536" spans="1:33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335"/>
      <c r="S536" s="335"/>
      <c r="T536" s="335"/>
      <c r="U536" s="303"/>
      <c r="V536" s="303"/>
      <c r="W536" s="303"/>
      <c r="X536" s="303"/>
      <c r="Y536" s="303"/>
      <c r="Z536" s="303"/>
      <c r="AA536" s="303"/>
      <c r="AB536" s="303"/>
      <c r="AC536" s="303"/>
      <c r="AD536" s="303"/>
      <c r="AE536" s="303"/>
      <c r="AF536" s="303"/>
      <c r="AG536" s="303"/>
    </row>
    <row r="537" spans="1:33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335"/>
      <c r="S537" s="335"/>
      <c r="T537" s="335"/>
      <c r="U537" s="303"/>
      <c r="V537" s="303"/>
      <c r="W537" s="303"/>
      <c r="X537" s="303"/>
      <c r="Y537" s="303"/>
      <c r="Z537" s="303"/>
      <c r="AA537" s="303"/>
      <c r="AB537" s="303"/>
      <c r="AC537" s="303"/>
      <c r="AD537" s="303"/>
      <c r="AE537" s="303"/>
      <c r="AF537" s="303"/>
      <c r="AG537" s="303"/>
    </row>
    <row r="538" spans="1:33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335"/>
      <c r="S538" s="335"/>
      <c r="T538" s="335"/>
      <c r="U538" s="303"/>
      <c r="V538" s="303"/>
      <c r="W538" s="303"/>
      <c r="X538" s="303"/>
      <c r="Y538" s="303"/>
      <c r="Z538" s="303"/>
      <c r="AA538" s="303"/>
      <c r="AB538" s="303"/>
      <c r="AC538" s="303"/>
      <c r="AD538" s="303"/>
      <c r="AE538" s="303"/>
      <c r="AF538" s="303"/>
      <c r="AG538" s="303"/>
    </row>
    <row r="539" spans="1:33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335"/>
      <c r="S539" s="335"/>
      <c r="T539" s="335"/>
      <c r="U539" s="303"/>
      <c r="V539" s="303"/>
      <c r="W539" s="303"/>
      <c r="X539" s="303"/>
      <c r="Y539" s="303"/>
      <c r="Z539" s="303"/>
      <c r="AA539" s="303"/>
      <c r="AB539" s="303"/>
      <c r="AC539" s="303"/>
      <c r="AD539" s="303"/>
      <c r="AE539" s="303"/>
      <c r="AF539" s="303"/>
      <c r="AG539" s="303"/>
    </row>
    <row r="540" spans="1:33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335"/>
      <c r="S540" s="335"/>
      <c r="T540" s="335"/>
      <c r="U540" s="303"/>
      <c r="V540" s="303"/>
      <c r="W540" s="303"/>
      <c r="X540" s="303"/>
      <c r="Y540" s="303"/>
      <c r="Z540" s="303"/>
      <c r="AA540" s="303"/>
      <c r="AB540" s="303"/>
      <c r="AC540" s="303"/>
      <c r="AD540" s="303"/>
      <c r="AE540" s="303"/>
      <c r="AF540" s="303"/>
      <c r="AG540" s="303"/>
    </row>
    <row r="541" spans="1:33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335"/>
      <c r="S541" s="335"/>
      <c r="T541" s="335"/>
      <c r="U541" s="303"/>
      <c r="V541" s="303"/>
      <c r="W541" s="303"/>
      <c r="X541" s="303"/>
      <c r="Y541" s="303"/>
      <c r="Z541" s="303"/>
      <c r="AA541" s="303"/>
      <c r="AB541" s="303"/>
      <c r="AC541" s="303"/>
      <c r="AD541" s="303"/>
      <c r="AE541" s="303"/>
      <c r="AF541" s="303"/>
      <c r="AG541" s="303"/>
    </row>
    <row r="542" spans="1:33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335"/>
      <c r="S542" s="335"/>
      <c r="T542" s="335"/>
      <c r="U542" s="303"/>
      <c r="V542" s="303"/>
      <c r="W542" s="303"/>
      <c r="X542" s="303"/>
      <c r="Y542" s="303"/>
      <c r="Z542" s="303"/>
      <c r="AA542" s="303"/>
      <c r="AB542" s="303"/>
      <c r="AC542" s="303"/>
      <c r="AD542" s="303"/>
      <c r="AE542" s="303"/>
      <c r="AF542" s="303"/>
      <c r="AG542" s="303"/>
    </row>
    <row r="543" spans="1:33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335"/>
      <c r="S543" s="335"/>
      <c r="T543" s="335"/>
      <c r="U543" s="303"/>
      <c r="V543" s="303"/>
      <c r="W543" s="303"/>
      <c r="X543" s="303"/>
      <c r="Y543" s="303"/>
      <c r="Z543" s="303"/>
      <c r="AA543" s="303"/>
      <c r="AB543" s="303"/>
      <c r="AC543" s="303"/>
      <c r="AD543" s="303"/>
      <c r="AE543" s="303"/>
      <c r="AF543" s="303"/>
      <c r="AG543" s="303"/>
    </row>
    <row r="544" spans="1:33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335"/>
      <c r="S544" s="335"/>
      <c r="T544" s="335"/>
      <c r="U544" s="303"/>
      <c r="V544" s="303"/>
      <c r="W544" s="303"/>
      <c r="X544" s="303"/>
      <c r="Y544" s="303"/>
      <c r="Z544" s="303"/>
      <c r="AA544" s="303"/>
      <c r="AB544" s="303"/>
      <c r="AC544" s="303"/>
      <c r="AD544" s="303"/>
      <c r="AE544" s="303"/>
      <c r="AF544" s="303"/>
      <c r="AG544" s="303"/>
    </row>
    <row r="545" spans="1:33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335"/>
      <c r="S545" s="335"/>
      <c r="T545" s="335"/>
      <c r="U545" s="303"/>
      <c r="V545" s="303"/>
      <c r="W545" s="303"/>
      <c r="X545" s="303"/>
      <c r="Y545" s="303"/>
      <c r="Z545" s="303"/>
      <c r="AA545" s="303"/>
      <c r="AB545" s="303"/>
      <c r="AC545" s="303"/>
      <c r="AD545" s="303"/>
      <c r="AE545" s="303"/>
      <c r="AF545" s="303"/>
      <c r="AG545" s="303"/>
    </row>
    <row r="546" spans="1:33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335"/>
      <c r="S546" s="335"/>
      <c r="T546" s="335"/>
      <c r="U546" s="303"/>
      <c r="V546" s="303"/>
      <c r="W546" s="303"/>
      <c r="X546" s="303"/>
      <c r="Y546" s="303"/>
      <c r="Z546" s="303"/>
      <c r="AA546" s="303"/>
      <c r="AB546" s="303"/>
      <c r="AC546" s="303"/>
      <c r="AD546" s="303"/>
      <c r="AE546" s="303"/>
      <c r="AF546" s="303"/>
      <c r="AG546" s="303"/>
    </row>
    <row r="547" spans="1:33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335"/>
      <c r="S547" s="335"/>
      <c r="T547" s="335"/>
      <c r="U547" s="303"/>
      <c r="V547" s="303"/>
      <c r="W547" s="303"/>
      <c r="X547" s="303"/>
      <c r="Y547" s="303"/>
      <c r="Z547" s="303"/>
      <c r="AA547" s="303"/>
      <c r="AB547" s="303"/>
      <c r="AC547" s="303"/>
      <c r="AD547" s="303"/>
      <c r="AE547" s="303"/>
      <c r="AF547" s="303"/>
      <c r="AG547" s="303"/>
    </row>
    <row r="548" spans="1:33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335"/>
      <c r="S548" s="335"/>
      <c r="T548" s="335"/>
      <c r="U548" s="303"/>
      <c r="V548" s="303"/>
      <c r="W548" s="303"/>
      <c r="X548" s="303"/>
      <c r="Y548" s="303"/>
      <c r="Z548" s="303"/>
      <c r="AA548" s="303"/>
      <c r="AB548" s="303"/>
      <c r="AC548" s="303"/>
      <c r="AD548" s="303"/>
      <c r="AE548" s="303"/>
      <c r="AF548" s="303"/>
      <c r="AG548" s="303"/>
    </row>
    <row r="549" spans="1:33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335"/>
      <c r="S549" s="335"/>
      <c r="T549" s="335"/>
      <c r="U549" s="303"/>
      <c r="V549" s="303"/>
      <c r="W549" s="303"/>
      <c r="X549" s="303"/>
      <c r="Y549" s="303"/>
      <c r="Z549" s="303"/>
      <c r="AA549" s="303"/>
      <c r="AB549" s="303"/>
      <c r="AC549" s="303"/>
      <c r="AD549" s="303"/>
      <c r="AE549" s="303"/>
      <c r="AF549" s="303"/>
      <c r="AG549" s="303"/>
    </row>
    <row r="550" spans="1:33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335"/>
      <c r="S550" s="335"/>
      <c r="T550" s="335"/>
      <c r="U550" s="303"/>
      <c r="V550" s="303"/>
      <c r="W550" s="303"/>
      <c r="X550" s="303"/>
      <c r="Y550" s="303"/>
      <c r="Z550" s="303"/>
      <c r="AA550" s="303"/>
      <c r="AB550" s="303"/>
      <c r="AC550" s="303"/>
      <c r="AD550" s="303"/>
      <c r="AE550" s="303"/>
      <c r="AF550" s="303"/>
      <c r="AG550" s="303"/>
    </row>
    <row r="551" spans="1:33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335"/>
      <c r="S551" s="335"/>
      <c r="T551" s="335"/>
      <c r="U551" s="303"/>
      <c r="V551" s="303"/>
      <c r="W551" s="303"/>
      <c r="X551" s="303"/>
      <c r="Y551" s="303"/>
      <c r="Z551" s="303"/>
      <c r="AA551" s="303"/>
      <c r="AB551" s="303"/>
      <c r="AC551" s="303"/>
      <c r="AD551" s="303"/>
      <c r="AE551" s="303"/>
      <c r="AF551" s="303"/>
      <c r="AG551" s="303"/>
    </row>
    <row r="552" spans="1:33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335"/>
      <c r="S552" s="335"/>
      <c r="T552" s="335"/>
      <c r="U552" s="303"/>
      <c r="V552" s="303"/>
      <c r="W552" s="303"/>
      <c r="X552" s="303"/>
      <c r="Y552" s="303"/>
      <c r="Z552" s="303"/>
      <c r="AA552" s="303"/>
      <c r="AB552" s="303"/>
      <c r="AC552" s="303"/>
      <c r="AD552" s="303"/>
      <c r="AE552" s="303"/>
      <c r="AF552" s="303"/>
      <c r="AG552" s="303"/>
    </row>
    <row r="553" spans="1:33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335"/>
      <c r="S553" s="335"/>
      <c r="T553" s="335"/>
      <c r="U553" s="303"/>
      <c r="V553" s="303"/>
      <c r="W553" s="303"/>
      <c r="X553" s="303"/>
      <c r="Y553" s="303"/>
      <c r="Z553" s="303"/>
      <c r="AA553" s="303"/>
      <c r="AB553" s="303"/>
      <c r="AC553" s="303"/>
      <c r="AD553" s="303"/>
      <c r="AE553" s="303"/>
      <c r="AF553" s="303"/>
      <c r="AG553" s="303"/>
    </row>
    <row r="554" spans="1:33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335"/>
      <c r="S554" s="335"/>
      <c r="T554" s="335"/>
      <c r="U554" s="303"/>
      <c r="V554" s="303"/>
      <c r="W554" s="303"/>
      <c r="X554" s="303"/>
      <c r="Y554" s="303"/>
      <c r="Z554" s="303"/>
      <c r="AA554" s="303"/>
      <c r="AB554" s="303"/>
      <c r="AC554" s="303"/>
      <c r="AD554" s="303"/>
      <c r="AE554" s="303"/>
      <c r="AF554" s="303"/>
      <c r="AG554" s="303"/>
    </row>
    <row r="555" spans="1:33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335"/>
      <c r="S555" s="335"/>
      <c r="T555" s="335"/>
      <c r="U555" s="303"/>
      <c r="V555" s="303"/>
      <c r="W555" s="303"/>
      <c r="X555" s="303"/>
      <c r="Y555" s="303"/>
      <c r="Z555" s="303"/>
      <c r="AA555" s="303"/>
      <c r="AB555" s="303"/>
      <c r="AC555" s="303"/>
      <c r="AD555" s="303"/>
      <c r="AE555" s="303"/>
      <c r="AF555" s="303"/>
      <c r="AG555" s="303"/>
    </row>
    <row r="556" spans="1:33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335"/>
      <c r="S556" s="335"/>
      <c r="T556" s="335"/>
      <c r="U556" s="303"/>
      <c r="V556" s="303"/>
      <c r="W556" s="303"/>
      <c r="X556" s="303"/>
      <c r="Y556" s="303"/>
      <c r="Z556" s="303"/>
      <c r="AA556" s="303"/>
      <c r="AB556" s="303"/>
      <c r="AC556" s="303"/>
      <c r="AD556" s="303"/>
      <c r="AE556" s="303"/>
      <c r="AF556" s="303"/>
      <c r="AG556" s="303"/>
    </row>
    <row r="557" spans="1:33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335"/>
      <c r="S557" s="335"/>
      <c r="T557" s="335"/>
      <c r="U557" s="303"/>
      <c r="V557" s="303"/>
      <c r="W557" s="303"/>
      <c r="X557" s="303"/>
      <c r="Y557" s="303"/>
      <c r="Z557" s="303"/>
      <c r="AA557" s="303"/>
      <c r="AB557" s="303"/>
      <c r="AC557" s="303"/>
      <c r="AD557" s="303"/>
      <c r="AE557" s="303"/>
      <c r="AF557" s="303"/>
      <c r="AG557" s="303"/>
    </row>
    <row r="558" spans="1:33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335"/>
      <c r="S558" s="335"/>
      <c r="T558" s="335"/>
      <c r="U558" s="303"/>
      <c r="V558" s="303"/>
      <c r="W558" s="303"/>
      <c r="X558" s="303"/>
      <c r="Y558" s="303"/>
      <c r="Z558" s="303"/>
      <c r="AA558" s="303"/>
      <c r="AB558" s="303"/>
      <c r="AC558" s="303"/>
      <c r="AD558" s="303"/>
      <c r="AE558" s="303"/>
      <c r="AF558" s="303"/>
      <c r="AG558" s="303"/>
    </row>
    <row r="559" spans="1:33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335"/>
      <c r="S559" s="335"/>
      <c r="T559" s="335"/>
      <c r="U559" s="303"/>
      <c r="V559" s="303"/>
      <c r="W559" s="303"/>
      <c r="X559" s="303"/>
      <c r="Y559" s="303"/>
      <c r="Z559" s="303"/>
      <c r="AA559" s="303"/>
      <c r="AB559" s="303"/>
      <c r="AC559" s="303"/>
      <c r="AD559" s="303"/>
      <c r="AE559" s="303"/>
      <c r="AF559" s="303"/>
      <c r="AG559" s="303"/>
    </row>
    <row r="560" spans="1:33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335"/>
      <c r="S560" s="335"/>
      <c r="T560" s="335"/>
      <c r="U560" s="303"/>
      <c r="V560" s="303"/>
      <c r="W560" s="303"/>
      <c r="X560" s="303"/>
      <c r="Y560" s="303"/>
      <c r="Z560" s="303"/>
      <c r="AA560" s="303"/>
      <c r="AB560" s="303"/>
      <c r="AC560" s="303"/>
      <c r="AD560" s="303"/>
      <c r="AE560" s="303"/>
      <c r="AF560" s="303"/>
      <c r="AG560" s="303"/>
    </row>
    <row r="561" spans="1:33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335"/>
      <c r="S561" s="335"/>
      <c r="T561" s="335"/>
      <c r="U561" s="303"/>
      <c r="V561" s="303"/>
      <c r="W561" s="303"/>
      <c r="X561" s="303"/>
      <c r="Y561" s="303"/>
      <c r="Z561" s="303"/>
      <c r="AA561" s="303"/>
      <c r="AB561" s="303"/>
      <c r="AC561" s="303"/>
      <c r="AD561" s="303"/>
      <c r="AE561" s="303"/>
      <c r="AF561" s="303"/>
      <c r="AG561" s="303"/>
    </row>
    <row r="562" spans="1:33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335"/>
      <c r="S562" s="335"/>
      <c r="T562" s="335"/>
      <c r="U562" s="303"/>
      <c r="V562" s="303"/>
      <c r="W562" s="303"/>
      <c r="X562" s="303"/>
      <c r="Y562" s="303"/>
      <c r="Z562" s="303"/>
      <c r="AA562" s="303"/>
      <c r="AB562" s="303"/>
      <c r="AC562" s="303"/>
      <c r="AD562" s="303"/>
      <c r="AE562" s="303"/>
      <c r="AF562" s="303"/>
      <c r="AG562" s="303"/>
    </row>
    <row r="563" spans="1:33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335"/>
      <c r="S563" s="335"/>
      <c r="T563" s="335"/>
      <c r="U563" s="303"/>
      <c r="V563" s="303"/>
      <c r="W563" s="303"/>
      <c r="X563" s="303"/>
      <c r="Y563" s="303"/>
      <c r="Z563" s="303"/>
      <c r="AA563" s="303"/>
      <c r="AB563" s="303"/>
      <c r="AC563" s="303"/>
      <c r="AD563" s="303"/>
      <c r="AE563" s="303"/>
      <c r="AF563" s="303"/>
      <c r="AG563" s="303"/>
    </row>
    <row r="564" spans="1:33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335"/>
      <c r="S564" s="335"/>
      <c r="T564" s="335"/>
      <c r="U564" s="303"/>
      <c r="V564" s="303"/>
      <c r="W564" s="303"/>
      <c r="X564" s="303"/>
      <c r="Y564" s="303"/>
      <c r="Z564" s="303"/>
      <c r="AA564" s="303"/>
      <c r="AB564" s="303"/>
      <c r="AC564" s="303"/>
      <c r="AD564" s="303"/>
      <c r="AE564" s="303"/>
      <c r="AF564" s="303"/>
      <c r="AG564" s="303"/>
    </row>
    <row r="565" spans="1:33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335"/>
      <c r="S565" s="335"/>
      <c r="T565" s="335"/>
      <c r="U565" s="303"/>
      <c r="V565" s="303"/>
      <c r="W565" s="303"/>
      <c r="X565" s="303"/>
      <c r="Y565" s="303"/>
      <c r="Z565" s="303"/>
      <c r="AA565" s="303"/>
      <c r="AB565" s="303"/>
      <c r="AC565" s="303"/>
      <c r="AD565" s="303"/>
      <c r="AE565" s="303"/>
      <c r="AF565" s="303"/>
      <c r="AG565" s="303"/>
    </row>
    <row r="566" spans="1:33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335"/>
      <c r="S566" s="335"/>
      <c r="T566" s="335"/>
      <c r="U566" s="303"/>
      <c r="V566" s="303"/>
      <c r="W566" s="303"/>
      <c r="X566" s="303"/>
      <c r="Y566" s="303"/>
      <c r="Z566" s="303"/>
      <c r="AA566" s="303"/>
      <c r="AB566" s="303"/>
      <c r="AC566" s="303"/>
      <c r="AD566" s="303"/>
      <c r="AE566" s="303"/>
      <c r="AF566" s="303"/>
      <c r="AG566" s="303"/>
    </row>
    <row r="567" spans="1:33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335"/>
      <c r="S567" s="335"/>
      <c r="T567" s="335"/>
      <c r="U567" s="303"/>
      <c r="V567" s="303"/>
      <c r="W567" s="303"/>
      <c r="X567" s="303"/>
      <c r="Y567" s="303"/>
      <c r="Z567" s="303"/>
      <c r="AA567" s="303"/>
      <c r="AB567" s="303"/>
      <c r="AC567" s="303"/>
      <c r="AD567" s="303"/>
      <c r="AE567" s="303"/>
      <c r="AF567" s="303"/>
      <c r="AG567" s="303"/>
    </row>
    <row r="568" spans="1:33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335"/>
      <c r="S568" s="335"/>
      <c r="T568" s="335"/>
      <c r="U568" s="303"/>
      <c r="V568" s="303"/>
      <c r="W568" s="303"/>
      <c r="X568" s="303"/>
      <c r="Y568" s="303"/>
      <c r="Z568" s="303"/>
      <c r="AA568" s="303"/>
      <c r="AB568" s="303"/>
      <c r="AC568" s="303"/>
      <c r="AD568" s="303"/>
      <c r="AE568" s="303"/>
      <c r="AF568" s="303"/>
      <c r="AG568" s="303"/>
    </row>
    <row r="569" spans="1:33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335"/>
      <c r="S569" s="335"/>
      <c r="T569" s="335"/>
      <c r="U569" s="303"/>
      <c r="V569" s="303"/>
      <c r="W569" s="303"/>
      <c r="X569" s="303"/>
      <c r="Y569" s="303"/>
      <c r="Z569" s="303"/>
      <c r="AA569" s="303"/>
      <c r="AB569" s="303"/>
      <c r="AC569" s="303"/>
      <c r="AD569" s="303"/>
      <c r="AE569" s="303"/>
      <c r="AF569" s="303"/>
      <c r="AG569" s="303"/>
    </row>
    <row r="570" spans="1:33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335"/>
      <c r="S570" s="335"/>
      <c r="T570" s="335"/>
      <c r="U570" s="303"/>
      <c r="V570" s="303"/>
      <c r="W570" s="303"/>
      <c r="X570" s="303"/>
      <c r="Y570" s="303"/>
      <c r="Z570" s="303"/>
      <c r="AA570" s="303"/>
      <c r="AB570" s="303"/>
      <c r="AC570" s="303"/>
      <c r="AD570" s="303"/>
      <c r="AE570" s="303"/>
      <c r="AF570" s="303"/>
      <c r="AG570" s="303"/>
    </row>
    <row r="571" spans="1:33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335"/>
      <c r="S571" s="335"/>
      <c r="T571" s="335"/>
      <c r="U571" s="303"/>
      <c r="V571" s="303"/>
      <c r="W571" s="303"/>
      <c r="X571" s="303"/>
      <c r="Y571" s="303"/>
      <c r="Z571" s="303"/>
      <c r="AA571" s="303"/>
      <c r="AB571" s="303"/>
      <c r="AC571" s="303"/>
      <c r="AD571" s="303"/>
      <c r="AE571" s="303"/>
      <c r="AF571" s="303"/>
      <c r="AG571" s="303"/>
    </row>
    <row r="572" spans="1:33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335"/>
      <c r="S572" s="335"/>
      <c r="T572" s="335"/>
      <c r="U572" s="303"/>
      <c r="V572" s="303"/>
      <c r="W572" s="303"/>
      <c r="X572" s="303"/>
      <c r="Y572" s="303"/>
      <c r="Z572" s="303"/>
      <c r="AA572" s="303"/>
      <c r="AB572" s="303"/>
      <c r="AC572" s="303"/>
      <c r="AD572" s="303"/>
      <c r="AE572" s="303"/>
      <c r="AF572" s="303"/>
      <c r="AG572" s="303"/>
    </row>
    <row r="573" spans="1:33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335"/>
      <c r="S573" s="335"/>
      <c r="T573" s="335"/>
      <c r="U573" s="303"/>
      <c r="V573" s="303"/>
      <c r="W573" s="303"/>
      <c r="X573" s="303"/>
      <c r="Y573" s="303"/>
      <c r="Z573" s="303"/>
      <c r="AA573" s="303"/>
      <c r="AB573" s="303"/>
      <c r="AC573" s="303"/>
      <c r="AD573" s="303"/>
      <c r="AE573" s="303"/>
      <c r="AF573" s="303"/>
      <c r="AG573" s="303"/>
    </row>
    <row r="574" spans="1:33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335"/>
      <c r="S574" s="335"/>
      <c r="T574" s="335"/>
      <c r="U574" s="303"/>
      <c r="V574" s="303"/>
      <c r="W574" s="303"/>
      <c r="X574" s="303"/>
      <c r="Y574" s="303"/>
      <c r="Z574" s="303"/>
      <c r="AA574" s="303"/>
      <c r="AB574" s="303"/>
      <c r="AC574" s="303"/>
      <c r="AD574" s="303"/>
      <c r="AE574" s="303"/>
      <c r="AF574" s="303"/>
      <c r="AG574" s="303"/>
    </row>
    <row r="575" spans="1:33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335"/>
      <c r="S575" s="335"/>
      <c r="T575" s="335"/>
      <c r="U575" s="303"/>
      <c r="V575" s="303"/>
      <c r="W575" s="303"/>
      <c r="X575" s="303"/>
      <c r="Y575" s="303"/>
      <c r="Z575" s="303"/>
      <c r="AA575" s="303"/>
      <c r="AB575" s="303"/>
      <c r="AC575" s="303"/>
      <c r="AD575" s="303"/>
      <c r="AE575" s="303"/>
      <c r="AF575" s="303"/>
      <c r="AG575" s="303"/>
    </row>
    <row r="576" spans="1:33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335"/>
      <c r="S576" s="335"/>
      <c r="T576" s="335"/>
      <c r="U576" s="303"/>
      <c r="V576" s="303"/>
      <c r="W576" s="303"/>
      <c r="X576" s="303"/>
      <c r="Y576" s="303"/>
      <c r="Z576" s="303"/>
      <c r="AA576" s="303"/>
      <c r="AB576" s="303"/>
      <c r="AC576" s="303"/>
      <c r="AD576" s="303"/>
      <c r="AE576" s="303"/>
      <c r="AF576" s="303"/>
      <c r="AG576" s="303"/>
    </row>
    <row r="577" spans="1:33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335"/>
      <c r="S577" s="335"/>
      <c r="T577" s="335"/>
      <c r="U577" s="303"/>
      <c r="V577" s="303"/>
      <c r="W577" s="303"/>
      <c r="X577" s="303"/>
      <c r="Y577" s="303"/>
      <c r="Z577" s="303"/>
      <c r="AA577" s="303"/>
      <c r="AB577" s="303"/>
      <c r="AC577" s="303"/>
      <c r="AD577" s="303"/>
      <c r="AE577" s="303"/>
      <c r="AF577" s="303"/>
      <c r="AG577" s="303"/>
    </row>
    <row r="578" spans="1:33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335"/>
      <c r="S578" s="335"/>
      <c r="T578" s="335"/>
      <c r="U578" s="303"/>
      <c r="V578" s="303"/>
      <c r="W578" s="303"/>
      <c r="X578" s="303"/>
      <c r="Y578" s="303"/>
      <c r="Z578" s="303"/>
      <c r="AA578" s="303"/>
      <c r="AB578" s="303"/>
      <c r="AC578" s="303"/>
      <c r="AD578" s="303"/>
      <c r="AE578" s="303"/>
      <c r="AF578" s="303"/>
      <c r="AG578" s="303"/>
    </row>
    <row r="579" spans="1:33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335"/>
      <c r="S579" s="335"/>
      <c r="T579" s="335"/>
      <c r="U579" s="303"/>
      <c r="V579" s="303"/>
      <c r="W579" s="303"/>
      <c r="X579" s="303"/>
      <c r="Y579" s="303"/>
      <c r="Z579" s="303"/>
      <c r="AA579" s="303"/>
      <c r="AB579" s="303"/>
      <c r="AC579" s="303"/>
      <c r="AD579" s="303"/>
      <c r="AE579" s="303"/>
      <c r="AF579" s="303"/>
      <c r="AG579" s="303"/>
    </row>
    <row r="580" spans="1:33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335"/>
      <c r="S580" s="335"/>
      <c r="T580" s="335"/>
      <c r="U580" s="303"/>
      <c r="V580" s="303"/>
      <c r="W580" s="303"/>
      <c r="X580" s="303"/>
      <c r="Y580" s="303"/>
      <c r="Z580" s="303"/>
      <c r="AA580" s="303"/>
      <c r="AB580" s="303"/>
      <c r="AC580" s="303"/>
      <c r="AD580" s="303"/>
      <c r="AE580" s="303"/>
      <c r="AF580" s="303"/>
      <c r="AG580" s="303"/>
    </row>
    <row r="581" spans="1:33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335"/>
      <c r="S581" s="335"/>
      <c r="T581" s="335"/>
      <c r="U581" s="303"/>
      <c r="V581" s="303"/>
      <c r="W581" s="303"/>
      <c r="X581" s="303"/>
      <c r="Y581" s="303"/>
      <c r="Z581" s="303"/>
      <c r="AA581" s="303"/>
      <c r="AB581" s="303"/>
      <c r="AC581" s="303"/>
      <c r="AD581" s="303"/>
      <c r="AE581" s="303"/>
      <c r="AF581" s="303"/>
      <c r="AG581" s="303"/>
    </row>
    <row r="582" spans="1:33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335"/>
      <c r="S582" s="335"/>
      <c r="T582" s="335"/>
      <c r="U582" s="303"/>
      <c r="V582" s="303"/>
      <c r="W582" s="303"/>
      <c r="X582" s="303"/>
      <c r="Y582" s="303"/>
      <c r="Z582" s="303"/>
      <c r="AA582" s="303"/>
      <c r="AB582" s="303"/>
      <c r="AC582" s="303"/>
      <c r="AD582" s="303"/>
      <c r="AE582" s="303"/>
      <c r="AF582" s="303"/>
      <c r="AG582" s="303"/>
    </row>
    <row r="583" spans="1:33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335"/>
      <c r="S583" s="335"/>
      <c r="T583" s="335"/>
      <c r="U583" s="303"/>
      <c r="V583" s="303"/>
      <c r="W583" s="303"/>
      <c r="X583" s="303"/>
      <c r="Y583" s="303"/>
      <c r="Z583" s="303"/>
      <c r="AA583" s="303"/>
      <c r="AB583" s="303"/>
      <c r="AC583" s="303"/>
      <c r="AD583" s="303"/>
      <c r="AE583" s="303"/>
      <c r="AF583" s="303"/>
      <c r="AG583" s="303"/>
    </row>
    <row r="584" spans="1:33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335"/>
      <c r="S584" s="335"/>
      <c r="T584" s="335"/>
      <c r="U584" s="303"/>
      <c r="V584" s="303"/>
      <c r="W584" s="303"/>
      <c r="X584" s="303"/>
      <c r="Y584" s="303"/>
      <c r="Z584" s="303"/>
      <c r="AA584" s="303"/>
      <c r="AB584" s="303"/>
      <c r="AC584" s="303"/>
      <c r="AD584" s="303"/>
      <c r="AE584" s="303"/>
      <c r="AF584" s="303"/>
      <c r="AG584" s="303"/>
    </row>
    <row r="585" spans="1:33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335"/>
      <c r="S585" s="335"/>
      <c r="T585" s="335"/>
      <c r="U585" s="303"/>
      <c r="V585" s="303"/>
      <c r="W585" s="303"/>
      <c r="X585" s="303"/>
      <c r="Y585" s="303"/>
      <c r="Z585" s="303"/>
      <c r="AA585" s="303"/>
      <c r="AB585" s="303"/>
      <c r="AC585" s="303"/>
      <c r="AD585" s="303"/>
      <c r="AE585" s="303"/>
      <c r="AF585" s="303"/>
      <c r="AG585" s="303"/>
    </row>
    <row r="586" spans="1:33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335"/>
      <c r="S586" s="335"/>
      <c r="T586" s="335"/>
      <c r="U586" s="303"/>
      <c r="V586" s="303"/>
      <c r="W586" s="303"/>
      <c r="X586" s="303"/>
      <c r="Y586" s="303"/>
      <c r="Z586" s="303"/>
      <c r="AA586" s="303"/>
      <c r="AB586" s="303"/>
      <c r="AC586" s="303"/>
      <c r="AD586" s="303"/>
      <c r="AE586" s="303"/>
      <c r="AF586" s="303"/>
      <c r="AG586" s="303"/>
    </row>
    <row r="587" spans="1:33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335"/>
      <c r="S587" s="335"/>
      <c r="T587" s="335"/>
      <c r="U587" s="303"/>
      <c r="V587" s="303"/>
      <c r="W587" s="303"/>
      <c r="X587" s="303"/>
      <c r="Y587" s="303"/>
      <c r="Z587" s="303"/>
      <c r="AA587" s="303"/>
      <c r="AB587" s="303"/>
      <c r="AC587" s="303"/>
      <c r="AD587" s="303"/>
      <c r="AE587" s="303"/>
      <c r="AF587" s="303"/>
      <c r="AG587" s="303"/>
    </row>
    <row r="588" spans="1:33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335"/>
      <c r="S588" s="335"/>
      <c r="T588" s="335"/>
      <c r="U588" s="303"/>
      <c r="V588" s="303"/>
      <c r="W588" s="303"/>
      <c r="X588" s="303"/>
      <c r="Y588" s="303"/>
      <c r="Z588" s="303"/>
      <c r="AA588" s="303"/>
      <c r="AB588" s="303"/>
      <c r="AC588" s="303"/>
      <c r="AD588" s="303"/>
      <c r="AE588" s="303"/>
      <c r="AF588" s="303"/>
      <c r="AG588" s="303"/>
    </row>
    <row r="589" spans="1:33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335"/>
      <c r="S589" s="335"/>
      <c r="T589" s="335"/>
      <c r="U589" s="303"/>
      <c r="V589" s="303"/>
      <c r="W589" s="303"/>
      <c r="X589" s="303"/>
      <c r="Y589" s="303"/>
      <c r="Z589" s="303"/>
      <c r="AA589" s="303"/>
      <c r="AB589" s="303"/>
      <c r="AC589" s="303"/>
      <c r="AD589" s="303"/>
      <c r="AE589" s="303"/>
      <c r="AF589" s="303"/>
      <c r="AG589" s="303"/>
    </row>
    <row r="590" spans="1:33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335"/>
      <c r="S590" s="335"/>
      <c r="T590" s="335"/>
      <c r="U590" s="303"/>
      <c r="V590" s="303"/>
      <c r="W590" s="303"/>
      <c r="X590" s="303"/>
      <c r="Y590" s="303"/>
      <c r="Z590" s="303"/>
      <c r="AA590" s="303"/>
      <c r="AB590" s="303"/>
      <c r="AC590" s="303"/>
      <c r="AD590" s="303"/>
      <c r="AE590" s="303"/>
      <c r="AF590" s="303"/>
      <c r="AG590" s="303"/>
    </row>
    <row r="591" spans="1:33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335"/>
      <c r="S591" s="335"/>
      <c r="T591" s="335"/>
      <c r="U591" s="303"/>
      <c r="V591" s="303"/>
      <c r="W591" s="303"/>
      <c r="X591" s="303"/>
      <c r="Y591" s="303"/>
      <c r="Z591" s="303"/>
      <c r="AA591" s="303"/>
      <c r="AB591" s="303"/>
      <c r="AC591" s="303"/>
      <c r="AD591" s="303"/>
      <c r="AE591" s="303"/>
      <c r="AF591" s="303"/>
      <c r="AG591" s="303"/>
    </row>
    <row r="592" spans="1:33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335"/>
      <c r="S592" s="335"/>
      <c r="T592" s="335"/>
      <c r="U592" s="303"/>
      <c r="V592" s="303"/>
      <c r="W592" s="303"/>
      <c r="X592" s="303"/>
      <c r="Y592" s="303"/>
      <c r="Z592" s="303"/>
      <c r="AA592" s="303"/>
      <c r="AB592" s="303"/>
      <c r="AC592" s="303"/>
      <c r="AD592" s="303"/>
      <c r="AE592" s="303"/>
      <c r="AF592" s="303"/>
      <c r="AG592" s="303"/>
    </row>
    <row r="593" spans="1:33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335"/>
      <c r="S593" s="335"/>
      <c r="T593" s="335"/>
      <c r="U593" s="303"/>
      <c r="V593" s="303"/>
      <c r="W593" s="303"/>
      <c r="X593" s="303"/>
      <c r="Y593" s="303"/>
      <c r="Z593" s="303"/>
      <c r="AA593" s="303"/>
      <c r="AB593" s="303"/>
      <c r="AC593" s="303"/>
      <c r="AD593" s="303"/>
      <c r="AE593" s="303"/>
      <c r="AF593" s="303"/>
      <c r="AG593" s="303"/>
    </row>
    <row r="594" spans="1:33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335"/>
      <c r="S594" s="335"/>
      <c r="T594" s="335"/>
      <c r="U594" s="303"/>
      <c r="V594" s="303"/>
      <c r="W594" s="303"/>
      <c r="X594" s="303"/>
      <c r="Y594" s="303"/>
      <c r="Z594" s="303"/>
      <c r="AA594" s="303"/>
      <c r="AB594" s="303"/>
      <c r="AC594" s="303"/>
      <c r="AD594" s="303"/>
      <c r="AE594" s="303"/>
      <c r="AF594" s="303"/>
      <c r="AG594" s="303"/>
    </row>
    <row r="595" spans="1:33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335"/>
      <c r="S595" s="335"/>
      <c r="T595" s="335"/>
      <c r="U595" s="303"/>
      <c r="V595" s="303"/>
      <c r="W595" s="303"/>
      <c r="X595" s="303"/>
      <c r="Y595" s="303"/>
      <c r="Z595" s="303"/>
      <c r="AA595" s="303"/>
      <c r="AB595" s="303"/>
      <c r="AC595" s="303"/>
      <c r="AD595" s="303"/>
      <c r="AE595" s="303"/>
      <c r="AF595" s="303"/>
      <c r="AG595" s="303"/>
    </row>
    <row r="596" spans="1:33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335"/>
      <c r="S596" s="335"/>
      <c r="T596" s="335"/>
      <c r="U596" s="303"/>
      <c r="V596" s="303"/>
      <c r="W596" s="303"/>
      <c r="X596" s="303"/>
      <c r="Y596" s="303"/>
      <c r="Z596" s="303"/>
      <c r="AA596" s="303"/>
      <c r="AB596" s="303"/>
      <c r="AC596" s="303"/>
      <c r="AD596" s="303"/>
      <c r="AE596" s="303"/>
      <c r="AF596" s="303"/>
      <c r="AG596" s="303"/>
    </row>
    <row r="597" spans="1:33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335"/>
      <c r="S597" s="335"/>
      <c r="T597" s="335"/>
      <c r="U597" s="303"/>
      <c r="V597" s="303"/>
      <c r="W597" s="303"/>
      <c r="X597" s="303"/>
      <c r="Y597" s="303"/>
      <c r="Z597" s="303"/>
      <c r="AA597" s="303"/>
      <c r="AB597" s="303"/>
      <c r="AC597" s="303"/>
      <c r="AD597" s="303"/>
      <c r="AE597" s="303"/>
      <c r="AF597" s="303"/>
      <c r="AG597" s="303"/>
    </row>
    <row r="598" spans="1:33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335"/>
      <c r="S598" s="335"/>
      <c r="T598" s="335"/>
      <c r="U598" s="303"/>
      <c r="V598" s="303"/>
      <c r="W598" s="303"/>
      <c r="X598" s="303"/>
      <c r="Y598" s="303"/>
      <c r="Z598" s="303"/>
      <c r="AA598" s="303"/>
      <c r="AB598" s="303"/>
      <c r="AC598" s="303"/>
      <c r="AD598" s="303"/>
      <c r="AE598" s="303"/>
      <c r="AF598" s="303"/>
      <c r="AG598" s="303"/>
    </row>
    <row r="599" spans="1:33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335"/>
      <c r="S599" s="335"/>
      <c r="T599" s="335"/>
      <c r="U599" s="303"/>
      <c r="V599" s="303"/>
      <c r="W599" s="303"/>
      <c r="X599" s="303"/>
      <c r="Y599" s="303"/>
      <c r="Z599" s="303"/>
      <c r="AA599" s="303"/>
      <c r="AB599" s="303"/>
      <c r="AC599" s="303"/>
      <c r="AD599" s="303"/>
      <c r="AE599" s="303"/>
      <c r="AF599" s="303"/>
      <c r="AG599" s="303"/>
    </row>
    <row r="600" spans="1:33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335"/>
      <c r="S600" s="335"/>
      <c r="T600" s="335"/>
      <c r="U600" s="303"/>
      <c r="V600" s="303"/>
      <c r="W600" s="303"/>
      <c r="X600" s="303"/>
      <c r="Y600" s="303"/>
      <c r="Z600" s="303"/>
      <c r="AA600" s="303"/>
      <c r="AB600" s="303"/>
      <c r="AC600" s="303"/>
      <c r="AD600" s="303"/>
      <c r="AE600" s="303"/>
      <c r="AF600" s="303"/>
      <c r="AG600" s="303"/>
    </row>
    <row r="601" spans="1:33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335"/>
      <c r="S601" s="335"/>
      <c r="T601" s="335"/>
      <c r="U601" s="303"/>
      <c r="V601" s="303"/>
      <c r="W601" s="303"/>
      <c r="X601" s="303"/>
      <c r="Y601" s="303"/>
      <c r="Z601" s="303"/>
      <c r="AA601" s="303"/>
      <c r="AB601" s="303"/>
      <c r="AC601" s="303"/>
      <c r="AD601" s="303"/>
      <c r="AE601" s="303"/>
      <c r="AF601" s="303"/>
      <c r="AG601" s="303"/>
    </row>
    <row r="602" spans="1:33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335"/>
      <c r="S602" s="335"/>
      <c r="T602" s="335"/>
      <c r="U602" s="303"/>
      <c r="V602" s="303"/>
      <c r="W602" s="303"/>
      <c r="X602" s="303"/>
      <c r="Y602" s="303"/>
      <c r="Z602" s="303"/>
      <c r="AA602" s="303"/>
      <c r="AB602" s="303"/>
      <c r="AC602" s="303"/>
      <c r="AD602" s="303"/>
      <c r="AE602" s="303"/>
      <c r="AF602" s="303"/>
      <c r="AG602" s="303"/>
    </row>
    <row r="603" spans="1:33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335"/>
      <c r="S603" s="335"/>
      <c r="T603" s="335"/>
      <c r="U603" s="303"/>
      <c r="V603" s="303"/>
      <c r="W603" s="303"/>
      <c r="X603" s="303"/>
      <c r="Y603" s="303"/>
      <c r="Z603" s="303"/>
      <c r="AA603" s="303"/>
      <c r="AB603" s="303"/>
      <c r="AC603" s="303"/>
      <c r="AD603" s="303"/>
      <c r="AE603" s="303"/>
      <c r="AF603" s="303"/>
      <c r="AG603" s="303"/>
    </row>
    <row r="604" spans="1:33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335"/>
      <c r="S604" s="335"/>
      <c r="T604" s="335"/>
      <c r="U604" s="303"/>
      <c r="V604" s="303"/>
      <c r="W604" s="303"/>
      <c r="X604" s="303"/>
      <c r="Y604" s="303"/>
      <c r="Z604" s="303"/>
      <c r="AA604" s="303"/>
      <c r="AB604" s="303"/>
      <c r="AC604" s="303"/>
      <c r="AD604" s="303"/>
      <c r="AE604" s="303"/>
      <c r="AF604" s="303"/>
      <c r="AG604" s="303"/>
    </row>
    <row r="605" spans="1:33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335"/>
      <c r="S605" s="335"/>
      <c r="T605" s="335"/>
      <c r="U605" s="303"/>
      <c r="V605" s="303"/>
      <c r="W605" s="303"/>
      <c r="X605" s="303"/>
      <c r="Y605" s="303"/>
      <c r="Z605" s="303"/>
      <c r="AA605" s="303"/>
      <c r="AB605" s="303"/>
      <c r="AC605" s="303"/>
      <c r="AD605" s="303"/>
      <c r="AE605" s="303"/>
      <c r="AF605" s="303"/>
      <c r="AG605" s="303"/>
    </row>
    <row r="606" spans="1:33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335"/>
      <c r="S606" s="335"/>
      <c r="T606" s="335"/>
      <c r="U606" s="303"/>
      <c r="V606" s="303"/>
      <c r="W606" s="303"/>
      <c r="X606" s="303"/>
      <c r="Y606" s="303"/>
      <c r="Z606" s="303"/>
      <c r="AA606" s="303"/>
      <c r="AB606" s="303"/>
      <c r="AC606" s="303"/>
      <c r="AD606" s="303"/>
      <c r="AE606" s="303"/>
      <c r="AF606" s="303"/>
      <c r="AG606" s="303"/>
    </row>
    <row r="607" spans="1:33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335"/>
      <c r="S607" s="335"/>
      <c r="T607" s="335"/>
      <c r="U607" s="303"/>
      <c r="V607" s="303"/>
      <c r="W607" s="303"/>
      <c r="X607" s="303"/>
      <c r="Y607" s="303"/>
      <c r="Z607" s="303"/>
      <c r="AA607" s="303"/>
      <c r="AB607" s="303"/>
      <c r="AC607" s="303"/>
      <c r="AD607" s="303"/>
      <c r="AE607" s="303"/>
      <c r="AF607" s="303"/>
      <c r="AG607" s="303"/>
    </row>
    <row r="608" spans="1:33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335"/>
      <c r="S608" s="335"/>
      <c r="T608" s="335"/>
      <c r="U608" s="303"/>
      <c r="V608" s="303"/>
      <c r="W608" s="303"/>
      <c r="X608" s="303"/>
      <c r="Y608" s="303"/>
      <c r="Z608" s="303"/>
      <c r="AA608" s="303"/>
      <c r="AB608" s="303"/>
      <c r="AC608" s="303"/>
      <c r="AD608" s="303"/>
      <c r="AE608" s="303"/>
      <c r="AF608" s="303"/>
      <c r="AG608" s="303"/>
    </row>
    <row r="609" spans="1:33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335"/>
      <c r="S609" s="335"/>
      <c r="T609" s="335"/>
      <c r="U609" s="303"/>
      <c r="V609" s="303"/>
      <c r="W609" s="303"/>
      <c r="X609" s="303"/>
      <c r="Y609" s="303"/>
      <c r="Z609" s="303"/>
      <c r="AA609" s="303"/>
      <c r="AB609" s="303"/>
      <c r="AC609" s="303"/>
      <c r="AD609" s="303"/>
      <c r="AE609" s="303"/>
      <c r="AF609" s="303"/>
      <c r="AG609" s="303"/>
    </row>
    <row r="610" spans="1:33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335"/>
      <c r="S610" s="335"/>
      <c r="T610" s="335"/>
      <c r="U610" s="303"/>
      <c r="V610" s="303"/>
      <c r="W610" s="303"/>
      <c r="X610" s="303"/>
      <c r="Y610" s="303"/>
      <c r="Z610" s="303"/>
      <c r="AA610" s="303"/>
      <c r="AB610" s="303"/>
      <c r="AC610" s="303"/>
      <c r="AD610" s="303"/>
      <c r="AE610" s="303"/>
      <c r="AF610" s="303"/>
      <c r="AG610" s="303"/>
    </row>
    <row r="611" spans="1:33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335"/>
      <c r="S611" s="335"/>
      <c r="T611" s="335"/>
      <c r="U611" s="303"/>
      <c r="V611" s="303"/>
      <c r="W611" s="303"/>
      <c r="X611" s="303"/>
      <c r="Y611" s="303"/>
      <c r="Z611" s="303"/>
      <c r="AA611" s="303"/>
      <c r="AB611" s="303"/>
      <c r="AC611" s="303"/>
      <c r="AD611" s="303"/>
      <c r="AE611" s="303"/>
      <c r="AF611" s="303"/>
      <c r="AG611" s="303"/>
    </row>
    <row r="612" spans="1:33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335"/>
      <c r="S612" s="335"/>
      <c r="T612" s="335"/>
      <c r="U612" s="303"/>
      <c r="V612" s="303"/>
      <c r="W612" s="303"/>
      <c r="X612" s="303"/>
      <c r="Y612" s="303"/>
      <c r="Z612" s="303"/>
      <c r="AA612" s="303"/>
      <c r="AB612" s="303"/>
      <c r="AC612" s="303"/>
      <c r="AD612" s="303"/>
      <c r="AE612" s="303"/>
      <c r="AF612" s="303"/>
      <c r="AG612" s="303"/>
    </row>
    <row r="613" spans="1:33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335"/>
      <c r="S613" s="335"/>
      <c r="T613" s="335"/>
      <c r="U613" s="303"/>
      <c r="V613" s="303"/>
      <c r="W613" s="303"/>
      <c r="X613" s="303"/>
      <c r="Y613" s="303"/>
      <c r="Z613" s="303"/>
      <c r="AA613" s="303"/>
      <c r="AB613" s="303"/>
      <c r="AC613" s="303"/>
      <c r="AD613" s="303"/>
      <c r="AE613" s="303"/>
      <c r="AF613" s="303"/>
      <c r="AG613" s="303"/>
    </row>
    <row r="614" spans="1:33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335"/>
      <c r="S614" s="335"/>
      <c r="T614" s="335"/>
      <c r="U614" s="303"/>
      <c r="V614" s="303"/>
      <c r="W614" s="303"/>
      <c r="X614" s="303"/>
      <c r="Y614" s="303"/>
      <c r="Z614" s="303"/>
      <c r="AA614" s="303"/>
      <c r="AB614" s="303"/>
      <c r="AC614" s="303"/>
      <c r="AD614" s="303"/>
      <c r="AE614" s="303"/>
      <c r="AF614" s="303"/>
      <c r="AG614" s="303"/>
    </row>
    <row r="615" spans="1:33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335"/>
      <c r="S615" s="335"/>
      <c r="T615" s="335"/>
      <c r="U615" s="303"/>
      <c r="V615" s="303"/>
      <c r="W615" s="303"/>
      <c r="X615" s="303"/>
      <c r="Y615" s="303"/>
      <c r="Z615" s="303"/>
      <c r="AA615" s="303"/>
      <c r="AB615" s="303"/>
      <c r="AC615" s="303"/>
      <c r="AD615" s="303"/>
      <c r="AE615" s="303"/>
      <c r="AF615" s="303"/>
      <c r="AG615" s="303"/>
    </row>
    <row r="616" spans="1:33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335"/>
      <c r="S616" s="335"/>
      <c r="T616" s="335"/>
      <c r="U616" s="303"/>
      <c r="V616" s="303"/>
      <c r="W616" s="303"/>
      <c r="X616" s="303"/>
      <c r="Y616" s="303"/>
      <c r="Z616" s="303"/>
      <c r="AA616" s="303"/>
      <c r="AB616" s="303"/>
      <c r="AC616" s="303"/>
      <c r="AD616" s="303"/>
      <c r="AE616" s="303"/>
      <c r="AF616" s="303"/>
      <c r="AG616" s="303"/>
    </row>
    <row r="617" spans="1:33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335"/>
      <c r="S617" s="335"/>
      <c r="T617" s="335"/>
      <c r="U617" s="303"/>
      <c r="V617" s="303"/>
      <c r="W617" s="303"/>
      <c r="X617" s="303"/>
      <c r="Y617" s="303"/>
      <c r="Z617" s="303"/>
      <c r="AA617" s="303"/>
      <c r="AB617" s="303"/>
      <c r="AC617" s="303"/>
      <c r="AD617" s="303"/>
      <c r="AE617" s="303"/>
      <c r="AF617" s="303"/>
      <c r="AG617" s="303"/>
    </row>
    <row r="618" spans="1:33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335"/>
      <c r="S618" s="335"/>
      <c r="T618" s="335"/>
      <c r="U618" s="303"/>
      <c r="V618" s="303"/>
      <c r="W618" s="303"/>
      <c r="X618" s="303"/>
      <c r="Y618" s="303"/>
      <c r="Z618" s="303"/>
      <c r="AA618" s="303"/>
      <c r="AB618" s="303"/>
      <c r="AC618" s="303"/>
      <c r="AD618" s="303"/>
      <c r="AE618" s="303"/>
      <c r="AF618" s="303"/>
      <c r="AG618" s="303"/>
    </row>
    <row r="619" spans="1:33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335"/>
      <c r="S619" s="335"/>
      <c r="T619" s="335"/>
      <c r="U619" s="303"/>
      <c r="V619" s="303"/>
      <c r="W619" s="303"/>
      <c r="X619" s="303"/>
      <c r="Y619" s="303"/>
      <c r="Z619" s="303"/>
      <c r="AA619" s="303"/>
      <c r="AB619" s="303"/>
      <c r="AC619" s="303"/>
      <c r="AD619" s="303"/>
      <c r="AE619" s="303"/>
      <c r="AF619" s="303"/>
      <c r="AG619" s="303"/>
    </row>
    <row r="620" spans="1:33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335"/>
      <c r="S620" s="335"/>
      <c r="T620" s="335"/>
      <c r="U620" s="303"/>
      <c r="V620" s="303"/>
      <c r="W620" s="303"/>
      <c r="X620" s="303"/>
      <c r="Y620" s="303"/>
      <c r="Z620" s="303"/>
      <c r="AA620" s="303"/>
      <c r="AB620" s="303"/>
      <c r="AC620" s="303"/>
      <c r="AD620" s="303"/>
      <c r="AE620" s="303"/>
      <c r="AF620" s="303"/>
      <c r="AG620" s="303"/>
    </row>
    <row r="621" spans="1:33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335"/>
      <c r="S621" s="335"/>
      <c r="T621" s="335"/>
      <c r="U621" s="303"/>
      <c r="V621" s="303"/>
      <c r="W621" s="303"/>
      <c r="X621" s="303"/>
      <c r="Y621" s="303"/>
      <c r="Z621" s="303"/>
      <c r="AA621" s="303"/>
      <c r="AB621" s="303"/>
      <c r="AC621" s="303"/>
      <c r="AD621" s="303"/>
      <c r="AE621" s="303"/>
      <c r="AF621" s="303"/>
      <c r="AG621" s="303"/>
    </row>
    <row r="622" spans="1:33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335"/>
      <c r="S622" s="335"/>
      <c r="T622" s="335"/>
      <c r="U622" s="303"/>
      <c r="V622" s="303"/>
      <c r="W622" s="303"/>
      <c r="X622" s="303"/>
      <c r="Y622" s="303"/>
      <c r="Z622" s="303"/>
      <c r="AA622" s="303"/>
      <c r="AB622" s="303"/>
      <c r="AC622" s="303"/>
      <c r="AD622" s="303"/>
      <c r="AE622" s="303"/>
      <c r="AF622" s="303"/>
      <c r="AG622" s="303"/>
    </row>
    <row r="623" spans="1:33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335"/>
      <c r="S623" s="335"/>
      <c r="T623" s="335"/>
      <c r="U623" s="303"/>
      <c r="V623" s="303"/>
      <c r="W623" s="303"/>
      <c r="X623" s="303"/>
      <c r="Y623" s="303"/>
      <c r="Z623" s="303"/>
      <c r="AA623" s="303"/>
      <c r="AB623" s="303"/>
      <c r="AC623" s="303"/>
      <c r="AD623" s="303"/>
      <c r="AE623" s="303"/>
      <c r="AF623" s="303"/>
      <c r="AG623" s="303"/>
    </row>
    <row r="624" spans="1:33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335"/>
      <c r="S624" s="335"/>
      <c r="T624" s="335"/>
      <c r="U624" s="303"/>
      <c r="V624" s="303"/>
      <c r="W624" s="303"/>
      <c r="X624" s="303"/>
      <c r="Y624" s="303"/>
      <c r="Z624" s="303"/>
      <c r="AA624" s="303"/>
      <c r="AB624" s="303"/>
      <c r="AC624" s="303"/>
      <c r="AD624" s="303"/>
      <c r="AE624" s="303"/>
      <c r="AF624" s="303"/>
      <c r="AG624" s="303"/>
    </row>
    <row r="625" spans="1:33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335"/>
      <c r="S625" s="335"/>
      <c r="T625" s="335"/>
      <c r="U625" s="303"/>
      <c r="V625" s="303"/>
      <c r="W625" s="303"/>
      <c r="X625" s="303"/>
      <c r="Y625" s="303"/>
      <c r="Z625" s="303"/>
      <c r="AA625" s="303"/>
      <c r="AB625" s="303"/>
      <c r="AC625" s="303"/>
      <c r="AD625" s="303"/>
      <c r="AE625" s="303"/>
      <c r="AF625" s="303"/>
      <c r="AG625" s="303"/>
    </row>
    <row r="626" spans="1:33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335"/>
      <c r="S626" s="335"/>
      <c r="T626" s="335"/>
      <c r="U626" s="303"/>
      <c r="V626" s="303"/>
      <c r="W626" s="303"/>
      <c r="X626" s="303"/>
      <c r="Y626" s="303"/>
      <c r="Z626" s="303"/>
      <c r="AA626" s="303"/>
      <c r="AB626" s="303"/>
      <c r="AC626" s="303"/>
      <c r="AD626" s="303"/>
      <c r="AE626" s="303"/>
      <c r="AF626" s="303"/>
      <c r="AG626" s="303"/>
    </row>
    <row r="627" spans="1:33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335"/>
      <c r="S627" s="335"/>
      <c r="T627" s="335"/>
      <c r="U627" s="303"/>
      <c r="V627" s="303"/>
      <c r="W627" s="303"/>
      <c r="X627" s="303"/>
      <c r="Y627" s="303"/>
      <c r="Z627" s="303"/>
      <c r="AA627" s="303"/>
      <c r="AB627" s="303"/>
      <c r="AC627" s="303"/>
      <c r="AD627" s="303"/>
      <c r="AE627" s="303"/>
      <c r="AF627" s="303"/>
      <c r="AG627" s="303"/>
    </row>
    <row r="628" spans="1:33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335"/>
      <c r="S628" s="335"/>
      <c r="T628" s="335"/>
      <c r="U628" s="303"/>
      <c r="V628" s="303"/>
      <c r="W628" s="303"/>
      <c r="X628" s="303"/>
      <c r="Y628" s="303"/>
      <c r="Z628" s="303"/>
      <c r="AA628" s="303"/>
      <c r="AB628" s="303"/>
      <c r="AC628" s="303"/>
      <c r="AD628" s="303"/>
      <c r="AE628" s="303"/>
      <c r="AF628" s="303"/>
      <c r="AG628" s="303"/>
    </row>
    <row r="629" spans="1:33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335"/>
      <c r="S629" s="335"/>
      <c r="T629" s="335"/>
      <c r="U629" s="303"/>
      <c r="V629" s="303"/>
      <c r="W629" s="303"/>
      <c r="X629" s="303"/>
      <c r="Y629" s="303"/>
      <c r="Z629" s="303"/>
      <c r="AA629" s="303"/>
      <c r="AB629" s="303"/>
      <c r="AC629" s="303"/>
      <c r="AD629" s="303"/>
      <c r="AE629" s="303"/>
      <c r="AF629" s="303"/>
      <c r="AG629" s="303"/>
    </row>
    <row r="630" spans="1:33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335"/>
      <c r="S630" s="335"/>
      <c r="T630" s="335"/>
      <c r="U630" s="303"/>
      <c r="V630" s="303"/>
      <c r="W630" s="303"/>
      <c r="X630" s="303"/>
      <c r="Y630" s="303"/>
      <c r="Z630" s="303"/>
      <c r="AA630" s="303"/>
      <c r="AB630" s="303"/>
      <c r="AC630" s="303"/>
      <c r="AD630" s="303"/>
      <c r="AE630" s="303"/>
      <c r="AF630" s="303"/>
      <c r="AG630" s="303"/>
    </row>
    <row r="631" spans="1:33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335"/>
      <c r="S631" s="335"/>
      <c r="T631" s="335"/>
      <c r="U631" s="303"/>
      <c r="V631" s="303"/>
      <c r="W631" s="303"/>
      <c r="X631" s="303"/>
      <c r="Y631" s="303"/>
      <c r="Z631" s="303"/>
      <c r="AA631" s="303"/>
      <c r="AB631" s="303"/>
      <c r="AC631" s="303"/>
      <c r="AD631" s="303"/>
      <c r="AE631" s="303"/>
      <c r="AF631" s="303"/>
      <c r="AG631" s="303"/>
    </row>
    <row r="632" spans="1:33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335"/>
      <c r="S632" s="335"/>
      <c r="T632" s="335"/>
      <c r="U632" s="303"/>
      <c r="V632" s="303"/>
      <c r="W632" s="303"/>
      <c r="X632" s="303"/>
      <c r="Y632" s="303"/>
      <c r="Z632" s="303"/>
      <c r="AA632" s="303"/>
      <c r="AB632" s="303"/>
      <c r="AC632" s="303"/>
      <c r="AD632" s="303"/>
      <c r="AE632" s="303"/>
      <c r="AF632" s="303"/>
      <c r="AG632" s="303"/>
    </row>
    <row r="633" spans="1:33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335"/>
      <c r="S633" s="335"/>
      <c r="T633" s="335"/>
      <c r="U633" s="303"/>
      <c r="V633" s="303"/>
      <c r="W633" s="303"/>
      <c r="X633" s="303"/>
      <c r="Y633" s="303"/>
      <c r="Z633" s="303"/>
      <c r="AA633" s="303"/>
      <c r="AB633" s="303"/>
      <c r="AC633" s="303"/>
      <c r="AD633" s="303"/>
      <c r="AE633" s="303"/>
      <c r="AF633" s="303"/>
      <c r="AG633" s="303"/>
    </row>
    <row r="634" spans="1:33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335"/>
      <c r="S634" s="335"/>
      <c r="T634" s="335"/>
      <c r="U634" s="303"/>
      <c r="V634" s="303"/>
      <c r="W634" s="303"/>
      <c r="X634" s="303"/>
      <c r="Y634" s="303"/>
      <c r="Z634" s="303"/>
      <c r="AA634" s="303"/>
      <c r="AB634" s="303"/>
      <c r="AC634" s="303"/>
      <c r="AD634" s="303"/>
      <c r="AE634" s="303"/>
      <c r="AF634" s="303"/>
      <c r="AG634" s="303"/>
    </row>
    <row r="635" spans="1:33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335"/>
      <c r="S635" s="335"/>
      <c r="T635" s="335"/>
      <c r="U635" s="303"/>
      <c r="V635" s="303"/>
      <c r="W635" s="303"/>
      <c r="X635" s="303"/>
      <c r="Y635" s="303"/>
      <c r="Z635" s="303"/>
      <c r="AA635" s="303"/>
      <c r="AB635" s="303"/>
      <c r="AC635" s="303"/>
      <c r="AD635" s="303"/>
      <c r="AE635" s="303"/>
      <c r="AF635" s="303"/>
      <c r="AG635" s="303"/>
    </row>
    <row r="636" spans="1:33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335"/>
      <c r="S636" s="335"/>
      <c r="T636" s="335"/>
      <c r="U636" s="303"/>
      <c r="V636" s="303"/>
      <c r="W636" s="303"/>
      <c r="X636" s="303"/>
      <c r="Y636" s="303"/>
      <c r="Z636" s="303"/>
      <c r="AA636" s="303"/>
      <c r="AB636" s="303"/>
      <c r="AC636" s="303"/>
      <c r="AD636" s="303"/>
      <c r="AE636" s="303"/>
      <c r="AF636" s="303"/>
      <c r="AG636" s="303"/>
    </row>
    <row r="637" spans="1:33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335"/>
      <c r="S637" s="335"/>
      <c r="T637" s="335"/>
      <c r="U637" s="303"/>
      <c r="V637" s="303"/>
      <c r="W637" s="303"/>
      <c r="X637" s="303"/>
      <c r="Y637" s="303"/>
      <c r="Z637" s="303"/>
      <c r="AA637" s="303"/>
      <c r="AB637" s="303"/>
      <c r="AC637" s="303"/>
      <c r="AD637" s="303"/>
      <c r="AE637" s="303"/>
      <c r="AF637" s="303"/>
      <c r="AG637" s="303"/>
    </row>
    <row r="638" spans="1:33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335"/>
      <c r="S638" s="335"/>
      <c r="T638" s="335"/>
      <c r="U638" s="303"/>
      <c r="V638" s="303"/>
      <c r="W638" s="303"/>
      <c r="X638" s="303"/>
      <c r="Y638" s="303"/>
      <c r="Z638" s="303"/>
      <c r="AA638" s="303"/>
      <c r="AB638" s="303"/>
      <c r="AC638" s="303"/>
      <c r="AD638" s="303"/>
      <c r="AE638" s="303"/>
      <c r="AF638" s="303"/>
      <c r="AG638" s="303"/>
    </row>
    <row r="639" spans="1:33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335"/>
      <c r="S639" s="335"/>
      <c r="T639" s="335"/>
      <c r="U639" s="303"/>
      <c r="V639" s="303"/>
      <c r="W639" s="303"/>
      <c r="X639" s="303"/>
      <c r="Y639" s="303"/>
      <c r="Z639" s="303"/>
      <c r="AA639" s="303"/>
      <c r="AB639" s="303"/>
      <c r="AC639" s="303"/>
      <c r="AD639" s="303"/>
      <c r="AE639" s="303"/>
      <c r="AF639" s="303"/>
      <c r="AG639" s="303"/>
    </row>
    <row r="640" spans="1:33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335"/>
      <c r="S640" s="335"/>
      <c r="T640" s="335"/>
      <c r="U640" s="303"/>
      <c r="V640" s="303"/>
      <c r="W640" s="303"/>
      <c r="X640" s="303"/>
      <c r="Y640" s="303"/>
      <c r="Z640" s="303"/>
      <c r="AA640" s="303"/>
      <c r="AB640" s="303"/>
      <c r="AC640" s="303"/>
      <c r="AD640" s="303"/>
      <c r="AE640" s="303"/>
      <c r="AF640" s="303"/>
      <c r="AG640" s="303"/>
    </row>
    <row r="641" spans="1:33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335"/>
      <c r="S641" s="335"/>
      <c r="T641" s="335"/>
      <c r="U641" s="303"/>
      <c r="V641" s="303"/>
      <c r="W641" s="303"/>
      <c r="X641" s="303"/>
      <c r="Y641" s="303"/>
      <c r="Z641" s="303"/>
      <c r="AA641" s="303"/>
      <c r="AB641" s="303"/>
      <c r="AC641" s="303"/>
      <c r="AD641" s="303"/>
      <c r="AE641" s="303"/>
      <c r="AF641" s="303"/>
      <c r="AG641" s="303"/>
    </row>
    <row r="642" spans="1:33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335"/>
      <c r="S642" s="335"/>
      <c r="T642" s="335"/>
      <c r="U642" s="303"/>
      <c r="V642" s="303"/>
      <c r="W642" s="303"/>
      <c r="X642" s="303"/>
      <c r="Y642" s="303"/>
      <c r="Z642" s="303"/>
      <c r="AA642" s="303"/>
      <c r="AB642" s="303"/>
      <c r="AC642" s="303"/>
      <c r="AD642" s="303"/>
      <c r="AE642" s="303"/>
      <c r="AF642" s="303"/>
      <c r="AG642" s="303"/>
    </row>
    <row r="643" spans="1:33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335"/>
      <c r="S643" s="335"/>
      <c r="T643" s="335"/>
      <c r="U643" s="303"/>
      <c r="V643" s="303"/>
      <c r="W643" s="303"/>
      <c r="X643" s="303"/>
      <c r="Y643" s="303"/>
      <c r="Z643" s="303"/>
      <c r="AA643" s="303"/>
      <c r="AB643" s="303"/>
      <c r="AC643" s="303"/>
      <c r="AD643" s="303"/>
      <c r="AE643" s="303"/>
      <c r="AF643" s="303"/>
      <c r="AG643" s="303"/>
    </row>
    <row r="644" spans="1:33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335"/>
      <c r="S644" s="335"/>
      <c r="T644" s="335"/>
      <c r="U644" s="303"/>
      <c r="V644" s="303"/>
      <c r="W644" s="303"/>
      <c r="X644" s="303"/>
      <c r="Y644" s="303"/>
      <c r="Z644" s="303"/>
      <c r="AA644" s="303"/>
      <c r="AB644" s="303"/>
      <c r="AC644" s="303"/>
      <c r="AD644" s="303"/>
      <c r="AE644" s="303"/>
      <c r="AF644" s="303"/>
      <c r="AG644" s="303"/>
    </row>
    <row r="645" spans="1:33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335"/>
      <c r="S645" s="335"/>
      <c r="T645" s="335"/>
      <c r="U645" s="303"/>
      <c r="V645" s="303"/>
      <c r="W645" s="303"/>
      <c r="X645" s="303"/>
      <c r="Y645" s="303"/>
      <c r="Z645" s="303"/>
      <c r="AA645" s="303"/>
      <c r="AB645" s="303"/>
      <c r="AC645" s="303"/>
      <c r="AD645" s="303"/>
      <c r="AE645" s="303"/>
      <c r="AF645" s="303"/>
      <c r="AG645" s="303"/>
    </row>
    <row r="646" spans="1:33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335"/>
      <c r="S646" s="335"/>
      <c r="T646" s="335"/>
      <c r="U646" s="303"/>
      <c r="V646" s="303"/>
      <c r="W646" s="303"/>
      <c r="X646" s="303"/>
      <c r="Y646" s="303"/>
      <c r="Z646" s="303"/>
      <c r="AA646" s="303"/>
      <c r="AB646" s="303"/>
      <c r="AC646" s="303"/>
      <c r="AD646" s="303"/>
      <c r="AE646" s="303"/>
      <c r="AF646" s="303"/>
      <c r="AG646" s="303"/>
    </row>
    <row r="647" spans="1:33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335"/>
      <c r="S647" s="335"/>
      <c r="T647" s="335"/>
      <c r="U647" s="303"/>
      <c r="V647" s="303"/>
      <c r="W647" s="303"/>
      <c r="X647" s="303"/>
      <c r="Y647" s="303"/>
      <c r="Z647" s="303"/>
      <c r="AA647" s="303"/>
      <c r="AB647" s="303"/>
      <c r="AC647" s="303"/>
      <c r="AD647" s="303"/>
      <c r="AE647" s="303"/>
      <c r="AF647" s="303"/>
      <c r="AG647" s="303"/>
    </row>
    <row r="648" spans="1:33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335"/>
      <c r="S648" s="335"/>
      <c r="T648" s="335"/>
      <c r="U648" s="303"/>
      <c r="V648" s="303"/>
      <c r="W648" s="303"/>
      <c r="X648" s="303"/>
      <c r="Y648" s="303"/>
      <c r="Z648" s="303"/>
      <c r="AA648" s="303"/>
      <c r="AB648" s="303"/>
      <c r="AC648" s="303"/>
      <c r="AD648" s="303"/>
      <c r="AE648" s="303"/>
      <c r="AF648" s="303"/>
      <c r="AG648" s="303"/>
    </row>
    <row r="649" spans="1:33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335"/>
      <c r="S649" s="335"/>
      <c r="T649" s="335"/>
      <c r="U649" s="303"/>
      <c r="V649" s="303"/>
      <c r="W649" s="303"/>
      <c r="X649" s="303"/>
      <c r="Y649" s="303"/>
      <c r="Z649" s="303"/>
      <c r="AA649" s="303"/>
      <c r="AB649" s="303"/>
      <c r="AC649" s="303"/>
      <c r="AD649" s="303"/>
      <c r="AE649" s="303"/>
      <c r="AF649" s="303"/>
      <c r="AG649" s="303"/>
    </row>
    <row r="650" spans="1:33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335"/>
      <c r="S650" s="335"/>
      <c r="T650" s="335"/>
      <c r="U650" s="303"/>
      <c r="V650" s="303"/>
      <c r="W650" s="303"/>
      <c r="X650" s="303"/>
      <c r="Y650" s="303"/>
      <c r="Z650" s="303"/>
      <c r="AA650" s="303"/>
      <c r="AB650" s="303"/>
      <c r="AC650" s="303"/>
      <c r="AD650" s="303"/>
      <c r="AE650" s="303"/>
      <c r="AF650" s="303"/>
      <c r="AG650" s="303"/>
    </row>
    <row r="651" spans="1:33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335"/>
      <c r="S651" s="335"/>
      <c r="T651" s="335"/>
      <c r="U651" s="303"/>
      <c r="V651" s="303"/>
      <c r="W651" s="303"/>
      <c r="X651" s="303"/>
      <c r="Y651" s="303"/>
      <c r="Z651" s="303"/>
      <c r="AA651" s="303"/>
      <c r="AB651" s="303"/>
      <c r="AC651" s="303"/>
      <c r="AD651" s="303"/>
      <c r="AE651" s="303"/>
      <c r="AF651" s="303"/>
      <c r="AG651" s="303"/>
    </row>
    <row r="652" spans="1:33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335"/>
      <c r="S652" s="335"/>
      <c r="T652" s="335"/>
      <c r="U652" s="303"/>
      <c r="V652" s="303"/>
      <c r="W652" s="303"/>
      <c r="X652" s="303"/>
      <c r="Y652" s="303"/>
      <c r="Z652" s="303"/>
      <c r="AA652" s="303"/>
      <c r="AB652" s="303"/>
      <c r="AC652" s="303"/>
      <c r="AD652" s="303"/>
      <c r="AE652" s="303"/>
      <c r="AF652" s="303"/>
      <c r="AG652" s="303"/>
    </row>
    <row r="653" spans="1:33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335"/>
      <c r="S653" s="335"/>
      <c r="T653" s="335"/>
      <c r="U653" s="303"/>
      <c r="V653" s="303"/>
      <c r="W653" s="303"/>
      <c r="X653" s="303"/>
      <c r="Y653" s="303"/>
      <c r="Z653" s="303"/>
      <c r="AA653" s="303"/>
      <c r="AB653" s="303"/>
      <c r="AC653" s="303"/>
      <c r="AD653" s="303"/>
      <c r="AE653" s="303"/>
      <c r="AF653" s="303"/>
      <c r="AG653" s="303"/>
    </row>
    <row r="654" spans="1:33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335"/>
      <c r="S654" s="335"/>
      <c r="T654" s="335"/>
      <c r="U654" s="303"/>
      <c r="V654" s="303"/>
      <c r="W654" s="303"/>
      <c r="X654" s="303"/>
      <c r="Y654" s="303"/>
      <c r="Z654" s="303"/>
      <c r="AA654" s="303"/>
      <c r="AB654" s="303"/>
      <c r="AC654" s="303"/>
      <c r="AD654" s="303"/>
      <c r="AE654" s="303"/>
      <c r="AF654" s="303"/>
      <c r="AG654" s="303"/>
    </row>
    <row r="655" spans="1:33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335"/>
      <c r="S655" s="335"/>
      <c r="T655" s="335"/>
      <c r="U655" s="303"/>
      <c r="V655" s="303"/>
      <c r="W655" s="303"/>
      <c r="X655" s="303"/>
      <c r="Y655" s="303"/>
      <c r="Z655" s="303"/>
      <c r="AA655" s="303"/>
      <c r="AB655" s="303"/>
      <c r="AC655" s="303"/>
      <c r="AD655" s="303"/>
      <c r="AE655" s="303"/>
      <c r="AF655" s="303"/>
      <c r="AG655" s="303"/>
    </row>
    <row r="656" spans="1:33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335"/>
      <c r="S656" s="335"/>
      <c r="T656" s="335"/>
      <c r="U656" s="303"/>
      <c r="V656" s="303"/>
      <c r="W656" s="303"/>
      <c r="X656" s="303"/>
      <c r="Y656" s="303"/>
      <c r="Z656" s="303"/>
      <c r="AA656" s="303"/>
      <c r="AB656" s="303"/>
      <c r="AC656" s="303"/>
      <c r="AD656" s="303"/>
      <c r="AE656" s="303"/>
      <c r="AF656" s="303"/>
      <c r="AG656" s="303"/>
    </row>
    <row r="657" spans="1:33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335"/>
      <c r="S657" s="335"/>
      <c r="T657" s="335"/>
      <c r="U657" s="303"/>
      <c r="V657" s="303"/>
      <c r="W657" s="303"/>
      <c r="X657" s="303"/>
      <c r="Y657" s="303"/>
      <c r="Z657" s="303"/>
      <c r="AA657" s="303"/>
      <c r="AB657" s="303"/>
      <c r="AC657" s="303"/>
      <c r="AD657" s="303"/>
      <c r="AE657" s="303"/>
      <c r="AF657" s="303"/>
      <c r="AG657" s="303"/>
    </row>
    <row r="658" spans="1:33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335"/>
      <c r="S658" s="335"/>
      <c r="T658" s="335"/>
      <c r="U658" s="303"/>
      <c r="V658" s="303"/>
      <c r="W658" s="303"/>
      <c r="X658" s="303"/>
      <c r="Y658" s="303"/>
      <c r="Z658" s="303"/>
      <c r="AA658" s="303"/>
      <c r="AB658" s="303"/>
      <c r="AC658" s="303"/>
      <c r="AD658" s="303"/>
      <c r="AE658" s="303"/>
      <c r="AF658" s="303"/>
      <c r="AG658" s="303"/>
    </row>
    <row r="659" spans="1:33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335"/>
      <c r="S659" s="335"/>
      <c r="T659" s="335"/>
      <c r="U659" s="303"/>
      <c r="V659" s="303"/>
      <c r="W659" s="303"/>
      <c r="X659" s="303"/>
      <c r="Y659" s="303"/>
      <c r="Z659" s="303"/>
      <c r="AA659" s="303"/>
      <c r="AB659" s="303"/>
      <c r="AC659" s="303"/>
      <c r="AD659" s="303"/>
      <c r="AE659" s="303"/>
      <c r="AF659" s="303"/>
      <c r="AG659" s="303"/>
    </row>
    <row r="660" spans="1:33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335"/>
      <c r="S660" s="335"/>
      <c r="T660" s="335"/>
      <c r="U660" s="303"/>
      <c r="V660" s="303"/>
      <c r="W660" s="303"/>
      <c r="X660" s="303"/>
      <c r="Y660" s="303"/>
      <c r="Z660" s="303"/>
      <c r="AA660" s="303"/>
      <c r="AB660" s="303"/>
      <c r="AC660" s="303"/>
      <c r="AD660" s="303"/>
      <c r="AE660" s="303"/>
      <c r="AF660" s="303"/>
      <c r="AG660" s="303"/>
    </row>
    <row r="661" spans="1:33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335"/>
      <c r="S661" s="335"/>
      <c r="T661" s="335"/>
      <c r="U661" s="303"/>
      <c r="V661" s="303"/>
      <c r="W661" s="303"/>
      <c r="X661" s="303"/>
      <c r="Y661" s="303"/>
      <c r="Z661" s="303"/>
      <c r="AA661" s="303"/>
      <c r="AB661" s="303"/>
      <c r="AC661" s="303"/>
      <c r="AD661" s="303"/>
      <c r="AE661" s="303"/>
      <c r="AF661" s="303"/>
      <c r="AG661" s="303"/>
    </row>
    <row r="662" spans="1:33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335"/>
      <c r="S662" s="335"/>
      <c r="T662" s="335"/>
      <c r="U662" s="303"/>
      <c r="V662" s="303"/>
      <c r="W662" s="303"/>
      <c r="X662" s="303"/>
      <c r="Y662" s="303"/>
      <c r="Z662" s="303"/>
      <c r="AA662" s="303"/>
      <c r="AB662" s="303"/>
      <c r="AC662" s="303"/>
      <c r="AD662" s="303"/>
      <c r="AE662" s="303"/>
      <c r="AF662" s="303"/>
      <c r="AG662" s="303"/>
    </row>
    <row r="663" spans="1:33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335"/>
      <c r="S663" s="335"/>
      <c r="T663" s="335"/>
      <c r="U663" s="303"/>
      <c r="V663" s="303"/>
      <c r="W663" s="303"/>
      <c r="X663" s="303"/>
      <c r="Y663" s="303"/>
      <c r="Z663" s="303"/>
      <c r="AA663" s="303"/>
      <c r="AB663" s="303"/>
      <c r="AC663" s="303"/>
      <c r="AD663" s="303"/>
      <c r="AE663" s="303"/>
      <c r="AF663" s="303"/>
      <c r="AG663" s="303"/>
    </row>
    <row r="664" spans="1:33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335"/>
      <c r="S664" s="335"/>
      <c r="T664" s="335"/>
      <c r="U664" s="303"/>
      <c r="V664" s="303"/>
      <c r="W664" s="303"/>
      <c r="X664" s="303"/>
      <c r="Y664" s="303"/>
      <c r="Z664" s="303"/>
      <c r="AA664" s="303"/>
      <c r="AB664" s="303"/>
      <c r="AC664" s="303"/>
      <c r="AD664" s="303"/>
      <c r="AE664" s="303"/>
      <c r="AF664" s="303"/>
      <c r="AG664" s="303"/>
    </row>
    <row r="665" spans="1:33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335"/>
      <c r="S665" s="335"/>
      <c r="T665" s="335"/>
      <c r="U665" s="303"/>
      <c r="V665" s="303"/>
      <c r="W665" s="303"/>
      <c r="X665" s="303"/>
      <c r="Y665" s="303"/>
      <c r="Z665" s="303"/>
      <c r="AA665" s="303"/>
      <c r="AB665" s="303"/>
      <c r="AC665" s="303"/>
      <c r="AD665" s="303"/>
      <c r="AE665" s="303"/>
      <c r="AF665" s="303"/>
      <c r="AG665" s="303"/>
    </row>
    <row r="666" spans="1:33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335"/>
      <c r="S666" s="335"/>
      <c r="T666" s="335"/>
      <c r="U666" s="303"/>
      <c r="V666" s="303"/>
      <c r="W666" s="303"/>
      <c r="X666" s="303"/>
      <c r="Y666" s="303"/>
      <c r="Z666" s="303"/>
      <c r="AA666" s="303"/>
      <c r="AB666" s="303"/>
      <c r="AC666" s="303"/>
      <c r="AD666" s="303"/>
      <c r="AE666" s="303"/>
      <c r="AF666" s="303"/>
      <c r="AG666" s="303"/>
    </row>
    <row r="667" spans="1:33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335"/>
      <c r="S667" s="335"/>
      <c r="T667" s="335"/>
      <c r="U667" s="303"/>
      <c r="V667" s="303"/>
      <c r="W667" s="303"/>
      <c r="X667" s="303"/>
      <c r="Y667" s="303"/>
      <c r="Z667" s="303"/>
      <c r="AA667" s="303"/>
      <c r="AB667" s="303"/>
      <c r="AC667" s="303"/>
      <c r="AD667" s="303"/>
      <c r="AE667" s="303"/>
      <c r="AF667" s="303"/>
      <c r="AG667" s="303"/>
    </row>
    <row r="668" spans="1:33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335"/>
      <c r="S668" s="335"/>
      <c r="T668" s="335"/>
      <c r="U668" s="303"/>
      <c r="V668" s="303"/>
      <c r="W668" s="303"/>
      <c r="X668" s="303"/>
      <c r="Y668" s="303"/>
      <c r="Z668" s="303"/>
      <c r="AA668" s="303"/>
      <c r="AB668" s="303"/>
      <c r="AC668" s="303"/>
      <c r="AD668" s="303"/>
      <c r="AE668" s="303"/>
      <c r="AF668" s="303"/>
      <c r="AG668" s="303"/>
    </row>
    <row r="669" spans="1:33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335"/>
      <c r="S669" s="335"/>
      <c r="T669" s="335"/>
      <c r="U669" s="303"/>
      <c r="V669" s="303"/>
      <c r="W669" s="303"/>
      <c r="X669" s="303"/>
      <c r="Y669" s="303"/>
      <c r="Z669" s="303"/>
      <c r="AA669" s="303"/>
      <c r="AB669" s="303"/>
      <c r="AC669" s="303"/>
      <c r="AD669" s="303"/>
      <c r="AE669" s="303"/>
      <c r="AF669" s="303"/>
      <c r="AG669" s="303"/>
    </row>
    <row r="670" spans="1:33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335"/>
      <c r="S670" s="335"/>
      <c r="T670" s="335"/>
      <c r="U670" s="303"/>
      <c r="V670" s="303"/>
      <c r="W670" s="303"/>
      <c r="X670" s="303"/>
      <c r="Y670" s="303"/>
      <c r="Z670" s="303"/>
      <c r="AA670" s="303"/>
      <c r="AB670" s="303"/>
      <c r="AC670" s="303"/>
      <c r="AD670" s="303"/>
      <c r="AE670" s="303"/>
      <c r="AF670" s="303"/>
      <c r="AG670" s="303"/>
    </row>
    <row r="671" spans="1:33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335"/>
      <c r="S671" s="335"/>
      <c r="T671" s="335"/>
      <c r="U671" s="303"/>
      <c r="V671" s="303"/>
      <c r="W671" s="303"/>
      <c r="X671" s="303"/>
      <c r="Y671" s="303"/>
      <c r="Z671" s="303"/>
      <c r="AA671" s="303"/>
      <c r="AB671" s="303"/>
      <c r="AC671" s="303"/>
      <c r="AD671" s="303"/>
      <c r="AE671" s="303"/>
      <c r="AF671" s="303"/>
      <c r="AG671" s="303"/>
    </row>
    <row r="672" spans="1:33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335"/>
      <c r="S672" s="335"/>
      <c r="T672" s="335"/>
      <c r="U672" s="303"/>
      <c r="V672" s="303"/>
      <c r="W672" s="303"/>
      <c r="X672" s="303"/>
      <c r="Y672" s="303"/>
      <c r="Z672" s="303"/>
      <c r="AA672" s="303"/>
      <c r="AB672" s="303"/>
      <c r="AC672" s="303"/>
      <c r="AD672" s="303"/>
      <c r="AE672" s="303"/>
      <c r="AF672" s="303"/>
      <c r="AG672" s="303"/>
    </row>
    <row r="673" spans="1:33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335"/>
      <c r="S673" s="335"/>
      <c r="T673" s="335"/>
      <c r="U673" s="303"/>
      <c r="V673" s="303"/>
      <c r="W673" s="303"/>
      <c r="X673" s="303"/>
      <c r="Y673" s="303"/>
      <c r="Z673" s="303"/>
      <c r="AA673" s="303"/>
      <c r="AB673" s="303"/>
      <c r="AC673" s="303"/>
      <c r="AD673" s="303"/>
      <c r="AE673" s="303"/>
      <c r="AF673" s="303"/>
      <c r="AG673" s="303"/>
    </row>
    <row r="674" spans="1:33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335"/>
      <c r="S674" s="335"/>
      <c r="T674" s="335"/>
      <c r="U674" s="303"/>
      <c r="V674" s="303"/>
      <c r="W674" s="303"/>
      <c r="X674" s="303"/>
      <c r="Y674" s="303"/>
      <c r="Z674" s="303"/>
      <c r="AA674" s="303"/>
      <c r="AB674" s="303"/>
      <c r="AC674" s="303"/>
      <c r="AD674" s="303"/>
      <c r="AE674" s="303"/>
      <c r="AF674" s="303"/>
      <c r="AG674" s="303"/>
    </row>
    <row r="675" spans="1:33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335"/>
      <c r="S675" s="335"/>
      <c r="T675" s="335"/>
      <c r="U675" s="303"/>
      <c r="V675" s="303"/>
      <c r="W675" s="303"/>
      <c r="X675" s="303"/>
      <c r="Y675" s="303"/>
      <c r="Z675" s="303"/>
      <c r="AA675" s="303"/>
      <c r="AB675" s="303"/>
      <c r="AC675" s="303"/>
      <c r="AD675" s="303"/>
      <c r="AE675" s="303"/>
      <c r="AF675" s="303"/>
      <c r="AG675" s="303"/>
    </row>
    <row r="676" spans="1:33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335"/>
      <c r="S676" s="335"/>
      <c r="T676" s="335"/>
      <c r="U676" s="303"/>
      <c r="V676" s="303"/>
      <c r="W676" s="303"/>
      <c r="X676" s="303"/>
      <c r="Y676" s="303"/>
      <c r="Z676" s="303"/>
      <c r="AA676" s="303"/>
      <c r="AB676" s="303"/>
      <c r="AC676" s="303"/>
      <c r="AD676" s="303"/>
      <c r="AE676" s="303"/>
      <c r="AF676" s="303"/>
      <c r="AG676" s="303"/>
    </row>
    <row r="677" spans="1:33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335"/>
      <c r="S677" s="335"/>
      <c r="T677" s="335"/>
      <c r="U677" s="303"/>
      <c r="V677" s="303"/>
      <c r="W677" s="303"/>
      <c r="X677" s="303"/>
      <c r="Y677" s="303"/>
      <c r="Z677" s="303"/>
      <c r="AA677" s="303"/>
      <c r="AB677" s="303"/>
      <c r="AC677" s="303"/>
      <c r="AD677" s="303"/>
      <c r="AE677" s="303"/>
      <c r="AF677" s="303"/>
      <c r="AG677" s="303"/>
    </row>
    <row r="678" spans="1:33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335"/>
      <c r="S678" s="335"/>
      <c r="T678" s="335"/>
      <c r="U678" s="303"/>
      <c r="V678" s="303"/>
      <c r="W678" s="303"/>
      <c r="X678" s="303"/>
      <c r="Y678" s="303"/>
      <c r="Z678" s="303"/>
      <c r="AA678" s="303"/>
      <c r="AB678" s="303"/>
      <c r="AC678" s="303"/>
      <c r="AD678" s="303"/>
      <c r="AE678" s="303"/>
      <c r="AF678" s="303"/>
      <c r="AG678" s="303"/>
    </row>
    <row r="679" spans="1:33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335"/>
      <c r="S679" s="335"/>
      <c r="T679" s="335"/>
      <c r="U679" s="303"/>
      <c r="V679" s="303"/>
      <c r="W679" s="303"/>
      <c r="X679" s="303"/>
      <c r="Y679" s="303"/>
      <c r="Z679" s="303"/>
      <c r="AA679" s="303"/>
      <c r="AB679" s="303"/>
      <c r="AC679" s="303"/>
      <c r="AD679" s="303"/>
      <c r="AE679" s="303"/>
      <c r="AF679" s="303"/>
      <c r="AG679" s="303"/>
    </row>
    <row r="680" spans="1:33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335"/>
      <c r="S680" s="335"/>
      <c r="T680" s="335"/>
      <c r="U680" s="303"/>
      <c r="V680" s="303"/>
      <c r="W680" s="303"/>
      <c r="X680" s="303"/>
      <c r="Y680" s="303"/>
      <c r="Z680" s="303"/>
      <c r="AA680" s="303"/>
      <c r="AB680" s="303"/>
      <c r="AC680" s="303"/>
      <c r="AD680" s="303"/>
      <c r="AE680" s="303"/>
      <c r="AF680" s="303"/>
      <c r="AG680" s="303"/>
    </row>
    <row r="681" spans="1:33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335"/>
      <c r="S681" s="335"/>
      <c r="T681" s="335"/>
      <c r="U681" s="303"/>
      <c r="V681" s="303"/>
      <c r="W681" s="303"/>
      <c r="X681" s="303"/>
      <c r="Y681" s="303"/>
      <c r="Z681" s="303"/>
      <c r="AA681" s="303"/>
      <c r="AB681" s="303"/>
      <c r="AC681" s="303"/>
      <c r="AD681" s="303"/>
      <c r="AE681" s="303"/>
      <c r="AF681" s="303"/>
      <c r="AG681" s="303"/>
    </row>
    <row r="682" spans="1:33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335"/>
      <c r="S682" s="335"/>
      <c r="T682" s="335"/>
      <c r="U682" s="303"/>
      <c r="V682" s="303"/>
      <c r="W682" s="303"/>
      <c r="X682" s="303"/>
      <c r="Y682" s="303"/>
      <c r="Z682" s="303"/>
      <c r="AA682" s="303"/>
      <c r="AB682" s="303"/>
      <c r="AC682" s="303"/>
      <c r="AD682" s="303"/>
      <c r="AE682" s="303"/>
      <c r="AF682" s="303"/>
      <c r="AG682" s="303"/>
    </row>
    <row r="683" spans="1:33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335"/>
      <c r="S683" s="335"/>
      <c r="T683" s="335"/>
      <c r="U683" s="303"/>
      <c r="V683" s="303"/>
      <c r="W683" s="303"/>
      <c r="X683" s="303"/>
      <c r="Y683" s="303"/>
      <c r="Z683" s="303"/>
      <c r="AA683" s="303"/>
      <c r="AB683" s="303"/>
      <c r="AC683" s="303"/>
      <c r="AD683" s="303"/>
      <c r="AE683" s="303"/>
      <c r="AF683" s="303"/>
      <c r="AG683" s="303"/>
    </row>
    <row r="684" spans="1:33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335"/>
      <c r="S684" s="335"/>
      <c r="T684" s="335"/>
      <c r="U684" s="303"/>
      <c r="V684" s="303"/>
      <c r="W684" s="303"/>
      <c r="X684" s="303"/>
      <c r="Y684" s="303"/>
      <c r="Z684" s="303"/>
      <c r="AA684" s="303"/>
      <c r="AB684" s="303"/>
      <c r="AC684" s="303"/>
      <c r="AD684" s="303"/>
      <c r="AE684" s="303"/>
      <c r="AF684" s="303"/>
      <c r="AG684" s="303"/>
    </row>
    <row r="685" spans="1:33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335"/>
      <c r="S685" s="335"/>
      <c r="T685" s="335"/>
      <c r="U685" s="303"/>
      <c r="V685" s="303"/>
      <c r="W685" s="303"/>
      <c r="X685" s="303"/>
      <c r="Y685" s="303"/>
      <c r="Z685" s="303"/>
      <c r="AA685" s="303"/>
      <c r="AB685" s="303"/>
      <c r="AC685" s="303"/>
      <c r="AD685" s="303"/>
      <c r="AE685" s="303"/>
      <c r="AF685" s="303"/>
      <c r="AG685" s="303"/>
    </row>
    <row r="686" spans="1:33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335"/>
      <c r="S686" s="335"/>
      <c r="T686" s="335"/>
      <c r="U686" s="303"/>
      <c r="V686" s="303"/>
      <c r="W686" s="303"/>
      <c r="X686" s="303"/>
      <c r="Y686" s="303"/>
      <c r="Z686" s="303"/>
      <c r="AA686" s="303"/>
      <c r="AB686" s="303"/>
      <c r="AC686" s="303"/>
      <c r="AD686" s="303"/>
      <c r="AE686" s="303"/>
      <c r="AF686" s="303"/>
      <c r="AG686" s="303"/>
    </row>
    <row r="687" spans="1:33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335"/>
      <c r="S687" s="335"/>
      <c r="T687" s="335"/>
      <c r="U687" s="303"/>
      <c r="V687" s="303"/>
      <c r="W687" s="303"/>
      <c r="X687" s="303"/>
      <c r="Y687" s="303"/>
      <c r="Z687" s="303"/>
      <c r="AA687" s="303"/>
      <c r="AB687" s="303"/>
      <c r="AC687" s="303"/>
      <c r="AD687" s="303"/>
      <c r="AE687" s="303"/>
      <c r="AF687" s="303"/>
      <c r="AG687" s="303"/>
    </row>
    <row r="688" spans="1:33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335"/>
      <c r="S688" s="335"/>
      <c r="T688" s="335"/>
      <c r="U688" s="303"/>
      <c r="V688" s="303"/>
      <c r="W688" s="303"/>
      <c r="X688" s="303"/>
      <c r="Y688" s="303"/>
      <c r="Z688" s="303"/>
      <c r="AA688" s="303"/>
      <c r="AB688" s="303"/>
      <c r="AC688" s="303"/>
      <c r="AD688" s="303"/>
      <c r="AE688" s="303"/>
      <c r="AF688" s="303"/>
      <c r="AG688" s="303"/>
    </row>
    <row r="689" spans="1:33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335"/>
      <c r="S689" s="335"/>
      <c r="T689" s="335"/>
      <c r="U689" s="303"/>
      <c r="V689" s="303"/>
      <c r="W689" s="303"/>
      <c r="X689" s="303"/>
      <c r="Y689" s="303"/>
      <c r="Z689" s="303"/>
      <c r="AA689" s="303"/>
      <c r="AB689" s="303"/>
      <c r="AC689" s="303"/>
      <c r="AD689" s="303"/>
      <c r="AE689" s="303"/>
      <c r="AF689" s="303"/>
      <c r="AG689" s="303"/>
    </row>
    <row r="690" spans="1:33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335"/>
      <c r="S690" s="335"/>
      <c r="T690" s="335"/>
      <c r="U690" s="303"/>
      <c r="V690" s="303"/>
      <c r="W690" s="303"/>
      <c r="X690" s="303"/>
      <c r="Y690" s="303"/>
      <c r="Z690" s="303"/>
      <c r="AA690" s="303"/>
      <c r="AB690" s="303"/>
      <c r="AC690" s="303"/>
      <c r="AD690" s="303"/>
      <c r="AE690" s="303"/>
      <c r="AF690" s="303"/>
      <c r="AG690" s="303"/>
    </row>
    <row r="691" spans="1:33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335"/>
      <c r="S691" s="335"/>
      <c r="T691" s="335"/>
      <c r="U691" s="303"/>
      <c r="V691" s="303"/>
      <c r="W691" s="303"/>
      <c r="X691" s="303"/>
      <c r="Y691" s="303"/>
      <c r="Z691" s="303"/>
      <c r="AA691" s="303"/>
      <c r="AB691" s="303"/>
      <c r="AC691" s="303"/>
      <c r="AD691" s="303"/>
      <c r="AE691" s="303"/>
      <c r="AF691" s="303"/>
      <c r="AG691" s="303"/>
    </row>
    <row r="692" spans="1:33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335"/>
      <c r="S692" s="335"/>
      <c r="T692" s="335"/>
      <c r="U692" s="303"/>
      <c r="V692" s="303"/>
      <c r="W692" s="303"/>
      <c r="X692" s="303"/>
      <c r="Y692" s="303"/>
      <c r="Z692" s="303"/>
      <c r="AA692" s="303"/>
      <c r="AB692" s="303"/>
      <c r="AC692" s="303"/>
      <c r="AD692" s="303"/>
      <c r="AE692" s="303"/>
      <c r="AF692" s="303"/>
      <c r="AG692" s="303"/>
    </row>
    <row r="693" spans="1:33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335"/>
      <c r="S693" s="335"/>
      <c r="T693" s="335"/>
      <c r="U693" s="303"/>
      <c r="V693" s="303"/>
      <c r="W693" s="303"/>
      <c r="X693" s="303"/>
      <c r="Y693" s="303"/>
      <c r="Z693" s="303"/>
      <c r="AA693" s="303"/>
      <c r="AB693" s="303"/>
      <c r="AC693" s="303"/>
      <c r="AD693" s="303"/>
      <c r="AE693" s="303"/>
      <c r="AF693" s="303"/>
      <c r="AG693" s="303"/>
    </row>
    <row r="694" spans="1:33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335"/>
      <c r="S694" s="335"/>
      <c r="T694" s="335"/>
      <c r="U694" s="303"/>
      <c r="V694" s="303"/>
      <c r="W694" s="303"/>
      <c r="X694" s="303"/>
      <c r="Y694" s="303"/>
      <c r="Z694" s="303"/>
      <c r="AA694" s="303"/>
      <c r="AB694" s="303"/>
      <c r="AC694" s="303"/>
      <c r="AD694" s="303"/>
      <c r="AE694" s="303"/>
      <c r="AF694" s="303"/>
      <c r="AG694" s="303"/>
    </row>
    <row r="695" spans="1:33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335"/>
      <c r="S695" s="335"/>
      <c r="T695" s="335"/>
      <c r="U695" s="303"/>
      <c r="V695" s="303"/>
      <c r="W695" s="303"/>
      <c r="X695" s="303"/>
      <c r="Y695" s="303"/>
      <c r="Z695" s="303"/>
      <c r="AA695" s="303"/>
      <c r="AB695" s="303"/>
      <c r="AC695" s="303"/>
      <c r="AD695" s="303"/>
      <c r="AE695" s="303"/>
      <c r="AF695" s="303"/>
      <c r="AG695" s="303"/>
    </row>
    <row r="696" spans="1:33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335"/>
      <c r="S696" s="335"/>
      <c r="T696" s="335"/>
      <c r="U696" s="303"/>
      <c r="V696" s="303"/>
      <c r="W696" s="303"/>
      <c r="X696" s="303"/>
      <c r="Y696" s="303"/>
      <c r="Z696" s="303"/>
      <c r="AA696" s="303"/>
      <c r="AB696" s="303"/>
      <c r="AC696" s="303"/>
      <c r="AD696" s="303"/>
      <c r="AE696" s="303"/>
      <c r="AF696" s="303"/>
      <c r="AG696" s="303"/>
    </row>
    <row r="697" spans="1:33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335"/>
      <c r="S697" s="335"/>
      <c r="T697" s="335"/>
      <c r="U697" s="303"/>
      <c r="V697" s="303"/>
      <c r="W697" s="303"/>
      <c r="X697" s="303"/>
      <c r="Y697" s="303"/>
      <c r="Z697" s="303"/>
      <c r="AA697" s="303"/>
      <c r="AB697" s="303"/>
      <c r="AC697" s="303"/>
      <c r="AD697" s="303"/>
      <c r="AE697" s="303"/>
      <c r="AF697" s="303"/>
      <c r="AG697" s="303"/>
    </row>
    <row r="698" spans="1:33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335"/>
      <c r="S698" s="335"/>
      <c r="T698" s="335"/>
      <c r="U698" s="303"/>
      <c r="V698" s="303"/>
      <c r="W698" s="303"/>
      <c r="X698" s="303"/>
      <c r="Y698" s="303"/>
      <c r="Z698" s="303"/>
      <c r="AA698" s="303"/>
      <c r="AB698" s="303"/>
      <c r="AC698" s="303"/>
      <c r="AD698" s="303"/>
      <c r="AE698" s="303"/>
      <c r="AF698" s="303"/>
      <c r="AG698" s="303"/>
    </row>
    <row r="699" spans="1:33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335"/>
      <c r="S699" s="335"/>
      <c r="T699" s="335"/>
      <c r="U699" s="303"/>
      <c r="V699" s="303"/>
      <c r="W699" s="303"/>
      <c r="X699" s="303"/>
      <c r="Y699" s="303"/>
      <c r="Z699" s="303"/>
      <c r="AA699" s="303"/>
      <c r="AB699" s="303"/>
      <c r="AC699" s="303"/>
      <c r="AD699" s="303"/>
      <c r="AE699" s="303"/>
      <c r="AF699" s="303"/>
      <c r="AG699" s="303"/>
    </row>
    <row r="700" spans="1:33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335"/>
      <c r="S700" s="335"/>
      <c r="T700" s="335"/>
      <c r="U700" s="303"/>
      <c r="V700" s="303"/>
      <c r="W700" s="303"/>
      <c r="X700" s="303"/>
      <c r="Y700" s="303"/>
      <c r="Z700" s="303"/>
      <c r="AA700" s="303"/>
      <c r="AB700" s="303"/>
      <c r="AC700" s="303"/>
      <c r="AD700" s="303"/>
      <c r="AE700" s="303"/>
      <c r="AF700" s="303"/>
      <c r="AG700" s="303"/>
    </row>
    <row r="701" spans="1:33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335"/>
      <c r="S701" s="335"/>
      <c r="T701" s="335"/>
      <c r="U701" s="303"/>
      <c r="V701" s="303"/>
      <c r="W701" s="303"/>
      <c r="X701" s="303"/>
      <c r="Y701" s="303"/>
      <c r="Z701" s="303"/>
      <c r="AA701" s="303"/>
      <c r="AB701" s="303"/>
      <c r="AC701" s="303"/>
      <c r="AD701" s="303"/>
      <c r="AE701" s="303"/>
      <c r="AF701" s="303"/>
      <c r="AG701" s="303"/>
    </row>
    <row r="702" spans="1:33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335"/>
      <c r="S702" s="335"/>
      <c r="T702" s="335"/>
      <c r="U702" s="303"/>
      <c r="V702" s="303"/>
      <c r="W702" s="303"/>
      <c r="X702" s="303"/>
      <c r="Y702" s="303"/>
      <c r="Z702" s="303"/>
      <c r="AA702" s="303"/>
      <c r="AB702" s="303"/>
      <c r="AC702" s="303"/>
      <c r="AD702" s="303"/>
      <c r="AE702" s="303"/>
      <c r="AF702" s="303"/>
      <c r="AG702" s="303"/>
    </row>
    <row r="703" spans="1:33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335"/>
      <c r="S703" s="335"/>
      <c r="T703" s="335"/>
      <c r="U703" s="303"/>
      <c r="V703" s="303"/>
      <c r="W703" s="303"/>
      <c r="X703" s="303"/>
      <c r="Y703" s="303"/>
      <c r="Z703" s="303"/>
      <c r="AA703" s="303"/>
      <c r="AB703" s="303"/>
      <c r="AC703" s="303"/>
      <c r="AD703" s="303"/>
      <c r="AE703" s="303"/>
      <c r="AF703" s="303"/>
      <c r="AG703" s="303"/>
    </row>
    <row r="704" spans="1:33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335"/>
      <c r="S704" s="335"/>
      <c r="T704" s="335"/>
      <c r="U704" s="303"/>
      <c r="V704" s="303"/>
      <c r="W704" s="303"/>
      <c r="X704" s="303"/>
      <c r="Y704" s="303"/>
      <c r="Z704" s="303"/>
      <c r="AA704" s="303"/>
      <c r="AB704" s="303"/>
      <c r="AC704" s="303"/>
      <c r="AD704" s="303"/>
      <c r="AE704" s="303"/>
      <c r="AF704" s="303"/>
      <c r="AG704" s="303"/>
    </row>
    <row r="705" spans="1:33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335"/>
      <c r="S705" s="335"/>
      <c r="T705" s="335"/>
      <c r="U705" s="303"/>
      <c r="V705" s="303"/>
      <c r="W705" s="303"/>
      <c r="X705" s="303"/>
      <c r="Y705" s="303"/>
      <c r="Z705" s="303"/>
      <c r="AA705" s="303"/>
      <c r="AB705" s="303"/>
      <c r="AC705" s="303"/>
      <c r="AD705" s="303"/>
      <c r="AE705" s="303"/>
      <c r="AF705" s="303"/>
      <c r="AG705" s="303"/>
    </row>
    <row r="706" spans="1:33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335"/>
      <c r="S706" s="335"/>
      <c r="T706" s="335"/>
      <c r="U706" s="303"/>
      <c r="V706" s="303"/>
      <c r="W706" s="303"/>
      <c r="X706" s="303"/>
      <c r="Y706" s="303"/>
      <c r="Z706" s="303"/>
      <c r="AA706" s="303"/>
      <c r="AB706" s="303"/>
      <c r="AC706" s="303"/>
      <c r="AD706" s="303"/>
      <c r="AE706" s="303"/>
      <c r="AF706" s="303"/>
      <c r="AG706" s="303"/>
    </row>
    <row r="707" spans="1:33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335"/>
      <c r="S707" s="335"/>
      <c r="T707" s="335"/>
      <c r="U707" s="303"/>
      <c r="V707" s="303"/>
      <c r="W707" s="303"/>
      <c r="X707" s="303"/>
      <c r="Y707" s="303"/>
      <c r="Z707" s="303"/>
      <c r="AA707" s="303"/>
      <c r="AB707" s="303"/>
      <c r="AC707" s="303"/>
      <c r="AD707" s="303"/>
      <c r="AE707" s="303"/>
      <c r="AF707" s="303"/>
      <c r="AG707" s="303"/>
    </row>
    <row r="708" spans="1:33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335"/>
      <c r="S708" s="335"/>
      <c r="T708" s="335"/>
      <c r="U708" s="303"/>
      <c r="V708" s="303"/>
      <c r="W708" s="303"/>
      <c r="X708" s="303"/>
      <c r="Y708" s="303"/>
      <c r="Z708" s="303"/>
      <c r="AA708" s="303"/>
      <c r="AB708" s="303"/>
      <c r="AC708" s="303"/>
      <c r="AD708" s="303"/>
      <c r="AE708" s="303"/>
      <c r="AF708" s="303"/>
      <c r="AG708" s="303"/>
    </row>
    <row r="709" spans="1:33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335"/>
      <c r="S709" s="335"/>
      <c r="T709" s="335"/>
      <c r="U709" s="303"/>
      <c r="V709" s="303"/>
      <c r="W709" s="303"/>
      <c r="X709" s="303"/>
      <c r="Y709" s="303"/>
      <c r="Z709" s="303"/>
      <c r="AA709" s="303"/>
      <c r="AB709" s="303"/>
      <c r="AC709" s="303"/>
      <c r="AD709" s="303"/>
      <c r="AE709" s="303"/>
      <c r="AF709" s="303"/>
      <c r="AG709" s="303"/>
    </row>
    <row r="710" spans="1:33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335"/>
      <c r="S710" s="335"/>
      <c r="T710" s="335"/>
      <c r="U710" s="303"/>
      <c r="V710" s="303"/>
      <c r="W710" s="303"/>
      <c r="X710" s="303"/>
      <c r="Y710" s="303"/>
      <c r="Z710" s="303"/>
      <c r="AA710" s="303"/>
      <c r="AB710" s="303"/>
      <c r="AC710" s="303"/>
      <c r="AD710" s="303"/>
      <c r="AE710" s="303"/>
      <c r="AF710" s="303"/>
      <c r="AG710" s="303"/>
    </row>
    <row r="711" spans="1:33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335"/>
      <c r="S711" s="335"/>
      <c r="T711" s="335"/>
      <c r="U711" s="303"/>
      <c r="V711" s="303"/>
      <c r="W711" s="303"/>
      <c r="X711" s="303"/>
      <c r="Y711" s="303"/>
      <c r="Z711" s="303"/>
      <c r="AA711" s="303"/>
      <c r="AB711" s="303"/>
      <c r="AC711" s="303"/>
      <c r="AD711" s="303"/>
      <c r="AE711" s="303"/>
      <c r="AF711" s="303"/>
      <c r="AG711" s="303"/>
    </row>
    <row r="712" spans="1:33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335"/>
      <c r="S712" s="335"/>
      <c r="T712" s="335"/>
      <c r="U712" s="303"/>
      <c r="V712" s="303"/>
      <c r="W712" s="303"/>
      <c r="X712" s="303"/>
      <c r="Y712" s="303"/>
      <c r="Z712" s="303"/>
      <c r="AA712" s="303"/>
      <c r="AB712" s="303"/>
      <c r="AC712" s="303"/>
      <c r="AD712" s="303"/>
      <c r="AE712" s="303"/>
      <c r="AF712" s="303"/>
      <c r="AG712" s="303"/>
    </row>
    <row r="713" spans="1:33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335"/>
      <c r="S713" s="335"/>
      <c r="T713" s="335"/>
      <c r="U713" s="303"/>
      <c r="V713" s="303"/>
      <c r="W713" s="303"/>
      <c r="X713" s="303"/>
      <c r="Y713" s="303"/>
      <c r="Z713" s="303"/>
      <c r="AA713" s="303"/>
      <c r="AB713" s="303"/>
      <c r="AC713" s="303"/>
      <c r="AD713" s="303"/>
      <c r="AE713" s="303"/>
      <c r="AF713" s="303"/>
      <c r="AG713" s="303"/>
    </row>
    <row r="714" spans="1:33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335"/>
      <c r="S714" s="335"/>
      <c r="T714" s="335"/>
      <c r="U714" s="303"/>
      <c r="V714" s="303"/>
      <c r="W714" s="303"/>
      <c r="X714" s="303"/>
      <c r="Y714" s="303"/>
      <c r="Z714" s="303"/>
      <c r="AA714" s="303"/>
      <c r="AB714" s="303"/>
      <c r="AC714" s="303"/>
      <c r="AD714" s="303"/>
      <c r="AE714" s="303"/>
      <c r="AF714" s="303"/>
      <c r="AG714" s="303"/>
    </row>
    <row r="715" spans="1:33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335"/>
      <c r="S715" s="335"/>
      <c r="T715" s="335"/>
      <c r="U715" s="303"/>
      <c r="V715" s="303"/>
      <c r="W715" s="303"/>
      <c r="X715" s="303"/>
      <c r="Y715" s="303"/>
      <c r="Z715" s="303"/>
      <c r="AA715" s="303"/>
      <c r="AB715" s="303"/>
      <c r="AC715" s="303"/>
      <c r="AD715" s="303"/>
      <c r="AE715" s="303"/>
      <c r="AF715" s="303"/>
      <c r="AG715" s="303"/>
    </row>
    <row r="716" spans="1:33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335"/>
      <c r="S716" s="335"/>
      <c r="T716" s="335"/>
      <c r="U716" s="303"/>
      <c r="V716" s="303"/>
      <c r="W716" s="303"/>
      <c r="X716" s="303"/>
      <c r="Y716" s="303"/>
      <c r="Z716" s="303"/>
      <c r="AA716" s="303"/>
      <c r="AB716" s="303"/>
      <c r="AC716" s="303"/>
      <c r="AD716" s="303"/>
      <c r="AE716" s="303"/>
      <c r="AF716" s="303"/>
      <c r="AG716" s="303"/>
    </row>
    <row r="717" spans="1:33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335"/>
      <c r="S717" s="335"/>
      <c r="T717" s="335"/>
      <c r="U717" s="303"/>
      <c r="V717" s="303"/>
      <c r="W717" s="303"/>
      <c r="X717" s="303"/>
      <c r="Y717" s="303"/>
      <c r="Z717" s="303"/>
      <c r="AA717" s="303"/>
      <c r="AB717" s="303"/>
      <c r="AC717" s="303"/>
      <c r="AD717" s="303"/>
      <c r="AE717" s="303"/>
      <c r="AF717" s="303"/>
      <c r="AG717" s="303"/>
    </row>
    <row r="718" spans="1:33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335"/>
      <c r="S718" s="335"/>
      <c r="T718" s="335"/>
      <c r="U718" s="303"/>
      <c r="V718" s="303"/>
      <c r="W718" s="303"/>
      <c r="X718" s="303"/>
      <c r="Y718" s="303"/>
      <c r="Z718" s="303"/>
      <c r="AA718" s="303"/>
      <c r="AB718" s="303"/>
      <c r="AC718" s="303"/>
      <c r="AD718" s="303"/>
      <c r="AE718" s="303"/>
      <c r="AF718" s="303"/>
      <c r="AG718" s="303"/>
    </row>
    <row r="719" spans="1:33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335"/>
      <c r="S719" s="335"/>
      <c r="T719" s="335"/>
      <c r="U719" s="303"/>
      <c r="V719" s="303"/>
      <c r="W719" s="303"/>
      <c r="X719" s="303"/>
      <c r="Y719" s="303"/>
      <c r="Z719" s="303"/>
      <c r="AA719" s="303"/>
      <c r="AB719" s="303"/>
      <c r="AC719" s="303"/>
      <c r="AD719" s="303"/>
      <c r="AE719" s="303"/>
      <c r="AF719" s="303"/>
      <c r="AG719" s="303"/>
    </row>
    <row r="720" spans="1:33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335"/>
      <c r="S720" s="335"/>
      <c r="T720" s="335"/>
      <c r="U720" s="303"/>
      <c r="V720" s="303"/>
      <c r="W720" s="303"/>
      <c r="X720" s="303"/>
      <c r="Y720" s="303"/>
      <c r="Z720" s="303"/>
      <c r="AA720" s="303"/>
      <c r="AB720" s="303"/>
      <c r="AC720" s="303"/>
      <c r="AD720" s="303"/>
      <c r="AE720" s="303"/>
      <c r="AF720" s="303"/>
      <c r="AG720" s="303"/>
    </row>
    <row r="721" spans="1:33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335"/>
      <c r="S721" s="335"/>
      <c r="T721" s="335"/>
      <c r="U721" s="303"/>
      <c r="V721" s="303"/>
      <c r="W721" s="303"/>
      <c r="X721" s="303"/>
      <c r="Y721" s="303"/>
      <c r="Z721" s="303"/>
      <c r="AA721" s="303"/>
      <c r="AB721" s="303"/>
      <c r="AC721" s="303"/>
      <c r="AD721" s="303"/>
      <c r="AE721" s="303"/>
      <c r="AF721" s="303"/>
      <c r="AG721" s="303"/>
    </row>
    <row r="722" spans="1:33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335"/>
      <c r="S722" s="335"/>
      <c r="T722" s="335"/>
      <c r="U722" s="303"/>
      <c r="V722" s="303"/>
      <c r="W722" s="303"/>
      <c r="X722" s="303"/>
      <c r="Y722" s="303"/>
      <c r="Z722" s="303"/>
      <c r="AA722" s="303"/>
      <c r="AB722" s="303"/>
      <c r="AC722" s="303"/>
      <c r="AD722" s="303"/>
      <c r="AE722" s="303"/>
      <c r="AF722" s="303"/>
      <c r="AG722" s="303"/>
    </row>
    <row r="723" spans="1:33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335"/>
      <c r="S723" s="335"/>
      <c r="T723" s="335"/>
      <c r="U723" s="303"/>
      <c r="V723" s="303"/>
      <c r="W723" s="303"/>
      <c r="X723" s="303"/>
      <c r="Y723" s="303"/>
      <c r="Z723" s="303"/>
      <c r="AA723" s="303"/>
      <c r="AB723" s="303"/>
      <c r="AC723" s="303"/>
      <c r="AD723" s="303"/>
      <c r="AE723" s="303"/>
      <c r="AF723" s="303"/>
      <c r="AG723" s="303"/>
    </row>
    <row r="724" spans="1:33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335"/>
      <c r="S724" s="335"/>
      <c r="T724" s="335"/>
      <c r="U724" s="303"/>
      <c r="V724" s="303"/>
      <c r="W724" s="303"/>
      <c r="X724" s="303"/>
      <c r="Y724" s="303"/>
      <c r="Z724" s="303"/>
      <c r="AA724" s="303"/>
      <c r="AB724" s="303"/>
      <c r="AC724" s="303"/>
      <c r="AD724" s="303"/>
      <c r="AE724" s="303"/>
      <c r="AF724" s="303"/>
      <c r="AG724" s="303"/>
    </row>
    <row r="725" spans="1:33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335"/>
      <c r="S725" s="335"/>
      <c r="T725" s="335"/>
      <c r="U725" s="303"/>
      <c r="V725" s="303"/>
      <c r="W725" s="303"/>
      <c r="X725" s="303"/>
      <c r="Y725" s="303"/>
      <c r="Z725" s="303"/>
      <c r="AA725" s="303"/>
      <c r="AB725" s="303"/>
      <c r="AC725" s="303"/>
      <c r="AD725" s="303"/>
      <c r="AE725" s="303"/>
      <c r="AF725" s="303"/>
      <c r="AG725" s="303"/>
    </row>
    <row r="726" spans="1:33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335"/>
      <c r="S726" s="335"/>
      <c r="T726" s="335"/>
      <c r="U726" s="303"/>
      <c r="V726" s="303"/>
      <c r="W726" s="303"/>
      <c r="X726" s="303"/>
      <c r="Y726" s="303"/>
      <c r="Z726" s="303"/>
      <c r="AA726" s="303"/>
      <c r="AB726" s="303"/>
      <c r="AC726" s="303"/>
      <c r="AD726" s="303"/>
      <c r="AE726" s="303"/>
      <c r="AF726" s="303"/>
      <c r="AG726" s="303"/>
    </row>
    <row r="727" spans="1:33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335"/>
      <c r="S727" s="335"/>
      <c r="T727" s="335"/>
      <c r="U727" s="303"/>
      <c r="V727" s="303"/>
      <c r="W727" s="303"/>
      <c r="X727" s="303"/>
      <c r="Y727" s="303"/>
      <c r="Z727" s="303"/>
      <c r="AA727" s="303"/>
      <c r="AB727" s="303"/>
      <c r="AC727" s="303"/>
      <c r="AD727" s="303"/>
      <c r="AE727" s="303"/>
      <c r="AF727" s="303"/>
      <c r="AG727" s="303"/>
    </row>
    <row r="728" spans="1:33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335"/>
      <c r="S728" s="335"/>
      <c r="T728" s="335"/>
      <c r="U728" s="303"/>
      <c r="V728" s="303"/>
      <c r="W728" s="303"/>
      <c r="X728" s="303"/>
      <c r="Y728" s="303"/>
      <c r="Z728" s="303"/>
      <c r="AA728" s="303"/>
      <c r="AB728" s="303"/>
      <c r="AC728" s="303"/>
      <c r="AD728" s="303"/>
      <c r="AE728" s="303"/>
      <c r="AF728" s="303"/>
      <c r="AG728" s="303"/>
    </row>
    <row r="729" spans="1:33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335"/>
      <c r="S729" s="335"/>
      <c r="T729" s="335"/>
      <c r="U729" s="303"/>
      <c r="V729" s="303"/>
      <c r="W729" s="303"/>
      <c r="X729" s="303"/>
      <c r="Y729" s="303"/>
      <c r="Z729" s="303"/>
      <c r="AA729" s="303"/>
      <c r="AB729" s="303"/>
      <c r="AC729" s="303"/>
      <c r="AD729" s="303"/>
      <c r="AE729" s="303"/>
      <c r="AF729" s="303"/>
      <c r="AG729" s="303"/>
    </row>
    <row r="730" spans="1:33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335"/>
      <c r="S730" s="335"/>
      <c r="T730" s="335"/>
      <c r="U730" s="303"/>
      <c r="V730" s="303"/>
      <c r="W730" s="303"/>
      <c r="X730" s="303"/>
      <c r="Y730" s="303"/>
      <c r="Z730" s="303"/>
      <c r="AA730" s="303"/>
      <c r="AB730" s="303"/>
      <c r="AC730" s="303"/>
      <c r="AD730" s="303"/>
      <c r="AE730" s="303"/>
      <c r="AF730" s="303"/>
      <c r="AG730" s="303"/>
    </row>
    <row r="731" spans="1:33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335"/>
      <c r="S731" s="335"/>
      <c r="T731" s="335"/>
      <c r="U731" s="303"/>
      <c r="V731" s="303"/>
      <c r="W731" s="303"/>
      <c r="X731" s="303"/>
      <c r="Y731" s="303"/>
      <c r="Z731" s="303"/>
      <c r="AA731" s="303"/>
      <c r="AB731" s="303"/>
      <c r="AC731" s="303"/>
      <c r="AD731" s="303"/>
      <c r="AE731" s="303"/>
      <c r="AF731" s="303"/>
      <c r="AG731" s="303"/>
    </row>
    <row r="732" spans="1:33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335"/>
      <c r="S732" s="335"/>
      <c r="T732" s="335"/>
      <c r="U732" s="303"/>
      <c r="V732" s="303"/>
      <c r="W732" s="303"/>
      <c r="X732" s="303"/>
      <c r="Y732" s="303"/>
      <c r="Z732" s="303"/>
      <c r="AA732" s="303"/>
      <c r="AB732" s="303"/>
      <c r="AC732" s="303"/>
      <c r="AD732" s="303"/>
      <c r="AE732" s="303"/>
      <c r="AF732" s="303"/>
      <c r="AG732" s="303"/>
    </row>
    <row r="733" spans="1:33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335"/>
      <c r="S733" s="335"/>
      <c r="T733" s="335"/>
      <c r="U733" s="303"/>
      <c r="V733" s="303"/>
      <c r="W733" s="303"/>
      <c r="X733" s="303"/>
      <c r="Y733" s="303"/>
      <c r="Z733" s="303"/>
      <c r="AA733" s="303"/>
      <c r="AB733" s="303"/>
      <c r="AC733" s="303"/>
      <c r="AD733" s="303"/>
      <c r="AE733" s="303"/>
      <c r="AF733" s="303"/>
      <c r="AG733" s="303"/>
    </row>
    <row r="734" spans="1:33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335"/>
      <c r="S734" s="335"/>
      <c r="T734" s="335"/>
      <c r="U734" s="303"/>
      <c r="V734" s="303"/>
      <c r="W734" s="303"/>
      <c r="X734" s="303"/>
      <c r="Y734" s="303"/>
      <c r="Z734" s="303"/>
      <c r="AA734" s="303"/>
      <c r="AB734" s="303"/>
      <c r="AC734" s="303"/>
      <c r="AD734" s="303"/>
      <c r="AE734" s="303"/>
      <c r="AF734" s="303"/>
      <c r="AG734" s="303"/>
    </row>
    <row r="735" spans="1:33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335"/>
      <c r="S735" s="335"/>
      <c r="T735" s="335"/>
      <c r="U735" s="303"/>
      <c r="V735" s="303"/>
      <c r="W735" s="303"/>
      <c r="X735" s="303"/>
      <c r="Y735" s="303"/>
      <c r="Z735" s="303"/>
      <c r="AA735" s="303"/>
      <c r="AB735" s="303"/>
      <c r="AC735" s="303"/>
      <c r="AD735" s="303"/>
      <c r="AE735" s="303"/>
      <c r="AF735" s="303"/>
      <c r="AG735" s="303"/>
    </row>
    <row r="736" spans="1:33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335"/>
      <c r="S736" s="335"/>
      <c r="T736" s="335"/>
      <c r="U736" s="303"/>
      <c r="V736" s="303"/>
      <c r="W736" s="303"/>
      <c r="X736" s="303"/>
      <c r="Y736" s="303"/>
      <c r="Z736" s="303"/>
      <c r="AA736" s="303"/>
      <c r="AB736" s="303"/>
      <c r="AC736" s="303"/>
      <c r="AD736" s="303"/>
      <c r="AE736" s="303"/>
      <c r="AF736" s="303"/>
      <c r="AG736" s="303"/>
    </row>
    <row r="737" spans="1:33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335"/>
      <c r="S737" s="335"/>
      <c r="T737" s="335"/>
      <c r="U737" s="303"/>
      <c r="V737" s="303"/>
      <c r="W737" s="303"/>
      <c r="X737" s="303"/>
      <c r="Y737" s="303"/>
      <c r="Z737" s="303"/>
      <c r="AA737" s="303"/>
      <c r="AB737" s="303"/>
      <c r="AC737" s="303"/>
      <c r="AD737" s="303"/>
      <c r="AE737" s="303"/>
      <c r="AF737" s="303"/>
      <c r="AG737" s="303"/>
    </row>
    <row r="738" spans="1:33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335"/>
      <c r="S738" s="335"/>
      <c r="T738" s="335"/>
      <c r="U738" s="303"/>
      <c r="V738" s="303"/>
      <c r="W738" s="303"/>
      <c r="X738" s="303"/>
      <c r="Y738" s="303"/>
      <c r="Z738" s="303"/>
      <c r="AA738" s="303"/>
      <c r="AB738" s="303"/>
      <c r="AC738" s="303"/>
      <c r="AD738" s="303"/>
      <c r="AE738" s="303"/>
      <c r="AF738" s="303"/>
      <c r="AG738" s="303"/>
    </row>
    <row r="739" spans="1:33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335"/>
      <c r="S739" s="335"/>
      <c r="T739" s="335"/>
      <c r="U739" s="303"/>
      <c r="V739" s="303"/>
      <c r="W739" s="303"/>
      <c r="X739" s="303"/>
      <c r="Y739" s="303"/>
      <c r="Z739" s="303"/>
      <c r="AA739" s="303"/>
      <c r="AB739" s="303"/>
      <c r="AC739" s="303"/>
      <c r="AD739" s="303"/>
      <c r="AE739" s="303"/>
      <c r="AF739" s="303"/>
      <c r="AG739" s="303"/>
    </row>
    <row r="740" spans="1:33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335"/>
      <c r="S740" s="335"/>
      <c r="T740" s="335"/>
      <c r="U740" s="303"/>
      <c r="V740" s="303"/>
      <c r="W740" s="303"/>
      <c r="X740" s="303"/>
      <c r="Y740" s="303"/>
      <c r="Z740" s="303"/>
      <c r="AA740" s="303"/>
      <c r="AB740" s="303"/>
      <c r="AC740" s="303"/>
      <c r="AD740" s="303"/>
      <c r="AE740" s="303"/>
      <c r="AF740" s="303"/>
      <c r="AG740" s="303"/>
    </row>
    <row r="741" spans="1:33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335"/>
      <c r="S741" s="335"/>
      <c r="T741" s="335"/>
      <c r="U741" s="303"/>
      <c r="V741" s="303"/>
      <c r="W741" s="303"/>
      <c r="X741" s="303"/>
      <c r="Y741" s="303"/>
      <c r="Z741" s="303"/>
      <c r="AA741" s="303"/>
      <c r="AB741" s="303"/>
      <c r="AC741" s="303"/>
      <c r="AD741" s="303"/>
      <c r="AE741" s="303"/>
      <c r="AF741" s="303"/>
      <c r="AG741" s="303"/>
    </row>
    <row r="742" spans="1:33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335"/>
      <c r="S742" s="335"/>
      <c r="T742" s="335"/>
      <c r="U742" s="303"/>
      <c r="V742" s="303"/>
      <c r="W742" s="303"/>
      <c r="X742" s="303"/>
      <c r="Y742" s="303"/>
      <c r="Z742" s="303"/>
      <c r="AA742" s="303"/>
      <c r="AB742" s="303"/>
      <c r="AC742" s="303"/>
      <c r="AD742" s="303"/>
      <c r="AE742" s="303"/>
      <c r="AF742" s="303"/>
      <c r="AG742" s="303"/>
    </row>
    <row r="743" spans="1:33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335"/>
      <c r="S743" s="335"/>
      <c r="T743" s="335"/>
      <c r="U743" s="303"/>
      <c r="V743" s="303"/>
      <c r="W743" s="303"/>
      <c r="X743" s="303"/>
      <c r="Y743" s="303"/>
      <c r="Z743" s="303"/>
      <c r="AA743" s="303"/>
      <c r="AB743" s="303"/>
      <c r="AC743" s="303"/>
      <c r="AD743" s="303"/>
      <c r="AE743" s="303"/>
      <c r="AF743" s="303"/>
      <c r="AG743" s="303"/>
    </row>
    <row r="744" spans="1:33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335"/>
      <c r="S744" s="335"/>
      <c r="T744" s="335"/>
      <c r="U744" s="303"/>
      <c r="V744" s="303"/>
      <c r="W744" s="303"/>
      <c r="X744" s="303"/>
      <c r="Y744" s="303"/>
      <c r="Z744" s="303"/>
      <c r="AA744" s="303"/>
      <c r="AB744" s="303"/>
      <c r="AC744" s="303"/>
      <c r="AD744" s="303"/>
      <c r="AE744" s="303"/>
      <c r="AF744" s="303"/>
      <c r="AG744" s="303"/>
    </row>
    <row r="745" spans="1:33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335"/>
      <c r="S745" s="335"/>
      <c r="T745" s="335"/>
      <c r="U745" s="303"/>
      <c r="V745" s="303"/>
      <c r="W745" s="303"/>
      <c r="X745" s="303"/>
      <c r="Y745" s="303"/>
      <c r="Z745" s="303"/>
      <c r="AA745" s="303"/>
      <c r="AB745" s="303"/>
      <c r="AC745" s="303"/>
      <c r="AD745" s="303"/>
      <c r="AE745" s="303"/>
      <c r="AF745" s="303"/>
      <c r="AG745" s="303"/>
    </row>
    <row r="746" spans="1:33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335"/>
      <c r="S746" s="335"/>
      <c r="T746" s="335"/>
      <c r="U746" s="303"/>
      <c r="V746" s="303"/>
      <c r="W746" s="303"/>
      <c r="X746" s="303"/>
      <c r="Y746" s="303"/>
      <c r="Z746" s="303"/>
      <c r="AA746" s="303"/>
      <c r="AB746" s="303"/>
      <c r="AC746" s="303"/>
      <c r="AD746" s="303"/>
      <c r="AE746" s="303"/>
      <c r="AF746" s="303"/>
      <c r="AG746" s="303"/>
    </row>
    <row r="747" spans="1:33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335"/>
      <c r="S747" s="335"/>
      <c r="T747" s="335"/>
      <c r="U747" s="303"/>
      <c r="V747" s="303"/>
      <c r="W747" s="303"/>
      <c r="X747" s="303"/>
      <c r="Y747" s="303"/>
      <c r="Z747" s="303"/>
      <c r="AA747" s="303"/>
      <c r="AB747" s="303"/>
      <c r="AC747" s="303"/>
      <c r="AD747" s="303"/>
      <c r="AE747" s="303"/>
      <c r="AF747" s="303"/>
      <c r="AG747" s="303"/>
    </row>
    <row r="748" spans="1:33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335"/>
      <c r="S748" s="335"/>
      <c r="T748" s="335"/>
      <c r="U748" s="303"/>
      <c r="V748" s="303"/>
      <c r="W748" s="303"/>
      <c r="X748" s="303"/>
      <c r="Y748" s="303"/>
      <c r="Z748" s="303"/>
      <c r="AA748" s="303"/>
      <c r="AB748" s="303"/>
      <c r="AC748" s="303"/>
      <c r="AD748" s="303"/>
      <c r="AE748" s="303"/>
      <c r="AF748" s="303"/>
      <c r="AG748" s="303"/>
    </row>
    <row r="749" spans="1:33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335"/>
      <c r="S749" s="335"/>
      <c r="T749" s="335"/>
      <c r="U749" s="303"/>
      <c r="V749" s="303"/>
      <c r="W749" s="303"/>
      <c r="X749" s="303"/>
      <c r="Y749" s="303"/>
      <c r="Z749" s="303"/>
      <c r="AA749" s="303"/>
      <c r="AB749" s="303"/>
      <c r="AC749" s="303"/>
      <c r="AD749" s="303"/>
      <c r="AE749" s="303"/>
      <c r="AF749" s="303"/>
      <c r="AG749" s="303"/>
    </row>
    <row r="750" spans="1:33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335"/>
      <c r="S750" s="335"/>
      <c r="T750" s="335"/>
      <c r="U750" s="303"/>
      <c r="V750" s="303"/>
      <c r="W750" s="303"/>
      <c r="X750" s="303"/>
      <c r="Y750" s="303"/>
      <c r="Z750" s="303"/>
      <c r="AA750" s="303"/>
      <c r="AB750" s="303"/>
      <c r="AC750" s="303"/>
      <c r="AD750" s="303"/>
      <c r="AE750" s="303"/>
      <c r="AF750" s="303"/>
      <c r="AG750" s="303"/>
    </row>
    <row r="751" spans="1:33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335"/>
      <c r="S751" s="335"/>
      <c r="T751" s="335"/>
      <c r="U751" s="303"/>
      <c r="V751" s="303"/>
      <c r="W751" s="303"/>
      <c r="X751" s="303"/>
      <c r="Y751" s="303"/>
      <c r="Z751" s="303"/>
      <c r="AA751" s="303"/>
      <c r="AB751" s="303"/>
      <c r="AC751" s="303"/>
      <c r="AD751" s="303"/>
      <c r="AE751" s="303"/>
      <c r="AF751" s="303"/>
      <c r="AG751" s="303"/>
    </row>
    <row r="752" spans="1:33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335"/>
      <c r="S752" s="335"/>
      <c r="T752" s="335"/>
      <c r="U752" s="303"/>
      <c r="V752" s="303"/>
      <c r="W752" s="303"/>
      <c r="X752" s="303"/>
      <c r="Y752" s="303"/>
      <c r="Z752" s="303"/>
      <c r="AA752" s="303"/>
      <c r="AB752" s="303"/>
      <c r="AC752" s="303"/>
      <c r="AD752" s="303"/>
      <c r="AE752" s="303"/>
      <c r="AF752" s="303"/>
      <c r="AG752" s="303"/>
    </row>
    <row r="753" spans="1:33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335"/>
      <c r="S753" s="335"/>
      <c r="T753" s="335"/>
      <c r="U753" s="303"/>
      <c r="V753" s="303"/>
      <c r="W753" s="303"/>
      <c r="X753" s="303"/>
      <c r="Y753" s="303"/>
      <c r="Z753" s="303"/>
      <c r="AA753" s="303"/>
      <c r="AB753" s="303"/>
      <c r="AC753" s="303"/>
      <c r="AD753" s="303"/>
      <c r="AE753" s="303"/>
      <c r="AF753" s="303"/>
      <c r="AG753" s="303"/>
    </row>
    <row r="754" spans="1:33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335"/>
      <c r="S754" s="335"/>
      <c r="T754" s="335"/>
      <c r="U754" s="303"/>
      <c r="V754" s="303"/>
      <c r="W754" s="303"/>
      <c r="X754" s="303"/>
      <c r="Y754" s="303"/>
      <c r="Z754" s="303"/>
      <c r="AA754" s="303"/>
      <c r="AB754" s="303"/>
      <c r="AC754" s="303"/>
      <c r="AD754" s="303"/>
      <c r="AE754" s="303"/>
      <c r="AF754" s="303"/>
      <c r="AG754" s="303"/>
    </row>
    <row r="755" spans="1:33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335"/>
      <c r="S755" s="335"/>
      <c r="T755" s="335"/>
      <c r="U755" s="303"/>
      <c r="V755" s="303"/>
      <c r="W755" s="303"/>
      <c r="X755" s="303"/>
      <c r="Y755" s="303"/>
      <c r="Z755" s="303"/>
      <c r="AA755" s="303"/>
      <c r="AB755" s="303"/>
      <c r="AC755" s="303"/>
      <c r="AD755" s="303"/>
      <c r="AE755" s="303"/>
      <c r="AF755" s="303"/>
      <c r="AG755" s="303"/>
    </row>
    <row r="756" spans="1:33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335"/>
      <c r="S756" s="335"/>
      <c r="T756" s="335"/>
      <c r="U756" s="303"/>
      <c r="V756" s="303"/>
      <c r="W756" s="303"/>
      <c r="X756" s="303"/>
      <c r="Y756" s="303"/>
      <c r="Z756" s="303"/>
      <c r="AA756" s="303"/>
      <c r="AB756" s="303"/>
      <c r="AC756" s="303"/>
      <c r="AD756" s="303"/>
      <c r="AE756" s="303"/>
      <c r="AF756" s="303"/>
      <c r="AG756" s="303"/>
    </row>
    <row r="757" spans="1:33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335"/>
      <c r="S757" s="335"/>
      <c r="T757" s="335"/>
      <c r="U757" s="303"/>
      <c r="V757" s="303"/>
      <c r="W757" s="303"/>
      <c r="X757" s="303"/>
      <c r="Y757" s="303"/>
      <c r="Z757" s="303"/>
      <c r="AA757" s="303"/>
      <c r="AB757" s="303"/>
      <c r="AC757" s="303"/>
      <c r="AD757" s="303"/>
      <c r="AE757" s="303"/>
      <c r="AF757" s="303"/>
      <c r="AG757" s="303"/>
    </row>
    <row r="758" spans="1:33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335"/>
      <c r="S758" s="335"/>
      <c r="T758" s="335"/>
      <c r="U758" s="303"/>
      <c r="V758" s="303"/>
      <c r="W758" s="303"/>
      <c r="X758" s="303"/>
      <c r="Y758" s="303"/>
      <c r="Z758" s="303"/>
      <c r="AA758" s="303"/>
      <c r="AB758" s="303"/>
      <c r="AC758" s="303"/>
      <c r="AD758" s="303"/>
      <c r="AE758" s="303"/>
      <c r="AF758" s="303"/>
      <c r="AG758" s="303"/>
    </row>
    <row r="759" spans="1:33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335"/>
      <c r="S759" s="335"/>
      <c r="T759" s="335"/>
      <c r="U759" s="303"/>
      <c r="V759" s="303"/>
      <c r="W759" s="303"/>
      <c r="X759" s="303"/>
      <c r="Y759" s="303"/>
      <c r="Z759" s="303"/>
      <c r="AA759" s="303"/>
      <c r="AB759" s="303"/>
      <c r="AC759" s="303"/>
      <c r="AD759" s="303"/>
      <c r="AE759" s="303"/>
      <c r="AF759" s="303"/>
      <c r="AG759" s="303"/>
    </row>
    <row r="760" spans="1:33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335"/>
      <c r="S760" s="335"/>
      <c r="T760" s="335"/>
      <c r="U760" s="303"/>
      <c r="V760" s="303"/>
      <c r="W760" s="303"/>
      <c r="X760" s="303"/>
      <c r="Y760" s="303"/>
      <c r="Z760" s="303"/>
      <c r="AA760" s="303"/>
      <c r="AB760" s="303"/>
      <c r="AC760" s="303"/>
      <c r="AD760" s="303"/>
      <c r="AE760" s="303"/>
      <c r="AF760" s="303"/>
      <c r="AG760" s="303"/>
    </row>
    <row r="761" spans="1:33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335"/>
      <c r="S761" s="335"/>
      <c r="T761" s="335"/>
      <c r="U761" s="303"/>
      <c r="V761" s="303"/>
      <c r="W761" s="303"/>
      <c r="X761" s="303"/>
      <c r="Y761" s="303"/>
      <c r="Z761" s="303"/>
      <c r="AA761" s="303"/>
      <c r="AB761" s="303"/>
      <c r="AC761" s="303"/>
      <c r="AD761" s="303"/>
      <c r="AE761" s="303"/>
      <c r="AF761" s="303"/>
      <c r="AG761" s="303"/>
    </row>
    <row r="762" spans="1:33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335"/>
      <c r="S762" s="335"/>
      <c r="T762" s="335"/>
      <c r="U762" s="303"/>
      <c r="V762" s="303"/>
      <c r="W762" s="303"/>
      <c r="X762" s="303"/>
      <c r="Y762" s="303"/>
      <c r="Z762" s="303"/>
      <c r="AA762" s="303"/>
      <c r="AB762" s="303"/>
      <c r="AC762" s="303"/>
      <c r="AD762" s="303"/>
      <c r="AE762" s="303"/>
      <c r="AF762" s="303"/>
      <c r="AG762" s="303"/>
    </row>
    <row r="763" spans="1:33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335"/>
      <c r="S763" s="335"/>
      <c r="T763" s="335"/>
      <c r="U763" s="303"/>
      <c r="V763" s="303"/>
      <c r="W763" s="303"/>
      <c r="X763" s="303"/>
      <c r="Y763" s="303"/>
      <c r="Z763" s="303"/>
      <c r="AA763" s="303"/>
      <c r="AB763" s="303"/>
      <c r="AC763" s="303"/>
      <c r="AD763" s="303"/>
      <c r="AE763" s="303"/>
      <c r="AF763" s="303"/>
      <c r="AG763" s="303"/>
    </row>
    <row r="764" spans="1:33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335"/>
      <c r="S764" s="335"/>
      <c r="T764" s="335"/>
      <c r="U764" s="303"/>
      <c r="V764" s="303"/>
      <c r="W764" s="303"/>
      <c r="X764" s="303"/>
      <c r="Y764" s="303"/>
      <c r="Z764" s="303"/>
      <c r="AA764" s="303"/>
      <c r="AB764" s="303"/>
      <c r="AC764" s="303"/>
      <c r="AD764" s="303"/>
      <c r="AE764" s="303"/>
      <c r="AF764" s="303"/>
      <c r="AG764" s="303"/>
    </row>
    <row r="765" spans="1:33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335"/>
      <c r="S765" s="335"/>
      <c r="T765" s="335"/>
      <c r="U765" s="303"/>
      <c r="V765" s="303"/>
      <c r="W765" s="303"/>
      <c r="X765" s="303"/>
      <c r="Y765" s="303"/>
      <c r="Z765" s="303"/>
      <c r="AA765" s="303"/>
      <c r="AB765" s="303"/>
      <c r="AC765" s="303"/>
      <c r="AD765" s="303"/>
      <c r="AE765" s="303"/>
      <c r="AF765" s="303"/>
      <c r="AG765" s="303"/>
    </row>
    <row r="766" spans="1:33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335"/>
      <c r="S766" s="335"/>
      <c r="T766" s="335"/>
      <c r="U766" s="303"/>
      <c r="V766" s="303"/>
      <c r="W766" s="303"/>
      <c r="X766" s="303"/>
      <c r="Y766" s="303"/>
      <c r="Z766" s="303"/>
      <c r="AA766" s="303"/>
      <c r="AB766" s="303"/>
      <c r="AC766" s="303"/>
      <c r="AD766" s="303"/>
      <c r="AE766" s="303"/>
      <c r="AF766" s="303"/>
      <c r="AG766" s="303"/>
    </row>
    <row r="767" spans="1:33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335"/>
      <c r="S767" s="335"/>
      <c r="T767" s="335"/>
      <c r="U767" s="303"/>
      <c r="V767" s="303"/>
      <c r="W767" s="303"/>
      <c r="X767" s="303"/>
      <c r="Y767" s="303"/>
      <c r="Z767" s="303"/>
      <c r="AA767" s="303"/>
      <c r="AB767" s="303"/>
      <c r="AC767" s="303"/>
      <c r="AD767" s="303"/>
      <c r="AE767" s="303"/>
      <c r="AF767" s="303"/>
      <c r="AG767" s="303"/>
    </row>
    <row r="768" spans="1:33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335"/>
      <c r="S768" s="335"/>
      <c r="T768" s="335"/>
      <c r="U768" s="303"/>
      <c r="V768" s="303"/>
      <c r="W768" s="303"/>
      <c r="X768" s="303"/>
      <c r="Y768" s="303"/>
      <c r="Z768" s="303"/>
      <c r="AA768" s="303"/>
      <c r="AB768" s="303"/>
      <c r="AC768" s="303"/>
      <c r="AD768" s="303"/>
      <c r="AE768" s="303"/>
      <c r="AF768" s="303"/>
      <c r="AG768" s="303"/>
    </row>
    <row r="769" spans="1:33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335"/>
      <c r="S769" s="335"/>
      <c r="T769" s="335"/>
      <c r="U769" s="303"/>
      <c r="V769" s="303"/>
      <c r="W769" s="303"/>
      <c r="X769" s="303"/>
      <c r="Y769" s="303"/>
      <c r="Z769" s="303"/>
      <c r="AA769" s="303"/>
      <c r="AB769" s="303"/>
      <c r="AC769" s="303"/>
      <c r="AD769" s="303"/>
      <c r="AE769" s="303"/>
      <c r="AF769" s="303"/>
      <c r="AG769" s="303"/>
    </row>
    <row r="770" spans="1:33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335"/>
      <c r="S770" s="335"/>
      <c r="T770" s="335"/>
      <c r="U770" s="303"/>
      <c r="V770" s="303"/>
      <c r="W770" s="303"/>
      <c r="X770" s="303"/>
      <c r="Y770" s="303"/>
      <c r="Z770" s="303"/>
      <c r="AA770" s="303"/>
      <c r="AB770" s="303"/>
      <c r="AC770" s="303"/>
      <c r="AD770" s="303"/>
      <c r="AE770" s="303"/>
      <c r="AF770" s="303"/>
      <c r="AG770" s="303"/>
    </row>
    <row r="771" spans="1:33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335"/>
      <c r="S771" s="335"/>
      <c r="T771" s="335"/>
      <c r="U771" s="303"/>
      <c r="V771" s="303"/>
      <c r="W771" s="303"/>
      <c r="X771" s="303"/>
      <c r="Y771" s="303"/>
      <c r="Z771" s="303"/>
      <c r="AA771" s="303"/>
      <c r="AB771" s="303"/>
      <c r="AC771" s="303"/>
      <c r="AD771" s="303"/>
      <c r="AE771" s="303"/>
      <c r="AF771" s="303"/>
      <c r="AG771" s="303"/>
    </row>
    <row r="772" spans="1:33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335"/>
      <c r="S772" s="335"/>
      <c r="T772" s="335"/>
      <c r="U772" s="303"/>
      <c r="V772" s="303"/>
      <c r="W772" s="303"/>
      <c r="X772" s="303"/>
      <c r="Y772" s="303"/>
      <c r="Z772" s="303"/>
      <c r="AA772" s="303"/>
      <c r="AB772" s="303"/>
      <c r="AC772" s="303"/>
      <c r="AD772" s="303"/>
      <c r="AE772" s="303"/>
      <c r="AF772" s="303"/>
      <c r="AG772" s="303"/>
    </row>
    <row r="773" spans="1:33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335"/>
      <c r="S773" s="335"/>
      <c r="T773" s="335"/>
      <c r="U773" s="303"/>
      <c r="V773" s="303"/>
      <c r="W773" s="303"/>
      <c r="X773" s="303"/>
      <c r="Y773" s="303"/>
      <c r="Z773" s="303"/>
      <c r="AA773" s="303"/>
      <c r="AB773" s="303"/>
      <c r="AC773" s="303"/>
      <c r="AD773" s="303"/>
      <c r="AE773" s="303"/>
      <c r="AF773" s="303"/>
      <c r="AG773" s="303"/>
    </row>
    <row r="774" spans="1:33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335"/>
      <c r="S774" s="335"/>
      <c r="T774" s="335"/>
      <c r="U774" s="303"/>
      <c r="V774" s="303"/>
      <c r="W774" s="303"/>
      <c r="X774" s="303"/>
      <c r="Y774" s="303"/>
      <c r="Z774" s="303"/>
      <c r="AA774" s="303"/>
      <c r="AB774" s="303"/>
      <c r="AC774" s="303"/>
      <c r="AD774" s="303"/>
      <c r="AE774" s="303"/>
      <c r="AF774" s="303"/>
      <c r="AG774" s="303"/>
    </row>
    <row r="775" spans="1:33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335"/>
      <c r="S775" s="335"/>
      <c r="T775" s="335"/>
      <c r="U775" s="303"/>
      <c r="V775" s="303"/>
      <c r="W775" s="303"/>
      <c r="X775" s="303"/>
      <c r="Y775" s="303"/>
      <c r="Z775" s="303"/>
      <c r="AA775" s="303"/>
      <c r="AB775" s="303"/>
      <c r="AC775" s="303"/>
      <c r="AD775" s="303"/>
      <c r="AE775" s="303"/>
      <c r="AF775" s="303"/>
      <c r="AG775" s="303"/>
    </row>
    <row r="776" spans="1:33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335"/>
      <c r="S776" s="335"/>
      <c r="T776" s="335"/>
      <c r="U776" s="303"/>
      <c r="V776" s="303"/>
      <c r="W776" s="303"/>
      <c r="X776" s="303"/>
      <c r="Y776" s="303"/>
      <c r="Z776" s="303"/>
      <c r="AA776" s="303"/>
      <c r="AB776" s="303"/>
      <c r="AC776" s="303"/>
      <c r="AD776" s="303"/>
      <c r="AE776" s="303"/>
      <c r="AF776" s="303"/>
      <c r="AG776" s="303"/>
    </row>
    <row r="777" spans="1:33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335"/>
      <c r="S777" s="335"/>
      <c r="T777" s="335"/>
      <c r="U777" s="303"/>
      <c r="V777" s="303"/>
      <c r="W777" s="303"/>
      <c r="X777" s="303"/>
      <c r="Y777" s="303"/>
      <c r="Z777" s="303"/>
      <c r="AA777" s="303"/>
      <c r="AB777" s="303"/>
      <c r="AC777" s="303"/>
      <c r="AD777" s="303"/>
      <c r="AE777" s="303"/>
      <c r="AF777" s="303"/>
      <c r="AG777" s="303"/>
    </row>
    <row r="778" spans="1:33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335"/>
      <c r="S778" s="335"/>
      <c r="T778" s="335"/>
      <c r="U778" s="303"/>
      <c r="V778" s="303"/>
      <c r="W778" s="303"/>
      <c r="X778" s="303"/>
      <c r="Y778" s="303"/>
      <c r="Z778" s="303"/>
      <c r="AA778" s="303"/>
      <c r="AB778" s="303"/>
      <c r="AC778" s="303"/>
      <c r="AD778" s="303"/>
      <c r="AE778" s="303"/>
      <c r="AF778" s="303"/>
      <c r="AG778" s="303"/>
    </row>
    <row r="779" spans="1:33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335"/>
      <c r="S779" s="335"/>
      <c r="T779" s="335"/>
      <c r="U779" s="303"/>
      <c r="V779" s="303"/>
      <c r="W779" s="303"/>
      <c r="X779" s="303"/>
      <c r="Y779" s="303"/>
      <c r="Z779" s="303"/>
      <c r="AA779" s="303"/>
      <c r="AB779" s="303"/>
      <c r="AC779" s="303"/>
      <c r="AD779" s="303"/>
      <c r="AE779" s="303"/>
      <c r="AF779" s="303"/>
      <c r="AG779" s="303"/>
    </row>
    <row r="780" spans="1:33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335"/>
      <c r="S780" s="335"/>
      <c r="T780" s="335"/>
      <c r="U780" s="303"/>
      <c r="V780" s="303"/>
      <c r="W780" s="303"/>
      <c r="X780" s="303"/>
      <c r="Y780" s="303"/>
      <c r="Z780" s="303"/>
      <c r="AA780" s="303"/>
      <c r="AB780" s="303"/>
      <c r="AC780" s="303"/>
      <c r="AD780" s="303"/>
      <c r="AE780" s="303"/>
      <c r="AF780" s="303"/>
      <c r="AG780" s="303"/>
    </row>
    <row r="781" spans="1:33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335"/>
      <c r="S781" s="335"/>
      <c r="T781" s="335"/>
      <c r="U781" s="303"/>
      <c r="V781" s="303"/>
      <c r="W781" s="303"/>
      <c r="X781" s="303"/>
      <c r="Y781" s="303"/>
      <c r="Z781" s="303"/>
      <c r="AA781" s="303"/>
      <c r="AB781" s="303"/>
      <c r="AC781" s="303"/>
      <c r="AD781" s="303"/>
      <c r="AE781" s="303"/>
      <c r="AF781" s="303"/>
      <c r="AG781" s="303"/>
    </row>
    <row r="782" spans="1:33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335"/>
      <c r="S782" s="335"/>
      <c r="T782" s="335"/>
      <c r="U782" s="303"/>
      <c r="V782" s="303"/>
      <c r="W782" s="303"/>
      <c r="X782" s="303"/>
      <c r="Y782" s="303"/>
      <c r="Z782" s="303"/>
      <c r="AA782" s="303"/>
      <c r="AB782" s="303"/>
      <c r="AC782" s="303"/>
      <c r="AD782" s="303"/>
      <c r="AE782" s="303"/>
      <c r="AF782" s="303"/>
      <c r="AG782" s="303"/>
    </row>
    <row r="783" spans="1:33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335"/>
      <c r="S783" s="335"/>
      <c r="T783" s="335"/>
      <c r="U783" s="303"/>
      <c r="V783" s="303"/>
      <c r="W783" s="303"/>
      <c r="X783" s="303"/>
      <c r="Y783" s="303"/>
      <c r="Z783" s="303"/>
      <c r="AA783" s="303"/>
      <c r="AB783" s="303"/>
      <c r="AC783" s="303"/>
      <c r="AD783" s="303"/>
      <c r="AE783" s="303"/>
      <c r="AF783" s="303"/>
      <c r="AG783" s="303"/>
    </row>
    <row r="784" spans="1:33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335"/>
      <c r="S784" s="335"/>
      <c r="T784" s="335"/>
      <c r="U784" s="303"/>
      <c r="V784" s="303"/>
      <c r="W784" s="303"/>
      <c r="X784" s="303"/>
      <c r="Y784" s="303"/>
      <c r="Z784" s="303"/>
      <c r="AA784" s="303"/>
      <c r="AB784" s="303"/>
      <c r="AC784" s="303"/>
      <c r="AD784" s="303"/>
      <c r="AE784" s="303"/>
      <c r="AF784" s="303"/>
      <c r="AG784" s="303"/>
    </row>
    <row r="785" spans="1:33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335"/>
      <c r="S785" s="335"/>
      <c r="T785" s="335"/>
      <c r="U785" s="303"/>
      <c r="V785" s="303"/>
      <c r="W785" s="303"/>
      <c r="X785" s="303"/>
      <c r="Y785" s="303"/>
      <c r="Z785" s="303"/>
      <c r="AA785" s="303"/>
      <c r="AB785" s="303"/>
      <c r="AC785" s="303"/>
      <c r="AD785" s="303"/>
      <c r="AE785" s="303"/>
      <c r="AF785" s="303"/>
      <c r="AG785" s="303"/>
    </row>
    <row r="786" spans="1:33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335"/>
      <c r="S786" s="335"/>
      <c r="T786" s="335"/>
      <c r="U786" s="303"/>
      <c r="V786" s="303"/>
      <c r="W786" s="303"/>
      <c r="X786" s="303"/>
      <c r="Y786" s="303"/>
      <c r="Z786" s="303"/>
      <c r="AA786" s="303"/>
      <c r="AB786" s="303"/>
      <c r="AC786" s="303"/>
      <c r="AD786" s="303"/>
      <c r="AE786" s="303"/>
      <c r="AF786" s="303"/>
      <c r="AG786" s="303"/>
    </row>
    <row r="787" spans="1:33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335"/>
      <c r="S787" s="335"/>
      <c r="T787" s="335"/>
      <c r="U787" s="303"/>
      <c r="V787" s="303"/>
      <c r="W787" s="303"/>
      <c r="X787" s="303"/>
      <c r="Y787" s="303"/>
      <c r="Z787" s="303"/>
      <c r="AA787" s="303"/>
      <c r="AB787" s="303"/>
      <c r="AC787" s="303"/>
      <c r="AD787" s="303"/>
      <c r="AE787" s="303"/>
      <c r="AF787" s="303"/>
      <c r="AG787" s="303"/>
    </row>
    <row r="788" spans="1:33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335"/>
      <c r="S788" s="335"/>
      <c r="T788" s="335"/>
      <c r="U788" s="303"/>
      <c r="V788" s="303"/>
      <c r="W788" s="303"/>
      <c r="X788" s="303"/>
      <c r="Y788" s="303"/>
      <c r="Z788" s="303"/>
      <c r="AA788" s="303"/>
      <c r="AB788" s="303"/>
      <c r="AC788" s="303"/>
      <c r="AD788" s="303"/>
      <c r="AE788" s="303"/>
      <c r="AF788" s="303"/>
      <c r="AG788" s="303"/>
    </row>
    <row r="789" spans="1:33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335"/>
      <c r="S789" s="335"/>
      <c r="T789" s="335"/>
      <c r="U789" s="303"/>
      <c r="V789" s="303"/>
      <c r="W789" s="303"/>
      <c r="X789" s="303"/>
      <c r="Y789" s="303"/>
      <c r="Z789" s="303"/>
      <c r="AA789" s="303"/>
      <c r="AB789" s="303"/>
      <c r="AC789" s="303"/>
      <c r="AD789" s="303"/>
      <c r="AE789" s="303"/>
      <c r="AF789" s="303"/>
      <c r="AG789" s="303"/>
    </row>
    <row r="790" spans="1:33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335"/>
      <c r="S790" s="335"/>
      <c r="T790" s="335"/>
      <c r="U790" s="303"/>
      <c r="V790" s="303"/>
      <c r="W790" s="303"/>
      <c r="X790" s="303"/>
      <c r="Y790" s="303"/>
      <c r="Z790" s="303"/>
      <c r="AA790" s="303"/>
      <c r="AB790" s="303"/>
      <c r="AC790" s="303"/>
      <c r="AD790" s="303"/>
      <c r="AE790" s="303"/>
      <c r="AF790" s="303"/>
      <c r="AG790" s="303"/>
    </row>
    <row r="791" spans="1:33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335"/>
      <c r="S791" s="335"/>
      <c r="T791" s="335"/>
      <c r="U791" s="303"/>
      <c r="V791" s="303"/>
      <c r="W791" s="303"/>
      <c r="X791" s="303"/>
      <c r="Y791" s="303"/>
      <c r="Z791" s="303"/>
      <c r="AA791" s="303"/>
      <c r="AB791" s="303"/>
      <c r="AC791" s="303"/>
      <c r="AD791" s="303"/>
      <c r="AE791" s="303"/>
      <c r="AF791" s="303"/>
      <c r="AG791" s="303"/>
    </row>
    <row r="792" spans="1:33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335"/>
      <c r="S792" s="335"/>
      <c r="T792" s="335"/>
      <c r="U792" s="303"/>
      <c r="V792" s="303"/>
      <c r="W792" s="303"/>
      <c r="X792" s="303"/>
      <c r="Y792" s="303"/>
      <c r="Z792" s="303"/>
      <c r="AA792" s="303"/>
      <c r="AB792" s="303"/>
      <c r="AC792" s="303"/>
      <c r="AD792" s="303"/>
      <c r="AE792" s="303"/>
      <c r="AF792" s="303"/>
      <c r="AG792" s="303"/>
    </row>
    <row r="793" spans="1:33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335"/>
      <c r="S793" s="335"/>
      <c r="T793" s="335"/>
      <c r="U793" s="303"/>
      <c r="V793" s="303"/>
      <c r="W793" s="303"/>
      <c r="X793" s="303"/>
      <c r="Y793" s="303"/>
      <c r="Z793" s="303"/>
      <c r="AA793" s="303"/>
      <c r="AB793" s="303"/>
      <c r="AC793" s="303"/>
      <c r="AD793" s="303"/>
      <c r="AE793" s="303"/>
      <c r="AF793" s="303"/>
      <c r="AG793" s="303"/>
    </row>
    <row r="794" spans="1:33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335"/>
      <c r="S794" s="335"/>
      <c r="T794" s="335"/>
      <c r="U794" s="303"/>
      <c r="V794" s="303"/>
      <c r="W794" s="303"/>
      <c r="X794" s="303"/>
      <c r="Y794" s="303"/>
      <c r="Z794" s="303"/>
      <c r="AA794" s="303"/>
      <c r="AB794" s="303"/>
      <c r="AC794" s="303"/>
      <c r="AD794" s="303"/>
      <c r="AE794" s="303"/>
      <c r="AF794" s="303"/>
      <c r="AG794" s="303"/>
    </row>
    <row r="795" spans="1:33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335"/>
      <c r="S795" s="335"/>
      <c r="T795" s="335"/>
      <c r="U795" s="303"/>
      <c r="V795" s="303"/>
      <c r="W795" s="303"/>
      <c r="X795" s="303"/>
      <c r="Y795" s="303"/>
      <c r="Z795" s="303"/>
      <c r="AA795" s="303"/>
      <c r="AB795" s="303"/>
      <c r="AC795" s="303"/>
      <c r="AD795" s="303"/>
      <c r="AE795" s="303"/>
      <c r="AF795" s="303"/>
      <c r="AG795" s="303"/>
    </row>
    <row r="796" spans="1:33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335"/>
      <c r="S796" s="335"/>
      <c r="T796" s="335"/>
      <c r="U796" s="303"/>
      <c r="V796" s="303"/>
      <c r="W796" s="303"/>
      <c r="X796" s="303"/>
      <c r="Y796" s="303"/>
      <c r="Z796" s="303"/>
      <c r="AA796" s="303"/>
      <c r="AB796" s="303"/>
      <c r="AC796" s="303"/>
      <c r="AD796" s="303"/>
      <c r="AE796" s="303"/>
      <c r="AF796" s="303"/>
      <c r="AG796" s="303"/>
    </row>
    <row r="797" spans="1:33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335"/>
      <c r="S797" s="335"/>
      <c r="T797" s="335"/>
      <c r="U797" s="303"/>
      <c r="V797" s="303"/>
      <c r="W797" s="303"/>
      <c r="X797" s="303"/>
      <c r="Y797" s="303"/>
      <c r="Z797" s="303"/>
      <c r="AA797" s="303"/>
      <c r="AB797" s="303"/>
      <c r="AC797" s="303"/>
      <c r="AD797" s="303"/>
      <c r="AE797" s="303"/>
      <c r="AF797" s="303"/>
      <c r="AG797" s="303"/>
    </row>
    <row r="798" spans="1:33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335"/>
      <c r="S798" s="335"/>
      <c r="T798" s="335"/>
      <c r="U798" s="303"/>
      <c r="V798" s="303"/>
      <c r="W798" s="303"/>
      <c r="X798" s="303"/>
      <c r="Y798" s="303"/>
      <c r="Z798" s="303"/>
      <c r="AA798" s="303"/>
      <c r="AB798" s="303"/>
      <c r="AC798" s="303"/>
      <c r="AD798" s="303"/>
      <c r="AE798" s="303"/>
      <c r="AF798" s="303"/>
      <c r="AG798" s="303"/>
    </row>
    <row r="799" spans="1:33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335"/>
      <c r="S799" s="335"/>
      <c r="T799" s="335"/>
      <c r="U799" s="303"/>
      <c r="V799" s="303"/>
      <c r="W799" s="303"/>
      <c r="X799" s="303"/>
      <c r="Y799" s="303"/>
      <c r="Z799" s="303"/>
      <c r="AA799" s="303"/>
      <c r="AB799" s="303"/>
      <c r="AC799" s="303"/>
      <c r="AD799" s="303"/>
      <c r="AE799" s="303"/>
      <c r="AF799" s="303"/>
      <c r="AG799" s="303"/>
    </row>
    <row r="800" spans="1:33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335"/>
      <c r="S800" s="335"/>
      <c r="T800" s="335"/>
      <c r="U800" s="303"/>
      <c r="V800" s="303"/>
      <c r="W800" s="303"/>
      <c r="X800" s="303"/>
      <c r="Y800" s="303"/>
      <c r="Z800" s="303"/>
      <c r="AA800" s="303"/>
      <c r="AB800" s="303"/>
      <c r="AC800" s="303"/>
      <c r="AD800" s="303"/>
      <c r="AE800" s="303"/>
      <c r="AF800" s="303"/>
      <c r="AG800" s="303"/>
    </row>
    <row r="801" spans="1:33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335"/>
      <c r="S801" s="335"/>
      <c r="T801" s="335"/>
      <c r="U801" s="303"/>
      <c r="V801" s="303"/>
      <c r="W801" s="303"/>
      <c r="X801" s="303"/>
      <c r="Y801" s="303"/>
      <c r="Z801" s="303"/>
      <c r="AA801" s="303"/>
      <c r="AB801" s="303"/>
      <c r="AC801" s="303"/>
      <c r="AD801" s="303"/>
      <c r="AE801" s="303"/>
      <c r="AF801" s="303"/>
      <c r="AG801" s="303"/>
    </row>
    <row r="802" spans="1:33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335"/>
      <c r="S802" s="335"/>
      <c r="T802" s="335"/>
      <c r="U802" s="303"/>
      <c r="V802" s="303"/>
      <c r="W802" s="303"/>
      <c r="X802" s="303"/>
      <c r="Y802" s="303"/>
      <c r="Z802" s="303"/>
      <c r="AA802" s="303"/>
      <c r="AB802" s="303"/>
      <c r="AC802" s="303"/>
      <c r="AD802" s="303"/>
      <c r="AE802" s="303"/>
      <c r="AF802" s="303"/>
      <c r="AG802" s="303"/>
    </row>
    <row r="803" spans="1:33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335"/>
      <c r="S803" s="335"/>
      <c r="T803" s="335"/>
      <c r="U803" s="303"/>
      <c r="V803" s="303"/>
      <c r="W803" s="303"/>
      <c r="X803" s="303"/>
      <c r="Y803" s="303"/>
      <c r="Z803" s="303"/>
      <c r="AA803" s="303"/>
      <c r="AB803" s="303"/>
      <c r="AC803" s="303"/>
      <c r="AD803" s="303"/>
      <c r="AE803" s="303"/>
      <c r="AF803" s="303"/>
      <c r="AG803" s="303"/>
    </row>
    <row r="804" spans="1:33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335"/>
      <c r="S804" s="335"/>
      <c r="T804" s="335"/>
      <c r="U804" s="303"/>
      <c r="V804" s="303"/>
      <c r="W804" s="303"/>
      <c r="X804" s="303"/>
      <c r="Y804" s="303"/>
      <c r="Z804" s="303"/>
      <c r="AA804" s="303"/>
      <c r="AB804" s="303"/>
      <c r="AC804" s="303"/>
      <c r="AD804" s="303"/>
      <c r="AE804" s="303"/>
      <c r="AF804" s="303"/>
      <c r="AG804" s="303"/>
    </row>
    <row r="805" spans="1:33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335"/>
      <c r="S805" s="335"/>
      <c r="T805" s="335"/>
      <c r="U805" s="303"/>
      <c r="V805" s="303"/>
      <c r="W805" s="303"/>
      <c r="X805" s="303"/>
      <c r="Y805" s="303"/>
      <c r="Z805" s="303"/>
      <c r="AA805" s="303"/>
      <c r="AB805" s="303"/>
      <c r="AC805" s="303"/>
      <c r="AD805" s="303"/>
      <c r="AE805" s="303"/>
      <c r="AF805" s="303"/>
      <c r="AG805" s="303"/>
    </row>
    <row r="806" spans="1:33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335"/>
      <c r="S806" s="335"/>
      <c r="T806" s="335"/>
      <c r="U806" s="303"/>
      <c r="V806" s="303"/>
      <c r="W806" s="303"/>
      <c r="X806" s="303"/>
      <c r="Y806" s="303"/>
      <c r="Z806" s="303"/>
      <c r="AA806" s="303"/>
      <c r="AB806" s="303"/>
      <c r="AC806" s="303"/>
      <c r="AD806" s="303"/>
      <c r="AE806" s="303"/>
      <c r="AF806" s="303"/>
      <c r="AG806" s="303"/>
    </row>
    <row r="807" spans="1:33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335"/>
      <c r="S807" s="335"/>
      <c r="T807" s="335"/>
      <c r="U807" s="303"/>
      <c r="V807" s="303"/>
      <c r="W807" s="303"/>
      <c r="X807" s="303"/>
      <c r="Y807" s="303"/>
      <c r="Z807" s="303"/>
      <c r="AA807" s="303"/>
      <c r="AB807" s="303"/>
      <c r="AC807" s="303"/>
      <c r="AD807" s="303"/>
      <c r="AE807" s="303"/>
      <c r="AF807" s="303"/>
      <c r="AG807" s="303"/>
    </row>
    <row r="808" spans="1:33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335"/>
      <c r="S808" s="335"/>
      <c r="T808" s="335"/>
      <c r="U808" s="303"/>
      <c r="V808" s="303"/>
      <c r="W808" s="303"/>
      <c r="X808" s="303"/>
      <c r="Y808" s="303"/>
      <c r="Z808" s="303"/>
      <c r="AA808" s="303"/>
      <c r="AB808" s="303"/>
      <c r="AC808" s="303"/>
      <c r="AD808" s="303"/>
      <c r="AE808" s="303"/>
      <c r="AF808" s="303"/>
      <c r="AG808" s="303"/>
    </row>
    <row r="809" spans="1:33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335"/>
      <c r="S809" s="335"/>
      <c r="T809" s="335"/>
      <c r="U809" s="303"/>
      <c r="V809" s="303"/>
      <c r="W809" s="303"/>
      <c r="X809" s="303"/>
      <c r="Y809" s="303"/>
      <c r="Z809" s="303"/>
      <c r="AA809" s="303"/>
      <c r="AB809" s="303"/>
      <c r="AC809" s="303"/>
      <c r="AD809" s="303"/>
      <c r="AE809" s="303"/>
      <c r="AF809" s="303"/>
      <c r="AG809" s="303"/>
    </row>
    <row r="810" spans="1:33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335"/>
      <c r="S810" s="335"/>
      <c r="T810" s="335"/>
      <c r="U810" s="303"/>
      <c r="V810" s="303"/>
      <c r="W810" s="303"/>
      <c r="X810" s="303"/>
      <c r="Y810" s="303"/>
      <c r="Z810" s="303"/>
      <c r="AA810" s="303"/>
      <c r="AB810" s="303"/>
      <c r="AC810" s="303"/>
      <c r="AD810" s="303"/>
      <c r="AE810" s="303"/>
      <c r="AF810" s="303"/>
      <c r="AG810" s="303"/>
    </row>
    <row r="811" spans="1:33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335"/>
      <c r="S811" s="335"/>
      <c r="T811" s="335"/>
      <c r="U811" s="303"/>
      <c r="V811" s="303"/>
      <c r="W811" s="303"/>
      <c r="X811" s="303"/>
      <c r="Y811" s="303"/>
      <c r="Z811" s="303"/>
      <c r="AA811" s="303"/>
      <c r="AB811" s="303"/>
      <c r="AC811" s="303"/>
      <c r="AD811" s="303"/>
      <c r="AE811" s="303"/>
      <c r="AF811" s="303"/>
      <c r="AG811" s="303"/>
    </row>
    <row r="812" spans="1:33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335"/>
      <c r="S812" s="335"/>
      <c r="T812" s="335"/>
      <c r="U812" s="303"/>
      <c r="V812" s="303"/>
      <c r="W812" s="303"/>
      <c r="X812" s="303"/>
      <c r="Y812" s="303"/>
      <c r="Z812" s="303"/>
      <c r="AA812" s="303"/>
      <c r="AB812" s="303"/>
      <c r="AC812" s="303"/>
      <c r="AD812" s="303"/>
      <c r="AE812" s="303"/>
      <c r="AF812" s="303"/>
      <c r="AG812" s="303"/>
    </row>
    <row r="813" spans="1:33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335"/>
      <c r="S813" s="335"/>
      <c r="T813" s="335"/>
      <c r="U813" s="303"/>
      <c r="V813" s="303"/>
      <c r="W813" s="303"/>
      <c r="X813" s="303"/>
      <c r="Y813" s="303"/>
      <c r="Z813" s="303"/>
      <c r="AA813" s="303"/>
      <c r="AB813" s="303"/>
      <c r="AC813" s="303"/>
      <c r="AD813" s="303"/>
      <c r="AE813" s="303"/>
      <c r="AF813" s="303"/>
      <c r="AG813" s="303"/>
    </row>
    <row r="814" spans="1:33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335"/>
      <c r="S814" s="335"/>
      <c r="T814" s="335"/>
      <c r="U814" s="303"/>
      <c r="V814" s="303"/>
      <c r="W814" s="303"/>
      <c r="X814" s="303"/>
      <c r="Y814" s="303"/>
      <c r="Z814" s="303"/>
      <c r="AA814" s="303"/>
      <c r="AB814" s="303"/>
      <c r="AC814" s="303"/>
      <c r="AD814" s="303"/>
      <c r="AE814" s="303"/>
      <c r="AF814" s="303"/>
      <c r="AG814" s="303"/>
    </row>
    <row r="815" spans="1:33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335"/>
      <c r="S815" s="335"/>
      <c r="T815" s="335"/>
      <c r="U815" s="303"/>
      <c r="V815" s="303"/>
      <c r="W815" s="303"/>
      <c r="X815" s="303"/>
      <c r="Y815" s="303"/>
      <c r="Z815" s="303"/>
      <c r="AA815" s="303"/>
      <c r="AB815" s="303"/>
      <c r="AC815" s="303"/>
      <c r="AD815" s="303"/>
      <c r="AE815" s="303"/>
      <c r="AF815" s="303"/>
      <c r="AG815" s="303"/>
    </row>
    <row r="816" spans="1:33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335"/>
      <c r="S816" s="335"/>
      <c r="T816" s="335"/>
      <c r="U816" s="303"/>
      <c r="V816" s="303"/>
      <c r="W816" s="303"/>
      <c r="X816" s="303"/>
      <c r="Y816" s="303"/>
      <c r="Z816" s="303"/>
      <c r="AA816" s="303"/>
      <c r="AB816" s="303"/>
      <c r="AC816" s="303"/>
      <c r="AD816" s="303"/>
      <c r="AE816" s="303"/>
      <c r="AF816" s="303"/>
      <c r="AG816" s="303"/>
    </row>
    <row r="817" spans="1:33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335"/>
      <c r="S817" s="335"/>
      <c r="T817" s="335"/>
      <c r="U817" s="303"/>
      <c r="V817" s="303"/>
      <c r="W817" s="303"/>
      <c r="X817" s="303"/>
      <c r="Y817" s="303"/>
      <c r="Z817" s="303"/>
      <c r="AA817" s="303"/>
      <c r="AB817" s="303"/>
      <c r="AC817" s="303"/>
      <c r="AD817" s="303"/>
      <c r="AE817" s="303"/>
      <c r="AF817" s="303"/>
      <c r="AG817" s="303"/>
    </row>
    <row r="818" spans="1:33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335"/>
      <c r="S818" s="335"/>
      <c r="T818" s="335"/>
      <c r="U818" s="303"/>
      <c r="V818" s="303"/>
      <c r="W818" s="303"/>
      <c r="X818" s="303"/>
      <c r="Y818" s="303"/>
      <c r="Z818" s="303"/>
      <c r="AA818" s="303"/>
      <c r="AB818" s="303"/>
      <c r="AC818" s="303"/>
      <c r="AD818" s="303"/>
      <c r="AE818" s="303"/>
      <c r="AF818" s="303"/>
      <c r="AG818" s="303"/>
    </row>
    <row r="819" spans="1:33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335"/>
      <c r="S819" s="335"/>
      <c r="T819" s="335"/>
      <c r="U819" s="303"/>
      <c r="V819" s="303"/>
      <c r="W819" s="303"/>
      <c r="X819" s="303"/>
      <c r="Y819" s="303"/>
      <c r="Z819" s="303"/>
      <c r="AA819" s="303"/>
      <c r="AB819" s="303"/>
      <c r="AC819" s="303"/>
      <c r="AD819" s="303"/>
      <c r="AE819" s="303"/>
      <c r="AF819" s="303"/>
      <c r="AG819" s="303"/>
    </row>
    <row r="820" spans="1:33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335"/>
      <c r="S820" s="335"/>
      <c r="T820" s="335"/>
      <c r="U820" s="303"/>
      <c r="V820" s="303"/>
      <c r="W820" s="303"/>
      <c r="X820" s="303"/>
      <c r="Y820" s="303"/>
      <c r="Z820" s="303"/>
      <c r="AA820" s="303"/>
      <c r="AB820" s="303"/>
      <c r="AC820" s="303"/>
      <c r="AD820" s="303"/>
      <c r="AE820" s="303"/>
      <c r="AF820" s="303"/>
      <c r="AG820" s="303"/>
    </row>
    <row r="821" spans="1:33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335"/>
      <c r="S821" s="335"/>
      <c r="T821" s="335"/>
      <c r="U821" s="303"/>
      <c r="V821" s="303"/>
      <c r="W821" s="303"/>
      <c r="X821" s="303"/>
      <c r="Y821" s="303"/>
      <c r="Z821" s="303"/>
      <c r="AA821" s="303"/>
      <c r="AB821" s="303"/>
      <c r="AC821" s="303"/>
      <c r="AD821" s="303"/>
      <c r="AE821" s="303"/>
      <c r="AF821" s="303"/>
      <c r="AG821" s="303"/>
    </row>
    <row r="822" spans="1:33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335"/>
      <c r="S822" s="335"/>
      <c r="T822" s="335"/>
      <c r="U822" s="303"/>
      <c r="V822" s="303"/>
      <c r="W822" s="303"/>
      <c r="X822" s="303"/>
      <c r="Y822" s="303"/>
      <c r="Z822" s="303"/>
      <c r="AA822" s="303"/>
      <c r="AB822" s="303"/>
      <c r="AC822" s="303"/>
      <c r="AD822" s="303"/>
      <c r="AE822" s="303"/>
      <c r="AF822" s="303"/>
      <c r="AG822" s="303"/>
    </row>
    <row r="823" spans="1:33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335"/>
      <c r="S823" s="335"/>
      <c r="T823" s="335"/>
      <c r="U823" s="303"/>
      <c r="V823" s="303"/>
      <c r="W823" s="303"/>
      <c r="X823" s="303"/>
      <c r="Y823" s="303"/>
      <c r="Z823" s="303"/>
      <c r="AA823" s="303"/>
      <c r="AB823" s="303"/>
      <c r="AC823" s="303"/>
      <c r="AD823" s="303"/>
      <c r="AE823" s="303"/>
      <c r="AF823" s="303"/>
      <c r="AG823" s="303"/>
    </row>
    <row r="824" spans="1:33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335"/>
      <c r="S824" s="335"/>
      <c r="T824" s="335"/>
      <c r="U824" s="303"/>
      <c r="V824" s="303"/>
      <c r="W824" s="303"/>
      <c r="X824" s="303"/>
      <c r="Y824" s="303"/>
      <c r="Z824" s="303"/>
      <c r="AA824" s="303"/>
      <c r="AB824" s="303"/>
      <c r="AC824" s="303"/>
      <c r="AD824" s="303"/>
      <c r="AE824" s="303"/>
      <c r="AF824" s="303"/>
      <c r="AG824" s="303"/>
    </row>
    <row r="825" spans="1:33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335"/>
      <c r="S825" s="335"/>
      <c r="T825" s="335"/>
      <c r="U825" s="303"/>
      <c r="V825" s="303"/>
      <c r="W825" s="303"/>
      <c r="X825" s="303"/>
      <c r="Y825" s="303"/>
      <c r="Z825" s="303"/>
      <c r="AA825" s="303"/>
      <c r="AB825" s="303"/>
      <c r="AC825" s="303"/>
      <c r="AD825" s="303"/>
      <c r="AE825" s="303"/>
      <c r="AF825" s="303"/>
      <c r="AG825" s="303"/>
    </row>
    <row r="826" spans="1:33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335"/>
      <c r="S826" s="335"/>
      <c r="T826" s="335"/>
      <c r="U826" s="303"/>
      <c r="V826" s="303"/>
      <c r="W826" s="303"/>
      <c r="X826" s="303"/>
      <c r="Y826" s="303"/>
      <c r="Z826" s="303"/>
      <c r="AA826" s="303"/>
      <c r="AB826" s="303"/>
      <c r="AC826" s="303"/>
      <c r="AD826" s="303"/>
      <c r="AE826" s="303"/>
      <c r="AF826" s="303"/>
      <c r="AG826" s="303"/>
    </row>
    <row r="827" spans="1:33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335"/>
      <c r="S827" s="335"/>
      <c r="T827" s="335"/>
      <c r="U827" s="303"/>
      <c r="V827" s="303"/>
      <c r="W827" s="303"/>
      <c r="X827" s="303"/>
      <c r="Y827" s="303"/>
      <c r="Z827" s="303"/>
      <c r="AA827" s="303"/>
      <c r="AB827" s="303"/>
      <c r="AC827" s="303"/>
      <c r="AD827" s="303"/>
      <c r="AE827" s="303"/>
      <c r="AF827" s="303"/>
      <c r="AG827" s="303"/>
    </row>
    <row r="828" spans="1:33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335"/>
      <c r="S828" s="335"/>
      <c r="T828" s="335"/>
      <c r="U828" s="303"/>
      <c r="V828" s="303"/>
      <c r="W828" s="303"/>
      <c r="X828" s="303"/>
      <c r="Y828" s="303"/>
      <c r="Z828" s="303"/>
      <c r="AA828" s="303"/>
      <c r="AB828" s="303"/>
      <c r="AC828" s="303"/>
      <c r="AD828" s="303"/>
      <c r="AE828" s="303"/>
      <c r="AF828" s="303"/>
      <c r="AG828" s="303"/>
    </row>
    <row r="829" spans="1:33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335"/>
      <c r="S829" s="335"/>
      <c r="T829" s="335"/>
      <c r="U829" s="303"/>
      <c r="V829" s="303"/>
      <c r="W829" s="303"/>
      <c r="X829" s="303"/>
      <c r="Y829" s="303"/>
      <c r="Z829" s="303"/>
      <c r="AA829" s="303"/>
      <c r="AB829" s="303"/>
      <c r="AC829" s="303"/>
      <c r="AD829" s="303"/>
      <c r="AE829" s="303"/>
      <c r="AF829" s="303"/>
      <c r="AG829" s="303"/>
    </row>
    <row r="830" spans="1:33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335"/>
      <c r="S830" s="335"/>
      <c r="T830" s="335"/>
      <c r="U830" s="303"/>
      <c r="V830" s="303"/>
      <c r="W830" s="303"/>
      <c r="X830" s="303"/>
      <c r="Y830" s="303"/>
      <c r="Z830" s="303"/>
      <c r="AA830" s="303"/>
      <c r="AB830" s="303"/>
      <c r="AC830" s="303"/>
      <c r="AD830" s="303"/>
      <c r="AE830" s="303"/>
      <c r="AF830" s="303"/>
      <c r="AG830" s="303"/>
    </row>
    <row r="831" spans="1:33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335"/>
      <c r="S831" s="335"/>
      <c r="T831" s="335"/>
      <c r="U831" s="303"/>
      <c r="V831" s="303"/>
      <c r="W831" s="303"/>
      <c r="X831" s="303"/>
      <c r="Y831" s="303"/>
      <c r="Z831" s="303"/>
      <c r="AA831" s="303"/>
      <c r="AB831" s="303"/>
      <c r="AC831" s="303"/>
      <c r="AD831" s="303"/>
      <c r="AE831" s="303"/>
      <c r="AF831" s="303"/>
      <c r="AG831" s="303"/>
    </row>
    <row r="832" spans="1:33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335"/>
      <c r="S832" s="335"/>
      <c r="T832" s="335"/>
      <c r="U832" s="303"/>
      <c r="V832" s="303"/>
      <c r="W832" s="303"/>
      <c r="X832" s="303"/>
      <c r="Y832" s="303"/>
      <c r="Z832" s="303"/>
      <c r="AA832" s="303"/>
      <c r="AB832" s="303"/>
      <c r="AC832" s="303"/>
      <c r="AD832" s="303"/>
      <c r="AE832" s="303"/>
      <c r="AF832" s="303"/>
      <c r="AG832" s="303"/>
    </row>
    <row r="833" spans="1:33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335"/>
      <c r="S833" s="335"/>
      <c r="T833" s="335"/>
      <c r="U833" s="303"/>
      <c r="V833" s="303"/>
      <c r="W833" s="303"/>
      <c r="X833" s="303"/>
      <c r="Y833" s="303"/>
      <c r="Z833" s="303"/>
      <c r="AA833" s="303"/>
      <c r="AB833" s="303"/>
      <c r="AC833" s="303"/>
      <c r="AD833" s="303"/>
      <c r="AE833" s="303"/>
      <c r="AF833" s="303"/>
      <c r="AG833" s="303"/>
    </row>
    <row r="834" spans="1:33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335"/>
      <c r="S834" s="335"/>
      <c r="T834" s="335"/>
      <c r="U834" s="303"/>
      <c r="V834" s="303"/>
      <c r="W834" s="303"/>
      <c r="X834" s="303"/>
      <c r="Y834" s="303"/>
      <c r="Z834" s="303"/>
      <c r="AA834" s="303"/>
      <c r="AB834" s="303"/>
      <c r="AC834" s="303"/>
      <c r="AD834" s="303"/>
      <c r="AE834" s="303"/>
      <c r="AF834" s="303"/>
      <c r="AG834" s="303"/>
    </row>
    <row r="835" spans="1:33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335"/>
      <c r="S835" s="335"/>
      <c r="T835" s="335"/>
      <c r="U835" s="303"/>
      <c r="V835" s="303"/>
      <c r="W835" s="303"/>
      <c r="X835" s="303"/>
      <c r="Y835" s="303"/>
      <c r="Z835" s="303"/>
      <c r="AA835" s="303"/>
      <c r="AB835" s="303"/>
      <c r="AC835" s="303"/>
      <c r="AD835" s="303"/>
      <c r="AE835" s="303"/>
      <c r="AF835" s="303"/>
      <c r="AG835" s="303"/>
    </row>
    <row r="836" spans="1:33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335"/>
      <c r="S836" s="335"/>
      <c r="T836" s="335"/>
      <c r="U836" s="303"/>
      <c r="V836" s="303"/>
      <c r="W836" s="303"/>
      <c r="X836" s="303"/>
      <c r="Y836" s="303"/>
      <c r="Z836" s="303"/>
      <c r="AA836" s="303"/>
      <c r="AB836" s="303"/>
      <c r="AC836" s="303"/>
      <c r="AD836" s="303"/>
      <c r="AE836" s="303"/>
      <c r="AF836" s="303"/>
      <c r="AG836" s="303"/>
    </row>
    <row r="837" spans="1:33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335"/>
      <c r="S837" s="335"/>
      <c r="T837" s="335"/>
      <c r="U837" s="303"/>
      <c r="V837" s="303"/>
      <c r="W837" s="303"/>
      <c r="X837" s="303"/>
      <c r="Y837" s="303"/>
      <c r="Z837" s="303"/>
      <c r="AA837" s="303"/>
      <c r="AB837" s="303"/>
      <c r="AC837" s="303"/>
      <c r="AD837" s="303"/>
      <c r="AE837" s="303"/>
      <c r="AF837" s="303"/>
      <c r="AG837" s="303"/>
    </row>
    <row r="838" spans="1:33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335"/>
      <c r="S838" s="335"/>
      <c r="T838" s="335"/>
      <c r="U838" s="303"/>
      <c r="V838" s="303"/>
      <c r="W838" s="303"/>
      <c r="X838" s="303"/>
      <c r="Y838" s="303"/>
      <c r="Z838" s="303"/>
      <c r="AA838" s="303"/>
      <c r="AB838" s="303"/>
      <c r="AC838" s="303"/>
      <c r="AD838" s="303"/>
      <c r="AE838" s="303"/>
      <c r="AF838" s="303"/>
      <c r="AG838" s="303"/>
    </row>
    <row r="839" spans="1:33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335"/>
      <c r="S839" s="335"/>
      <c r="T839" s="335"/>
      <c r="U839" s="303"/>
      <c r="V839" s="303"/>
      <c r="W839" s="303"/>
      <c r="X839" s="303"/>
      <c r="Y839" s="303"/>
      <c r="Z839" s="303"/>
      <c r="AA839" s="303"/>
      <c r="AB839" s="303"/>
      <c r="AC839" s="303"/>
      <c r="AD839" s="303"/>
      <c r="AE839" s="303"/>
      <c r="AF839" s="303"/>
      <c r="AG839" s="303"/>
    </row>
    <row r="840" spans="1:33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335"/>
      <c r="S840" s="335"/>
      <c r="T840" s="335"/>
      <c r="U840" s="303"/>
      <c r="V840" s="303"/>
      <c r="W840" s="303"/>
      <c r="X840" s="303"/>
      <c r="Y840" s="303"/>
      <c r="Z840" s="303"/>
      <c r="AA840" s="303"/>
      <c r="AB840" s="303"/>
      <c r="AC840" s="303"/>
      <c r="AD840" s="303"/>
      <c r="AE840" s="303"/>
      <c r="AF840" s="303"/>
      <c r="AG840" s="303"/>
    </row>
    <row r="841" spans="1:33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335"/>
      <c r="S841" s="335"/>
      <c r="T841" s="335"/>
      <c r="U841" s="303"/>
      <c r="V841" s="303"/>
      <c r="W841" s="303"/>
      <c r="X841" s="303"/>
      <c r="Y841" s="303"/>
      <c r="Z841" s="303"/>
      <c r="AA841" s="303"/>
      <c r="AB841" s="303"/>
      <c r="AC841" s="303"/>
      <c r="AD841" s="303"/>
      <c r="AE841" s="303"/>
      <c r="AF841" s="303"/>
      <c r="AG841" s="303"/>
    </row>
    <row r="842" spans="1:33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335"/>
      <c r="S842" s="335"/>
      <c r="T842" s="335"/>
      <c r="U842" s="303"/>
      <c r="V842" s="303"/>
      <c r="W842" s="303"/>
      <c r="X842" s="303"/>
      <c r="Y842" s="303"/>
      <c r="Z842" s="303"/>
      <c r="AA842" s="303"/>
      <c r="AB842" s="303"/>
      <c r="AC842" s="303"/>
      <c r="AD842" s="303"/>
      <c r="AE842" s="303"/>
      <c r="AF842" s="303"/>
      <c r="AG842" s="303"/>
    </row>
    <row r="843" spans="1:33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335"/>
      <c r="S843" s="335"/>
      <c r="T843" s="335"/>
      <c r="U843" s="303"/>
      <c r="V843" s="303"/>
      <c r="W843" s="303"/>
      <c r="X843" s="303"/>
      <c r="Y843" s="303"/>
      <c r="Z843" s="303"/>
      <c r="AA843" s="303"/>
      <c r="AB843" s="303"/>
      <c r="AC843" s="303"/>
      <c r="AD843" s="303"/>
      <c r="AE843" s="303"/>
      <c r="AF843" s="303"/>
      <c r="AG843" s="303"/>
    </row>
    <row r="844" spans="1:33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335"/>
      <c r="S844" s="335"/>
      <c r="T844" s="335"/>
      <c r="U844" s="303"/>
      <c r="V844" s="303"/>
      <c r="W844" s="303"/>
      <c r="X844" s="303"/>
      <c r="Y844" s="303"/>
      <c r="Z844" s="303"/>
      <c r="AA844" s="303"/>
      <c r="AB844" s="303"/>
      <c r="AC844" s="303"/>
      <c r="AD844" s="303"/>
      <c r="AE844" s="303"/>
      <c r="AF844" s="303"/>
      <c r="AG844" s="303"/>
    </row>
    <row r="845" spans="1:33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335"/>
      <c r="S845" s="335"/>
      <c r="T845" s="335"/>
      <c r="U845" s="303"/>
      <c r="V845" s="303"/>
      <c r="W845" s="303"/>
      <c r="X845" s="303"/>
      <c r="Y845" s="303"/>
      <c r="Z845" s="303"/>
      <c r="AA845" s="303"/>
      <c r="AB845" s="303"/>
      <c r="AC845" s="303"/>
      <c r="AD845" s="303"/>
      <c r="AE845" s="303"/>
      <c r="AF845" s="303"/>
      <c r="AG845" s="303"/>
    </row>
    <row r="846" spans="1:33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335"/>
      <c r="S846" s="335"/>
      <c r="T846" s="335"/>
      <c r="U846" s="303"/>
      <c r="V846" s="303"/>
      <c r="W846" s="303"/>
      <c r="X846" s="303"/>
      <c r="Y846" s="303"/>
      <c r="Z846" s="303"/>
      <c r="AA846" s="303"/>
      <c r="AB846" s="303"/>
      <c r="AC846" s="303"/>
      <c r="AD846" s="303"/>
      <c r="AE846" s="303"/>
      <c r="AF846" s="303"/>
      <c r="AG846" s="303"/>
    </row>
    <row r="847" spans="1:33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335"/>
      <c r="S847" s="335"/>
      <c r="T847" s="335"/>
      <c r="U847" s="303"/>
      <c r="V847" s="303"/>
      <c r="W847" s="303"/>
      <c r="X847" s="303"/>
      <c r="Y847" s="303"/>
      <c r="Z847" s="303"/>
      <c r="AA847" s="303"/>
      <c r="AB847" s="303"/>
      <c r="AC847" s="303"/>
      <c r="AD847" s="303"/>
      <c r="AE847" s="303"/>
      <c r="AF847" s="303"/>
      <c r="AG847" s="303"/>
    </row>
    <row r="848" spans="1:33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335"/>
      <c r="S848" s="335"/>
      <c r="T848" s="335"/>
      <c r="U848" s="303"/>
      <c r="V848" s="303"/>
      <c r="W848" s="303"/>
      <c r="X848" s="303"/>
      <c r="Y848" s="303"/>
      <c r="Z848" s="303"/>
      <c r="AA848" s="303"/>
      <c r="AB848" s="303"/>
      <c r="AC848" s="303"/>
      <c r="AD848" s="303"/>
      <c r="AE848" s="303"/>
      <c r="AF848" s="303"/>
      <c r="AG848" s="303"/>
    </row>
    <row r="849" spans="1:33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335"/>
      <c r="S849" s="335"/>
      <c r="T849" s="335"/>
      <c r="U849" s="303"/>
      <c r="V849" s="303"/>
      <c r="W849" s="303"/>
      <c r="X849" s="303"/>
      <c r="Y849" s="303"/>
      <c r="Z849" s="303"/>
      <c r="AA849" s="303"/>
      <c r="AB849" s="303"/>
      <c r="AC849" s="303"/>
      <c r="AD849" s="303"/>
      <c r="AE849" s="303"/>
      <c r="AF849" s="303"/>
      <c r="AG849" s="303"/>
    </row>
    <row r="850" spans="1:33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335"/>
      <c r="S850" s="335"/>
      <c r="T850" s="335"/>
      <c r="U850" s="303"/>
      <c r="V850" s="303"/>
      <c r="W850" s="303"/>
      <c r="X850" s="303"/>
      <c r="Y850" s="303"/>
      <c r="Z850" s="303"/>
      <c r="AA850" s="303"/>
      <c r="AB850" s="303"/>
      <c r="AC850" s="303"/>
      <c r="AD850" s="303"/>
      <c r="AE850" s="303"/>
      <c r="AF850" s="303"/>
      <c r="AG850" s="303"/>
    </row>
    <row r="851" spans="1:33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335"/>
      <c r="S851" s="335"/>
      <c r="T851" s="335"/>
      <c r="U851" s="303"/>
      <c r="V851" s="303"/>
      <c r="W851" s="303"/>
      <c r="X851" s="303"/>
      <c r="Y851" s="303"/>
      <c r="Z851" s="303"/>
      <c r="AA851" s="303"/>
      <c r="AB851" s="303"/>
      <c r="AC851" s="303"/>
      <c r="AD851" s="303"/>
      <c r="AE851" s="303"/>
      <c r="AF851" s="303"/>
      <c r="AG851" s="303"/>
    </row>
    <row r="852" spans="1:33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335"/>
      <c r="S852" s="335"/>
      <c r="T852" s="335"/>
      <c r="U852" s="303"/>
      <c r="V852" s="303"/>
      <c r="W852" s="303"/>
      <c r="X852" s="303"/>
      <c r="Y852" s="303"/>
      <c r="Z852" s="303"/>
      <c r="AA852" s="303"/>
      <c r="AB852" s="303"/>
      <c r="AC852" s="303"/>
      <c r="AD852" s="303"/>
      <c r="AE852" s="303"/>
      <c r="AF852" s="303"/>
      <c r="AG852" s="303"/>
    </row>
    <row r="853" spans="1:33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335"/>
      <c r="S853" s="335"/>
      <c r="T853" s="335"/>
      <c r="U853" s="303"/>
      <c r="V853" s="303"/>
      <c r="W853" s="303"/>
      <c r="X853" s="303"/>
      <c r="Y853" s="303"/>
      <c r="Z853" s="303"/>
      <c r="AA853" s="303"/>
      <c r="AB853" s="303"/>
      <c r="AC853" s="303"/>
      <c r="AD853" s="303"/>
      <c r="AE853" s="303"/>
      <c r="AF853" s="303"/>
      <c r="AG853" s="303"/>
    </row>
    <row r="854" spans="1:33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335"/>
      <c r="S854" s="335"/>
      <c r="T854" s="335"/>
      <c r="U854" s="303"/>
      <c r="V854" s="303"/>
      <c r="W854" s="303"/>
      <c r="X854" s="303"/>
      <c r="Y854" s="303"/>
      <c r="Z854" s="303"/>
      <c r="AA854" s="303"/>
      <c r="AB854" s="303"/>
      <c r="AC854" s="303"/>
      <c r="AD854" s="303"/>
      <c r="AE854" s="303"/>
      <c r="AF854" s="303"/>
      <c r="AG854" s="303"/>
    </row>
    <row r="855" spans="1:33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335"/>
      <c r="S855" s="335"/>
      <c r="T855" s="335"/>
      <c r="U855" s="303"/>
      <c r="V855" s="303"/>
      <c r="W855" s="303"/>
      <c r="X855" s="303"/>
      <c r="Y855" s="303"/>
      <c r="Z855" s="303"/>
      <c r="AA855" s="303"/>
      <c r="AB855" s="303"/>
      <c r="AC855" s="303"/>
      <c r="AD855" s="303"/>
      <c r="AE855" s="303"/>
      <c r="AF855" s="303"/>
      <c r="AG855" s="303"/>
    </row>
    <row r="856" spans="1:33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335"/>
      <c r="S856" s="335"/>
      <c r="T856" s="335"/>
      <c r="U856" s="303"/>
      <c r="V856" s="303"/>
      <c r="W856" s="303"/>
      <c r="X856" s="303"/>
      <c r="Y856" s="303"/>
      <c r="Z856" s="303"/>
      <c r="AA856" s="303"/>
      <c r="AB856" s="303"/>
      <c r="AC856" s="303"/>
      <c r="AD856" s="303"/>
      <c r="AE856" s="303"/>
      <c r="AF856" s="303"/>
      <c r="AG856" s="303"/>
    </row>
    <row r="857" spans="1:33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335"/>
      <c r="S857" s="335"/>
      <c r="T857" s="335"/>
      <c r="U857" s="303"/>
      <c r="V857" s="303"/>
      <c r="W857" s="303"/>
      <c r="X857" s="303"/>
      <c r="Y857" s="303"/>
      <c r="Z857" s="303"/>
      <c r="AA857" s="303"/>
      <c r="AB857" s="303"/>
      <c r="AC857" s="303"/>
      <c r="AD857" s="303"/>
      <c r="AE857" s="303"/>
      <c r="AF857" s="303"/>
      <c r="AG857" s="303"/>
    </row>
    <row r="858" spans="1:33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335"/>
      <c r="S858" s="335"/>
      <c r="T858" s="335"/>
      <c r="U858" s="303"/>
      <c r="V858" s="303"/>
      <c r="W858" s="303"/>
      <c r="X858" s="303"/>
      <c r="Y858" s="303"/>
      <c r="Z858" s="303"/>
      <c r="AA858" s="303"/>
      <c r="AB858" s="303"/>
      <c r="AC858" s="303"/>
      <c r="AD858" s="303"/>
      <c r="AE858" s="303"/>
      <c r="AF858" s="303"/>
      <c r="AG858" s="303"/>
    </row>
    <row r="859" spans="1:33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335"/>
      <c r="S859" s="335"/>
      <c r="T859" s="335"/>
      <c r="U859" s="303"/>
      <c r="V859" s="303"/>
      <c r="W859" s="303"/>
      <c r="X859" s="303"/>
      <c r="Y859" s="303"/>
      <c r="Z859" s="303"/>
      <c r="AA859" s="303"/>
      <c r="AB859" s="303"/>
      <c r="AC859" s="303"/>
      <c r="AD859" s="303"/>
      <c r="AE859" s="303"/>
      <c r="AF859" s="303"/>
      <c r="AG859" s="303"/>
    </row>
    <row r="860" spans="1:33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335"/>
      <c r="S860" s="335"/>
      <c r="T860" s="335"/>
      <c r="U860" s="303"/>
      <c r="V860" s="303"/>
      <c r="W860" s="303"/>
      <c r="X860" s="303"/>
      <c r="Y860" s="303"/>
      <c r="Z860" s="303"/>
      <c r="AA860" s="303"/>
      <c r="AB860" s="303"/>
      <c r="AC860" s="303"/>
      <c r="AD860" s="303"/>
      <c r="AE860" s="303"/>
      <c r="AF860" s="303"/>
      <c r="AG860" s="303"/>
    </row>
    <row r="861" spans="1:33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335"/>
      <c r="S861" s="335"/>
      <c r="T861" s="335"/>
      <c r="U861" s="303"/>
      <c r="V861" s="303"/>
      <c r="W861" s="303"/>
      <c r="X861" s="303"/>
      <c r="Y861" s="303"/>
      <c r="Z861" s="303"/>
      <c r="AA861" s="303"/>
      <c r="AB861" s="303"/>
      <c r="AC861" s="303"/>
      <c r="AD861" s="303"/>
      <c r="AE861" s="303"/>
      <c r="AF861" s="303"/>
      <c r="AG861" s="303"/>
    </row>
    <row r="862" spans="1:33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335"/>
      <c r="S862" s="335"/>
      <c r="T862" s="335"/>
      <c r="U862" s="303"/>
      <c r="V862" s="303"/>
      <c r="W862" s="303"/>
      <c r="X862" s="303"/>
      <c r="Y862" s="303"/>
      <c r="Z862" s="303"/>
      <c r="AA862" s="303"/>
      <c r="AB862" s="303"/>
      <c r="AC862" s="303"/>
      <c r="AD862" s="303"/>
      <c r="AE862" s="303"/>
      <c r="AF862" s="303"/>
      <c r="AG862" s="303"/>
    </row>
    <row r="863" spans="1:33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335"/>
      <c r="S863" s="335"/>
      <c r="T863" s="335"/>
      <c r="U863" s="303"/>
      <c r="V863" s="303"/>
      <c r="W863" s="303"/>
      <c r="X863" s="303"/>
      <c r="Y863" s="303"/>
      <c r="Z863" s="303"/>
      <c r="AA863" s="303"/>
      <c r="AB863" s="303"/>
      <c r="AC863" s="303"/>
      <c r="AD863" s="303"/>
      <c r="AE863" s="303"/>
      <c r="AF863" s="303"/>
      <c r="AG863" s="303"/>
    </row>
    <row r="864" spans="1:33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335"/>
      <c r="S864" s="335"/>
      <c r="T864" s="335"/>
      <c r="U864" s="303"/>
      <c r="V864" s="303"/>
      <c r="W864" s="303"/>
      <c r="X864" s="303"/>
      <c r="Y864" s="303"/>
      <c r="Z864" s="303"/>
      <c r="AA864" s="303"/>
      <c r="AB864" s="303"/>
      <c r="AC864" s="303"/>
      <c r="AD864" s="303"/>
      <c r="AE864" s="303"/>
      <c r="AF864" s="303"/>
      <c r="AG864" s="303"/>
    </row>
    <row r="865" spans="1:33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335"/>
      <c r="S865" s="335"/>
      <c r="T865" s="335"/>
      <c r="U865" s="303"/>
      <c r="V865" s="303"/>
      <c r="W865" s="303"/>
      <c r="X865" s="303"/>
      <c r="Y865" s="303"/>
      <c r="Z865" s="303"/>
      <c r="AA865" s="303"/>
      <c r="AB865" s="303"/>
      <c r="AC865" s="303"/>
      <c r="AD865" s="303"/>
      <c r="AE865" s="303"/>
      <c r="AF865" s="303"/>
      <c r="AG865" s="303"/>
    </row>
    <row r="866" spans="1:33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335"/>
      <c r="S866" s="335"/>
      <c r="T866" s="335"/>
      <c r="U866" s="303"/>
      <c r="V866" s="303"/>
      <c r="W866" s="303"/>
      <c r="X866" s="303"/>
      <c r="Y866" s="303"/>
      <c r="Z866" s="303"/>
      <c r="AA866" s="303"/>
      <c r="AB866" s="303"/>
      <c r="AC866" s="303"/>
      <c r="AD866" s="303"/>
      <c r="AE866" s="303"/>
      <c r="AF866" s="303"/>
      <c r="AG866" s="303"/>
    </row>
    <row r="867" spans="1:33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335"/>
      <c r="S867" s="335"/>
      <c r="T867" s="335"/>
      <c r="U867" s="303"/>
      <c r="V867" s="303"/>
      <c r="W867" s="303"/>
      <c r="X867" s="303"/>
      <c r="Y867" s="303"/>
      <c r="Z867" s="303"/>
      <c r="AA867" s="303"/>
      <c r="AB867" s="303"/>
      <c r="AC867" s="303"/>
      <c r="AD867" s="303"/>
      <c r="AE867" s="303"/>
      <c r="AF867" s="303"/>
      <c r="AG867" s="303"/>
    </row>
    <row r="868" spans="1:33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335"/>
      <c r="S868" s="335"/>
      <c r="T868" s="335"/>
      <c r="U868" s="303"/>
      <c r="V868" s="303"/>
      <c r="W868" s="303"/>
      <c r="X868" s="303"/>
      <c r="Y868" s="303"/>
      <c r="Z868" s="303"/>
      <c r="AA868" s="303"/>
      <c r="AB868" s="303"/>
      <c r="AC868" s="303"/>
      <c r="AD868" s="303"/>
      <c r="AE868" s="303"/>
      <c r="AF868" s="303"/>
      <c r="AG868" s="303"/>
    </row>
    <row r="869" spans="1:33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335"/>
      <c r="S869" s="335"/>
      <c r="T869" s="335"/>
      <c r="U869" s="303"/>
      <c r="V869" s="303"/>
      <c r="W869" s="303"/>
      <c r="X869" s="303"/>
      <c r="Y869" s="303"/>
      <c r="Z869" s="303"/>
      <c r="AA869" s="303"/>
      <c r="AB869" s="303"/>
      <c r="AC869" s="303"/>
      <c r="AD869" s="303"/>
      <c r="AE869" s="303"/>
      <c r="AF869" s="303"/>
      <c r="AG869" s="303"/>
    </row>
    <row r="870" spans="1:33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335"/>
      <c r="S870" s="335"/>
      <c r="T870" s="335"/>
      <c r="U870" s="303"/>
      <c r="V870" s="303"/>
      <c r="W870" s="303"/>
      <c r="X870" s="303"/>
      <c r="Y870" s="303"/>
      <c r="Z870" s="303"/>
      <c r="AA870" s="303"/>
      <c r="AB870" s="303"/>
      <c r="AC870" s="303"/>
      <c r="AD870" s="303"/>
      <c r="AE870" s="303"/>
      <c r="AF870" s="303"/>
      <c r="AG870" s="303"/>
    </row>
    <row r="871" spans="1:33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335"/>
      <c r="S871" s="335"/>
      <c r="T871" s="335"/>
      <c r="U871" s="303"/>
      <c r="V871" s="303"/>
      <c r="W871" s="303"/>
      <c r="X871" s="303"/>
      <c r="Y871" s="303"/>
      <c r="Z871" s="303"/>
      <c r="AA871" s="303"/>
      <c r="AB871" s="303"/>
      <c r="AC871" s="303"/>
      <c r="AD871" s="303"/>
      <c r="AE871" s="303"/>
      <c r="AF871" s="303"/>
      <c r="AG871" s="303"/>
    </row>
    <row r="872" spans="1:33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335"/>
      <c r="S872" s="335"/>
      <c r="T872" s="335"/>
      <c r="U872" s="303"/>
      <c r="V872" s="303"/>
      <c r="W872" s="303"/>
      <c r="X872" s="303"/>
      <c r="Y872" s="303"/>
      <c r="Z872" s="303"/>
      <c r="AA872" s="303"/>
      <c r="AB872" s="303"/>
      <c r="AC872" s="303"/>
      <c r="AD872" s="303"/>
      <c r="AE872" s="303"/>
      <c r="AF872" s="303"/>
      <c r="AG872" s="303"/>
    </row>
    <row r="873" spans="1:33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335"/>
      <c r="S873" s="335"/>
      <c r="T873" s="335"/>
      <c r="U873" s="303"/>
      <c r="V873" s="303"/>
      <c r="W873" s="303"/>
      <c r="X873" s="303"/>
      <c r="Y873" s="303"/>
      <c r="Z873" s="303"/>
      <c r="AA873" s="303"/>
      <c r="AB873" s="303"/>
      <c r="AC873" s="303"/>
      <c r="AD873" s="303"/>
      <c r="AE873" s="303"/>
      <c r="AF873" s="303"/>
      <c r="AG873" s="303"/>
    </row>
    <row r="874" spans="1:33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335"/>
      <c r="S874" s="335"/>
      <c r="T874" s="335"/>
      <c r="U874" s="303"/>
      <c r="V874" s="303"/>
      <c r="W874" s="303"/>
      <c r="X874" s="303"/>
      <c r="Y874" s="303"/>
      <c r="Z874" s="303"/>
      <c r="AA874" s="303"/>
      <c r="AB874" s="303"/>
      <c r="AC874" s="303"/>
      <c r="AD874" s="303"/>
      <c r="AE874" s="303"/>
      <c r="AF874" s="303"/>
      <c r="AG874" s="303"/>
    </row>
    <row r="875" spans="1:33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335"/>
      <c r="S875" s="335"/>
      <c r="T875" s="335"/>
      <c r="U875" s="303"/>
      <c r="V875" s="303"/>
      <c r="W875" s="303"/>
      <c r="X875" s="303"/>
      <c r="Y875" s="303"/>
      <c r="Z875" s="303"/>
      <c r="AA875" s="303"/>
      <c r="AB875" s="303"/>
      <c r="AC875" s="303"/>
      <c r="AD875" s="303"/>
      <c r="AE875" s="303"/>
      <c r="AF875" s="303"/>
      <c r="AG875" s="303"/>
    </row>
    <row r="876" spans="1:33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335"/>
      <c r="S876" s="335"/>
      <c r="T876" s="335"/>
      <c r="U876" s="303"/>
      <c r="V876" s="303"/>
      <c r="W876" s="303"/>
      <c r="X876" s="303"/>
      <c r="Y876" s="303"/>
      <c r="Z876" s="303"/>
      <c r="AA876" s="303"/>
      <c r="AB876" s="303"/>
      <c r="AC876" s="303"/>
      <c r="AD876" s="303"/>
      <c r="AE876" s="303"/>
      <c r="AF876" s="303"/>
      <c r="AG876" s="303"/>
    </row>
    <row r="877" spans="1:33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335"/>
      <c r="S877" s="335"/>
      <c r="T877" s="335"/>
      <c r="U877" s="303"/>
      <c r="V877" s="303"/>
      <c r="W877" s="303"/>
      <c r="X877" s="303"/>
      <c r="Y877" s="303"/>
      <c r="Z877" s="303"/>
      <c r="AA877" s="303"/>
      <c r="AB877" s="303"/>
      <c r="AC877" s="303"/>
      <c r="AD877" s="303"/>
      <c r="AE877" s="303"/>
      <c r="AF877" s="303"/>
      <c r="AG877" s="303"/>
    </row>
    <row r="878" spans="1:33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335"/>
      <c r="S878" s="335"/>
      <c r="T878" s="335"/>
      <c r="U878" s="303"/>
      <c r="V878" s="303"/>
      <c r="W878" s="303"/>
      <c r="X878" s="303"/>
      <c r="Y878" s="303"/>
      <c r="Z878" s="303"/>
      <c r="AA878" s="303"/>
      <c r="AB878" s="303"/>
      <c r="AC878" s="303"/>
      <c r="AD878" s="303"/>
      <c r="AE878" s="303"/>
      <c r="AF878" s="303"/>
      <c r="AG878" s="303"/>
    </row>
    <row r="879" spans="1:33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335"/>
      <c r="S879" s="335"/>
      <c r="T879" s="335"/>
      <c r="U879" s="303"/>
      <c r="V879" s="303"/>
      <c r="W879" s="303"/>
      <c r="X879" s="303"/>
      <c r="Y879" s="303"/>
      <c r="Z879" s="303"/>
      <c r="AA879" s="303"/>
      <c r="AB879" s="303"/>
      <c r="AC879" s="303"/>
      <c r="AD879" s="303"/>
      <c r="AE879" s="303"/>
      <c r="AF879" s="303"/>
      <c r="AG879" s="303"/>
    </row>
    <row r="880" spans="1:33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335"/>
      <c r="S880" s="335"/>
      <c r="T880" s="335"/>
      <c r="U880" s="303"/>
      <c r="V880" s="303"/>
      <c r="W880" s="303"/>
      <c r="X880" s="303"/>
      <c r="Y880" s="303"/>
      <c r="Z880" s="303"/>
      <c r="AA880" s="303"/>
      <c r="AB880" s="303"/>
      <c r="AC880" s="303"/>
      <c r="AD880" s="303"/>
      <c r="AE880" s="303"/>
      <c r="AF880" s="303"/>
      <c r="AG880" s="303"/>
    </row>
    <row r="881" spans="1:33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335"/>
      <c r="S881" s="335"/>
      <c r="T881" s="335"/>
      <c r="U881" s="303"/>
      <c r="V881" s="303"/>
      <c r="W881" s="303"/>
      <c r="X881" s="303"/>
      <c r="Y881" s="303"/>
      <c r="Z881" s="303"/>
      <c r="AA881" s="303"/>
      <c r="AB881" s="303"/>
      <c r="AC881" s="303"/>
      <c r="AD881" s="303"/>
      <c r="AE881" s="303"/>
      <c r="AF881" s="303"/>
      <c r="AG881" s="303"/>
    </row>
    <row r="882" spans="1:33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335"/>
      <c r="S882" s="335"/>
      <c r="T882" s="335"/>
      <c r="U882" s="303"/>
      <c r="V882" s="303"/>
      <c r="W882" s="303"/>
      <c r="X882" s="303"/>
      <c r="Y882" s="303"/>
      <c r="Z882" s="303"/>
      <c r="AA882" s="303"/>
      <c r="AB882" s="303"/>
      <c r="AC882" s="303"/>
      <c r="AD882" s="303"/>
      <c r="AE882" s="303"/>
      <c r="AF882" s="303"/>
      <c r="AG882" s="303"/>
    </row>
    <row r="883" spans="1:33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335"/>
      <c r="S883" s="335"/>
      <c r="T883" s="335"/>
      <c r="U883" s="303"/>
      <c r="V883" s="303"/>
      <c r="W883" s="303"/>
      <c r="X883" s="303"/>
      <c r="Y883" s="303"/>
      <c r="Z883" s="303"/>
      <c r="AA883" s="303"/>
      <c r="AB883" s="303"/>
      <c r="AC883" s="303"/>
      <c r="AD883" s="303"/>
      <c r="AE883" s="303"/>
      <c r="AF883" s="303"/>
      <c r="AG883" s="303"/>
    </row>
    <row r="884" spans="1:33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335"/>
      <c r="S884" s="335"/>
      <c r="T884" s="335"/>
      <c r="U884" s="303"/>
      <c r="V884" s="303"/>
      <c r="W884" s="303"/>
      <c r="X884" s="303"/>
      <c r="Y884" s="303"/>
      <c r="Z884" s="303"/>
      <c r="AA884" s="303"/>
      <c r="AB884" s="303"/>
      <c r="AC884" s="303"/>
      <c r="AD884" s="303"/>
      <c r="AE884" s="303"/>
      <c r="AF884" s="303"/>
      <c r="AG884" s="303"/>
    </row>
    <row r="885" spans="1:33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335"/>
      <c r="S885" s="335"/>
      <c r="T885" s="335"/>
      <c r="U885" s="303"/>
      <c r="V885" s="303"/>
      <c r="W885" s="303"/>
      <c r="X885" s="303"/>
      <c r="Y885" s="303"/>
      <c r="Z885" s="303"/>
      <c r="AA885" s="303"/>
      <c r="AB885" s="303"/>
      <c r="AC885" s="303"/>
      <c r="AD885" s="303"/>
      <c r="AE885" s="303"/>
      <c r="AF885" s="303"/>
      <c r="AG885" s="303"/>
    </row>
    <row r="886" spans="1:33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335"/>
      <c r="S886" s="335"/>
      <c r="T886" s="335"/>
      <c r="U886" s="303"/>
      <c r="V886" s="303"/>
      <c r="W886" s="303"/>
      <c r="X886" s="303"/>
      <c r="Y886" s="303"/>
      <c r="Z886" s="303"/>
      <c r="AA886" s="303"/>
      <c r="AB886" s="303"/>
      <c r="AC886" s="303"/>
      <c r="AD886" s="303"/>
      <c r="AE886" s="303"/>
      <c r="AF886" s="303"/>
      <c r="AG886" s="303"/>
    </row>
    <row r="887" spans="1:33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335"/>
      <c r="S887" s="335"/>
      <c r="T887" s="335"/>
      <c r="U887" s="303"/>
      <c r="V887" s="303"/>
      <c r="W887" s="303"/>
      <c r="X887" s="303"/>
      <c r="Y887" s="303"/>
      <c r="Z887" s="303"/>
      <c r="AA887" s="303"/>
      <c r="AB887" s="303"/>
      <c r="AC887" s="303"/>
      <c r="AD887" s="303"/>
      <c r="AE887" s="303"/>
      <c r="AF887" s="303"/>
      <c r="AG887" s="303"/>
    </row>
    <row r="888" spans="1:33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335"/>
      <c r="S888" s="335"/>
      <c r="T888" s="335"/>
      <c r="U888" s="303"/>
      <c r="V888" s="303"/>
      <c r="W888" s="303"/>
      <c r="X888" s="303"/>
      <c r="Y888" s="303"/>
      <c r="Z888" s="303"/>
      <c r="AA888" s="303"/>
      <c r="AB888" s="303"/>
      <c r="AC888" s="303"/>
      <c r="AD888" s="303"/>
      <c r="AE888" s="303"/>
      <c r="AF888" s="303"/>
      <c r="AG888" s="303"/>
    </row>
    <row r="889" spans="1:33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335"/>
      <c r="S889" s="335"/>
      <c r="T889" s="335"/>
      <c r="U889" s="303"/>
      <c r="V889" s="303"/>
      <c r="W889" s="303"/>
      <c r="X889" s="303"/>
      <c r="Y889" s="303"/>
      <c r="Z889" s="303"/>
      <c r="AA889" s="303"/>
      <c r="AB889" s="303"/>
      <c r="AC889" s="303"/>
      <c r="AD889" s="303"/>
      <c r="AE889" s="303"/>
      <c r="AF889" s="303"/>
      <c r="AG889" s="303"/>
    </row>
    <row r="890" spans="1:33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335"/>
      <c r="S890" s="335"/>
      <c r="T890" s="335"/>
      <c r="U890" s="303"/>
      <c r="V890" s="303"/>
      <c r="W890" s="303"/>
      <c r="X890" s="303"/>
      <c r="Y890" s="303"/>
      <c r="Z890" s="303"/>
      <c r="AA890" s="303"/>
      <c r="AB890" s="303"/>
      <c r="AC890" s="303"/>
      <c r="AD890" s="303"/>
      <c r="AE890" s="303"/>
      <c r="AF890" s="303"/>
      <c r="AG890" s="303"/>
    </row>
    <row r="891" spans="1:33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335"/>
      <c r="S891" s="335"/>
      <c r="T891" s="335"/>
      <c r="U891" s="303"/>
      <c r="V891" s="303"/>
      <c r="W891" s="303"/>
      <c r="X891" s="303"/>
      <c r="Y891" s="303"/>
      <c r="Z891" s="303"/>
      <c r="AA891" s="303"/>
      <c r="AB891" s="303"/>
      <c r="AC891" s="303"/>
      <c r="AD891" s="303"/>
      <c r="AE891" s="303"/>
      <c r="AF891" s="303"/>
      <c r="AG891" s="303"/>
    </row>
    <row r="892" spans="1:33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335"/>
      <c r="S892" s="335"/>
      <c r="T892" s="335"/>
      <c r="U892" s="303"/>
      <c r="V892" s="303"/>
      <c r="W892" s="303"/>
      <c r="X892" s="303"/>
      <c r="Y892" s="303"/>
      <c r="Z892" s="303"/>
      <c r="AA892" s="303"/>
      <c r="AB892" s="303"/>
      <c r="AC892" s="303"/>
      <c r="AD892" s="303"/>
      <c r="AE892" s="303"/>
      <c r="AF892" s="303"/>
      <c r="AG892" s="303"/>
    </row>
    <row r="893" spans="1:33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335"/>
      <c r="S893" s="335"/>
      <c r="T893" s="335"/>
      <c r="U893" s="303"/>
      <c r="V893" s="303"/>
      <c r="W893" s="303"/>
      <c r="X893" s="303"/>
      <c r="Y893" s="303"/>
      <c r="Z893" s="303"/>
      <c r="AA893" s="303"/>
      <c r="AB893" s="303"/>
      <c r="AC893" s="303"/>
      <c r="AD893" s="303"/>
      <c r="AE893" s="303"/>
      <c r="AF893" s="303"/>
      <c r="AG893" s="303"/>
    </row>
    <row r="894" spans="1:33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335"/>
      <c r="S894" s="335"/>
      <c r="T894" s="335"/>
      <c r="U894" s="303"/>
      <c r="V894" s="303"/>
      <c r="W894" s="303"/>
      <c r="X894" s="303"/>
      <c r="Y894" s="303"/>
      <c r="Z894" s="303"/>
      <c r="AA894" s="303"/>
      <c r="AB894" s="303"/>
      <c r="AC894" s="303"/>
      <c r="AD894" s="303"/>
      <c r="AE894" s="303"/>
      <c r="AF894" s="303"/>
      <c r="AG894" s="303"/>
    </row>
    <row r="895" spans="1:33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335"/>
      <c r="S895" s="335"/>
      <c r="T895" s="335"/>
      <c r="U895" s="303"/>
      <c r="V895" s="303"/>
      <c r="W895" s="303"/>
      <c r="X895" s="303"/>
      <c r="Y895" s="303"/>
      <c r="Z895" s="303"/>
      <c r="AA895" s="303"/>
      <c r="AB895" s="303"/>
      <c r="AC895" s="303"/>
      <c r="AD895" s="303"/>
      <c r="AE895" s="303"/>
      <c r="AF895" s="303"/>
      <c r="AG895" s="303"/>
    </row>
    <row r="896" spans="1:33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335"/>
      <c r="S896" s="335"/>
      <c r="T896" s="335"/>
      <c r="U896" s="303"/>
      <c r="V896" s="303"/>
      <c r="W896" s="303"/>
      <c r="X896" s="303"/>
      <c r="Y896" s="303"/>
      <c r="Z896" s="303"/>
      <c r="AA896" s="303"/>
      <c r="AB896" s="303"/>
      <c r="AC896" s="303"/>
      <c r="AD896" s="303"/>
      <c r="AE896" s="303"/>
      <c r="AF896" s="303"/>
      <c r="AG896" s="303"/>
    </row>
    <row r="897" spans="1:33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335"/>
      <c r="S897" s="335"/>
      <c r="T897" s="335"/>
      <c r="U897" s="303"/>
      <c r="V897" s="303"/>
      <c r="W897" s="303"/>
      <c r="X897" s="303"/>
      <c r="Y897" s="303"/>
      <c r="Z897" s="303"/>
      <c r="AA897" s="303"/>
      <c r="AB897" s="303"/>
      <c r="AC897" s="303"/>
      <c r="AD897" s="303"/>
      <c r="AE897" s="303"/>
      <c r="AF897" s="303"/>
      <c r="AG897" s="303"/>
    </row>
    <row r="898" spans="1:33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335"/>
      <c r="S898" s="335"/>
      <c r="T898" s="335"/>
      <c r="U898" s="303"/>
      <c r="V898" s="303"/>
      <c r="W898" s="303"/>
      <c r="X898" s="303"/>
      <c r="Y898" s="303"/>
      <c r="Z898" s="303"/>
      <c r="AA898" s="303"/>
      <c r="AB898" s="303"/>
      <c r="AC898" s="303"/>
      <c r="AD898" s="303"/>
      <c r="AE898" s="303"/>
      <c r="AF898" s="303"/>
      <c r="AG898" s="303"/>
    </row>
    <row r="899" spans="1:33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335"/>
      <c r="S899" s="335"/>
      <c r="T899" s="335"/>
      <c r="U899" s="303"/>
      <c r="V899" s="303"/>
      <c r="W899" s="303"/>
      <c r="X899" s="303"/>
      <c r="Y899" s="303"/>
      <c r="Z899" s="303"/>
      <c r="AA899" s="303"/>
      <c r="AB899" s="303"/>
      <c r="AC899" s="303"/>
      <c r="AD899" s="303"/>
      <c r="AE899" s="303"/>
      <c r="AF899" s="303"/>
      <c r="AG899" s="303"/>
    </row>
    <row r="900" spans="1:33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335"/>
      <c r="S900" s="335"/>
      <c r="T900" s="335"/>
      <c r="U900" s="303"/>
      <c r="V900" s="303"/>
      <c r="W900" s="303"/>
      <c r="X900" s="303"/>
      <c r="Y900" s="303"/>
      <c r="Z900" s="303"/>
      <c r="AA900" s="303"/>
      <c r="AB900" s="303"/>
      <c r="AC900" s="303"/>
      <c r="AD900" s="303"/>
      <c r="AE900" s="303"/>
      <c r="AF900" s="303"/>
      <c r="AG900" s="303"/>
    </row>
    <row r="901" spans="1:33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335"/>
      <c r="S901" s="335"/>
      <c r="T901" s="335"/>
      <c r="U901" s="303"/>
      <c r="V901" s="303"/>
      <c r="W901" s="303"/>
      <c r="X901" s="303"/>
      <c r="Y901" s="303"/>
      <c r="Z901" s="303"/>
      <c r="AA901" s="303"/>
      <c r="AB901" s="303"/>
      <c r="AC901" s="303"/>
      <c r="AD901" s="303"/>
      <c r="AE901" s="303"/>
      <c r="AF901" s="303"/>
      <c r="AG901" s="303"/>
    </row>
    <row r="902" spans="1:33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335"/>
      <c r="S902" s="335"/>
      <c r="T902" s="335"/>
      <c r="U902" s="303"/>
      <c r="V902" s="303"/>
      <c r="W902" s="303"/>
      <c r="X902" s="303"/>
      <c r="Y902" s="303"/>
      <c r="Z902" s="303"/>
      <c r="AA902" s="303"/>
      <c r="AB902" s="303"/>
      <c r="AC902" s="303"/>
      <c r="AD902" s="303"/>
      <c r="AE902" s="303"/>
      <c r="AF902" s="303"/>
      <c r="AG902" s="303"/>
    </row>
    <row r="903" spans="1:33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335"/>
      <c r="S903" s="335"/>
      <c r="T903" s="335"/>
      <c r="U903" s="303"/>
      <c r="V903" s="303"/>
      <c r="W903" s="303"/>
      <c r="X903" s="303"/>
      <c r="Y903" s="303"/>
      <c r="Z903" s="303"/>
      <c r="AA903" s="303"/>
      <c r="AB903" s="303"/>
      <c r="AC903" s="303"/>
      <c r="AD903" s="303"/>
      <c r="AE903" s="303"/>
      <c r="AF903" s="303"/>
      <c r="AG903" s="303"/>
    </row>
    <row r="904" spans="1:33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335"/>
      <c r="S904" s="335"/>
      <c r="T904" s="335"/>
      <c r="U904" s="303"/>
      <c r="V904" s="303"/>
      <c r="W904" s="303"/>
      <c r="X904" s="303"/>
      <c r="Y904" s="303"/>
      <c r="Z904" s="303"/>
      <c r="AA904" s="303"/>
      <c r="AB904" s="303"/>
      <c r="AC904" s="303"/>
      <c r="AD904" s="303"/>
      <c r="AE904" s="303"/>
      <c r="AF904" s="303"/>
      <c r="AG904" s="303"/>
    </row>
    <row r="905" spans="1:33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335"/>
      <c r="S905" s="335"/>
      <c r="T905" s="335"/>
      <c r="U905" s="303"/>
      <c r="V905" s="303"/>
      <c r="W905" s="303"/>
      <c r="X905" s="303"/>
      <c r="Y905" s="303"/>
      <c r="Z905" s="303"/>
      <c r="AA905" s="303"/>
      <c r="AB905" s="303"/>
      <c r="AC905" s="303"/>
      <c r="AD905" s="303"/>
      <c r="AE905" s="303"/>
      <c r="AF905" s="303"/>
      <c r="AG905" s="303"/>
    </row>
    <row r="906" spans="1:33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335"/>
      <c r="S906" s="335"/>
      <c r="T906" s="335"/>
      <c r="U906" s="303"/>
      <c r="V906" s="303"/>
      <c r="W906" s="303"/>
      <c r="X906" s="303"/>
      <c r="Y906" s="303"/>
      <c r="Z906" s="303"/>
      <c r="AA906" s="303"/>
      <c r="AB906" s="303"/>
      <c r="AC906" s="303"/>
      <c r="AD906" s="303"/>
      <c r="AE906" s="303"/>
      <c r="AF906" s="303"/>
      <c r="AG906" s="303"/>
    </row>
    <row r="907" spans="1:33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335"/>
      <c r="S907" s="335"/>
      <c r="T907" s="335"/>
      <c r="U907" s="303"/>
      <c r="V907" s="303"/>
      <c r="W907" s="303"/>
      <c r="X907" s="303"/>
      <c r="Y907" s="303"/>
      <c r="Z907" s="303"/>
      <c r="AA907" s="303"/>
      <c r="AB907" s="303"/>
      <c r="AC907" s="303"/>
      <c r="AD907" s="303"/>
      <c r="AE907" s="303"/>
      <c r="AF907" s="303"/>
      <c r="AG907" s="303"/>
    </row>
    <row r="908" spans="1:33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335"/>
      <c r="S908" s="335"/>
      <c r="T908" s="335"/>
      <c r="U908" s="303"/>
      <c r="V908" s="303"/>
      <c r="W908" s="303"/>
      <c r="X908" s="303"/>
      <c r="Y908" s="303"/>
      <c r="Z908" s="303"/>
      <c r="AA908" s="303"/>
      <c r="AB908" s="303"/>
      <c r="AC908" s="303"/>
      <c r="AD908" s="303"/>
      <c r="AE908" s="303"/>
      <c r="AF908" s="303"/>
      <c r="AG908" s="303"/>
    </row>
    <row r="909" spans="1:33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335"/>
      <c r="S909" s="335"/>
      <c r="T909" s="335"/>
      <c r="U909" s="303"/>
      <c r="V909" s="303"/>
      <c r="W909" s="303"/>
      <c r="X909" s="303"/>
      <c r="Y909" s="303"/>
      <c r="Z909" s="303"/>
      <c r="AA909" s="303"/>
      <c r="AB909" s="303"/>
      <c r="AC909" s="303"/>
      <c r="AD909" s="303"/>
      <c r="AE909" s="303"/>
      <c r="AF909" s="303"/>
      <c r="AG909" s="303"/>
    </row>
    <row r="910" spans="1:33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335"/>
      <c r="S910" s="335"/>
      <c r="T910" s="335"/>
      <c r="U910" s="303"/>
      <c r="V910" s="303"/>
      <c r="W910" s="303"/>
      <c r="X910" s="303"/>
      <c r="Y910" s="303"/>
      <c r="Z910" s="303"/>
      <c r="AA910" s="303"/>
      <c r="AB910" s="303"/>
      <c r="AC910" s="303"/>
      <c r="AD910" s="303"/>
      <c r="AE910" s="303"/>
      <c r="AF910" s="303"/>
      <c r="AG910" s="303"/>
    </row>
    <row r="911" spans="1:33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335"/>
      <c r="S911" s="335"/>
      <c r="T911" s="335"/>
      <c r="U911" s="303"/>
      <c r="V911" s="303"/>
      <c r="W911" s="303"/>
      <c r="X911" s="303"/>
      <c r="Y911" s="303"/>
      <c r="Z911" s="303"/>
      <c r="AA911" s="303"/>
      <c r="AB911" s="303"/>
      <c r="AC911" s="303"/>
      <c r="AD911" s="303"/>
      <c r="AE911" s="303"/>
      <c r="AF911" s="303"/>
      <c r="AG911" s="303"/>
    </row>
    <row r="912" spans="1:33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335"/>
      <c r="S912" s="335"/>
      <c r="T912" s="335"/>
      <c r="U912" s="303"/>
      <c r="V912" s="303"/>
      <c r="W912" s="303"/>
      <c r="X912" s="303"/>
      <c r="Y912" s="303"/>
      <c r="Z912" s="303"/>
      <c r="AA912" s="303"/>
      <c r="AB912" s="303"/>
      <c r="AC912" s="303"/>
      <c r="AD912" s="303"/>
      <c r="AE912" s="303"/>
      <c r="AF912" s="303"/>
      <c r="AG912" s="303"/>
    </row>
    <row r="913" spans="1:33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335"/>
      <c r="S913" s="335"/>
      <c r="T913" s="335"/>
      <c r="U913" s="303"/>
      <c r="V913" s="303"/>
      <c r="W913" s="303"/>
      <c r="X913" s="303"/>
      <c r="Y913" s="303"/>
      <c r="Z913" s="303"/>
      <c r="AA913" s="303"/>
      <c r="AB913" s="303"/>
      <c r="AC913" s="303"/>
      <c r="AD913" s="303"/>
      <c r="AE913" s="303"/>
      <c r="AF913" s="303"/>
      <c r="AG913" s="303"/>
    </row>
    <row r="914" spans="1:33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335"/>
      <c r="S914" s="335"/>
      <c r="T914" s="335"/>
      <c r="U914" s="303"/>
      <c r="V914" s="303"/>
      <c r="W914" s="303"/>
      <c r="X914" s="303"/>
      <c r="Y914" s="303"/>
      <c r="Z914" s="303"/>
      <c r="AA914" s="303"/>
      <c r="AB914" s="303"/>
      <c r="AC914" s="303"/>
      <c r="AD914" s="303"/>
      <c r="AE914" s="303"/>
      <c r="AF914" s="303"/>
      <c r="AG914" s="303"/>
    </row>
    <row r="915" spans="1:33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335"/>
      <c r="S915" s="335"/>
      <c r="T915" s="335"/>
      <c r="U915" s="303"/>
      <c r="V915" s="303"/>
      <c r="W915" s="303"/>
      <c r="X915" s="303"/>
      <c r="Y915" s="303"/>
      <c r="Z915" s="303"/>
      <c r="AA915" s="303"/>
      <c r="AB915" s="303"/>
      <c r="AC915" s="303"/>
      <c r="AD915" s="303"/>
      <c r="AE915" s="303"/>
      <c r="AF915" s="303"/>
      <c r="AG915" s="303"/>
    </row>
    <row r="916" spans="1:33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335"/>
      <c r="S916" s="335"/>
      <c r="T916" s="335"/>
      <c r="U916" s="303"/>
      <c r="V916" s="303"/>
      <c r="W916" s="303"/>
      <c r="X916" s="303"/>
      <c r="Y916" s="303"/>
      <c r="Z916" s="303"/>
      <c r="AA916" s="303"/>
      <c r="AB916" s="303"/>
      <c r="AC916" s="303"/>
      <c r="AD916" s="303"/>
      <c r="AE916" s="303"/>
      <c r="AF916" s="303"/>
      <c r="AG916" s="303"/>
    </row>
    <row r="917" spans="1:33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335"/>
      <c r="S917" s="335"/>
      <c r="T917" s="335"/>
      <c r="U917" s="303"/>
      <c r="V917" s="303"/>
      <c r="W917" s="303"/>
      <c r="X917" s="303"/>
      <c r="Y917" s="303"/>
      <c r="Z917" s="303"/>
      <c r="AA917" s="303"/>
      <c r="AB917" s="303"/>
      <c r="AC917" s="303"/>
      <c r="AD917" s="303"/>
      <c r="AE917" s="303"/>
      <c r="AF917" s="303"/>
      <c r="AG917" s="303"/>
    </row>
    <row r="918" spans="1:33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335"/>
      <c r="S918" s="335"/>
      <c r="T918" s="335"/>
      <c r="U918" s="303"/>
      <c r="V918" s="303"/>
      <c r="W918" s="303"/>
      <c r="X918" s="303"/>
      <c r="Y918" s="303"/>
      <c r="Z918" s="303"/>
      <c r="AA918" s="303"/>
      <c r="AB918" s="303"/>
      <c r="AC918" s="303"/>
      <c r="AD918" s="303"/>
      <c r="AE918" s="303"/>
      <c r="AF918" s="303"/>
      <c r="AG918" s="303"/>
    </row>
    <row r="919" spans="1:33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335"/>
      <c r="S919" s="335"/>
      <c r="T919" s="335"/>
      <c r="U919" s="303"/>
      <c r="V919" s="303"/>
      <c r="W919" s="303"/>
      <c r="X919" s="303"/>
      <c r="Y919" s="303"/>
      <c r="Z919" s="303"/>
      <c r="AA919" s="303"/>
      <c r="AB919" s="303"/>
      <c r="AC919" s="303"/>
      <c r="AD919" s="303"/>
      <c r="AE919" s="303"/>
      <c r="AF919" s="303"/>
      <c r="AG919" s="303"/>
    </row>
    <row r="920" spans="1:33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335"/>
      <c r="S920" s="335"/>
      <c r="T920" s="335"/>
      <c r="U920" s="303"/>
      <c r="V920" s="303"/>
      <c r="W920" s="303"/>
      <c r="X920" s="303"/>
      <c r="Y920" s="303"/>
      <c r="Z920" s="303"/>
      <c r="AA920" s="303"/>
      <c r="AB920" s="303"/>
      <c r="AC920" s="303"/>
      <c r="AD920" s="303"/>
      <c r="AE920" s="303"/>
      <c r="AF920" s="303"/>
      <c r="AG920" s="303"/>
    </row>
    <row r="921" spans="1:33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335"/>
      <c r="S921" s="335"/>
      <c r="T921" s="335"/>
      <c r="U921" s="303"/>
      <c r="V921" s="303"/>
      <c r="W921" s="303"/>
      <c r="X921" s="303"/>
      <c r="Y921" s="303"/>
      <c r="Z921" s="303"/>
      <c r="AA921" s="303"/>
      <c r="AB921" s="303"/>
      <c r="AC921" s="303"/>
      <c r="AD921" s="303"/>
      <c r="AE921" s="303"/>
      <c r="AF921" s="303"/>
      <c r="AG921" s="303"/>
    </row>
    <row r="922" spans="1:33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335"/>
      <c r="S922" s="335"/>
      <c r="T922" s="335"/>
      <c r="U922" s="303"/>
      <c r="V922" s="303"/>
      <c r="W922" s="303"/>
      <c r="X922" s="303"/>
      <c r="Y922" s="303"/>
      <c r="Z922" s="303"/>
      <c r="AA922" s="303"/>
      <c r="AB922" s="303"/>
      <c r="AC922" s="303"/>
      <c r="AD922" s="303"/>
      <c r="AE922" s="303"/>
      <c r="AF922" s="303"/>
      <c r="AG922" s="303"/>
    </row>
    <row r="923" spans="1:33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335"/>
      <c r="S923" s="335"/>
      <c r="T923" s="335"/>
      <c r="U923" s="303"/>
      <c r="V923" s="303"/>
      <c r="W923" s="303"/>
      <c r="X923" s="303"/>
      <c r="Y923" s="303"/>
      <c r="Z923" s="303"/>
      <c r="AA923" s="303"/>
      <c r="AB923" s="303"/>
      <c r="AC923" s="303"/>
      <c r="AD923" s="303"/>
      <c r="AE923" s="303"/>
      <c r="AF923" s="303"/>
      <c r="AG923" s="303"/>
    </row>
    <row r="924" spans="1:33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335"/>
      <c r="S924" s="335"/>
      <c r="T924" s="335"/>
      <c r="U924" s="303"/>
      <c r="V924" s="303"/>
      <c r="W924" s="303"/>
      <c r="X924" s="303"/>
      <c r="Y924" s="303"/>
      <c r="Z924" s="303"/>
      <c r="AA924" s="303"/>
      <c r="AB924" s="303"/>
      <c r="AC924" s="303"/>
      <c r="AD924" s="303"/>
      <c r="AE924" s="303"/>
      <c r="AF924" s="303"/>
      <c r="AG924" s="303"/>
    </row>
    <row r="925" spans="1:33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335"/>
      <c r="S925" s="335"/>
      <c r="T925" s="335"/>
      <c r="U925" s="303"/>
      <c r="V925" s="303"/>
      <c r="W925" s="303"/>
      <c r="X925" s="303"/>
      <c r="Y925" s="303"/>
      <c r="Z925" s="303"/>
      <c r="AA925" s="303"/>
      <c r="AB925" s="303"/>
      <c r="AC925" s="303"/>
      <c r="AD925" s="303"/>
      <c r="AE925" s="303"/>
      <c r="AF925" s="303"/>
      <c r="AG925" s="303"/>
    </row>
    <row r="926" spans="1:33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335"/>
      <c r="S926" s="335"/>
      <c r="T926" s="335"/>
      <c r="U926" s="303"/>
      <c r="V926" s="303"/>
      <c r="W926" s="303"/>
      <c r="X926" s="303"/>
      <c r="Y926" s="303"/>
      <c r="Z926" s="303"/>
      <c r="AA926" s="303"/>
      <c r="AB926" s="303"/>
      <c r="AC926" s="303"/>
      <c r="AD926" s="303"/>
      <c r="AE926" s="303"/>
      <c r="AF926" s="303"/>
      <c r="AG926" s="303"/>
    </row>
    <row r="927" spans="1:33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335"/>
      <c r="S927" s="335"/>
      <c r="T927" s="335"/>
      <c r="U927" s="303"/>
      <c r="V927" s="303"/>
      <c r="W927" s="303"/>
      <c r="X927" s="303"/>
      <c r="Y927" s="303"/>
      <c r="Z927" s="303"/>
      <c r="AA927" s="303"/>
      <c r="AB927" s="303"/>
      <c r="AC927" s="303"/>
      <c r="AD927" s="303"/>
      <c r="AE927" s="303"/>
      <c r="AF927" s="303"/>
      <c r="AG927" s="303"/>
    </row>
    <row r="928" spans="1:33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335"/>
      <c r="S928" s="335"/>
      <c r="T928" s="335"/>
      <c r="U928" s="303"/>
      <c r="V928" s="303"/>
      <c r="W928" s="303"/>
      <c r="X928" s="303"/>
      <c r="Y928" s="303"/>
      <c r="Z928" s="303"/>
      <c r="AA928" s="303"/>
      <c r="AB928" s="303"/>
      <c r="AC928" s="303"/>
      <c r="AD928" s="303"/>
      <c r="AE928" s="303"/>
      <c r="AF928" s="303"/>
      <c r="AG928" s="303"/>
    </row>
    <row r="929" spans="1:33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335"/>
      <c r="S929" s="335"/>
      <c r="T929" s="335"/>
      <c r="U929" s="303"/>
      <c r="V929" s="303"/>
      <c r="W929" s="303"/>
      <c r="X929" s="303"/>
      <c r="Y929" s="303"/>
      <c r="Z929" s="303"/>
      <c r="AA929" s="303"/>
      <c r="AB929" s="303"/>
      <c r="AC929" s="303"/>
      <c r="AD929" s="303"/>
      <c r="AE929" s="303"/>
      <c r="AF929" s="303"/>
      <c r="AG929" s="303"/>
    </row>
    <row r="930" spans="1:33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335"/>
      <c r="S930" s="335"/>
      <c r="T930" s="335"/>
      <c r="U930" s="303"/>
      <c r="V930" s="303"/>
      <c r="W930" s="303"/>
      <c r="X930" s="303"/>
      <c r="Y930" s="303"/>
      <c r="Z930" s="303"/>
      <c r="AA930" s="303"/>
      <c r="AB930" s="303"/>
      <c r="AC930" s="303"/>
      <c r="AD930" s="303"/>
      <c r="AE930" s="303"/>
      <c r="AF930" s="303"/>
      <c r="AG930" s="303"/>
    </row>
    <row r="931" spans="1:33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335"/>
      <c r="S931" s="335"/>
      <c r="T931" s="335"/>
      <c r="U931" s="303"/>
      <c r="V931" s="303"/>
      <c r="W931" s="303"/>
      <c r="X931" s="303"/>
      <c r="Y931" s="303"/>
      <c r="Z931" s="303"/>
      <c r="AA931" s="303"/>
      <c r="AB931" s="303"/>
      <c r="AC931" s="303"/>
      <c r="AD931" s="303"/>
      <c r="AE931" s="303"/>
      <c r="AF931" s="303"/>
      <c r="AG931" s="303"/>
    </row>
    <row r="932" spans="1:33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335"/>
      <c r="S932" s="335"/>
      <c r="T932" s="335"/>
      <c r="U932" s="303"/>
      <c r="V932" s="303"/>
      <c r="W932" s="303"/>
      <c r="X932" s="303"/>
      <c r="Y932" s="303"/>
      <c r="Z932" s="303"/>
      <c r="AA932" s="303"/>
      <c r="AB932" s="303"/>
      <c r="AC932" s="303"/>
      <c r="AD932" s="303"/>
      <c r="AE932" s="303"/>
      <c r="AF932" s="303"/>
      <c r="AG932" s="303"/>
    </row>
    <row r="933" spans="1:33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335"/>
      <c r="S933" s="335"/>
      <c r="T933" s="335"/>
      <c r="U933" s="303"/>
      <c r="V933" s="303"/>
      <c r="W933" s="303"/>
      <c r="X933" s="303"/>
      <c r="Y933" s="303"/>
      <c r="Z933" s="303"/>
      <c r="AA933" s="303"/>
      <c r="AB933" s="303"/>
      <c r="AC933" s="303"/>
      <c r="AD933" s="303"/>
      <c r="AE933" s="303"/>
      <c r="AF933" s="303"/>
      <c r="AG933" s="303"/>
    </row>
    <row r="934" spans="1:33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335"/>
      <c r="S934" s="335"/>
      <c r="T934" s="335"/>
      <c r="U934" s="303"/>
      <c r="V934" s="303"/>
      <c r="W934" s="303"/>
      <c r="X934" s="303"/>
      <c r="Y934" s="303"/>
      <c r="Z934" s="303"/>
      <c r="AA934" s="303"/>
      <c r="AB934" s="303"/>
      <c r="AC934" s="303"/>
      <c r="AD934" s="303"/>
      <c r="AE934" s="303"/>
      <c r="AF934" s="303"/>
      <c r="AG934" s="303"/>
    </row>
    <row r="935" spans="1:33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335"/>
      <c r="S935" s="335"/>
      <c r="T935" s="335"/>
      <c r="U935" s="303"/>
      <c r="V935" s="303"/>
      <c r="W935" s="303"/>
      <c r="X935" s="303"/>
      <c r="Y935" s="303"/>
      <c r="Z935" s="303"/>
      <c r="AA935" s="303"/>
      <c r="AB935" s="303"/>
      <c r="AC935" s="303"/>
      <c r="AD935" s="303"/>
      <c r="AE935" s="303"/>
      <c r="AF935" s="303"/>
      <c r="AG935" s="303"/>
    </row>
    <row r="936" spans="1:33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335"/>
      <c r="S936" s="335"/>
      <c r="T936" s="335"/>
      <c r="U936" s="303"/>
      <c r="V936" s="303"/>
      <c r="W936" s="303"/>
      <c r="X936" s="303"/>
      <c r="Y936" s="303"/>
      <c r="Z936" s="303"/>
      <c r="AA936" s="303"/>
      <c r="AB936" s="303"/>
      <c r="AC936" s="303"/>
      <c r="AD936" s="303"/>
      <c r="AE936" s="303"/>
      <c r="AF936" s="303"/>
      <c r="AG936" s="303"/>
    </row>
    <row r="937" spans="1:33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335"/>
      <c r="S937" s="335"/>
      <c r="T937" s="335"/>
      <c r="U937" s="303"/>
      <c r="V937" s="303"/>
      <c r="W937" s="303"/>
      <c r="X937" s="303"/>
      <c r="Y937" s="303"/>
      <c r="Z937" s="303"/>
      <c r="AA937" s="303"/>
      <c r="AB937" s="303"/>
      <c r="AC937" s="303"/>
      <c r="AD937" s="303"/>
      <c r="AE937" s="303"/>
      <c r="AF937" s="303"/>
      <c r="AG937" s="303"/>
    </row>
    <row r="938" spans="1:33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335"/>
      <c r="S938" s="335"/>
      <c r="T938" s="335"/>
      <c r="U938" s="303"/>
      <c r="V938" s="303"/>
      <c r="W938" s="303"/>
      <c r="X938" s="303"/>
      <c r="Y938" s="303"/>
      <c r="Z938" s="303"/>
      <c r="AA938" s="303"/>
      <c r="AB938" s="303"/>
      <c r="AC938" s="303"/>
      <c r="AD938" s="303"/>
      <c r="AE938" s="303"/>
      <c r="AF938" s="303"/>
      <c r="AG938" s="303"/>
    </row>
    <row r="939" spans="1:33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335"/>
      <c r="S939" s="335"/>
      <c r="T939" s="335"/>
      <c r="U939" s="303"/>
      <c r="V939" s="303"/>
      <c r="W939" s="303"/>
      <c r="X939" s="303"/>
      <c r="Y939" s="303"/>
      <c r="Z939" s="303"/>
      <c r="AA939" s="303"/>
      <c r="AB939" s="303"/>
      <c r="AC939" s="303"/>
      <c r="AD939" s="303"/>
      <c r="AE939" s="303"/>
      <c r="AF939" s="303"/>
      <c r="AG939" s="303"/>
    </row>
    <row r="940" spans="1:33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335"/>
      <c r="S940" s="335"/>
      <c r="T940" s="335"/>
      <c r="U940" s="303"/>
      <c r="V940" s="303"/>
      <c r="W940" s="303"/>
      <c r="X940" s="303"/>
      <c r="Y940" s="303"/>
      <c r="Z940" s="303"/>
      <c r="AA940" s="303"/>
      <c r="AB940" s="303"/>
      <c r="AC940" s="303"/>
      <c r="AD940" s="303"/>
      <c r="AE940" s="303"/>
      <c r="AF940" s="303"/>
      <c r="AG940" s="303"/>
    </row>
    <row r="941" spans="1:33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335"/>
      <c r="S941" s="335"/>
      <c r="T941" s="335"/>
      <c r="U941" s="303"/>
      <c r="V941" s="303"/>
      <c r="W941" s="303"/>
      <c r="X941" s="303"/>
      <c r="Y941" s="303"/>
      <c r="Z941" s="303"/>
      <c r="AA941" s="303"/>
      <c r="AB941" s="303"/>
      <c r="AC941" s="303"/>
      <c r="AD941" s="303"/>
      <c r="AE941" s="303"/>
      <c r="AF941" s="303"/>
      <c r="AG941" s="303"/>
    </row>
    <row r="942" spans="1:33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335"/>
      <c r="S942" s="335"/>
      <c r="T942" s="335"/>
      <c r="U942" s="303"/>
      <c r="V942" s="303"/>
      <c r="W942" s="303"/>
      <c r="X942" s="303"/>
      <c r="Y942" s="303"/>
      <c r="Z942" s="303"/>
      <c r="AA942" s="303"/>
      <c r="AB942" s="303"/>
      <c r="AC942" s="303"/>
      <c r="AD942" s="303"/>
      <c r="AE942" s="303"/>
      <c r="AF942" s="303"/>
      <c r="AG942" s="303"/>
    </row>
    <row r="943" spans="1:33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335"/>
      <c r="S943" s="335"/>
      <c r="T943" s="335"/>
      <c r="U943" s="303"/>
      <c r="V943" s="303"/>
      <c r="W943" s="303"/>
      <c r="X943" s="303"/>
      <c r="Y943" s="303"/>
      <c r="Z943" s="303"/>
      <c r="AA943" s="303"/>
      <c r="AB943" s="303"/>
      <c r="AC943" s="303"/>
      <c r="AD943" s="303"/>
      <c r="AE943" s="303"/>
      <c r="AF943" s="303"/>
      <c r="AG943" s="303"/>
    </row>
    <row r="944" spans="1:33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335"/>
      <c r="S944" s="335"/>
      <c r="T944" s="335"/>
      <c r="U944" s="303"/>
      <c r="V944" s="303"/>
      <c r="W944" s="303"/>
      <c r="X944" s="303"/>
      <c r="Y944" s="303"/>
      <c r="Z944" s="303"/>
      <c r="AA944" s="303"/>
      <c r="AB944" s="303"/>
      <c r="AC944" s="303"/>
      <c r="AD944" s="303"/>
      <c r="AE944" s="303"/>
      <c r="AF944" s="303"/>
      <c r="AG944" s="303"/>
    </row>
    <row r="945" spans="1:33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335"/>
      <c r="S945" s="335"/>
      <c r="T945" s="335"/>
      <c r="U945" s="303"/>
      <c r="V945" s="303"/>
      <c r="W945" s="303"/>
      <c r="X945" s="303"/>
      <c r="Y945" s="303"/>
      <c r="Z945" s="303"/>
      <c r="AA945" s="303"/>
      <c r="AB945" s="303"/>
      <c r="AC945" s="303"/>
      <c r="AD945" s="303"/>
      <c r="AE945" s="303"/>
      <c r="AF945" s="303"/>
      <c r="AG945" s="303"/>
    </row>
    <row r="946" spans="1:33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335"/>
      <c r="S946" s="335"/>
      <c r="T946" s="335"/>
      <c r="U946" s="303"/>
      <c r="V946" s="303"/>
      <c r="W946" s="303"/>
      <c r="X946" s="303"/>
      <c r="Y946" s="303"/>
      <c r="Z946" s="303"/>
      <c r="AA946" s="303"/>
      <c r="AB946" s="303"/>
      <c r="AC946" s="303"/>
      <c r="AD946" s="303"/>
      <c r="AE946" s="303"/>
      <c r="AF946" s="303"/>
      <c r="AG946" s="303"/>
    </row>
    <row r="947" spans="1:33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335"/>
      <c r="S947" s="335"/>
      <c r="T947" s="335"/>
      <c r="U947" s="303"/>
      <c r="V947" s="303"/>
      <c r="W947" s="303"/>
      <c r="X947" s="303"/>
      <c r="Y947" s="303"/>
      <c r="Z947" s="303"/>
      <c r="AA947" s="303"/>
      <c r="AB947" s="303"/>
      <c r="AC947" s="303"/>
      <c r="AD947" s="303"/>
      <c r="AE947" s="303"/>
      <c r="AF947" s="303"/>
      <c r="AG947" s="303"/>
    </row>
    <row r="948" spans="1:33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335"/>
      <c r="S948" s="335"/>
      <c r="T948" s="335"/>
      <c r="U948" s="303"/>
      <c r="V948" s="303"/>
      <c r="W948" s="303"/>
      <c r="X948" s="303"/>
      <c r="Y948" s="303"/>
      <c r="Z948" s="303"/>
      <c r="AA948" s="303"/>
      <c r="AB948" s="303"/>
      <c r="AC948" s="303"/>
      <c r="AD948" s="303"/>
      <c r="AE948" s="303"/>
      <c r="AF948" s="303"/>
      <c r="AG948" s="303"/>
    </row>
    <row r="949" spans="1:33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335"/>
      <c r="S949" s="335"/>
      <c r="T949" s="335"/>
      <c r="U949" s="303"/>
      <c r="V949" s="303"/>
      <c r="W949" s="303"/>
      <c r="X949" s="303"/>
      <c r="Y949" s="303"/>
      <c r="Z949" s="303"/>
      <c r="AA949" s="303"/>
      <c r="AB949" s="303"/>
      <c r="AC949" s="303"/>
      <c r="AD949" s="303"/>
      <c r="AE949" s="303"/>
      <c r="AF949" s="303"/>
      <c r="AG949" s="303"/>
    </row>
    <row r="950" spans="1:33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335"/>
      <c r="S950" s="335"/>
      <c r="T950" s="335"/>
      <c r="U950" s="303"/>
      <c r="V950" s="303"/>
      <c r="W950" s="303"/>
      <c r="X950" s="303"/>
      <c r="Y950" s="303"/>
      <c r="Z950" s="303"/>
      <c r="AA950" s="303"/>
      <c r="AB950" s="303"/>
      <c r="AC950" s="303"/>
      <c r="AD950" s="303"/>
      <c r="AE950" s="303"/>
      <c r="AF950" s="303"/>
      <c r="AG950" s="303"/>
    </row>
    <row r="951" spans="1:33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335"/>
      <c r="S951" s="335"/>
      <c r="T951" s="335"/>
      <c r="U951" s="303"/>
      <c r="V951" s="303"/>
      <c r="W951" s="303"/>
      <c r="X951" s="303"/>
      <c r="Y951" s="303"/>
      <c r="Z951" s="303"/>
      <c r="AA951" s="303"/>
      <c r="AB951" s="303"/>
      <c r="AC951" s="303"/>
      <c r="AD951" s="303"/>
      <c r="AE951" s="303"/>
      <c r="AF951" s="303"/>
      <c r="AG951" s="303"/>
    </row>
    <row r="952" spans="1:33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335"/>
      <c r="S952" s="335"/>
      <c r="T952" s="335"/>
      <c r="U952" s="303"/>
      <c r="V952" s="303"/>
      <c r="W952" s="303"/>
      <c r="X952" s="303"/>
      <c r="Y952" s="303"/>
      <c r="Z952" s="303"/>
      <c r="AA952" s="303"/>
      <c r="AB952" s="303"/>
      <c r="AC952" s="303"/>
      <c r="AD952" s="303"/>
      <c r="AE952" s="303"/>
      <c r="AF952" s="303"/>
      <c r="AG952" s="303"/>
    </row>
    <row r="953" spans="1:33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335"/>
      <c r="S953" s="335"/>
      <c r="T953" s="335"/>
      <c r="U953" s="303"/>
      <c r="V953" s="303"/>
      <c r="W953" s="303"/>
      <c r="X953" s="303"/>
      <c r="Y953" s="303"/>
      <c r="Z953" s="303"/>
      <c r="AA953" s="303"/>
      <c r="AB953" s="303"/>
      <c r="AC953" s="303"/>
      <c r="AD953" s="303"/>
      <c r="AE953" s="303"/>
      <c r="AF953" s="303"/>
      <c r="AG953" s="303"/>
    </row>
    <row r="954" spans="1:33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335"/>
      <c r="S954" s="335"/>
      <c r="T954" s="335"/>
      <c r="U954" s="303"/>
      <c r="V954" s="303"/>
      <c r="W954" s="303"/>
      <c r="X954" s="303"/>
      <c r="Y954" s="303"/>
      <c r="Z954" s="303"/>
      <c r="AA954" s="303"/>
      <c r="AB954" s="303"/>
      <c r="AC954" s="303"/>
      <c r="AD954" s="303"/>
      <c r="AE954" s="303"/>
      <c r="AF954" s="303"/>
      <c r="AG954" s="303"/>
    </row>
    <row r="955" spans="1:33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335"/>
      <c r="S955" s="335"/>
      <c r="T955" s="335"/>
      <c r="U955" s="303"/>
      <c r="V955" s="303"/>
      <c r="W955" s="303"/>
      <c r="X955" s="303"/>
      <c r="Y955" s="303"/>
      <c r="Z955" s="303"/>
      <c r="AA955" s="303"/>
      <c r="AB955" s="303"/>
      <c r="AC955" s="303"/>
      <c r="AD955" s="303"/>
      <c r="AE955" s="303"/>
      <c r="AF955" s="303"/>
      <c r="AG955" s="303"/>
    </row>
    <row r="956" spans="1:33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335"/>
      <c r="S956" s="335"/>
      <c r="T956" s="335"/>
      <c r="U956" s="303"/>
      <c r="V956" s="303"/>
      <c r="W956" s="303"/>
      <c r="X956" s="303"/>
      <c r="Y956" s="303"/>
      <c r="Z956" s="303"/>
      <c r="AA956" s="303"/>
      <c r="AB956" s="303"/>
      <c r="AC956" s="303"/>
      <c r="AD956" s="303"/>
      <c r="AE956" s="303"/>
      <c r="AF956" s="303"/>
      <c r="AG956" s="303"/>
    </row>
    <row r="957" spans="1:33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335"/>
      <c r="S957" s="335"/>
      <c r="T957" s="335"/>
      <c r="U957" s="303"/>
      <c r="V957" s="303"/>
      <c r="W957" s="303"/>
      <c r="X957" s="303"/>
      <c r="Y957" s="303"/>
      <c r="Z957" s="303"/>
      <c r="AA957" s="303"/>
      <c r="AB957" s="303"/>
      <c r="AC957" s="303"/>
      <c r="AD957" s="303"/>
      <c r="AE957" s="303"/>
      <c r="AF957" s="303"/>
      <c r="AG957" s="303"/>
    </row>
    <row r="958" spans="1:33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335"/>
      <c r="S958" s="335"/>
      <c r="T958" s="335"/>
      <c r="U958" s="303"/>
      <c r="V958" s="303"/>
      <c r="W958" s="303"/>
      <c r="X958" s="303"/>
      <c r="Y958" s="303"/>
      <c r="Z958" s="303"/>
      <c r="AA958" s="303"/>
      <c r="AB958" s="303"/>
      <c r="AC958" s="303"/>
      <c r="AD958" s="303"/>
      <c r="AE958" s="303"/>
      <c r="AF958" s="303"/>
      <c r="AG958" s="303"/>
    </row>
    <row r="959" spans="1:33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335"/>
      <c r="S959" s="335"/>
      <c r="T959" s="335"/>
      <c r="U959" s="303"/>
      <c r="V959" s="303"/>
      <c r="W959" s="303"/>
      <c r="X959" s="303"/>
      <c r="Y959" s="303"/>
      <c r="Z959" s="303"/>
      <c r="AA959" s="303"/>
      <c r="AB959" s="303"/>
      <c r="AC959" s="303"/>
      <c r="AD959" s="303"/>
      <c r="AE959" s="303"/>
      <c r="AF959" s="303"/>
      <c r="AG959" s="303"/>
    </row>
    <row r="960" spans="1:33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335"/>
      <c r="S960" s="335"/>
      <c r="T960" s="335"/>
      <c r="U960" s="303"/>
      <c r="V960" s="303"/>
      <c r="W960" s="303"/>
      <c r="X960" s="303"/>
      <c r="Y960" s="303"/>
      <c r="Z960" s="303"/>
      <c r="AA960" s="303"/>
      <c r="AB960" s="303"/>
      <c r="AC960" s="303"/>
      <c r="AD960" s="303"/>
      <c r="AE960" s="303"/>
      <c r="AF960" s="303"/>
      <c r="AG960" s="303"/>
    </row>
    <row r="961" spans="1:33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335"/>
      <c r="S961" s="335"/>
      <c r="T961" s="335"/>
      <c r="U961" s="303"/>
      <c r="V961" s="303"/>
      <c r="W961" s="303"/>
      <c r="X961" s="303"/>
      <c r="Y961" s="303"/>
      <c r="Z961" s="303"/>
      <c r="AA961" s="303"/>
      <c r="AB961" s="303"/>
      <c r="AC961" s="303"/>
      <c r="AD961" s="303"/>
      <c r="AE961" s="303"/>
      <c r="AF961" s="303"/>
      <c r="AG961" s="303"/>
    </row>
    <row r="962" spans="1:33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335"/>
      <c r="S962" s="335"/>
      <c r="T962" s="335"/>
      <c r="U962" s="303"/>
      <c r="V962" s="303"/>
      <c r="W962" s="303"/>
      <c r="X962" s="303"/>
      <c r="Y962" s="303"/>
      <c r="Z962" s="303"/>
      <c r="AA962" s="303"/>
      <c r="AB962" s="303"/>
      <c r="AC962" s="303"/>
      <c r="AD962" s="303"/>
      <c r="AE962" s="303"/>
      <c r="AF962" s="303"/>
      <c r="AG962" s="303"/>
    </row>
    <row r="963" spans="1:33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335"/>
      <c r="S963" s="335"/>
      <c r="T963" s="335"/>
      <c r="U963" s="303"/>
      <c r="V963" s="303"/>
      <c r="W963" s="303"/>
      <c r="X963" s="303"/>
      <c r="Y963" s="303"/>
      <c r="Z963" s="303"/>
      <c r="AA963" s="303"/>
      <c r="AB963" s="303"/>
      <c r="AC963" s="303"/>
      <c r="AD963" s="303"/>
      <c r="AE963" s="303"/>
      <c r="AF963" s="303"/>
      <c r="AG963" s="303"/>
    </row>
    <row r="964" spans="1:33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335"/>
      <c r="S964" s="335"/>
      <c r="T964" s="335"/>
      <c r="U964" s="303"/>
      <c r="V964" s="303"/>
      <c r="W964" s="303"/>
      <c r="X964" s="303"/>
      <c r="Y964" s="303"/>
      <c r="Z964" s="303"/>
      <c r="AA964" s="303"/>
      <c r="AB964" s="303"/>
      <c r="AC964" s="303"/>
      <c r="AD964" s="303"/>
      <c r="AE964" s="303"/>
      <c r="AF964" s="303"/>
      <c r="AG964" s="303"/>
    </row>
    <row r="965" spans="1:33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335"/>
      <c r="S965" s="335"/>
      <c r="T965" s="335"/>
      <c r="U965" s="303"/>
      <c r="V965" s="303"/>
      <c r="W965" s="303"/>
      <c r="X965" s="303"/>
      <c r="Y965" s="303"/>
      <c r="Z965" s="303"/>
      <c r="AA965" s="303"/>
      <c r="AB965" s="303"/>
      <c r="AC965" s="303"/>
      <c r="AD965" s="303"/>
      <c r="AE965" s="303"/>
      <c r="AF965" s="303"/>
      <c r="AG965" s="303"/>
    </row>
    <row r="966" spans="1:33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335"/>
      <c r="S966" s="335"/>
      <c r="T966" s="335"/>
      <c r="U966" s="303"/>
      <c r="V966" s="303"/>
      <c r="W966" s="303"/>
      <c r="X966" s="303"/>
      <c r="Y966" s="303"/>
      <c r="Z966" s="303"/>
      <c r="AA966" s="303"/>
      <c r="AB966" s="303"/>
      <c r="AC966" s="303"/>
      <c r="AD966" s="303"/>
      <c r="AE966" s="303"/>
      <c r="AF966" s="303"/>
      <c r="AG966" s="303"/>
    </row>
    <row r="967" spans="1:33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335"/>
      <c r="S967" s="335"/>
      <c r="T967" s="335"/>
      <c r="U967" s="303"/>
      <c r="V967" s="303"/>
      <c r="W967" s="303"/>
      <c r="X967" s="303"/>
      <c r="Y967" s="303"/>
      <c r="Z967" s="303"/>
      <c r="AA967" s="303"/>
      <c r="AB967" s="303"/>
      <c r="AC967" s="303"/>
      <c r="AD967" s="303"/>
      <c r="AE967" s="303"/>
      <c r="AF967" s="303"/>
      <c r="AG967" s="303"/>
    </row>
    <row r="968" spans="1:33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335"/>
      <c r="S968" s="335"/>
      <c r="T968" s="335"/>
      <c r="U968" s="303"/>
      <c r="V968" s="303"/>
      <c r="W968" s="303"/>
      <c r="X968" s="303"/>
      <c r="Y968" s="303"/>
      <c r="Z968" s="303"/>
      <c r="AA968" s="303"/>
      <c r="AB968" s="303"/>
      <c r="AC968" s="303"/>
      <c r="AD968" s="303"/>
      <c r="AE968" s="303"/>
      <c r="AF968" s="303"/>
      <c r="AG968" s="303"/>
    </row>
    <row r="969" spans="1:33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335"/>
      <c r="S969" s="335"/>
      <c r="T969" s="335"/>
      <c r="U969" s="303"/>
      <c r="V969" s="303"/>
      <c r="W969" s="303"/>
      <c r="X969" s="303"/>
      <c r="Y969" s="303"/>
      <c r="Z969" s="303"/>
      <c r="AA969" s="303"/>
      <c r="AB969" s="303"/>
      <c r="AC969" s="303"/>
      <c r="AD969" s="303"/>
      <c r="AE969" s="303"/>
      <c r="AF969" s="303"/>
      <c r="AG969" s="303"/>
    </row>
    <row r="970" spans="1:33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335"/>
      <c r="S970" s="335"/>
      <c r="T970" s="335"/>
      <c r="U970" s="303"/>
      <c r="V970" s="303"/>
      <c r="W970" s="303"/>
      <c r="X970" s="303"/>
      <c r="Y970" s="303"/>
      <c r="Z970" s="303"/>
      <c r="AA970" s="303"/>
      <c r="AB970" s="303"/>
      <c r="AC970" s="303"/>
      <c r="AD970" s="303"/>
      <c r="AE970" s="303"/>
      <c r="AF970" s="303"/>
      <c r="AG970" s="303"/>
    </row>
    <row r="971" spans="1:33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335"/>
      <c r="S971" s="335"/>
      <c r="T971" s="335"/>
      <c r="U971" s="303"/>
      <c r="V971" s="303"/>
      <c r="W971" s="303"/>
      <c r="X971" s="303"/>
      <c r="Y971" s="303"/>
      <c r="Z971" s="303"/>
      <c r="AA971" s="303"/>
      <c r="AB971" s="303"/>
      <c r="AC971" s="303"/>
      <c r="AD971" s="303"/>
      <c r="AE971" s="303"/>
      <c r="AF971" s="303"/>
      <c r="AG971" s="303"/>
    </row>
    <row r="972" spans="1:33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335"/>
      <c r="S972" s="335"/>
      <c r="T972" s="335"/>
      <c r="U972" s="303"/>
      <c r="V972" s="303"/>
      <c r="W972" s="303"/>
      <c r="X972" s="303"/>
      <c r="Y972" s="303"/>
      <c r="Z972" s="303"/>
      <c r="AA972" s="303"/>
      <c r="AB972" s="303"/>
      <c r="AC972" s="303"/>
      <c r="AD972" s="303"/>
      <c r="AE972" s="303"/>
      <c r="AF972" s="303"/>
      <c r="AG972" s="303"/>
    </row>
    <row r="973" spans="1:33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335"/>
      <c r="S973" s="335"/>
      <c r="T973" s="335"/>
      <c r="U973" s="303"/>
      <c r="V973" s="303"/>
      <c r="W973" s="303"/>
      <c r="X973" s="303"/>
      <c r="Y973" s="303"/>
      <c r="Z973" s="303"/>
      <c r="AA973" s="303"/>
      <c r="AB973" s="303"/>
      <c r="AC973" s="303"/>
      <c r="AD973" s="303"/>
      <c r="AE973" s="303"/>
      <c r="AF973" s="303"/>
      <c r="AG973" s="303"/>
    </row>
    <row r="974" spans="1:33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335"/>
      <c r="S974" s="335"/>
      <c r="T974" s="335"/>
      <c r="U974" s="303"/>
      <c r="V974" s="303"/>
      <c r="W974" s="303"/>
      <c r="X974" s="303"/>
      <c r="Y974" s="303"/>
      <c r="Z974" s="303"/>
      <c r="AA974" s="303"/>
      <c r="AB974" s="303"/>
      <c r="AC974" s="303"/>
      <c r="AD974" s="303"/>
      <c r="AE974" s="303"/>
      <c r="AF974" s="303"/>
      <c r="AG974" s="303"/>
    </row>
    <row r="975" spans="1:33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335"/>
      <c r="S975" s="335"/>
      <c r="T975" s="335"/>
      <c r="U975" s="303"/>
      <c r="V975" s="303"/>
      <c r="W975" s="303"/>
      <c r="X975" s="303"/>
      <c r="Y975" s="303"/>
      <c r="Z975" s="303"/>
      <c r="AA975" s="303"/>
      <c r="AB975" s="303"/>
      <c r="AC975" s="303"/>
      <c r="AD975" s="303"/>
      <c r="AE975" s="303"/>
      <c r="AF975" s="303"/>
      <c r="AG975" s="303"/>
    </row>
    <row r="976" spans="1:33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335"/>
      <c r="S976" s="335"/>
      <c r="T976" s="335"/>
      <c r="U976" s="303"/>
      <c r="V976" s="303"/>
      <c r="W976" s="303"/>
      <c r="X976" s="303"/>
      <c r="Y976" s="303"/>
      <c r="Z976" s="303"/>
      <c r="AA976" s="303"/>
      <c r="AB976" s="303"/>
      <c r="AC976" s="303"/>
      <c r="AD976" s="303"/>
      <c r="AE976" s="303"/>
      <c r="AF976" s="303"/>
      <c r="AG976" s="303"/>
    </row>
    <row r="977" spans="1:33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335"/>
      <c r="S977" s="335"/>
      <c r="T977" s="335"/>
      <c r="U977" s="303"/>
      <c r="V977" s="303"/>
      <c r="W977" s="303"/>
      <c r="X977" s="303"/>
      <c r="Y977" s="303"/>
      <c r="Z977" s="303"/>
      <c r="AA977" s="303"/>
      <c r="AB977" s="303"/>
      <c r="AC977" s="303"/>
      <c r="AD977" s="303"/>
      <c r="AE977" s="303"/>
      <c r="AF977" s="303"/>
      <c r="AG977" s="303"/>
    </row>
    <row r="978" spans="1:33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335"/>
      <c r="S978" s="335"/>
      <c r="T978" s="335"/>
      <c r="U978" s="303"/>
      <c r="V978" s="303"/>
      <c r="W978" s="303"/>
      <c r="X978" s="303"/>
      <c r="Y978" s="303"/>
      <c r="Z978" s="303"/>
      <c r="AA978" s="303"/>
      <c r="AB978" s="303"/>
      <c r="AC978" s="303"/>
      <c r="AD978" s="303"/>
      <c r="AE978" s="303"/>
      <c r="AF978" s="303"/>
      <c r="AG978" s="303"/>
    </row>
    <row r="979" spans="1:33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335"/>
      <c r="S979" s="335"/>
      <c r="T979" s="335"/>
      <c r="U979" s="303"/>
      <c r="V979" s="303"/>
      <c r="W979" s="303"/>
      <c r="X979" s="303"/>
      <c r="Y979" s="303"/>
      <c r="Z979" s="303"/>
      <c r="AA979" s="303"/>
      <c r="AB979" s="303"/>
      <c r="AC979" s="303"/>
      <c r="AD979" s="303"/>
      <c r="AE979" s="303"/>
      <c r="AF979" s="303"/>
      <c r="AG979" s="303"/>
    </row>
    <row r="980" spans="1:33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335"/>
      <c r="S980" s="335"/>
      <c r="T980" s="335"/>
      <c r="U980" s="303"/>
      <c r="V980" s="303"/>
      <c r="W980" s="303"/>
      <c r="X980" s="303"/>
      <c r="Y980" s="303"/>
      <c r="Z980" s="303"/>
      <c r="AA980" s="303"/>
      <c r="AB980" s="303"/>
      <c r="AC980" s="303"/>
      <c r="AD980" s="303"/>
      <c r="AE980" s="303"/>
      <c r="AF980" s="303"/>
      <c r="AG980" s="303"/>
    </row>
    <row r="981" spans="1:33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335"/>
      <c r="S981" s="335"/>
      <c r="T981" s="335"/>
      <c r="U981" s="303"/>
      <c r="V981" s="303"/>
      <c r="W981" s="303"/>
      <c r="X981" s="303"/>
      <c r="Y981" s="303"/>
      <c r="Z981" s="303"/>
      <c r="AA981" s="303"/>
      <c r="AB981" s="303"/>
      <c r="AC981" s="303"/>
      <c r="AD981" s="303"/>
      <c r="AE981" s="303"/>
      <c r="AF981" s="303"/>
      <c r="AG981" s="303"/>
    </row>
    <row r="982" spans="1:33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335"/>
      <c r="S982" s="335"/>
      <c r="T982" s="335"/>
      <c r="U982" s="303"/>
      <c r="V982" s="303"/>
      <c r="W982" s="303"/>
      <c r="X982" s="303"/>
      <c r="Y982" s="303"/>
      <c r="Z982" s="303"/>
      <c r="AA982" s="303"/>
      <c r="AB982" s="303"/>
      <c r="AC982" s="303"/>
      <c r="AD982" s="303"/>
      <c r="AE982" s="303"/>
      <c r="AF982" s="303"/>
      <c r="AG982" s="303"/>
    </row>
    <row r="983" spans="1:33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335"/>
      <c r="S983" s="335"/>
      <c r="T983" s="335"/>
      <c r="U983" s="303"/>
      <c r="V983" s="303"/>
      <c r="W983" s="303"/>
      <c r="X983" s="303"/>
      <c r="Y983" s="303"/>
      <c r="Z983" s="303"/>
      <c r="AA983" s="303"/>
      <c r="AB983" s="303"/>
      <c r="AC983" s="303"/>
      <c r="AD983" s="303"/>
      <c r="AE983" s="303"/>
      <c r="AF983" s="303"/>
      <c r="AG983" s="303"/>
    </row>
    <row r="984" spans="1:33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335"/>
      <c r="S984" s="335"/>
      <c r="T984" s="335"/>
      <c r="U984" s="303"/>
      <c r="V984" s="303"/>
      <c r="W984" s="303"/>
      <c r="X984" s="303"/>
      <c r="Y984" s="303"/>
      <c r="Z984" s="303"/>
      <c r="AA984" s="303"/>
      <c r="AB984" s="303"/>
      <c r="AC984" s="303"/>
      <c r="AD984" s="303"/>
      <c r="AE984" s="303"/>
      <c r="AF984" s="303"/>
      <c r="AG984" s="303"/>
    </row>
    <row r="985" spans="1:33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335"/>
      <c r="S985" s="335"/>
      <c r="T985" s="335"/>
      <c r="U985" s="303"/>
      <c r="V985" s="303"/>
      <c r="W985" s="303"/>
      <c r="X985" s="303"/>
      <c r="Y985" s="303"/>
      <c r="Z985" s="303"/>
      <c r="AA985" s="303"/>
      <c r="AB985" s="303"/>
      <c r="AC985" s="303"/>
      <c r="AD985" s="303"/>
      <c r="AE985" s="303"/>
      <c r="AF985" s="303"/>
      <c r="AG985" s="303"/>
    </row>
    <row r="986" spans="1:33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335"/>
      <c r="S986" s="335"/>
      <c r="T986" s="335"/>
      <c r="U986" s="303"/>
      <c r="V986" s="303"/>
      <c r="W986" s="303"/>
      <c r="X986" s="303"/>
      <c r="Y986" s="303"/>
      <c r="Z986" s="303"/>
      <c r="AA986" s="303"/>
      <c r="AB986" s="303"/>
      <c r="AC986" s="303"/>
      <c r="AD986" s="303"/>
      <c r="AE986" s="303"/>
      <c r="AF986" s="303"/>
      <c r="AG986" s="303"/>
    </row>
    <row r="987" spans="1:33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335"/>
      <c r="S987" s="335"/>
      <c r="T987" s="335"/>
      <c r="U987" s="303"/>
      <c r="V987" s="303"/>
      <c r="W987" s="303"/>
      <c r="X987" s="303"/>
      <c r="Y987" s="303"/>
      <c r="Z987" s="303"/>
      <c r="AA987" s="303"/>
      <c r="AB987" s="303"/>
      <c r="AC987" s="303"/>
      <c r="AD987" s="303"/>
      <c r="AE987" s="303"/>
      <c r="AF987" s="303"/>
      <c r="AG987" s="303"/>
    </row>
    <row r="988" spans="1:33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335"/>
      <c r="S988" s="335"/>
      <c r="T988" s="335"/>
      <c r="U988" s="303"/>
      <c r="V988" s="303"/>
      <c r="W988" s="303"/>
      <c r="X988" s="303"/>
      <c r="Y988" s="303"/>
      <c r="Z988" s="303"/>
      <c r="AA988" s="303"/>
      <c r="AB988" s="303"/>
      <c r="AC988" s="303"/>
      <c r="AD988" s="303"/>
      <c r="AE988" s="303"/>
      <c r="AF988" s="303"/>
      <c r="AG988" s="303"/>
    </row>
    <row r="989" spans="1:33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335"/>
      <c r="S989" s="335"/>
      <c r="T989" s="335"/>
      <c r="U989" s="303"/>
      <c r="V989" s="303"/>
      <c r="W989" s="303"/>
      <c r="X989" s="303"/>
      <c r="Y989" s="303"/>
      <c r="Z989" s="303"/>
      <c r="AA989" s="303"/>
      <c r="AB989" s="303"/>
      <c r="AC989" s="303"/>
      <c r="AD989" s="303"/>
      <c r="AE989" s="303"/>
      <c r="AF989" s="303"/>
      <c r="AG989" s="303"/>
    </row>
    <row r="990" spans="1:33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335"/>
      <c r="S990" s="335"/>
      <c r="T990" s="335"/>
      <c r="U990" s="303"/>
      <c r="V990" s="303"/>
      <c r="W990" s="303"/>
      <c r="X990" s="303"/>
      <c r="Y990" s="303"/>
      <c r="Z990" s="303"/>
      <c r="AA990" s="303"/>
      <c r="AB990" s="303"/>
      <c r="AC990" s="303"/>
      <c r="AD990" s="303"/>
      <c r="AE990" s="303"/>
      <c r="AF990" s="303"/>
      <c r="AG990" s="303"/>
    </row>
    <row r="991" spans="1:33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335"/>
      <c r="S991" s="335"/>
      <c r="T991" s="335"/>
      <c r="U991" s="303"/>
      <c r="V991" s="303"/>
      <c r="W991" s="303"/>
      <c r="X991" s="303"/>
      <c r="Y991" s="303"/>
      <c r="Z991" s="303"/>
      <c r="AA991" s="303"/>
      <c r="AB991" s="303"/>
      <c r="AC991" s="303"/>
      <c r="AD991" s="303"/>
      <c r="AE991" s="303"/>
      <c r="AF991" s="303"/>
      <c r="AG991" s="303"/>
    </row>
    <row r="992" spans="1:33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335"/>
      <c r="S992" s="335"/>
      <c r="T992" s="335"/>
      <c r="U992" s="303"/>
      <c r="V992" s="303"/>
      <c r="W992" s="303"/>
      <c r="X992" s="303"/>
      <c r="Y992" s="303"/>
      <c r="Z992" s="303"/>
      <c r="AA992" s="303"/>
      <c r="AB992" s="303"/>
      <c r="AC992" s="303"/>
      <c r="AD992" s="303"/>
      <c r="AE992" s="303"/>
      <c r="AF992" s="303"/>
      <c r="AG992" s="303"/>
    </row>
    <row r="993" spans="1:33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335"/>
      <c r="S993" s="335"/>
      <c r="T993" s="335"/>
      <c r="U993" s="303"/>
      <c r="V993" s="303"/>
      <c r="W993" s="303"/>
      <c r="X993" s="303"/>
      <c r="Y993" s="303"/>
      <c r="Z993" s="303"/>
      <c r="AA993" s="303"/>
      <c r="AB993" s="303"/>
      <c r="AC993" s="303"/>
      <c r="AD993" s="303"/>
      <c r="AE993" s="303"/>
      <c r="AF993" s="303"/>
      <c r="AG993" s="303"/>
    </row>
    <row r="994" spans="1:33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335"/>
      <c r="S994" s="335"/>
      <c r="T994" s="335"/>
      <c r="U994" s="303"/>
      <c r="V994" s="303"/>
      <c r="W994" s="303"/>
      <c r="X994" s="303"/>
      <c r="Y994" s="303"/>
      <c r="Z994" s="303"/>
      <c r="AA994" s="303"/>
      <c r="AB994" s="303"/>
      <c r="AC994" s="303"/>
      <c r="AD994" s="303"/>
      <c r="AE994" s="303"/>
      <c r="AF994" s="303"/>
      <c r="AG994" s="303"/>
    </row>
    <row r="995" spans="1:33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335"/>
      <c r="S995" s="335"/>
      <c r="T995" s="335"/>
      <c r="U995" s="303"/>
      <c r="V995" s="303"/>
      <c r="W995" s="303"/>
      <c r="X995" s="303"/>
      <c r="Y995" s="303"/>
      <c r="Z995" s="303"/>
      <c r="AA995" s="303"/>
      <c r="AB995" s="303"/>
      <c r="AC995" s="303"/>
      <c r="AD995" s="303"/>
      <c r="AE995" s="303"/>
      <c r="AF995" s="303"/>
      <c r="AG995" s="303"/>
    </row>
    <row r="996" spans="1:33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335"/>
      <c r="S996" s="335"/>
      <c r="T996" s="335"/>
      <c r="U996" s="303"/>
      <c r="V996" s="303"/>
      <c r="W996" s="303"/>
      <c r="X996" s="303"/>
      <c r="Y996" s="303"/>
      <c r="Z996" s="303"/>
      <c r="AA996" s="303"/>
      <c r="AB996" s="303"/>
      <c r="AC996" s="303"/>
      <c r="AD996" s="303"/>
      <c r="AE996" s="303"/>
      <c r="AF996" s="303"/>
      <c r="AG996" s="303"/>
    </row>
    <row r="997" spans="1:33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335"/>
      <c r="S997" s="335"/>
      <c r="T997" s="335"/>
      <c r="U997" s="303"/>
      <c r="V997" s="303"/>
      <c r="W997" s="303"/>
      <c r="X997" s="303"/>
      <c r="Y997" s="303"/>
      <c r="Z997" s="303"/>
      <c r="AA997" s="303"/>
      <c r="AB997" s="303"/>
      <c r="AC997" s="303"/>
      <c r="AD997" s="303"/>
      <c r="AE997" s="303"/>
      <c r="AF997" s="303"/>
      <c r="AG997" s="303"/>
    </row>
    <row r="998" spans="1:33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335"/>
      <c r="S998" s="335"/>
      <c r="T998" s="335"/>
      <c r="U998" s="303"/>
      <c r="V998" s="303"/>
      <c r="W998" s="303"/>
      <c r="X998" s="303"/>
      <c r="Y998" s="303"/>
      <c r="Z998" s="303"/>
      <c r="AA998" s="303"/>
      <c r="AB998" s="303"/>
      <c r="AC998" s="303"/>
      <c r="AD998" s="303"/>
      <c r="AE998" s="303"/>
      <c r="AF998" s="303"/>
      <c r="AG998" s="303"/>
    </row>
    <row r="999" spans="1:33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335"/>
      <c r="S999" s="335"/>
      <c r="T999" s="335"/>
      <c r="U999" s="303"/>
      <c r="V999" s="303"/>
      <c r="W999" s="303"/>
      <c r="X999" s="303"/>
      <c r="Y999" s="303"/>
      <c r="Z999" s="303"/>
      <c r="AA999" s="303"/>
      <c r="AB999" s="303"/>
      <c r="AC999" s="303"/>
      <c r="AD999" s="303"/>
      <c r="AE999" s="303"/>
      <c r="AF999" s="303"/>
      <c r="AG999" s="303"/>
    </row>
    <row r="1000" spans="1:33" ht="12.75" x14ac:dyDescent="0.2">
      <c r="R1000" s="303"/>
      <c r="S1000" s="303"/>
      <c r="T1000" s="303"/>
      <c r="U1000" s="303"/>
      <c r="V1000" s="303"/>
      <c r="W1000" s="303"/>
      <c r="X1000" s="303"/>
      <c r="Y1000" s="303"/>
      <c r="Z1000" s="303"/>
      <c r="AA1000" s="303"/>
      <c r="AB1000" s="303"/>
      <c r="AC1000" s="303"/>
      <c r="AD1000" s="303"/>
      <c r="AE1000" s="303"/>
      <c r="AF1000" s="303"/>
      <c r="AG1000" s="303"/>
    </row>
  </sheetData>
  <mergeCells count="31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Y5:Z5"/>
    <mergeCell ref="AA5:AB5"/>
    <mergeCell ref="AD5:AE5"/>
    <mergeCell ref="AF5:AG5"/>
    <mergeCell ref="C4:G4"/>
    <mergeCell ref="H4:I4"/>
    <mergeCell ref="J5:K5"/>
    <mergeCell ref="L5:N5"/>
    <mergeCell ref="O5:Q5"/>
    <mergeCell ref="S5:T5"/>
    <mergeCell ref="V5:W5"/>
    <mergeCell ref="F5:F6"/>
    <mergeCell ref="G5:G6"/>
    <mergeCell ref="C2:AG2"/>
    <mergeCell ref="C3:Q3"/>
    <mergeCell ref="R3:T4"/>
    <mergeCell ref="U3:W4"/>
    <mergeCell ref="X3:AB4"/>
    <mergeCell ref="AC3:AG4"/>
    <mergeCell ref="J4:Q4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พัฒนาผู้แทน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  <vt:lpstr>GAP!Print_Titles</vt:lpstr>
      <vt:lpstr>Smart!Print_Titles</vt:lpstr>
      <vt:lpstr>จัดที่ดิน!Print_Titles</vt:lpstr>
      <vt:lpstr>ทฤษฎีใหม่!Print_Titles</vt:lpstr>
      <vt:lpstr>ธุรกิจชุมชน!Print_Titles</vt:lpstr>
      <vt:lpstr>แปลงรวม!Print_Titles</vt:lpstr>
      <vt:lpstr>แปลงใหญ่!Print_Titles</vt:lpstr>
      <vt:lpstr>เฝ้าระวังการเผา!Print_Titles</vt:lpstr>
      <vt:lpstr>พระราชดำริ!Print_Titles</vt:lpstr>
      <vt:lpstr>พัฒนาผู้แทน!Print_Titles</vt:lpstr>
      <vt:lpstr>ศูนย์บริการ!Print_Titles</vt:lpstr>
      <vt:lpstr>สมุนไพร!Print_Titles</vt:lpstr>
      <vt:lpstr>หัตถกรรม!Print_Titles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2023-02-23T04:54:46Z</cp:lastPrinted>
  <dcterms:modified xsi:type="dcterms:W3CDTF">2023-02-23T04:56:28Z</dcterms:modified>
</cp:coreProperties>
</file>